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pivotTables/pivotTable1.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pivotTables/pivotTable2.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05" windowWidth="20100" windowHeight="9270" tabRatio="697" firstSheet="1" activeTab="2"/>
  </bookViews>
  <sheets>
    <sheet name="OptMilitRet" sheetId="24" state="hidden" r:id="rId1"/>
    <sheet name="ReadMe" sheetId="36" r:id="rId2"/>
    <sheet name="MainParameters" sheetId="37" r:id="rId3"/>
    <sheet name="InputData" sheetId="9" r:id="rId4"/>
    <sheet name="IntMed" sheetId="10" r:id="rId5"/>
    <sheet name="Ortho" sheetId="18" r:id="rId6"/>
    <sheet name="GenSurg" sheetId="21" r:id="rId7"/>
    <sheet name="Ophtha" sheetId="20" r:id="rId8"/>
    <sheet name="Graph_IntMed" sheetId="25" r:id="rId9"/>
    <sheet name="Graph_Ortho" sheetId="28" r:id="rId10"/>
    <sheet name="Graph_GenSurg" sheetId="29" r:id="rId11"/>
    <sheet name="Graph_Ophtha" sheetId="30" r:id="rId12"/>
    <sheet name="PivotData" sheetId="31" r:id="rId13"/>
    <sheet name="PivotChart" sheetId="33" r:id="rId14"/>
    <sheet name="PivotTableNPV30" sheetId="35" r:id="rId15"/>
  </sheets>
  <calcPr calcId="145621"/>
  <pivotCaches>
    <pivotCache cacheId="0" r:id="rId16"/>
    <pivotCache cacheId="1" r:id="rId17"/>
  </pivotCaches>
</workbook>
</file>

<file path=xl/calcChain.xml><?xml version="1.0" encoding="utf-8"?>
<calcChain xmlns="http://schemas.openxmlformats.org/spreadsheetml/2006/main">
  <c r="E13" i="9" l="1"/>
  <c r="C11" i="9"/>
  <c r="C116" i="9"/>
  <c r="C88" i="9"/>
  <c r="C13" i="9"/>
  <c r="C12" i="9"/>
  <c r="C10" i="9"/>
  <c r="C9" i="9"/>
  <c r="C7" i="9"/>
  <c r="C6" i="9"/>
  <c r="C5" i="9"/>
  <c r="C4" i="9"/>
  <c r="C3" i="9"/>
  <c r="K1" i="9"/>
  <c r="G1" i="9"/>
  <c r="C31" i="37" l="1"/>
  <c r="C84" i="9" s="1"/>
  <c r="C32" i="37"/>
  <c r="C85" i="9" s="1"/>
  <c r="C30" i="37"/>
  <c r="C82" i="9" s="1"/>
  <c r="C29" i="37"/>
  <c r="C81" i="9" s="1"/>
  <c r="Z1741" i="31" l="1"/>
  <c r="Z1740" i="31"/>
  <c r="Z1739" i="31"/>
  <c r="Z1738" i="31"/>
  <c r="Z1737" i="31"/>
  <c r="Z1736" i="31"/>
  <c r="Z1735" i="31"/>
  <c r="Z1734" i="31"/>
  <c r="Z1733" i="31"/>
  <c r="Z1732" i="31"/>
  <c r="Z1731" i="31"/>
  <c r="Z1730" i="31"/>
  <c r="Z1729" i="31"/>
  <c r="Z1728" i="31"/>
  <c r="Z1727" i="31"/>
  <c r="Z1726" i="31"/>
  <c r="Z1725" i="31"/>
  <c r="Z1724" i="31"/>
  <c r="Z1723" i="31"/>
  <c r="Z1722" i="31"/>
  <c r="Z1721" i="31"/>
  <c r="Z1720" i="31"/>
  <c r="Z1719" i="31"/>
  <c r="Z1718" i="31"/>
  <c r="Z1717" i="31"/>
  <c r="Z1716" i="31"/>
  <c r="Z1715" i="31"/>
  <c r="Z1714" i="31"/>
  <c r="Z1713" i="31"/>
  <c r="Z1712" i="31"/>
  <c r="Z1711" i="31"/>
  <c r="Z1710" i="31"/>
  <c r="Z1709" i="31"/>
  <c r="Z1708" i="31"/>
  <c r="Z1707" i="31"/>
  <c r="Z1706" i="31"/>
  <c r="Z1705" i="31"/>
  <c r="Z1704" i="31"/>
  <c r="Z1703" i="31"/>
  <c r="Z1702" i="31"/>
  <c r="Z1701" i="31"/>
  <c r="Z1700" i="31"/>
  <c r="Z1699" i="31"/>
  <c r="Z1698" i="31"/>
  <c r="Z1697" i="31"/>
  <c r="Z1696" i="31"/>
  <c r="Z1695" i="31"/>
  <c r="Z1694" i="31"/>
  <c r="Z1693" i="31"/>
  <c r="Z1692" i="31"/>
  <c r="Z1691" i="31"/>
  <c r="Z1690" i="31"/>
  <c r="Z1689" i="31"/>
  <c r="Z1688" i="31"/>
  <c r="Z1687" i="31"/>
  <c r="Z1686" i="31"/>
  <c r="Z1685" i="31"/>
  <c r="Z1684" i="31"/>
  <c r="Z1683" i="31"/>
  <c r="Z1682" i="31"/>
  <c r="Z1681" i="31"/>
  <c r="Z1680" i="31"/>
  <c r="Z1679" i="31"/>
  <c r="Z1678" i="31"/>
  <c r="Z1677" i="31"/>
  <c r="Z1676" i="31"/>
  <c r="Z1675" i="31"/>
  <c r="Z1674" i="31"/>
  <c r="Z1673" i="31"/>
  <c r="Z1672" i="31"/>
  <c r="Z1671" i="31"/>
  <c r="Z1670" i="31"/>
  <c r="Z1669" i="31"/>
  <c r="Z1668" i="31"/>
  <c r="Z1667" i="31"/>
  <c r="Z1666" i="31"/>
  <c r="Z1665" i="31"/>
  <c r="Z1664" i="31"/>
  <c r="Z1663" i="31"/>
  <c r="Z1662" i="31"/>
  <c r="Z1661" i="31"/>
  <c r="Z1660" i="31"/>
  <c r="Z1659" i="31"/>
  <c r="Z1658" i="31"/>
  <c r="Z1657" i="31"/>
  <c r="Z1656" i="31"/>
  <c r="Z1655" i="31"/>
  <c r="Z1654" i="31"/>
  <c r="Z1653" i="31"/>
  <c r="Z1652" i="31"/>
  <c r="Z1651" i="31"/>
  <c r="Z1650" i="31"/>
  <c r="Z1649" i="31"/>
  <c r="Z1648" i="31"/>
  <c r="Z1647" i="31"/>
  <c r="Z1646" i="31"/>
  <c r="Z1645" i="31"/>
  <c r="Z1644" i="31"/>
  <c r="Z1643" i="31"/>
  <c r="Z1642" i="31"/>
  <c r="Z1641" i="31"/>
  <c r="Z1640" i="31"/>
  <c r="Z1639" i="31"/>
  <c r="Z1638" i="31"/>
  <c r="Z1637" i="31"/>
  <c r="Z1636" i="31"/>
  <c r="Z1635" i="31"/>
  <c r="Z1634" i="31"/>
  <c r="Z1633" i="31"/>
  <c r="Z1632" i="31"/>
  <c r="Z1631" i="31"/>
  <c r="Z1630" i="31"/>
  <c r="Z1629" i="31"/>
  <c r="Z1628" i="31"/>
  <c r="Z1627" i="31"/>
  <c r="Z1626" i="31"/>
  <c r="Z1625" i="31"/>
  <c r="Z1624" i="31"/>
  <c r="Z1623" i="31"/>
  <c r="Z1622" i="31"/>
  <c r="Z1621" i="31"/>
  <c r="Z1620" i="31"/>
  <c r="Z1619" i="31"/>
  <c r="Z1618" i="31"/>
  <c r="Z1617" i="31"/>
  <c r="Z1616" i="31"/>
  <c r="Z1615" i="31"/>
  <c r="Z1614" i="31"/>
  <c r="Z1613" i="31"/>
  <c r="Z1612" i="31"/>
  <c r="Z1611" i="31"/>
  <c r="Z1610" i="31"/>
  <c r="Z1609" i="31"/>
  <c r="Z1608" i="31"/>
  <c r="Z1607" i="31"/>
  <c r="Z1606" i="31"/>
  <c r="Z1605" i="31"/>
  <c r="Z1604" i="31"/>
  <c r="Z1603" i="31"/>
  <c r="Z1602" i="31"/>
  <c r="Z1601" i="31"/>
  <c r="Z1600" i="31"/>
  <c r="Z1599" i="31"/>
  <c r="Z1598" i="31"/>
  <c r="Z1597" i="31"/>
  <c r="Z1596" i="31"/>
  <c r="Z1595" i="31"/>
  <c r="Z1594" i="31"/>
  <c r="Z1593" i="31"/>
  <c r="Z1592" i="31"/>
  <c r="Z1591" i="31"/>
  <c r="Z1590" i="31"/>
  <c r="Z1589" i="31"/>
  <c r="Z1588" i="31"/>
  <c r="Z1587" i="31"/>
  <c r="Z1586" i="31"/>
  <c r="Z1585" i="31"/>
  <c r="Z1584" i="31"/>
  <c r="Z1583" i="31"/>
  <c r="Z1582" i="31"/>
  <c r="Z1581" i="31"/>
  <c r="Z1580" i="31"/>
  <c r="Z1579" i="31"/>
  <c r="Z1578" i="31"/>
  <c r="Z1577" i="31"/>
  <c r="Z1576" i="31"/>
  <c r="Z1575" i="31"/>
  <c r="Z1574" i="31"/>
  <c r="Z1573" i="31"/>
  <c r="Z1572" i="31"/>
  <c r="Z1571" i="31"/>
  <c r="Z1570" i="31"/>
  <c r="Z1569" i="31"/>
  <c r="Z1568" i="31"/>
  <c r="Z1567" i="31"/>
  <c r="Z1566" i="31"/>
  <c r="Z1565" i="31"/>
  <c r="Z1564" i="31"/>
  <c r="Z1563" i="31"/>
  <c r="Z1562" i="31"/>
  <c r="Z1561" i="31"/>
  <c r="Z1560" i="31"/>
  <c r="Z1559" i="31"/>
  <c r="Z1558" i="31"/>
  <c r="Z1557" i="31"/>
  <c r="Z1556" i="31"/>
  <c r="Z1555" i="31"/>
  <c r="Z1554" i="31"/>
  <c r="Z1553" i="31"/>
  <c r="Z1552" i="31"/>
  <c r="Z1551" i="31"/>
  <c r="Z1550" i="31"/>
  <c r="Z1549" i="31"/>
  <c r="Z1548" i="31"/>
  <c r="Z1547" i="31"/>
  <c r="Z1546" i="31"/>
  <c r="Z1545" i="31"/>
  <c r="Z1544" i="31"/>
  <c r="Z1543" i="31"/>
  <c r="Z1542" i="31"/>
  <c r="Z1541" i="31"/>
  <c r="Z1540" i="31"/>
  <c r="Z1539" i="31"/>
  <c r="Z1538" i="31"/>
  <c r="Z1537" i="31"/>
  <c r="Z1536" i="31"/>
  <c r="Z1535" i="31"/>
  <c r="Z1534" i="31"/>
  <c r="Z1533" i="31"/>
  <c r="Z1532" i="31"/>
  <c r="Z1531" i="31"/>
  <c r="Z1530" i="31"/>
  <c r="Z1529" i="31"/>
  <c r="Z1528" i="31"/>
  <c r="Z1527" i="31"/>
  <c r="Z1526" i="31"/>
  <c r="Z1525" i="31"/>
  <c r="Z1524" i="31"/>
  <c r="Z1523" i="31"/>
  <c r="Z1522" i="31"/>
  <c r="Z1521" i="31"/>
  <c r="Z1520" i="31"/>
  <c r="Z1519" i="31"/>
  <c r="Z1518" i="31"/>
  <c r="Z1517" i="31"/>
  <c r="Z1516" i="31"/>
  <c r="Z1515" i="31"/>
  <c r="Z1514" i="31"/>
  <c r="Z1513" i="31"/>
  <c r="Z1512" i="31"/>
  <c r="Z1511" i="31"/>
  <c r="Z1510" i="31"/>
  <c r="Z1509" i="31"/>
  <c r="Z1508" i="31"/>
  <c r="Z1507" i="31"/>
  <c r="Z1506" i="31"/>
  <c r="Z1505" i="31"/>
  <c r="Z1504" i="31"/>
  <c r="Z1503" i="31"/>
  <c r="Z1502" i="31"/>
  <c r="Z1501" i="31"/>
  <c r="Z1500" i="31"/>
  <c r="Z1499" i="31"/>
  <c r="Z1498" i="31"/>
  <c r="Z1497" i="31"/>
  <c r="Z1496" i="31"/>
  <c r="Z1495" i="31"/>
  <c r="Z1494" i="31"/>
  <c r="Z1493" i="31"/>
  <c r="Z1492" i="31"/>
  <c r="Z1491" i="31"/>
  <c r="Z1490" i="31"/>
  <c r="Z1489" i="31"/>
  <c r="Z1488" i="31"/>
  <c r="Z1487" i="31"/>
  <c r="Z1486" i="31"/>
  <c r="Z1485" i="31"/>
  <c r="Z1484" i="31"/>
  <c r="Z1483" i="31"/>
  <c r="Z1482" i="31"/>
  <c r="Z1481" i="31"/>
  <c r="Z1480" i="31"/>
  <c r="Z1479" i="31"/>
  <c r="Z1478" i="31"/>
  <c r="Z1477" i="31"/>
  <c r="Z1476" i="31"/>
  <c r="Z1475" i="31"/>
  <c r="Z1474" i="31"/>
  <c r="Z1473" i="31"/>
  <c r="Z1472" i="31"/>
  <c r="Z1471" i="31"/>
  <c r="Z1470" i="31"/>
  <c r="Z1469" i="31"/>
  <c r="Z1468" i="31"/>
  <c r="Z1467" i="31"/>
  <c r="Z1466" i="31"/>
  <c r="Z1465" i="31"/>
  <c r="Z1464" i="31"/>
  <c r="Z1463" i="31"/>
  <c r="Z1462" i="31"/>
  <c r="Z1461" i="31"/>
  <c r="Z1460" i="31"/>
  <c r="Z1459" i="31"/>
  <c r="Z1458" i="31"/>
  <c r="Z1457" i="31"/>
  <c r="Z1456" i="31"/>
  <c r="Z1455" i="31"/>
  <c r="Z1454" i="31"/>
  <c r="Z1453" i="31"/>
  <c r="Z1452" i="31"/>
  <c r="Z1451" i="31"/>
  <c r="Z1450" i="31"/>
  <c r="Z1449" i="31"/>
  <c r="Z1448" i="31"/>
  <c r="Z1447" i="31"/>
  <c r="Z1446" i="31"/>
  <c r="Z1445" i="31"/>
  <c r="Z1444" i="31"/>
  <c r="Z1443" i="31"/>
  <c r="Z1442" i="31"/>
  <c r="Z1441" i="31"/>
  <c r="Z1440" i="31"/>
  <c r="Z1439" i="31"/>
  <c r="Z1438" i="31"/>
  <c r="Z1437" i="31"/>
  <c r="Z1436" i="31"/>
  <c r="Z1435" i="31"/>
  <c r="Z1434" i="31"/>
  <c r="Z1433" i="31"/>
  <c r="Z1432" i="31"/>
  <c r="Z1431" i="31"/>
  <c r="Z1430" i="31"/>
  <c r="Z1429" i="31"/>
  <c r="Z1428" i="31"/>
  <c r="Z1427" i="31"/>
  <c r="Z1426" i="31"/>
  <c r="Z1425" i="31"/>
  <c r="Z1424" i="31"/>
  <c r="Z1423" i="31"/>
  <c r="Z1422" i="31"/>
  <c r="Z1421" i="31"/>
  <c r="Z1420" i="31"/>
  <c r="Z1419" i="31"/>
  <c r="Z1418" i="31"/>
  <c r="Z1417" i="31"/>
  <c r="Z1416" i="31"/>
  <c r="Z1415" i="31"/>
  <c r="Z1414" i="31"/>
  <c r="Z1413" i="31"/>
  <c r="Z1412" i="31"/>
  <c r="Z1411" i="31"/>
  <c r="Z1410" i="31"/>
  <c r="Z1409" i="31"/>
  <c r="Z1408" i="31"/>
  <c r="Z1407" i="31"/>
  <c r="Z1406" i="31"/>
  <c r="Z1405" i="31"/>
  <c r="Z1404" i="31"/>
  <c r="Z1403" i="31"/>
  <c r="Z1402" i="31"/>
  <c r="Z1401" i="31"/>
  <c r="Z1400" i="31"/>
  <c r="Z1399" i="31"/>
  <c r="Z1398" i="31"/>
  <c r="Z1397" i="31"/>
  <c r="Z1396" i="31"/>
  <c r="Z1395" i="31"/>
  <c r="Z1394" i="31"/>
  <c r="Z1393" i="31"/>
  <c r="Z1392" i="31"/>
  <c r="Z1391" i="31"/>
  <c r="Z1390" i="31"/>
  <c r="Z1389" i="31"/>
  <c r="Z1388" i="31"/>
  <c r="Z1387" i="31"/>
  <c r="Z1386" i="31"/>
  <c r="Z1385" i="31"/>
  <c r="Z1384" i="31"/>
  <c r="Z1383" i="31"/>
  <c r="Z1382" i="31"/>
  <c r="Z1381" i="31"/>
  <c r="Z1380" i="31"/>
  <c r="Z1379" i="31"/>
  <c r="Z1378" i="31"/>
  <c r="Z1377" i="31"/>
  <c r="Z1376" i="31"/>
  <c r="Z1375" i="31"/>
  <c r="Z1374" i="31"/>
  <c r="Z1373" i="31"/>
  <c r="Z1372" i="31"/>
  <c r="Z1371" i="31"/>
  <c r="Z1370" i="31"/>
  <c r="Z1369" i="31"/>
  <c r="Z1368" i="31"/>
  <c r="Z1367" i="31"/>
  <c r="Z1366" i="31"/>
  <c r="Z1365" i="31"/>
  <c r="Z1364" i="31"/>
  <c r="Z1363" i="31"/>
  <c r="Z1362" i="31"/>
  <c r="Z1361" i="31"/>
  <c r="Z1360" i="31"/>
  <c r="Z1359" i="31"/>
  <c r="Z1358" i="31"/>
  <c r="Z1357" i="31"/>
  <c r="Z1356" i="31"/>
  <c r="Z1355" i="31"/>
  <c r="Z1354" i="31"/>
  <c r="Z1353" i="31"/>
  <c r="Z1352" i="31"/>
  <c r="Z1351" i="31"/>
  <c r="Z1350" i="31"/>
  <c r="Z1349" i="31"/>
  <c r="Z1348" i="31"/>
  <c r="Z1347" i="31"/>
  <c r="Z1346" i="31"/>
  <c r="Z1345" i="31"/>
  <c r="Z1344" i="31"/>
  <c r="Z1343" i="31"/>
  <c r="Z1342" i="31"/>
  <c r="Z1341" i="31"/>
  <c r="Z1340" i="31"/>
  <c r="Z1339" i="31"/>
  <c r="Z1338" i="31"/>
  <c r="Z1337" i="31"/>
  <c r="Z1336" i="31"/>
  <c r="Z1335" i="31"/>
  <c r="Z1334" i="31"/>
  <c r="Z1333" i="31"/>
  <c r="Z1332" i="31"/>
  <c r="Z1331" i="31"/>
  <c r="Z1330" i="31"/>
  <c r="Z1329" i="31"/>
  <c r="Z1328" i="31"/>
  <c r="Z1327" i="31"/>
  <c r="Z1326" i="31"/>
  <c r="Z1325" i="31"/>
  <c r="Z1324" i="31"/>
  <c r="Z1323" i="31"/>
  <c r="Z1322" i="31"/>
  <c r="Z1321" i="31"/>
  <c r="Z1320" i="31"/>
  <c r="Z1319" i="31"/>
  <c r="Z1318" i="31"/>
  <c r="Z1317" i="31"/>
  <c r="Z1316" i="31"/>
  <c r="Z1315" i="31"/>
  <c r="Z1314" i="31"/>
  <c r="Z1313" i="31"/>
  <c r="Z1312" i="31"/>
  <c r="Z1311" i="31"/>
  <c r="Z1310" i="31"/>
  <c r="Z1309" i="31"/>
  <c r="Z1308" i="31"/>
  <c r="Z1307" i="31"/>
  <c r="Z1306" i="31"/>
  <c r="Z1305" i="31"/>
  <c r="Z1304" i="31"/>
  <c r="Z1303" i="31"/>
  <c r="Z1302" i="31"/>
  <c r="Z1301" i="31"/>
  <c r="Z1300" i="31"/>
  <c r="Z1299" i="31"/>
  <c r="Z1298" i="31"/>
  <c r="Z1297" i="31"/>
  <c r="Z1296" i="31"/>
  <c r="Z1295" i="31"/>
  <c r="Z1294" i="31"/>
  <c r="Z1293" i="31"/>
  <c r="Z1292" i="31"/>
  <c r="Z1291" i="31"/>
  <c r="Z1290" i="31"/>
  <c r="Z1289" i="31"/>
  <c r="Z1288" i="31"/>
  <c r="Z1287" i="31"/>
  <c r="Z1286" i="31"/>
  <c r="Z1285" i="31"/>
  <c r="Z1284" i="31"/>
  <c r="Z1283" i="31"/>
  <c r="Z1282" i="31"/>
  <c r="Z1281" i="31"/>
  <c r="Z1280" i="31"/>
  <c r="Z1279" i="31"/>
  <c r="Z1278" i="31"/>
  <c r="Z1277" i="31"/>
  <c r="Z1276" i="31"/>
  <c r="Z1275" i="31"/>
  <c r="Z1274" i="31"/>
  <c r="Z1273" i="31"/>
  <c r="Z1272" i="31"/>
  <c r="Z1271" i="31"/>
  <c r="Z1270" i="31"/>
  <c r="Z1269" i="31"/>
  <c r="Z1268" i="31"/>
  <c r="Z1267" i="31"/>
  <c r="Z1266" i="31"/>
  <c r="Z1265" i="31"/>
  <c r="Z1264" i="31"/>
  <c r="Z1263" i="31"/>
  <c r="Z1262" i="31"/>
  <c r="Z1261" i="31"/>
  <c r="Z1260" i="31"/>
  <c r="Z1259" i="31"/>
  <c r="Z1258" i="31"/>
  <c r="Z1257" i="31"/>
  <c r="Z1256" i="31"/>
  <c r="Z1255" i="31"/>
  <c r="Z1254" i="31"/>
  <c r="Z1253" i="31"/>
  <c r="Z1252" i="31"/>
  <c r="Z1251" i="31"/>
  <c r="Z1250" i="31"/>
  <c r="Z1249" i="31"/>
  <c r="Z1248" i="31"/>
  <c r="Z1247" i="31"/>
  <c r="Z1246" i="31"/>
  <c r="Z1245" i="31"/>
  <c r="Z1244" i="31"/>
  <c r="Z1243" i="31"/>
  <c r="Z1242" i="31"/>
  <c r="Z1241" i="31"/>
  <c r="Z1240" i="31"/>
  <c r="Z1239" i="31"/>
  <c r="Z1238" i="31"/>
  <c r="Z1237" i="31"/>
  <c r="Z1236" i="31"/>
  <c r="Z1235" i="31"/>
  <c r="Z1234" i="31"/>
  <c r="Z1233" i="31"/>
  <c r="Z1232" i="31"/>
  <c r="Z1231" i="31"/>
  <c r="Z1230" i="31"/>
  <c r="Z1229" i="31"/>
  <c r="Z1228" i="31"/>
  <c r="Z1227" i="31"/>
  <c r="Z1226" i="31"/>
  <c r="Z1225" i="31"/>
  <c r="Z1224" i="31"/>
  <c r="Z1223" i="31"/>
  <c r="Z1222" i="31"/>
  <c r="Z1221" i="31"/>
  <c r="Z1220" i="31"/>
  <c r="Z1219" i="31"/>
  <c r="Z1218" i="31"/>
  <c r="Z1217" i="31"/>
  <c r="Z1216" i="31"/>
  <c r="Z1215" i="31"/>
  <c r="Z1214" i="31"/>
  <c r="Z1213" i="31"/>
  <c r="Z1212" i="31"/>
  <c r="Z1211" i="31"/>
  <c r="Z1210" i="31"/>
  <c r="Z1209" i="31"/>
  <c r="Z1208" i="31"/>
  <c r="Z1207" i="31"/>
  <c r="Z1206" i="31"/>
  <c r="Z1205" i="31"/>
  <c r="Z1204" i="31"/>
  <c r="Z1203" i="31"/>
  <c r="Z1202" i="31"/>
  <c r="Z1201" i="31"/>
  <c r="Z1200" i="31"/>
  <c r="Z1199" i="31"/>
  <c r="Z1198" i="31"/>
  <c r="Z1197" i="31"/>
  <c r="Z1196" i="31"/>
  <c r="Z1195" i="31"/>
  <c r="Z1194" i="31"/>
  <c r="Z1193" i="31"/>
  <c r="Z1192" i="31"/>
  <c r="Z1191" i="31"/>
  <c r="Z1190" i="31"/>
  <c r="Z1189" i="31"/>
  <c r="Z1188" i="31"/>
  <c r="Z1187" i="31"/>
  <c r="Z1186" i="31"/>
  <c r="Z1185" i="31"/>
  <c r="Z1184" i="31"/>
  <c r="Z1183" i="31"/>
  <c r="Z1182" i="31"/>
  <c r="Z1181" i="31"/>
  <c r="Z1180" i="31"/>
  <c r="Z1179" i="31"/>
  <c r="Z1178" i="31"/>
  <c r="Z1177" i="31"/>
  <c r="Z1176" i="31"/>
  <c r="Z1175" i="31"/>
  <c r="Z1174" i="31"/>
  <c r="Z1173" i="31"/>
  <c r="Z1172" i="31"/>
  <c r="Z1171" i="31"/>
  <c r="Z1170" i="31"/>
  <c r="Z1169" i="31"/>
  <c r="Z1168" i="31"/>
  <c r="Z1167" i="31"/>
  <c r="Z1166" i="31"/>
  <c r="Z1165" i="31"/>
  <c r="Z1164" i="31"/>
  <c r="Z1163" i="31"/>
  <c r="Z1162" i="31"/>
  <c r="Z1161" i="31"/>
  <c r="Z1160" i="31"/>
  <c r="Z1159" i="31"/>
  <c r="Z1158" i="31"/>
  <c r="Z1157" i="31"/>
  <c r="Z1156" i="31"/>
  <c r="Z1155" i="31"/>
  <c r="Z1154" i="31"/>
  <c r="Z1153" i="31"/>
  <c r="Z1152" i="31"/>
  <c r="Z1151" i="31"/>
  <c r="Z1150" i="31"/>
  <c r="Z1149" i="31"/>
  <c r="Z1148" i="31"/>
  <c r="Z1147" i="31"/>
  <c r="Z1146" i="31"/>
  <c r="Z1145" i="31"/>
  <c r="Z1144" i="31"/>
  <c r="Z1143" i="31"/>
  <c r="Z1142" i="31"/>
  <c r="Z1141" i="31"/>
  <c r="Z1140" i="31"/>
  <c r="Z1139" i="31"/>
  <c r="Z1138" i="31"/>
  <c r="Z1137" i="31"/>
  <c r="Z1136" i="31"/>
  <c r="Z1135" i="31"/>
  <c r="Z1134" i="31"/>
  <c r="Z1133" i="31"/>
  <c r="Z1132" i="31"/>
  <c r="Z1131" i="31"/>
  <c r="Z1130" i="31"/>
  <c r="Z1129" i="31"/>
  <c r="Z1128" i="31"/>
  <c r="Z1127" i="31"/>
  <c r="Z1126" i="31"/>
  <c r="Z1125" i="31"/>
  <c r="Z1124" i="31"/>
  <c r="Z1123" i="31"/>
  <c r="Z1122" i="31"/>
  <c r="Z1121" i="31"/>
  <c r="Z1120" i="31"/>
  <c r="Z1119" i="31"/>
  <c r="Z1118" i="31"/>
  <c r="Z1117" i="31"/>
  <c r="Z1116" i="31"/>
  <c r="Z1115" i="31"/>
  <c r="Z1114" i="31"/>
  <c r="Z1113" i="31"/>
  <c r="Z1112" i="31"/>
  <c r="Z1111" i="31"/>
  <c r="Z1110" i="31"/>
  <c r="Z1109" i="31"/>
  <c r="Z1108" i="31"/>
  <c r="Z1107" i="31"/>
  <c r="Z1106" i="31"/>
  <c r="Z1105" i="31"/>
  <c r="Z1104" i="31"/>
  <c r="Z1103" i="31"/>
  <c r="Z1102" i="31"/>
  <c r="Z1101" i="31"/>
  <c r="Z1100" i="31"/>
  <c r="Z1099" i="31"/>
  <c r="Z1098" i="31"/>
  <c r="Z1097" i="31"/>
  <c r="Z1096" i="31"/>
  <c r="Z1095" i="31"/>
  <c r="Z1094" i="31"/>
  <c r="Z1093" i="31"/>
  <c r="Z1092" i="31"/>
  <c r="Z1091" i="31"/>
  <c r="Z1090" i="31"/>
  <c r="Z1089" i="31"/>
  <c r="Z1088" i="31"/>
  <c r="Z1087" i="31"/>
  <c r="Z1086" i="31"/>
  <c r="Z1085" i="31"/>
  <c r="Z1084" i="31"/>
  <c r="Z1083" i="31"/>
  <c r="Z1082" i="31"/>
  <c r="Z1081" i="31"/>
  <c r="Z1080" i="31"/>
  <c r="Z1079" i="31"/>
  <c r="Z1078" i="31"/>
  <c r="Z1077" i="31"/>
  <c r="Z1076" i="31"/>
  <c r="Z1075" i="31"/>
  <c r="Z1074" i="31"/>
  <c r="Z1073" i="31"/>
  <c r="Z1072" i="31"/>
  <c r="Z1071" i="31"/>
  <c r="Z1070" i="31"/>
  <c r="Z1069" i="31"/>
  <c r="Z1068" i="31"/>
  <c r="Z1067" i="31"/>
  <c r="Z1066" i="31"/>
  <c r="Z1065" i="31"/>
  <c r="Z1064" i="31"/>
  <c r="Z1063" i="31"/>
  <c r="Z1062" i="31"/>
  <c r="Z1061" i="31"/>
  <c r="Z1060" i="31"/>
  <c r="Z1059" i="31"/>
  <c r="Z1058" i="31"/>
  <c r="Z1057" i="31"/>
  <c r="Z1056" i="31"/>
  <c r="Z1055" i="31"/>
  <c r="Z1054" i="31"/>
  <c r="Z1053" i="31"/>
  <c r="Z1052" i="31"/>
  <c r="Z1051" i="31"/>
  <c r="Z1050" i="31"/>
  <c r="Z1049" i="31"/>
  <c r="Z1048" i="31"/>
  <c r="Z1047" i="31"/>
  <c r="Z1046" i="31"/>
  <c r="Z1045" i="31"/>
  <c r="Z1044" i="31"/>
  <c r="Z1043" i="31"/>
  <c r="Z1042" i="31"/>
  <c r="Z1041" i="31"/>
  <c r="Z1040" i="31"/>
  <c r="Z1039" i="31"/>
  <c r="Z1038" i="31"/>
  <c r="Z1037" i="31"/>
  <c r="Z1036" i="31"/>
  <c r="Z1035" i="31"/>
  <c r="Z1034" i="31"/>
  <c r="Z1033" i="31"/>
  <c r="Z1032" i="31"/>
  <c r="Z1031" i="31"/>
  <c r="Z1030" i="31"/>
  <c r="Z1029" i="31"/>
  <c r="Z1028" i="31"/>
  <c r="Z1027" i="31"/>
  <c r="Z1026" i="31"/>
  <c r="Z1025" i="31"/>
  <c r="Z1024" i="31"/>
  <c r="Z1023" i="31"/>
  <c r="Z1022" i="31"/>
  <c r="Z1021" i="31"/>
  <c r="Z1020" i="31"/>
  <c r="Z1019" i="31"/>
  <c r="Z1018" i="31"/>
  <c r="Z1017" i="31"/>
  <c r="Z1016" i="31"/>
  <c r="Z1015" i="31"/>
  <c r="Z1014" i="31"/>
  <c r="Z1013" i="31"/>
  <c r="Z1012" i="31"/>
  <c r="Z1011" i="31"/>
  <c r="Z1010" i="31"/>
  <c r="Z1009" i="31"/>
  <c r="Z1008" i="31"/>
  <c r="Z1007" i="31"/>
  <c r="Z1006" i="31"/>
  <c r="Z1005" i="31"/>
  <c r="Z1004" i="31"/>
  <c r="Z1003" i="31"/>
  <c r="Z1002" i="31"/>
  <c r="Z1001" i="31"/>
  <c r="Z1000" i="31"/>
  <c r="Z999" i="31"/>
  <c r="Z998" i="31"/>
  <c r="Z997" i="31"/>
  <c r="Z996" i="31"/>
  <c r="Z995" i="31"/>
  <c r="Z994" i="31"/>
  <c r="Z993" i="31"/>
  <c r="Z992" i="31"/>
  <c r="Z991" i="31"/>
  <c r="Z990" i="31"/>
  <c r="Z989" i="31"/>
  <c r="Z988" i="31"/>
  <c r="Z987" i="31"/>
  <c r="Z986" i="31"/>
  <c r="Z985" i="31"/>
  <c r="Z984" i="31"/>
  <c r="Z983" i="31"/>
  <c r="Z982" i="31"/>
  <c r="Z981" i="31"/>
  <c r="Z980" i="31"/>
  <c r="Z979" i="31"/>
  <c r="Z978" i="31"/>
  <c r="Z977" i="31"/>
  <c r="Z976" i="31"/>
  <c r="Z975" i="31"/>
  <c r="Z974" i="31"/>
  <c r="Z973" i="31"/>
  <c r="Z972" i="31"/>
  <c r="Z971" i="31"/>
  <c r="Z970" i="31"/>
  <c r="Z969" i="31"/>
  <c r="Z968" i="31"/>
  <c r="Z967" i="31"/>
  <c r="Z966" i="31"/>
  <c r="Z965" i="31"/>
  <c r="Z964" i="31"/>
  <c r="Z963" i="31"/>
  <c r="Z962" i="31"/>
  <c r="Z961" i="31"/>
  <c r="Z960" i="31"/>
  <c r="Z959" i="31"/>
  <c r="Z958" i="31"/>
  <c r="Z957" i="31"/>
  <c r="Z956" i="31"/>
  <c r="Z955" i="31"/>
  <c r="Z954" i="31"/>
  <c r="Z953" i="31"/>
  <c r="Z952" i="31"/>
  <c r="Z951" i="31"/>
  <c r="Z950" i="31"/>
  <c r="Z949" i="31"/>
  <c r="Z948" i="31"/>
  <c r="Z947" i="31"/>
  <c r="Z946" i="31"/>
  <c r="Z945" i="31"/>
  <c r="Z944" i="31"/>
  <c r="Z943" i="31"/>
  <c r="Z942" i="31"/>
  <c r="Z941" i="31"/>
  <c r="Z940" i="31"/>
  <c r="Z939" i="31"/>
  <c r="Z938" i="31"/>
  <c r="Z937" i="31"/>
  <c r="Z936" i="31"/>
  <c r="Z935" i="31"/>
  <c r="Z934" i="31"/>
  <c r="Z933" i="31"/>
  <c r="Z932" i="31"/>
  <c r="Z931" i="31"/>
  <c r="Z930" i="31"/>
  <c r="Z929" i="31"/>
  <c r="Z928" i="31"/>
  <c r="Z927" i="31"/>
  <c r="Z926" i="31"/>
  <c r="Z925" i="31"/>
  <c r="Z924" i="31"/>
  <c r="Z923" i="31"/>
  <c r="Z922" i="31"/>
  <c r="Z921" i="31"/>
  <c r="Z920" i="31"/>
  <c r="Z919" i="31"/>
  <c r="Z918" i="31"/>
  <c r="Z917" i="31"/>
  <c r="Z916" i="31"/>
  <c r="Z915" i="31"/>
  <c r="Z914" i="31"/>
  <c r="Z913" i="31"/>
  <c r="Z912" i="31"/>
  <c r="Z911" i="31"/>
  <c r="Z910" i="31"/>
  <c r="Z909" i="31"/>
  <c r="Z908" i="31"/>
  <c r="Z907" i="31"/>
  <c r="Z906" i="31"/>
  <c r="Z905" i="31"/>
  <c r="Z904" i="31"/>
  <c r="Z903" i="31"/>
  <c r="Z902" i="31"/>
  <c r="Z901" i="31"/>
  <c r="Z900" i="31"/>
  <c r="Z899" i="31"/>
  <c r="Z898" i="31"/>
  <c r="Z897" i="31"/>
  <c r="Z896" i="31"/>
  <c r="Z895" i="31"/>
  <c r="Z894" i="31"/>
  <c r="Z893" i="31"/>
  <c r="Z892" i="31"/>
  <c r="Z891" i="31"/>
  <c r="Z890" i="31"/>
  <c r="Z889" i="31"/>
  <c r="Z888" i="31"/>
  <c r="Z887" i="31"/>
  <c r="Z886" i="31"/>
  <c r="Z885" i="31"/>
  <c r="Z884" i="31"/>
  <c r="Z883" i="31"/>
  <c r="Z882" i="31"/>
  <c r="Z881" i="31"/>
  <c r="Z880" i="31"/>
  <c r="Z879" i="31"/>
  <c r="Z878" i="31"/>
  <c r="Z877" i="31"/>
  <c r="Z876" i="31"/>
  <c r="Z875" i="31"/>
  <c r="Z874" i="31"/>
  <c r="Z873" i="31"/>
  <c r="Z872" i="31"/>
  <c r="Z871" i="31"/>
  <c r="Z870" i="31"/>
  <c r="Z869" i="31"/>
  <c r="Z868" i="31"/>
  <c r="Z867" i="31"/>
  <c r="Z866" i="31"/>
  <c r="Z865" i="31"/>
  <c r="Z864" i="31"/>
  <c r="Z863" i="31"/>
  <c r="Z862" i="31"/>
  <c r="Z861" i="31"/>
  <c r="Z860" i="31"/>
  <c r="Z859" i="31"/>
  <c r="Z858" i="31"/>
  <c r="Z857" i="31"/>
  <c r="Z856" i="31"/>
  <c r="Z855" i="31"/>
  <c r="Z854" i="31"/>
  <c r="Z853" i="31"/>
  <c r="Z852" i="31"/>
  <c r="Z851" i="31"/>
  <c r="Z850" i="31"/>
  <c r="Z849" i="31"/>
  <c r="Z848" i="31"/>
  <c r="Z847" i="31"/>
  <c r="Z846" i="31"/>
  <c r="Z845" i="31"/>
  <c r="Z844" i="31"/>
  <c r="Z843" i="31"/>
  <c r="Z842" i="31"/>
  <c r="Z841" i="31"/>
  <c r="Z840" i="31"/>
  <c r="Z839" i="31"/>
  <c r="Z838" i="31"/>
  <c r="Z837" i="31"/>
  <c r="Z836" i="31"/>
  <c r="Z835" i="31"/>
  <c r="Z834" i="31"/>
  <c r="Z833" i="31"/>
  <c r="Z832" i="31"/>
  <c r="Z831" i="31"/>
  <c r="Z830" i="31"/>
  <c r="Z829" i="31"/>
  <c r="Z828" i="31"/>
  <c r="Z827" i="31"/>
  <c r="Z826" i="31"/>
  <c r="Z825" i="31"/>
  <c r="Z824" i="31"/>
  <c r="Z823" i="31"/>
  <c r="Z822" i="31"/>
  <c r="Z821" i="31"/>
  <c r="Z820" i="31"/>
  <c r="Z819" i="31"/>
  <c r="Z818" i="31"/>
  <c r="Z817" i="31"/>
  <c r="Z816" i="31"/>
  <c r="Z815" i="31"/>
  <c r="Z814" i="31"/>
  <c r="Z813" i="31"/>
  <c r="Z812" i="31"/>
  <c r="Z811" i="31"/>
  <c r="Z810" i="31"/>
  <c r="Z809" i="31"/>
  <c r="Z808" i="31"/>
  <c r="Z807" i="31"/>
  <c r="Z806" i="31"/>
  <c r="Z805" i="31"/>
  <c r="Z804" i="31"/>
  <c r="Z803" i="31"/>
  <c r="Z802" i="31"/>
  <c r="Z801" i="31"/>
  <c r="Z800" i="31"/>
  <c r="Z799" i="31"/>
  <c r="Z798" i="31"/>
  <c r="Z797" i="31"/>
  <c r="Z796" i="31"/>
  <c r="Z795" i="31"/>
  <c r="Z794" i="31"/>
  <c r="Z793" i="31"/>
  <c r="Z792" i="31"/>
  <c r="Z791" i="31"/>
  <c r="Z790" i="31"/>
  <c r="Z789" i="31"/>
  <c r="Z788" i="31"/>
  <c r="Z787" i="31"/>
  <c r="Z786" i="31"/>
  <c r="Z785" i="31"/>
  <c r="Z784" i="31"/>
  <c r="Z783" i="31"/>
  <c r="Z782" i="31"/>
  <c r="Z781" i="31"/>
  <c r="Z780" i="31"/>
  <c r="Z779" i="31"/>
  <c r="Z778" i="31"/>
  <c r="Z777" i="31"/>
  <c r="Z776" i="31"/>
  <c r="Z775" i="31"/>
  <c r="Z774" i="31"/>
  <c r="Z773" i="31"/>
  <c r="Z772" i="31"/>
  <c r="Z771" i="31"/>
  <c r="Z770" i="31"/>
  <c r="Z769" i="31"/>
  <c r="Z768" i="31"/>
  <c r="Z767" i="31"/>
  <c r="Z766" i="31"/>
  <c r="Z765" i="31"/>
  <c r="Z764" i="31"/>
  <c r="Z763" i="31"/>
  <c r="Z762" i="31"/>
  <c r="Z761" i="31"/>
  <c r="Z760" i="31"/>
  <c r="Z759" i="31"/>
  <c r="Z758" i="31"/>
  <c r="Z757" i="31"/>
  <c r="Z756" i="31"/>
  <c r="Z755" i="31"/>
  <c r="Z754" i="31"/>
  <c r="Z753" i="31"/>
  <c r="Z752" i="31"/>
  <c r="Z751" i="31"/>
  <c r="Z750" i="31"/>
  <c r="Z749" i="31"/>
  <c r="Z748" i="31"/>
  <c r="Z747" i="31"/>
  <c r="Z746" i="31"/>
  <c r="Z745" i="31"/>
  <c r="Z744" i="31"/>
  <c r="Z743" i="31"/>
  <c r="Z742" i="31"/>
  <c r="Z741" i="31"/>
  <c r="Z740" i="31"/>
  <c r="Z739" i="31"/>
  <c r="Z738" i="31"/>
  <c r="Z737" i="31"/>
  <c r="Z736" i="31"/>
  <c r="Z735" i="31"/>
  <c r="Z734" i="31"/>
  <c r="Z733" i="31"/>
  <c r="Z732" i="31"/>
  <c r="Z731" i="31"/>
  <c r="Z730" i="31"/>
  <c r="Z729" i="31"/>
  <c r="Z728" i="31"/>
  <c r="Z727" i="31"/>
  <c r="Z726" i="31"/>
  <c r="Z725" i="31"/>
  <c r="Z724" i="31"/>
  <c r="Z723" i="31"/>
  <c r="Z722" i="31"/>
  <c r="Z721" i="31"/>
  <c r="Z720" i="31"/>
  <c r="Z719" i="31"/>
  <c r="Z718" i="31"/>
  <c r="Z717" i="31"/>
  <c r="Z716" i="31"/>
  <c r="Z715" i="31"/>
  <c r="Z714" i="31"/>
  <c r="Z713" i="31"/>
  <c r="Z712" i="31"/>
  <c r="Z711" i="31"/>
  <c r="Z710" i="31"/>
  <c r="Z709" i="31"/>
  <c r="Z708" i="31"/>
  <c r="Z707" i="31"/>
  <c r="Z706" i="31"/>
  <c r="Z705" i="31"/>
  <c r="Z704" i="31"/>
  <c r="Z703" i="31"/>
  <c r="Z702" i="31"/>
  <c r="Z701" i="31"/>
  <c r="Z700" i="31"/>
  <c r="Z699" i="31"/>
  <c r="Z698" i="31"/>
  <c r="Z697" i="31"/>
  <c r="Z696" i="31"/>
  <c r="Z695" i="31"/>
  <c r="Z694" i="31"/>
  <c r="Z693" i="31"/>
  <c r="Z692" i="31"/>
  <c r="Z691" i="31"/>
  <c r="Z690" i="31"/>
  <c r="Z689" i="31"/>
  <c r="Z688" i="31"/>
  <c r="Z687" i="31"/>
  <c r="Z686" i="31"/>
  <c r="Z685" i="31"/>
  <c r="Z684" i="31"/>
  <c r="Z683" i="31"/>
  <c r="Z682" i="31"/>
  <c r="Z681" i="31"/>
  <c r="Z680" i="31"/>
  <c r="Z679" i="31"/>
  <c r="Z678" i="31"/>
  <c r="Z677" i="31"/>
  <c r="Z676" i="31"/>
  <c r="Z675" i="31"/>
  <c r="Z674" i="31"/>
  <c r="Z673" i="31"/>
  <c r="Z672" i="31"/>
  <c r="Z671" i="31"/>
  <c r="Z670" i="31"/>
  <c r="Z669" i="31"/>
  <c r="Z668" i="31"/>
  <c r="Z667" i="31"/>
  <c r="Z666" i="31"/>
  <c r="Z665" i="31"/>
  <c r="Z664" i="31"/>
  <c r="Z663" i="31"/>
  <c r="Z662" i="31"/>
  <c r="Z661" i="31"/>
  <c r="Z660" i="31"/>
  <c r="Z659" i="31"/>
  <c r="Z658" i="31"/>
  <c r="Z657" i="31"/>
  <c r="Z656" i="31"/>
  <c r="Z655" i="31"/>
  <c r="Z654" i="31"/>
  <c r="Z653" i="31"/>
  <c r="Z652" i="31"/>
  <c r="Z651" i="31"/>
  <c r="Z650" i="31"/>
  <c r="Z649" i="31"/>
  <c r="Z648" i="31"/>
  <c r="Z647" i="31"/>
  <c r="Z646" i="31"/>
  <c r="Z645" i="31"/>
  <c r="Z644" i="31"/>
  <c r="Z643" i="31"/>
  <c r="Z642" i="31"/>
  <c r="Z641" i="31"/>
  <c r="Z640" i="31"/>
  <c r="Z639" i="31"/>
  <c r="Z638" i="31"/>
  <c r="Z637" i="31"/>
  <c r="Z636" i="31"/>
  <c r="Z635" i="31"/>
  <c r="Z634" i="31"/>
  <c r="Z633" i="31"/>
  <c r="Z632" i="31"/>
  <c r="Z631" i="31"/>
  <c r="Z630" i="31"/>
  <c r="Z629" i="31"/>
  <c r="Z628" i="31"/>
  <c r="Z627" i="31"/>
  <c r="Z626" i="31"/>
  <c r="Z625" i="31"/>
  <c r="Z624" i="31"/>
  <c r="Z623" i="31"/>
  <c r="Z622" i="31"/>
  <c r="Z621" i="31"/>
  <c r="Z620" i="31"/>
  <c r="Z619" i="31"/>
  <c r="Z618" i="31"/>
  <c r="Z617" i="31"/>
  <c r="Z616" i="31"/>
  <c r="Z615" i="31"/>
  <c r="Z614" i="31"/>
  <c r="Z613" i="31"/>
  <c r="Z612" i="31"/>
  <c r="Z611" i="31"/>
  <c r="Z610" i="31"/>
  <c r="Z609" i="31"/>
  <c r="Z608" i="31"/>
  <c r="Z607" i="31"/>
  <c r="Z606" i="31"/>
  <c r="Z605" i="31"/>
  <c r="Z604" i="31"/>
  <c r="Z603" i="31"/>
  <c r="Z602" i="31"/>
  <c r="Z601" i="31"/>
  <c r="Z600" i="31"/>
  <c r="Z599" i="31"/>
  <c r="Z598" i="31"/>
  <c r="Z597" i="31"/>
  <c r="Z596" i="31"/>
  <c r="Z595" i="31"/>
  <c r="Z594" i="31"/>
  <c r="Z593" i="31"/>
  <c r="Z592" i="31"/>
  <c r="Z591" i="31"/>
  <c r="Z590" i="31"/>
  <c r="Z589" i="31"/>
  <c r="Z588" i="31"/>
  <c r="Z587" i="31"/>
  <c r="Z586" i="31"/>
  <c r="Z585" i="31"/>
  <c r="Z584" i="31"/>
  <c r="Z583" i="31"/>
  <c r="Z582" i="31"/>
  <c r="Z581" i="31"/>
  <c r="Z580" i="31"/>
  <c r="Z579" i="31"/>
  <c r="Z578" i="31"/>
  <c r="Z577" i="31"/>
  <c r="Z576" i="31"/>
  <c r="Z575" i="31"/>
  <c r="Z574" i="31"/>
  <c r="Z573" i="31"/>
  <c r="Z572" i="31"/>
  <c r="Z571" i="31"/>
  <c r="Z570" i="31"/>
  <c r="Z569" i="31"/>
  <c r="Z568" i="31"/>
  <c r="Z567" i="31"/>
  <c r="Z566" i="31"/>
  <c r="Z565" i="31"/>
  <c r="Z564" i="31"/>
  <c r="Z563" i="31"/>
  <c r="Z562" i="31"/>
  <c r="Z561" i="31"/>
  <c r="Z560" i="31"/>
  <c r="Z559" i="31"/>
  <c r="Z558" i="31"/>
  <c r="Z557" i="31"/>
  <c r="Z556" i="31"/>
  <c r="Z555" i="31"/>
  <c r="Z554" i="31"/>
  <c r="Z553" i="31"/>
  <c r="Z552" i="31"/>
  <c r="Z551" i="31"/>
  <c r="Z550" i="31"/>
  <c r="Z549" i="31"/>
  <c r="Z548" i="31"/>
  <c r="Z547" i="31"/>
  <c r="Z546" i="31"/>
  <c r="Z545" i="31"/>
  <c r="Z544" i="31"/>
  <c r="Z543" i="31"/>
  <c r="Z542" i="31"/>
  <c r="Z541" i="31"/>
  <c r="Z540" i="31"/>
  <c r="Z539" i="31"/>
  <c r="Z538" i="31"/>
  <c r="Z537" i="31"/>
  <c r="Z536" i="31"/>
  <c r="Z535" i="31"/>
  <c r="Z534" i="31"/>
  <c r="Z533" i="31"/>
  <c r="Z532" i="31"/>
  <c r="Z531" i="31"/>
  <c r="Z530" i="31"/>
  <c r="Z529" i="31"/>
  <c r="Z528" i="31"/>
  <c r="Z527" i="31"/>
  <c r="Z526" i="31"/>
  <c r="Z525" i="31"/>
  <c r="Z524" i="31"/>
  <c r="Z523" i="31"/>
  <c r="Z522" i="31"/>
  <c r="Z521" i="31"/>
  <c r="Z520" i="31"/>
  <c r="Z519" i="31"/>
  <c r="Z518" i="31"/>
  <c r="Z517" i="31"/>
  <c r="Z516" i="31"/>
  <c r="Z515" i="31"/>
  <c r="Z514" i="31"/>
  <c r="Z513" i="31"/>
  <c r="Z512" i="31"/>
  <c r="Z511" i="31"/>
  <c r="Z510" i="31"/>
  <c r="Z509" i="31"/>
  <c r="Z508" i="31"/>
  <c r="Z507" i="31"/>
  <c r="Z506" i="31"/>
  <c r="Z505" i="31"/>
  <c r="Z504" i="31"/>
  <c r="Z503" i="31"/>
  <c r="Z502" i="31"/>
  <c r="Z501" i="31"/>
  <c r="Z500" i="31"/>
  <c r="Z499" i="31"/>
  <c r="Z498" i="31"/>
  <c r="Z497" i="31"/>
  <c r="Z496" i="31"/>
  <c r="Z495" i="31"/>
  <c r="Z494" i="31"/>
  <c r="Z493" i="31"/>
  <c r="Z492" i="31"/>
  <c r="Z491" i="31"/>
  <c r="Z490" i="31"/>
  <c r="Z489" i="31"/>
  <c r="Z488" i="31"/>
  <c r="Z487" i="31"/>
  <c r="Z486" i="31"/>
  <c r="Z485" i="31"/>
  <c r="Z484" i="31"/>
  <c r="Z483" i="31"/>
  <c r="Z482" i="31"/>
  <c r="Z481" i="31"/>
  <c r="Z480" i="31"/>
  <c r="Z479" i="31"/>
  <c r="Z478" i="31"/>
  <c r="Z477" i="31"/>
  <c r="Z476" i="31"/>
  <c r="Z475" i="31"/>
  <c r="Z474" i="31"/>
  <c r="Z473" i="31"/>
  <c r="Z472" i="31"/>
  <c r="Z471" i="31"/>
  <c r="Z470" i="31"/>
  <c r="Z469" i="31"/>
  <c r="Z468" i="31"/>
  <c r="Z467" i="31"/>
  <c r="Z466" i="31"/>
  <c r="Z465" i="31"/>
  <c r="Z464" i="31"/>
  <c r="Z463" i="31"/>
  <c r="Z462" i="31"/>
  <c r="Z461" i="31"/>
  <c r="Z460" i="31"/>
  <c r="Z459" i="31"/>
  <c r="Z458" i="31"/>
  <c r="Z457" i="31"/>
  <c r="Z456" i="31"/>
  <c r="Z455" i="31"/>
  <c r="Z454" i="31"/>
  <c r="Z453" i="31"/>
  <c r="Z452" i="31"/>
  <c r="Z451" i="31"/>
  <c r="Z450" i="31"/>
  <c r="Z449" i="31"/>
  <c r="Z448" i="31"/>
  <c r="Z447" i="31"/>
  <c r="Z446" i="31"/>
  <c r="Z445" i="31"/>
  <c r="Z444" i="31"/>
  <c r="Z443" i="31"/>
  <c r="Z442" i="31"/>
  <c r="Z441" i="31"/>
  <c r="Z440" i="31"/>
  <c r="Z439" i="31"/>
  <c r="Z438" i="31"/>
  <c r="Z437" i="31"/>
  <c r="Z436" i="31"/>
  <c r="Z435" i="31"/>
  <c r="Z434" i="31"/>
  <c r="Z433" i="31"/>
  <c r="Z432" i="31"/>
  <c r="Z431" i="31"/>
  <c r="Z430" i="31"/>
  <c r="Z429" i="31"/>
  <c r="Z428" i="31"/>
  <c r="Z427" i="31"/>
  <c r="Z426" i="31"/>
  <c r="Z425" i="31"/>
  <c r="Z424" i="31"/>
  <c r="Z423" i="31"/>
  <c r="Z422" i="31"/>
  <c r="Z421" i="31"/>
  <c r="Z420" i="31"/>
  <c r="Z419" i="31"/>
  <c r="Z418" i="31"/>
  <c r="Z417" i="31"/>
  <c r="Z416" i="31"/>
  <c r="Z415" i="31"/>
  <c r="Z414" i="31"/>
  <c r="Z413" i="31"/>
  <c r="Z412" i="31"/>
  <c r="Z411" i="31"/>
  <c r="Z410" i="31"/>
  <c r="Z409" i="31"/>
  <c r="Z408" i="31"/>
  <c r="Z407" i="31"/>
  <c r="Z406" i="31"/>
  <c r="Z405" i="31"/>
  <c r="Z404" i="31"/>
  <c r="Z403" i="31"/>
  <c r="Z402" i="31"/>
  <c r="Z401" i="31"/>
  <c r="Z400" i="31"/>
  <c r="Z399" i="31"/>
  <c r="Z398" i="31"/>
  <c r="Z397" i="31"/>
  <c r="Z396" i="31"/>
  <c r="Z395" i="31"/>
  <c r="Z394" i="31"/>
  <c r="Z393" i="31"/>
  <c r="Z392" i="31"/>
  <c r="Z391" i="31"/>
  <c r="Z390" i="31"/>
  <c r="Z389" i="31"/>
  <c r="Z388" i="31"/>
  <c r="Z387" i="31"/>
  <c r="Z386" i="31"/>
  <c r="Z385" i="31"/>
  <c r="Z384" i="31"/>
  <c r="Z383" i="31"/>
  <c r="Z382" i="31"/>
  <c r="Z381" i="31"/>
  <c r="Z380" i="31"/>
  <c r="Z379" i="31"/>
  <c r="Z378" i="31"/>
  <c r="Z377" i="31"/>
  <c r="Z376" i="31"/>
  <c r="Z375" i="31"/>
  <c r="Z374" i="31"/>
  <c r="Z373" i="31"/>
  <c r="Z372" i="31"/>
  <c r="Z371" i="31"/>
  <c r="Z370" i="31"/>
  <c r="Z369" i="31"/>
  <c r="Z368" i="31"/>
  <c r="Z367" i="31"/>
  <c r="Z366" i="31"/>
  <c r="Z365" i="31"/>
  <c r="Z364" i="31"/>
  <c r="Z363" i="31"/>
  <c r="Z362" i="31"/>
  <c r="Z361" i="31"/>
  <c r="Z360" i="31"/>
  <c r="Z359" i="31"/>
  <c r="Z358" i="31"/>
  <c r="Z357" i="31"/>
  <c r="Z356" i="31"/>
  <c r="Z355" i="31"/>
  <c r="Z354" i="31"/>
  <c r="Z353" i="31"/>
  <c r="Z352" i="31"/>
  <c r="Z351" i="31"/>
  <c r="Z350" i="31"/>
  <c r="Z349" i="31"/>
  <c r="Z348" i="31"/>
  <c r="Z347" i="31"/>
  <c r="Z346" i="31"/>
  <c r="Z345" i="31"/>
  <c r="Z344" i="31"/>
  <c r="Z343" i="31"/>
  <c r="Z342" i="31"/>
  <c r="Z341" i="31"/>
  <c r="Z340" i="31"/>
  <c r="Z339" i="31"/>
  <c r="Z338" i="31"/>
  <c r="Z337" i="31"/>
  <c r="Z336" i="31"/>
  <c r="Z335" i="31"/>
  <c r="Z334" i="31"/>
  <c r="Z333" i="31"/>
  <c r="Z332" i="31"/>
  <c r="Z331" i="31"/>
  <c r="Z330" i="31"/>
  <c r="Z329" i="31"/>
  <c r="Z328" i="31"/>
  <c r="Z327" i="31"/>
  <c r="Z326" i="31"/>
  <c r="Z325" i="31"/>
  <c r="Z324" i="31"/>
  <c r="Z323" i="31"/>
  <c r="Z322" i="31"/>
  <c r="Z321" i="31"/>
  <c r="Z320" i="31"/>
  <c r="Z319" i="31"/>
  <c r="Z318" i="31"/>
  <c r="Z317" i="31"/>
  <c r="Z316" i="31"/>
  <c r="Z315" i="31"/>
  <c r="Z314" i="31"/>
  <c r="Z313" i="31"/>
  <c r="Z312" i="31"/>
  <c r="Z311" i="31"/>
  <c r="Z310" i="31"/>
  <c r="Z309" i="31"/>
  <c r="Z308" i="31"/>
  <c r="Z307" i="31"/>
  <c r="Z306" i="31"/>
  <c r="Z305" i="31"/>
  <c r="Z304" i="31"/>
  <c r="Z303" i="31"/>
  <c r="Z302" i="31"/>
  <c r="Z301" i="31"/>
  <c r="Z300" i="31"/>
  <c r="Z299" i="31"/>
  <c r="Z298" i="31"/>
  <c r="Z297" i="31"/>
  <c r="Z296" i="31"/>
  <c r="Z295" i="31"/>
  <c r="Z294" i="31"/>
  <c r="Z293" i="31"/>
  <c r="Z292" i="31"/>
  <c r="Z291" i="31"/>
  <c r="Z290" i="31"/>
  <c r="Z289" i="31"/>
  <c r="Z288" i="31"/>
  <c r="Z287" i="31"/>
  <c r="Z286" i="31"/>
  <c r="Z285" i="31"/>
  <c r="Z284" i="31"/>
  <c r="Z283" i="31"/>
  <c r="Z282" i="31"/>
  <c r="Z281" i="31"/>
  <c r="Z280" i="31"/>
  <c r="Z279" i="31"/>
  <c r="Z278" i="31"/>
  <c r="Z277" i="31"/>
  <c r="Z276" i="31"/>
  <c r="Z275" i="31"/>
  <c r="Z274" i="31"/>
  <c r="Z273" i="31"/>
  <c r="Z272" i="31"/>
  <c r="Z271" i="31"/>
  <c r="Z270" i="31"/>
  <c r="Z269" i="31"/>
  <c r="Z268" i="31"/>
  <c r="Z267" i="31"/>
  <c r="Z266" i="31"/>
  <c r="Z265" i="31"/>
  <c r="Z264" i="31"/>
  <c r="Z263" i="31"/>
  <c r="Z262" i="31"/>
  <c r="Z261" i="31"/>
  <c r="Z260" i="31"/>
  <c r="Z259" i="31"/>
  <c r="Z258" i="31"/>
  <c r="Z257" i="31"/>
  <c r="Z256" i="31"/>
  <c r="Z255" i="31"/>
  <c r="Z254" i="31"/>
  <c r="Z253" i="31"/>
  <c r="Z252" i="31"/>
  <c r="Z251" i="31"/>
  <c r="Z250" i="31"/>
  <c r="Z249" i="31"/>
  <c r="Z248" i="31"/>
  <c r="Z247" i="31"/>
  <c r="Z246" i="31"/>
  <c r="Z245" i="31"/>
  <c r="Z244" i="31"/>
  <c r="Z243" i="31"/>
  <c r="Z242" i="31"/>
  <c r="Z241" i="31"/>
  <c r="Z240" i="31"/>
  <c r="Z239" i="31"/>
  <c r="Z238" i="31"/>
  <c r="Z237" i="31"/>
  <c r="Z236" i="31"/>
  <c r="Z235" i="31"/>
  <c r="Z234" i="31"/>
  <c r="Z233" i="31"/>
  <c r="Z232" i="31"/>
  <c r="Z231" i="31"/>
  <c r="Z230" i="31"/>
  <c r="Z229" i="31"/>
  <c r="Z228" i="31"/>
  <c r="Z227" i="31"/>
  <c r="Z226" i="31"/>
  <c r="Z225" i="31"/>
  <c r="Z224" i="31"/>
  <c r="Z223" i="31"/>
  <c r="Z222" i="31"/>
  <c r="Z221" i="31"/>
  <c r="Z220" i="31"/>
  <c r="Z219" i="31"/>
  <c r="Z218" i="31"/>
  <c r="Z217" i="31"/>
  <c r="Z216" i="31"/>
  <c r="Z215" i="31"/>
  <c r="Z214" i="31"/>
  <c r="Z213" i="31"/>
  <c r="Z212" i="31"/>
  <c r="Z211" i="31"/>
  <c r="Z210" i="31"/>
  <c r="Z209" i="31"/>
  <c r="Z208" i="31"/>
  <c r="Z207" i="31"/>
  <c r="Z206" i="31"/>
  <c r="Z205" i="31"/>
  <c r="Z204" i="31"/>
  <c r="Z203" i="31"/>
  <c r="Z202" i="31"/>
  <c r="Z201" i="31"/>
  <c r="Z200" i="31"/>
  <c r="Z199" i="31"/>
  <c r="Z198" i="31"/>
  <c r="Z197" i="31"/>
  <c r="Z196" i="31"/>
  <c r="Z195" i="31"/>
  <c r="Z194" i="31"/>
  <c r="Z193" i="31"/>
  <c r="Z192" i="31"/>
  <c r="Z191" i="31"/>
  <c r="Z190" i="31"/>
  <c r="Z189" i="31"/>
  <c r="Z188" i="31"/>
  <c r="Z187" i="31"/>
  <c r="Z186" i="31"/>
  <c r="Z185" i="31"/>
  <c r="Z184" i="31"/>
  <c r="Z183" i="31"/>
  <c r="Z182" i="31"/>
  <c r="Z181" i="31"/>
  <c r="Z180" i="31"/>
  <c r="Z179" i="31"/>
  <c r="Z178" i="31"/>
  <c r="Z177" i="31"/>
  <c r="Z176" i="31"/>
  <c r="Z175" i="31"/>
  <c r="Z174" i="31"/>
  <c r="Z173" i="31"/>
  <c r="Z172" i="31"/>
  <c r="Z171" i="31"/>
  <c r="Z170" i="31"/>
  <c r="Z169" i="31"/>
  <c r="Z168" i="31"/>
  <c r="Z167" i="31"/>
  <c r="Z166" i="31"/>
  <c r="Z165" i="31"/>
  <c r="Z164" i="31"/>
  <c r="Z163" i="31"/>
  <c r="Z162" i="31"/>
  <c r="Z161" i="31"/>
  <c r="Z160" i="31"/>
  <c r="Z159" i="31"/>
  <c r="Z158" i="31"/>
  <c r="Z157" i="31"/>
  <c r="Z156" i="31"/>
  <c r="Z155" i="31"/>
  <c r="Z154" i="31"/>
  <c r="Z153" i="31"/>
  <c r="Z152" i="31"/>
  <c r="Z151" i="31"/>
  <c r="Z150" i="31"/>
  <c r="Z149" i="31"/>
  <c r="Z148" i="31"/>
  <c r="Z147" i="31"/>
  <c r="Z146" i="31"/>
  <c r="Z145" i="31"/>
  <c r="Z144" i="31"/>
  <c r="Z143" i="31"/>
  <c r="Z142" i="31"/>
  <c r="Z141" i="31"/>
  <c r="Z140" i="31"/>
  <c r="Z139" i="31"/>
  <c r="Z138" i="31"/>
  <c r="Z137" i="31"/>
  <c r="Z136" i="31"/>
  <c r="Z135" i="31"/>
  <c r="Z134" i="31"/>
  <c r="Z133" i="31"/>
  <c r="Z132" i="31"/>
  <c r="Z131" i="31"/>
  <c r="Z130" i="31"/>
  <c r="Z129" i="31"/>
  <c r="Z128" i="31"/>
  <c r="Z127" i="31"/>
  <c r="Z126" i="31"/>
  <c r="Z125" i="31"/>
  <c r="Z124" i="31"/>
  <c r="Z123" i="31"/>
  <c r="Z122" i="31"/>
  <c r="Z121" i="31"/>
  <c r="Z120" i="31"/>
  <c r="Z119" i="31"/>
  <c r="Z118" i="31"/>
  <c r="Z117" i="31"/>
  <c r="Z116" i="31"/>
  <c r="Z115" i="31"/>
  <c r="Z114" i="31"/>
  <c r="Z113" i="31"/>
  <c r="Z112" i="31"/>
  <c r="Z111" i="31"/>
  <c r="Z110" i="31"/>
  <c r="Z109" i="31"/>
  <c r="Z108" i="31"/>
  <c r="Z107" i="31"/>
  <c r="Z106" i="31"/>
  <c r="Z105" i="31"/>
  <c r="Z104" i="31"/>
  <c r="Z103" i="31"/>
  <c r="Z102" i="31"/>
  <c r="Z101" i="31"/>
  <c r="Z100" i="31"/>
  <c r="Z99" i="31"/>
  <c r="Z98" i="31"/>
  <c r="Z97" i="31"/>
  <c r="Z96" i="31"/>
  <c r="Z95" i="31"/>
  <c r="Z94" i="31"/>
  <c r="Z93" i="31"/>
  <c r="Z92" i="31"/>
  <c r="Z91" i="31"/>
  <c r="Z90" i="31"/>
  <c r="Z89" i="31"/>
  <c r="Z88" i="31"/>
  <c r="Z87" i="31"/>
  <c r="Z86" i="31"/>
  <c r="Z85" i="31"/>
  <c r="Z84" i="31"/>
  <c r="Z83" i="31"/>
  <c r="Z82" i="31"/>
  <c r="Z81" i="31"/>
  <c r="Z80" i="31"/>
  <c r="Z79" i="31"/>
  <c r="Z78" i="31"/>
  <c r="Z77" i="31"/>
  <c r="Z76" i="31"/>
  <c r="Z75" i="31"/>
  <c r="Z74" i="31"/>
  <c r="Z73" i="31"/>
  <c r="Z72" i="31"/>
  <c r="Z71" i="31"/>
  <c r="Z70" i="31"/>
  <c r="Z69" i="31"/>
  <c r="Z68" i="31"/>
  <c r="Z67" i="31"/>
  <c r="Z66" i="31"/>
  <c r="Z65" i="31"/>
  <c r="Z64" i="31"/>
  <c r="Z63" i="31"/>
  <c r="Z62" i="31"/>
  <c r="Z61" i="31"/>
  <c r="Z60" i="31"/>
  <c r="Z59" i="31"/>
  <c r="Z58" i="31"/>
  <c r="Z57" i="31"/>
  <c r="Z56" i="31"/>
  <c r="Z55" i="31"/>
  <c r="Z54" i="31"/>
  <c r="Z53" i="31"/>
  <c r="Z52" i="31"/>
  <c r="Z51" i="31"/>
  <c r="Z50" i="31"/>
  <c r="Z49" i="31"/>
  <c r="Z48" i="31"/>
  <c r="Z47" i="31"/>
  <c r="Z46" i="31"/>
  <c r="Z45" i="31"/>
  <c r="Z44" i="31"/>
  <c r="Z43" i="31"/>
  <c r="Z42" i="31"/>
  <c r="Z41" i="31"/>
  <c r="Z40" i="31"/>
  <c r="Z39" i="31"/>
  <c r="Z38" i="31"/>
  <c r="Z37" i="31"/>
  <c r="Z36" i="31"/>
  <c r="Z35" i="31"/>
  <c r="Z34" i="31"/>
  <c r="Z33" i="31"/>
  <c r="Z32" i="31"/>
  <c r="Z31" i="31"/>
  <c r="Z30" i="31"/>
  <c r="Z29" i="31"/>
  <c r="Z28" i="31"/>
  <c r="Z27" i="31"/>
  <c r="Z26" i="31"/>
  <c r="Z25" i="31"/>
  <c r="Z24" i="31"/>
  <c r="Z23" i="31"/>
  <c r="Z22" i="31"/>
  <c r="Z21" i="31"/>
  <c r="Z20" i="31"/>
  <c r="Z19" i="31"/>
  <c r="Z18" i="31"/>
  <c r="Z17" i="31"/>
  <c r="Z16" i="31"/>
  <c r="Z15" i="31"/>
  <c r="Z14" i="31"/>
  <c r="Z13" i="31"/>
  <c r="Z12" i="31"/>
  <c r="Z11" i="31"/>
  <c r="Z10" i="31"/>
  <c r="Z9" i="31"/>
  <c r="Z8" i="31"/>
  <c r="Z7" i="31"/>
  <c r="Z6" i="31"/>
  <c r="Z5" i="31"/>
  <c r="Z4" i="31"/>
  <c r="Z3" i="31"/>
  <c r="Z2" i="31"/>
  <c r="IQ20" i="20" l="1"/>
  <c r="IQ21" i="20"/>
  <c r="IQ22" i="20"/>
  <c r="IQ23" i="20"/>
  <c r="IQ24" i="20"/>
  <c r="IQ25" i="20"/>
  <c r="IQ26" i="20"/>
  <c r="IQ27" i="20"/>
  <c r="IQ28" i="20"/>
  <c r="IQ29" i="20"/>
  <c r="IQ30" i="20"/>
  <c r="IQ31" i="20"/>
  <c r="IQ32" i="20"/>
  <c r="IQ33" i="20"/>
  <c r="IQ34" i="20"/>
  <c r="IQ35" i="20"/>
  <c r="IQ36" i="20"/>
  <c r="IQ19" i="20"/>
  <c r="HV23" i="20"/>
  <c r="HV24" i="20"/>
  <c r="HV25" i="20"/>
  <c r="HV26" i="20"/>
  <c r="HV27" i="20"/>
  <c r="HV28" i="20"/>
  <c r="HV29" i="20"/>
  <c r="HV30" i="20"/>
  <c r="HV31" i="20"/>
  <c r="HV32" i="20"/>
  <c r="HV33" i="20"/>
  <c r="HV34" i="20"/>
  <c r="HV35" i="20"/>
  <c r="HV36" i="20"/>
  <c r="HV22" i="20"/>
  <c r="IQ21" i="21"/>
  <c r="IQ22" i="21"/>
  <c r="IQ23" i="21"/>
  <c r="IQ24" i="21"/>
  <c r="IQ25" i="21"/>
  <c r="IQ26" i="21"/>
  <c r="IQ27" i="21"/>
  <c r="IQ28" i="21"/>
  <c r="IQ29" i="21"/>
  <c r="IQ30" i="21"/>
  <c r="IQ31" i="21"/>
  <c r="IQ32" i="21"/>
  <c r="IQ33" i="21"/>
  <c r="IQ34" i="21"/>
  <c r="IQ35" i="21"/>
  <c r="IQ36" i="21"/>
  <c r="IQ20" i="21"/>
  <c r="HV24" i="21"/>
  <c r="HV25" i="21"/>
  <c r="HV26" i="21"/>
  <c r="HV27" i="21"/>
  <c r="HV28" i="21"/>
  <c r="HV29" i="21"/>
  <c r="HV30" i="21"/>
  <c r="HV31" i="21"/>
  <c r="HV32" i="21"/>
  <c r="HV33" i="21"/>
  <c r="HV34" i="21"/>
  <c r="HV35" i="21"/>
  <c r="HV36" i="21"/>
  <c r="HV23" i="21"/>
  <c r="IQ21" i="18"/>
  <c r="IQ22" i="18"/>
  <c r="IQ23" i="18"/>
  <c r="IQ24" i="18"/>
  <c r="IQ25" i="18"/>
  <c r="IQ26" i="18"/>
  <c r="IQ27" i="18"/>
  <c r="IQ28" i="18"/>
  <c r="IQ29" i="18"/>
  <c r="IQ30" i="18"/>
  <c r="IQ31" i="18"/>
  <c r="IQ32" i="18"/>
  <c r="IQ33" i="18"/>
  <c r="IQ34" i="18"/>
  <c r="IQ35" i="18"/>
  <c r="IQ36" i="18"/>
  <c r="IQ20" i="18"/>
  <c r="HV24" i="18"/>
  <c r="HV25" i="18"/>
  <c r="HV26" i="18"/>
  <c r="HV27" i="18"/>
  <c r="HV28" i="18"/>
  <c r="HV29" i="18"/>
  <c r="HV30" i="18"/>
  <c r="HV31" i="18"/>
  <c r="HV32" i="18"/>
  <c r="HV33" i="18"/>
  <c r="HV34" i="18"/>
  <c r="HV35" i="18"/>
  <c r="HV36" i="18"/>
  <c r="HV23" i="18"/>
  <c r="KP25" i="10"/>
  <c r="KP26" i="10"/>
  <c r="KP27" i="10"/>
  <c r="KP28" i="10"/>
  <c r="KP29" i="10"/>
  <c r="KP30" i="10"/>
  <c r="KP31" i="10"/>
  <c r="KP32" i="10"/>
  <c r="KP33" i="10"/>
  <c r="KP34" i="10"/>
  <c r="KP35" i="10"/>
  <c r="KP36" i="10"/>
  <c r="KP24" i="10"/>
  <c r="IY19" i="10"/>
  <c r="IY20" i="10"/>
  <c r="IY21" i="10"/>
  <c r="IY22" i="10"/>
  <c r="IY23" i="10"/>
  <c r="IY24" i="10"/>
  <c r="IY25" i="10"/>
  <c r="IY26" i="10"/>
  <c r="IY27" i="10"/>
  <c r="IY28" i="10"/>
  <c r="IY29" i="10"/>
  <c r="IY30" i="10"/>
  <c r="IY31" i="10"/>
  <c r="IY32" i="10"/>
  <c r="IY33" i="10"/>
  <c r="IY34" i="10"/>
  <c r="IY35" i="10"/>
  <c r="IY36" i="10"/>
  <c r="IY18" i="10"/>
  <c r="ID22" i="10"/>
  <c r="ID23" i="10"/>
  <c r="ID24" i="10"/>
  <c r="ID25" i="10"/>
  <c r="ID26" i="10"/>
  <c r="ID27" i="10"/>
  <c r="ID28" i="10"/>
  <c r="ID29" i="10"/>
  <c r="ID30" i="10"/>
  <c r="ID31" i="10"/>
  <c r="ID32" i="10"/>
  <c r="ID33" i="10"/>
  <c r="ID34" i="10"/>
  <c r="ID35" i="10"/>
  <c r="ID36" i="10"/>
  <c r="ID21" i="10"/>
  <c r="A1741" i="31" l="1"/>
  <c r="A1740" i="31"/>
  <c r="A1739" i="31"/>
  <c r="A1738" i="31"/>
  <c r="A1737" i="31"/>
  <c r="A1736" i="31"/>
  <c r="A1735" i="31"/>
  <c r="A1734" i="31"/>
  <c r="A1733" i="31"/>
  <c r="A1732" i="31"/>
  <c r="A1731" i="31"/>
  <c r="A1730" i="31"/>
  <c r="A1729" i="31"/>
  <c r="A1728" i="31"/>
  <c r="A1727" i="31"/>
  <c r="A1726" i="31"/>
  <c r="A1725" i="31"/>
  <c r="A1724" i="31"/>
  <c r="A1723" i="31"/>
  <c r="A1722" i="31"/>
  <c r="A1721" i="31"/>
  <c r="A1720" i="31"/>
  <c r="A1719" i="31"/>
  <c r="A1718" i="31"/>
  <c r="A1717" i="31"/>
  <c r="A1716" i="31"/>
  <c r="A1715" i="31"/>
  <c r="A1714" i="31"/>
  <c r="A1713" i="31"/>
  <c r="A1712" i="31"/>
  <c r="A1711" i="31"/>
  <c r="A1710" i="31"/>
  <c r="A1709" i="31"/>
  <c r="A1708" i="31"/>
  <c r="A1707" i="31"/>
  <c r="A1706" i="31"/>
  <c r="A1705" i="31"/>
  <c r="A1704" i="31"/>
  <c r="A1703" i="31"/>
  <c r="A1702" i="31"/>
  <c r="A1701" i="31"/>
  <c r="A1700" i="31"/>
  <c r="A1699" i="31"/>
  <c r="A1698" i="31"/>
  <c r="A1697" i="31"/>
  <c r="A1696" i="31"/>
  <c r="A1695" i="31"/>
  <c r="A1694" i="31"/>
  <c r="A1693" i="31"/>
  <c r="A1692" i="31"/>
  <c r="A1691" i="31"/>
  <c r="A1690" i="31"/>
  <c r="A1689" i="31"/>
  <c r="A1688" i="31"/>
  <c r="A1687" i="31"/>
  <c r="A1686" i="31"/>
  <c r="A1685" i="31"/>
  <c r="A1684" i="31"/>
  <c r="A1683" i="31"/>
  <c r="A1682" i="31"/>
  <c r="A1681" i="31"/>
  <c r="A1680" i="31"/>
  <c r="A1679" i="31"/>
  <c r="A1678" i="31"/>
  <c r="A1677" i="31"/>
  <c r="A1676" i="31"/>
  <c r="A1675" i="31"/>
  <c r="A1674" i="31"/>
  <c r="A1673" i="31"/>
  <c r="A1672" i="31"/>
  <c r="A1671" i="31"/>
  <c r="A1670" i="31"/>
  <c r="A1669" i="31"/>
  <c r="A1668" i="31"/>
  <c r="A1667" i="31"/>
  <c r="A1666" i="31"/>
  <c r="A1665" i="31"/>
  <c r="A1664" i="31"/>
  <c r="A1663" i="31"/>
  <c r="A1662" i="31"/>
  <c r="A1661" i="31"/>
  <c r="A1660" i="31"/>
  <c r="A1659" i="31"/>
  <c r="A1658" i="31"/>
  <c r="A1657" i="31"/>
  <c r="A1656" i="31"/>
  <c r="A1655" i="31"/>
  <c r="A1654" i="31"/>
  <c r="A1653" i="31"/>
  <c r="A1652" i="31"/>
  <c r="A1651" i="31"/>
  <c r="A1650" i="31"/>
  <c r="A1649" i="31"/>
  <c r="A1648" i="31"/>
  <c r="A1647" i="31"/>
  <c r="A1646" i="31"/>
  <c r="A1645" i="31"/>
  <c r="A1644" i="31"/>
  <c r="A1643" i="31"/>
  <c r="A1642" i="31"/>
  <c r="A1641" i="31"/>
  <c r="A1640" i="31"/>
  <c r="A1639" i="31"/>
  <c r="A1638" i="31"/>
  <c r="A1637" i="31"/>
  <c r="A1636" i="31"/>
  <c r="A1635" i="31"/>
  <c r="A1634" i="31"/>
  <c r="A1633" i="31"/>
  <c r="A1632" i="31"/>
  <c r="A1631" i="31"/>
  <c r="A1630" i="31"/>
  <c r="A1629" i="31"/>
  <c r="A1628" i="31"/>
  <c r="A1627" i="31"/>
  <c r="A1626" i="31"/>
  <c r="A1625" i="31"/>
  <c r="A1624" i="31"/>
  <c r="A1623" i="31"/>
  <c r="A1622" i="31"/>
  <c r="A1621" i="31"/>
  <c r="A1620" i="31"/>
  <c r="A1619" i="31"/>
  <c r="A1618" i="31"/>
  <c r="A1617" i="31"/>
  <c r="A1616" i="31"/>
  <c r="A1615" i="31"/>
  <c r="A1614" i="31"/>
  <c r="A1613" i="31"/>
  <c r="A1612" i="31"/>
  <c r="A1611" i="31"/>
  <c r="A1610" i="31"/>
  <c r="A1609" i="31"/>
  <c r="A1608" i="31"/>
  <c r="A1607" i="31"/>
  <c r="A1606" i="31"/>
  <c r="A1605" i="31"/>
  <c r="A1604" i="31"/>
  <c r="A1603" i="31"/>
  <c r="A1602" i="31"/>
  <c r="A1601" i="31"/>
  <c r="A1600" i="31"/>
  <c r="A1599" i="31"/>
  <c r="A1598" i="31"/>
  <c r="A1597" i="31"/>
  <c r="A1596" i="31"/>
  <c r="A1595" i="31"/>
  <c r="A1594" i="31"/>
  <c r="A1593" i="31"/>
  <c r="A1592" i="31"/>
  <c r="A1591" i="31"/>
  <c r="A1590" i="31"/>
  <c r="A1589" i="31"/>
  <c r="A1588" i="31"/>
  <c r="A1587" i="31"/>
  <c r="A1586" i="31"/>
  <c r="A1585" i="31"/>
  <c r="A1584" i="31"/>
  <c r="A1583" i="31"/>
  <c r="A1582" i="31"/>
  <c r="A1581" i="31"/>
  <c r="A1580" i="31"/>
  <c r="A1579" i="31"/>
  <c r="A1578" i="31"/>
  <c r="A1577" i="31"/>
  <c r="A1576" i="31"/>
  <c r="A1575" i="31"/>
  <c r="A1574" i="31"/>
  <c r="A1573" i="31"/>
  <c r="A1572" i="31"/>
  <c r="A1571" i="31"/>
  <c r="A1570" i="31"/>
  <c r="A1569" i="31"/>
  <c r="A1568" i="31"/>
  <c r="A1567" i="31"/>
  <c r="A1566" i="31"/>
  <c r="A1565" i="31"/>
  <c r="A1564" i="31"/>
  <c r="A1563" i="31"/>
  <c r="A1562" i="31"/>
  <c r="A1561" i="31"/>
  <c r="A1560" i="31"/>
  <c r="A1559" i="31"/>
  <c r="A1558" i="31"/>
  <c r="A1557" i="31"/>
  <c r="A1556" i="31"/>
  <c r="A1555" i="31"/>
  <c r="A1554" i="31"/>
  <c r="A1553" i="31"/>
  <c r="A1552" i="31"/>
  <c r="A1551" i="31"/>
  <c r="A1550" i="31"/>
  <c r="A1549" i="31"/>
  <c r="A1548" i="31"/>
  <c r="A1547" i="31"/>
  <c r="A1546" i="31"/>
  <c r="A1545" i="31"/>
  <c r="A1544" i="31"/>
  <c r="A1543" i="31"/>
  <c r="A1542" i="31"/>
  <c r="A1541" i="31"/>
  <c r="A1540" i="31"/>
  <c r="A1539" i="31"/>
  <c r="A1538" i="31"/>
  <c r="A1537" i="31"/>
  <c r="A1536" i="31"/>
  <c r="A1535" i="31"/>
  <c r="A1534" i="31"/>
  <c r="A1533" i="31"/>
  <c r="A1532" i="31"/>
  <c r="A1531" i="31"/>
  <c r="A1530" i="31"/>
  <c r="A1529" i="31"/>
  <c r="A1528" i="31"/>
  <c r="A1527" i="31"/>
  <c r="A1526" i="31"/>
  <c r="A1525" i="31"/>
  <c r="A1524" i="31"/>
  <c r="A1523" i="31"/>
  <c r="A1522" i="31"/>
  <c r="A1521" i="31"/>
  <c r="A1520" i="31"/>
  <c r="A1519" i="31"/>
  <c r="A1518" i="31"/>
  <c r="A1517" i="31"/>
  <c r="A1516" i="31"/>
  <c r="A1515" i="31"/>
  <c r="A1514" i="31"/>
  <c r="A1513" i="31"/>
  <c r="A1512" i="31"/>
  <c r="A1511" i="31"/>
  <c r="A1510" i="31"/>
  <c r="A1509" i="31"/>
  <c r="A1508" i="31"/>
  <c r="A1507" i="31"/>
  <c r="A1506" i="31"/>
  <c r="A1505" i="31"/>
  <c r="A1504" i="31"/>
  <c r="A1503" i="31"/>
  <c r="A1502" i="31"/>
  <c r="A1501" i="31"/>
  <c r="A1500" i="31"/>
  <c r="A1499" i="31"/>
  <c r="A1498" i="31"/>
  <c r="A1497" i="31"/>
  <c r="A1496" i="31"/>
  <c r="A1495" i="31"/>
  <c r="A1494" i="31"/>
  <c r="A1493" i="31"/>
  <c r="A1492" i="31"/>
  <c r="A1491" i="31"/>
  <c r="A1490" i="31"/>
  <c r="A1489" i="31"/>
  <c r="A1488" i="31"/>
  <c r="A1487" i="31"/>
  <c r="A1486" i="31"/>
  <c r="A1485" i="31"/>
  <c r="A1484" i="31"/>
  <c r="A1483" i="31"/>
  <c r="A1482" i="31"/>
  <c r="A1481" i="31"/>
  <c r="A1480" i="31"/>
  <c r="A1479" i="31"/>
  <c r="A1478" i="31"/>
  <c r="A1477" i="31"/>
  <c r="A1476" i="31"/>
  <c r="A1475" i="31"/>
  <c r="A1474" i="31"/>
  <c r="A1473" i="31"/>
  <c r="A1472" i="31"/>
  <c r="A1471" i="31"/>
  <c r="A1470" i="31"/>
  <c r="A1469" i="31"/>
  <c r="A1468" i="31"/>
  <c r="A1467" i="31"/>
  <c r="A1466" i="31"/>
  <c r="A1465" i="31"/>
  <c r="A1464" i="31"/>
  <c r="A1463" i="31"/>
  <c r="A1462" i="31"/>
  <c r="A1461" i="31"/>
  <c r="A1460" i="31"/>
  <c r="A1459" i="31"/>
  <c r="A1458" i="31"/>
  <c r="A1457" i="31"/>
  <c r="A1456" i="31"/>
  <c r="A1455" i="31"/>
  <c r="A1454" i="31"/>
  <c r="A1453" i="31"/>
  <c r="A1452" i="31"/>
  <c r="A1451" i="31"/>
  <c r="A1450" i="31"/>
  <c r="A1449" i="31"/>
  <c r="A1448" i="31"/>
  <c r="A1447" i="31"/>
  <c r="A1446" i="31"/>
  <c r="A1445" i="31"/>
  <c r="A1444" i="31"/>
  <c r="A1443" i="31"/>
  <c r="A1442" i="31"/>
  <c r="A1441" i="31"/>
  <c r="A1440" i="31"/>
  <c r="A1439" i="31"/>
  <c r="A1438" i="31"/>
  <c r="A1437" i="31"/>
  <c r="A1436" i="31"/>
  <c r="A1435" i="31"/>
  <c r="A1434" i="31"/>
  <c r="A1433" i="31"/>
  <c r="A1432" i="31"/>
  <c r="A1431" i="31"/>
  <c r="A1430" i="31"/>
  <c r="A1429" i="31"/>
  <c r="A1428" i="31"/>
  <c r="A1427" i="31"/>
  <c r="A1426" i="31"/>
  <c r="A1425" i="31"/>
  <c r="A1424" i="31"/>
  <c r="A1423" i="31"/>
  <c r="A1422" i="31"/>
  <c r="A1421" i="31"/>
  <c r="A1420" i="31"/>
  <c r="A1419" i="31"/>
  <c r="A1418" i="31"/>
  <c r="A1417" i="31"/>
  <c r="A1416" i="31"/>
  <c r="A1415" i="31"/>
  <c r="A1414" i="31"/>
  <c r="A1413" i="31"/>
  <c r="A1412" i="31"/>
  <c r="A1411" i="31"/>
  <c r="A1410" i="31"/>
  <c r="A1409" i="31"/>
  <c r="A1408" i="31"/>
  <c r="A1407" i="31"/>
  <c r="A1406" i="31"/>
  <c r="A1405" i="31"/>
  <c r="A1404" i="31"/>
  <c r="A1403" i="31"/>
  <c r="A1402" i="31"/>
  <c r="A1401" i="31"/>
  <c r="A1400" i="31"/>
  <c r="A1399" i="31"/>
  <c r="A1398" i="31"/>
  <c r="A1397" i="31"/>
  <c r="A1396" i="31"/>
  <c r="A1395" i="31"/>
  <c r="A1394" i="31"/>
  <c r="A1393" i="31"/>
  <c r="A1392" i="31"/>
  <c r="A1391" i="31"/>
  <c r="A1390" i="31"/>
  <c r="A1389" i="31"/>
  <c r="A1388" i="31"/>
  <c r="A1387" i="31"/>
  <c r="A1386" i="31"/>
  <c r="A1385" i="31"/>
  <c r="A1384" i="31"/>
  <c r="A1383" i="31"/>
  <c r="A1382" i="31"/>
  <c r="A1381" i="31"/>
  <c r="A1380" i="31"/>
  <c r="A1379" i="31"/>
  <c r="A1378" i="31"/>
  <c r="A1377" i="31"/>
  <c r="A1376" i="31"/>
  <c r="A1375" i="31"/>
  <c r="A1374" i="31"/>
  <c r="A1373" i="31"/>
  <c r="A1372" i="31"/>
  <c r="A1371" i="31"/>
  <c r="A1370" i="31"/>
  <c r="A1369" i="31"/>
  <c r="A1368" i="31"/>
  <c r="A1367" i="31"/>
  <c r="A1366" i="31"/>
  <c r="A1365" i="31"/>
  <c r="A1364" i="31"/>
  <c r="A1363" i="31"/>
  <c r="A1362" i="31"/>
  <c r="A1361" i="31"/>
  <c r="A1360" i="31"/>
  <c r="A1359" i="31"/>
  <c r="A1358" i="31"/>
  <c r="A1357" i="31"/>
  <c r="A1356" i="31"/>
  <c r="A1355" i="31"/>
  <c r="A1354" i="31"/>
  <c r="A1353" i="31"/>
  <c r="A1352" i="31"/>
  <c r="A1351" i="31"/>
  <c r="A1350" i="31"/>
  <c r="A1349" i="31"/>
  <c r="A1348" i="31"/>
  <c r="A1347" i="31"/>
  <c r="A1346" i="31"/>
  <c r="A1345" i="31"/>
  <c r="A1344" i="31"/>
  <c r="A1343" i="31"/>
  <c r="A1342" i="31"/>
  <c r="A1341" i="31"/>
  <c r="A1340" i="31"/>
  <c r="A1339" i="31"/>
  <c r="A1338" i="31"/>
  <c r="A1337" i="31"/>
  <c r="A1336" i="31"/>
  <c r="A1335" i="31"/>
  <c r="A1334" i="31"/>
  <c r="A1333" i="31"/>
  <c r="A1332" i="31"/>
  <c r="A1331" i="31"/>
  <c r="A1330" i="31"/>
  <c r="A1329" i="31"/>
  <c r="A1328" i="31"/>
  <c r="A1327" i="31"/>
  <c r="A1326" i="31"/>
  <c r="A1325" i="31"/>
  <c r="A1324" i="31"/>
  <c r="A1323" i="31"/>
  <c r="A1322" i="31"/>
  <c r="A1321" i="31"/>
  <c r="A1320" i="31"/>
  <c r="A1319" i="31"/>
  <c r="A1318" i="31"/>
  <c r="A1317" i="31"/>
  <c r="A1316" i="31"/>
  <c r="A1315" i="31"/>
  <c r="A1314" i="31"/>
  <c r="A1313" i="31"/>
  <c r="A1312" i="31"/>
  <c r="A1311" i="31"/>
  <c r="A1310" i="31"/>
  <c r="A1309" i="31"/>
  <c r="A1308" i="31"/>
  <c r="A1307" i="31"/>
  <c r="A1306" i="31"/>
  <c r="A1305" i="31"/>
  <c r="A1304" i="31"/>
  <c r="A1303" i="31"/>
  <c r="A1302" i="31"/>
  <c r="A1301" i="31"/>
  <c r="A1300" i="31"/>
  <c r="A1299" i="31"/>
  <c r="A1298" i="31"/>
  <c r="A1297" i="31"/>
  <c r="A1296" i="31"/>
  <c r="A1295" i="31"/>
  <c r="A1294" i="31"/>
  <c r="A1293" i="31"/>
  <c r="A1292" i="31"/>
  <c r="A1291" i="31"/>
  <c r="A1290" i="31"/>
  <c r="A1289" i="31"/>
  <c r="A1288" i="31"/>
  <c r="A1287" i="31"/>
  <c r="A1286" i="31"/>
  <c r="A1285" i="31"/>
  <c r="A1284" i="31"/>
  <c r="A1283" i="31"/>
  <c r="A1282" i="31"/>
  <c r="A1281" i="31"/>
  <c r="A1280" i="31"/>
  <c r="A1279" i="31"/>
  <c r="A1278" i="31"/>
  <c r="A1277" i="31"/>
  <c r="A1276" i="31"/>
  <c r="A1275" i="31"/>
  <c r="A1274" i="31"/>
  <c r="A1273" i="31"/>
  <c r="A1272" i="31"/>
  <c r="A1271" i="31"/>
  <c r="A1270" i="31"/>
  <c r="A1269" i="31"/>
  <c r="A1268" i="31"/>
  <c r="A1267" i="31"/>
  <c r="A1266" i="31"/>
  <c r="A1265" i="31"/>
  <c r="A1264" i="31"/>
  <c r="A1263" i="31"/>
  <c r="A1262" i="31"/>
  <c r="A1261" i="31"/>
  <c r="A1260" i="31"/>
  <c r="A1259" i="31"/>
  <c r="A1258" i="31"/>
  <c r="A1257" i="31"/>
  <c r="A1256" i="31"/>
  <c r="A1255" i="31"/>
  <c r="A1254" i="31"/>
  <c r="A1253" i="31"/>
  <c r="A1252" i="31"/>
  <c r="A1251" i="31"/>
  <c r="A1250" i="31"/>
  <c r="A1249" i="31"/>
  <c r="A1248" i="31"/>
  <c r="A1247" i="31"/>
  <c r="A1246" i="31"/>
  <c r="A1245" i="31"/>
  <c r="A1244" i="31"/>
  <c r="A1243" i="31"/>
  <c r="A1242" i="31"/>
  <c r="A1241" i="31"/>
  <c r="A1240" i="31"/>
  <c r="A1239" i="31"/>
  <c r="A1238" i="31"/>
  <c r="A1237" i="31"/>
  <c r="A1236" i="31"/>
  <c r="A1235" i="31"/>
  <c r="A1234" i="31"/>
  <c r="A1233" i="31"/>
  <c r="A1232" i="31"/>
  <c r="A1231" i="31"/>
  <c r="A1230" i="31"/>
  <c r="A1229" i="31"/>
  <c r="A1228" i="31"/>
  <c r="A1227" i="31"/>
  <c r="A1226" i="31"/>
  <c r="A1225" i="31"/>
  <c r="A1224" i="31"/>
  <c r="A1223" i="31"/>
  <c r="A1222" i="31"/>
  <c r="A1221" i="31"/>
  <c r="A1220" i="31"/>
  <c r="A1219" i="31"/>
  <c r="A1218" i="31"/>
  <c r="A1217" i="31"/>
  <c r="A1216" i="31"/>
  <c r="A1215" i="31"/>
  <c r="A1214" i="31"/>
  <c r="A1213" i="31"/>
  <c r="A1212" i="31"/>
  <c r="A1211" i="31"/>
  <c r="A1210" i="31"/>
  <c r="A1209" i="31"/>
  <c r="A1208" i="31"/>
  <c r="A1207" i="31"/>
  <c r="A1206" i="31"/>
  <c r="A1205" i="31"/>
  <c r="A1204" i="31"/>
  <c r="A1203" i="31"/>
  <c r="A1202" i="31"/>
  <c r="A1201" i="31"/>
  <c r="A1200" i="31"/>
  <c r="A1199" i="31"/>
  <c r="A1198" i="31"/>
  <c r="A1197" i="31"/>
  <c r="A1196" i="31"/>
  <c r="A1195" i="31"/>
  <c r="A1194" i="31"/>
  <c r="A1193" i="31"/>
  <c r="A1192" i="31"/>
  <c r="A1191" i="31"/>
  <c r="A1190" i="31"/>
  <c r="A1189" i="31"/>
  <c r="A1188" i="31"/>
  <c r="A1187" i="31"/>
  <c r="A1186" i="31"/>
  <c r="A1185" i="31"/>
  <c r="A1184" i="31"/>
  <c r="A1183" i="31"/>
  <c r="A1182" i="31"/>
  <c r="A1181" i="31"/>
  <c r="A1180" i="31"/>
  <c r="A1179" i="31"/>
  <c r="A1178" i="31"/>
  <c r="A1177" i="31"/>
  <c r="A1176" i="31"/>
  <c r="A1175" i="31"/>
  <c r="A1174" i="31"/>
  <c r="A1173" i="31"/>
  <c r="A1172" i="31"/>
  <c r="A1171" i="31"/>
  <c r="A1170" i="31"/>
  <c r="A1169" i="31"/>
  <c r="A1168" i="31"/>
  <c r="A1167" i="31"/>
  <c r="A1166" i="31"/>
  <c r="A1165" i="31"/>
  <c r="A1164" i="31"/>
  <c r="A1163" i="31"/>
  <c r="A1162" i="31"/>
  <c r="A1161" i="31"/>
  <c r="A1160" i="31"/>
  <c r="A1159" i="31"/>
  <c r="A1158" i="31"/>
  <c r="A1157" i="31"/>
  <c r="A1156" i="31"/>
  <c r="A1155" i="31"/>
  <c r="A1154" i="31"/>
  <c r="A1153" i="31"/>
  <c r="A1152" i="31"/>
  <c r="A1151" i="31"/>
  <c r="A1150" i="31"/>
  <c r="A1149" i="31"/>
  <c r="A1148" i="31"/>
  <c r="A1147" i="31"/>
  <c r="A1146" i="31"/>
  <c r="A1145" i="31"/>
  <c r="A1144" i="31"/>
  <c r="A1143" i="31"/>
  <c r="A1142" i="31"/>
  <c r="A1141" i="31"/>
  <c r="A1140" i="31"/>
  <c r="A1139" i="31"/>
  <c r="A1138" i="31"/>
  <c r="A1137" i="31"/>
  <c r="A1136" i="31"/>
  <c r="A1135" i="31"/>
  <c r="A1134" i="31"/>
  <c r="A1133" i="31"/>
  <c r="A1132" i="31"/>
  <c r="A1131" i="31"/>
  <c r="A1130" i="31"/>
  <c r="A1129" i="31"/>
  <c r="A1128" i="31"/>
  <c r="A1127" i="31"/>
  <c r="A1126" i="31"/>
  <c r="A1125" i="31"/>
  <c r="A1124" i="31"/>
  <c r="A1123" i="31"/>
  <c r="A1122" i="31"/>
  <c r="A1121" i="31"/>
  <c r="A1120" i="31"/>
  <c r="A1119" i="31"/>
  <c r="A1118" i="31"/>
  <c r="A1117" i="31"/>
  <c r="A1116" i="31"/>
  <c r="A1115" i="31"/>
  <c r="A1114" i="31"/>
  <c r="A1113" i="31"/>
  <c r="A1112" i="31"/>
  <c r="A1111" i="31"/>
  <c r="A1110" i="31"/>
  <c r="A1109" i="31"/>
  <c r="A1108" i="31"/>
  <c r="A1107" i="31"/>
  <c r="A1106" i="31"/>
  <c r="A1105" i="31"/>
  <c r="A1104" i="31"/>
  <c r="A1103" i="31"/>
  <c r="A1102" i="31"/>
  <c r="A1101" i="31"/>
  <c r="A1100" i="31"/>
  <c r="A1099" i="31"/>
  <c r="A1098" i="31"/>
  <c r="A1097" i="31"/>
  <c r="A1096" i="31"/>
  <c r="A1095" i="31"/>
  <c r="A1094" i="31"/>
  <c r="A1093" i="31"/>
  <c r="A1092" i="31"/>
  <c r="A1091" i="31"/>
  <c r="A1090" i="31"/>
  <c r="A1089" i="31"/>
  <c r="A1088" i="31"/>
  <c r="A1087" i="31"/>
  <c r="A1086" i="31"/>
  <c r="A1085" i="31"/>
  <c r="A1084" i="31"/>
  <c r="A1083" i="31"/>
  <c r="A1082" i="31"/>
  <c r="A1081" i="31"/>
  <c r="A1080" i="31"/>
  <c r="A1079" i="31"/>
  <c r="A1078" i="31"/>
  <c r="A1077" i="31"/>
  <c r="A1076" i="31"/>
  <c r="A1075" i="31"/>
  <c r="A1074" i="31"/>
  <c r="A1073" i="31"/>
  <c r="A1072" i="31"/>
  <c r="A1071" i="31"/>
  <c r="A1070" i="31"/>
  <c r="A1069" i="31"/>
  <c r="A1068" i="31"/>
  <c r="A1067" i="31"/>
  <c r="A1066" i="31"/>
  <c r="A1065" i="31"/>
  <c r="A1064" i="31"/>
  <c r="A1063" i="31"/>
  <c r="A1062" i="31"/>
  <c r="A1061" i="31"/>
  <c r="A1060" i="31"/>
  <c r="A1059" i="31"/>
  <c r="A1058" i="31"/>
  <c r="A1057" i="31"/>
  <c r="A1056" i="31"/>
  <c r="A1055" i="31"/>
  <c r="A1054" i="31"/>
  <c r="A1053" i="31"/>
  <c r="A1052" i="31"/>
  <c r="A1051" i="31"/>
  <c r="A1050" i="31"/>
  <c r="A1049" i="31"/>
  <c r="A1048" i="31"/>
  <c r="A1047" i="31"/>
  <c r="A1046" i="31"/>
  <c r="A1045" i="31"/>
  <c r="A1044" i="31"/>
  <c r="A1043" i="31"/>
  <c r="A1042" i="31"/>
  <c r="A1041" i="31"/>
  <c r="A1040" i="31"/>
  <c r="A1039" i="31"/>
  <c r="A1038" i="31"/>
  <c r="A1037" i="31"/>
  <c r="A1036" i="31"/>
  <c r="A1035" i="31"/>
  <c r="A1034" i="31"/>
  <c r="A1033" i="31"/>
  <c r="A1032" i="31"/>
  <c r="A1031" i="31"/>
  <c r="A1030" i="31"/>
  <c r="A1029" i="31"/>
  <c r="A1028" i="31"/>
  <c r="A1027" i="31"/>
  <c r="A1026" i="31"/>
  <c r="A1025" i="31"/>
  <c r="A1024" i="31"/>
  <c r="A1023" i="31"/>
  <c r="A1022" i="31"/>
  <c r="A1021" i="31"/>
  <c r="A1020" i="31"/>
  <c r="A1019" i="31"/>
  <c r="A1018" i="31"/>
  <c r="A1017" i="31"/>
  <c r="A1016" i="31"/>
  <c r="A1015" i="31"/>
  <c r="A1014" i="31"/>
  <c r="A1013" i="31"/>
  <c r="A1012" i="31"/>
  <c r="A1011" i="31"/>
  <c r="A1010" i="31"/>
  <c r="A1009" i="31"/>
  <c r="A1008" i="31"/>
  <c r="A1007" i="31"/>
  <c r="A1006" i="31"/>
  <c r="A1005" i="31"/>
  <c r="A1004" i="31"/>
  <c r="A1003" i="31"/>
  <c r="A1002" i="31"/>
  <c r="A1001" i="31"/>
  <c r="A1000" i="31"/>
  <c r="A999" i="31"/>
  <c r="A998" i="31"/>
  <c r="A997" i="31"/>
  <c r="A996" i="31"/>
  <c r="A995" i="31"/>
  <c r="A994" i="31"/>
  <c r="A993" i="31"/>
  <c r="A992" i="31"/>
  <c r="A991" i="31"/>
  <c r="A990" i="31"/>
  <c r="A989" i="31"/>
  <c r="A988" i="31"/>
  <c r="A987" i="31"/>
  <c r="A986" i="31"/>
  <c r="A985" i="31"/>
  <c r="A984" i="31"/>
  <c r="A983" i="31"/>
  <c r="A982" i="31"/>
  <c r="A981" i="31"/>
  <c r="A980" i="31"/>
  <c r="A979" i="31"/>
  <c r="A978" i="31"/>
  <c r="A977" i="31"/>
  <c r="A976" i="31"/>
  <c r="A975" i="31"/>
  <c r="A974" i="31"/>
  <c r="A973" i="31"/>
  <c r="A972" i="31"/>
  <c r="A971" i="31"/>
  <c r="A970" i="31"/>
  <c r="A969" i="31"/>
  <c r="A968" i="31"/>
  <c r="A967" i="31"/>
  <c r="A966" i="31"/>
  <c r="A965" i="31"/>
  <c r="A964" i="31"/>
  <c r="A963" i="31"/>
  <c r="A962" i="31"/>
  <c r="A961" i="31"/>
  <c r="A960" i="31"/>
  <c r="A959" i="31"/>
  <c r="A958" i="31"/>
  <c r="A957" i="31"/>
  <c r="A956" i="31"/>
  <c r="A955" i="31"/>
  <c r="A954" i="31"/>
  <c r="A953" i="31"/>
  <c r="A952" i="31"/>
  <c r="A951" i="31"/>
  <c r="A950" i="31"/>
  <c r="A949" i="31"/>
  <c r="A948" i="31"/>
  <c r="A947" i="31"/>
  <c r="A946" i="31"/>
  <c r="A945" i="31"/>
  <c r="A944" i="31"/>
  <c r="A943" i="31"/>
  <c r="A942" i="31"/>
  <c r="A941" i="31"/>
  <c r="A940" i="31"/>
  <c r="A939" i="31"/>
  <c r="A938" i="31"/>
  <c r="A937" i="31"/>
  <c r="A936" i="31"/>
  <c r="A935" i="31"/>
  <c r="A934" i="31"/>
  <c r="A933" i="31"/>
  <c r="A932" i="31"/>
  <c r="A931" i="31"/>
  <c r="A930" i="31"/>
  <c r="A929" i="31"/>
  <c r="A928" i="31"/>
  <c r="A927" i="31"/>
  <c r="A926" i="31"/>
  <c r="A925" i="31"/>
  <c r="A924" i="31"/>
  <c r="A923" i="31"/>
  <c r="A922" i="31"/>
  <c r="A921" i="31"/>
  <c r="A920" i="31"/>
  <c r="A919" i="31"/>
  <c r="A918" i="31"/>
  <c r="A917" i="31"/>
  <c r="A916" i="31"/>
  <c r="A915" i="31"/>
  <c r="A914" i="31"/>
  <c r="A913" i="31"/>
  <c r="A912" i="31"/>
  <c r="A911" i="31"/>
  <c r="A910" i="31"/>
  <c r="A909" i="31"/>
  <c r="A908" i="31"/>
  <c r="A907" i="31"/>
  <c r="A906" i="31"/>
  <c r="A905" i="31"/>
  <c r="A904" i="31"/>
  <c r="A903" i="31"/>
  <c r="A902" i="31"/>
  <c r="A901" i="31"/>
  <c r="A900" i="31"/>
  <c r="A899" i="31"/>
  <c r="A898" i="31"/>
  <c r="A897" i="31"/>
  <c r="A896" i="31"/>
  <c r="A895" i="31"/>
  <c r="A894" i="31"/>
  <c r="A893" i="31"/>
  <c r="A892" i="31"/>
  <c r="A891" i="31"/>
  <c r="A890" i="31"/>
  <c r="A889" i="31"/>
  <c r="A888" i="31"/>
  <c r="A887" i="31"/>
  <c r="A886" i="31"/>
  <c r="A885" i="31"/>
  <c r="A884" i="31"/>
  <c r="A883" i="31"/>
  <c r="A882" i="31"/>
  <c r="A881" i="31"/>
  <c r="A880" i="31"/>
  <c r="A879" i="31"/>
  <c r="A878" i="31"/>
  <c r="A877" i="31"/>
  <c r="A876" i="31"/>
  <c r="A875" i="31"/>
  <c r="A874" i="31"/>
  <c r="A873" i="31"/>
  <c r="A872" i="31"/>
  <c r="A871" i="31"/>
  <c r="A870" i="31"/>
  <c r="A869" i="31"/>
  <c r="A868" i="31"/>
  <c r="A867" i="31"/>
  <c r="A866" i="31"/>
  <c r="A865" i="31"/>
  <c r="A864" i="31"/>
  <c r="A863" i="31"/>
  <c r="A862" i="31"/>
  <c r="A861" i="31"/>
  <c r="A860" i="31"/>
  <c r="A859" i="31"/>
  <c r="A858" i="31"/>
  <c r="A857" i="31"/>
  <c r="A856" i="31"/>
  <c r="A855" i="31"/>
  <c r="A854" i="31"/>
  <c r="A853" i="31"/>
  <c r="A852" i="31"/>
  <c r="A851" i="31"/>
  <c r="A850" i="31"/>
  <c r="A849" i="31"/>
  <c r="A848" i="31"/>
  <c r="A847" i="31"/>
  <c r="A846" i="31"/>
  <c r="A845" i="31"/>
  <c r="A844" i="31"/>
  <c r="A843" i="31"/>
  <c r="A842" i="31"/>
  <c r="A841" i="31"/>
  <c r="A840" i="31"/>
  <c r="A839" i="31"/>
  <c r="A838" i="31"/>
  <c r="A837" i="31"/>
  <c r="A836" i="31"/>
  <c r="A835" i="31"/>
  <c r="A834" i="31"/>
  <c r="A833" i="31"/>
  <c r="A832" i="31"/>
  <c r="A831" i="31"/>
  <c r="A830" i="31"/>
  <c r="A829" i="31"/>
  <c r="A828" i="31"/>
  <c r="A827" i="31"/>
  <c r="A826" i="31"/>
  <c r="A825" i="31"/>
  <c r="A824" i="31"/>
  <c r="A823" i="31"/>
  <c r="A822" i="31"/>
  <c r="A821" i="31"/>
  <c r="A820" i="31"/>
  <c r="A819" i="31"/>
  <c r="A818" i="31"/>
  <c r="A817" i="31"/>
  <c r="A816" i="31"/>
  <c r="A815" i="31"/>
  <c r="A814" i="31"/>
  <c r="A813" i="31"/>
  <c r="A812" i="31"/>
  <c r="A811" i="31"/>
  <c r="A810" i="31"/>
  <c r="A809" i="31"/>
  <c r="A808" i="31"/>
  <c r="A807" i="31"/>
  <c r="A806" i="31"/>
  <c r="A805" i="31"/>
  <c r="A804" i="31"/>
  <c r="A803" i="31"/>
  <c r="A802" i="31"/>
  <c r="A801" i="31"/>
  <c r="A800" i="31"/>
  <c r="A799" i="31"/>
  <c r="A798" i="31"/>
  <c r="A797" i="31"/>
  <c r="A796" i="31"/>
  <c r="A795" i="31"/>
  <c r="A794" i="31"/>
  <c r="A793" i="31"/>
  <c r="A792" i="31"/>
  <c r="A791" i="31"/>
  <c r="A790" i="31"/>
  <c r="A789" i="31"/>
  <c r="A788" i="31"/>
  <c r="A787" i="31"/>
  <c r="A786" i="31"/>
  <c r="A785" i="31"/>
  <c r="A784" i="31"/>
  <c r="A783" i="31"/>
  <c r="A782" i="31"/>
  <c r="A781" i="31"/>
  <c r="A780" i="31"/>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3" i="31"/>
  <c r="A4" i="31"/>
  <c r="A2" i="31"/>
  <c r="C143" i="9" l="1"/>
  <c r="C83" i="9" l="1"/>
  <c r="G2" i="10"/>
  <c r="G1" i="30" l="1"/>
  <c r="T1" i="30" s="1"/>
  <c r="G1" i="29"/>
  <c r="T1" i="29" s="1"/>
  <c r="G1" i="28"/>
  <c r="T1" i="28" s="1"/>
  <c r="G1" i="25"/>
  <c r="T1" i="25" s="1"/>
  <c r="G1" i="20"/>
  <c r="G1" i="21"/>
  <c r="G1" i="18"/>
  <c r="G1" i="10"/>
  <c r="I164" i="9"/>
  <c r="I165" i="9" s="1"/>
  <c r="N163" i="9"/>
  <c r="N164" i="9" s="1"/>
  <c r="N165" i="9" s="1"/>
  <c r="I163" i="9"/>
  <c r="B3" i="31"/>
  <c r="B4" i="31"/>
  <c r="B5" i="31"/>
  <c r="B6" i="31"/>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2" i="31"/>
  <c r="C157" i="9"/>
  <c r="C163" i="9" s="1"/>
  <c r="B29" i="9"/>
  <c r="C33" i="9" s="1"/>
  <c r="C159" i="9" l="1"/>
  <c r="C166" i="9"/>
  <c r="C164" i="9"/>
  <c r="C31" i="9"/>
  <c r="D36" i="9"/>
  <c r="D34" i="9"/>
  <c r="D32" i="9"/>
  <c r="D31" i="9"/>
  <c r="C36" i="9"/>
  <c r="C34" i="9"/>
  <c r="C32" i="9"/>
  <c r="C158" i="9"/>
  <c r="C165" i="9"/>
  <c r="D37" i="9"/>
  <c r="D35" i="9"/>
  <c r="D33" i="9"/>
  <c r="C37" i="9"/>
  <c r="C35" i="9"/>
  <c r="C162" i="9"/>
  <c r="C151" i="9" l="1"/>
  <c r="C152" i="9"/>
  <c r="C150" i="9"/>
  <c r="C153" i="9"/>
  <c r="D154" i="9" s="1"/>
  <c r="H187" i="9" l="1"/>
  <c r="I187" i="9" s="1"/>
  <c r="H179" i="9"/>
  <c r="I179" i="9" s="1"/>
  <c r="H180" i="9"/>
  <c r="I180" i="9" s="1"/>
  <c r="H184" i="9"/>
  <c r="I184" i="9" s="1"/>
  <c r="H183" i="9"/>
  <c r="I183" i="9" s="1"/>
  <c r="H181" i="9"/>
  <c r="I181" i="9" s="1"/>
  <c r="H186" i="9"/>
  <c r="I186" i="9" s="1"/>
  <c r="H182" i="9"/>
  <c r="I182" i="9" s="1"/>
  <c r="H185" i="9"/>
  <c r="I185" i="9" s="1"/>
  <c r="C147" i="9"/>
  <c r="B174" i="9" l="1"/>
  <c r="B173" i="9"/>
  <c r="B172" i="9"/>
  <c r="B171" i="9"/>
  <c r="B170" i="9"/>
  <c r="C176" i="9"/>
  <c r="C144" i="9"/>
  <c r="C148" i="9"/>
  <c r="F180" i="9" l="1"/>
  <c r="F181" i="9"/>
  <c r="F182" i="9"/>
  <c r="F183" i="9"/>
  <c r="F184" i="9"/>
  <c r="F185" i="9"/>
  <c r="F186" i="9"/>
  <c r="F187" i="9"/>
  <c r="F179" i="9"/>
  <c r="C187" i="9"/>
  <c r="C186" i="9"/>
  <c r="C185" i="9"/>
  <c r="C184" i="9"/>
  <c r="C183" i="9"/>
  <c r="C182" i="9"/>
  <c r="C181" i="9"/>
  <c r="G181" i="9" s="1"/>
  <c r="C180" i="9"/>
  <c r="G180" i="9" s="1"/>
  <c r="C179" i="9"/>
  <c r="G179" i="9" s="1"/>
  <c r="C145" i="9"/>
  <c r="C146" i="9"/>
  <c r="D170" i="9"/>
  <c r="D171" i="9" s="1"/>
  <c r="D172" i="9" s="1"/>
  <c r="D173" i="9" s="1"/>
  <c r="D174" i="9" s="1"/>
  <c r="D175" i="9" s="1"/>
  <c r="D163" i="9"/>
  <c r="D164" i="9" s="1"/>
  <c r="D165" i="9" s="1"/>
  <c r="Y3" i="31"/>
  <c r="Y4" i="31"/>
  <c r="Y5" i="31"/>
  <c r="Y6" i="31"/>
  <c r="Y7" i="31"/>
  <c r="Y8" i="31"/>
  <c r="Y9" i="31"/>
  <c r="Y10" i="31"/>
  <c r="Y11" i="31"/>
  <c r="Y12" i="31"/>
  <c r="Y13" i="31"/>
  <c r="Y14" i="31"/>
  <c r="Y15" i="31"/>
  <c r="Y16" i="31"/>
  <c r="Y17" i="31"/>
  <c r="Y18" i="31"/>
  <c r="Y19" i="31"/>
  <c r="Y20" i="31"/>
  <c r="Y21" i="31"/>
  <c r="Y22" i="31"/>
  <c r="Y23" i="31"/>
  <c r="Y24" i="31"/>
  <c r="Y25" i="31"/>
  <c r="Y26" i="31"/>
  <c r="Y27" i="31"/>
  <c r="Y28" i="31"/>
  <c r="Y29" i="31"/>
  <c r="Y30" i="31"/>
  <c r="Y31" i="31"/>
  <c r="Y32" i="31"/>
  <c r="Y33" i="31"/>
  <c r="Y34" i="31"/>
  <c r="Y35" i="31"/>
  <c r="Y36" i="31"/>
  <c r="Y37" i="31"/>
  <c r="Y38" i="31"/>
  <c r="Y39" i="31"/>
  <c r="Y40" i="31"/>
  <c r="Y41" i="31"/>
  <c r="Y42" i="31"/>
  <c r="Y43" i="31"/>
  <c r="Y44" i="31"/>
  <c r="Y45" i="31"/>
  <c r="Y46" i="31"/>
  <c r="Y47" i="31"/>
  <c r="Y48" i="31"/>
  <c r="Y49" i="31"/>
  <c r="Y50" i="31"/>
  <c r="Y51" i="31"/>
  <c r="Y52" i="31"/>
  <c r="Y53" i="31"/>
  <c r="Y54" i="31"/>
  <c r="Y55" i="31"/>
  <c r="Y56" i="31"/>
  <c r="Y57" i="31"/>
  <c r="Y58" i="31"/>
  <c r="Y59" i="31"/>
  <c r="Y60" i="31"/>
  <c r="Y61" i="31"/>
  <c r="Y62" i="31"/>
  <c r="Y63" i="31"/>
  <c r="Y64" i="31"/>
  <c r="Y65" i="31"/>
  <c r="Y66" i="31"/>
  <c r="Y67" i="31"/>
  <c r="Y68" i="31"/>
  <c r="Y69" i="31"/>
  <c r="Y70" i="31"/>
  <c r="Y71" i="31"/>
  <c r="Y72" i="31"/>
  <c r="Y73" i="31"/>
  <c r="Y74" i="31"/>
  <c r="Y75" i="31"/>
  <c r="Y76" i="31"/>
  <c r="Y77" i="31"/>
  <c r="Y78" i="31"/>
  <c r="Y79" i="31"/>
  <c r="Y80" i="31"/>
  <c r="Y81" i="31"/>
  <c r="Y82" i="31"/>
  <c r="Y83" i="31"/>
  <c r="Y84" i="31"/>
  <c r="Y85" i="31"/>
  <c r="Y86" i="31"/>
  <c r="Y87" i="31"/>
  <c r="Y88" i="31"/>
  <c r="Y89" i="31"/>
  <c r="Y90" i="31"/>
  <c r="Y91" i="31"/>
  <c r="Y92" i="31"/>
  <c r="Y93" i="31"/>
  <c r="Y94" i="31"/>
  <c r="Y95" i="31"/>
  <c r="Y96" i="31"/>
  <c r="Y97" i="31"/>
  <c r="Y98" i="31"/>
  <c r="Y99" i="31"/>
  <c r="Y100" i="31"/>
  <c r="Y101" i="31"/>
  <c r="Y102" i="31"/>
  <c r="Y103" i="31"/>
  <c r="Y104" i="31"/>
  <c r="Y105" i="31"/>
  <c r="Y106" i="31"/>
  <c r="Y107" i="31"/>
  <c r="Y108" i="31"/>
  <c r="Y109" i="31"/>
  <c r="Y110" i="31"/>
  <c r="Y111" i="31"/>
  <c r="Y112" i="31"/>
  <c r="Y113" i="31"/>
  <c r="Y114" i="31"/>
  <c r="Y115" i="31"/>
  <c r="Y116" i="31"/>
  <c r="Y117" i="31"/>
  <c r="Y118" i="31"/>
  <c r="Y119" i="31"/>
  <c r="Y120" i="31"/>
  <c r="Y121" i="31"/>
  <c r="Y122" i="31"/>
  <c r="Y123" i="31"/>
  <c r="Y124" i="31"/>
  <c r="Y125" i="31"/>
  <c r="Y126" i="31"/>
  <c r="Y127" i="31"/>
  <c r="Y128" i="31"/>
  <c r="Y129" i="31"/>
  <c r="Y130" i="31"/>
  <c r="Y131" i="31"/>
  <c r="Y132" i="31"/>
  <c r="Y133" i="31"/>
  <c r="Y134" i="31"/>
  <c r="Y135" i="31"/>
  <c r="Y136" i="31"/>
  <c r="Y137" i="31"/>
  <c r="Y138" i="31"/>
  <c r="Y139" i="31"/>
  <c r="Y140" i="31"/>
  <c r="Y141" i="31"/>
  <c r="Y142" i="31"/>
  <c r="Y143" i="31"/>
  <c r="Y144" i="31"/>
  <c r="Y145" i="31"/>
  <c r="Y146" i="31"/>
  <c r="Y147" i="31"/>
  <c r="Y148" i="31"/>
  <c r="Y149" i="31"/>
  <c r="Y150" i="31"/>
  <c r="Y151" i="31"/>
  <c r="Y152" i="31"/>
  <c r="Y153" i="31"/>
  <c r="Y154" i="31"/>
  <c r="Y155" i="31"/>
  <c r="Y156" i="31"/>
  <c r="Y157" i="31"/>
  <c r="Y158" i="31"/>
  <c r="Y159" i="31"/>
  <c r="Y160" i="31"/>
  <c r="Y161" i="31"/>
  <c r="Y162" i="31"/>
  <c r="Y163" i="31"/>
  <c r="Y164" i="31"/>
  <c r="Y165" i="31"/>
  <c r="Y166" i="31"/>
  <c r="Y167" i="31"/>
  <c r="Y168" i="31"/>
  <c r="Y169" i="31"/>
  <c r="Y170" i="31"/>
  <c r="Y171" i="31"/>
  <c r="Y172" i="31"/>
  <c r="Y173" i="31"/>
  <c r="Y174" i="31"/>
  <c r="Y175" i="31"/>
  <c r="Y176" i="31"/>
  <c r="Y177" i="31"/>
  <c r="Y178" i="31"/>
  <c r="Y179" i="31"/>
  <c r="Y180" i="31"/>
  <c r="Y181" i="31"/>
  <c r="Y182" i="31"/>
  <c r="Y183" i="31"/>
  <c r="Y184" i="31"/>
  <c r="Y185" i="31"/>
  <c r="Y186" i="31"/>
  <c r="Y187" i="31"/>
  <c r="Y188" i="31"/>
  <c r="Y189" i="31"/>
  <c r="Y190" i="31"/>
  <c r="Y191" i="31"/>
  <c r="Y192" i="31"/>
  <c r="Y193" i="31"/>
  <c r="Y194" i="31"/>
  <c r="Y195" i="31"/>
  <c r="Y196" i="31"/>
  <c r="Y197" i="31"/>
  <c r="Y198" i="31"/>
  <c r="Y199" i="31"/>
  <c r="Y200" i="31"/>
  <c r="Y201" i="31"/>
  <c r="Y202" i="31"/>
  <c r="Y203" i="31"/>
  <c r="Y204" i="31"/>
  <c r="Y205" i="31"/>
  <c r="Y206" i="31"/>
  <c r="Y207" i="31"/>
  <c r="Y208" i="31"/>
  <c r="Y209" i="31"/>
  <c r="Y210" i="31"/>
  <c r="Y211" i="31"/>
  <c r="Y212" i="31"/>
  <c r="Y213" i="31"/>
  <c r="Y214" i="31"/>
  <c r="Y215" i="31"/>
  <c r="Y216" i="31"/>
  <c r="Y217" i="31"/>
  <c r="Y218" i="31"/>
  <c r="Y219" i="31"/>
  <c r="Y220" i="31"/>
  <c r="Y221" i="31"/>
  <c r="Y222" i="31"/>
  <c r="Y223" i="31"/>
  <c r="Y224" i="31"/>
  <c r="Y225" i="31"/>
  <c r="Y226" i="31"/>
  <c r="Y227" i="31"/>
  <c r="Y228" i="31"/>
  <c r="Y229" i="31"/>
  <c r="Y230" i="31"/>
  <c r="Y231" i="31"/>
  <c r="Y232" i="31"/>
  <c r="Y233" i="31"/>
  <c r="Y234" i="31"/>
  <c r="Y235" i="31"/>
  <c r="Y236" i="31"/>
  <c r="Y237" i="31"/>
  <c r="Y238" i="31"/>
  <c r="Y239" i="31"/>
  <c r="Y240" i="31"/>
  <c r="Y241" i="31"/>
  <c r="Y242" i="31"/>
  <c r="Y243" i="31"/>
  <c r="Y244" i="31"/>
  <c r="Y245" i="31"/>
  <c r="Y246" i="31"/>
  <c r="Y247" i="31"/>
  <c r="Y248" i="31"/>
  <c r="Y249" i="31"/>
  <c r="Y250" i="31"/>
  <c r="Y251" i="31"/>
  <c r="Y252" i="31"/>
  <c r="Y253" i="31"/>
  <c r="Y254" i="31"/>
  <c r="Y255" i="31"/>
  <c r="Y256" i="31"/>
  <c r="Y257" i="31"/>
  <c r="Y258" i="31"/>
  <c r="Y259" i="31"/>
  <c r="Y260" i="31"/>
  <c r="Y261" i="31"/>
  <c r="Y262" i="31"/>
  <c r="Y263" i="31"/>
  <c r="Y264" i="31"/>
  <c r="Y265" i="31"/>
  <c r="Y266" i="31"/>
  <c r="Y267" i="31"/>
  <c r="Y268" i="31"/>
  <c r="Y269" i="31"/>
  <c r="Y270" i="31"/>
  <c r="Y271" i="31"/>
  <c r="Y272" i="31"/>
  <c r="Y273" i="31"/>
  <c r="Y274" i="31"/>
  <c r="Y275" i="31"/>
  <c r="Y276" i="31"/>
  <c r="Y277" i="31"/>
  <c r="Y278" i="31"/>
  <c r="Y279" i="31"/>
  <c r="Y280" i="31"/>
  <c r="Y281" i="31"/>
  <c r="Y282" i="31"/>
  <c r="Y283" i="31"/>
  <c r="Y284" i="31"/>
  <c r="Y285" i="31"/>
  <c r="Y286" i="31"/>
  <c r="Y287" i="31"/>
  <c r="Y288" i="31"/>
  <c r="Y289" i="31"/>
  <c r="Y290" i="31"/>
  <c r="Y291" i="31"/>
  <c r="Y292" i="31"/>
  <c r="Y293" i="31"/>
  <c r="Y294" i="31"/>
  <c r="Y295" i="31"/>
  <c r="Y296" i="31"/>
  <c r="Y297" i="31"/>
  <c r="Y298" i="31"/>
  <c r="Y299" i="31"/>
  <c r="Y300" i="31"/>
  <c r="Y301" i="31"/>
  <c r="Y302" i="31"/>
  <c r="Y303" i="31"/>
  <c r="Y304" i="31"/>
  <c r="Y305" i="31"/>
  <c r="Y306" i="31"/>
  <c r="Y307" i="31"/>
  <c r="Y308" i="31"/>
  <c r="Y309" i="31"/>
  <c r="Y310" i="31"/>
  <c r="Y311" i="31"/>
  <c r="Y312" i="31"/>
  <c r="Y313" i="31"/>
  <c r="Y314" i="31"/>
  <c r="Y315" i="31"/>
  <c r="Y316" i="31"/>
  <c r="Y317" i="31"/>
  <c r="Y318" i="31"/>
  <c r="Y319" i="31"/>
  <c r="Y320" i="31"/>
  <c r="Y321" i="31"/>
  <c r="Y322" i="31"/>
  <c r="Y323" i="31"/>
  <c r="Y324" i="31"/>
  <c r="Y325" i="31"/>
  <c r="Y326" i="31"/>
  <c r="Y327" i="31"/>
  <c r="Y328" i="31"/>
  <c r="Y329" i="31"/>
  <c r="Y330" i="31"/>
  <c r="Y331" i="31"/>
  <c r="Y332" i="31"/>
  <c r="Y333" i="31"/>
  <c r="Y334" i="31"/>
  <c r="Y335" i="31"/>
  <c r="Y336" i="31"/>
  <c r="Y337" i="31"/>
  <c r="Y338" i="31"/>
  <c r="Y339" i="31"/>
  <c r="Y340" i="31"/>
  <c r="Y341" i="31"/>
  <c r="Y342" i="31"/>
  <c r="Y343" i="31"/>
  <c r="Y344" i="31"/>
  <c r="Y345" i="31"/>
  <c r="Y346" i="31"/>
  <c r="Y347" i="31"/>
  <c r="Y348" i="31"/>
  <c r="Y349" i="31"/>
  <c r="Y350" i="31"/>
  <c r="Y351" i="31"/>
  <c r="Y352" i="31"/>
  <c r="Y353" i="31"/>
  <c r="Y354" i="31"/>
  <c r="Y355" i="31"/>
  <c r="Y356" i="31"/>
  <c r="Y357" i="31"/>
  <c r="Y358" i="31"/>
  <c r="Y359" i="31"/>
  <c r="Y360" i="31"/>
  <c r="Y361" i="31"/>
  <c r="Y362" i="31"/>
  <c r="Y363" i="31"/>
  <c r="Y364" i="31"/>
  <c r="Y365" i="31"/>
  <c r="Y366" i="31"/>
  <c r="Y367" i="31"/>
  <c r="Y368" i="31"/>
  <c r="Y369" i="31"/>
  <c r="Y370" i="31"/>
  <c r="Y371" i="31"/>
  <c r="Y372" i="31"/>
  <c r="Y373" i="31"/>
  <c r="Y374" i="31"/>
  <c r="Y375" i="31"/>
  <c r="Y376" i="31"/>
  <c r="Y377" i="31"/>
  <c r="Y378" i="31"/>
  <c r="Y379" i="31"/>
  <c r="Y380" i="31"/>
  <c r="Y381" i="31"/>
  <c r="Y382" i="31"/>
  <c r="Y383" i="31"/>
  <c r="Y384" i="31"/>
  <c r="Y385" i="31"/>
  <c r="Y386" i="31"/>
  <c r="Y387" i="31"/>
  <c r="Y388" i="31"/>
  <c r="Y389" i="31"/>
  <c r="Y390" i="31"/>
  <c r="Y391" i="31"/>
  <c r="Y392" i="31"/>
  <c r="Y393" i="31"/>
  <c r="Y394" i="31"/>
  <c r="Y395" i="31"/>
  <c r="Y396" i="31"/>
  <c r="Y397" i="31"/>
  <c r="Y398" i="31"/>
  <c r="Y399" i="31"/>
  <c r="Y400" i="31"/>
  <c r="Y401" i="31"/>
  <c r="Y402" i="31"/>
  <c r="Y403" i="31"/>
  <c r="Y404" i="31"/>
  <c r="Y405" i="31"/>
  <c r="Y406" i="31"/>
  <c r="Y407" i="31"/>
  <c r="Y408" i="31"/>
  <c r="Y409" i="31"/>
  <c r="Y410" i="31"/>
  <c r="Y411" i="31"/>
  <c r="Y412" i="31"/>
  <c r="Y413" i="31"/>
  <c r="Y414" i="31"/>
  <c r="Y415" i="31"/>
  <c r="Y416" i="31"/>
  <c r="Y417" i="31"/>
  <c r="Y418" i="31"/>
  <c r="Y419" i="31"/>
  <c r="Y420" i="31"/>
  <c r="Y421" i="31"/>
  <c r="Y422" i="31"/>
  <c r="Y423" i="31"/>
  <c r="Y424" i="31"/>
  <c r="Y425" i="31"/>
  <c r="Y426" i="31"/>
  <c r="Y427" i="31"/>
  <c r="Y428" i="31"/>
  <c r="Y429" i="31"/>
  <c r="Y430" i="31"/>
  <c r="Y431" i="31"/>
  <c r="Y432" i="31"/>
  <c r="Y433" i="31"/>
  <c r="Y434" i="31"/>
  <c r="Y435" i="31"/>
  <c r="Y436" i="31"/>
  <c r="Y437" i="31"/>
  <c r="Y438" i="31"/>
  <c r="Y439" i="31"/>
  <c r="Y440" i="31"/>
  <c r="Y441" i="31"/>
  <c r="Y442" i="31"/>
  <c r="Y443" i="31"/>
  <c r="Y444" i="31"/>
  <c r="Y445" i="31"/>
  <c r="Y446" i="31"/>
  <c r="Y447" i="31"/>
  <c r="Y448" i="31"/>
  <c r="Y449" i="31"/>
  <c r="Y450" i="31"/>
  <c r="Y451" i="31"/>
  <c r="Y452" i="31"/>
  <c r="Y453" i="31"/>
  <c r="Y454" i="31"/>
  <c r="Y455" i="31"/>
  <c r="Y456" i="31"/>
  <c r="Y457" i="31"/>
  <c r="Y458" i="31"/>
  <c r="Y459" i="31"/>
  <c r="Y460" i="31"/>
  <c r="Y461" i="31"/>
  <c r="Y462" i="31"/>
  <c r="Y463" i="31"/>
  <c r="Y464" i="31"/>
  <c r="Y465" i="31"/>
  <c r="Y466" i="31"/>
  <c r="Y467" i="31"/>
  <c r="Y468" i="31"/>
  <c r="Y469" i="31"/>
  <c r="Y470" i="31"/>
  <c r="Y471" i="31"/>
  <c r="Y472" i="31"/>
  <c r="Y473" i="31"/>
  <c r="Y474" i="31"/>
  <c r="Y475" i="31"/>
  <c r="Y476" i="31"/>
  <c r="Y477" i="31"/>
  <c r="Y478" i="31"/>
  <c r="Y479" i="31"/>
  <c r="Y480" i="31"/>
  <c r="Y481" i="31"/>
  <c r="Y482" i="31"/>
  <c r="Y483" i="31"/>
  <c r="Y484" i="31"/>
  <c r="Y485" i="31"/>
  <c r="Y486" i="31"/>
  <c r="Y487" i="31"/>
  <c r="Y488" i="31"/>
  <c r="Y489" i="31"/>
  <c r="Y490" i="31"/>
  <c r="Y491" i="31"/>
  <c r="Y492" i="31"/>
  <c r="Y493" i="31"/>
  <c r="Y494" i="31"/>
  <c r="Y495" i="31"/>
  <c r="Y496" i="31"/>
  <c r="Y497" i="31"/>
  <c r="Y498" i="31"/>
  <c r="Y499" i="31"/>
  <c r="Y500" i="31"/>
  <c r="Y501" i="31"/>
  <c r="Y502" i="31"/>
  <c r="Y503" i="31"/>
  <c r="Y504" i="31"/>
  <c r="Y505" i="31"/>
  <c r="Y506" i="31"/>
  <c r="Y507" i="31"/>
  <c r="Y508" i="31"/>
  <c r="Y509" i="31"/>
  <c r="Y510" i="31"/>
  <c r="Y511" i="31"/>
  <c r="Y512" i="31"/>
  <c r="Y513" i="31"/>
  <c r="Y514" i="31"/>
  <c r="Y515" i="31"/>
  <c r="Y516" i="31"/>
  <c r="Y517" i="31"/>
  <c r="Y518" i="31"/>
  <c r="Y519" i="31"/>
  <c r="Y520" i="31"/>
  <c r="Y521" i="31"/>
  <c r="Y522" i="31"/>
  <c r="Y523" i="31"/>
  <c r="Y524" i="31"/>
  <c r="Y525" i="31"/>
  <c r="Y526" i="31"/>
  <c r="Y527" i="31"/>
  <c r="Y528" i="31"/>
  <c r="Y529" i="31"/>
  <c r="Y530" i="31"/>
  <c r="Y531" i="31"/>
  <c r="Y532" i="31"/>
  <c r="Y533" i="31"/>
  <c r="Y534" i="31"/>
  <c r="Y535" i="31"/>
  <c r="Y536" i="31"/>
  <c r="Y537" i="31"/>
  <c r="Y538" i="31"/>
  <c r="Y539" i="31"/>
  <c r="Y540" i="31"/>
  <c r="Y541" i="31"/>
  <c r="Y542" i="31"/>
  <c r="Y543" i="31"/>
  <c r="Y544" i="31"/>
  <c r="Y545" i="31"/>
  <c r="Y546" i="31"/>
  <c r="Y547" i="31"/>
  <c r="Y548" i="31"/>
  <c r="Y549" i="31"/>
  <c r="Y550" i="31"/>
  <c r="Y551" i="31"/>
  <c r="Y552" i="31"/>
  <c r="Y553" i="31"/>
  <c r="Y554" i="31"/>
  <c r="Y555" i="31"/>
  <c r="Y556" i="31"/>
  <c r="Y557" i="31"/>
  <c r="Y558" i="31"/>
  <c r="Y559" i="31"/>
  <c r="Y560" i="31"/>
  <c r="Y561" i="31"/>
  <c r="Y562" i="31"/>
  <c r="Y563" i="31"/>
  <c r="Y564" i="31"/>
  <c r="Y565" i="31"/>
  <c r="Y566" i="31"/>
  <c r="Y567" i="31"/>
  <c r="Y568" i="31"/>
  <c r="Y569" i="31"/>
  <c r="Y570" i="31"/>
  <c r="Y571" i="31"/>
  <c r="Y572" i="31"/>
  <c r="Y573" i="31"/>
  <c r="Y574" i="31"/>
  <c r="Y575" i="31"/>
  <c r="Y576" i="31"/>
  <c r="Y577" i="31"/>
  <c r="Y578" i="31"/>
  <c r="Y579" i="31"/>
  <c r="Y580" i="31"/>
  <c r="Y581" i="31"/>
  <c r="Y582" i="31"/>
  <c r="Y583" i="31"/>
  <c r="Y584" i="31"/>
  <c r="Y585" i="31"/>
  <c r="Y586" i="31"/>
  <c r="Y587" i="31"/>
  <c r="Y588" i="31"/>
  <c r="Y589" i="31"/>
  <c r="Y590" i="31"/>
  <c r="Y591" i="31"/>
  <c r="Y592" i="31"/>
  <c r="Y593" i="31"/>
  <c r="Y594" i="31"/>
  <c r="Y595" i="31"/>
  <c r="Y596" i="31"/>
  <c r="Y597" i="31"/>
  <c r="Y598" i="31"/>
  <c r="Y599" i="31"/>
  <c r="Y600" i="31"/>
  <c r="Y601" i="31"/>
  <c r="Y602" i="31"/>
  <c r="Y603" i="31"/>
  <c r="Y604" i="31"/>
  <c r="Y605" i="31"/>
  <c r="Y606" i="31"/>
  <c r="Y607" i="31"/>
  <c r="Y608" i="31"/>
  <c r="Y609" i="31"/>
  <c r="Y610" i="31"/>
  <c r="Y611" i="31"/>
  <c r="Y612" i="31"/>
  <c r="Y613" i="31"/>
  <c r="Y614" i="31"/>
  <c r="Y615" i="31"/>
  <c r="Y616" i="31"/>
  <c r="Y617" i="31"/>
  <c r="Y618" i="31"/>
  <c r="Y619" i="31"/>
  <c r="Y620" i="31"/>
  <c r="Y621" i="31"/>
  <c r="Y622" i="31"/>
  <c r="Y623" i="31"/>
  <c r="Y624" i="31"/>
  <c r="Y625" i="31"/>
  <c r="Y626" i="31"/>
  <c r="Y627" i="31"/>
  <c r="Y628" i="31"/>
  <c r="Y629" i="31"/>
  <c r="Y630" i="31"/>
  <c r="Y631" i="31"/>
  <c r="Y632" i="31"/>
  <c r="Y633" i="31"/>
  <c r="Y634" i="31"/>
  <c r="Y635" i="31"/>
  <c r="Y636" i="31"/>
  <c r="Y637" i="31"/>
  <c r="Y638" i="31"/>
  <c r="Y639" i="31"/>
  <c r="Y640" i="31"/>
  <c r="Y641" i="31"/>
  <c r="Y642" i="31"/>
  <c r="Y643" i="31"/>
  <c r="Y644" i="31"/>
  <c r="Y645" i="31"/>
  <c r="Y646" i="31"/>
  <c r="Y647" i="31"/>
  <c r="Y648" i="31"/>
  <c r="Y649" i="31"/>
  <c r="Y650" i="31"/>
  <c r="Y651" i="31"/>
  <c r="Y652" i="31"/>
  <c r="Y653" i="31"/>
  <c r="Y654" i="31"/>
  <c r="Y655" i="31"/>
  <c r="Y656" i="31"/>
  <c r="Y657" i="31"/>
  <c r="Y658" i="31"/>
  <c r="Y659" i="31"/>
  <c r="Y660" i="31"/>
  <c r="Y661" i="31"/>
  <c r="Y662" i="31"/>
  <c r="Y663" i="31"/>
  <c r="Y664" i="31"/>
  <c r="Y665" i="31"/>
  <c r="Y666" i="31"/>
  <c r="Y667" i="31"/>
  <c r="Y668" i="31"/>
  <c r="Y669" i="31"/>
  <c r="Y670" i="31"/>
  <c r="Y671" i="31"/>
  <c r="Y672" i="31"/>
  <c r="Y673" i="31"/>
  <c r="Y674" i="31"/>
  <c r="Y675" i="31"/>
  <c r="Y676" i="31"/>
  <c r="Y677" i="31"/>
  <c r="Y678" i="31"/>
  <c r="Y679" i="31"/>
  <c r="Y680" i="31"/>
  <c r="Y681" i="31"/>
  <c r="Y682" i="31"/>
  <c r="Y683" i="31"/>
  <c r="Y684" i="31"/>
  <c r="Y685" i="31"/>
  <c r="Y686" i="31"/>
  <c r="Y687" i="31"/>
  <c r="Y688" i="31"/>
  <c r="Y689" i="31"/>
  <c r="Y690" i="31"/>
  <c r="Y691" i="31"/>
  <c r="Y692" i="31"/>
  <c r="Y693" i="31"/>
  <c r="Y694" i="31"/>
  <c r="Y695" i="31"/>
  <c r="Y696" i="31"/>
  <c r="Y697" i="31"/>
  <c r="Y698" i="31"/>
  <c r="Y699" i="31"/>
  <c r="Y700" i="31"/>
  <c r="Y701" i="31"/>
  <c r="Y702" i="31"/>
  <c r="Y703" i="31"/>
  <c r="Y704" i="31"/>
  <c r="Y705" i="31"/>
  <c r="Y706" i="31"/>
  <c r="Y707" i="31"/>
  <c r="Y708" i="31"/>
  <c r="Y709" i="31"/>
  <c r="Y710" i="31"/>
  <c r="Y711" i="31"/>
  <c r="Y712" i="31"/>
  <c r="Y713" i="31"/>
  <c r="Y714" i="31"/>
  <c r="Y715" i="31"/>
  <c r="Y716" i="31"/>
  <c r="Y717" i="31"/>
  <c r="Y718" i="31"/>
  <c r="Y719" i="31"/>
  <c r="Y720" i="31"/>
  <c r="Y721" i="31"/>
  <c r="Y722" i="31"/>
  <c r="Y723" i="31"/>
  <c r="Y724" i="31"/>
  <c r="Y725" i="31"/>
  <c r="Y726" i="31"/>
  <c r="Y727" i="31"/>
  <c r="Y728" i="31"/>
  <c r="Y729" i="31"/>
  <c r="Y730" i="31"/>
  <c r="Y731" i="31"/>
  <c r="Y732" i="31"/>
  <c r="Y733" i="31"/>
  <c r="Y734" i="31"/>
  <c r="Y735" i="31"/>
  <c r="Y736" i="31"/>
  <c r="Y737" i="31"/>
  <c r="Y738" i="31"/>
  <c r="Y739" i="31"/>
  <c r="Y740" i="31"/>
  <c r="Y741" i="31"/>
  <c r="Y742" i="31"/>
  <c r="Y743" i="31"/>
  <c r="Y744" i="31"/>
  <c r="Y745" i="31"/>
  <c r="Y746" i="31"/>
  <c r="Y747" i="31"/>
  <c r="Y748" i="31"/>
  <c r="Y749" i="31"/>
  <c r="Y750" i="31"/>
  <c r="Y751" i="31"/>
  <c r="Y752" i="31"/>
  <c r="Y753" i="31"/>
  <c r="Y754" i="31"/>
  <c r="Y755" i="31"/>
  <c r="Y756" i="31"/>
  <c r="Y757" i="31"/>
  <c r="Y758" i="31"/>
  <c r="Y759" i="31"/>
  <c r="Y760" i="31"/>
  <c r="Y761" i="31"/>
  <c r="Y762" i="31"/>
  <c r="Y763" i="31"/>
  <c r="Y764" i="31"/>
  <c r="Y765" i="31"/>
  <c r="Y766" i="31"/>
  <c r="Y767" i="31"/>
  <c r="Y768" i="31"/>
  <c r="Y769" i="31"/>
  <c r="Y770" i="31"/>
  <c r="Y771" i="31"/>
  <c r="Y772" i="31"/>
  <c r="Y773" i="31"/>
  <c r="Y774" i="31"/>
  <c r="Y775" i="31"/>
  <c r="Y776" i="31"/>
  <c r="Y777" i="31"/>
  <c r="Y778" i="31"/>
  <c r="Y779" i="31"/>
  <c r="Y780" i="31"/>
  <c r="Y781" i="31"/>
  <c r="Y782" i="31"/>
  <c r="Y783" i="31"/>
  <c r="Y784" i="31"/>
  <c r="Y785" i="31"/>
  <c r="Y786" i="31"/>
  <c r="Y787" i="31"/>
  <c r="Y788" i="31"/>
  <c r="Y789" i="31"/>
  <c r="Y790" i="31"/>
  <c r="Y791" i="31"/>
  <c r="Y792" i="31"/>
  <c r="Y793" i="31"/>
  <c r="Y794" i="31"/>
  <c r="Y795" i="31"/>
  <c r="Y796" i="31"/>
  <c r="Y797" i="31"/>
  <c r="Y798" i="31"/>
  <c r="Y799" i="31"/>
  <c r="Y800" i="31"/>
  <c r="Y801" i="31"/>
  <c r="Y802" i="31"/>
  <c r="Y803" i="31"/>
  <c r="Y804" i="31"/>
  <c r="Y805" i="31"/>
  <c r="Y806" i="31"/>
  <c r="Y807" i="31"/>
  <c r="Y808" i="31"/>
  <c r="Y809" i="31"/>
  <c r="Y810" i="31"/>
  <c r="Y811" i="31"/>
  <c r="Y812" i="31"/>
  <c r="Y813" i="31"/>
  <c r="Y814" i="31"/>
  <c r="Y815" i="31"/>
  <c r="Y816" i="31"/>
  <c r="Y817" i="31"/>
  <c r="Y818" i="31"/>
  <c r="Y819" i="31"/>
  <c r="Y820" i="31"/>
  <c r="Y821" i="31"/>
  <c r="Y822" i="31"/>
  <c r="Y823" i="31"/>
  <c r="Y824" i="31"/>
  <c r="Y825" i="31"/>
  <c r="Y826" i="31"/>
  <c r="Y827" i="31"/>
  <c r="Y828" i="31"/>
  <c r="Y829" i="31"/>
  <c r="Y830" i="31"/>
  <c r="Y831" i="31"/>
  <c r="Y832" i="31"/>
  <c r="Y833" i="31"/>
  <c r="Y834" i="31"/>
  <c r="Y835" i="31"/>
  <c r="Y836" i="31"/>
  <c r="Y837" i="31"/>
  <c r="Y838" i="31"/>
  <c r="Y839" i="31"/>
  <c r="Y840" i="31"/>
  <c r="Y841" i="31"/>
  <c r="Y842" i="31"/>
  <c r="Y843" i="31"/>
  <c r="Y844" i="31"/>
  <c r="Y845" i="31"/>
  <c r="Y846" i="31"/>
  <c r="Y847" i="31"/>
  <c r="Y848" i="31"/>
  <c r="Y849" i="31"/>
  <c r="Y850" i="31"/>
  <c r="Y851" i="31"/>
  <c r="Y852" i="31"/>
  <c r="Y853" i="31"/>
  <c r="Y854" i="31"/>
  <c r="Y855" i="31"/>
  <c r="Y856" i="31"/>
  <c r="Y857" i="31"/>
  <c r="Y858" i="31"/>
  <c r="Y859" i="31"/>
  <c r="Y860" i="31"/>
  <c r="Y861" i="31"/>
  <c r="Y862" i="31"/>
  <c r="Y863" i="31"/>
  <c r="Y864" i="31"/>
  <c r="Y865" i="31"/>
  <c r="Y866" i="31"/>
  <c r="Y867" i="31"/>
  <c r="Y868" i="31"/>
  <c r="Y869" i="31"/>
  <c r="Y870" i="31"/>
  <c r="Y871" i="31"/>
  <c r="Y872" i="31"/>
  <c r="Y873" i="31"/>
  <c r="Y874" i="31"/>
  <c r="Y875" i="31"/>
  <c r="Y876" i="31"/>
  <c r="Y877" i="31"/>
  <c r="Y878" i="31"/>
  <c r="Y879" i="31"/>
  <c r="Y880" i="31"/>
  <c r="Y881" i="31"/>
  <c r="Y882" i="31"/>
  <c r="Y883" i="31"/>
  <c r="Y884" i="31"/>
  <c r="Y885" i="31"/>
  <c r="Y886" i="31"/>
  <c r="Y887" i="31"/>
  <c r="Y888" i="31"/>
  <c r="Y889" i="31"/>
  <c r="Y890" i="31"/>
  <c r="Y891" i="31"/>
  <c r="Y892" i="31"/>
  <c r="Y893" i="31"/>
  <c r="Y894" i="31"/>
  <c r="Y895" i="31"/>
  <c r="Y896" i="31"/>
  <c r="Y897" i="31"/>
  <c r="Y898" i="31"/>
  <c r="Y899" i="31"/>
  <c r="Y900" i="31"/>
  <c r="Y901" i="31"/>
  <c r="Y902" i="31"/>
  <c r="Y903" i="31"/>
  <c r="Y904" i="31"/>
  <c r="Y905" i="31"/>
  <c r="Y906" i="31"/>
  <c r="Y907" i="31"/>
  <c r="Y908" i="31"/>
  <c r="Y909" i="31"/>
  <c r="Y910" i="31"/>
  <c r="Y911" i="31"/>
  <c r="Y912" i="31"/>
  <c r="Y913" i="31"/>
  <c r="Y914" i="31"/>
  <c r="Y915" i="31"/>
  <c r="Y916" i="31"/>
  <c r="Y917" i="31"/>
  <c r="Y918" i="31"/>
  <c r="Y919" i="31"/>
  <c r="Y920" i="31"/>
  <c r="Y921" i="31"/>
  <c r="Y922" i="31"/>
  <c r="Y923" i="31"/>
  <c r="Y924" i="31"/>
  <c r="Y925" i="31"/>
  <c r="Y926" i="31"/>
  <c r="Y927" i="31"/>
  <c r="Y928" i="31"/>
  <c r="Y929" i="31"/>
  <c r="Y930" i="31"/>
  <c r="Y931" i="31"/>
  <c r="Y932" i="31"/>
  <c r="Y933" i="31"/>
  <c r="Y934" i="31"/>
  <c r="Y935" i="31"/>
  <c r="Y936" i="31"/>
  <c r="Y937" i="31"/>
  <c r="Y938" i="31"/>
  <c r="Y939" i="31"/>
  <c r="Y940" i="31"/>
  <c r="Y941" i="31"/>
  <c r="Y942" i="31"/>
  <c r="Y943" i="31"/>
  <c r="Y944" i="31"/>
  <c r="Y945" i="31"/>
  <c r="Y946" i="31"/>
  <c r="Y947" i="31"/>
  <c r="Y948" i="31"/>
  <c r="Y949" i="31"/>
  <c r="Y950" i="31"/>
  <c r="Y951" i="31"/>
  <c r="Y952" i="31"/>
  <c r="Y953" i="31"/>
  <c r="Y954" i="31"/>
  <c r="Y955" i="31"/>
  <c r="Y956" i="31"/>
  <c r="Y957" i="31"/>
  <c r="Y958" i="31"/>
  <c r="Y959" i="31"/>
  <c r="Y960" i="31"/>
  <c r="Y961" i="31"/>
  <c r="Y962" i="31"/>
  <c r="Y963" i="31"/>
  <c r="Y964" i="31"/>
  <c r="Y965" i="31"/>
  <c r="Y966" i="31"/>
  <c r="Y967" i="31"/>
  <c r="Y968" i="31"/>
  <c r="Y969" i="31"/>
  <c r="Y970" i="31"/>
  <c r="Y971" i="31"/>
  <c r="Y972" i="31"/>
  <c r="Y973" i="31"/>
  <c r="Y974" i="31"/>
  <c r="Y975" i="31"/>
  <c r="Y976" i="31"/>
  <c r="Y977" i="31"/>
  <c r="Y978" i="31"/>
  <c r="Y979" i="31"/>
  <c r="Y980" i="31"/>
  <c r="Y981" i="31"/>
  <c r="Y982" i="31"/>
  <c r="Y983" i="31"/>
  <c r="Y984" i="31"/>
  <c r="Y985" i="31"/>
  <c r="Y986" i="31"/>
  <c r="Y987" i="31"/>
  <c r="Y988" i="31"/>
  <c r="Y989" i="31"/>
  <c r="Y990" i="31"/>
  <c r="Y991" i="31"/>
  <c r="Y992" i="31"/>
  <c r="Y993" i="31"/>
  <c r="Y994" i="31"/>
  <c r="Y995" i="31"/>
  <c r="Y996" i="31"/>
  <c r="Y997" i="31"/>
  <c r="Y998" i="31"/>
  <c r="Y999" i="31"/>
  <c r="Y1000" i="31"/>
  <c r="Y1001" i="31"/>
  <c r="Y1002" i="31"/>
  <c r="Y1003" i="31"/>
  <c r="Y1004" i="31"/>
  <c r="Y1005" i="31"/>
  <c r="Y1006" i="31"/>
  <c r="Y1007" i="31"/>
  <c r="Y1008" i="31"/>
  <c r="Y1009" i="31"/>
  <c r="Y1010" i="31"/>
  <c r="Y1011" i="31"/>
  <c r="Y1012" i="31"/>
  <c r="Y1013" i="31"/>
  <c r="Y1014" i="31"/>
  <c r="Y1015" i="31"/>
  <c r="Y1016" i="31"/>
  <c r="Y1017" i="31"/>
  <c r="Y1018" i="31"/>
  <c r="Y1019" i="31"/>
  <c r="Y1020" i="31"/>
  <c r="Y1021" i="31"/>
  <c r="Y1022" i="31"/>
  <c r="Y1023" i="31"/>
  <c r="Y1024" i="31"/>
  <c r="Y1025" i="31"/>
  <c r="Y1026" i="31"/>
  <c r="Y1027" i="31"/>
  <c r="Y1028" i="31"/>
  <c r="Y1029" i="31"/>
  <c r="Y1030" i="31"/>
  <c r="Y1031" i="31"/>
  <c r="Y1032" i="31"/>
  <c r="Y1033" i="31"/>
  <c r="Y1034" i="31"/>
  <c r="Y1035" i="31"/>
  <c r="Y1036" i="31"/>
  <c r="Y1037" i="31"/>
  <c r="Y1038" i="31"/>
  <c r="Y1039" i="31"/>
  <c r="Y1040" i="31"/>
  <c r="Y1041" i="31"/>
  <c r="Y1042" i="31"/>
  <c r="Y1043" i="31"/>
  <c r="Y1044" i="31"/>
  <c r="Y1045" i="31"/>
  <c r="Y1046" i="31"/>
  <c r="Y1047" i="31"/>
  <c r="Y1048" i="31"/>
  <c r="Y1049" i="31"/>
  <c r="Y1050" i="31"/>
  <c r="Y1051" i="31"/>
  <c r="Y1052" i="31"/>
  <c r="Y1053" i="31"/>
  <c r="Y1054" i="31"/>
  <c r="Y1055" i="31"/>
  <c r="Y1056" i="31"/>
  <c r="Y1057" i="31"/>
  <c r="Y1058" i="31"/>
  <c r="Y1059" i="31"/>
  <c r="Y1060" i="31"/>
  <c r="Y1061" i="31"/>
  <c r="Y1062" i="31"/>
  <c r="Y1063" i="31"/>
  <c r="Y1064" i="31"/>
  <c r="Y1065" i="31"/>
  <c r="Y1066" i="31"/>
  <c r="Y1067" i="31"/>
  <c r="Y1068" i="31"/>
  <c r="Y1069" i="31"/>
  <c r="Y1070" i="31"/>
  <c r="Y1071" i="31"/>
  <c r="Y1072" i="31"/>
  <c r="Y1073" i="31"/>
  <c r="Y1074" i="31"/>
  <c r="Y1075" i="31"/>
  <c r="Y1076" i="31"/>
  <c r="Y1077" i="31"/>
  <c r="Y1078" i="31"/>
  <c r="Y1079" i="31"/>
  <c r="Y1080" i="31"/>
  <c r="Y1081" i="31"/>
  <c r="Y1082" i="31"/>
  <c r="Y1083" i="31"/>
  <c r="Y1084" i="31"/>
  <c r="Y1085" i="31"/>
  <c r="Y1086" i="31"/>
  <c r="Y1087" i="31"/>
  <c r="Y1088" i="31"/>
  <c r="Y1089" i="31"/>
  <c r="Y1090" i="31"/>
  <c r="Y1091" i="31"/>
  <c r="Y1092" i="31"/>
  <c r="Y1093" i="31"/>
  <c r="Y1094" i="31"/>
  <c r="Y1095" i="31"/>
  <c r="Y1096" i="31"/>
  <c r="Y1097" i="31"/>
  <c r="Y1098" i="31"/>
  <c r="Y1099" i="31"/>
  <c r="Y1100" i="31"/>
  <c r="Y1101" i="31"/>
  <c r="Y1102" i="31"/>
  <c r="Y1103" i="31"/>
  <c r="Y1104" i="31"/>
  <c r="Y1105" i="31"/>
  <c r="Y1106" i="31"/>
  <c r="Y1107" i="31"/>
  <c r="Y1108" i="31"/>
  <c r="Y1109" i="31"/>
  <c r="Y1110" i="31"/>
  <c r="Y1111" i="31"/>
  <c r="Y1112" i="31"/>
  <c r="Y1113" i="31"/>
  <c r="Y1114" i="31"/>
  <c r="Y1115" i="31"/>
  <c r="Y1116" i="31"/>
  <c r="Y1117" i="31"/>
  <c r="Y1118" i="31"/>
  <c r="Y1119" i="31"/>
  <c r="Y1120" i="31"/>
  <c r="Y1121" i="31"/>
  <c r="Y1122" i="31"/>
  <c r="Y1123" i="31"/>
  <c r="Y1124" i="31"/>
  <c r="Y1125" i="31"/>
  <c r="Y1126" i="31"/>
  <c r="Y1127" i="31"/>
  <c r="Y1128" i="31"/>
  <c r="Y1129" i="31"/>
  <c r="Y1130" i="31"/>
  <c r="Y1131" i="31"/>
  <c r="Y1132" i="31"/>
  <c r="Y1133" i="31"/>
  <c r="Y1134" i="31"/>
  <c r="Y1135" i="31"/>
  <c r="Y1136" i="31"/>
  <c r="Y1137" i="31"/>
  <c r="Y1138" i="31"/>
  <c r="Y1139" i="31"/>
  <c r="Y1140" i="31"/>
  <c r="Y1141" i="31"/>
  <c r="Y1142" i="31"/>
  <c r="Y1143" i="31"/>
  <c r="Y1144" i="31"/>
  <c r="Y1145" i="31"/>
  <c r="Y1146" i="31"/>
  <c r="Y1147" i="31"/>
  <c r="Y1148" i="31"/>
  <c r="Y1149" i="31"/>
  <c r="Y1150" i="31"/>
  <c r="Y1151" i="31"/>
  <c r="Y1152" i="31"/>
  <c r="Y1153" i="31"/>
  <c r="Y1154" i="31"/>
  <c r="Y1155" i="31"/>
  <c r="Y1156" i="31"/>
  <c r="Y1157" i="31"/>
  <c r="Y1158" i="31"/>
  <c r="Y1159" i="31"/>
  <c r="Y1160" i="31"/>
  <c r="Y1161" i="31"/>
  <c r="Y1162" i="31"/>
  <c r="Y1163" i="31"/>
  <c r="Y1164" i="31"/>
  <c r="Y1165" i="31"/>
  <c r="Y1166" i="31"/>
  <c r="Y1167" i="31"/>
  <c r="Y1168" i="31"/>
  <c r="Y1169" i="31"/>
  <c r="Y1170" i="31"/>
  <c r="Y1171" i="31"/>
  <c r="Y1172" i="31"/>
  <c r="Y1173" i="31"/>
  <c r="Y1174" i="31"/>
  <c r="Y1175" i="31"/>
  <c r="Y1176" i="31"/>
  <c r="Y1177" i="31"/>
  <c r="Y1178" i="31"/>
  <c r="Y1179" i="31"/>
  <c r="Y1180" i="31"/>
  <c r="Y1181" i="31"/>
  <c r="Y1182" i="31"/>
  <c r="Y1183" i="31"/>
  <c r="Y1184" i="31"/>
  <c r="Y1185" i="31"/>
  <c r="Y1186" i="31"/>
  <c r="Y1187" i="31"/>
  <c r="Y1188" i="31"/>
  <c r="Y1189" i="31"/>
  <c r="Y1190" i="31"/>
  <c r="Y1191" i="31"/>
  <c r="Y1192" i="31"/>
  <c r="Y1193" i="31"/>
  <c r="Y1194" i="31"/>
  <c r="Y1195" i="31"/>
  <c r="Y1196" i="31"/>
  <c r="Y1197" i="31"/>
  <c r="Y1198" i="31"/>
  <c r="Y1199" i="31"/>
  <c r="Y1200" i="31"/>
  <c r="Y1201" i="31"/>
  <c r="Y1202" i="31"/>
  <c r="Y1203" i="31"/>
  <c r="Y1204" i="31"/>
  <c r="Y1205" i="31"/>
  <c r="Y1206" i="31"/>
  <c r="Y1207" i="31"/>
  <c r="Y1208" i="31"/>
  <c r="Y1209" i="31"/>
  <c r="Y1210" i="31"/>
  <c r="Y1211" i="31"/>
  <c r="Y1212" i="31"/>
  <c r="Y1213" i="31"/>
  <c r="Y1214" i="31"/>
  <c r="Y1215" i="31"/>
  <c r="Y1216" i="31"/>
  <c r="Y1217" i="31"/>
  <c r="Y1218" i="31"/>
  <c r="Y1219" i="31"/>
  <c r="Y1220" i="31"/>
  <c r="Y1221" i="31"/>
  <c r="Y1222" i="31"/>
  <c r="Y1223" i="31"/>
  <c r="Y1224" i="31"/>
  <c r="Y1225" i="31"/>
  <c r="Y1226" i="31"/>
  <c r="Y1227" i="31"/>
  <c r="Y1228" i="31"/>
  <c r="Y1229" i="31"/>
  <c r="Y1230" i="31"/>
  <c r="Y1231" i="31"/>
  <c r="Y1232" i="31"/>
  <c r="Y1233" i="31"/>
  <c r="Y1234" i="31"/>
  <c r="Y1235" i="31"/>
  <c r="Y1236" i="31"/>
  <c r="Y1237" i="31"/>
  <c r="Y1238" i="31"/>
  <c r="Y1239" i="31"/>
  <c r="Y1240" i="31"/>
  <c r="Y1241" i="31"/>
  <c r="Y1242" i="31"/>
  <c r="Y1243" i="31"/>
  <c r="Y1244" i="31"/>
  <c r="Y1245" i="31"/>
  <c r="Y1246" i="31"/>
  <c r="Y1247" i="31"/>
  <c r="Y1248" i="31"/>
  <c r="Y1249" i="31"/>
  <c r="Y1250" i="31"/>
  <c r="Y1251" i="31"/>
  <c r="Y1252" i="31"/>
  <c r="Y1253" i="31"/>
  <c r="Y1254" i="31"/>
  <c r="Y1255" i="31"/>
  <c r="Y1256" i="31"/>
  <c r="Y1257" i="31"/>
  <c r="Y1258" i="31"/>
  <c r="Y1259" i="31"/>
  <c r="Y1260" i="31"/>
  <c r="Y1261" i="31"/>
  <c r="Y1262" i="31"/>
  <c r="Y1263" i="31"/>
  <c r="Y1264" i="31"/>
  <c r="Y1265" i="31"/>
  <c r="Y1266" i="31"/>
  <c r="Y1267" i="31"/>
  <c r="Y1268" i="31"/>
  <c r="Y1269" i="31"/>
  <c r="Y1270" i="31"/>
  <c r="Y1271" i="31"/>
  <c r="Y1272" i="31"/>
  <c r="Y1273" i="31"/>
  <c r="Y1274" i="31"/>
  <c r="Y1275" i="31"/>
  <c r="Y1276" i="31"/>
  <c r="Y1277" i="31"/>
  <c r="Y1278" i="31"/>
  <c r="Y1279" i="31"/>
  <c r="Y1280" i="31"/>
  <c r="Y1281" i="31"/>
  <c r="Y1282" i="31"/>
  <c r="Y1283" i="31"/>
  <c r="Y1284" i="31"/>
  <c r="Y1285" i="31"/>
  <c r="Y1286" i="31"/>
  <c r="Y1287" i="31"/>
  <c r="Y1288" i="31"/>
  <c r="Y1289" i="31"/>
  <c r="Y1290" i="31"/>
  <c r="Y1291" i="31"/>
  <c r="Y1292" i="31"/>
  <c r="Y1293" i="31"/>
  <c r="Y1294" i="31"/>
  <c r="Y1295" i="31"/>
  <c r="Y1296" i="31"/>
  <c r="Y1297" i="31"/>
  <c r="Y1298" i="31"/>
  <c r="Y1299" i="31"/>
  <c r="Y1300" i="31"/>
  <c r="Y1301" i="31"/>
  <c r="Y1302" i="31"/>
  <c r="Y1303" i="31"/>
  <c r="Y1304" i="31"/>
  <c r="Y1305" i="31"/>
  <c r="Y1306" i="31"/>
  <c r="Y1307" i="31"/>
  <c r="Y1308" i="31"/>
  <c r="Y1309" i="31"/>
  <c r="Y1310" i="31"/>
  <c r="Y1311" i="31"/>
  <c r="Y1312" i="31"/>
  <c r="Y1313" i="31"/>
  <c r="Y1314" i="31"/>
  <c r="Y1315" i="31"/>
  <c r="Y1316" i="31"/>
  <c r="Y1317" i="31"/>
  <c r="Y1318" i="31"/>
  <c r="Y1319" i="31"/>
  <c r="Y1320" i="31"/>
  <c r="Y1321" i="31"/>
  <c r="Y1322" i="31"/>
  <c r="Y1323" i="31"/>
  <c r="Y1324" i="31"/>
  <c r="Y1325" i="31"/>
  <c r="Y1326" i="31"/>
  <c r="Y1327" i="31"/>
  <c r="Y1328" i="31"/>
  <c r="Y1329" i="31"/>
  <c r="Y1330" i="31"/>
  <c r="Y1331" i="31"/>
  <c r="Y1332" i="31"/>
  <c r="Y1333" i="31"/>
  <c r="Y1334" i="31"/>
  <c r="Y1335" i="31"/>
  <c r="Y1336" i="31"/>
  <c r="Y1337" i="31"/>
  <c r="Y1338" i="31"/>
  <c r="Y1339" i="31"/>
  <c r="Y1340" i="31"/>
  <c r="Y1341" i="31"/>
  <c r="Y1342" i="31"/>
  <c r="Y1343" i="31"/>
  <c r="Y1344" i="31"/>
  <c r="Y1345" i="31"/>
  <c r="Y1346" i="31"/>
  <c r="Y1347" i="31"/>
  <c r="Y1348" i="31"/>
  <c r="Y1349" i="31"/>
  <c r="Y1350" i="31"/>
  <c r="Y1351" i="31"/>
  <c r="Y1352" i="31"/>
  <c r="Y1353" i="31"/>
  <c r="Y1354" i="31"/>
  <c r="Y1355" i="31"/>
  <c r="Y1356" i="31"/>
  <c r="Y1357" i="31"/>
  <c r="Y1358" i="31"/>
  <c r="Y1359" i="31"/>
  <c r="Y1360" i="31"/>
  <c r="Y1361" i="31"/>
  <c r="Y1362" i="31"/>
  <c r="Y1363" i="31"/>
  <c r="Y1364" i="31"/>
  <c r="Y1365" i="31"/>
  <c r="Y1366" i="31"/>
  <c r="Y1367" i="31"/>
  <c r="Y1368" i="31"/>
  <c r="Y1369" i="31"/>
  <c r="Y1370" i="31"/>
  <c r="Y1371" i="31"/>
  <c r="Y1372" i="31"/>
  <c r="Y1373" i="31"/>
  <c r="Y1374" i="31"/>
  <c r="Y1375" i="31"/>
  <c r="Y1376" i="31"/>
  <c r="Y1377" i="31"/>
  <c r="Y1378" i="31"/>
  <c r="Y1379" i="31"/>
  <c r="Y1380" i="31"/>
  <c r="Y1381" i="31"/>
  <c r="Y1382" i="31"/>
  <c r="Y1383" i="31"/>
  <c r="Y1384" i="31"/>
  <c r="Y1385" i="31"/>
  <c r="Y1386" i="31"/>
  <c r="Y1387" i="31"/>
  <c r="Y1388" i="31"/>
  <c r="Y1389" i="31"/>
  <c r="Y1390" i="31"/>
  <c r="Y1391" i="31"/>
  <c r="Y1392" i="31"/>
  <c r="Y1393" i="31"/>
  <c r="Y1394" i="31"/>
  <c r="Y1395" i="31"/>
  <c r="Y1396" i="31"/>
  <c r="Y1397" i="31"/>
  <c r="Y1398" i="31"/>
  <c r="Y1399" i="31"/>
  <c r="Y1400" i="31"/>
  <c r="Y1401" i="31"/>
  <c r="Y1402" i="31"/>
  <c r="Y1403" i="31"/>
  <c r="Y1404" i="31"/>
  <c r="Y1405" i="31"/>
  <c r="Y1406" i="31"/>
  <c r="Y1407" i="31"/>
  <c r="Y1408" i="31"/>
  <c r="Y1409" i="31"/>
  <c r="Y1410" i="31"/>
  <c r="Y1411" i="31"/>
  <c r="Y1412" i="31"/>
  <c r="Y1413" i="31"/>
  <c r="Y1414" i="31"/>
  <c r="Y1415" i="31"/>
  <c r="Y1416" i="31"/>
  <c r="Y1417" i="31"/>
  <c r="Y1418" i="31"/>
  <c r="Y1419" i="31"/>
  <c r="Y1420" i="31"/>
  <c r="Y1421" i="31"/>
  <c r="Y1422" i="31"/>
  <c r="Y1423" i="31"/>
  <c r="Y1424" i="31"/>
  <c r="Y1425" i="31"/>
  <c r="Y1426" i="31"/>
  <c r="Y1427" i="31"/>
  <c r="Y1428" i="31"/>
  <c r="Y1429" i="31"/>
  <c r="Y1430" i="31"/>
  <c r="Y1431" i="31"/>
  <c r="Y1432" i="31"/>
  <c r="Y1433" i="31"/>
  <c r="Y1434" i="31"/>
  <c r="Y1435" i="31"/>
  <c r="Y1436" i="31"/>
  <c r="Y1437" i="31"/>
  <c r="Y1438" i="31"/>
  <c r="Y1439" i="31"/>
  <c r="Y1440" i="31"/>
  <c r="Y1441" i="31"/>
  <c r="Y1442" i="31"/>
  <c r="Y1443" i="31"/>
  <c r="Y1444" i="31"/>
  <c r="Y1445" i="31"/>
  <c r="Y1446" i="31"/>
  <c r="Y1447" i="31"/>
  <c r="Y1448" i="31"/>
  <c r="Y1449" i="31"/>
  <c r="Y1450" i="31"/>
  <c r="Y1451" i="31"/>
  <c r="Y1452" i="31"/>
  <c r="Y1453" i="31"/>
  <c r="Y1454" i="31"/>
  <c r="Y1455" i="31"/>
  <c r="Y1456" i="31"/>
  <c r="Y1457" i="31"/>
  <c r="Y1458" i="31"/>
  <c r="Y1459" i="31"/>
  <c r="Y1460" i="31"/>
  <c r="Y1461" i="31"/>
  <c r="Y1462" i="31"/>
  <c r="Y1463" i="31"/>
  <c r="Y1464" i="31"/>
  <c r="Y1465" i="31"/>
  <c r="Y1466" i="31"/>
  <c r="Y1467" i="31"/>
  <c r="Y1468" i="31"/>
  <c r="Y1469" i="31"/>
  <c r="Y1470" i="31"/>
  <c r="Y1471" i="31"/>
  <c r="Y1472" i="31"/>
  <c r="Y1473" i="31"/>
  <c r="Y1474" i="31"/>
  <c r="Y1475" i="31"/>
  <c r="Y1476" i="31"/>
  <c r="Y1477" i="31"/>
  <c r="Y1478" i="31"/>
  <c r="Y1479" i="31"/>
  <c r="Y1480" i="31"/>
  <c r="Y1481" i="31"/>
  <c r="Y1482" i="31"/>
  <c r="Y1483" i="31"/>
  <c r="Y1484" i="31"/>
  <c r="Y1485" i="31"/>
  <c r="Y1486" i="31"/>
  <c r="Y1487" i="31"/>
  <c r="Y1488" i="31"/>
  <c r="Y1489" i="31"/>
  <c r="Y1490" i="31"/>
  <c r="Y1491" i="31"/>
  <c r="Y1492" i="31"/>
  <c r="Y1493" i="31"/>
  <c r="Y1494" i="31"/>
  <c r="Y1495" i="31"/>
  <c r="Y1496" i="31"/>
  <c r="Y1497" i="31"/>
  <c r="Y1498" i="31"/>
  <c r="Y1499" i="31"/>
  <c r="Y1500" i="31"/>
  <c r="Y1501" i="31"/>
  <c r="Y1502" i="31"/>
  <c r="Y1503" i="31"/>
  <c r="Y1504" i="31"/>
  <c r="Y1505" i="31"/>
  <c r="Y1506" i="31"/>
  <c r="Y1507" i="31"/>
  <c r="Y1508" i="31"/>
  <c r="Y1509" i="31"/>
  <c r="Y1510" i="31"/>
  <c r="Y1511" i="31"/>
  <c r="Y1512" i="31"/>
  <c r="Y1513" i="31"/>
  <c r="Y1514" i="31"/>
  <c r="Y1515" i="31"/>
  <c r="Y1516" i="31"/>
  <c r="Y1517" i="31"/>
  <c r="Y1518" i="31"/>
  <c r="Y1519" i="31"/>
  <c r="Y1520" i="31"/>
  <c r="Y1521" i="31"/>
  <c r="Y1522" i="31"/>
  <c r="Y1523" i="31"/>
  <c r="Y1524" i="31"/>
  <c r="Y1525" i="31"/>
  <c r="Y1526" i="31"/>
  <c r="Y1527" i="31"/>
  <c r="Y1528" i="31"/>
  <c r="Y1529" i="31"/>
  <c r="Y1530" i="31"/>
  <c r="Y1531" i="31"/>
  <c r="Y1532" i="31"/>
  <c r="Y1533" i="31"/>
  <c r="Y1534" i="31"/>
  <c r="Y1535" i="31"/>
  <c r="Y1536" i="31"/>
  <c r="Y1537" i="31"/>
  <c r="Y1538" i="31"/>
  <c r="Y1539" i="31"/>
  <c r="Y1540" i="31"/>
  <c r="Y1541" i="31"/>
  <c r="Y1542" i="31"/>
  <c r="Y1543" i="31"/>
  <c r="Y1544" i="31"/>
  <c r="Y1545" i="31"/>
  <c r="Y1546" i="31"/>
  <c r="Y1547" i="31"/>
  <c r="Y1548" i="31"/>
  <c r="Y1549" i="31"/>
  <c r="Y1550" i="31"/>
  <c r="Y1551" i="31"/>
  <c r="Y1552" i="31"/>
  <c r="Y1553" i="31"/>
  <c r="Y1554" i="31"/>
  <c r="Y1555" i="31"/>
  <c r="Y1556" i="31"/>
  <c r="Y1557" i="31"/>
  <c r="Y1558" i="31"/>
  <c r="Y1559" i="31"/>
  <c r="Y1560" i="31"/>
  <c r="Y1561" i="31"/>
  <c r="Y1562" i="31"/>
  <c r="Y1563" i="31"/>
  <c r="Y1564" i="31"/>
  <c r="Y1565" i="31"/>
  <c r="Y1566" i="31"/>
  <c r="Y1567" i="31"/>
  <c r="Y1568" i="31"/>
  <c r="Y1569" i="31"/>
  <c r="Y1570" i="31"/>
  <c r="Y1571" i="31"/>
  <c r="Y1572" i="31"/>
  <c r="Y1573" i="31"/>
  <c r="Y1574" i="31"/>
  <c r="Y1575" i="31"/>
  <c r="Y1576" i="31"/>
  <c r="Y1577" i="31"/>
  <c r="Y1578" i="31"/>
  <c r="Y1579" i="31"/>
  <c r="Y1580" i="31"/>
  <c r="Y1581" i="31"/>
  <c r="Y1582" i="31"/>
  <c r="Y1583" i="31"/>
  <c r="Y1584" i="31"/>
  <c r="Y1585" i="31"/>
  <c r="Y1586" i="31"/>
  <c r="Y1587" i="31"/>
  <c r="Y1588" i="31"/>
  <c r="Y1589" i="31"/>
  <c r="Y1590" i="31"/>
  <c r="Y1591" i="31"/>
  <c r="Y1592" i="31"/>
  <c r="Y1593" i="31"/>
  <c r="Y1594" i="31"/>
  <c r="Y1595" i="31"/>
  <c r="Y1596" i="31"/>
  <c r="Y1597" i="31"/>
  <c r="Y1598" i="31"/>
  <c r="Y1599" i="31"/>
  <c r="Y1600" i="31"/>
  <c r="Y1601" i="31"/>
  <c r="Y1602" i="31"/>
  <c r="Y1603" i="31"/>
  <c r="Y1604" i="31"/>
  <c r="Y1605" i="31"/>
  <c r="Y1606" i="31"/>
  <c r="Y1607" i="31"/>
  <c r="Y1608" i="31"/>
  <c r="Y1609" i="31"/>
  <c r="Y1610" i="31"/>
  <c r="Y1611" i="31"/>
  <c r="Y1612" i="31"/>
  <c r="Y1613" i="31"/>
  <c r="Y1614" i="31"/>
  <c r="Y1615" i="31"/>
  <c r="Y1616" i="31"/>
  <c r="Y1617" i="31"/>
  <c r="Y1618" i="31"/>
  <c r="Y1619" i="31"/>
  <c r="Y1620" i="31"/>
  <c r="Y1621" i="31"/>
  <c r="Y1622" i="31"/>
  <c r="Y1623" i="31"/>
  <c r="Y1624" i="31"/>
  <c r="Y1625" i="31"/>
  <c r="Y1626" i="31"/>
  <c r="Y1627" i="31"/>
  <c r="Y1628" i="31"/>
  <c r="Y1629" i="31"/>
  <c r="Y1630" i="31"/>
  <c r="Y1631" i="31"/>
  <c r="Y1632" i="31"/>
  <c r="Y1633" i="31"/>
  <c r="Y1634" i="31"/>
  <c r="Y1635" i="31"/>
  <c r="Y1636" i="31"/>
  <c r="Y1637" i="31"/>
  <c r="Y1638" i="31"/>
  <c r="Y1639" i="31"/>
  <c r="Y1640" i="31"/>
  <c r="Y1641" i="31"/>
  <c r="Y1642" i="31"/>
  <c r="Y1643" i="31"/>
  <c r="Y1644" i="31"/>
  <c r="Y1645" i="31"/>
  <c r="Y1646" i="31"/>
  <c r="Y1647" i="31"/>
  <c r="Y1648" i="31"/>
  <c r="Y1649" i="31"/>
  <c r="Y1650" i="31"/>
  <c r="Y1651" i="31"/>
  <c r="Y1652" i="31"/>
  <c r="Y1653" i="31"/>
  <c r="Y1654" i="31"/>
  <c r="Y1655" i="31"/>
  <c r="Y1656" i="31"/>
  <c r="Y1657" i="31"/>
  <c r="Y1658" i="31"/>
  <c r="Y1659" i="31"/>
  <c r="Y1660" i="31"/>
  <c r="Y1661" i="31"/>
  <c r="Y1662" i="31"/>
  <c r="Y1663" i="31"/>
  <c r="Y1664" i="31"/>
  <c r="Y1665" i="31"/>
  <c r="Y1666" i="31"/>
  <c r="Y1667" i="31"/>
  <c r="Y1668" i="31"/>
  <c r="Y1669" i="31"/>
  <c r="Y1670" i="31"/>
  <c r="Y1671" i="31"/>
  <c r="Y1672" i="31"/>
  <c r="Y1673" i="31"/>
  <c r="Y1674" i="31"/>
  <c r="Y1675" i="31"/>
  <c r="Y1676" i="31"/>
  <c r="Y1677" i="31"/>
  <c r="Y1678" i="31"/>
  <c r="Y1679" i="31"/>
  <c r="Y1680" i="31"/>
  <c r="Y1681" i="31"/>
  <c r="Y1682" i="31"/>
  <c r="Y1683" i="31"/>
  <c r="Y1684" i="31"/>
  <c r="Y1685" i="31"/>
  <c r="Y1686" i="31"/>
  <c r="Y1687" i="31"/>
  <c r="Y1688" i="31"/>
  <c r="Y1689" i="31"/>
  <c r="Y1690" i="31"/>
  <c r="Y1691" i="31"/>
  <c r="Y1692" i="31"/>
  <c r="Y1693" i="31"/>
  <c r="Y1694" i="31"/>
  <c r="Y1695" i="31"/>
  <c r="Y1696" i="31"/>
  <c r="Y1697" i="31"/>
  <c r="Y1698" i="31"/>
  <c r="Y1699" i="31"/>
  <c r="Y1700" i="31"/>
  <c r="Y1701" i="31"/>
  <c r="Y1702" i="31"/>
  <c r="Y1703" i="31"/>
  <c r="Y1704" i="31"/>
  <c r="Y1705" i="31"/>
  <c r="Y1706" i="31"/>
  <c r="Y1707" i="31"/>
  <c r="Y1708" i="31"/>
  <c r="Y1709" i="31"/>
  <c r="Y1710" i="31"/>
  <c r="Y1711" i="31"/>
  <c r="Y1712" i="31"/>
  <c r="Y1713" i="31"/>
  <c r="Y1714" i="31"/>
  <c r="Y1715" i="31"/>
  <c r="Y1716" i="31"/>
  <c r="Y1717" i="31"/>
  <c r="Y1718" i="31"/>
  <c r="Y1719" i="31"/>
  <c r="Y1720" i="31"/>
  <c r="Y1721" i="31"/>
  <c r="Y1722" i="31"/>
  <c r="Y1723" i="31"/>
  <c r="Y1724" i="31"/>
  <c r="Y1725" i="31"/>
  <c r="Y1726" i="31"/>
  <c r="Y1727" i="31"/>
  <c r="Y1728" i="31"/>
  <c r="Y1729" i="31"/>
  <c r="Y1730" i="31"/>
  <c r="Y1731" i="31"/>
  <c r="Y1732" i="31"/>
  <c r="Y1733" i="31"/>
  <c r="Y1734" i="31"/>
  <c r="Y1735" i="31"/>
  <c r="Y1736" i="31"/>
  <c r="Y1737" i="31"/>
  <c r="Y1738" i="31"/>
  <c r="Y1739" i="31"/>
  <c r="Y1740" i="31"/>
  <c r="Y1741" i="31"/>
  <c r="Y2" i="31"/>
  <c r="I3" i="31"/>
  <c r="J3" i="31"/>
  <c r="K3" i="31"/>
  <c r="L3" i="31"/>
  <c r="M3" i="31"/>
  <c r="N3" i="31"/>
  <c r="O3" i="31"/>
  <c r="P3" i="31"/>
  <c r="Q3" i="31"/>
  <c r="R3" i="31"/>
  <c r="S3" i="31"/>
  <c r="T3" i="31"/>
  <c r="I4" i="31"/>
  <c r="J4" i="31"/>
  <c r="K4" i="31"/>
  <c r="L4" i="31"/>
  <c r="M4" i="31"/>
  <c r="N4" i="31"/>
  <c r="O4" i="31"/>
  <c r="P4" i="31"/>
  <c r="Q4" i="31"/>
  <c r="R4" i="31"/>
  <c r="S4" i="31"/>
  <c r="T4" i="31"/>
  <c r="I5" i="31"/>
  <c r="J5" i="31"/>
  <c r="K5" i="31"/>
  <c r="L5" i="31"/>
  <c r="M5" i="31"/>
  <c r="N5" i="31"/>
  <c r="O5" i="31"/>
  <c r="P5" i="31"/>
  <c r="Q5" i="31"/>
  <c r="R5" i="31"/>
  <c r="S5" i="31"/>
  <c r="T5" i="31"/>
  <c r="I6" i="31"/>
  <c r="J6" i="31"/>
  <c r="K6" i="31"/>
  <c r="L6" i="31"/>
  <c r="M6" i="31"/>
  <c r="N6" i="31"/>
  <c r="O6" i="31"/>
  <c r="P6" i="31"/>
  <c r="Q6" i="31"/>
  <c r="R6" i="31"/>
  <c r="S6" i="31"/>
  <c r="T6" i="31"/>
  <c r="I7" i="31"/>
  <c r="J7" i="31"/>
  <c r="K7" i="31"/>
  <c r="L7" i="31"/>
  <c r="M7" i="31"/>
  <c r="N7" i="31"/>
  <c r="O7" i="31"/>
  <c r="P7" i="31"/>
  <c r="Q7" i="31"/>
  <c r="R7" i="31"/>
  <c r="S7" i="31"/>
  <c r="T7" i="31"/>
  <c r="I8" i="31"/>
  <c r="J8" i="31"/>
  <c r="K8" i="31"/>
  <c r="L8" i="31"/>
  <c r="M8" i="31"/>
  <c r="N8" i="31"/>
  <c r="O8" i="31"/>
  <c r="P8" i="31"/>
  <c r="Q8" i="31"/>
  <c r="R8" i="31"/>
  <c r="S8" i="31"/>
  <c r="T8" i="31"/>
  <c r="I9" i="31"/>
  <c r="J9" i="31"/>
  <c r="K9" i="31"/>
  <c r="L9" i="31"/>
  <c r="M9" i="31"/>
  <c r="N9" i="31"/>
  <c r="O9" i="31"/>
  <c r="P9" i="31"/>
  <c r="Q9" i="31"/>
  <c r="R9" i="31"/>
  <c r="S9" i="31"/>
  <c r="T9" i="31"/>
  <c r="I10" i="31"/>
  <c r="J10" i="31"/>
  <c r="K10" i="31"/>
  <c r="L10" i="31"/>
  <c r="M10" i="31"/>
  <c r="N10" i="31"/>
  <c r="O10" i="31"/>
  <c r="P10" i="31"/>
  <c r="Q10" i="31"/>
  <c r="R10" i="31"/>
  <c r="S10" i="31"/>
  <c r="T10" i="31"/>
  <c r="I11" i="31"/>
  <c r="J11" i="31"/>
  <c r="K11" i="31"/>
  <c r="L11" i="31"/>
  <c r="M11" i="31"/>
  <c r="N11" i="31"/>
  <c r="O11" i="31"/>
  <c r="P11" i="31"/>
  <c r="Q11" i="31"/>
  <c r="R11" i="31"/>
  <c r="S11" i="31"/>
  <c r="T11" i="31"/>
  <c r="I12" i="31"/>
  <c r="J12" i="31"/>
  <c r="K12" i="31"/>
  <c r="L12" i="31"/>
  <c r="M12" i="31"/>
  <c r="N12" i="31"/>
  <c r="O12" i="31"/>
  <c r="P12" i="31"/>
  <c r="Q12" i="31"/>
  <c r="R12" i="31"/>
  <c r="S12" i="31"/>
  <c r="T12" i="31"/>
  <c r="I13" i="31"/>
  <c r="J13" i="31"/>
  <c r="K13" i="31"/>
  <c r="L13" i="31"/>
  <c r="M13" i="31"/>
  <c r="N13" i="31"/>
  <c r="O13" i="31"/>
  <c r="P13" i="31"/>
  <c r="Q13" i="31"/>
  <c r="R13" i="31"/>
  <c r="S13" i="31"/>
  <c r="T13" i="31"/>
  <c r="I14" i="31"/>
  <c r="J14" i="31"/>
  <c r="K14" i="31"/>
  <c r="L14" i="31"/>
  <c r="M14" i="31"/>
  <c r="N14" i="31"/>
  <c r="O14" i="31"/>
  <c r="P14" i="31"/>
  <c r="Q14" i="31"/>
  <c r="R14" i="31"/>
  <c r="S14" i="31"/>
  <c r="T14" i="31"/>
  <c r="I15" i="31"/>
  <c r="J15" i="31"/>
  <c r="K15" i="31"/>
  <c r="L15" i="31"/>
  <c r="M15" i="31"/>
  <c r="N15" i="31"/>
  <c r="O15" i="31"/>
  <c r="P15" i="31"/>
  <c r="Q15" i="31"/>
  <c r="R15" i="31"/>
  <c r="S15" i="31"/>
  <c r="T15" i="31"/>
  <c r="I16" i="31"/>
  <c r="J16" i="31"/>
  <c r="K16" i="31"/>
  <c r="L16" i="31"/>
  <c r="M16" i="31"/>
  <c r="N16" i="31"/>
  <c r="O16" i="31"/>
  <c r="P16" i="31"/>
  <c r="Q16" i="31"/>
  <c r="R16" i="31"/>
  <c r="S16" i="31"/>
  <c r="T16" i="31"/>
  <c r="I17" i="31"/>
  <c r="J17" i="31"/>
  <c r="K17" i="31"/>
  <c r="L17" i="31"/>
  <c r="M17" i="31"/>
  <c r="N17" i="31"/>
  <c r="O17" i="31"/>
  <c r="P17" i="31"/>
  <c r="Q17" i="31"/>
  <c r="R17" i="31"/>
  <c r="S17" i="31"/>
  <c r="T17" i="31"/>
  <c r="I18" i="31"/>
  <c r="J18" i="31"/>
  <c r="K18" i="31"/>
  <c r="L18" i="31"/>
  <c r="M18" i="31"/>
  <c r="N18" i="31"/>
  <c r="O18" i="31"/>
  <c r="P18" i="31"/>
  <c r="Q18" i="31"/>
  <c r="R18" i="31"/>
  <c r="S18" i="31"/>
  <c r="T18" i="31"/>
  <c r="I19" i="31"/>
  <c r="J19" i="31"/>
  <c r="K19" i="31"/>
  <c r="L19" i="31"/>
  <c r="M19" i="31"/>
  <c r="N19" i="31"/>
  <c r="O19" i="31"/>
  <c r="P19" i="31"/>
  <c r="Q19" i="31"/>
  <c r="R19" i="31"/>
  <c r="S19" i="31"/>
  <c r="T19" i="31"/>
  <c r="I20" i="31"/>
  <c r="J20" i="31"/>
  <c r="K20" i="31"/>
  <c r="L20" i="31"/>
  <c r="M20" i="31"/>
  <c r="N20" i="31"/>
  <c r="O20" i="31"/>
  <c r="P20" i="31"/>
  <c r="Q20" i="31"/>
  <c r="R20" i="31"/>
  <c r="S20" i="31"/>
  <c r="T20" i="31"/>
  <c r="I21" i="31"/>
  <c r="J21" i="31"/>
  <c r="K21" i="31"/>
  <c r="L21" i="31"/>
  <c r="M21" i="31"/>
  <c r="N21" i="31"/>
  <c r="O21" i="31"/>
  <c r="P21" i="31"/>
  <c r="Q21" i="31"/>
  <c r="R21" i="31"/>
  <c r="S21" i="31"/>
  <c r="T21" i="31"/>
  <c r="I22" i="31"/>
  <c r="J22" i="31"/>
  <c r="K22" i="31"/>
  <c r="L22" i="31"/>
  <c r="M22" i="31"/>
  <c r="N22" i="31"/>
  <c r="O22" i="31"/>
  <c r="P22" i="31"/>
  <c r="Q22" i="31"/>
  <c r="R22" i="31"/>
  <c r="S22" i="31"/>
  <c r="T22" i="31"/>
  <c r="I23" i="31"/>
  <c r="J23" i="31"/>
  <c r="K23" i="31"/>
  <c r="L23" i="31"/>
  <c r="M23" i="31"/>
  <c r="N23" i="31"/>
  <c r="O23" i="31"/>
  <c r="P23" i="31"/>
  <c r="Q23" i="31"/>
  <c r="R23" i="31"/>
  <c r="S23" i="31"/>
  <c r="T23" i="31"/>
  <c r="I24" i="31"/>
  <c r="J24" i="31"/>
  <c r="K24" i="31"/>
  <c r="L24" i="31"/>
  <c r="M24" i="31"/>
  <c r="N24" i="31"/>
  <c r="O24" i="31"/>
  <c r="P24" i="31"/>
  <c r="Q24" i="31"/>
  <c r="R24" i="31"/>
  <c r="S24" i="31"/>
  <c r="T24" i="31"/>
  <c r="I25" i="31"/>
  <c r="J25" i="31"/>
  <c r="K25" i="31"/>
  <c r="L25" i="31"/>
  <c r="M25" i="31"/>
  <c r="N25" i="31"/>
  <c r="O25" i="31"/>
  <c r="P25" i="31"/>
  <c r="Q25" i="31"/>
  <c r="R25" i="31"/>
  <c r="S25" i="31"/>
  <c r="T25" i="31"/>
  <c r="I26" i="31"/>
  <c r="J26" i="31"/>
  <c r="K26" i="31"/>
  <c r="L26" i="31"/>
  <c r="M26" i="31"/>
  <c r="N26" i="31"/>
  <c r="O26" i="31"/>
  <c r="P26" i="31"/>
  <c r="Q26" i="31"/>
  <c r="R26" i="31"/>
  <c r="S26" i="31"/>
  <c r="T26" i="31"/>
  <c r="I27" i="31"/>
  <c r="J27" i="31"/>
  <c r="K27" i="31"/>
  <c r="L27" i="31"/>
  <c r="M27" i="31"/>
  <c r="N27" i="31"/>
  <c r="O27" i="31"/>
  <c r="P27" i="31"/>
  <c r="Q27" i="31"/>
  <c r="R27" i="31"/>
  <c r="S27" i="31"/>
  <c r="T27" i="31"/>
  <c r="I28" i="31"/>
  <c r="J28" i="31"/>
  <c r="K28" i="31"/>
  <c r="L28" i="31"/>
  <c r="M28" i="31"/>
  <c r="N28" i="31"/>
  <c r="O28" i="31"/>
  <c r="P28" i="31"/>
  <c r="Q28" i="31"/>
  <c r="R28" i="31"/>
  <c r="S28" i="31"/>
  <c r="T28" i="31"/>
  <c r="I29" i="31"/>
  <c r="J29" i="31"/>
  <c r="K29" i="31"/>
  <c r="L29" i="31"/>
  <c r="M29" i="31"/>
  <c r="N29" i="31"/>
  <c r="O29" i="31"/>
  <c r="P29" i="31"/>
  <c r="Q29" i="31"/>
  <c r="R29" i="31"/>
  <c r="S29" i="31"/>
  <c r="T29" i="31"/>
  <c r="I30" i="31"/>
  <c r="J30" i="31"/>
  <c r="K30" i="31"/>
  <c r="L30" i="31"/>
  <c r="M30" i="31"/>
  <c r="N30" i="31"/>
  <c r="O30" i="31"/>
  <c r="P30" i="31"/>
  <c r="Q30" i="31"/>
  <c r="R30" i="31"/>
  <c r="S30" i="31"/>
  <c r="T30" i="31"/>
  <c r="I31" i="31"/>
  <c r="J31" i="31"/>
  <c r="K31" i="31"/>
  <c r="L31" i="31"/>
  <c r="M31" i="31"/>
  <c r="N31" i="31"/>
  <c r="O31" i="31"/>
  <c r="P31" i="31"/>
  <c r="Q31" i="31"/>
  <c r="R31" i="31"/>
  <c r="S31" i="31"/>
  <c r="T31" i="31"/>
  <c r="I32" i="31"/>
  <c r="J32" i="31"/>
  <c r="K32" i="31"/>
  <c r="L32" i="31"/>
  <c r="M32" i="31"/>
  <c r="N32" i="31"/>
  <c r="O32" i="31"/>
  <c r="P32" i="31"/>
  <c r="Q32" i="31"/>
  <c r="R32" i="31"/>
  <c r="S32" i="31"/>
  <c r="T32" i="31"/>
  <c r="I33" i="31"/>
  <c r="J33" i="31"/>
  <c r="K33" i="31"/>
  <c r="L33" i="31"/>
  <c r="M33" i="31"/>
  <c r="N33" i="31"/>
  <c r="O33" i="31"/>
  <c r="P33" i="31"/>
  <c r="Q33" i="31"/>
  <c r="R33" i="31"/>
  <c r="S33" i="31"/>
  <c r="T33" i="31"/>
  <c r="I34" i="31"/>
  <c r="J34" i="31"/>
  <c r="K34" i="31"/>
  <c r="L34" i="31"/>
  <c r="M34" i="31"/>
  <c r="N34" i="31"/>
  <c r="O34" i="31"/>
  <c r="P34" i="31"/>
  <c r="Q34" i="31"/>
  <c r="R34" i="31"/>
  <c r="S34" i="31"/>
  <c r="T34" i="31"/>
  <c r="I35" i="31"/>
  <c r="J35" i="31"/>
  <c r="K35" i="31"/>
  <c r="L35" i="31"/>
  <c r="M35" i="31"/>
  <c r="N35" i="31"/>
  <c r="O35" i="31"/>
  <c r="P35" i="31"/>
  <c r="Q35" i="31"/>
  <c r="R35" i="31"/>
  <c r="S35" i="31"/>
  <c r="T35" i="31"/>
  <c r="I36" i="31"/>
  <c r="J36" i="31"/>
  <c r="K36" i="31"/>
  <c r="L36" i="31"/>
  <c r="M36" i="31"/>
  <c r="N36" i="31"/>
  <c r="O36" i="31"/>
  <c r="P36" i="31"/>
  <c r="Q36" i="31"/>
  <c r="R36" i="31"/>
  <c r="S36" i="31"/>
  <c r="T36" i="31"/>
  <c r="I37" i="31"/>
  <c r="J37" i="31"/>
  <c r="K37" i="31"/>
  <c r="L37" i="31"/>
  <c r="M37" i="31"/>
  <c r="N37" i="31"/>
  <c r="O37" i="31"/>
  <c r="P37" i="31"/>
  <c r="Q37" i="31"/>
  <c r="R37" i="31"/>
  <c r="S37" i="31"/>
  <c r="T37" i="31"/>
  <c r="I38" i="31"/>
  <c r="J38" i="31"/>
  <c r="K38" i="31"/>
  <c r="L38" i="31"/>
  <c r="M38" i="31"/>
  <c r="N38" i="31"/>
  <c r="O38" i="31"/>
  <c r="P38" i="31"/>
  <c r="Q38" i="31"/>
  <c r="R38" i="31"/>
  <c r="S38" i="31"/>
  <c r="T38" i="31"/>
  <c r="I39" i="31"/>
  <c r="J39" i="31"/>
  <c r="K39" i="31"/>
  <c r="L39" i="31"/>
  <c r="M39" i="31"/>
  <c r="N39" i="31"/>
  <c r="O39" i="31"/>
  <c r="P39" i="31"/>
  <c r="Q39" i="31"/>
  <c r="R39" i="31"/>
  <c r="S39" i="31"/>
  <c r="T39" i="31"/>
  <c r="I40" i="31"/>
  <c r="J40" i="31"/>
  <c r="K40" i="31"/>
  <c r="L40" i="31"/>
  <c r="M40" i="31"/>
  <c r="N40" i="31"/>
  <c r="O40" i="31"/>
  <c r="P40" i="31"/>
  <c r="Q40" i="31"/>
  <c r="R40" i="31"/>
  <c r="S40" i="31"/>
  <c r="T40" i="31"/>
  <c r="I41" i="31"/>
  <c r="J41" i="31"/>
  <c r="K41" i="31"/>
  <c r="L41" i="31"/>
  <c r="M41" i="31"/>
  <c r="N41" i="31"/>
  <c r="O41" i="31"/>
  <c r="P41" i="31"/>
  <c r="Q41" i="31"/>
  <c r="R41" i="31"/>
  <c r="S41" i="31"/>
  <c r="T41" i="31"/>
  <c r="I42" i="31"/>
  <c r="J42" i="31"/>
  <c r="K42" i="31"/>
  <c r="L42" i="31"/>
  <c r="M42" i="31"/>
  <c r="N42" i="31"/>
  <c r="O42" i="31"/>
  <c r="P42" i="31"/>
  <c r="Q42" i="31"/>
  <c r="R42" i="31"/>
  <c r="S42" i="31"/>
  <c r="T42" i="31"/>
  <c r="I43" i="31"/>
  <c r="J43" i="31"/>
  <c r="K43" i="31"/>
  <c r="L43" i="31"/>
  <c r="M43" i="31"/>
  <c r="N43" i="31"/>
  <c r="O43" i="31"/>
  <c r="P43" i="31"/>
  <c r="Q43" i="31"/>
  <c r="R43" i="31"/>
  <c r="S43" i="31"/>
  <c r="T43" i="31"/>
  <c r="I44" i="31"/>
  <c r="J44" i="31"/>
  <c r="K44" i="31"/>
  <c r="L44" i="31"/>
  <c r="M44" i="31"/>
  <c r="N44" i="31"/>
  <c r="O44" i="31"/>
  <c r="P44" i="31"/>
  <c r="Q44" i="31"/>
  <c r="R44" i="31"/>
  <c r="S44" i="31"/>
  <c r="T44" i="31"/>
  <c r="I45" i="31"/>
  <c r="J45" i="31"/>
  <c r="K45" i="31"/>
  <c r="L45" i="31"/>
  <c r="M45" i="31"/>
  <c r="N45" i="31"/>
  <c r="O45" i="31"/>
  <c r="P45" i="31"/>
  <c r="Q45" i="31"/>
  <c r="R45" i="31"/>
  <c r="S45" i="31"/>
  <c r="T45" i="31"/>
  <c r="I46" i="31"/>
  <c r="J46" i="31"/>
  <c r="K46" i="31"/>
  <c r="L46" i="31"/>
  <c r="M46" i="31"/>
  <c r="N46" i="31"/>
  <c r="O46" i="31"/>
  <c r="P46" i="31"/>
  <c r="Q46" i="31"/>
  <c r="R46" i="31"/>
  <c r="S46" i="31"/>
  <c r="T46" i="31"/>
  <c r="I47" i="31"/>
  <c r="J47" i="31"/>
  <c r="K47" i="31"/>
  <c r="L47" i="31"/>
  <c r="M47" i="31"/>
  <c r="N47" i="31"/>
  <c r="O47" i="31"/>
  <c r="P47" i="31"/>
  <c r="Q47" i="31"/>
  <c r="R47" i="31"/>
  <c r="S47" i="31"/>
  <c r="T47" i="31"/>
  <c r="I48" i="31"/>
  <c r="J48" i="31"/>
  <c r="K48" i="31"/>
  <c r="L48" i="31"/>
  <c r="M48" i="31"/>
  <c r="N48" i="31"/>
  <c r="O48" i="31"/>
  <c r="P48" i="31"/>
  <c r="Q48" i="31"/>
  <c r="R48" i="31"/>
  <c r="S48" i="31"/>
  <c r="T48" i="31"/>
  <c r="I49" i="31"/>
  <c r="J49" i="31"/>
  <c r="K49" i="31"/>
  <c r="L49" i="31"/>
  <c r="M49" i="31"/>
  <c r="N49" i="31"/>
  <c r="O49" i="31"/>
  <c r="P49" i="31"/>
  <c r="Q49" i="31"/>
  <c r="R49" i="31"/>
  <c r="S49" i="31"/>
  <c r="T49" i="31"/>
  <c r="I50" i="31"/>
  <c r="J50" i="31"/>
  <c r="K50" i="31"/>
  <c r="L50" i="31"/>
  <c r="M50" i="31"/>
  <c r="N50" i="31"/>
  <c r="O50" i="31"/>
  <c r="P50" i="31"/>
  <c r="Q50" i="31"/>
  <c r="R50" i="31"/>
  <c r="S50" i="31"/>
  <c r="T50" i="31"/>
  <c r="I51" i="31"/>
  <c r="J51" i="31"/>
  <c r="K51" i="31"/>
  <c r="L51" i="31"/>
  <c r="M51" i="31"/>
  <c r="N51" i="31"/>
  <c r="O51" i="31"/>
  <c r="P51" i="31"/>
  <c r="Q51" i="31"/>
  <c r="R51" i="31"/>
  <c r="S51" i="31"/>
  <c r="T51" i="31"/>
  <c r="I52" i="31"/>
  <c r="J52" i="31"/>
  <c r="K52" i="31"/>
  <c r="L52" i="31"/>
  <c r="M52" i="31"/>
  <c r="N52" i="31"/>
  <c r="O52" i="31"/>
  <c r="P52" i="31"/>
  <c r="Q52" i="31"/>
  <c r="R52" i="31"/>
  <c r="S52" i="31"/>
  <c r="T52" i="31"/>
  <c r="I53" i="31"/>
  <c r="J53" i="31"/>
  <c r="K53" i="31"/>
  <c r="L53" i="31"/>
  <c r="M53" i="31"/>
  <c r="N53" i="31"/>
  <c r="O53" i="31"/>
  <c r="P53" i="31"/>
  <c r="Q53" i="31"/>
  <c r="R53" i="31"/>
  <c r="S53" i="31"/>
  <c r="T53" i="31"/>
  <c r="I54" i="31"/>
  <c r="J54" i="31"/>
  <c r="K54" i="31"/>
  <c r="L54" i="31"/>
  <c r="M54" i="31"/>
  <c r="N54" i="31"/>
  <c r="O54" i="31"/>
  <c r="P54" i="31"/>
  <c r="Q54" i="31"/>
  <c r="R54" i="31"/>
  <c r="S54" i="31"/>
  <c r="T54" i="31"/>
  <c r="I55" i="31"/>
  <c r="J55" i="31"/>
  <c r="K55" i="31"/>
  <c r="L55" i="31"/>
  <c r="M55" i="31"/>
  <c r="N55" i="31"/>
  <c r="O55" i="31"/>
  <c r="P55" i="31"/>
  <c r="Q55" i="31"/>
  <c r="R55" i="31"/>
  <c r="S55" i="31"/>
  <c r="T55" i="31"/>
  <c r="I56" i="31"/>
  <c r="J56" i="31"/>
  <c r="K56" i="31"/>
  <c r="L56" i="31"/>
  <c r="M56" i="31"/>
  <c r="N56" i="31"/>
  <c r="O56" i="31"/>
  <c r="P56" i="31"/>
  <c r="Q56" i="31"/>
  <c r="R56" i="31"/>
  <c r="S56" i="31"/>
  <c r="T56" i="31"/>
  <c r="I57" i="31"/>
  <c r="J57" i="31"/>
  <c r="K57" i="31"/>
  <c r="L57" i="31"/>
  <c r="M57" i="31"/>
  <c r="N57" i="31"/>
  <c r="O57" i="31"/>
  <c r="P57" i="31"/>
  <c r="Q57" i="31"/>
  <c r="R57" i="31"/>
  <c r="S57" i="31"/>
  <c r="T57" i="31"/>
  <c r="I58" i="31"/>
  <c r="J58" i="31"/>
  <c r="K58" i="31"/>
  <c r="L58" i="31"/>
  <c r="M58" i="31"/>
  <c r="N58" i="31"/>
  <c r="O58" i="31"/>
  <c r="P58" i="31"/>
  <c r="Q58" i="31"/>
  <c r="R58" i="31"/>
  <c r="S58" i="31"/>
  <c r="T58" i="31"/>
  <c r="I59" i="31"/>
  <c r="J59" i="31"/>
  <c r="K59" i="31"/>
  <c r="L59" i="31"/>
  <c r="M59" i="31"/>
  <c r="N59" i="31"/>
  <c r="O59" i="31"/>
  <c r="P59" i="31"/>
  <c r="Q59" i="31"/>
  <c r="R59" i="31"/>
  <c r="S59" i="31"/>
  <c r="T59" i="31"/>
  <c r="I60" i="31"/>
  <c r="J60" i="31"/>
  <c r="K60" i="31"/>
  <c r="L60" i="31"/>
  <c r="M60" i="31"/>
  <c r="N60" i="31"/>
  <c r="O60" i="31"/>
  <c r="P60" i="31"/>
  <c r="Q60" i="31"/>
  <c r="R60" i="31"/>
  <c r="S60" i="31"/>
  <c r="T60" i="31"/>
  <c r="I61" i="31"/>
  <c r="J61" i="31"/>
  <c r="K61" i="31"/>
  <c r="L61" i="31"/>
  <c r="M61" i="31"/>
  <c r="N61" i="31"/>
  <c r="O61" i="31"/>
  <c r="P61" i="31"/>
  <c r="Q61" i="31"/>
  <c r="R61" i="31"/>
  <c r="S61" i="31"/>
  <c r="T61" i="31"/>
  <c r="I62" i="31"/>
  <c r="J62" i="31"/>
  <c r="K62" i="31"/>
  <c r="L62" i="31"/>
  <c r="M62" i="31"/>
  <c r="N62" i="31"/>
  <c r="O62" i="31"/>
  <c r="P62" i="31"/>
  <c r="Q62" i="31"/>
  <c r="R62" i="31"/>
  <c r="S62" i="31"/>
  <c r="T62" i="31"/>
  <c r="I63" i="31"/>
  <c r="J63" i="31"/>
  <c r="K63" i="31"/>
  <c r="L63" i="31"/>
  <c r="M63" i="31"/>
  <c r="N63" i="31"/>
  <c r="O63" i="31"/>
  <c r="P63" i="31"/>
  <c r="Q63" i="31"/>
  <c r="R63" i="31"/>
  <c r="S63" i="31"/>
  <c r="T63" i="31"/>
  <c r="I64" i="31"/>
  <c r="J64" i="31"/>
  <c r="K64" i="31"/>
  <c r="L64" i="31"/>
  <c r="M64" i="31"/>
  <c r="N64" i="31"/>
  <c r="O64" i="31"/>
  <c r="P64" i="31"/>
  <c r="Q64" i="31"/>
  <c r="R64" i="31"/>
  <c r="S64" i="31"/>
  <c r="T64" i="31"/>
  <c r="I65" i="31"/>
  <c r="J65" i="31"/>
  <c r="K65" i="31"/>
  <c r="L65" i="31"/>
  <c r="M65" i="31"/>
  <c r="N65" i="31"/>
  <c r="O65" i="31"/>
  <c r="P65" i="31"/>
  <c r="Q65" i="31"/>
  <c r="R65" i="31"/>
  <c r="S65" i="31"/>
  <c r="T65" i="31"/>
  <c r="I66" i="31"/>
  <c r="J66" i="31"/>
  <c r="K66" i="31"/>
  <c r="L66" i="31"/>
  <c r="M66" i="31"/>
  <c r="N66" i="31"/>
  <c r="O66" i="31"/>
  <c r="P66" i="31"/>
  <c r="Q66" i="31"/>
  <c r="R66" i="31"/>
  <c r="S66" i="31"/>
  <c r="T66" i="31"/>
  <c r="I67" i="31"/>
  <c r="J67" i="31"/>
  <c r="K67" i="31"/>
  <c r="L67" i="31"/>
  <c r="M67" i="31"/>
  <c r="N67" i="31"/>
  <c r="O67" i="31"/>
  <c r="P67" i="31"/>
  <c r="Q67" i="31"/>
  <c r="R67" i="31"/>
  <c r="S67" i="31"/>
  <c r="T67" i="31"/>
  <c r="I68" i="31"/>
  <c r="J68" i="31"/>
  <c r="K68" i="31"/>
  <c r="L68" i="31"/>
  <c r="M68" i="31"/>
  <c r="N68" i="31"/>
  <c r="O68" i="31"/>
  <c r="P68" i="31"/>
  <c r="Q68" i="31"/>
  <c r="R68" i="31"/>
  <c r="S68" i="31"/>
  <c r="T68" i="31"/>
  <c r="I69" i="31"/>
  <c r="J69" i="31"/>
  <c r="K69" i="31"/>
  <c r="L69" i="31"/>
  <c r="M69" i="31"/>
  <c r="N69" i="31"/>
  <c r="O69" i="31"/>
  <c r="P69" i="31"/>
  <c r="Q69" i="31"/>
  <c r="R69" i="31"/>
  <c r="S69" i="31"/>
  <c r="T69" i="31"/>
  <c r="I70" i="31"/>
  <c r="J70" i="31"/>
  <c r="K70" i="31"/>
  <c r="L70" i="31"/>
  <c r="M70" i="31"/>
  <c r="N70" i="31"/>
  <c r="O70" i="31"/>
  <c r="P70" i="31"/>
  <c r="Q70" i="31"/>
  <c r="R70" i="31"/>
  <c r="S70" i="31"/>
  <c r="T70" i="31"/>
  <c r="I71" i="31"/>
  <c r="J71" i="31"/>
  <c r="K71" i="31"/>
  <c r="L71" i="31"/>
  <c r="M71" i="31"/>
  <c r="N71" i="31"/>
  <c r="O71" i="31"/>
  <c r="P71" i="31"/>
  <c r="Q71" i="31"/>
  <c r="R71" i="31"/>
  <c r="S71" i="31"/>
  <c r="T71" i="31"/>
  <c r="I72" i="31"/>
  <c r="J72" i="31"/>
  <c r="K72" i="31"/>
  <c r="L72" i="31"/>
  <c r="M72" i="31"/>
  <c r="N72" i="31"/>
  <c r="O72" i="31"/>
  <c r="P72" i="31"/>
  <c r="Q72" i="31"/>
  <c r="R72" i="31"/>
  <c r="S72" i="31"/>
  <c r="T72" i="31"/>
  <c r="I73" i="31"/>
  <c r="J73" i="31"/>
  <c r="K73" i="31"/>
  <c r="L73" i="31"/>
  <c r="M73" i="31"/>
  <c r="N73" i="31"/>
  <c r="O73" i="31"/>
  <c r="P73" i="31"/>
  <c r="Q73" i="31"/>
  <c r="R73" i="31"/>
  <c r="S73" i="31"/>
  <c r="T73" i="31"/>
  <c r="I74" i="31"/>
  <c r="J74" i="31"/>
  <c r="K74" i="31"/>
  <c r="L74" i="31"/>
  <c r="M74" i="31"/>
  <c r="N74" i="31"/>
  <c r="O74" i="31"/>
  <c r="P74" i="31"/>
  <c r="Q74" i="31"/>
  <c r="R74" i="31"/>
  <c r="S74" i="31"/>
  <c r="T74" i="31"/>
  <c r="I75" i="31"/>
  <c r="J75" i="31"/>
  <c r="K75" i="31"/>
  <c r="L75" i="31"/>
  <c r="M75" i="31"/>
  <c r="N75" i="31"/>
  <c r="O75" i="31"/>
  <c r="P75" i="31"/>
  <c r="Q75" i="31"/>
  <c r="R75" i="31"/>
  <c r="S75" i="31"/>
  <c r="T75" i="31"/>
  <c r="I76" i="31"/>
  <c r="J76" i="31"/>
  <c r="K76" i="31"/>
  <c r="L76" i="31"/>
  <c r="M76" i="31"/>
  <c r="N76" i="31"/>
  <c r="O76" i="31"/>
  <c r="P76" i="31"/>
  <c r="Q76" i="31"/>
  <c r="R76" i="31"/>
  <c r="S76" i="31"/>
  <c r="T76" i="31"/>
  <c r="I77" i="31"/>
  <c r="J77" i="31"/>
  <c r="K77" i="31"/>
  <c r="L77" i="31"/>
  <c r="M77" i="31"/>
  <c r="N77" i="31"/>
  <c r="O77" i="31"/>
  <c r="P77" i="31"/>
  <c r="Q77" i="31"/>
  <c r="R77" i="31"/>
  <c r="S77" i="31"/>
  <c r="T77" i="31"/>
  <c r="I78" i="31"/>
  <c r="J78" i="31"/>
  <c r="K78" i="31"/>
  <c r="L78" i="31"/>
  <c r="M78" i="31"/>
  <c r="N78" i="31"/>
  <c r="O78" i="31"/>
  <c r="P78" i="31"/>
  <c r="Q78" i="31"/>
  <c r="R78" i="31"/>
  <c r="S78" i="31"/>
  <c r="T78" i="31"/>
  <c r="I79" i="31"/>
  <c r="J79" i="31"/>
  <c r="K79" i="31"/>
  <c r="L79" i="31"/>
  <c r="M79" i="31"/>
  <c r="N79" i="31"/>
  <c r="O79" i="31"/>
  <c r="P79" i="31"/>
  <c r="Q79" i="31"/>
  <c r="R79" i="31"/>
  <c r="S79" i="31"/>
  <c r="T79" i="31"/>
  <c r="I80" i="31"/>
  <c r="J80" i="31"/>
  <c r="K80" i="31"/>
  <c r="L80" i="31"/>
  <c r="M80" i="31"/>
  <c r="N80" i="31"/>
  <c r="O80" i="31"/>
  <c r="P80" i="31"/>
  <c r="Q80" i="31"/>
  <c r="R80" i="31"/>
  <c r="S80" i="31"/>
  <c r="T80" i="31"/>
  <c r="I81" i="31"/>
  <c r="J81" i="31"/>
  <c r="K81" i="31"/>
  <c r="L81" i="31"/>
  <c r="M81" i="31"/>
  <c r="N81" i="31"/>
  <c r="O81" i="31"/>
  <c r="P81" i="31"/>
  <c r="Q81" i="31"/>
  <c r="R81" i="31"/>
  <c r="S81" i="31"/>
  <c r="T81" i="31"/>
  <c r="I82" i="31"/>
  <c r="J82" i="31"/>
  <c r="K82" i="31"/>
  <c r="L82" i="31"/>
  <c r="M82" i="31"/>
  <c r="N82" i="31"/>
  <c r="O82" i="31"/>
  <c r="P82" i="31"/>
  <c r="Q82" i="31"/>
  <c r="R82" i="31"/>
  <c r="S82" i="31"/>
  <c r="T82" i="31"/>
  <c r="I83" i="31"/>
  <c r="J83" i="31"/>
  <c r="K83" i="31"/>
  <c r="L83" i="31"/>
  <c r="M83" i="31"/>
  <c r="N83" i="31"/>
  <c r="O83" i="31"/>
  <c r="P83" i="31"/>
  <c r="Q83" i="31"/>
  <c r="R83" i="31"/>
  <c r="S83" i="31"/>
  <c r="T83" i="31"/>
  <c r="I84" i="31"/>
  <c r="J84" i="31"/>
  <c r="K84" i="31"/>
  <c r="L84" i="31"/>
  <c r="M84" i="31"/>
  <c r="N84" i="31"/>
  <c r="O84" i="31"/>
  <c r="P84" i="31"/>
  <c r="Q84" i="31"/>
  <c r="R84" i="31"/>
  <c r="S84" i="31"/>
  <c r="T84" i="31"/>
  <c r="I85" i="31"/>
  <c r="J85" i="31"/>
  <c r="K85" i="31"/>
  <c r="L85" i="31"/>
  <c r="M85" i="31"/>
  <c r="N85" i="31"/>
  <c r="O85" i="31"/>
  <c r="P85" i="31"/>
  <c r="Q85" i="31"/>
  <c r="R85" i="31"/>
  <c r="S85" i="31"/>
  <c r="T85" i="31"/>
  <c r="I86" i="31"/>
  <c r="J86" i="31"/>
  <c r="K86" i="31"/>
  <c r="L86" i="31"/>
  <c r="M86" i="31"/>
  <c r="N86" i="31"/>
  <c r="O86" i="31"/>
  <c r="P86" i="31"/>
  <c r="Q86" i="31"/>
  <c r="R86" i="31"/>
  <c r="S86" i="31"/>
  <c r="T86" i="31"/>
  <c r="I87" i="31"/>
  <c r="J87" i="31"/>
  <c r="K87" i="31"/>
  <c r="L87" i="31"/>
  <c r="M87" i="31"/>
  <c r="N87" i="31"/>
  <c r="O87" i="31"/>
  <c r="P87" i="31"/>
  <c r="Q87" i="31"/>
  <c r="R87" i="31"/>
  <c r="S87" i="31"/>
  <c r="T87" i="31"/>
  <c r="I88" i="31"/>
  <c r="J88" i="31"/>
  <c r="K88" i="31"/>
  <c r="L88" i="31"/>
  <c r="M88" i="31"/>
  <c r="N88" i="31"/>
  <c r="O88" i="31"/>
  <c r="P88" i="31"/>
  <c r="Q88" i="31"/>
  <c r="R88" i="31"/>
  <c r="S88" i="31"/>
  <c r="T88" i="31"/>
  <c r="I89" i="31"/>
  <c r="J89" i="31"/>
  <c r="K89" i="31"/>
  <c r="L89" i="31"/>
  <c r="M89" i="31"/>
  <c r="N89" i="31"/>
  <c r="O89" i="31"/>
  <c r="P89" i="31"/>
  <c r="Q89" i="31"/>
  <c r="R89" i="31"/>
  <c r="S89" i="31"/>
  <c r="T89" i="31"/>
  <c r="I90" i="31"/>
  <c r="J90" i="31"/>
  <c r="K90" i="31"/>
  <c r="L90" i="31"/>
  <c r="M90" i="31"/>
  <c r="N90" i="31"/>
  <c r="O90" i="31"/>
  <c r="P90" i="31"/>
  <c r="Q90" i="31"/>
  <c r="R90" i="31"/>
  <c r="S90" i="31"/>
  <c r="T90" i="31"/>
  <c r="I91" i="31"/>
  <c r="J91" i="31"/>
  <c r="K91" i="31"/>
  <c r="L91" i="31"/>
  <c r="M91" i="31"/>
  <c r="N91" i="31"/>
  <c r="O91" i="31"/>
  <c r="P91" i="31"/>
  <c r="Q91" i="31"/>
  <c r="R91" i="31"/>
  <c r="S91" i="31"/>
  <c r="T91" i="31"/>
  <c r="I92" i="31"/>
  <c r="J92" i="31"/>
  <c r="K92" i="31"/>
  <c r="L92" i="31"/>
  <c r="M92" i="31"/>
  <c r="N92" i="31"/>
  <c r="O92" i="31"/>
  <c r="P92" i="31"/>
  <c r="Q92" i="31"/>
  <c r="R92" i="31"/>
  <c r="S92" i="31"/>
  <c r="T92" i="31"/>
  <c r="I93" i="31"/>
  <c r="J93" i="31"/>
  <c r="K93" i="31"/>
  <c r="L93" i="31"/>
  <c r="M93" i="31"/>
  <c r="N93" i="31"/>
  <c r="O93" i="31"/>
  <c r="P93" i="31"/>
  <c r="Q93" i="31"/>
  <c r="R93" i="31"/>
  <c r="S93" i="31"/>
  <c r="T93" i="31"/>
  <c r="I94" i="31"/>
  <c r="J94" i="31"/>
  <c r="K94" i="31"/>
  <c r="L94" i="31"/>
  <c r="M94" i="31"/>
  <c r="N94" i="31"/>
  <c r="O94" i="31"/>
  <c r="P94" i="31"/>
  <c r="Q94" i="31"/>
  <c r="R94" i="31"/>
  <c r="S94" i="31"/>
  <c r="T94" i="31"/>
  <c r="I95" i="31"/>
  <c r="J95" i="31"/>
  <c r="K95" i="31"/>
  <c r="L95" i="31"/>
  <c r="M95" i="31"/>
  <c r="N95" i="31"/>
  <c r="O95" i="31"/>
  <c r="P95" i="31"/>
  <c r="Q95" i="31"/>
  <c r="R95" i="31"/>
  <c r="S95" i="31"/>
  <c r="T95" i="31"/>
  <c r="I96" i="31"/>
  <c r="J96" i="31"/>
  <c r="K96" i="31"/>
  <c r="L96" i="31"/>
  <c r="M96" i="31"/>
  <c r="N96" i="31"/>
  <c r="O96" i="31"/>
  <c r="P96" i="31"/>
  <c r="Q96" i="31"/>
  <c r="R96" i="31"/>
  <c r="S96" i="31"/>
  <c r="T96" i="31"/>
  <c r="I97" i="31"/>
  <c r="J97" i="31"/>
  <c r="K97" i="31"/>
  <c r="L97" i="31"/>
  <c r="M97" i="31"/>
  <c r="N97" i="31"/>
  <c r="O97" i="31"/>
  <c r="P97" i="31"/>
  <c r="Q97" i="31"/>
  <c r="R97" i="31"/>
  <c r="S97" i="31"/>
  <c r="T97" i="31"/>
  <c r="I98" i="31"/>
  <c r="J98" i="31"/>
  <c r="K98" i="31"/>
  <c r="L98" i="31"/>
  <c r="M98" i="31"/>
  <c r="N98" i="31"/>
  <c r="O98" i="31"/>
  <c r="P98" i="31"/>
  <c r="Q98" i="31"/>
  <c r="R98" i="31"/>
  <c r="S98" i="31"/>
  <c r="T98" i="31"/>
  <c r="I99" i="31"/>
  <c r="J99" i="31"/>
  <c r="K99" i="31"/>
  <c r="L99" i="31"/>
  <c r="M99" i="31"/>
  <c r="N99" i="31"/>
  <c r="O99" i="31"/>
  <c r="P99" i="31"/>
  <c r="Q99" i="31"/>
  <c r="R99" i="31"/>
  <c r="S99" i="31"/>
  <c r="T99" i="31"/>
  <c r="I100" i="31"/>
  <c r="J100" i="31"/>
  <c r="K100" i="31"/>
  <c r="L100" i="31"/>
  <c r="M100" i="31"/>
  <c r="N100" i="31"/>
  <c r="O100" i="31"/>
  <c r="P100" i="31"/>
  <c r="Q100" i="31"/>
  <c r="R100" i="31"/>
  <c r="S100" i="31"/>
  <c r="T100" i="31"/>
  <c r="I101" i="31"/>
  <c r="J101" i="31"/>
  <c r="K101" i="31"/>
  <c r="L101" i="31"/>
  <c r="M101" i="31"/>
  <c r="N101" i="31"/>
  <c r="O101" i="31"/>
  <c r="P101" i="31"/>
  <c r="Q101" i="31"/>
  <c r="R101" i="31"/>
  <c r="S101" i="31"/>
  <c r="T101" i="31"/>
  <c r="I102" i="31"/>
  <c r="J102" i="31"/>
  <c r="K102" i="31"/>
  <c r="L102" i="31"/>
  <c r="M102" i="31"/>
  <c r="N102" i="31"/>
  <c r="O102" i="31"/>
  <c r="P102" i="31"/>
  <c r="Q102" i="31"/>
  <c r="R102" i="31"/>
  <c r="S102" i="31"/>
  <c r="T102" i="31"/>
  <c r="I103" i="31"/>
  <c r="J103" i="31"/>
  <c r="K103" i="31"/>
  <c r="L103" i="31"/>
  <c r="M103" i="31"/>
  <c r="N103" i="31"/>
  <c r="O103" i="31"/>
  <c r="P103" i="31"/>
  <c r="Q103" i="31"/>
  <c r="R103" i="31"/>
  <c r="S103" i="31"/>
  <c r="T103" i="31"/>
  <c r="I104" i="31"/>
  <c r="J104" i="31"/>
  <c r="K104" i="31"/>
  <c r="L104" i="31"/>
  <c r="M104" i="31"/>
  <c r="N104" i="31"/>
  <c r="O104" i="31"/>
  <c r="P104" i="31"/>
  <c r="Q104" i="31"/>
  <c r="R104" i="31"/>
  <c r="S104" i="31"/>
  <c r="T104" i="31"/>
  <c r="I105" i="31"/>
  <c r="J105" i="31"/>
  <c r="K105" i="31"/>
  <c r="L105" i="31"/>
  <c r="M105" i="31"/>
  <c r="N105" i="31"/>
  <c r="O105" i="31"/>
  <c r="P105" i="31"/>
  <c r="Q105" i="31"/>
  <c r="R105" i="31"/>
  <c r="S105" i="31"/>
  <c r="T105" i="31"/>
  <c r="I106" i="31"/>
  <c r="J106" i="31"/>
  <c r="K106" i="31"/>
  <c r="L106" i="31"/>
  <c r="M106" i="31"/>
  <c r="N106" i="31"/>
  <c r="O106" i="31"/>
  <c r="P106" i="31"/>
  <c r="Q106" i="31"/>
  <c r="R106" i="31"/>
  <c r="S106" i="31"/>
  <c r="T106" i="31"/>
  <c r="I107" i="31"/>
  <c r="J107" i="31"/>
  <c r="K107" i="31"/>
  <c r="L107" i="31"/>
  <c r="M107" i="31"/>
  <c r="N107" i="31"/>
  <c r="O107" i="31"/>
  <c r="P107" i="31"/>
  <c r="Q107" i="31"/>
  <c r="R107" i="31"/>
  <c r="S107" i="31"/>
  <c r="T107" i="31"/>
  <c r="I108" i="31"/>
  <c r="J108" i="31"/>
  <c r="K108" i="31"/>
  <c r="L108" i="31"/>
  <c r="M108" i="31"/>
  <c r="N108" i="31"/>
  <c r="O108" i="31"/>
  <c r="P108" i="31"/>
  <c r="Q108" i="31"/>
  <c r="R108" i="31"/>
  <c r="S108" i="31"/>
  <c r="T108" i="31"/>
  <c r="I109" i="31"/>
  <c r="J109" i="31"/>
  <c r="K109" i="31"/>
  <c r="L109" i="31"/>
  <c r="M109" i="31"/>
  <c r="N109" i="31"/>
  <c r="O109" i="31"/>
  <c r="P109" i="31"/>
  <c r="Q109" i="31"/>
  <c r="R109" i="31"/>
  <c r="S109" i="31"/>
  <c r="T109" i="31"/>
  <c r="I110" i="31"/>
  <c r="J110" i="31"/>
  <c r="K110" i="31"/>
  <c r="L110" i="31"/>
  <c r="M110" i="31"/>
  <c r="N110" i="31"/>
  <c r="O110" i="31"/>
  <c r="P110" i="31"/>
  <c r="Q110" i="31"/>
  <c r="R110" i="31"/>
  <c r="S110" i="31"/>
  <c r="T110" i="31"/>
  <c r="I111" i="31"/>
  <c r="J111" i="31"/>
  <c r="K111" i="31"/>
  <c r="L111" i="31"/>
  <c r="M111" i="31"/>
  <c r="N111" i="31"/>
  <c r="O111" i="31"/>
  <c r="P111" i="31"/>
  <c r="Q111" i="31"/>
  <c r="R111" i="31"/>
  <c r="S111" i="31"/>
  <c r="T111" i="31"/>
  <c r="I112" i="31"/>
  <c r="J112" i="31"/>
  <c r="K112" i="31"/>
  <c r="L112" i="31"/>
  <c r="M112" i="31"/>
  <c r="N112" i="31"/>
  <c r="O112" i="31"/>
  <c r="P112" i="31"/>
  <c r="Q112" i="31"/>
  <c r="R112" i="31"/>
  <c r="S112" i="31"/>
  <c r="T112" i="31"/>
  <c r="I113" i="31"/>
  <c r="J113" i="31"/>
  <c r="K113" i="31"/>
  <c r="L113" i="31"/>
  <c r="M113" i="31"/>
  <c r="N113" i="31"/>
  <c r="O113" i="31"/>
  <c r="P113" i="31"/>
  <c r="Q113" i="31"/>
  <c r="R113" i="31"/>
  <c r="S113" i="31"/>
  <c r="T113" i="31"/>
  <c r="I114" i="31"/>
  <c r="J114" i="31"/>
  <c r="K114" i="31"/>
  <c r="L114" i="31"/>
  <c r="M114" i="31"/>
  <c r="N114" i="31"/>
  <c r="O114" i="31"/>
  <c r="P114" i="31"/>
  <c r="Q114" i="31"/>
  <c r="R114" i="31"/>
  <c r="S114" i="31"/>
  <c r="T114" i="31"/>
  <c r="I115" i="31"/>
  <c r="J115" i="31"/>
  <c r="K115" i="31"/>
  <c r="L115" i="31"/>
  <c r="M115" i="31"/>
  <c r="N115" i="31"/>
  <c r="O115" i="31"/>
  <c r="P115" i="31"/>
  <c r="Q115" i="31"/>
  <c r="R115" i="31"/>
  <c r="S115" i="31"/>
  <c r="T115" i="31"/>
  <c r="I116" i="31"/>
  <c r="J116" i="31"/>
  <c r="K116" i="31"/>
  <c r="L116" i="31"/>
  <c r="M116" i="31"/>
  <c r="N116" i="31"/>
  <c r="O116" i="31"/>
  <c r="P116" i="31"/>
  <c r="Q116" i="31"/>
  <c r="R116" i="31"/>
  <c r="S116" i="31"/>
  <c r="T116" i="31"/>
  <c r="I117" i="31"/>
  <c r="J117" i="31"/>
  <c r="K117" i="31"/>
  <c r="L117" i="31"/>
  <c r="M117" i="31"/>
  <c r="N117" i="31"/>
  <c r="O117" i="31"/>
  <c r="P117" i="31"/>
  <c r="Q117" i="31"/>
  <c r="R117" i="31"/>
  <c r="S117" i="31"/>
  <c r="T117" i="31"/>
  <c r="I118" i="31"/>
  <c r="J118" i="31"/>
  <c r="K118" i="31"/>
  <c r="L118" i="31"/>
  <c r="M118" i="31"/>
  <c r="N118" i="31"/>
  <c r="O118" i="31"/>
  <c r="P118" i="31"/>
  <c r="Q118" i="31"/>
  <c r="R118" i="31"/>
  <c r="S118" i="31"/>
  <c r="T118" i="31"/>
  <c r="I119" i="31"/>
  <c r="J119" i="31"/>
  <c r="K119" i="31"/>
  <c r="L119" i="31"/>
  <c r="M119" i="31"/>
  <c r="N119" i="31"/>
  <c r="O119" i="31"/>
  <c r="P119" i="31"/>
  <c r="Q119" i="31"/>
  <c r="R119" i="31"/>
  <c r="S119" i="31"/>
  <c r="T119" i="31"/>
  <c r="I120" i="31"/>
  <c r="J120" i="31"/>
  <c r="K120" i="31"/>
  <c r="L120" i="31"/>
  <c r="M120" i="31"/>
  <c r="N120" i="31"/>
  <c r="O120" i="31"/>
  <c r="P120" i="31"/>
  <c r="Q120" i="31"/>
  <c r="R120" i="31"/>
  <c r="S120" i="31"/>
  <c r="T120" i="31"/>
  <c r="I121" i="31"/>
  <c r="J121" i="31"/>
  <c r="K121" i="31"/>
  <c r="L121" i="31"/>
  <c r="M121" i="31"/>
  <c r="N121" i="31"/>
  <c r="O121" i="31"/>
  <c r="P121" i="31"/>
  <c r="Q121" i="31"/>
  <c r="R121" i="31"/>
  <c r="S121" i="31"/>
  <c r="T121" i="31"/>
  <c r="I122" i="31"/>
  <c r="J122" i="31"/>
  <c r="K122" i="31"/>
  <c r="L122" i="31"/>
  <c r="M122" i="31"/>
  <c r="N122" i="31"/>
  <c r="O122" i="31"/>
  <c r="P122" i="31"/>
  <c r="Q122" i="31"/>
  <c r="R122" i="31"/>
  <c r="S122" i="31"/>
  <c r="T122" i="31"/>
  <c r="I123" i="31"/>
  <c r="J123" i="31"/>
  <c r="K123" i="31"/>
  <c r="L123" i="31"/>
  <c r="M123" i="31"/>
  <c r="N123" i="31"/>
  <c r="O123" i="31"/>
  <c r="P123" i="31"/>
  <c r="Q123" i="31"/>
  <c r="R123" i="31"/>
  <c r="S123" i="31"/>
  <c r="T123" i="31"/>
  <c r="I124" i="31"/>
  <c r="J124" i="31"/>
  <c r="K124" i="31"/>
  <c r="L124" i="31"/>
  <c r="M124" i="31"/>
  <c r="N124" i="31"/>
  <c r="O124" i="31"/>
  <c r="P124" i="31"/>
  <c r="Q124" i="31"/>
  <c r="R124" i="31"/>
  <c r="S124" i="31"/>
  <c r="T124" i="31"/>
  <c r="I125" i="31"/>
  <c r="J125" i="31"/>
  <c r="K125" i="31"/>
  <c r="L125" i="31"/>
  <c r="M125" i="31"/>
  <c r="N125" i="31"/>
  <c r="O125" i="31"/>
  <c r="P125" i="31"/>
  <c r="Q125" i="31"/>
  <c r="R125" i="31"/>
  <c r="S125" i="31"/>
  <c r="T125" i="31"/>
  <c r="I126" i="31"/>
  <c r="J126" i="31"/>
  <c r="K126" i="31"/>
  <c r="L126" i="31"/>
  <c r="M126" i="31"/>
  <c r="N126" i="31"/>
  <c r="O126" i="31"/>
  <c r="P126" i="31"/>
  <c r="Q126" i="31"/>
  <c r="R126" i="31"/>
  <c r="S126" i="31"/>
  <c r="T126" i="31"/>
  <c r="I127" i="31"/>
  <c r="J127" i="31"/>
  <c r="K127" i="31"/>
  <c r="L127" i="31"/>
  <c r="M127" i="31"/>
  <c r="N127" i="31"/>
  <c r="O127" i="31"/>
  <c r="P127" i="31"/>
  <c r="Q127" i="31"/>
  <c r="R127" i="31"/>
  <c r="S127" i="31"/>
  <c r="T127" i="31"/>
  <c r="I128" i="31"/>
  <c r="J128" i="31"/>
  <c r="K128" i="31"/>
  <c r="L128" i="31"/>
  <c r="M128" i="31"/>
  <c r="N128" i="31"/>
  <c r="O128" i="31"/>
  <c r="P128" i="31"/>
  <c r="Q128" i="31"/>
  <c r="R128" i="31"/>
  <c r="S128" i="31"/>
  <c r="T128" i="31"/>
  <c r="I129" i="31"/>
  <c r="J129" i="31"/>
  <c r="K129" i="31"/>
  <c r="L129" i="31"/>
  <c r="M129" i="31"/>
  <c r="N129" i="31"/>
  <c r="O129" i="31"/>
  <c r="P129" i="31"/>
  <c r="Q129" i="31"/>
  <c r="R129" i="31"/>
  <c r="S129" i="31"/>
  <c r="T129" i="31"/>
  <c r="I130" i="31"/>
  <c r="J130" i="31"/>
  <c r="K130" i="31"/>
  <c r="L130" i="31"/>
  <c r="M130" i="31"/>
  <c r="N130" i="31"/>
  <c r="O130" i="31"/>
  <c r="P130" i="31"/>
  <c r="Q130" i="31"/>
  <c r="R130" i="31"/>
  <c r="S130" i="31"/>
  <c r="T130" i="31"/>
  <c r="I131" i="31"/>
  <c r="J131" i="31"/>
  <c r="K131" i="31"/>
  <c r="L131" i="31"/>
  <c r="M131" i="31"/>
  <c r="N131" i="31"/>
  <c r="O131" i="31"/>
  <c r="P131" i="31"/>
  <c r="Q131" i="31"/>
  <c r="R131" i="31"/>
  <c r="S131" i="31"/>
  <c r="T131" i="31"/>
  <c r="I132" i="31"/>
  <c r="J132" i="31"/>
  <c r="K132" i="31"/>
  <c r="L132" i="31"/>
  <c r="M132" i="31"/>
  <c r="N132" i="31"/>
  <c r="O132" i="31"/>
  <c r="P132" i="31"/>
  <c r="Q132" i="31"/>
  <c r="R132" i="31"/>
  <c r="S132" i="31"/>
  <c r="T132" i="31"/>
  <c r="I133" i="31"/>
  <c r="J133" i="31"/>
  <c r="K133" i="31"/>
  <c r="L133" i="31"/>
  <c r="M133" i="31"/>
  <c r="N133" i="31"/>
  <c r="O133" i="31"/>
  <c r="P133" i="31"/>
  <c r="Q133" i="31"/>
  <c r="R133" i="31"/>
  <c r="S133" i="31"/>
  <c r="T133" i="31"/>
  <c r="I134" i="31"/>
  <c r="J134" i="31"/>
  <c r="K134" i="31"/>
  <c r="L134" i="31"/>
  <c r="M134" i="31"/>
  <c r="N134" i="31"/>
  <c r="O134" i="31"/>
  <c r="P134" i="31"/>
  <c r="Q134" i="31"/>
  <c r="R134" i="31"/>
  <c r="S134" i="31"/>
  <c r="T134" i="31"/>
  <c r="I135" i="31"/>
  <c r="J135" i="31"/>
  <c r="K135" i="31"/>
  <c r="L135" i="31"/>
  <c r="M135" i="31"/>
  <c r="N135" i="31"/>
  <c r="O135" i="31"/>
  <c r="P135" i="31"/>
  <c r="Q135" i="31"/>
  <c r="R135" i="31"/>
  <c r="S135" i="31"/>
  <c r="T135" i="31"/>
  <c r="I136" i="31"/>
  <c r="J136" i="31"/>
  <c r="K136" i="31"/>
  <c r="L136" i="31"/>
  <c r="M136" i="31"/>
  <c r="N136" i="31"/>
  <c r="O136" i="31"/>
  <c r="P136" i="31"/>
  <c r="Q136" i="31"/>
  <c r="R136" i="31"/>
  <c r="S136" i="31"/>
  <c r="T136" i="31"/>
  <c r="I137" i="31"/>
  <c r="J137" i="31"/>
  <c r="K137" i="31"/>
  <c r="L137" i="31"/>
  <c r="M137" i="31"/>
  <c r="N137" i="31"/>
  <c r="O137" i="31"/>
  <c r="P137" i="31"/>
  <c r="Q137" i="31"/>
  <c r="R137" i="31"/>
  <c r="S137" i="31"/>
  <c r="T137" i="31"/>
  <c r="I138" i="31"/>
  <c r="J138" i="31"/>
  <c r="K138" i="31"/>
  <c r="L138" i="31"/>
  <c r="M138" i="31"/>
  <c r="N138" i="31"/>
  <c r="O138" i="31"/>
  <c r="P138" i="31"/>
  <c r="Q138" i="31"/>
  <c r="R138" i="31"/>
  <c r="S138" i="31"/>
  <c r="T138" i="31"/>
  <c r="I139" i="31"/>
  <c r="J139" i="31"/>
  <c r="K139" i="31"/>
  <c r="L139" i="31"/>
  <c r="M139" i="31"/>
  <c r="N139" i="31"/>
  <c r="O139" i="31"/>
  <c r="P139" i="31"/>
  <c r="Q139" i="31"/>
  <c r="R139" i="31"/>
  <c r="S139" i="31"/>
  <c r="T139" i="31"/>
  <c r="I140" i="31"/>
  <c r="J140" i="31"/>
  <c r="K140" i="31"/>
  <c r="L140" i="31"/>
  <c r="M140" i="31"/>
  <c r="N140" i="31"/>
  <c r="O140" i="31"/>
  <c r="P140" i="31"/>
  <c r="Q140" i="31"/>
  <c r="R140" i="31"/>
  <c r="S140" i="31"/>
  <c r="T140" i="31"/>
  <c r="I141" i="31"/>
  <c r="J141" i="31"/>
  <c r="K141" i="31"/>
  <c r="L141" i="31"/>
  <c r="M141" i="31"/>
  <c r="N141" i="31"/>
  <c r="O141" i="31"/>
  <c r="P141" i="31"/>
  <c r="Q141" i="31"/>
  <c r="R141" i="31"/>
  <c r="S141" i="31"/>
  <c r="T141" i="31"/>
  <c r="I142" i="31"/>
  <c r="J142" i="31"/>
  <c r="K142" i="31"/>
  <c r="L142" i="31"/>
  <c r="M142" i="31"/>
  <c r="N142" i="31"/>
  <c r="O142" i="31"/>
  <c r="P142" i="31"/>
  <c r="Q142" i="31"/>
  <c r="R142" i="31"/>
  <c r="S142" i="31"/>
  <c r="T142" i="31"/>
  <c r="I143" i="31"/>
  <c r="J143" i="31"/>
  <c r="K143" i="31"/>
  <c r="L143" i="31"/>
  <c r="M143" i="31"/>
  <c r="N143" i="31"/>
  <c r="O143" i="31"/>
  <c r="P143" i="31"/>
  <c r="Q143" i="31"/>
  <c r="R143" i="31"/>
  <c r="S143" i="31"/>
  <c r="T143" i="31"/>
  <c r="I144" i="31"/>
  <c r="J144" i="31"/>
  <c r="K144" i="31"/>
  <c r="L144" i="31"/>
  <c r="M144" i="31"/>
  <c r="N144" i="31"/>
  <c r="O144" i="31"/>
  <c r="P144" i="31"/>
  <c r="Q144" i="31"/>
  <c r="R144" i="31"/>
  <c r="S144" i="31"/>
  <c r="T144" i="31"/>
  <c r="I145" i="31"/>
  <c r="J145" i="31"/>
  <c r="K145" i="31"/>
  <c r="L145" i="31"/>
  <c r="M145" i="31"/>
  <c r="N145" i="31"/>
  <c r="O145" i="31"/>
  <c r="P145" i="31"/>
  <c r="Q145" i="31"/>
  <c r="R145" i="31"/>
  <c r="S145" i="31"/>
  <c r="T145" i="31"/>
  <c r="I146" i="31"/>
  <c r="J146" i="31"/>
  <c r="K146" i="31"/>
  <c r="L146" i="31"/>
  <c r="M146" i="31"/>
  <c r="N146" i="31"/>
  <c r="O146" i="31"/>
  <c r="P146" i="31"/>
  <c r="Q146" i="31"/>
  <c r="R146" i="31"/>
  <c r="S146" i="31"/>
  <c r="T146" i="31"/>
  <c r="I147" i="31"/>
  <c r="J147" i="31"/>
  <c r="K147" i="31"/>
  <c r="L147" i="31"/>
  <c r="M147" i="31"/>
  <c r="N147" i="31"/>
  <c r="O147" i="31"/>
  <c r="P147" i="31"/>
  <c r="Q147" i="31"/>
  <c r="R147" i="31"/>
  <c r="S147" i="31"/>
  <c r="T147" i="31"/>
  <c r="I148" i="31"/>
  <c r="J148" i="31"/>
  <c r="K148" i="31"/>
  <c r="L148" i="31"/>
  <c r="M148" i="31"/>
  <c r="N148" i="31"/>
  <c r="O148" i="31"/>
  <c r="P148" i="31"/>
  <c r="Q148" i="31"/>
  <c r="R148" i="31"/>
  <c r="S148" i="31"/>
  <c r="T148" i="31"/>
  <c r="I149" i="31"/>
  <c r="J149" i="31"/>
  <c r="K149" i="31"/>
  <c r="L149" i="31"/>
  <c r="M149" i="31"/>
  <c r="N149" i="31"/>
  <c r="O149" i="31"/>
  <c r="P149" i="31"/>
  <c r="Q149" i="31"/>
  <c r="R149" i="31"/>
  <c r="S149" i="31"/>
  <c r="T149" i="31"/>
  <c r="I150" i="31"/>
  <c r="J150" i="31"/>
  <c r="K150" i="31"/>
  <c r="L150" i="31"/>
  <c r="M150" i="31"/>
  <c r="N150" i="31"/>
  <c r="O150" i="31"/>
  <c r="P150" i="31"/>
  <c r="Q150" i="31"/>
  <c r="R150" i="31"/>
  <c r="S150" i="31"/>
  <c r="T150" i="31"/>
  <c r="I151" i="31"/>
  <c r="J151" i="31"/>
  <c r="K151" i="31"/>
  <c r="L151" i="31"/>
  <c r="M151" i="31"/>
  <c r="N151" i="31"/>
  <c r="O151" i="31"/>
  <c r="P151" i="31"/>
  <c r="Q151" i="31"/>
  <c r="R151" i="31"/>
  <c r="S151" i="31"/>
  <c r="T151" i="31"/>
  <c r="I152" i="31"/>
  <c r="J152" i="31"/>
  <c r="K152" i="31"/>
  <c r="L152" i="31"/>
  <c r="M152" i="31"/>
  <c r="N152" i="31"/>
  <c r="O152" i="31"/>
  <c r="P152" i="31"/>
  <c r="Q152" i="31"/>
  <c r="R152" i="31"/>
  <c r="S152" i="31"/>
  <c r="T152" i="31"/>
  <c r="I153" i="31"/>
  <c r="J153" i="31"/>
  <c r="K153" i="31"/>
  <c r="L153" i="31"/>
  <c r="M153" i="31"/>
  <c r="N153" i="31"/>
  <c r="O153" i="31"/>
  <c r="P153" i="31"/>
  <c r="Q153" i="31"/>
  <c r="R153" i="31"/>
  <c r="S153" i="31"/>
  <c r="T153" i="31"/>
  <c r="I154" i="31"/>
  <c r="J154" i="31"/>
  <c r="K154" i="31"/>
  <c r="L154" i="31"/>
  <c r="M154" i="31"/>
  <c r="N154" i="31"/>
  <c r="O154" i="31"/>
  <c r="P154" i="31"/>
  <c r="Q154" i="31"/>
  <c r="R154" i="31"/>
  <c r="S154" i="31"/>
  <c r="T154" i="31"/>
  <c r="I155" i="31"/>
  <c r="J155" i="31"/>
  <c r="K155" i="31"/>
  <c r="L155" i="31"/>
  <c r="M155" i="31"/>
  <c r="N155" i="31"/>
  <c r="O155" i="31"/>
  <c r="P155" i="31"/>
  <c r="Q155" i="31"/>
  <c r="R155" i="31"/>
  <c r="S155" i="31"/>
  <c r="T155" i="31"/>
  <c r="I156" i="31"/>
  <c r="J156" i="31"/>
  <c r="K156" i="31"/>
  <c r="L156" i="31"/>
  <c r="M156" i="31"/>
  <c r="N156" i="31"/>
  <c r="O156" i="31"/>
  <c r="P156" i="31"/>
  <c r="Q156" i="31"/>
  <c r="R156" i="31"/>
  <c r="S156" i="31"/>
  <c r="T156" i="31"/>
  <c r="I157" i="31"/>
  <c r="J157" i="31"/>
  <c r="K157" i="31"/>
  <c r="L157" i="31"/>
  <c r="M157" i="31"/>
  <c r="N157" i="31"/>
  <c r="O157" i="31"/>
  <c r="P157" i="31"/>
  <c r="Q157" i="31"/>
  <c r="R157" i="31"/>
  <c r="S157" i="31"/>
  <c r="T157" i="31"/>
  <c r="I158" i="31"/>
  <c r="J158" i="31"/>
  <c r="K158" i="31"/>
  <c r="L158" i="31"/>
  <c r="M158" i="31"/>
  <c r="N158" i="31"/>
  <c r="O158" i="31"/>
  <c r="P158" i="31"/>
  <c r="Q158" i="31"/>
  <c r="R158" i="31"/>
  <c r="S158" i="31"/>
  <c r="T158" i="31"/>
  <c r="I159" i="31"/>
  <c r="J159" i="31"/>
  <c r="K159" i="31"/>
  <c r="L159" i="31"/>
  <c r="M159" i="31"/>
  <c r="N159" i="31"/>
  <c r="O159" i="31"/>
  <c r="P159" i="31"/>
  <c r="Q159" i="31"/>
  <c r="R159" i="31"/>
  <c r="S159" i="31"/>
  <c r="T159" i="31"/>
  <c r="I160" i="31"/>
  <c r="J160" i="31"/>
  <c r="K160" i="31"/>
  <c r="L160" i="31"/>
  <c r="M160" i="31"/>
  <c r="N160" i="31"/>
  <c r="O160" i="31"/>
  <c r="P160" i="31"/>
  <c r="Q160" i="31"/>
  <c r="R160" i="31"/>
  <c r="S160" i="31"/>
  <c r="T160" i="31"/>
  <c r="I161" i="31"/>
  <c r="J161" i="31"/>
  <c r="K161" i="31"/>
  <c r="L161" i="31"/>
  <c r="M161" i="31"/>
  <c r="N161" i="31"/>
  <c r="O161" i="31"/>
  <c r="P161" i="31"/>
  <c r="Q161" i="31"/>
  <c r="R161" i="31"/>
  <c r="S161" i="31"/>
  <c r="T161" i="31"/>
  <c r="I162" i="31"/>
  <c r="J162" i="31"/>
  <c r="K162" i="31"/>
  <c r="L162" i="31"/>
  <c r="M162" i="31"/>
  <c r="N162" i="31"/>
  <c r="O162" i="31"/>
  <c r="P162" i="31"/>
  <c r="Q162" i="31"/>
  <c r="R162" i="31"/>
  <c r="S162" i="31"/>
  <c r="T162" i="31"/>
  <c r="I163" i="31"/>
  <c r="J163" i="31"/>
  <c r="K163" i="31"/>
  <c r="L163" i="31"/>
  <c r="M163" i="31"/>
  <c r="N163" i="31"/>
  <c r="O163" i="31"/>
  <c r="P163" i="31"/>
  <c r="Q163" i="31"/>
  <c r="R163" i="31"/>
  <c r="S163" i="31"/>
  <c r="T163" i="31"/>
  <c r="I164" i="31"/>
  <c r="J164" i="31"/>
  <c r="K164" i="31"/>
  <c r="L164" i="31"/>
  <c r="M164" i="31"/>
  <c r="N164" i="31"/>
  <c r="O164" i="31"/>
  <c r="P164" i="31"/>
  <c r="Q164" i="31"/>
  <c r="R164" i="31"/>
  <c r="S164" i="31"/>
  <c r="T164" i="31"/>
  <c r="I165" i="31"/>
  <c r="J165" i="31"/>
  <c r="K165" i="31"/>
  <c r="L165" i="31"/>
  <c r="M165" i="31"/>
  <c r="N165" i="31"/>
  <c r="O165" i="31"/>
  <c r="P165" i="31"/>
  <c r="Q165" i="31"/>
  <c r="R165" i="31"/>
  <c r="S165" i="31"/>
  <c r="T165" i="31"/>
  <c r="I166" i="31"/>
  <c r="J166" i="31"/>
  <c r="K166" i="31"/>
  <c r="L166" i="31"/>
  <c r="M166" i="31"/>
  <c r="N166" i="31"/>
  <c r="O166" i="31"/>
  <c r="P166" i="31"/>
  <c r="Q166" i="31"/>
  <c r="R166" i="31"/>
  <c r="S166" i="31"/>
  <c r="T166" i="31"/>
  <c r="I167" i="31"/>
  <c r="J167" i="31"/>
  <c r="K167" i="31"/>
  <c r="L167" i="31"/>
  <c r="M167" i="31"/>
  <c r="N167" i="31"/>
  <c r="O167" i="31"/>
  <c r="P167" i="31"/>
  <c r="Q167" i="31"/>
  <c r="R167" i="31"/>
  <c r="S167" i="31"/>
  <c r="T167" i="31"/>
  <c r="I168" i="31"/>
  <c r="J168" i="31"/>
  <c r="K168" i="31"/>
  <c r="L168" i="31"/>
  <c r="M168" i="31"/>
  <c r="N168" i="31"/>
  <c r="O168" i="31"/>
  <c r="P168" i="31"/>
  <c r="Q168" i="31"/>
  <c r="R168" i="31"/>
  <c r="S168" i="31"/>
  <c r="T168" i="31"/>
  <c r="I169" i="31"/>
  <c r="J169" i="31"/>
  <c r="K169" i="31"/>
  <c r="L169" i="31"/>
  <c r="M169" i="31"/>
  <c r="N169" i="31"/>
  <c r="O169" i="31"/>
  <c r="P169" i="31"/>
  <c r="Q169" i="31"/>
  <c r="R169" i="31"/>
  <c r="S169" i="31"/>
  <c r="T169" i="31"/>
  <c r="I170" i="31"/>
  <c r="J170" i="31"/>
  <c r="K170" i="31"/>
  <c r="L170" i="31"/>
  <c r="M170" i="31"/>
  <c r="N170" i="31"/>
  <c r="O170" i="31"/>
  <c r="P170" i="31"/>
  <c r="Q170" i="31"/>
  <c r="R170" i="31"/>
  <c r="S170" i="31"/>
  <c r="T170" i="31"/>
  <c r="I171" i="31"/>
  <c r="J171" i="31"/>
  <c r="K171" i="31"/>
  <c r="L171" i="31"/>
  <c r="M171" i="31"/>
  <c r="N171" i="31"/>
  <c r="O171" i="31"/>
  <c r="P171" i="31"/>
  <c r="Q171" i="31"/>
  <c r="R171" i="31"/>
  <c r="S171" i="31"/>
  <c r="T171" i="31"/>
  <c r="I172" i="31"/>
  <c r="J172" i="31"/>
  <c r="K172" i="31"/>
  <c r="L172" i="31"/>
  <c r="M172" i="31"/>
  <c r="N172" i="31"/>
  <c r="O172" i="31"/>
  <c r="P172" i="31"/>
  <c r="Q172" i="31"/>
  <c r="R172" i="31"/>
  <c r="S172" i="31"/>
  <c r="T172" i="31"/>
  <c r="I173" i="31"/>
  <c r="J173" i="31"/>
  <c r="K173" i="31"/>
  <c r="L173" i="31"/>
  <c r="M173" i="31"/>
  <c r="N173" i="31"/>
  <c r="O173" i="31"/>
  <c r="P173" i="31"/>
  <c r="Q173" i="31"/>
  <c r="R173" i="31"/>
  <c r="S173" i="31"/>
  <c r="T173" i="31"/>
  <c r="I174" i="31"/>
  <c r="J174" i="31"/>
  <c r="K174" i="31"/>
  <c r="L174" i="31"/>
  <c r="M174" i="31"/>
  <c r="N174" i="31"/>
  <c r="O174" i="31"/>
  <c r="P174" i="31"/>
  <c r="Q174" i="31"/>
  <c r="R174" i="31"/>
  <c r="S174" i="31"/>
  <c r="T174" i="31"/>
  <c r="I175" i="31"/>
  <c r="J175" i="31"/>
  <c r="K175" i="31"/>
  <c r="L175" i="31"/>
  <c r="M175" i="31"/>
  <c r="N175" i="31"/>
  <c r="O175" i="31"/>
  <c r="P175" i="31"/>
  <c r="Q175" i="31"/>
  <c r="R175" i="31"/>
  <c r="S175" i="31"/>
  <c r="T175" i="31"/>
  <c r="I176" i="31"/>
  <c r="J176" i="31"/>
  <c r="K176" i="31"/>
  <c r="L176" i="31"/>
  <c r="M176" i="31"/>
  <c r="N176" i="31"/>
  <c r="O176" i="31"/>
  <c r="P176" i="31"/>
  <c r="Q176" i="31"/>
  <c r="R176" i="31"/>
  <c r="S176" i="31"/>
  <c r="T176" i="31"/>
  <c r="I177" i="31"/>
  <c r="J177" i="31"/>
  <c r="K177" i="31"/>
  <c r="L177" i="31"/>
  <c r="M177" i="31"/>
  <c r="N177" i="31"/>
  <c r="O177" i="31"/>
  <c r="P177" i="31"/>
  <c r="Q177" i="31"/>
  <c r="R177" i="31"/>
  <c r="S177" i="31"/>
  <c r="T177" i="31"/>
  <c r="I178" i="31"/>
  <c r="J178" i="31"/>
  <c r="K178" i="31"/>
  <c r="L178" i="31"/>
  <c r="M178" i="31"/>
  <c r="N178" i="31"/>
  <c r="O178" i="31"/>
  <c r="P178" i="31"/>
  <c r="Q178" i="31"/>
  <c r="R178" i="31"/>
  <c r="S178" i="31"/>
  <c r="T178" i="31"/>
  <c r="I179" i="31"/>
  <c r="J179" i="31"/>
  <c r="K179" i="31"/>
  <c r="L179" i="31"/>
  <c r="M179" i="31"/>
  <c r="N179" i="31"/>
  <c r="O179" i="31"/>
  <c r="P179" i="31"/>
  <c r="Q179" i="31"/>
  <c r="R179" i="31"/>
  <c r="S179" i="31"/>
  <c r="T179" i="31"/>
  <c r="I180" i="31"/>
  <c r="J180" i="31"/>
  <c r="K180" i="31"/>
  <c r="L180" i="31"/>
  <c r="M180" i="31"/>
  <c r="N180" i="31"/>
  <c r="O180" i="31"/>
  <c r="P180" i="31"/>
  <c r="Q180" i="31"/>
  <c r="R180" i="31"/>
  <c r="S180" i="31"/>
  <c r="T180" i="31"/>
  <c r="I181" i="31"/>
  <c r="J181" i="31"/>
  <c r="K181" i="31"/>
  <c r="L181" i="31"/>
  <c r="M181" i="31"/>
  <c r="N181" i="31"/>
  <c r="O181" i="31"/>
  <c r="P181" i="31"/>
  <c r="Q181" i="31"/>
  <c r="R181" i="31"/>
  <c r="S181" i="31"/>
  <c r="T181" i="31"/>
  <c r="I182" i="31"/>
  <c r="J182" i="31"/>
  <c r="K182" i="31"/>
  <c r="L182" i="31"/>
  <c r="M182" i="31"/>
  <c r="N182" i="31"/>
  <c r="O182" i="31"/>
  <c r="P182" i="31"/>
  <c r="Q182" i="31"/>
  <c r="R182" i="31"/>
  <c r="S182" i="31"/>
  <c r="T182" i="31"/>
  <c r="I183" i="31"/>
  <c r="J183" i="31"/>
  <c r="K183" i="31"/>
  <c r="L183" i="31"/>
  <c r="M183" i="31"/>
  <c r="N183" i="31"/>
  <c r="O183" i="31"/>
  <c r="P183" i="31"/>
  <c r="Q183" i="31"/>
  <c r="R183" i="31"/>
  <c r="S183" i="31"/>
  <c r="T183" i="31"/>
  <c r="I184" i="31"/>
  <c r="J184" i="31"/>
  <c r="K184" i="31"/>
  <c r="L184" i="31"/>
  <c r="M184" i="31"/>
  <c r="N184" i="31"/>
  <c r="O184" i="31"/>
  <c r="P184" i="31"/>
  <c r="Q184" i="31"/>
  <c r="R184" i="31"/>
  <c r="S184" i="31"/>
  <c r="T184" i="31"/>
  <c r="I185" i="31"/>
  <c r="J185" i="31"/>
  <c r="K185" i="31"/>
  <c r="L185" i="31"/>
  <c r="M185" i="31"/>
  <c r="N185" i="31"/>
  <c r="O185" i="31"/>
  <c r="P185" i="31"/>
  <c r="Q185" i="31"/>
  <c r="R185" i="31"/>
  <c r="S185" i="31"/>
  <c r="T185" i="31"/>
  <c r="I186" i="31"/>
  <c r="J186" i="31"/>
  <c r="K186" i="31"/>
  <c r="L186" i="31"/>
  <c r="M186" i="31"/>
  <c r="N186" i="31"/>
  <c r="O186" i="31"/>
  <c r="P186" i="31"/>
  <c r="Q186" i="31"/>
  <c r="R186" i="31"/>
  <c r="S186" i="31"/>
  <c r="T186" i="31"/>
  <c r="I187" i="31"/>
  <c r="J187" i="31"/>
  <c r="K187" i="31"/>
  <c r="L187" i="31"/>
  <c r="M187" i="31"/>
  <c r="N187" i="31"/>
  <c r="O187" i="31"/>
  <c r="P187" i="31"/>
  <c r="Q187" i="31"/>
  <c r="R187" i="31"/>
  <c r="S187" i="31"/>
  <c r="T187" i="31"/>
  <c r="I188" i="31"/>
  <c r="J188" i="31"/>
  <c r="K188" i="31"/>
  <c r="L188" i="31"/>
  <c r="M188" i="31"/>
  <c r="N188" i="31"/>
  <c r="O188" i="31"/>
  <c r="P188" i="31"/>
  <c r="Q188" i="31"/>
  <c r="R188" i="31"/>
  <c r="S188" i="31"/>
  <c r="T188" i="31"/>
  <c r="I189" i="31"/>
  <c r="J189" i="31"/>
  <c r="K189" i="31"/>
  <c r="L189" i="31"/>
  <c r="M189" i="31"/>
  <c r="N189" i="31"/>
  <c r="O189" i="31"/>
  <c r="P189" i="31"/>
  <c r="Q189" i="31"/>
  <c r="R189" i="31"/>
  <c r="S189" i="31"/>
  <c r="T189" i="31"/>
  <c r="I190" i="31"/>
  <c r="J190" i="31"/>
  <c r="K190" i="31"/>
  <c r="L190" i="31"/>
  <c r="M190" i="31"/>
  <c r="N190" i="31"/>
  <c r="O190" i="31"/>
  <c r="P190" i="31"/>
  <c r="Q190" i="31"/>
  <c r="R190" i="31"/>
  <c r="S190" i="31"/>
  <c r="T190" i="31"/>
  <c r="I191" i="31"/>
  <c r="J191" i="31"/>
  <c r="K191" i="31"/>
  <c r="L191" i="31"/>
  <c r="M191" i="31"/>
  <c r="N191" i="31"/>
  <c r="O191" i="31"/>
  <c r="P191" i="31"/>
  <c r="Q191" i="31"/>
  <c r="R191" i="31"/>
  <c r="S191" i="31"/>
  <c r="T191" i="31"/>
  <c r="I192" i="31"/>
  <c r="J192" i="31"/>
  <c r="K192" i="31"/>
  <c r="L192" i="31"/>
  <c r="M192" i="31"/>
  <c r="N192" i="31"/>
  <c r="O192" i="31"/>
  <c r="P192" i="31"/>
  <c r="Q192" i="31"/>
  <c r="R192" i="31"/>
  <c r="S192" i="31"/>
  <c r="T192" i="31"/>
  <c r="I193" i="31"/>
  <c r="J193" i="31"/>
  <c r="K193" i="31"/>
  <c r="L193" i="31"/>
  <c r="M193" i="31"/>
  <c r="N193" i="31"/>
  <c r="O193" i="31"/>
  <c r="P193" i="31"/>
  <c r="Q193" i="31"/>
  <c r="R193" i="31"/>
  <c r="S193" i="31"/>
  <c r="T193" i="31"/>
  <c r="I194" i="31"/>
  <c r="J194" i="31"/>
  <c r="K194" i="31"/>
  <c r="L194" i="31"/>
  <c r="M194" i="31"/>
  <c r="N194" i="31"/>
  <c r="O194" i="31"/>
  <c r="P194" i="31"/>
  <c r="Q194" i="31"/>
  <c r="R194" i="31"/>
  <c r="S194" i="31"/>
  <c r="T194" i="31"/>
  <c r="I195" i="31"/>
  <c r="J195" i="31"/>
  <c r="K195" i="31"/>
  <c r="L195" i="31"/>
  <c r="M195" i="31"/>
  <c r="N195" i="31"/>
  <c r="O195" i="31"/>
  <c r="P195" i="31"/>
  <c r="Q195" i="31"/>
  <c r="R195" i="31"/>
  <c r="S195" i="31"/>
  <c r="T195" i="31"/>
  <c r="I196" i="31"/>
  <c r="J196" i="31"/>
  <c r="K196" i="31"/>
  <c r="L196" i="31"/>
  <c r="M196" i="31"/>
  <c r="N196" i="31"/>
  <c r="O196" i="31"/>
  <c r="P196" i="31"/>
  <c r="Q196" i="31"/>
  <c r="R196" i="31"/>
  <c r="S196" i="31"/>
  <c r="T196" i="31"/>
  <c r="I197" i="31"/>
  <c r="J197" i="31"/>
  <c r="K197" i="31"/>
  <c r="L197" i="31"/>
  <c r="M197" i="31"/>
  <c r="N197" i="31"/>
  <c r="O197" i="31"/>
  <c r="P197" i="31"/>
  <c r="Q197" i="31"/>
  <c r="R197" i="31"/>
  <c r="S197" i="31"/>
  <c r="T197" i="31"/>
  <c r="I198" i="31"/>
  <c r="J198" i="31"/>
  <c r="K198" i="31"/>
  <c r="L198" i="31"/>
  <c r="M198" i="31"/>
  <c r="N198" i="31"/>
  <c r="O198" i="31"/>
  <c r="P198" i="31"/>
  <c r="Q198" i="31"/>
  <c r="R198" i="31"/>
  <c r="S198" i="31"/>
  <c r="T198" i="31"/>
  <c r="I199" i="31"/>
  <c r="J199" i="31"/>
  <c r="K199" i="31"/>
  <c r="L199" i="31"/>
  <c r="M199" i="31"/>
  <c r="N199" i="31"/>
  <c r="O199" i="31"/>
  <c r="P199" i="31"/>
  <c r="Q199" i="31"/>
  <c r="R199" i="31"/>
  <c r="S199" i="31"/>
  <c r="T199" i="31"/>
  <c r="I200" i="31"/>
  <c r="J200" i="31"/>
  <c r="K200" i="31"/>
  <c r="L200" i="31"/>
  <c r="M200" i="31"/>
  <c r="N200" i="31"/>
  <c r="O200" i="31"/>
  <c r="P200" i="31"/>
  <c r="Q200" i="31"/>
  <c r="R200" i="31"/>
  <c r="S200" i="31"/>
  <c r="T200" i="31"/>
  <c r="I201" i="31"/>
  <c r="J201" i="31"/>
  <c r="K201" i="31"/>
  <c r="L201" i="31"/>
  <c r="M201" i="31"/>
  <c r="N201" i="31"/>
  <c r="O201" i="31"/>
  <c r="P201" i="31"/>
  <c r="Q201" i="31"/>
  <c r="R201" i="31"/>
  <c r="S201" i="31"/>
  <c r="T201" i="31"/>
  <c r="I202" i="31"/>
  <c r="J202" i="31"/>
  <c r="K202" i="31"/>
  <c r="L202" i="31"/>
  <c r="M202" i="31"/>
  <c r="N202" i="31"/>
  <c r="O202" i="31"/>
  <c r="P202" i="31"/>
  <c r="Q202" i="31"/>
  <c r="R202" i="31"/>
  <c r="S202" i="31"/>
  <c r="T202" i="31"/>
  <c r="I203" i="31"/>
  <c r="J203" i="31"/>
  <c r="K203" i="31"/>
  <c r="L203" i="31"/>
  <c r="M203" i="31"/>
  <c r="N203" i="31"/>
  <c r="O203" i="31"/>
  <c r="P203" i="31"/>
  <c r="Q203" i="31"/>
  <c r="R203" i="31"/>
  <c r="S203" i="31"/>
  <c r="T203" i="31"/>
  <c r="I204" i="31"/>
  <c r="J204" i="31"/>
  <c r="K204" i="31"/>
  <c r="L204" i="31"/>
  <c r="M204" i="31"/>
  <c r="N204" i="31"/>
  <c r="O204" i="31"/>
  <c r="P204" i="31"/>
  <c r="Q204" i="31"/>
  <c r="R204" i="31"/>
  <c r="S204" i="31"/>
  <c r="T204" i="31"/>
  <c r="I205" i="31"/>
  <c r="J205" i="31"/>
  <c r="K205" i="31"/>
  <c r="L205" i="31"/>
  <c r="M205" i="31"/>
  <c r="N205" i="31"/>
  <c r="O205" i="31"/>
  <c r="P205" i="31"/>
  <c r="Q205" i="31"/>
  <c r="R205" i="31"/>
  <c r="S205" i="31"/>
  <c r="T205" i="31"/>
  <c r="I206" i="31"/>
  <c r="J206" i="31"/>
  <c r="K206" i="31"/>
  <c r="L206" i="31"/>
  <c r="M206" i="31"/>
  <c r="N206" i="31"/>
  <c r="O206" i="31"/>
  <c r="P206" i="31"/>
  <c r="Q206" i="31"/>
  <c r="R206" i="31"/>
  <c r="S206" i="31"/>
  <c r="T206" i="31"/>
  <c r="I207" i="31"/>
  <c r="J207" i="31"/>
  <c r="K207" i="31"/>
  <c r="L207" i="31"/>
  <c r="M207" i="31"/>
  <c r="N207" i="31"/>
  <c r="O207" i="31"/>
  <c r="P207" i="31"/>
  <c r="Q207" i="31"/>
  <c r="R207" i="31"/>
  <c r="S207" i="31"/>
  <c r="T207" i="31"/>
  <c r="I208" i="31"/>
  <c r="J208" i="31"/>
  <c r="K208" i="31"/>
  <c r="L208" i="31"/>
  <c r="M208" i="31"/>
  <c r="N208" i="31"/>
  <c r="O208" i="31"/>
  <c r="P208" i="31"/>
  <c r="Q208" i="31"/>
  <c r="R208" i="31"/>
  <c r="S208" i="31"/>
  <c r="T208" i="31"/>
  <c r="I209" i="31"/>
  <c r="J209" i="31"/>
  <c r="K209" i="31"/>
  <c r="L209" i="31"/>
  <c r="M209" i="31"/>
  <c r="N209" i="31"/>
  <c r="O209" i="31"/>
  <c r="P209" i="31"/>
  <c r="Q209" i="31"/>
  <c r="R209" i="31"/>
  <c r="S209" i="31"/>
  <c r="T209" i="31"/>
  <c r="I210" i="31"/>
  <c r="J210" i="31"/>
  <c r="K210" i="31"/>
  <c r="L210" i="31"/>
  <c r="M210" i="31"/>
  <c r="N210" i="31"/>
  <c r="O210" i="31"/>
  <c r="P210" i="31"/>
  <c r="Q210" i="31"/>
  <c r="R210" i="31"/>
  <c r="S210" i="31"/>
  <c r="T210" i="31"/>
  <c r="I211" i="31"/>
  <c r="J211" i="31"/>
  <c r="K211" i="31"/>
  <c r="L211" i="31"/>
  <c r="M211" i="31"/>
  <c r="N211" i="31"/>
  <c r="O211" i="31"/>
  <c r="P211" i="31"/>
  <c r="Q211" i="31"/>
  <c r="R211" i="31"/>
  <c r="S211" i="31"/>
  <c r="T211" i="31"/>
  <c r="I212" i="31"/>
  <c r="J212" i="31"/>
  <c r="K212" i="31"/>
  <c r="L212" i="31"/>
  <c r="M212" i="31"/>
  <c r="N212" i="31"/>
  <c r="O212" i="31"/>
  <c r="P212" i="31"/>
  <c r="Q212" i="31"/>
  <c r="R212" i="31"/>
  <c r="S212" i="31"/>
  <c r="T212" i="31"/>
  <c r="I213" i="31"/>
  <c r="J213" i="31"/>
  <c r="K213" i="31"/>
  <c r="L213" i="31"/>
  <c r="M213" i="31"/>
  <c r="N213" i="31"/>
  <c r="O213" i="31"/>
  <c r="P213" i="31"/>
  <c r="Q213" i="31"/>
  <c r="R213" i="31"/>
  <c r="S213" i="31"/>
  <c r="T213" i="31"/>
  <c r="I214" i="31"/>
  <c r="J214" i="31"/>
  <c r="K214" i="31"/>
  <c r="L214" i="31"/>
  <c r="M214" i="31"/>
  <c r="N214" i="31"/>
  <c r="O214" i="31"/>
  <c r="P214" i="31"/>
  <c r="Q214" i="31"/>
  <c r="R214" i="31"/>
  <c r="S214" i="31"/>
  <c r="T214" i="31"/>
  <c r="I215" i="31"/>
  <c r="J215" i="31"/>
  <c r="K215" i="31"/>
  <c r="L215" i="31"/>
  <c r="M215" i="31"/>
  <c r="N215" i="31"/>
  <c r="O215" i="31"/>
  <c r="P215" i="31"/>
  <c r="Q215" i="31"/>
  <c r="R215" i="31"/>
  <c r="S215" i="31"/>
  <c r="T215" i="31"/>
  <c r="I216" i="31"/>
  <c r="J216" i="31"/>
  <c r="K216" i="31"/>
  <c r="L216" i="31"/>
  <c r="M216" i="31"/>
  <c r="N216" i="31"/>
  <c r="O216" i="31"/>
  <c r="P216" i="31"/>
  <c r="Q216" i="31"/>
  <c r="R216" i="31"/>
  <c r="S216" i="31"/>
  <c r="T216" i="31"/>
  <c r="I217" i="31"/>
  <c r="J217" i="31"/>
  <c r="K217" i="31"/>
  <c r="L217" i="31"/>
  <c r="M217" i="31"/>
  <c r="N217" i="31"/>
  <c r="O217" i="31"/>
  <c r="P217" i="31"/>
  <c r="Q217" i="31"/>
  <c r="R217" i="31"/>
  <c r="S217" i="31"/>
  <c r="T217" i="31"/>
  <c r="I218" i="31"/>
  <c r="J218" i="31"/>
  <c r="K218" i="31"/>
  <c r="L218" i="31"/>
  <c r="M218" i="31"/>
  <c r="N218" i="31"/>
  <c r="O218" i="31"/>
  <c r="P218" i="31"/>
  <c r="Q218" i="31"/>
  <c r="R218" i="31"/>
  <c r="S218" i="31"/>
  <c r="T218" i="31"/>
  <c r="I219" i="31"/>
  <c r="J219" i="31"/>
  <c r="K219" i="31"/>
  <c r="L219" i="31"/>
  <c r="M219" i="31"/>
  <c r="N219" i="31"/>
  <c r="O219" i="31"/>
  <c r="P219" i="31"/>
  <c r="Q219" i="31"/>
  <c r="R219" i="31"/>
  <c r="S219" i="31"/>
  <c r="T219" i="31"/>
  <c r="I220" i="31"/>
  <c r="J220" i="31"/>
  <c r="K220" i="31"/>
  <c r="L220" i="31"/>
  <c r="M220" i="31"/>
  <c r="N220" i="31"/>
  <c r="O220" i="31"/>
  <c r="P220" i="31"/>
  <c r="Q220" i="31"/>
  <c r="R220" i="31"/>
  <c r="S220" i="31"/>
  <c r="T220" i="31"/>
  <c r="I221" i="31"/>
  <c r="J221" i="31"/>
  <c r="K221" i="31"/>
  <c r="L221" i="31"/>
  <c r="M221" i="31"/>
  <c r="N221" i="31"/>
  <c r="O221" i="31"/>
  <c r="P221" i="31"/>
  <c r="Q221" i="31"/>
  <c r="R221" i="31"/>
  <c r="S221" i="31"/>
  <c r="T221" i="31"/>
  <c r="I222" i="31"/>
  <c r="J222" i="31"/>
  <c r="K222" i="31"/>
  <c r="L222" i="31"/>
  <c r="M222" i="31"/>
  <c r="N222" i="31"/>
  <c r="O222" i="31"/>
  <c r="P222" i="31"/>
  <c r="Q222" i="31"/>
  <c r="R222" i="31"/>
  <c r="S222" i="31"/>
  <c r="T222" i="31"/>
  <c r="I223" i="31"/>
  <c r="J223" i="31"/>
  <c r="K223" i="31"/>
  <c r="L223" i="31"/>
  <c r="M223" i="31"/>
  <c r="N223" i="31"/>
  <c r="O223" i="31"/>
  <c r="P223" i="31"/>
  <c r="Q223" i="31"/>
  <c r="R223" i="31"/>
  <c r="S223" i="31"/>
  <c r="T223" i="31"/>
  <c r="I224" i="31"/>
  <c r="J224" i="31"/>
  <c r="K224" i="31"/>
  <c r="L224" i="31"/>
  <c r="M224" i="31"/>
  <c r="N224" i="31"/>
  <c r="O224" i="31"/>
  <c r="P224" i="31"/>
  <c r="Q224" i="31"/>
  <c r="R224" i="31"/>
  <c r="S224" i="31"/>
  <c r="T224" i="31"/>
  <c r="I225" i="31"/>
  <c r="J225" i="31"/>
  <c r="K225" i="31"/>
  <c r="L225" i="31"/>
  <c r="M225" i="31"/>
  <c r="N225" i="31"/>
  <c r="O225" i="31"/>
  <c r="P225" i="31"/>
  <c r="Q225" i="31"/>
  <c r="R225" i="31"/>
  <c r="S225" i="31"/>
  <c r="T225" i="31"/>
  <c r="I226" i="31"/>
  <c r="J226" i="31"/>
  <c r="K226" i="31"/>
  <c r="L226" i="31"/>
  <c r="M226" i="31"/>
  <c r="N226" i="31"/>
  <c r="O226" i="31"/>
  <c r="P226" i="31"/>
  <c r="Q226" i="31"/>
  <c r="R226" i="31"/>
  <c r="S226" i="31"/>
  <c r="T226" i="31"/>
  <c r="I227" i="31"/>
  <c r="J227" i="31"/>
  <c r="K227" i="31"/>
  <c r="L227" i="31"/>
  <c r="M227" i="31"/>
  <c r="N227" i="31"/>
  <c r="O227" i="31"/>
  <c r="P227" i="31"/>
  <c r="Q227" i="31"/>
  <c r="R227" i="31"/>
  <c r="S227" i="31"/>
  <c r="T227" i="31"/>
  <c r="I228" i="31"/>
  <c r="J228" i="31"/>
  <c r="K228" i="31"/>
  <c r="L228" i="31"/>
  <c r="M228" i="31"/>
  <c r="N228" i="31"/>
  <c r="O228" i="31"/>
  <c r="P228" i="31"/>
  <c r="Q228" i="31"/>
  <c r="R228" i="31"/>
  <c r="S228" i="31"/>
  <c r="T228" i="31"/>
  <c r="I229" i="31"/>
  <c r="J229" i="31"/>
  <c r="K229" i="31"/>
  <c r="L229" i="31"/>
  <c r="M229" i="31"/>
  <c r="N229" i="31"/>
  <c r="O229" i="31"/>
  <c r="P229" i="31"/>
  <c r="Q229" i="31"/>
  <c r="R229" i="31"/>
  <c r="S229" i="31"/>
  <c r="T229" i="31"/>
  <c r="I230" i="31"/>
  <c r="J230" i="31"/>
  <c r="K230" i="31"/>
  <c r="L230" i="31"/>
  <c r="M230" i="31"/>
  <c r="N230" i="31"/>
  <c r="O230" i="31"/>
  <c r="P230" i="31"/>
  <c r="Q230" i="31"/>
  <c r="R230" i="31"/>
  <c r="S230" i="31"/>
  <c r="T230" i="31"/>
  <c r="I231" i="31"/>
  <c r="J231" i="31"/>
  <c r="K231" i="31"/>
  <c r="L231" i="31"/>
  <c r="M231" i="31"/>
  <c r="N231" i="31"/>
  <c r="O231" i="31"/>
  <c r="P231" i="31"/>
  <c r="Q231" i="31"/>
  <c r="R231" i="31"/>
  <c r="S231" i="31"/>
  <c r="T231" i="31"/>
  <c r="I232" i="31"/>
  <c r="J232" i="31"/>
  <c r="K232" i="31"/>
  <c r="L232" i="31"/>
  <c r="M232" i="31"/>
  <c r="N232" i="31"/>
  <c r="O232" i="31"/>
  <c r="P232" i="31"/>
  <c r="Q232" i="31"/>
  <c r="R232" i="31"/>
  <c r="S232" i="31"/>
  <c r="T232" i="31"/>
  <c r="I233" i="31"/>
  <c r="J233" i="31"/>
  <c r="K233" i="31"/>
  <c r="L233" i="31"/>
  <c r="M233" i="31"/>
  <c r="N233" i="31"/>
  <c r="O233" i="31"/>
  <c r="P233" i="31"/>
  <c r="Q233" i="31"/>
  <c r="R233" i="31"/>
  <c r="S233" i="31"/>
  <c r="T233" i="31"/>
  <c r="I234" i="31"/>
  <c r="J234" i="31"/>
  <c r="K234" i="31"/>
  <c r="L234" i="31"/>
  <c r="M234" i="31"/>
  <c r="N234" i="31"/>
  <c r="O234" i="31"/>
  <c r="P234" i="31"/>
  <c r="Q234" i="31"/>
  <c r="R234" i="31"/>
  <c r="S234" i="31"/>
  <c r="T234" i="31"/>
  <c r="I235" i="31"/>
  <c r="J235" i="31"/>
  <c r="K235" i="31"/>
  <c r="L235" i="31"/>
  <c r="M235" i="31"/>
  <c r="N235" i="31"/>
  <c r="O235" i="31"/>
  <c r="P235" i="31"/>
  <c r="Q235" i="31"/>
  <c r="R235" i="31"/>
  <c r="S235" i="31"/>
  <c r="T235" i="31"/>
  <c r="I236" i="31"/>
  <c r="J236" i="31"/>
  <c r="K236" i="31"/>
  <c r="L236" i="31"/>
  <c r="M236" i="31"/>
  <c r="N236" i="31"/>
  <c r="O236" i="31"/>
  <c r="P236" i="31"/>
  <c r="Q236" i="31"/>
  <c r="R236" i="31"/>
  <c r="S236" i="31"/>
  <c r="T236" i="31"/>
  <c r="I237" i="31"/>
  <c r="J237" i="31"/>
  <c r="K237" i="31"/>
  <c r="L237" i="31"/>
  <c r="M237" i="31"/>
  <c r="N237" i="31"/>
  <c r="O237" i="31"/>
  <c r="P237" i="31"/>
  <c r="Q237" i="31"/>
  <c r="R237" i="31"/>
  <c r="S237" i="31"/>
  <c r="T237" i="31"/>
  <c r="I238" i="31"/>
  <c r="J238" i="31"/>
  <c r="K238" i="31"/>
  <c r="L238" i="31"/>
  <c r="M238" i="31"/>
  <c r="N238" i="31"/>
  <c r="O238" i="31"/>
  <c r="P238" i="31"/>
  <c r="Q238" i="31"/>
  <c r="R238" i="31"/>
  <c r="S238" i="31"/>
  <c r="T238" i="31"/>
  <c r="I239" i="31"/>
  <c r="J239" i="31"/>
  <c r="K239" i="31"/>
  <c r="L239" i="31"/>
  <c r="M239" i="31"/>
  <c r="N239" i="31"/>
  <c r="O239" i="31"/>
  <c r="P239" i="31"/>
  <c r="Q239" i="31"/>
  <c r="R239" i="31"/>
  <c r="S239" i="31"/>
  <c r="T239" i="31"/>
  <c r="I240" i="31"/>
  <c r="J240" i="31"/>
  <c r="K240" i="31"/>
  <c r="L240" i="31"/>
  <c r="M240" i="31"/>
  <c r="N240" i="31"/>
  <c r="O240" i="31"/>
  <c r="P240" i="31"/>
  <c r="Q240" i="31"/>
  <c r="R240" i="31"/>
  <c r="S240" i="31"/>
  <c r="T240" i="31"/>
  <c r="I241" i="31"/>
  <c r="J241" i="31"/>
  <c r="K241" i="31"/>
  <c r="L241" i="31"/>
  <c r="M241" i="31"/>
  <c r="N241" i="31"/>
  <c r="O241" i="31"/>
  <c r="P241" i="31"/>
  <c r="Q241" i="31"/>
  <c r="R241" i="31"/>
  <c r="S241" i="31"/>
  <c r="T241" i="31"/>
  <c r="I242" i="31"/>
  <c r="J242" i="31"/>
  <c r="K242" i="31"/>
  <c r="L242" i="31"/>
  <c r="M242" i="31"/>
  <c r="N242" i="31"/>
  <c r="O242" i="31"/>
  <c r="P242" i="31"/>
  <c r="Q242" i="31"/>
  <c r="R242" i="31"/>
  <c r="S242" i="31"/>
  <c r="T242" i="31"/>
  <c r="I243" i="31"/>
  <c r="J243" i="31"/>
  <c r="K243" i="31"/>
  <c r="L243" i="31"/>
  <c r="M243" i="31"/>
  <c r="N243" i="31"/>
  <c r="O243" i="31"/>
  <c r="P243" i="31"/>
  <c r="Q243" i="31"/>
  <c r="R243" i="31"/>
  <c r="S243" i="31"/>
  <c r="T243" i="31"/>
  <c r="I244" i="31"/>
  <c r="J244" i="31"/>
  <c r="K244" i="31"/>
  <c r="L244" i="31"/>
  <c r="M244" i="31"/>
  <c r="N244" i="31"/>
  <c r="O244" i="31"/>
  <c r="P244" i="31"/>
  <c r="Q244" i="31"/>
  <c r="R244" i="31"/>
  <c r="S244" i="31"/>
  <c r="T244" i="31"/>
  <c r="I245" i="31"/>
  <c r="J245" i="31"/>
  <c r="K245" i="31"/>
  <c r="L245" i="31"/>
  <c r="M245" i="31"/>
  <c r="N245" i="31"/>
  <c r="O245" i="31"/>
  <c r="P245" i="31"/>
  <c r="Q245" i="31"/>
  <c r="R245" i="31"/>
  <c r="S245" i="31"/>
  <c r="T245" i="31"/>
  <c r="I246" i="31"/>
  <c r="J246" i="31"/>
  <c r="K246" i="31"/>
  <c r="L246" i="31"/>
  <c r="M246" i="31"/>
  <c r="N246" i="31"/>
  <c r="O246" i="31"/>
  <c r="P246" i="31"/>
  <c r="Q246" i="31"/>
  <c r="R246" i="31"/>
  <c r="S246" i="31"/>
  <c r="T246" i="31"/>
  <c r="I247" i="31"/>
  <c r="J247" i="31"/>
  <c r="K247" i="31"/>
  <c r="L247" i="31"/>
  <c r="M247" i="31"/>
  <c r="N247" i="31"/>
  <c r="O247" i="31"/>
  <c r="P247" i="31"/>
  <c r="Q247" i="31"/>
  <c r="R247" i="31"/>
  <c r="S247" i="31"/>
  <c r="T247" i="31"/>
  <c r="I248" i="31"/>
  <c r="J248" i="31"/>
  <c r="K248" i="31"/>
  <c r="L248" i="31"/>
  <c r="M248" i="31"/>
  <c r="N248" i="31"/>
  <c r="O248" i="31"/>
  <c r="P248" i="31"/>
  <c r="Q248" i="31"/>
  <c r="R248" i="31"/>
  <c r="S248" i="31"/>
  <c r="T248" i="31"/>
  <c r="I249" i="31"/>
  <c r="J249" i="31"/>
  <c r="K249" i="31"/>
  <c r="L249" i="31"/>
  <c r="M249" i="31"/>
  <c r="N249" i="31"/>
  <c r="O249" i="31"/>
  <c r="P249" i="31"/>
  <c r="Q249" i="31"/>
  <c r="R249" i="31"/>
  <c r="S249" i="31"/>
  <c r="T249" i="31"/>
  <c r="I250" i="31"/>
  <c r="J250" i="31"/>
  <c r="K250" i="31"/>
  <c r="L250" i="31"/>
  <c r="M250" i="31"/>
  <c r="N250" i="31"/>
  <c r="O250" i="31"/>
  <c r="P250" i="31"/>
  <c r="Q250" i="31"/>
  <c r="R250" i="31"/>
  <c r="S250" i="31"/>
  <c r="T250" i="31"/>
  <c r="I251" i="31"/>
  <c r="J251" i="31"/>
  <c r="K251" i="31"/>
  <c r="L251" i="31"/>
  <c r="M251" i="31"/>
  <c r="N251" i="31"/>
  <c r="O251" i="31"/>
  <c r="P251" i="31"/>
  <c r="Q251" i="31"/>
  <c r="R251" i="31"/>
  <c r="S251" i="31"/>
  <c r="T251" i="31"/>
  <c r="I252" i="31"/>
  <c r="J252" i="31"/>
  <c r="K252" i="31"/>
  <c r="L252" i="31"/>
  <c r="M252" i="31"/>
  <c r="N252" i="31"/>
  <c r="O252" i="31"/>
  <c r="P252" i="31"/>
  <c r="Q252" i="31"/>
  <c r="R252" i="31"/>
  <c r="S252" i="31"/>
  <c r="T252" i="31"/>
  <c r="I253" i="31"/>
  <c r="J253" i="31"/>
  <c r="K253" i="31"/>
  <c r="L253" i="31"/>
  <c r="M253" i="31"/>
  <c r="N253" i="31"/>
  <c r="O253" i="31"/>
  <c r="P253" i="31"/>
  <c r="Q253" i="31"/>
  <c r="R253" i="31"/>
  <c r="S253" i="31"/>
  <c r="T253" i="31"/>
  <c r="I254" i="31"/>
  <c r="J254" i="31"/>
  <c r="K254" i="31"/>
  <c r="L254" i="31"/>
  <c r="M254" i="31"/>
  <c r="N254" i="31"/>
  <c r="O254" i="31"/>
  <c r="P254" i="31"/>
  <c r="Q254" i="31"/>
  <c r="R254" i="31"/>
  <c r="S254" i="31"/>
  <c r="T254" i="31"/>
  <c r="I255" i="31"/>
  <c r="J255" i="31"/>
  <c r="K255" i="31"/>
  <c r="L255" i="31"/>
  <c r="M255" i="31"/>
  <c r="N255" i="31"/>
  <c r="O255" i="31"/>
  <c r="P255" i="31"/>
  <c r="Q255" i="31"/>
  <c r="R255" i="31"/>
  <c r="S255" i="31"/>
  <c r="T255" i="31"/>
  <c r="I256" i="31"/>
  <c r="J256" i="31"/>
  <c r="K256" i="31"/>
  <c r="L256" i="31"/>
  <c r="M256" i="31"/>
  <c r="N256" i="31"/>
  <c r="O256" i="31"/>
  <c r="P256" i="31"/>
  <c r="Q256" i="31"/>
  <c r="R256" i="31"/>
  <c r="S256" i="31"/>
  <c r="T256" i="31"/>
  <c r="I257" i="31"/>
  <c r="J257" i="31"/>
  <c r="K257" i="31"/>
  <c r="L257" i="31"/>
  <c r="M257" i="31"/>
  <c r="N257" i="31"/>
  <c r="O257" i="31"/>
  <c r="P257" i="31"/>
  <c r="Q257" i="31"/>
  <c r="R257" i="31"/>
  <c r="S257" i="31"/>
  <c r="T257" i="31"/>
  <c r="I258" i="31"/>
  <c r="J258" i="31"/>
  <c r="K258" i="31"/>
  <c r="L258" i="31"/>
  <c r="M258" i="31"/>
  <c r="N258" i="31"/>
  <c r="O258" i="31"/>
  <c r="P258" i="31"/>
  <c r="Q258" i="31"/>
  <c r="R258" i="31"/>
  <c r="S258" i="31"/>
  <c r="T258" i="31"/>
  <c r="I259" i="31"/>
  <c r="J259" i="31"/>
  <c r="K259" i="31"/>
  <c r="L259" i="31"/>
  <c r="M259" i="31"/>
  <c r="N259" i="31"/>
  <c r="O259" i="31"/>
  <c r="P259" i="31"/>
  <c r="Q259" i="31"/>
  <c r="R259" i="31"/>
  <c r="S259" i="31"/>
  <c r="T259" i="31"/>
  <c r="I260" i="31"/>
  <c r="J260" i="31"/>
  <c r="K260" i="31"/>
  <c r="L260" i="31"/>
  <c r="M260" i="31"/>
  <c r="N260" i="31"/>
  <c r="O260" i="31"/>
  <c r="P260" i="31"/>
  <c r="Q260" i="31"/>
  <c r="R260" i="31"/>
  <c r="S260" i="31"/>
  <c r="T260" i="31"/>
  <c r="I261" i="31"/>
  <c r="J261" i="31"/>
  <c r="K261" i="31"/>
  <c r="L261" i="31"/>
  <c r="M261" i="31"/>
  <c r="N261" i="31"/>
  <c r="O261" i="31"/>
  <c r="P261" i="31"/>
  <c r="Q261" i="31"/>
  <c r="R261" i="31"/>
  <c r="S261" i="31"/>
  <c r="T261" i="31"/>
  <c r="I262" i="31"/>
  <c r="J262" i="31"/>
  <c r="K262" i="31"/>
  <c r="L262" i="31"/>
  <c r="M262" i="31"/>
  <c r="N262" i="31"/>
  <c r="O262" i="31"/>
  <c r="P262" i="31"/>
  <c r="Q262" i="31"/>
  <c r="R262" i="31"/>
  <c r="S262" i="31"/>
  <c r="T262" i="31"/>
  <c r="I263" i="31"/>
  <c r="J263" i="31"/>
  <c r="K263" i="31"/>
  <c r="L263" i="31"/>
  <c r="M263" i="31"/>
  <c r="N263" i="31"/>
  <c r="O263" i="31"/>
  <c r="P263" i="31"/>
  <c r="Q263" i="31"/>
  <c r="R263" i="31"/>
  <c r="S263" i="31"/>
  <c r="T263" i="31"/>
  <c r="I264" i="31"/>
  <c r="J264" i="31"/>
  <c r="K264" i="31"/>
  <c r="L264" i="31"/>
  <c r="M264" i="31"/>
  <c r="N264" i="31"/>
  <c r="O264" i="31"/>
  <c r="P264" i="31"/>
  <c r="Q264" i="31"/>
  <c r="R264" i="31"/>
  <c r="S264" i="31"/>
  <c r="T264" i="31"/>
  <c r="I265" i="31"/>
  <c r="J265" i="31"/>
  <c r="K265" i="31"/>
  <c r="L265" i="31"/>
  <c r="M265" i="31"/>
  <c r="N265" i="31"/>
  <c r="O265" i="31"/>
  <c r="P265" i="31"/>
  <c r="Q265" i="31"/>
  <c r="R265" i="31"/>
  <c r="S265" i="31"/>
  <c r="T265" i="31"/>
  <c r="I266" i="31"/>
  <c r="J266" i="31"/>
  <c r="K266" i="31"/>
  <c r="L266" i="31"/>
  <c r="M266" i="31"/>
  <c r="N266" i="31"/>
  <c r="O266" i="31"/>
  <c r="P266" i="31"/>
  <c r="Q266" i="31"/>
  <c r="R266" i="31"/>
  <c r="S266" i="31"/>
  <c r="T266" i="31"/>
  <c r="I267" i="31"/>
  <c r="J267" i="31"/>
  <c r="K267" i="31"/>
  <c r="L267" i="31"/>
  <c r="M267" i="31"/>
  <c r="N267" i="31"/>
  <c r="O267" i="31"/>
  <c r="P267" i="31"/>
  <c r="Q267" i="31"/>
  <c r="R267" i="31"/>
  <c r="S267" i="31"/>
  <c r="T267" i="31"/>
  <c r="I268" i="31"/>
  <c r="J268" i="31"/>
  <c r="K268" i="31"/>
  <c r="L268" i="31"/>
  <c r="M268" i="31"/>
  <c r="N268" i="31"/>
  <c r="O268" i="31"/>
  <c r="P268" i="31"/>
  <c r="Q268" i="31"/>
  <c r="R268" i="31"/>
  <c r="S268" i="31"/>
  <c r="T268" i="31"/>
  <c r="I269" i="31"/>
  <c r="J269" i="31"/>
  <c r="K269" i="31"/>
  <c r="L269" i="31"/>
  <c r="M269" i="31"/>
  <c r="N269" i="31"/>
  <c r="O269" i="31"/>
  <c r="P269" i="31"/>
  <c r="Q269" i="31"/>
  <c r="R269" i="31"/>
  <c r="S269" i="31"/>
  <c r="T269" i="31"/>
  <c r="I270" i="31"/>
  <c r="J270" i="31"/>
  <c r="K270" i="31"/>
  <c r="L270" i="31"/>
  <c r="M270" i="31"/>
  <c r="N270" i="31"/>
  <c r="O270" i="31"/>
  <c r="P270" i="31"/>
  <c r="Q270" i="31"/>
  <c r="R270" i="31"/>
  <c r="S270" i="31"/>
  <c r="T270" i="31"/>
  <c r="I271" i="31"/>
  <c r="J271" i="31"/>
  <c r="K271" i="31"/>
  <c r="L271" i="31"/>
  <c r="M271" i="31"/>
  <c r="N271" i="31"/>
  <c r="O271" i="31"/>
  <c r="P271" i="31"/>
  <c r="Q271" i="31"/>
  <c r="R271" i="31"/>
  <c r="S271" i="31"/>
  <c r="T271" i="31"/>
  <c r="I272" i="31"/>
  <c r="J272" i="31"/>
  <c r="K272" i="31"/>
  <c r="L272" i="31"/>
  <c r="M272" i="31"/>
  <c r="N272" i="31"/>
  <c r="O272" i="31"/>
  <c r="P272" i="31"/>
  <c r="Q272" i="31"/>
  <c r="R272" i="31"/>
  <c r="S272" i="31"/>
  <c r="T272" i="31"/>
  <c r="I273" i="31"/>
  <c r="J273" i="31"/>
  <c r="K273" i="31"/>
  <c r="L273" i="31"/>
  <c r="M273" i="31"/>
  <c r="N273" i="31"/>
  <c r="O273" i="31"/>
  <c r="P273" i="31"/>
  <c r="Q273" i="31"/>
  <c r="R273" i="31"/>
  <c r="S273" i="31"/>
  <c r="T273" i="31"/>
  <c r="I274" i="31"/>
  <c r="J274" i="31"/>
  <c r="K274" i="31"/>
  <c r="L274" i="31"/>
  <c r="M274" i="31"/>
  <c r="N274" i="31"/>
  <c r="O274" i="31"/>
  <c r="P274" i="31"/>
  <c r="Q274" i="31"/>
  <c r="R274" i="31"/>
  <c r="S274" i="31"/>
  <c r="T274" i="31"/>
  <c r="I275" i="31"/>
  <c r="J275" i="31"/>
  <c r="K275" i="31"/>
  <c r="L275" i="31"/>
  <c r="M275" i="31"/>
  <c r="N275" i="31"/>
  <c r="O275" i="31"/>
  <c r="P275" i="31"/>
  <c r="Q275" i="31"/>
  <c r="R275" i="31"/>
  <c r="S275" i="31"/>
  <c r="T275" i="31"/>
  <c r="I276" i="31"/>
  <c r="J276" i="31"/>
  <c r="K276" i="31"/>
  <c r="L276" i="31"/>
  <c r="M276" i="31"/>
  <c r="N276" i="31"/>
  <c r="O276" i="31"/>
  <c r="P276" i="31"/>
  <c r="Q276" i="31"/>
  <c r="R276" i="31"/>
  <c r="S276" i="31"/>
  <c r="T276" i="31"/>
  <c r="I277" i="31"/>
  <c r="J277" i="31"/>
  <c r="K277" i="31"/>
  <c r="L277" i="31"/>
  <c r="M277" i="31"/>
  <c r="N277" i="31"/>
  <c r="O277" i="31"/>
  <c r="P277" i="31"/>
  <c r="Q277" i="31"/>
  <c r="R277" i="31"/>
  <c r="S277" i="31"/>
  <c r="T277" i="31"/>
  <c r="I278" i="31"/>
  <c r="J278" i="31"/>
  <c r="K278" i="31"/>
  <c r="L278" i="31"/>
  <c r="M278" i="31"/>
  <c r="N278" i="31"/>
  <c r="O278" i="31"/>
  <c r="P278" i="31"/>
  <c r="Q278" i="31"/>
  <c r="R278" i="31"/>
  <c r="S278" i="31"/>
  <c r="T278" i="31"/>
  <c r="I279" i="31"/>
  <c r="J279" i="31"/>
  <c r="K279" i="31"/>
  <c r="L279" i="31"/>
  <c r="M279" i="31"/>
  <c r="N279" i="31"/>
  <c r="O279" i="31"/>
  <c r="P279" i="31"/>
  <c r="Q279" i="31"/>
  <c r="R279" i="31"/>
  <c r="S279" i="31"/>
  <c r="T279" i="31"/>
  <c r="I280" i="31"/>
  <c r="J280" i="31"/>
  <c r="K280" i="31"/>
  <c r="L280" i="31"/>
  <c r="M280" i="31"/>
  <c r="N280" i="31"/>
  <c r="O280" i="31"/>
  <c r="P280" i="31"/>
  <c r="Q280" i="31"/>
  <c r="R280" i="31"/>
  <c r="S280" i="31"/>
  <c r="T280" i="31"/>
  <c r="I281" i="31"/>
  <c r="J281" i="31"/>
  <c r="K281" i="31"/>
  <c r="L281" i="31"/>
  <c r="M281" i="31"/>
  <c r="N281" i="31"/>
  <c r="O281" i="31"/>
  <c r="P281" i="31"/>
  <c r="Q281" i="31"/>
  <c r="R281" i="31"/>
  <c r="S281" i="31"/>
  <c r="T281" i="31"/>
  <c r="I282" i="31"/>
  <c r="J282" i="31"/>
  <c r="K282" i="31"/>
  <c r="L282" i="31"/>
  <c r="M282" i="31"/>
  <c r="N282" i="31"/>
  <c r="O282" i="31"/>
  <c r="P282" i="31"/>
  <c r="Q282" i="31"/>
  <c r="R282" i="31"/>
  <c r="S282" i="31"/>
  <c r="T282" i="31"/>
  <c r="I283" i="31"/>
  <c r="J283" i="31"/>
  <c r="K283" i="31"/>
  <c r="L283" i="31"/>
  <c r="M283" i="31"/>
  <c r="N283" i="31"/>
  <c r="O283" i="31"/>
  <c r="P283" i="31"/>
  <c r="Q283" i="31"/>
  <c r="R283" i="31"/>
  <c r="S283" i="31"/>
  <c r="T283" i="31"/>
  <c r="I284" i="31"/>
  <c r="J284" i="31"/>
  <c r="K284" i="31"/>
  <c r="L284" i="31"/>
  <c r="M284" i="31"/>
  <c r="N284" i="31"/>
  <c r="O284" i="31"/>
  <c r="P284" i="31"/>
  <c r="Q284" i="31"/>
  <c r="R284" i="31"/>
  <c r="S284" i="31"/>
  <c r="T284" i="31"/>
  <c r="I285" i="31"/>
  <c r="J285" i="31"/>
  <c r="K285" i="31"/>
  <c r="L285" i="31"/>
  <c r="M285" i="31"/>
  <c r="N285" i="31"/>
  <c r="O285" i="31"/>
  <c r="P285" i="31"/>
  <c r="Q285" i="31"/>
  <c r="R285" i="31"/>
  <c r="S285" i="31"/>
  <c r="T285" i="31"/>
  <c r="I286" i="31"/>
  <c r="J286" i="31"/>
  <c r="K286" i="31"/>
  <c r="L286" i="31"/>
  <c r="M286" i="31"/>
  <c r="N286" i="31"/>
  <c r="O286" i="31"/>
  <c r="P286" i="31"/>
  <c r="Q286" i="31"/>
  <c r="R286" i="31"/>
  <c r="S286" i="31"/>
  <c r="T286" i="31"/>
  <c r="I287" i="31"/>
  <c r="J287" i="31"/>
  <c r="K287" i="31"/>
  <c r="L287" i="31"/>
  <c r="M287" i="31"/>
  <c r="N287" i="31"/>
  <c r="O287" i="31"/>
  <c r="P287" i="31"/>
  <c r="Q287" i="31"/>
  <c r="R287" i="31"/>
  <c r="S287" i="31"/>
  <c r="T287" i="31"/>
  <c r="I288" i="31"/>
  <c r="J288" i="31"/>
  <c r="K288" i="31"/>
  <c r="L288" i="31"/>
  <c r="M288" i="31"/>
  <c r="N288" i="31"/>
  <c r="O288" i="31"/>
  <c r="P288" i="31"/>
  <c r="Q288" i="31"/>
  <c r="R288" i="31"/>
  <c r="S288" i="31"/>
  <c r="T288" i="31"/>
  <c r="I289" i="31"/>
  <c r="J289" i="31"/>
  <c r="K289" i="31"/>
  <c r="L289" i="31"/>
  <c r="M289" i="31"/>
  <c r="N289" i="31"/>
  <c r="O289" i="31"/>
  <c r="P289" i="31"/>
  <c r="Q289" i="31"/>
  <c r="R289" i="31"/>
  <c r="S289" i="31"/>
  <c r="T289" i="31"/>
  <c r="I290" i="31"/>
  <c r="J290" i="31"/>
  <c r="K290" i="31"/>
  <c r="L290" i="31"/>
  <c r="M290" i="31"/>
  <c r="N290" i="31"/>
  <c r="O290" i="31"/>
  <c r="P290" i="31"/>
  <c r="Q290" i="31"/>
  <c r="R290" i="31"/>
  <c r="S290" i="31"/>
  <c r="T290" i="31"/>
  <c r="I291" i="31"/>
  <c r="J291" i="31"/>
  <c r="K291" i="31"/>
  <c r="L291" i="31"/>
  <c r="M291" i="31"/>
  <c r="N291" i="31"/>
  <c r="O291" i="31"/>
  <c r="P291" i="31"/>
  <c r="Q291" i="31"/>
  <c r="R291" i="31"/>
  <c r="S291" i="31"/>
  <c r="T291" i="31"/>
  <c r="I292" i="31"/>
  <c r="J292" i="31"/>
  <c r="K292" i="31"/>
  <c r="L292" i="31"/>
  <c r="M292" i="31"/>
  <c r="N292" i="31"/>
  <c r="O292" i="31"/>
  <c r="P292" i="31"/>
  <c r="Q292" i="31"/>
  <c r="R292" i="31"/>
  <c r="S292" i="31"/>
  <c r="T292" i="31"/>
  <c r="I293" i="31"/>
  <c r="J293" i="31"/>
  <c r="K293" i="31"/>
  <c r="L293" i="31"/>
  <c r="M293" i="31"/>
  <c r="N293" i="31"/>
  <c r="O293" i="31"/>
  <c r="P293" i="31"/>
  <c r="Q293" i="31"/>
  <c r="R293" i="31"/>
  <c r="S293" i="31"/>
  <c r="T293" i="31"/>
  <c r="I294" i="31"/>
  <c r="J294" i="31"/>
  <c r="K294" i="31"/>
  <c r="L294" i="31"/>
  <c r="M294" i="31"/>
  <c r="N294" i="31"/>
  <c r="O294" i="31"/>
  <c r="P294" i="31"/>
  <c r="Q294" i="31"/>
  <c r="R294" i="31"/>
  <c r="S294" i="31"/>
  <c r="T294" i="31"/>
  <c r="I295" i="31"/>
  <c r="J295" i="31"/>
  <c r="K295" i="31"/>
  <c r="L295" i="31"/>
  <c r="M295" i="31"/>
  <c r="N295" i="31"/>
  <c r="O295" i="31"/>
  <c r="P295" i="31"/>
  <c r="Q295" i="31"/>
  <c r="R295" i="31"/>
  <c r="S295" i="31"/>
  <c r="T295" i="31"/>
  <c r="I296" i="31"/>
  <c r="J296" i="31"/>
  <c r="K296" i="31"/>
  <c r="L296" i="31"/>
  <c r="M296" i="31"/>
  <c r="N296" i="31"/>
  <c r="O296" i="31"/>
  <c r="P296" i="31"/>
  <c r="Q296" i="31"/>
  <c r="R296" i="31"/>
  <c r="S296" i="31"/>
  <c r="T296" i="31"/>
  <c r="I297" i="31"/>
  <c r="J297" i="31"/>
  <c r="K297" i="31"/>
  <c r="L297" i="31"/>
  <c r="M297" i="31"/>
  <c r="N297" i="31"/>
  <c r="O297" i="31"/>
  <c r="P297" i="31"/>
  <c r="Q297" i="31"/>
  <c r="R297" i="31"/>
  <c r="S297" i="31"/>
  <c r="T297" i="31"/>
  <c r="I298" i="31"/>
  <c r="J298" i="31"/>
  <c r="K298" i="31"/>
  <c r="L298" i="31"/>
  <c r="M298" i="31"/>
  <c r="N298" i="31"/>
  <c r="O298" i="31"/>
  <c r="P298" i="31"/>
  <c r="Q298" i="31"/>
  <c r="R298" i="31"/>
  <c r="S298" i="31"/>
  <c r="T298" i="31"/>
  <c r="I299" i="31"/>
  <c r="J299" i="31"/>
  <c r="K299" i="31"/>
  <c r="L299" i="31"/>
  <c r="M299" i="31"/>
  <c r="N299" i="31"/>
  <c r="O299" i="31"/>
  <c r="P299" i="31"/>
  <c r="Q299" i="31"/>
  <c r="R299" i="31"/>
  <c r="S299" i="31"/>
  <c r="T299" i="31"/>
  <c r="I300" i="31"/>
  <c r="J300" i="31"/>
  <c r="K300" i="31"/>
  <c r="L300" i="31"/>
  <c r="M300" i="31"/>
  <c r="N300" i="31"/>
  <c r="O300" i="31"/>
  <c r="P300" i="31"/>
  <c r="Q300" i="31"/>
  <c r="R300" i="31"/>
  <c r="S300" i="31"/>
  <c r="T300" i="31"/>
  <c r="I301" i="31"/>
  <c r="J301" i="31"/>
  <c r="K301" i="31"/>
  <c r="L301" i="31"/>
  <c r="M301" i="31"/>
  <c r="N301" i="31"/>
  <c r="O301" i="31"/>
  <c r="P301" i="31"/>
  <c r="Q301" i="31"/>
  <c r="R301" i="31"/>
  <c r="S301" i="31"/>
  <c r="T301" i="31"/>
  <c r="I302" i="31"/>
  <c r="J302" i="31"/>
  <c r="K302" i="31"/>
  <c r="L302" i="31"/>
  <c r="M302" i="31"/>
  <c r="N302" i="31"/>
  <c r="O302" i="31"/>
  <c r="P302" i="31"/>
  <c r="Q302" i="31"/>
  <c r="R302" i="31"/>
  <c r="S302" i="31"/>
  <c r="T302" i="31"/>
  <c r="I303" i="31"/>
  <c r="J303" i="31"/>
  <c r="K303" i="31"/>
  <c r="L303" i="31"/>
  <c r="M303" i="31"/>
  <c r="N303" i="31"/>
  <c r="O303" i="31"/>
  <c r="P303" i="31"/>
  <c r="Q303" i="31"/>
  <c r="R303" i="31"/>
  <c r="S303" i="31"/>
  <c r="T303" i="31"/>
  <c r="I304" i="31"/>
  <c r="J304" i="31"/>
  <c r="K304" i="31"/>
  <c r="L304" i="31"/>
  <c r="M304" i="31"/>
  <c r="N304" i="31"/>
  <c r="O304" i="31"/>
  <c r="P304" i="31"/>
  <c r="Q304" i="31"/>
  <c r="R304" i="31"/>
  <c r="S304" i="31"/>
  <c r="T304" i="31"/>
  <c r="I305" i="31"/>
  <c r="J305" i="31"/>
  <c r="K305" i="31"/>
  <c r="L305" i="31"/>
  <c r="M305" i="31"/>
  <c r="N305" i="31"/>
  <c r="O305" i="31"/>
  <c r="P305" i="31"/>
  <c r="Q305" i="31"/>
  <c r="R305" i="31"/>
  <c r="S305" i="31"/>
  <c r="T305" i="31"/>
  <c r="I306" i="31"/>
  <c r="J306" i="31"/>
  <c r="K306" i="31"/>
  <c r="L306" i="31"/>
  <c r="M306" i="31"/>
  <c r="N306" i="31"/>
  <c r="O306" i="31"/>
  <c r="P306" i="31"/>
  <c r="Q306" i="31"/>
  <c r="R306" i="31"/>
  <c r="S306" i="31"/>
  <c r="T306" i="31"/>
  <c r="I307" i="31"/>
  <c r="J307" i="31"/>
  <c r="K307" i="31"/>
  <c r="L307" i="31"/>
  <c r="M307" i="31"/>
  <c r="N307" i="31"/>
  <c r="O307" i="31"/>
  <c r="P307" i="31"/>
  <c r="Q307" i="31"/>
  <c r="R307" i="31"/>
  <c r="S307" i="31"/>
  <c r="T307" i="31"/>
  <c r="I308" i="31"/>
  <c r="J308" i="31"/>
  <c r="K308" i="31"/>
  <c r="L308" i="31"/>
  <c r="M308" i="31"/>
  <c r="N308" i="31"/>
  <c r="O308" i="31"/>
  <c r="P308" i="31"/>
  <c r="Q308" i="31"/>
  <c r="R308" i="31"/>
  <c r="S308" i="31"/>
  <c r="T308" i="31"/>
  <c r="I309" i="31"/>
  <c r="J309" i="31"/>
  <c r="K309" i="31"/>
  <c r="L309" i="31"/>
  <c r="M309" i="31"/>
  <c r="N309" i="31"/>
  <c r="O309" i="31"/>
  <c r="P309" i="31"/>
  <c r="Q309" i="31"/>
  <c r="R309" i="31"/>
  <c r="S309" i="31"/>
  <c r="T309" i="31"/>
  <c r="I310" i="31"/>
  <c r="J310" i="31"/>
  <c r="K310" i="31"/>
  <c r="L310" i="31"/>
  <c r="M310" i="31"/>
  <c r="N310" i="31"/>
  <c r="O310" i="31"/>
  <c r="P310" i="31"/>
  <c r="Q310" i="31"/>
  <c r="R310" i="31"/>
  <c r="S310" i="31"/>
  <c r="T310" i="31"/>
  <c r="I311" i="31"/>
  <c r="J311" i="31"/>
  <c r="K311" i="31"/>
  <c r="L311" i="31"/>
  <c r="M311" i="31"/>
  <c r="N311" i="31"/>
  <c r="O311" i="31"/>
  <c r="P311" i="31"/>
  <c r="Q311" i="31"/>
  <c r="R311" i="31"/>
  <c r="S311" i="31"/>
  <c r="T311" i="31"/>
  <c r="I312" i="31"/>
  <c r="J312" i="31"/>
  <c r="K312" i="31"/>
  <c r="L312" i="31"/>
  <c r="M312" i="31"/>
  <c r="N312" i="31"/>
  <c r="O312" i="31"/>
  <c r="P312" i="31"/>
  <c r="Q312" i="31"/>
  <c r="R312" i="31"/>
  <c r="S312" i="31"/>
  <c r="T312" i="31"/>
  <c r="I313" i="31"/>
  <c r="J313" i="31"/>
  <c r="K313" i="31"/>
  <c r="L313" i="31"/>
  <c r="M313" i="31"/>
  <c r="N313" i="31"/>
  <c r="O313" i="31"/>
  <c r="P313" i="31"/>
  <c r="Q313" i="31"/>
  <c r="R313" i="31"/>
  <c r="S313" i="31"/>
  <c r="T313" i="31"/>
  <c r="I314" i="31"/>
  <c r="J314" i="31"/>
  <c r="K314" i="31"/>
  <c r="L314" i="31"/>
  <c r="M314" i="31"/>
  <c r="N314" i="31"/>
  <c r="O314" i="31"/>
  <c r="P314" i="31"/>
  <c r="Q314" i="31"/>
  <c r="R314" i="31"/>
  <c r="S314" i="31"/>
  <c r="T314" i="31"/>
  <c r="I315" i="31"/>
  <c r="J315" i="31"/>
  <c r="K315" i="31"/>
  <c r="L315" i="31"/>
  <c r="M315" i="31"/>
  <c r="N315" i="31"/>
  <c r="O315" i="31"/>
  <c r="P315" i="31"/>
  <c r="Q315" i="31"/>
  <c r="R315" i="31"/>
  <c r="S315" i="31"/>
  <c r="T315" i="31"/>
  <c r="I316" i="31"/>
  <c r="J316" i="31"/>
  <c r="K316" i="31"/>
  <c r="L316" i="31"/>
  <c r="M316" i="31"/>
  <c r="N316" i="31"/>
  <c r="O316" i="31"/>
  <c r="P316" i="31"/>
  <c r="Q316" i="31"/>
  <c r="R316" i="31"/>
  <c r="S316" i="31"/>
  <c r="T316" i="31"/>
  <c r="I317" i="31"/>
  <c r="J317" i="31"/>
  <c r="K317" i="31"/>
  <c r="L317" i="31"/>
  <c r="M317" i="31"/>
  <c r="N317" i="31"/>
  <c r="O317" i="31"/>
  <c r="P317" i="31"/>
  <c r="Q317" i="31"/>
  <c r="R317" i="31"/>
  <c r="S317" i="31"/>
  <c r="T317" i="31"/>
  <c r="I318" i="31"/>
  <c r="J318" i="31"/>
  <c r="K318" i="31"/>
  <c r="L318" i="31"/>
  <c r="M318" i="31"/>
  <c r="N318" i="31"/>
  <c r="O318" i="31"/>
  <c r="P318" i="31"/>
  <c r="Q318" i="31"/>
  <c r="R318" i="31"/>
  <c r="S318" i="31"/>
  <c r="T318" i="31"/>
  <c r="I319" i="31"/>
  <c r="J319" i="31"/>
  <c r="K319" i="31"/>
  <c r="L319" i="31"/>
  <c r="M319" i="31"/>
  <c r="N319" i="31"/>
  <c r="O319" i="31"/>
  <c r="P319" i="31"/>
  <c r="Q319" i="31"/>
  <c r="R319" i="31"/>
  <c r="S319" i="31"/>
  <c r="T319" i="31"/>
  <c r="I320" i="31"/>
  <c r="J320" i="31"/>
  <c r="K320" i="31"/>
  <c r="L320" i="31"/>
  <c r="M320" i="31"/>
  <c r="N320" i="31"/>
  <c r="O320" i="31"/>
  <c r="P320" i="31"/>
  <c r="Q320" i="31"/>
  <c r="R320" i="31"/>
  <c r="S320" i="31"/>
  <c r="T320" i="31"/>
  <c r="I321" i="31"/>
  <c r="J321" i="31"/>
  <c r="K321" i="31"/>
  <c r="L321" i="31"/>
  <c r="M321" i="31"/>
  <c r="N321" i="31"/>
  <c r="O321" i="31"/>
  <c r="P321" i="31"/>
  <c r="Q321" i="31"/>
  <c r="R321" i="31"/>
  <c r="S321" i="31"/>
  <c r="T321" i="31"/>
  <c r="I322" i="31"/>
  <c r="J322" i="31"/>
  <c r="K322" i="31"/>
  <c r="L322" i="31"/>
  <c r="M322" i="31"/>
  <c r="N322" i="31"/>
  <c r="O322" i="31"/>
  <c r="P322" i="31"/>
  <c r="Q322" i="31"/>
  <c r="R322" i="31"/>
  <c r="S322" i="31"/>
  <c r="T322" i="31"/>
  <c r="I323" i="31"/>
  <c r="J323" i="31"/>
  <c r="K323" i="31"/>
  <c r="L323" i="31"/>
  <c r="M323" i="31"/>
  <c r="N323" i="31"/>
  <c r="O323" i="31"/>
  <c r="P323" i="31"/>
  <c r="Q323" i="31"/>
  <c r="R323" i="31"/>
  <c r="S323" i="31"/>
  <c r="T323" i="31"/>
  <c r="I324" i="31"/>
  <c r="J324" i="31"/>
  <c r="K324" i="31"/>
  <c r="L324" i="31"/>
  <c r="M324" i="31"/>
  <c r="N324" i="31"/>
  <c r="O324" i="31"/>
  <c r="P324" i="31"/>
  <c r="Q324" i="31"/>
  <c r="R324" i="31"/>
  <c r="S324" i="31"/>
  <c r="T324" i="31"/>
  <c r="I325" i="31"/>
  <c r="J325" i="31"/>
  <c r="K325" i="31"/>
  <c r="L325" i="31"/>
  <c r="M325" i="31"/>
  <c r="N325" i="31"/>
  <c r="O325" i="31"/>
  <c r="P325" i="31"/>
  <c r="Q325" i="31"/>
  <c r="R325" i="31"/>
  <c r="S325" i="31"/>
  <c r="T325" i="31"/>
  <c r="I326" i="31"/>
  <c r="J326" i="31"/>
  <c r="K326" i="31"/>
  <c r="L326" i="31"/>
  <c r="M326" i="31"/>
  <c r="N326" i="31"/>
  <c r="O326" i="31"/>
  <c r="P326" i="31"/>
  <c r="Q326" i="31"/>
  <c r="R326" i="31"/>
  <c r="S326" i="31"/>
  <c r="T326" i="31"/>
  <c r="I327" i="31"/>
  <c r="J327" i="31"/>
  <c r="K327" i="31"/>
  <c r="L327" i="31"/>
  <c r="M327" i="31"/>
  <c r="N327" i="31"/>
  <c r="O327" i="31"/>
  <c r="P327" i="31"/>
  <c r="Q327" i="31"/>
  <c r="R327" i="31"/>
  <c r="S327" i="31"/>
  <c r="T327" i="31"/>
  <c r="I328" i="31"/>
  <c r="J328" i="31"/>
  <c r="K328" i="31"/>
  <c r="L328" i="31"/>
  <c r="M328" i="31"/>
  <c r="N328" i="31"/>
  <c r="O328" i="31"/>
  <c r="P328" i="31"/>
  <c r="Q328" i="31"/>
  <c r="R328" i="31"/>
  <c r="S328" i="31"/>
  <c r="T328" i="31"/>
  <c r="I329" i="31"/>
  <c r="J329" i="31"/>
  <c r="K329" i="31"/>
  <c r="L329" i="31"/>
  <c r="M329" i="31"/>
  <c r="N329" i="31"/>
  <c r="O329" i="31"/>
  <c r="P329" i="31"/>
  <c r="Q329" i="31"/>
  <c r="R329" i="31"/>
  <c r="S329" i="31"/>
  <c r="T329" i="31"/>
  <c r="I330" i="31"/>
  <c r="J330" i="31"/>
  <c r="K330" i="31"/>
  <c r="L330" i="31"/>
  <c r="M330" i="31"/>
  <c r="N330" i="31"/>
  <c r="O330" i="31"/>
  <c r="P330" i="31"/>
  <c r="Q330" i="31"/>
  <c r="R330" i="31"/>
  <c r="S330" i="31"/>
  <c r="T330" i="31"/>
  <c r="I331" i="31"/>
  <c r="J331" i="31"/>
  <c r="K331" i="31"/>
  <c r="L331" i="31"/>
  <c r="M331" i="31"/>
  <c r="N331" i="31"/>
  <c r="O331" i="31"/>
  <c r="P331" i="31"/>
  <c r="Q331" i="31"/>
  <c r="R331" i="31"/>
  <c r="S331" i="31"/>
  <c r="T331" i="31"/>
  <c r="I332" i="31"/>
  <c r="J332" i="31"/>
  <c r="K332" i="31"/>
  <c r="L332" i="31"/>
  <c r="M332" i="31"/>
  <c r="N332" i="31"/>
  <c r="O332" i="31"/>
  <c r="P332" i="31"/>
  <c r="Q332" i="31"/>
  <c r="R332" i="31"/>
  <c r="S332" i="31"/>
  <c r="T332" i="31"/>
  <c r="I333" i="31"/>
  <c r="J333" i="31"/>
  <c r="K333" i="31"/>
  <c r="L333" i="31"/>
  <c r="M333" i="31"/>
  <c r="N333" i="31"/>
  <c r="O333" i="31"/>
  <c r="P333" i="31"/>
  <c r="Q333" i="31"/>
  <c r="R333" i="31"/>
  <c r="S333" i="31"/>
  <c r="T333" i="31"/>
  <c r="I334" i="31"/>
  <c r="J334" i="31"/>
  <c r="K334" i="31"/>
  <c r="L334" i="31"/>
  <c r="M334" i="31"/>
  <c r="N334" i="31"/>
  <c r="O334" i="31"/>
  <c r="P334" i="31"/>
  <c r="Q334" i="31"/>
  <c r="R334" i="31"/>
  <c r="S334" i="31"/>
  <c r="T334" i="31"/>
  <c r="I335" i="31"/>
  <c r="J335" i="31"/>
  <c r="K335" i="31"/>
  <c r="L335" i="31"/>
  <c r="M335" i="31"/>
  <c r="N335" i="31"/>
  <c r="O335" i="31"/>
  <c r="P335" i="31"/>
  <c r="Q335" i="31"/>
  <c r="R335" i="31"/>
  <c r="S335" i="31"/>
  <c r="T335" i="31"/>
  <c r="I336" i="31"/>
  <c r="J336" i="31"/>
  <c r="K336" i="31"/>
  <c r="L336" i="31"/>
  <c r="M336" i="31"/>
  <c r="N336" i="31"/>
  <c r="O336" i="31"/>
  <c r="P336" i="31"/>
  <c r="Q336" i="31"/>
  <c r="R336" i="31"/>
  <c r="S336" i="31"/>
  <c r="T336" i="31"/>
  <c r="I337" i="31"/>
  <c r="J337" i="31"/>
  <c r="K337" i="31"/>
  <c r="L337" i="31"/>
  <c r="M337" i="31"/>
  <c r="N337" i="31"/>
  <c r="O337" i="31"/>
  <c r="P337" i="31"/>
  <c r="Q337" i="31"/>
  <c r="R337" i="31"/>
  <c r="S337" i="31"/>
  <c r="T337" i="31"/>
  <c r="I338" i="31"/>
  <c r="J338" i="31"/>
  <c r="K338" i="31"/>
  <c r="L338" i="31"/>
  <c r="M338" i="31"/>
  <c r="N338" i="31"/>
  <c r="O338" i="31"/>
  <c r="P338" i="31"/>
  <c r="Q338" i="31"/>
  <c r="R338" i="31"/>
  <c r="S338" i="31"/>
  <c r="T338" i="31"/>
  <c r="I339" i="31"/>
  <c r="J339" i="31"/>
  <c r="K339" i="31"/>
  <c r="L339" i="31"/>
  <c r="M339" i="31"/>
  <c r="N339" i="31"/>
  <c r="O339" i="31"/>
  <c r="P339" i="31"/>
  <c r="Q339" i="31"/>
  <c r="R339" i="31"/>
  <c r="S339" i="31"/>
  <c r="T339" i="31"/>
  <c r="I340" i="31"/>
  <c r="J340" i="31"/>
  <c r="K340" i="31"/>
  <c r="L340" i="31"/>
  <c r="M340" i="31"/>
  <c r="N340" i="31"/>
  <c r="O340" i="31"/>
  <c r="P340" i="31"/>
  <c r="Q340" i="31"/>
  <c r="R340" i="31"/>
  <c r="S340" i="31"/>
  <c r="T340" i="31"/>
  <c r="I341" i="31"/>
  <c r="J341" i="31"/>
  <c r="K341" i="31"/>
  <c r="L341" i="31"/>
  <c r="M341" i="31"/>
  <c r="N341" i="31"/>
  <c r="O341" i="31"/>
  <c r="P341" i="31"/>
  <c r="Q341" i="31"/>
  <c r="R341" i="31"/>
  <c r="S341" i="31"/>
  <c r="T341" i="31"/>
  <c r="I342" i="31"/>
  <c r="J342" i="31"/>
  <c r="K342" i="31"/>
  <c r="L342" i="31"/>
  <c r="M342" i="31"/>
  <c r="N342" i="31"/>
  <c r="O342" i="31"/>
  <c r="P342" i="31"/>
  <c r="Q342" i="31"/>
  <c r="R342" i="31"/>
  <c r="S342" i="31"/>
  <c r="T342" i="31"/>
  <c r="I343" i="31"/>
  <c r="J343" i="31"/>
  <c r="K343" i="31"/>
  <c r="L343" i="31"/>
  <c r="M343" i="31"/>
  <c r="N343" i="31"/>
  <c r="O343" i="31"/>
  <c r="P343" i="31"/>
  <c r="Q343" i="31"/>
  <c r="R343" i="31"/>
  <c r="S343" i="31"/>
  <c r="T343" i="31"/>
  <c r="I344" i="31"/>
  <c r="J344" i="31"/>
  <c r="K344" i="31"/>
  <c r="L344" i="31"/>
  <c r="M344" i="31"/>
  <c r="N344" i="31"/>
  <c r="O344" i="31"/>
  <c r="P344" i="31"/>
  <c r="Q344" i="31"/>
  <c r="R344" i="31"/>
  <c r="S344" i="31"/>
  <c r="T344" i="31"/>
  <c r="I345" i="31"/>
  <c r="J345" i="31"/>
  <c r="K345" i="31"/>
  <c r="L345" i="31"/>
  <c r="M345" i="31"/>
  <c r="N345" i="31"/>
  <c r="O345" i="31"/>
  <c r="P345" i="31"/>
  <c r="Q345" i="31"/>
  <c r="R345" i="31"/>
  <c r="S345" i="31"/>
  <c r="T345" i="31"/>
  <c r="I346" i="31"/>
  <c r="J346" i="31"/>
  <c r="K346" i="31"/>
  <c r="L346" i="31"/>
  <c r="M346" i="31"/>
  <c r="N346" i="31"/>
  <c r="O346" i="31"/>
  <c r="P346" i="31"/>
  <c r="Q346" i="31"/>
  <c r="R346" i="31"/>
  <c r="S346" i="31"/>
  <c r="T346" i="31"/>
  <c r="I347" i="31"/>
  <c r="J347" i="31"/>
  <c r="K347" i="31"/>
  <c r="L347" i="31"/>
  <c r="M347" i="31"/>
  <c r="N347" i="31"/>
  <c r="O347" i="31"/>
  <c r="P347" i="31"/>
  <c r="Q347" i="31"/>
  <c r="R347" i="31"/>
  <c r="S347" i="31"/>
  <c r="T347" i="31"/>
  <c r="I348" i="31"/>
  <c r="J348" i="31"/>
  <c r="K348" i="31"/>
  <c r="L348" i="31"/>
  <c r="M348" i="31"/>
  <c r="N348" i="31"/>
  <c r="O348" i="31"/>
  <c r="P348" i="31"/>
  <c r="Q348" i="31"/>
  <c r="R348" i="31"/>
  <c r="S348" i="31"/>
  <c r="T348" i="31"/>
  <c r="I349" i="31"/>
  <c r="J349" i="31"/>
  <c r="K349" i="31"/>
  <c r="L349" i="31"/>
  <c r="M349" i="31"/>
  <c r="N349" i="31"/>
  <c r="O349" i="31"/>
  <c r="P349" i="31"/>
  <c r="Q349" i="31"/>
  <c r="R349" i="31"/>
  <c r="S349" i="31"/>
  <c r="T349" i="31"/>
  <c r="I350" i="31"/>
  <c r="J350" i="31"/>
  <c r="K350" i="31"/>
  <c r="L350" i="31"/>
  <c r="M350" i="31"/>
  <c r="N350" i="31"/>
  <c r="O350" i="31"/>
  <c r="P350" i="31"/>
  <c r="Q350" i="31"/>
  <c r="R350" i="31"/>
  <c r="S350" i="31"/>
  <c r="T350" i="31"/>
  <c r="I351" i="31"/>
  <c r="J351" i="31"/>
  <c r="K351" i="31"/>
  <c r="L351" i="31"/>
  <c r="M351" i="31"/>
  <c r="N351" i="31"/>
  <c r="O351" i="31"/>
  <c r="P351" i="31"/>
  <c r="Q351" i="31"/>
  <c r="R351" i="31"/>
  <c r="S351" i="31"/>
  <c r="T351" i="31"/>
  <c r="I352" i="31"/>
  <c r="J352" i="31"/>
  <c r="K352" i="31"/>
  <c r="L352" i="31"/>
  <c r="M352" i="31"/>
  <c r="N352" i="31"/>
  <c r="O352" i="31"/>
  <c r="P352" i="31"/>
  <c r="Q352" i="31"/>
  <c r="R352" i="31"/>
  <c r="S352" i="31"/>
  <c r="T352" i="31"/>
  <c r="I353" i="31"/>
  <c r="J353" i="31"/>
  <c r="K353" i="31"/>
  <c r="L353" i="31"/>
  <c r="M353" i="31"/>
  <c r="N353" i="31"/>
  <c r="O353" i="31"/>
  <c r="P353" i="31"/>
  <c r="Q353" i="31"/>
  <c r="R353" i="31"/>
  <c r="S353" i="31"/>
  <c r="T353" i="31"/>
  <c r="I354" i="31"/>
  <c r="J354" i="31"/>
  <c r="K354" i="31"/>
  <c r="L354" i="31"/>
  <c r="M354" i="31"/>
  <c r="N354" i="31"/>
  <c r="O354" i="31"/>
  <c r="P354" i="31"/>
  <c r="Q354" i="31"/>
  <c r="R354" i="31"/>
  <c r="S354" i="31"/>
  <c r="T354" i="31"/>
  <c r="I355" i="31"/>
  <c r="J355" i="31"/>
  <c r="K355" i="31"/>
  <c r="L355" i="31"/>
  <c r="M355" i="31"/>
  <c r="N355" i="31"/>
  <c r="O355" i="31"/>
  <c r="P355" i="31"/>
  <c r="Q355" i="31"/>
  <c r="R355" i="31"/>
  <c r="S355" i="31"/>
  <c r="T355" i="31"/>
  <c r="I356" i="31"/>
  <c r="J356" i="31"/>
  <c r="K356" i="31"/>
  <c r="L356" i="31"/>
  <c r="M356" i="31"/>
  <c r="N356" i="31"/>
  <c r="O356" i="31"/>
  <c r="P356" i="31"/>
  <c r="Q356" i="31"/>
  <c r="R356" i="31"/>
  <c r="S356" i="31"/>
  <c r="T356" i="31"/>
  <c r="I357" i="31"/>
  <c r="J357" i="31"/>
  <c r="K357" i="31"/>
  <c r="L357" i="31"/>
  <c r="M357" i="31"/>
  <c r="N357" i="31"/>
  <c r="O357" i="31"/>
  <c r="P357" i="31"/>
  <c r="Q357" i="31"/>
  <c r="R357" i="31"/>
  <c r="S357" i="31"/>
  <c r="T357" i="31"/>
  <c r="I358" i="31"/>
  <c r="J358" i="31"/>
  <c r="K358" i="31"/>
  <c r="L358" i="31"/>
  <c r="M358" i="31"/>
  <c r="N358" i="31"/>
  <c r="O358" i="31"/>
  <c r="P358" i="31"/>
  <c r="Q358" i="31"/>
  <c r="R358" i="31"/>
  <c r="S358" i="31"/>
  <c r="T358" i="31"/>
  <c r="I359" i="31"/>
  <c r="J359" i="31"/>
  <c r="K359" i="31"/>
  <c r="L359" i="31"/>
  <c r="M359" i="31"/>
  <c r="N359" i="31"/>
  <c r="O359" i="31"/>
  <c r="P359" i="31"/>
  <c r="Q359" i="31"/>
  <c r="R359" i="31"/>
  <c r="S359" i="31"/>
  <c r="T359" i="31"/>
  <c r="I360" i="31"/>
  <c r="J360" i="31"/>
  <c r="K360" i="31"/>
  <c r="L360" i="31"/>
  <c r="M360" i="31"/>
  <c r="N360" i="31"/>
  <c r="O360" i="31"/>
  <c r="P360" i="31"/>
  <c r="Q360" i="31"/>
  <c r="R360" i="31"/>
  <c r="S360" i="31"/>
  <c r="T360" i="31"/>
  <c r="I361" i="31"/>
  <c r="J361" i="31"/>
  <c r="K361" i="31"/>
  <c r="L361" i="31"/>
  <c r="M361" i="31"/>
  <c r="N361" i="31"/>
  <c r="O361" i="31"/>
  <c r="P361" i="31"/>
  <c r="Q361" i="31"/>
  <c r="R361" i="31"/>
  <c r="S361" i="31"/>
  <c r="T361" i="31"/>
  <c r="I362" i="31"/>
  <c r="J362" i="31"/>
  <c r="K362" i="31"/>
  <c r="L362" i="31"/>
  <c r="M362" i="31"/>
  <c r="N362" i="31"/>
  <c r="O362" i="31"/>
  <c r="P362" i="31"/>
  <c r="Q362" i="31"/>
  <c r="R362" i="31"/>
  <c r="S362" i="31"/>
  <c r="T362" i="31"/>
  <c r="I363" i="31"/>
  <c r="J363" i="31"/>
  <c r="K363" i="31"/>
  <c r="L363" i="31"/>
  <c r="M363" i="31"/>
  <c r="N363" i="31"/>
  <c r="O363" i="31"/>
  <c r="P363" i="31"/>
  <c r="Q363" i="31"/>
  <c r="R363" i="31"/>
  <c r="S363" i="31"/>
  <c r="T363" i="31"/>
  <c r="I364" i="31"/>
  <c r="J364" i="31"/>
  <c r="K364" i="31"/>
  <c r="L364" i="31"/>
  <c r="M364" i="31"/>
  <c r="N364" i="31"/>
  <c r="O364" i="31"/>
  <c r="P364" i="31"/>
  <c r="Q364" i="31"/>
  <c r="R364" i="31"/>
  <c r="S364" i="31"/>
  <c r="T364" i="31"/>
  <c r="I365" i="31"/>
  <c r="J365" i="31"/>
  <c r="K365" i="31"/>
  <c r="L365" i="31"/>
  <c r="M365" i="31"/>
  <c r="N365" i="31"/>
  <c r="O365" i="31"/>
  <c r="P365" i="31"/>
  <c r="Q365" i="31"/>
  <c r="R365" i="31"/>
  <c r="S365" i="31"/>
  <c r="T365" i="31"/>
  <c r="I366" i="31"/>
  <c r="J366" i="31"/>
  <c r="K366" i="31"/>
  <c r="L366" i="31"/>
  <c r="M366" i="31"/>
  <c r="N366" i="31"/>
  <c r="O366" i="31"/>
  <c r="P366" i="31"/>
  <c r="Q366" i="31"/>
  <c r="R366" i="31"/>
  <c r="S366" i="31"/>
  <c r="T366" i="31"/>
  <c r="I367" i="31"/>
  <c r="J367" i="31"/>
  <c r="K367" i="31"/>
  <c r="L367" i="31"/>
  <c r="M367" i="31"/>
  <c r="N367" i="31"/>
  <c r="O367" i="31"/>
  <c r="P367" i="31"/>
  <c r="Q367" i="31"/>
  <c r="R367" i="31"/>
  <c r="S367" i="31"/>
  <c r="T367" i="31"/>
  <c r="I368" i="31"/>
  <c r="J368" i="31"/>
  <c r="K368" i="31"/>
  <c r="L368" i="31"/>
  <c r="M368" i="31"/>
  <c r="N368" i="31"/>
  <c r="O368" i="31"/>
  <c r="P368" i="31"/>
  <c r="Q368" i="31"/>
  <c r="R368" i="31"/>
  <c r="S368" i="31"/>
  <c r="T368" i="31"/>
  <c r="I369" i="31"/>
  <c r="J369" i="31"/>
  <c r="K369" i="31"/>
  <c r="L369" i="31"/>
  <c r="M369" i="31"/>
  <c r="N369" i="31"/>
  <c r="O369" i="31"/>
  <c r="P369" i="31"/>
  <c r="Q369" i="31"/>
  <c r="R369" i="31"/>
  <c r="S369" i="31"/>
  <c r="T369" i="31"/>
  <c r="I370" i="31"/>
  <c r="J370" i="31"/>
  <c r="K370" i="31"/>
  <c r="L370" i="31"/>
  <c r="M370" i="31"/>
  <c r="N370" i="31"/>
  <c r="O370" i="31"/>
  <c r="P370" i="31"/>
  <c r="Q370" i="31"/>
  <c r="R370" i="31"/>
  <c r="S370" i="31"/>
  <c r="T370" i="31"/>
  <c r="I371" i="31"/>
  <c r="J371" i="31"/>
  <c r="K371" i="31"/>
  <c r="L371" i="31"/>
  <c r="M371" i="31"/>
  <c r="N371" i="31"/>
  <c r="O371" i="31"/>
  <c r="P371" i="31"/>
  <c r="Q371" i="31"/>
  <c r="R371" i="31"/>
  <c r="S371" i="31"/>
  <c r="T371" i="31"/>
  <c r="I372" i="31"/>
  <c r="J372" i="31"/>
  <c r="K372" i="31"/>
  <c r="L372" i="31"/>
  <c r="M372" i="31"/>
  <c r="N372" i="31"/>
  <c r="O372" i="31"/>
  <c r="P372" i="31"/>
  <c r="Q372" i="31"/>
  <c r="R372" i="31"/>
  <c r="S372" i="31"/>
  <c r="T372" i="31"/>
  <c r="I373" i="31"/>
  <c r="J373" i="31"/>
  <c r="K373" i="31"/>
  <c r="L373" i="31"/>
  <c r="M373" i="31"/>
  <c r="N373" i="31"/>
  <c r="O373" i="31"/>
  <c r="P373" i="31"/>
  <c r="Q373" i="31"/>
  <c r="R373" i="31"/>
  <c r="S373" i="31"/>
  <c r="T373" i="31"/>
  <c r="I374" i="31"/>
  <c r="J374" i="31"/>
  <c r="K374" i="31"/>
  <c r="L374" i="31"/>
  <c r="M374" i="31"/>
  <c r="N374" i="31"/>
  <c r="O374" i="31"/>
  <c r="P374" i="31"/>
  <c r="Q374" i="31"/>
  <c r="R374" i="31"/>
  <c r="S374" i="31"/>
  <c r="T374" i="31"/>
  <c r="I375" i="31"/>
  <c r="J375" i="31"/>
  <c r="K375" i="31"/>
  <c r="L375" i="31"/>
  <c r="M375" i="31"/>
  <c r="N375" i="31"/>
  <c r="O375" i="31"/>
  <c r="P375" i="31"/>
  <c r="Q375" i="31"/>
  <c r="R375" i="31"/>
  <c r="S375" i="31"/>
  <c r="T375" i="31"/>
  <c r="I376" i="31"/>
  <c r="J376" i="31"/>
  <c r="K376" i="31"/>
  <c r="L376" i="31"/>
  <c r="M376" i="31"/>
  <c r="N376" i="31"/>
  <c r="O376" i="31"/>
  <c r="P376" i="31"/>
  <c r="Q376" i="31"/>
  <c r="R376" i="31"/>
  <c r="S376" i="31"/>
  <c r="T376" i="31"/>
  <c r="I377" i="31"/>
  <c r="J377" i="31"/>
  <c r="K377" i="31"/>
  <c r="L377" i="31"/>
  <c r="M377" i="31"/>
  <c r="N377" i="31"/>
  <c r="O377" i="31"/>
  <c r="P377" i="31"/>
  <c r="Q377" i="31"/>
  <c r="R377" i="31"/>
  <c r="S377" i="31"/>
  <c r="T377" i="31"/>
  <c r="I378" i="31"/>
  <c r="J378" i="31"/>
  <c r="K378" i="31"/>
  <c r="L378" i="31"/>
  <c r="M378" i="31"/>
  <c r="N378" i="31"/>
  <c r="O378" i="31"/>
  <c r="P378" i="31"/>
  <c r="Q378" i="31"/>
  <c r="R378" i="31"/>
  <c r="S378" i="31"/>
  <c r="T378" i="31"/>
  <c r="I379" i="31"/>
  <c r="J379" i="31"/>
  <c r="K379" i="31"/>
  <c r="L379" i="31"/>
  <c r="M379" i="31"/>
  <c r="N379" i="31"/>
  <c r="O379" i="31"/>
  <c r="P379" i="31"/>
  <c r="Q379" i="31"/>
  <c r="R379" i="31"/>
  <c r="S379" i="31"/>
  <c r="T379" i="31"/>
  <c r="I380" i="31"/>
  <c r="J380" i="31"/>
  <c r="K380" i="31"/>
  <c r="L380" i="31"/>
  <c r="M380" i="31"/>
  <c r="N380" i="31"/>
  <c r="O380" i="31"/>
  <c r="P380" i="31"/>
  <c r="Q380" i="31"/>
  <c r="R380" i="31"/>
  <c r="S380" i="31"/>
  <c r="T380" i="31"/>
  <c r="I381" i="31"/>
  <c r="J381" i="31"/>
  <c r="K381" i="31"/>
  <c r="L381" i="31"/>
  <c r="M381" i="31"/>
  <c r="N381" i="31"/>
  <c r="O381" i="31"/>
  <c r="P381" i="31"/>
  <c r="Q381" i="31"/>
  <c r="R381" i="31"/>
  <c r="S381" i="31"/>
  <c r="T381" i="31"/>
  <c r="I382" i="31"/>
  <c r="J382" i="31"/>
  <c r="K382" i="31"/>
  <c r="L382" i="31"/>
  <c r="M382" i="31"/>
  <c r="N382" i="31"/>
  <c r="O382" i="31"/>
  <c r="P382" i="31"/>
  <c r="Q382" i="31"/>
  <c r="R382" i="31"/>
  <c r="S382" i="31"/>
  <c r="T382" i="31"/>
  <c r="I383" i="31"/>
  <c r="J383" i="31"/>
  <c r="K383" i="31"/>
  <c r="L383" i="31"/>
  <c r="M383" i="31"/>
  <c r="N383" i="31"/>
  <c r="O383" i="31"/>
  <c r="P383" i="31"/>
  <c r="Q383" i="31"/>
  <c r="R383" i="31"/>
  <c r="S383" i="31"/>
  <c r="T383" i="31"/>
  <c r="I384" i="31"/>
  <c r="J384" i="31"/>
  <c r="K384" i="31"/>
  <c r="L384" i="31"/>
  <c r="M384" i="31"/>
  <c r="N384" i="31"/>
  <c r="O384" i="31"/>
  <c r="P384" i="31"/>
  <c r="Q384" i="31"/>
  <c r="R384" i="31"/>
  <c r="S384" i="31"/>
  <c r="T384" i="31"/>
  <c r="I385" i="31"/>
  <c r="J385" i="31"/>
  <c r="K385" i="31"/>
  <c r="L385" i="31"/>
  <c r="M385" i="31"/>
  <c r="N385" i="31"/>
  <c r="O385" i="31"/>
  <c r="P385" i="31"/>
  <c r="Q385" i="31"/>
  <c r="R385" i="31"/>
  <c r="S385" i="31"/>
  <c r="T385" i="31"/>
  <c r="I386" i="31"/>
  <c r="J386" i="31"/>
  <c r="K386" i="31"/>
  <c r="L386" i="31"/>
  <c r="M386" i="31"/>
  <c r="N386" i="31"/>
  <c r="O386" i="31"/>
  <c r="P386" i="31"/>
  <c r="Q386" i="31"/>
  <c r="R386" i="31"/>
  <c r="S386" i="31"/>
  <c r="T386" i="31"/>
  <c r="I387" i="31"/>
  <c r="J387" i="31"/>
  <c r="K387" i="31"/>
  <c r="L387" i="31"/>
  <c r="M387" i="31"/>
  <c r="N387" i="31"/>
  <c r="O387" i="31"/>
  <c r="P387" i="31"/>
  <c r="Q387" i="31"/>
  <c r="R387" i="31"/>
  <c r="S387" i="31"/>
  <c r="T387" i="31"/>
  <c r="I388" i="31"/>
  <c r="J388" i="31"/>
  <c r="K388" i="31"/>
  <c r="L388" i="31"/>
  <c r="M388" i="31"/>
  <c r="N388" i="31"/>
  <c r="O388" i="31"/>
  <c r="P388" i="31"/>
  <c r="Q388" i="31"/>
  <c r="R388" i="31"/>
  <c r="S388" i="31"/>
  <c r="T388" i="31"/>
  <c r="I389" i="31"/>
  <c r="J389" i="31"/>
  <c r="K389" i="31"/>
  <c r="L389" i="31"/>
  <c r="M389" i="31"/>
  <c r="N389" i="31"/>
  <c r="O389" i="31"/>
  <c r="P389" i="31"/>
  <c r="Q389" i="31"/>
  <c r="R389" i="31"/>
  <c r="S389" i="31"/>
  <c r="T389" i="31"/>
  <c r="I390" i="31"/>
  <c r="J390" i="31"/>
  <c r="K390" i="31"/>
  <c r="L390" i="31"/>
  <c r="M390" i="31"/>
  <c r="N390" i="31"/>
  <c r="O390" i="31"/>
  <c r="P390" i="31"/>
  <c r="Q390" i="31"/>
  <c r="R390" i="31"/>
  <c r="S390" i="31"/>
  <c r="T390" i="31"/>
  <c r="I391" i="31"/>
  <c r="J391" i="31"/>
  <c r="K391" i="31"/>
  <c r="L391" i="31"/>
  <c r="M391" i="31"/>
  <c r="N391" i="31"/>
  <c r="O391" i="31"/>
  <c r="P391" i="31"/>
  <c r="Q391" i="31"/>
  <c r="R391" i="31"/>
  <c r="S391" i="31"/>
  <c r="T391" i="31"/>
  <c r="I392" i="31"/>
  <c r="J392" i="31"/>
  <c r="K392" i="31"/>
  <c r="L392" i="31"/>
  <c r="M392" i="31"/>
  <c r="N392" i="31"/>
  <c r="O392" i="31"/>
  <c r="P392" i="31"/>
  <c r="Q392" i="31"/>
  <c r="R392" i="31"/>
  <c r="S392" i="31"/>
  <c r="T392" i="31"/>
  <c r="I393" i="31"/>
  <c r="J393" i="31"/>
  <c r="K393" i="31"/>
  <c r="L393" i="31"/>
  <c r="M393" i="31"/>
  <c r="N393" i="31"/>
  <c r="O393" i="31"/>
  <c r="P393" i="31"/>
  <c r="Q393" i="31"/>
  <c r="R393" i="31"/>
  <c r="S393" i="31"/>
  <c r="T393" i="31"/>
  <c r="I394" i="31"/>
  <c r="J394" i="31"/>
  <c r="K394" i="31"/>
  <c r="L394" i="31"/>
  <c r="M394" i="31"/>
  <c r="N394" i="31"/>
  <c r="O394" i="31"/>
  <c r="P394" i="31"/>
  <c r="Q394" i="31"/>
  <c r="R394" i="31"/>
  <c r="S394" i="31"/>
  <c r="T394" i="31"/>
  <c r="I395" i="31"/>
  <c r="J395" i="31"/>
  <c r="K395" i="31"/>
  <c r="L395" i="31"/>
  <c r="M395" i="31"/>
  <c r="N395" i="31"/>
  <c r="O395" i="31"/>
  <c r="P395" i="31"/>
  <c r="Q395" i="31"/>
  <c r="R395" i="31"/>
  <c r="S395" i="31"/>
  <c r="T395" i="31"/>
  <c r="I396" i="31"/>
  <c r="J396" i="31"/>
  <c r="K396" i="31"/>
  <c r="L396" i="31"/>
  <c r="M396" i="31"/>
  <c r="N396" i="31"/>
  <c r="O396" i="31"/>
  <c r="P396" i="31"/>
  <c r="Q396" i="31"/>
  <c r="R396" i="31"/>
  <c r="S396" i="31"/>
  <c r="T396" i="31"/>
  <c r="I397" i="31"/>
  <c r="J397" i="31"/>
  <c r="K397" i="31"/>
  <c r="L397" i="31"/>
  <c r="M397" i="31"/>
  <c r="N397" i="31"/>
  <c r="O397" i="31"/>
  <c r="P397" i="31"/>
  <c r="Q397" i="31"/>
  <c r="R397" i="31"/>
  <c r="S397" i="31"/>
  <c r="T397" i="31"/>
  <c r="I398" i="31"/>
  <c r="J398" i="31"/>
  <c r="K398" i="31"/>
  <c r="L398" i="31"/>
  <c r="M398" i="31"/>
  <c r="N398" i="31"/>
  <c r="O398" i="31"/>
  <c r="P398" i="31"/>
  <c r="Q398" i="31"/>
  <c r="R398" i="31"/>
  <c r="S398" i="31"/>
  <c r="T398" i="31"/>
  <c r="I399" i="31"/>
  <c r="J399" i="31"/>
  <c r="K399" i="31"/>
  <c r="L399" i="31"/>
  <c r="M399" i="31"/>
  <c r="N399" i="31"/>
  <c r="O399" i="31"/>
  <c r="P399" i="31"/>
  <c r="Q399" i="31"/>
  <c r="R399" i="31"/>
  <c r="S399" i="31"/>
  <c r="T399" i="31"/>
  <c r="I400" i="31"/>
  <c r="J400" i="31"/>
  <c r="K400" i="31"/>
  <c r="L400" i="31"/>
  <c r="M400" i="31"/>
  <c r="N400" i="31"/>
  <c r="O400" i="31"/>
  <c r="P400" i="31"/>
  <c r="Q400" i="31"/>
  <c r="R400" i="31"/>
  <c r="S400" i="31"/>
  <c r="T400" i="31"/>
  <c r="I401" i="31"/>
  <c r="J401" i="31"/>
  <c r="K401" i="31"/>
  <c r="L401" i="31"/>
  <c r="M401" i="31"/>
  <c r="N401" i="31"/>
  <c r="O401" i="31"/>
  <c r="P401" i="31"/>
  <c r="Q401" i="31"/>
  <c r="R401" i="31"/>
  <c r="S401" i="31"/>
  <c r="T401" i="31"/>
  <c r="I402" i="31"/>
  <c r="J402" i="31"/>
  <c r="K402" i="31"/>
  <c r="L402" i="31"/>
  <c r="M402" i="31"/>
  <c r="N402" i="31"/>
  <c r="O402" i="31"/>
  <c r="P402" i="31"/>
  <c r="Q402" i="31"/>
  <c r="R402" i="31"/>
  <c r="S402" i="31"/>
  <c r="T402" i="31"/>
  <c r="I403" i="31"/>
  <c r="J403" i="31"/>
  <c r="K403" i="31"/>
  <c r="L403" i="31"/>
  <c r="M403" i="31"/>
  <c r="N403" i="31"/>
  <c r="O403" i="31"/>
  <c r="P403" i="31"/>
  <c r="Q403" i="31"/>
  <c r="R403" i="31"/>
  <c r="S403" i="31"/>
  <c r="T403" i="31"/>
  <c r="I404" i="31"/>
  <c r="J404" i="31"/>
  <c r="K404" i="31"/>
  <c r="L404" i="31"/>
  <c r="M404" i="31"/>
  <c r="N404" i="31"/>
  <c r="O404" i="31"/>
  <c r="P404" i="31"/>
  <c r="Q404" i="31"/>
  <c r="R404" i="31"/>
  <c r="S404" i="31"/>
  <c r="T404" i="31"/>
  <c r="I405" i="31"/>
  <c r="J405" i="31"/>
  <c r="K405" i="31"/>
  <c r="L405" i="31"/>
  <c r="M405" i="31"/>
  <c r="N405" i="31"/>
  <c r="O405" i="31"/>
  <c r="P405" i="31"/>
  <c r="Q405" i="31"/>
  <c r="R405" i="31"/>
  <c r="S405" i="31"/>
  <c r="T405" i="31"/>
  <c r="I406" i="31"/>
  <c r="J406" i="31"/>
  <c r="K406" i="31"/>
  <c r="L406" i="31"/>
  <c r="M406" i="31"/>
  <c r="N406" i="31"/>
  <c r="O406" i="31"/>
  <c r="P406" i="31"/>
  <c r="Q406" i="31"/>
  <c r="R406" i="31"/>
  <c r="S406" i="31"/>
  <c r="T406" i="31"/>
  <c r="I407" i="31"/>
  <c r="J407" i="31"/>
  <c r="K407" i="31"/>
  <c r="L407" i="31"/>
  <c r="M407" i="31"/>
  <c r="N407" i="31"/>
  <c r="O407" i="31"/>
  <c r="P407" i="31"/>
  <c r="Q407" i="31"/>
  <c r="R407" i="31"/>
  <c r="S407" i="31"/>
  <c r="T407" i="31"/>
  <c r="I408" i="31"/>
  <c r="J408" i="31"/>
  <c r="K408" i="31"/>
  <c r="L408" i="31"/>
  <c r="M408" i="31"/>
  <c r="N408" i="31"/>
  <c r="O408" i="31"/>
  <c r="P408" i="31"/>
  <c r="Q408" i="31"/>
  <c r="R408" i="31"/>
  <c r="S408" i="31"/>
  <c r="T408" i="31"/>
  <c r="I409" i="31"/>
  <c r="J409" i="31"/>
  <c r="K409" i="31"/>
  <c r="L409" i="31"/>
  <c r="M409" i="31"/>
  <c r="N409" i="31"/>
  <c r="O409" i="31"/>
  <c r="P409" i="31"/>
  <c r="Q409" i="31"/>
  <c r="R409" i="31"/>
  <c r="S409" i="31"/>
  <c r="T409" i="31"/>
  <c r="I410" i="31"/>
  <c r="J410" i="31"/>
  <c r="K410" i="31"/>
  <c r="L410" i="31"/>
  <c r="M410" i="31"/>
  <c r="N410" i="31"/>
  <c r="O410" i="31"/>
  <c r="P410" i="31"/>
  <c r="Q410" i="31"/>
  <c r="R410" i="31"/>
  <c r="S410" i="31"/>
  <c r="T410" i="31"/>
  <c r="I411" i="31"/>
  <c r="J411" i="31"/>
  <c r="K411" i="31"/>
  <c r="L411" i="31"/>
  <c r="M411" i="31"/>
  <c r="N411" i="31"/>
  <c r="O411" i="31"/>
  <c r="P411" i="31"/>
  <c r="Q411" i="31"/>
  <c r="R411" i="31"/>
  <c r="S411" i="31"/>
  <c r="T411" i="31"/>
  <c r="I412" i="31"/>
  <c r="J412" i="31"/>
  <c r="K412" i="31"/>
  <c r="L412" i="31"/>
  <c r="M412" i="31"/>
  <c r="N412" i="31"/>
  <c r="O412" i="31"/>
  <c r="P412" i="31"/>
  <c r="Q412" i="31"/>
  <c r="R412" i="31"/>
  <c r="S412" i="31"/>
  <c r="T412" i="31"/>
  <c r="I413" i="31"/>
  <c r="J413" i="31"/>
  <c r="K413" i="31"/>
  <c r="L413" i="31"/>
  <c r="M413" i="31"/>
  <c r="N413" i="31"/>
  <c r="O413" i="31"/>
  <c r="P413" i="31"/>
  <c r="Q413" i="31"/>
  <c r="R413" i="31"/>
  <c r="S413" i="31"/>
  <c r="T413" i="31"/>
  <c r="I414" i="31"/>
  <c r="J414" i="31"/>
  <c r="K414" i="31"/>
  <c r="L414" i="31"/>
  <c r="M414" i="31"/>
  <c r="N414" i="31"/>
  <c r="O414" i="31"/>
  <c r="P414" i="31"/>
  <c r="Q414" i="31"/>
  <c r="R414" i="31"/>
  <c r="S414" i="31"/>
  <c r="T414" i="31"/>
  <c r="I415" i="31"/>
  <c r="J415" i="31"/>
  <c r="K415" i="31"/>
  <c r="L415" i="31"/>
  <c r="M415" i="31"/>
  <c r="N415" i="31"/>
  <c r="O415" i="31"/>
  <c r="P415" i="31"/>
  <c r="Q415" i="31"/>
  <c r="R415" i="31"/>
  <c r="S415" i="31"/>
  <c r="T415" i="31"/>
  <c r="I416" i="31"/>
  <c r="J416" i="31"/>
  <c r="K416" i="31"/>
  <c r="L416" i="31"/>
  <c r="M416" i="31"/>
  <c r="N416" i="31"/>
  <c r="O416" i="31"/>
  <c r="P416" i="31"/>
  <c r="Q416" i="31"/>
  <c r="R416" i="31"/>
  <c r="S416" i="31"/>
  <c r="T416" i="31"/>
  <c r="I417" i="31"/>
  <c r="J417" i="31"/>
  <c r="K417" i="31"/>
  <c r="L417" i="31"/>
  <c r="M417" i="31"/>
  <c r="N417" i="31"/>
  <c r="O417" i="31"/>
  <c r="P417" i="31"/>
  <c r="Q417" i="31"/>
  <c r="R417" i="31"/>
  <c r="S417" i="31"/>
  <c r="T417" i="31"/>
  <c r="I418" i="31"/>
  <c r="J418" i="31"/>
  <c r="K418" i="31"/>
  <c r="L418" i="31"/>
  <c r="M418" i="31"/>
  <c r="N418" i="31"/>
  <c r="O418" i="31"/>
  <c r="P418" i="31"/>
  <c r="Q418" i="31"/>
  <c r="R418" i="31"/>
  <c r="S418" i="31"/>
  <c r="T418" i="31"/>
  <c r="I419" i="31"/>
  <c r="J419" i="31"/>
  <c r="K419" i="31"/>
  <c r="L419" i="31"/>
  <c r="M419" i="31"/>
  <c r="N419" i="31"/>
  <c r="O419" i="31"/>
  <c r="P419" i="31"/>
  <c r="Q419" i="31"/>
  <c r="R419" i="31"/>
  <c r="S419" i="31"/>
  <c r="T419" i="31"/>
  <c r="I420" i="31"/>
  <c r="J420" i="31"/>
  <c r="K420" i="31"/>
  <c r="L420" i="31"/>
  <c r="M420" i="31"/>
  <c r="N420" i="31"/>
  <c r="O420" i="31"/>
  <c r="P420" i="31"/>
  <c r="Q420" i="31"/>
  <c r="R420" i="31"/>
  <c r="S420" i="31"/>
  <c r="T420" i="31"/>
  <c r="I421" i="31"/>
  <c r="J421" i="31"/>
  <c r="K421" i="31"/>
  <c r="L421" i="31"/>
  <c r="M421" i="31"/>
  <c r="N421" i="31"/>
  <c r="O421" i="31"/>
  <c r="P421" i="31"/>
  <c r="Q421" i="31"/>
  <c r="R421" i="31"/>
  <c r="S421" i="31"/>
  <c r="T421" i="31"/>
  <c r="I422" i="31"/>
  <c r="J422" i="31"/>
  <c r="K422" i="31"/>
  <c r="L422" i="31"/>
  <c r="M422" i="31"/>
  <c r="N422" i="31"/>
  <c r="O422" i="31"/>
  <c r="P422" i="31"/>
  <c r="Q422" i="31"/>
  <c r="R422" i="31"/>
  <c r="S422" i="31"/>
  <c r="T422" i="31"/>
  <c r="I423" i="31"/>
  <c r="J423" i="31"/>
  <c r="K423" i="31"/>
  <c r="L423" i="31"/>
  <c r="M423" i="31"/>
  <c r="N423" i="31"/>
  <c r="O423" i="31"/>
  <c r="P423" i="31"/>
  <c r="Q423" i="31"/>
  <c r="R423" i="31"/>
  <c r="S423" i="31"/>
  <c r="T423" i="31"/>
  <c r="I424" i="31"/>
  <c r="J424" i="31"/>
  <c r="K424" i="31"/>
  <c r="L424" i="31"/>
  <c r="M424" i="31"/>
  <c r="N424" i="31"/>
  <c r="O424" i="31"/>
  <c r="P424" i="31"/>
  <c r="Q424" i="31"/>
  <c r="R424" i="31"/>
  <c r="S424" i="31"/>
  <c r="T424" i="31"/>
  <c r="I425" i="31"/>
  <c r="J425" i="31"/>
  <c r="K425" i="31"/>
  <c r="L425" i="31"/>
  <c r="M425" i="31"/>
  <c r="N425" i="31"/>
  <c r="O425" i="31"/>
  <c r="P425" i="31"/>
  <c r="Q425" i="31"/>
  <c r="R425" i="31"/>
  <c r="S425" i="31"/>
  <c r="T425" i="31"/>
  <c r="I426" i="31"/>
  <c r="J426" i="31"/>
  <c r="K426" i="31"/>
  <c r="L426" i="31"/>
  <c r="M426" i="31"/>
  <c r="N426" i="31"/>
  <c r="O426" i="31"/>
  <c r="P426" i="31"/>
  <c r="Q426" i="31"/>
  <c r="R426" i="31"/>
  <c r="S426" i="31"/>
  <c r="T426" i="31"/>
  <c r="I427" i="31"/>
  <c r="J427" i="31"/>
  <c r="K427" i="31"/>
  <c r="L427" i="31"/>
  <c r="M427" i="31"/>
  <c r="N427" i="31"/>
  <c r="O427" i="31"/>
  <c r="P427" i="31"/>
  <c r="Q427" i="31"/>
  <c r="R427" i="31"/>
  <c r="S427" i="31"/>
  <c r="T427" i="31"/>
  <c r="I428" i="31"/>
  <c r="J428" i="31"/>
  <c r="K428" i="31"/>
  <c r="L428" i="31"/>
  <c r="M428" i="31"/>
  <c r="N428" i="31"/>
  <c r="O428" i="31"/>
  <c r="P428" i="31"/>
  <c r="Q428" i="31"/>
  <c r="R428" i="31"/>
  <c r="S428" i="31"/>
  <c r="T428" i="31"/>
  <c r="I429" i="31"/>
  <c r="J429" i="31"/>
  <c r="K429" i="31"/>
  <c r="L429" i="31"/>
  <c r="M429" i="31"/>
  <c r="N429" i="31"/>
  <c r="O429" i="31"/>
  <c r="P429" i="31"/>
  <c r="Q429" i="31"/>
  <c r="R429" i="31"/>
  <c r="S429" i="31"/>
  <c r="T429" i="31"/>
  <c r="I430" i="31"/>
  <c r="J430" i="31"/>
  <c r="K430" i="31"/>
  <c r="L430" i="31"/>
  <c r="M430" i="31"/>
  <c r="N430" i="31"/>
  <c r="O430" i="31"/>
  <c r="P430" i="31"/>
  <c r="Q430" i="31"/>
  <c r="R430" i="31"/>
  <c r="S430" i="31"/>
  <c r="T430" i="31"/>
  <c r="I431" i="31"/>
  <c r="J431" i="31"/>
  <c r="K431" i="31"/>
  <c r="L431" i="31"/>
  <c r="M431" i="31"/>
  <c r="N431" i="31"/>
  <c r="O431" i="31"/>
  <c r="P431" i="31"/>
  <c r="Q431" i="31"/>
  <c r="R431" i="31"/>
  <c r="S431" i="31"/>
  <c r="T431" i="31"/>
  <c r="I432" i="31"/>
  <c r="J432" i="31"/>
  <c r="K432" i="31"/>
  <c r="L432" i="31"/>
  <c r="M432" i="31"/>
  <c r="N432" i="31"/>
  <c r="O432" i="31"/>
  <c r="P432" i="31"/>
  <c r="Q432" i="31"/>
  <c r="R432" i="31"/>
  <c r="S432" i="31"/>
  <c r="T432" i="31"/>
  <c r="I433" i="31"/>
  <c r="J433" i="31"/>
  <c r="K433" i="31"/>
  <c r="L433" i="31"/>
  <c r="M433" i="31"/>
  <c r="N433" i="31"/>
  <c r="O433" i="31"/>
  <c r="P433" i="31"/>
  <c r="Q433" i="31"/>
  <c r="R433" i="31"/>
  <c r="S433" i="31"/>
  <c r="T433" i="31"/>
  <c r="I434" i="31"/>
  <c r="J434" i="31"/>
  <c r="K434" i="31"/>
  <c r="L434" i="31"/>
  <c r="M434" i="31"/>
  <c r="N434" i="31"/>
  <c r="O434" i="31"/>
  <c r="P434" i="31"/>
  <c r="Q434" i="31"/>
  <c r="R434" i="31"/>
  <c r="S434" i="31"/>
  <c r="T434" i="31"/>
  <c r="I435" i="31"/>
  <c r="J435" i="31"/>
  <c r="K435" i="31"/>
  <c r="L435" i="31"/>
  <c r="M435" i="31"/>
  <c r="N435" i="31"/>
  <c r="O435" i="31"/>
  <c r="P435" i="31"/>
  <c r="Q435" i="31"/>
  <c r="R435" i="31"/>
  <c r="S435" i="31"/>
  <c r="T435" i="31"/>
  <c r="I436" i="31"/>
  <c r="J436" i="31"/>
  <c r="K436" i="31"/>
  <c r="L436" i="31"/>
  <c r="M436" i="31"/>
  <c r="N436" i="31"/>
  <c r="O436" i="31"/>
  <c r="P436" i="31"/>
  <c r="Q436" i="31"/>
  <c r="R436" i="31"/>
  <c r="S436" i="31"/>
  <c r="T436" i="31"/>
  <c r="I437" i="31"/>
  <c r="J437" i="31"/>
  <c r="K437" i="31"/>
  <c r="L437" i="31"/>
  <c r="M437" i="31"/>
  <c r="N437" i="31"/>
  <c r="O437" i="31"/>
  <c r="P437" i="31"/>
  <c r="Q437" i="31"/>
  <c r="R437" i="31"/>
  <c r="S437" i="31"/>
  <c r="T437" i="31"/>
  <c r="I438" i="31"/>
  <c r="J438" i="31"/>
  <c r="K438" i="31"/>
  <c r="L438" i="31"/>
  <c r="M438" i="31"/>
  <c r="N438" i="31"/>
  <c r="O438" i="31"/>
  <c r="P438" i="31"/>
  <c r="Q438" i="31"/>
  <c r="R438" i="31"/>
  <c r="S438" i="31"/>
  <c r="T438" i="31"/>
  <c r="I439" i="31"/>
  <c r="J439" i="31"/>
  <c r="K439" i="31"/>
  <c r="L439" i="31"/>
  <c r="M439" i="31"/>
  <c r="N439" i="31"/>
  <c r="O439" i="31"/>
  <c r="P439" i="31"/>
  <c r="Q439" i="31"/>
  <c r="R439" i="31"/>
  <c r="S439" i="31"/>
  <c r="T439" i="31"/>
  <c r="I440" i="31"/>
  <c r="J440" i="31"/>
  <c r="K440" i="31"/>
  <c r="L440" i="31"/>
  <c r="M440" i="31"/>
  <c r="N440" i="31"/>
  <c r="O440" i="31"/>
  <c r="P440" i="31"/>
  <c r="Q440" i="31"/>
  <c r="R440" i="31"/>
  <c r="S440" i="31"/>
  <c r="T440" i="31"/>
  <c r="I441" i="31"/>
  <c r="J441" i="31"/>
  <c r="K441" i="31"/>
  <c r="L441" i="31"/>
  <c r="M441" i="31"/>
  <c r="N441" i="31"/>
  <c r="O441" i="31"/>
  <c r="P441" i="31"/>
  <c r="Q441" i="31"/>
  <c r="R441" i="31"/>
  <c r="S441" i="31"/>
  <c r="T441" i="31"/>
  <c r="I442" i="31"/>
  <c r="J442" i="31"/>
  <c r="K442" i="31"/>
  <c r="L442" i="31"/>
  <c r="M442" i="31"/>
  <c r="N442" i="31"/>
  <c r="O442" i="31"/>
  <c r="P442" i="31"/>
  <c r="Q442" i="31"/>
  <c r="R442" i="31"/>
  <c r="S442" i="31"/>
  <c r="T442" i="31"/>
  <c r="I443" i="31"/>
  <c r="J443" i="31"/>
  <c r="K443" i="31"/>
  <c r="L443" i="31"/>
  <c r="M443" i="31"/>
  <c r="N443" i="31"/>
  <c r="O443" i="31"/>
  <c r="P443" i="31"/>
  <c r="Q443" i="31"/>
  <c r="R443" i="31"/>
  <c r="S443" i="31"/>
  <c r="T443" i="31"/>
  <c r="I444" i="31"/>
  <c r="J444" i="31"/>
  <c r="K444" i="31"/>
  <c r="L444" i="31"/>
  <c r="M444" i="31"/>
  <c r="N444" i="31"/>
  <c r="O444" i="31"/>
  <c r="P444" i="31"/>
  <c r="Q444" i="31"/>
  <c r="R444" i="31"/>
  <c r="S444" i="31"/>
  <c r="T444" i="31"/>
  <c r="I445" i="31"/>
  <c r="J445" i="31"/>
  <c r="K445" i="31"/>
  <c r="L445" i="31"/>
  <c r="M445" i="31"/>
  <c r="N445" i="31"/>
  <c r="O445" i="31"/>
  <c r="P445" i="31"/>
  <c r="Q445" i="31"/>
  <c r="R445" i="31"/>
  <c r="S445" i="31"/>
  <c r="T445" i="31"/>
  <c r="I446" i="31"/>
  <c r="J446" i="31"/>
  <c r="K446" i="31"/>
  <c r="L446" i="31"/>
  <c r="M446" i="31"/>
  <c r="N446" i="31"/>
  <c r="O446" i="31"/>
  <c r="P446" i="31"/>
  <c r="Q446" i="31"/>
  <c r="R446" i="31"/>
  <c r="S446" i="31"/>
  <c r="T446" i="31"/>
  <c r="I447" i="31"/>
  <c r="J447" i="31"/>
  <c r="K447" i="31"/>
  <c r="L447" i="31"/>
  <c r="M447" i="31"/>
  <c r="N447" i="31"/>
  <c r="O447" i="31"/>
  <c r="P447" i="31"/>
  <c r="Q447" i="31"/>
  <c r="R447" i="31"/>
  <c r="S447" i="31"/>
  <c r="T447" i="31"/>
  <c r="I448" i="31"/>
  <c r="J448" i="31"/>
  <c r="K448" i="31"/>
  <c r="L448" i="31"/>
  <c r="M448" i="31"/>
  <c r="N448" i="31"/>
  <c r="O448" i="31"/>
  <c r="P448" i="31"/>
  <c r="Q448" i="31"/>
  <c r="R448" i="31"/>
  <c r="S448" i="31"/>
  <c r="T448" i="31"/>
  <c r="I449" i="31"/>
  <c r="J449" i="31"/>
  <c r="K449" i="31"/>
  <c r="L449" i="31"/>
  <c r="M449" i="31"/>
  <c r="N449" i="31"/>
  <c r="O449" i="31"/>
  <c r="P449" i="31"/>
  <c r="Q449" i="31"/>
  <c r="R449" i="31"/>
  <c r="S449" i="31"/>
  <c r="T449" i="31"/>
  <c r="I450" i="31"/>
  <c r="J450" i="31"/>
  <c r="K450" i="31"/>
  <c r="L450" i="31"/>
  <c r="M450" i="31"/>
  <c r="N450" i="31"/>
  <c r="O450" i="31"/>
  <c r="P450" i="31"/>
  <c r="Q450" i="31"/>
  <c r="R450" i="31"/>
  <c r="S450" i="31"/>
  <c r="T450" i="31"/>
  <c r="I451" i="31"/>
  <c r="J451" i="31"/>
  <c r="K451" i="31"/>
  <c r="L451" i="31"/>
  <c r="M451" i="31"/>
  <c r="N451" i="31"/>
  <c r="O451" i="31"/>
  <c r="P451" i="31"/>
  <c r="Q451" i="31"/>
  <c r="R451" i="31"/>
  <c r="S451" i="31"/>
  <c r="T451" i="31"/>
  <c r="I452" i="31"/>
  <c r="J452" i="31"/>
  <c r="K452" i="31"/>
  <c r="L452" i="31"/>
  <c r="M452" i="31"/>
  <c r="N452" i="31"/>
  <c r="O452" i="31"/>
  <c r="P452" i="31"/>
  <c r="Q452" i="31"/>
  <c r="R452" i="31"/>
  <c r="S452" i="31"/>
  <c r="T452" i="31"/>
  <c r="I453" i="31"/>
  <c r="J453" i="31"/>
  <c r="K453" i="31"/>
  <c r="L453" i="31"/>
  <c r="M453" i="31"/>
  <c r="N453" i="31"/>
  <c r="O453" i="31"/>
  <c r="P453" i="31"/>
  <c r="Q453" i="31"/>
  <c r="R453" i="31"/>
  <c r="S453" i="31"/>
  <c r="T453" i="31"/>
  <c r="I454" i="31"/>
  <c r="J454" i="31"/>
  <c r="K454" i="31"/>
  <c r="L454" i="31"/>
  <c r="M454" i="31"/>
  <c r="N454" i="31"/>
  <c r="O454" i="31"/>
  <c r="P454" i="31"/>
  <c r="Q454" i="31"/>
  <c r="R454" i="31"/>
  <c r="S454" i="31"/>
  <c r="T454" i="31"/>
  <c r="I455" i="31"/>
  <c r="J455" i="31"/>
  <c r="K455" i="31"/>
  <c r="L455" i="31"/>
  <c r="M455" i="31"/>
  <c r="N455" i="31"/>
  <c r="O455" i="31"/>
  <c r="P455" i="31"/>
  <c r="Q455" i="31"/>
  <c r="R455" i="31"/>
  <c r="S455" i="31"/>
  <c r="T455" i="31"/>
  <c r="I456" i="31"/>
  <c r="J456" i="31"/>
  <c r="K456" i="31"/>
  <c r="L456" i="31"/>
  <c r="M456" i="31"/>
  <c r="N456" i="31"/>
  <c r="O456" i="31"/>
  <c r="P456" i="31"/>
  <c r="Q456" i="31"/>
  <c r="R456" i="31"/>
  <c r="S456" i="31"/>
  <c r="T456" i="31"/>
  <c r="I457" i="31"/>
  <c r="J457" i="31"/>
  <c r="K457" i="31"/>
  <c r="L457" i="31"/>
  <c r="M457" i="31"/>
  <c r="N457" i="31"/>
  <c r="O457" i="31"/>
  <c r="P457" i="31"/>
  <c r="Q457" i="31"/>
  <c r="R457" i="31"/>
  <c r="S457" i="31"/>
  <c r="T457" i="31"/>
  <c r="I458" i="31"/>
  <c r="J458" i="31"/>
  <c r="K458" i="31"/>
  <c r="L458" i="31"/>
  <c r="M458" i="31"/>
  <c r="N458" i="31"/>
  <c r="O458" i="31"/>
  <c r="P458" i="31"/>
  <c r="Q458" i="31"/>
  <c r="R458" i="31"/>
  <c r="S458" i="31"/>
  <c r="T458" i="31"/>
  <c r="I459" i="31"/>
  <c r="J459" i="31"/>
  <c r="K459" i="31"/>
  <c r="L459" i="31"/>
  <c r="M459" i="31"/>
  <c r="N459" i="31"/>
  <c r="O459" i="31"/>
  <c r="P459" i="31"/>
  <c r="Q459" i="31"/>
  <c r="R459" i="31"/>
  <c r="S459" i="31"/>
  <c r="T459" i="31"/>
  <c r="I460" i="31"/>
  <c r="J460" i="31"/>
  <c r="K460" i="31"/>
  <c r="L460" i="31"/>
  <c r="M460" i="31"/>
  <c r="N460" i="31"/>
  <c r="O460" i="31"/>
  <c r="P460" i="31"/>
  <c r="Q460" i="31"/>
  <c r="R460" i="31"/>
  <c r="S460" i="31"/>
  <c r="T460" i="31"/>
  <c r="I461" i="31"/>
  <c r="J461" i="31"/>
  <c r="K461" i="31"/>
  <c r="L461" i="31"/>
  <c r="M461" i="31"/>
  <c r="N461" i="31"/>
  <c r="O461" i="31"/>
  <c r="P461" i="31"/>
  <c r="Q461" i="31"/>
  <c r="R461" i="31"/>
  <c r="S461" i="31"/>
  <c r="T461" i="31"/>
  <c r="I462" i="31"/>
  <c r="J462" i="31"/>
  <c r="K462" i="31"/>
  <c r="L462" i="31"/>
  <c r="M462" i="31"/>
  <c r="N462" i="31"/>
  <c r="O462" i="31"/>
  <c r="P462" i="31"/>
  <c r="Q462" i="31"/>
  <c r="R462" i="31"/>
  <c r="S462" i="31"/>
  <c r="T462" i="31"/>
  <c r="I463" i="31"/>
  <c r="J463" i="31"/>
  <c r="K463" i="31"/>
  <c r="L463" i="31"/>
  <c r="M463" i="31"/>
  <c r="N463" i="31"/>
  <c r="O463" i="31"/>
  <c r="P463" i="31"/>
  <c r="Q463" i="31"/>
  <c r="R463" i="31"/>
  <c r="S463" i="31"/>
  <c r="T463" i="31"/>
  <c r="I464" i="31"/>
  <c r="J464" i="31"/>
  <c r="K464" i="31"/>
  <c r="L464" i="31"/>
  <c r="M464" i="31"/>
  <c r="N464" i="31"/>
  <c r="O464" i="31"/>
  <c r="P464" i="31"/>
  <c r="Q464" i="31"/>
  <c r="R464" i="31"/>
  <c r="S464" i="31"/>
  <c r="T464" i="31"/>
  <c r="I465" i="31"/>
  <c r="J465" i="31"/>
  <c r="K465" i="31"/>
  <c r="L465" i="31"/>
  <c r="M465" i="31"/>
  <c r="N465" i="31"/>
  <c r="O465" i="31"/>
  <c r="P465" i="31"/>
  <c r="Q465" i="31"/>
  <c r="R465" i="31"/>
  <c r="S465" i="31"/>
  <c r="T465" i="31"/>
  <c r="I466" i="31"/>
  <c r="J466" i="31"/>
  <c r="K466" i="31"/>
  <c r="L466" i="31"/>
  <c r="M466" i="31"/>
  <c r="N466" i="31"/>
  <c r="O466" i="31"/>
  <c r="P466" i="31"/>
  <c r="Q466" i="31"/>
  <c r="R466" i="31"/>
  <c r="S466" i="31"/>
  <c r="T466" i="31"/>
  <c r="I467" i="31"/>
  <c r="J467" i="31"/>
  <c r="K467" i="31"/>
  <c r="L467" i="31"/>
  <c r="M467" i="31"/>
  <c r="N467" i="31"/>
  <c r="O467" i="31"/>
  <c r="P467" i="31"/>
  <c r="Q467" i="31"/>
  <c r="R467" i="31"/>
  <c r="S467" i="31"/>
  <c r="T467" i="31"/>
  <c r="I468" i="31"/>
  <c r="J468" i="31"/>
  <c r="K468" i="31"/>
  <c r="L468" i="31"/>
  <c r="M468" i="31"/>
  <c r="N468" i="31"/>
  <c r="O468" i="31"/>
  <c r="P468" i="31"/>
  <c r="Q468" i="31"/>
  <c r="R468" i="31"/>
  <c r="S468" i="31"/>
  <c r="T468" i="31"/>
  <c r="I469" i="31"/>
  <c r="J469" i="31"/>
  <c r="K469" i="31"/>
  <c r="L469" i="31"/>
  <c r="M469" i="31"/>
  <c r="N469" i="31"/>
  <c r="O469" i="31"/>
  <c r="P469" i="31"/>
  <c r="Q469" i="31"/>
  <c r="R469" i="31"/>
  <c r="S469" i="31"/>
  <c r="T469" i="31"/>
  <c r="I470" i="31"/>
  <c r="J470" i="31"/>
  <c r="K470" i="31"/>
  <c r="L470" i="31"/>
  <c r="M470" i="31"/>
  <c r="N470" i="31"/>
  <c r="O470" i="31"/>
  <c r="P470" i="31"/>
  <c r="Q470" i="31"/>
  <c r="R470" i="31"/>
  <c r="S470" i="31"/>
  <c r="T470" i="31"/>
  <c r="I471" i="31"/>
  <c r="J471" i="31"/>
  <c r="K471" i="31"/>
  <c r="L471" i="31"/>
  <c r="M471" i="31"/>
  <c r="N471" i="31"/>
  <c r="O471" i="31"/>
  <c r="P471" i="31"/>
  <c r="Q471" i="31"/>
  <c r="R471" i="31"/>
  <c r="S471" i="31"/>
  <c r="T471" i="31"/>
  <c r="I472" i="31"/>
  <c r="J472" i="31"/>
  <c r="K472" i="31"/>
  <c r="L472" i="31"/>
  <c r="M472" i="31"/>
  <c r="N472" i="31"/>
  <c r="O472" i="31"/>
  <c r="P472" i="31"/>
  <c r="Q472" i="31"/>
  <c r="R472" i="31"/>
  <c r="S472" i="31"/>
  <c r="T472" i="31"/>
  <c r="I473" i="31"/>
  <c r="J473" i="31"/>
  <c r="K473" i="31"/>
  <c r="L473" i="31"/>
  <c r="M473" i="31"/>
  <c r="N473" i="31"/>
  <c r="O473" i="31"/>
  <c r="P473" i="31"/>
  <c r="Q473" i="31"/>
  <c r="R473" i="31"/>
  <c r="S473" i="31"/>
  <c r="T473" i="31"/>
  <c r="I474" i="31"/>
  <c r="J474" i="31"/>
  <c r="K474" i="31"/>
  <c r="L474" i="31"/>
  <c r="M474" i="31"/>
  <c r="N474" i="31"/>
  <c r="O474" i="31"/>
  <c r="P474" i="31"/>
  <c r="Q474" i="31"/>
  <c r="R474" i="31"/>
  <c r="S474" i="31"/>
  <c r="T474" i="31"/>
  <c r="I475" i="31"/>
  <c r="J475" i="31"/>
  <c r="K475" i="31"/>
  <c r="L475" i="31"/>
  <c r="M475" i="31"/>
  <c r="N475" i="31"/>
  <c r="O475" i="31"/>
  <c r="P475" i="31"/>
  <c r="Q475" i="31"/>
  <c r="R475" i="31"/>
  <c r="S475" i="31"/>
  <c r="T475" i="31"/>
  <c r="I476" i="31"/>
  <c r="J476" i="31"/>
  <c r="K476" i="31"/>
  <c r="L476" i="31"/>
  <c r="M476" i="31"/>
  <c r="N476" i="31"/>
  <c r="O476" i="31"/>
  <c r="P476" i="31"/>
  <c r="Q476" i="31"/>
  <c r="R476" i="31"/>
  <c r="S476" i="31"/>
  <c r="T476" i="31"/>
  <c r="I477" i="31"/>
  <c r="J477" i="31"/>
  <c r="K477" i="31"/>
  <c r="L477" i="31"/>
  <c r="M477" i="31"/>
  <c r="N477" i="31"/>
  <c r="O477" i="31"/>
  <c r="P477" i="31"/>
  <c r="Q477" i="31"/>
  <c r="R477" i="31"/>
  <c r="S477" i="31"/>
  <c r="T477" i="31"/>
  <c r="I478" i="31"/>
  <c r="J478" i="31"/>
  <c r="K478" i="31"/>
  <c r="L478" i="31"/>
  <c r="M478" i="31"/>
  <c r="N478" i="31"/>
  <c r="O478" i="31"/>
  <c r="P478" i="31"/>
  <c r="Q478" i="31"/>
  <c r="R478" i="31"/>
  <c r="S478" i="31"/>
  <c r="T478" i="31"/>
  <c r="I479" i="31"/>
  <c r="J479" i="31"/>
  <c r="K479" i="31"/>
  <c r="L479" i="31"/>
  <c r="M479" i="31"/>
  <c r="N479" i="31"/>
  <c r="O479" i="31"/>
  <c r="P479" i="31"/>
  <c r="Q479" i="31"/>
  <c r="R479" i="31"/>
  <c r="S479" i="31"/>
  <c r="T479" i="31"/>
  <c r="I480" i="31"/>
  <c r="J480" i="31"/>
  <c r="K480" i="31"/>
  <c r="L480" i="31"/>
  <c r="M480" i="31"/>
  <c r="N480" i="31"/>
  <c r="O480" i="31"/>
  <c r="P480" i="31"/>
  <c r="Q480" i="31"/>
  <c r="R480" i="31"/>
  <c r="S480" i="31"/>
  <c r="T480" i="31"/>
  <c r="I481" i="31"/>
  <c r="J481" i="31"/>
  <c r="K481" i="31"/>
  <c r="L481" i="31"/>
  <c r="M481" i="31"/>
  <c r="N481" i="31"/>
  <c r="O481" i="31"/>
  <c r="P481" i="31"/>
  <c r="Q481" i="31"/>
  <c r="R481" i="31"/>
  <c r="S481" i="31"/>
  <c r="T481" i="31"/>
  <c r="I482" i="31"/>
  <c r="J482" i="31"/>
  <c r="K482" i="31"/>
  <c r="L482" i="31"/>
  <c r="M482" i="31"/>
  <c r="N482" i="31"/>
  <c r="O482" i="31"/>
  <c r="P482" i="31"/>
  <c r="Q482" i="31"/>
  <c r="R482" i="31"/>
  <c r="S482" i="31"/>
  <c r="T482" i="31"/>
  <c r="I483" i="31"/>
  <c r="J483" i="31"/>
  <c r="K483" i="31"/>
  <c r="L483" i="31"/>
  <c r="M483" i="31"/>
  <c r="N483" i="31"/>
  <c r="O483" i="31"/>
  <c r="P483" i="31"/>
  <c r="Q483" i="31"/>
  <c r="R483" i="31"/>
  <c r="S483" i="31"/>
  <c r="T483" i="31"/>
  <c r="I484" i="31"/>
  <c r="J484" i="31"/>
  <c r="K484" i="31"/>
  <c r="L484" i="31"/>
  <c r="M484" i="31"/>
  <c r="N484" i="31"/>
  <c r="O484" i="31"/>
  <c r="P484" i="31"/>
  <c r="Q484" i="31"/>
  <c r="R484" i="31"/>
  <c r="S484" i="31"/>
  <c r="T484" i="31"/>
  <c r="I485" i="31"/>
  <c r="J485" i="31"/>
  <c r="K485" i="31"/>
  <c r="L485" i="31"/>
  <c r="M485" i="31"/>
  <c r="N485" i="31"/>
  <c r="O485" i="31"/>
  <c r="P485" i="31"/>
  <c r="Q485" i="31"/>
  <c r="R485" i="31"/>
  <c r="S485" i="31"/>
  <c r="T485" i="31"/>
  <c r="I486" i="31"/>
  <c r="J486" i="31"/>
  <c r="K486" i="31"/>
  <c r="L486" i="31"/>
  <c r="M486" i="31"/>
  <c r="N486" i="31"/>
  <c r="O486" i="31"/>
  <c r="P486" i="31"/>
  <c r="Q486" i="31"/>
  <c r="R486" i="31"/>
  <c r="S486" i="31"/>
  <c r="T486" i="31"/>
  <c r="I487" i="31"/>
  <c r="J487" i="31"/>
  <c r="K487" i="31"/>
  <c r="L487" i="31"/>
  <c r="M487" i="31"/>
  <c r="N487" i="31"/>
  <c r="O487" i="31"/>
  <c r="P487" i="31"/>
  <c r="Q487" i="31"/>
  <c r="R487" i="31"/>
  <c r="S487" i="31"/>
  <c r="T487" i="31"/>
  <c r="I488" i="31"/>
  <c r="J488" i="31"/>
  <c r="K488" i="31"/>
  <c r="L488" i="31"/>
  <c r="M488" i="31"/>
  <c r="N488" i="31"/>
  <c r="O488" i="31"/>
  <c r="P488" i="31"/>
  <c r="Q488" i="31"/>
  <c r="R488" i="31"/>
  <c r="S488" i="31"/>
  <c r="T488" i="31"/>
  <c r="I489" i="31"/>
  <c r="J489" i="31"/>
  <c r="K489" i="31"/>
  <c r="L489" i="31"/>
  <c r="M489" i="31"/>
  <c r="N489" i="31"/>
  <c r="O489" i="31"/>
  <c r="P489" i="31"/>
  <c r="Q489" i="31"/>
  <c r="R489" i="31"/>
  <c r="S489" i="31"/>
  <c r="T489" i="31"/>
  <c r="I490" i="31"/>
  <c r="J490" i="31"/>
  <c r="K490" i="31"/>
  <c r="L490" i="31"/>
  <c r="M490" i="31"/>
  <c r="N490" i="31"/>
  <c r="O490" i="31"/>
  <c r="P490" i="31"/>
  <c r="Q490" i="31"/>
  <c r="R490" i="31"/>
  <c r="S490" i="31"/>
  <c r="T490" i="31"/>
  <c r="I491" i="31"/>
  <c r="J491" i="31"/>
  <c r="K491" i="31"/>
  <c r="L491" i="31"/>
  <c r="M491" i="31"/>
  <c r="N491" i="31"/>
  <c r="O491" i="31"/>
  <c r="P491" i="31"/>
  <c r="Q491" i="31"/>
  <c r="R491" i="31"/>
  <c r="S491" i="31"/>
  <c r="T491" i="31"/>
  <c r="I492" i="31"/>
  <c r="J492" i="31"/>
  <c r="K492" i="31"/>
  <c r="L492" i="31"/>
  <c r="M492" i="31"/>
  <c r="N492" i="31"/>
  <c r="O492" i="31"/>
  <c r="P492" i="31"/>
  <c r="Q492" i="31"/>
  <c r="R492" i="31"/>
  <c r="S492" i="31"/>
  <c r="T492" i="31"/>
  <c r="I493" i="31"/>
  <c r="J493" i="31"/>
  <c r="K493" i="31"/>
  <c r="L493" i="31"/>
  <c r="M493" i="31"/>
  <c r="N493" i="31"/>
  <c r="O493" i="31"/>
  <c r="P493" i="31"/>
  <c r="Q493" i="31"/>
  <c r="R493" i="31"/>
  <c r="S493" i="31"/>
  <c r="T493" i="31"/>
  <c r="I494" i="31"/>
  <c r="J494" i="31"/>
  <c r="K494" i="31"/>
  <c r="L494" i="31"/>
  <c r="M494" i="31"/>
  <c r="N494" i="31"/>
  <c r="O494" i="31"/>
  <c r="P494" i="31"/>
  <c r="Q494" i="31"/>
  <c r="R494" i="31"/>
  <c r="S494" i="31"/>
  <c r="T494" i="31"/>
  <c r="I495" i="31"/>
  <c r="J495" i="31"/>
  <c r="K495" i="31"/>
  <c r="L495" i="31"/>
  <c r="M495" i="31"/>
  <c r="N495" i="31"/>
  <c r="O495" i="31"/>
  <c r="P495" i="31"/>
  <c r="Q495" i="31"/>
  <c r="R495" i="31"/>
  <c r="S495" i="31"/>
  <c r="T495" i="31"/>
  <c r="I496" i="31"/>
  <c r="J496" i="31"/>
  <c r="K496" i="31"/>
  <c r="L496" i="31"/>
  <c r="M496" i="31"/>
  <c r="N496" i="31"/>
  <c r="O496" i="31"/>
  <c r="P496" i="31"/>
  <c r="Q496" i="31"/>
  <c r="R496" i="31"/>
  <c r="S496" i="31"/>
  <c r="T496" i="31"/>
  <c r="I497" i="31"/>
  <c r="J497" i="31"/>
  <c r="K497" i="31"/>
  <c r="L497" i="31"/>
  <c r="M497" i="31"/>
  <c r="N497" i="31"/>
  <c r="O497" i="31"/>
  <c r="P497" i="31"/>
  <c r="Q497" i="31"/>
  <c r="R497" i="31"/>
  <c r="S497" i="31"/>
  <c r="T497" i="31"/>
  <c r="I498" i="31"/>
  <c r="J498" i="31"/>
  <c r="K498" i="31"/>
  <c r="L498" i="31"/>
  <c r="M498" i="31"/>
  <c r="N498" i="31"/>
  <c r="O498" i="31"/>
  <c r="P498" i="31"/>
  <c r="Q498" i="31"/>
  <c r="R498" i="31"/>
  <c r="S498" i="31"/>
  <c r="T498" i="31"/>
  <c r="I499" i="31"/>
  <c r="J499" i="31"/>
  <c r="K499" i="31"/>
  <c r="L499" i="31"/>
  <c r="M499" i="31"/>
  <c r="N499" i="31"/>
  <c r="O499" i="31"/>
  <c r="P499" i="31"/>
  <c r="Q499" i="31"/>
  <c r="R499" i="31"/>
  <c r="S499" i="31"/>
  <c r="T499" i="31"/>
  <c r="I500" i="31"/>
  <c r="J500" i="31"/>
  <c r="K500" i="31"/>
  <c r="L500" i="31"/>
  <c r="M500" i="31"/>
  <c r="N500" i="31"/>
  <c r="O500" i="31"/>
  <c r="P500" i="31"/>
  <c r="Q500" i="31"/>
  <c r="R500" i="31"/>
  <c r="S500" i="31"/>
  <c r="T500" i="31"/>
  <c r="I501" i="31"/>
  <c r="J501" i="31"/>
  <c r="K501" i="31"/>
  <c r="L501" i="31"/>
  <c r="M501" i="31"/>
  <c r="N501" i="31"/>
  <c r="O501" i="31"/>
  <c r="P501" i="31"/>
  <c r="Q501" i="31"/>
  <c r="R501" i="31"/>
  <c r="S501" i="31"/>
  <c r="T501" i="31"/>
  <c r="I502" i="31"/>
  <c r="J502" i="31"/>
  <c r="K502" i="31"/>
  <c r="L502" i="31"/>
  <c r="M502" i="31"/>
  <c r="N502" i="31"/>
  <c r="O502" i="31"/>
  <c r="P502" i="31"/>
  <c r="Q502" i="31"/>
  <c r="R502" i="31"/>
  <c r="S502" i="31"/>
  <c r="T502" i="31"/>
  <c r="I503" i="31"/>
  <c r="J503" i="31"/>
  <c r="K503" i="31"/>
  <c r="L503" i="31"/>
  <c r="M503" i="31"/>
  <c r="N503" i="31"/>
  <c r="O503" i="31"/>
  <c r="P503" i="31"/>
  <c r="Q503" i="31"/>
  <c r="R503" i="31"/>
  <c r="S503" i="31"/>
  <c r="T503" i="31"/>
  <c r="I504" i="31"/>
  <c r="J504" i="31"/>
  <c r="K504" i="31"/>
  <c r="L504" i="31"/>
  <c r="M504" i="31"/>
  <c r="N504" i="31"/>
  <c r="O504" i="31"/>
  <c r="P504" i="31"/>
  <c r="Q504" i="31"/>
  <c r="R504" i="31"/>
  <c r="S504" i="31"/>
  <c r="T504" i="31"/>
  <c r="I505" i="31"/>
  <c r="J505" i="31"/>
  <c r="K505" i="31"/>
  <c r="L505" i="31"/>
  <c r="M505" i="31"/>
  <c r="N505" i="31"/>
  <c r="O505" i="31"/>
  <c r="P505" i="31"/>
  <c r="Q505" i="31"/>
  <c r="R505" i="31"/>
  <c r="S505" i="31"/>
  <c r="T505" i="31"/>
  <c r="I506" i="31"/>
  <c r="J506" i="31"/>
  <c r="K506" i="31"/>
  <c r="L506" i="31"/>
  <c r="M506" i="31"/>
  <c r="N506" i="31"/>
  <c r="O506" i="31"/>
  <c r="P506" i="31"/>
  <c r="Q506" i="31"/>
  <c r="R506" i="31"/>
  <c r="S506" i="31"/>
  <c r="T506" i="31"/>
  <c r="I507" i="31"/>
  <c r="J507" i="31"/>
  <c r="K507" i="31"/>
  <c r="L507" i="31"/>
  <c r="M507" i="31"/>
  <c r="N507" i="31"/>
  <c r="O507" i="31"/>
  <c r="P507" i="31"/>
  <c r="Q507" i="31"/>
  <c r="R507" i="31"/>
  <c r="S507" i="31"/>
  <c r="T507" i="31"/>
  <c r="I508" i="31"/>
  <c r="J508" i="31"/>
  <c r="K508" i="31"/>
  <c r="L508" i="31"/>
  <c r="M508" i="31"/>
  <c r="N508" i="31"/>
  <c r="O508" i="31"/>
  <c r="P508" i="31"/>
  <c r="Q508" i="31"/>
  <c r="R508" i="31"/>
  <c r="S508" i="31"/>
  <c r="T508" i="31"/>
  <c r="I509" i="31"/>
  <c r="J509" i="31"/>
  <c r="K509" i="31"/>
  <c r="L509" i="31"/>
  <c r="M509" i="31"/>
  <c r="N509" i="31"/>
  <c r="O509" i="31"/>
  <c r="P509" i="31"/>
  <c r="Q509" i="31"/>
  <c r="R509" i="31"/>
  <c r="S509" i="31"/>
  <c r="T509" i="31"/>
  <c r="I510" i="31"/>
  <c r="J510" i="31"/>
  <c r="K510" i="31"/>
  <c r="L510" i="31"/>
  <c r="M510" i="31"/>
  <c r="N510" i="31"/>
  <c r="O510" i="31"/>
  <c r="P510" i="31"/>
  <c r="Q510" i="31"/>
  <c r="R510" i="31"/>
  <c r="S510" i="31"/>
  <c r="T510" i="31"/>
  <c r="I511" i="31"/>
  <c r="J511" i="31"/>
  <c r="K511" i="31"/>
  <c r="L511" i="31"/>
  <c r="M511" i="31"/>
  <c r="N511" i="31"/>
  <c r="O511" i="31"/>
  <c r="P511" i="31"/>
  <c r="Q511" i="31"/>
  <c r="R511" i="31"/>
  <c r="S511" i="31"/>
  <c r="T511" i="31"/>
  <c r="I512" i="31"/>
  <c r="J512" i="31"/>
  <c r="K512" i="31"/>
  <c r="L512" i="31"/>
  <c r="M512" i="31"/>
  <c r="N512" i="31"/>
  <c r="O512" i="31"/>
  <c r="P512" i="31"/>
  <c r="Q512" i="31"/>
  <c r="R512" i="31"/>
  <c r="S512" i="31"/>
  <c r="T512" i="31"/>
  <c r="I513" i="31"/>
  <c r="J513" i="31"/>
  <c r="K513" i="31"/>
  <c r="L513" i="31"/>
  <c r="M513" i="31"/>
  <c r="N513" i="31"/>
  <c r="O513" i="31"/>
  <c r="P513" i="31"/>
  <c r="Q513" i="31"/>
  <c r="R513" i="31"/>
  <c r="S513" i="31"/>
  <c r="T513" i="31"/>
  <c r="I514" i="31"/>
  <c r="J514" i="31"/>
  <c r="K514" i="31"/>
  <c r="L514" i="31"/>
  <c r="M514" i="31"/>
  <c r="N514" i="31"/>
  <c r="O514" i="31"/>
  <c r="P514" i="31"/>
  <c r="Q514" i="31"/>
  <c r="R514" i="31"/>
  <c r="S514" i="31"/>
  <c r="T514" i="31"/>
  <c r="I515" i="31"/>
  <c r="J515" i="31"/>
  <c r="K515" i="31"/>
  <c r="L515" i="31"/>
  <c r="M515" i="31"/>
  <c r="N515" i="31"/>
  <c r="O515" i="31"/>
  <c r="P515" i="31"/>
  <c r="Q515" i="31"/>
  <c r="R515" i="31"/>
  <c r="S515" i="31"/>
  <c r="T515" i="31"/>
  <c r="I516" i="31"/>
  <c r="J516" i="31"/>
  <c r="K516" i="31"/>
  <c r="L516" i="31"/>
  <c r="M516" i="31"/>
  <c r="N516" i="31"/>
  <c r="O516" i="31"/>
  <c r="P516" i="31"/>
  <c r="Q516" i="31"/>
  <c r="R516" i="31"/>
  <c r="S516" i="31"/>
  <c r="T516" i="31"/>
  <c r="I517" i="31"/>
  <c r="J517" i="31"/>
  <c r="K517" i="31"/>
  <c r="L517" i="31"/>
  <c r="M517" i="31"/>
  <c r="N517" i="31"/>
  <c r="O517" i="31"/>
  <c r="P517" i="31"/>
  <c r="Q517" i="31"/>
  <c r="R517" i="31"/>
  <c r="S517" i="31"/>
  <c r="T517" i="31"/>
  <c r="I518" i="31"/>
  <c r="J518" i="31"/>
  <c r="K518" i="31"/>
  <c r="L518" i="31"/>
  <c r="M518" i="31"/>
  <c r="N518" i="31"/>
  <c r="O518" i="31"/>
  <c r="P518" i="31"/>
  <c r="Q518" i="31"/>
  <c r="R518" i="31"/>
  <c r="S518" i="31"/>
  <c r="T518" i="31"/>
  <c r="I519" i="31"/>
  <c r="J519" i="31"/>
  <c r="K519" i="31"/>
  <c r="L519" i="31"/>
  <c r="M519" i="31"/>
  <c r="N519" i="31"/>
  <c r="O519" i="31"/>
  <c r="P519" i="31"/>
  <c r="Q519" i="31"/>
  <c r="R519" i="31"/>
  <c r="S519" i="31"/>
  <c r="T519" i="31"/>
  <c r="I520" i="31"/>
  <c r="J520" i="31"/>
  <c r="K520" i="31"/>
  <c r="L520" i="31"/>
  <c r="M520" i="31"/>
  <c r="N520" i="31"/>
  <c r="O520" i="31"/>
  <c r="P520" i="31"/>
  <c r="Q520" i="31"/>
  <c r="R520" i="31"/>
  <c r="S520" i="31"/>
  <c r="T520" i="31"/>
  <c r="I521" i="31"/>
  <c r="J521" i="31"/>
  <c r="K521" i="31"/>
  <c r="L521" i="31"/>
  <c r="M521" i="31"/>
  <c r="N521" i="31"/>
  <c r="O521" i="31"/>
  <c r="P521" i="31"/>
  <c r="Q521" i="31"/>
  <c r="R521" i="31"/>
  <c r="S521" i="31"/>
  <c r="T521" i="31"/>
  <c r="I522" i="31"/>
  <c r="J522" i="31"/>
  <c r="K522" i="31"/>
  <c r="L522" i="31"/>
  <c r="M522" i="31"/>
  <c r="N522" i="31"/>
  <c r="O522" i="31"/>
  <c r="P522" i="31"/>
  <c r="Q522" i="31"/>
  <c r="R522" i="31"/>
  <c r="S522" i="31"/>
  <c r="T522" i="31"/>
  <c r="I523" i="31"/>
  <c r="J523" i="31"/>
  <c r="K523" i="31"/>
  <c r="L523" i="31"/>
  <c r="M523" i="31"/>
  <c r="N523" i="31"/>
  <c r="O523" i="31"/>
  <c r="P523" i="31"/>
  <c r="Q523" i="31"/>
  <c r="R523" i="31"/>
  <c r="S523" i="31"/>
  <c r="T523" i="31"/>
  <c r="I524" i="31"/>
  <c r="J524" i="31"/>
  <c r="K524" i="31"/>
  <c r="L524" i="31"/>
  <c r="M524" i="31"/>
  <c r="N524" i="31"/>
  <c r="O524" i="31"/>
  <c r="P524" i="31"/>
  <c r="Q524" i="31"/>
  <c r="R524" i="31"/>
  <c r="S524" i="31"/>
  <c r="T524" i="31"/>
  <c r="I525" i="31"/>
  <c r="J525" i="31"/>
  <c r="K525" i="31"/>
  <c r="L525" i="31"/>
  <c r="M525" i="31"/>
  <c r="N525" i="31"/>
  <c r="O525" i="31"/>
  <c r="P525" i="31"/>
  <c r="Q525" i="31"/>
  <c r="R525" i="31"/>
  <c r="S525" i="31"/>
  <c r="T525" i="31"/>
  <c r="I526" i="31"/>
  <c r="J526" i="31"/>
  <c r="K526" i="31"/>
  <c r="L526" i="31"/>
  <c r="M526" i="31"/>
  <c r="N526" i="31"/>
  <c r="O526" i="31"/>
  <c r="P526" i="31"/>
  <c r="Q526" i="31"/>
  <c r="R526" i="31"/>
  <c r="S526" i="31"/>
  <c r="T526" i="31"/>
  <c r="I527" i="31"/>
  <c r="J527" i="31"/>
  <c r="K527" i="31"/>
  <c r="L527" i="31"/>
  <c r="M527" i="31"/>
  <c r="N527" i="31"/>
  <c r="O527" i="31"/>
  <c r="P527" i="31"/>
  <c r="Q527" i="31"/>
  <c r="R527" i="31"/>
  <c r="S527" i="31"/>
  <c r="T527" i="31"/>
  <c r="I528" i="31"/>
  <c r="J528" i="31"/>
  <c r="K528" i="31"/>
  <c r="L528" i="31"/>
  <c r="M528" i="31"/>
  <c r="N528" i="31"/>
  <c r="O528" i="31"/>
  <c r="P528" i="31"/>
  <c r="Q528" i="31"/>
  <c r="R528" i="31"/>
  <c r="S528" i="31"/>
  <c r="T528" i="31"/>
  <c r="I529" i="31"/>
  <c r="J529" i="31"/>
  <c r="K529" i="31"/>
  <c r="L529" i="31"/>
  <c r="M529" i="31"/>
  <c r="N529" i="31"/>
  <c r="O529" i="31"/>
  <c r="P529" i="31"/>
  <c r="Q529" i="31"/>
  <c r="R529" i="31"/>
  <c r="S529" i="31"/>
  <c r="T529" i="31"/>
  <c r="I530" i="31"/>
  <c r="J530" i="31"/>
  <c r="K530" i="31"/>
  <c r="L530" i="31"/>
  <c r="M530" i="31"/>
  <c r="N530" i="31"/>
  <c r="O530" i="31"/>
  <c r="P530" i="31"/>
  <c r="Q530" i="31"/>
  <c r="R530" i="31"/>
  <c r="S530" i="31"/>
  <c r="T530" i="31"/>
  <c r="I531" i="31"/>
  <c r="J531" i="31"/>
  <c r="K531" i="31"/>
  <c r="L531" i="31"/>
  <c r="M531" i="31"/>
  <c r="N531" i="31"/>
  <c r="O531" i="31"/>
  <c r="P531" i="31"/>
  <c r="Q531" i="31"/>
  <c r="R531" i="31"/>
  <c r="S531" i="31"/>
  <c r="T531" i="31"/>
  <c r="I532" i="31"/>
  <c r="J532" i="31"/>
  <c r="K532" i="31"/>
  <c r="L532" i="31"/>
  <c r="M532" i="31"/>
  <c r="N532" i="31"/>
  <c r="O532" i="31"/>
  <c r="P532" i="31"/>
  <c r="Q532" i="31"/>
  <c r="R532" i="31"/>
  <c r="S532" i="31"/>
  <c r="T532" i="31"/>
  <c r="I533" i="31"/>
  <c r="J533" i="31"/>
  <c r="K533" i="31"/>
  <c r="L533" i="31"/>
  <c r="M533" i="31"/>
  <c r="N533" i="31"/>
  <c r="O533" i="31"/>
  <c r="P533" i="31"/>
  <c r="Q533" i="31"/>
  <c r="R533" i="31"/>
  <c r="S533" i="31"/>
  <c r="T533" i="31"/>
  <c r="I534" i="31"/>
  <c r="J534" i="31"/>
  <c r="K534" i="31"/>
  <c r="L534" i="31"/>
  <c r="M534" i="31"/>
  <c r="N534" i="31"/>
  <c r="O534" i="31"/>
  <c r="P534" i="31"/>
  <c r="Q534" i="31"/>
  <c r="R534" i="31"/>
  <c r="S534" i="31"/>
  <c r="T534" i="31"/>
  <c r="I535" i="31"/>
  <c r="J535" i="31"/>
  <c r="K535" i="31"/>
  <c r="L535" i="31"/>
  <c r="M535" i="31"/>
  <c r="N535" i="31"/>
  <c r="O535" i="31"/>
  <c r="P535" i="31"/>
  <c r="Q535" i="31"/>
  <c r="R535" i="31"/>
  <c r="S535" i="31"/>
  <c r="T535" i="31"/>
  <c r="I536" i="31"/>
  <c r="J536" i="31"/>
  <c r="K536" i="31"/>
  <c r="L536" i="31"/>
  <c r="M536" i="31"/>
  <c r="N536" i="31"/>
  <c r="O536" i="31"/>
  <c r="P536" i="31"/>
  <c r="Q536" i="31"/>
  <c r="R536" i="31"/>
  <c r="S536" i="31"/>
  <c r="T536" i="31"/>
  <c r="I537" i="31"/>
  <c r="J537" i="31"/>
  <c r="K537" i="31"/>
  <c r="L537" i="31"/>
  <c r="M537" i="31"/>
  <c r="N537" i="31"/>
  <c r="O537" i="31"/>
  <c r="P537" i="31"/>
  <c r="Q537" i="31"/>
  <c r="R537" i="31"/>
  <c r="S537" i="31"/>
  <c r="T537" i="31"/>
  <c r="I538" i="31"/>
  <c r="J538" i="31"/>
  <c r="K538" i="31"/>
  <c r="L538" i="31"/>
  <c r="M538" i="31"/>
  <c r="N538" i="31"/>
  <c r="O538" i="31"/>
  <c r="P538" i="31"/>
  <c r="Q538" i="31"/>
  <c r="R538" i="31"/>
  <c r="S538" i="31"/>
  <c r="T538" i="31"/>
  <c r="I539" i="31"/>
  <c r="J539" i="31"/>
  <c r="K539" i="31"/>
  <c r="L539" i="31"/>
  <c r="M539" i="31"/>
  <c r="N539" i="31"/>
  <c r="O539" i="31"/>
  <c r="P539" i="31"/>
  <c r="Q539" i="31"/>
  <c r="R539" i="31"/>
  <c r="S539" i="31"/>
  <c r="T539" i="31"/>
  <c r="I540" i="31"/>
  <c r="J540" i="31"/>
  <c r="K540" i="31"/>
  <c r="L540" i="31"/>
  <c r="M540" i="31"/>
  <c r="N540" i="31"/>
  <c r="O540" i="31"/>
  <c r="P540" i="31"/>
  <c r="Q540" i="31"/>
  <c r="R540" i="31"/>
  <c r="S540" i="31"/>
  <c r="T540" i="31"/>
  <c r="I541" i="31"/>
  <c r="J541" i="31"/>
  <c r="K541" i="31"/>
  <c r="L541" i="31"/>
  <c r="M541" i="31"/>
  <c r="N541" i="31"/>
  <c r="O541" i="31"/>
  <c r="P541" i="31"/>
  <c r="Q541" i="31"/>
  <c r="R541" i="31"/>
  <c r="S541" i="31"/>
  <c r="T541" i="31"/>
  <c r="I542" i="31"/>
  <c r="J542" i="31"/>
  <c r="K542" i="31"/>
  <c r="L542" i="31"/>
  <c r="M542" i="31"/>
  <c r="N542" i="31"/>
  <c r="O542" i="31"/>
  <c r="P542" i="31"/>
  <c r="Q542" i="31"/>
  <c r="R542" i="31"/>
  <c r="S542" i="31"/>
  <c r="T542" i="31"/>
  <c r="I543" i="31"/>
  <c r="J543" i="31"/>
  <c r="K543" i="31"/>
  <c r="L543" i="31"/>
  <c r="M543" i="31"/>
  <c r="N543" i="31"/>
  <c r="O543" i="31"/>
  <c r="P543" i="31"/>
  <c r="Q543" i="31"/>
  <c r="R543" i="31"/>
  <c r="S543" i="31"/>
  <c r="T543" i="31"/>
  <c r="I544" i="31"/>
  <c r="J544" i="31"/>
  <c r="K544" i="31"/>
  <c r="L544" i="31"/>
  <c r="M544" i="31"/>
  <c r="N544" i="31"/>
  <c r="O544" i="31"/>
  <c r="P544" i="31"/>
  <c r="Q544" i="31"/>
  <c r="R544" i="31"/>
  <c r="S544" i="31"/>
  <c r="T544" i="31"/>
  <c r="I545" i="31"/>
  <c r="J545" i="31"/>
  <c r="K545" i="31"/>
  <c r="L545" i="31"/>
  <c r="M545" i="31"/>
  <c r="N545" i="31"/>
  <c r="O545" i="31"/>
  <c r="P545" i="31"/>
  <c r="Q545" i="31"/>
  <c r="R545" i="31"/>
  <c r="S545" i="31"/>
  <c r="T545" i="31"/>
  <c r="I546" i="31"/>
  <c r="J546" i="31"/>
  <c r="K546" i="31"/>
  <c r="L546" i="31"/>
  <c r="M546" i="31"/>
  <c r="N546" i="31"/>
  <c r="O546" i="31"/>
  <c r="P546" i="31"/>
  <c r="Q546" i="31"/>
  <c r="R546" i="31"/>
  <c r="S546" i="31"/>
  <c r="T546" i="31"/>
  <c r="I547" i="31"/>
  <c r="J547" i="31"/>
  <c r="K547" i="31"/>
  <c r="L547" i="31"/>
  <c r="M547" i="31"/>
  <c r="N547" i="31"/>
  <c r="O547" i="31"/>
  <c r="P547" i="31"/>
  <c r="Q547" i="31"/>
  <c r="R547" i="31"/>
  <c r="S547" i="31"/>
  <c r="T547" i="31"/>
  <c r="I548" i="31"/>
  <c r="J548" i="31"/>
  <c r="K548" i="31"/>
  <c r="L548" i="31"/>
  <c r="M548" i="31"/>
  <c r="N548" i="31"/>
  <c r="O548" i="31"/>
  <c r="P548" i="31"/>
  <c r="Q548" i="31"/>
  <c r="R548" i="31"/>
  <c r="S548" i="31"/>
  <c r="T548" i="31"/>
  <c r="I549" i="31"/>
  <c r="J549" i="31"/>
  <c r="K549" i="31"/>
  <c r="L549" i="31"/>
  <c r="M549" i="31"/>
  <c r="N549" i="31"/>
  <c r="O549" i="31"/>
  <c r="P549" i="31"/>
  <c r="Q549" i="31"/>
  <c r="R549" i="31"/>
  <c r="S549" i="31"/>
  <c r="T549" i="31"/>
  <c r="I550" i="31"/>
  <c r="J550" i="31"/>
  <c r="K550" i="31"/>
  <c r="L550" i="31"/>
  <c r="M550" i="31"/>
  <c r="N550" i="31"/>
  <c r="O550" i="31"/>
  <c r="P550" i="31"/>
  <c r="Q550" i="31"/>
  <c r="R550" i="31"/>
  <c r="S550" i="31"/>
  <c r="T550" i="31"/>
  <c r="I551" i="31"/>
  <c r="J551" i="31"/>
  <c r="K551" i="31"/>
  <c r="L551" i="31"/>
  <c r="M551" i="31"/>
  <c r="N551" i="31"/>
  <c r="O551" i="31"/>
  <c r="P551" i="31"/>
  <c r="Q551" i="31"/>
  <c r="R551" i="31"/>
  <c r="S551" i="31"/>
  <c r="T551" i="31"/>
  <c r="I552" i="31"/>
  <c r="J552" i="31"/>
  <c r="K552" i="31"/>
  <c r="L552" i="31"/>
  <c r="M552" i="31"/>
  <c r="N552" i="31"/>
  <c r="O552" i="31"/>
  <c r="P552" i="31"/>
  <c r="Q552" i="31"/>
  <c r="R552" i="31"/>
  <c r="S552" i="31"/>
  <c r="T552" i="31"/>
  <c r="I553" i="31"/>
  <c r="J553" i="31"/>
  <c r="K553" i="31"/>
  <c r="L553" i="31"/>
  <c r="M553" i="31"/>
  <c r="N553" i="31"/>
  <c r="O553" i="31"/>
  <c r="P553" i="31"/>
  <c r="Q553" i="31"/>
  <c r="R553" i="31"/>
  <c r="S553" i="31"/>
  <c r="T553" i="31"/>
  <c r="I554" i="31"/>
  <c r="J554" i="31"/>
  <c r="K554" i="31"/>
  <c r="L554" i="31"/>
  <c r="M554" i="31"/>
  <c r="N554" i="31"/>
  <c r="O554" i="31"/>
  <c r="P554" i="31"/>
  <c r="Q554" i="31"/>
  <c r="R554" i="31"/>
  <c r="S554" i="31"/>
  <c r="T554" i="31"/>
  <c r="I555" i="31"/>
  <c r="J555" i="31"/>
  <c r="K555" i="31"/>
  <c r="L555" i="31"/>
  <c r="M555" i="31"/>
  <c r="N555" i="31"/>
  <c r="O555" i="31"/>
  <c r="P555" i="31"/>
  <c r="Q555" i="31"/>
  <c r="R555" i="31"/>
  <c r="S555" i="31"/>
  <c r="T555" i="31"/>
  <c r="I556" i="31"/>
  <c r="J556" i="31"/>
  <c r="K556" i="31"/>
  <c r="L556" i="31"/>
  <c r="M556" i="31"/>
  <c r="N556" i="31"/>
  <c r="O556" i="31"/>
  <c r="P556" i="31"/>
  <c r="Q556" i="31"/>
  <c r="R556" i="31"/>
  <c r="S556" i="31"/>
  <c r="T556" i="31"/>
  <c r="I557" i="31"/>
  <c r="J557" i="31"/>
  <c r="K557" i="31"/>
  <c r="L557" i="31"/>
  <c r="M557" i="31"/>
  <c r="N557" i="31"/>
  <c r="O557" i="31"/>
  <c r="P557" i="31"/>
  <c r="Q557" i="31"/>
  <c r="R557" i="31"/>
  <c r="S557" i="31"/>
  <c r="T557" i="31"/>
  <c r="I558" i="31"/>
  <c r="J558" i="31"/>
  <c r="K558" i="31"/>
  <c r="L558" i="31"/>
  <c r="M558" i="31"/>
  <c r="N558" i="31"/>
  <c r="O558" i="31"/>
  <c r="P558" i="31"/>
  <c r="Q558" i="31"/>
  <c r="R558" i="31"/>
  <c r="S558" i="31"/>
  <c r="T558" i="31"/>
  <c r="I559" i="31"/>
  <c r="J559" i="31"/>
  <c r="K559" i="31"/>
  <c r="L559" i="31"/>
  <c r="M559" i="31"/>
  <c r="N559" i="31"/>
  <c r="O559" i="31"/>
  <c r="P559" i="31"/>
  <c r="Q559" i="31"/>
  <c r="R559" i="31"/>
  <c r="S559" i="31"/>
  <c r="T559" i="31"/>
  <c r="I560" i="31"/>
  <c r="J560" i="31"/>
  <c r="K560" i="31"/>
  <c r="L560" i="31"/>
  <c r="M560" i="31"/>
  <c r="N560" i="31"/>
  <c r="O560" i="31"/>
  <c r="P560" i="31"/>
  <c r="Q560" i="31"/>
  <c r="R560" i="31"/>
  <c r="S560" i="31"/>
  <c r="T560" i="31"/>
  <c r="I561" i="31"/>
  <c r="J561" i="31"/>
  <c r="K561" i="31"/>
  <c r="L561" i="31"/>
  <c r="M561" i="31"/>
  <c r="N561" i="31"/>
  <c r="O561" i="31"/>
  <c r="P561" i="31"/>
  <c r="Q561" i="31"/>
  <c r="R561" i="31"/>
  <c r="S561" i="31"/>
  <c r="T561" i="31"/>
  <c r="I562" i="31"/>
  <c r="J562" i="31"/>
  <c r="K562" i="31"/>
  <c r="L562" i="31"/>
  <c r="M562" i="31"/>
  <c r="N562" i="31"/>
  <c r="O562" i="31"/>
  <c r="P562" i="31"/>
  <c r="Q562" i="31"/>
  <c r="R562" i="31"/>
  <c r="S562" i="31"/>
  <c r="T562" i="31"/>
  <c r="I563" i="31"/>
  <c r="J563" i="31"/>
  <c r="K563" i="31"/>
  <c r="L563" i="31"/>
  <c r="M563" i="31"/>
  <c r="N563" i="31"/>
  <c r="O563" i="31"/>
  <c r="P563" i="31"/>
  <c r="Q563" i="31"/>
  <c r="R563" i="31"/>
  <c r="S563" i="31"/>
  <c r="T563" i="31"/>
  <c r="I564" i="31"/>
  <c r="J564" i="31"/>
  <c r="K564" i="31"/>
  <c r="L564" i="31"/>
  <c r="M564" i="31"/>
  <c r="N564" i="31"/>
  <c r="O564" i="31"/>
  <c r="P564" i="31"/>
  <c r="Q564" i="31"/>
  <c r="R564" i="31"/>
  <c r="S564" i="31"/>
  <c r="T564" i="31"/>
  <c r="I565" i="31"/>
  <c r="J565" i="31"/>
  <c r="K565" i="31"/>
  <c r="L565" i="31"/>
  <c r="M565" i="31"/>
  <c r="N565" i="31"/>
  <c r="O565" i="31"/>
  <c r="P565" i="31"/>
  <c r="Q565" i="31"/>
  <c r="R565" i="31"/>
  <c r="S565" i="31"/>
  <c r="T565" i="31"/>
  <c r="I566" i="31"/>
  <c r="J566" i="31"/>
  <c r="K566" i="31"/>
  <c r="L566" i="31"/>
  <c r="M566" i="31"/>
  <c r="N566" i="31"/>
  <c r="O566" i="31"/>
  <c r="P566" i="31"/>
  <c r="Q566" i="31"/>
  <c r="R566" i="31"/>
  <c r="S566" i="31"/>
  <c r="T566" i="31"/>
  <c r="I567" i="31"/>
  <c r="J567" i="31"/>
  <c r="K567" i="31"/>
  <c r="L567" i="31"/>
  <c r="M567" i="31"/>
  <c r="N567" i="31"/>
  <c r="O567" i="31"/>
  <c r="P567" i="31"/>
  <c r="Q567" i="31"/>
  <c r="R567" i="31"/>
  <c r="S567" i="31"/>
  <c r="T567" i="31"/>
  <c r="I568" i="31"/>
  <c r="J568" i="31"/>
  <c r="K568" i="31"/>
  <c r="L568" i="31"/>
  <c r="M568" i="31"/>
  <c r="N568" i="31"/>
  <c r="O568" i="31"/>
  <c r="P568" i="31"/>
  <c r="Q568" i="31"/>
  <c r="R568" i="31"/>
  <c r="S568" i="31"/>
  <c r="T568" i="31"/>
  <c r="I569" i="31"/>
  <c r="J569" i="31"/>
  <c r="K569" i="31"/>
  <c r="L569" i="31"/>
  <c r="M569" i="31"/>
  <c r="N569" i="31"/>
  <c r="O569" i="31"/>
  <c r="P569" i="31"/>
  <c r="Q569" i="31"/>
  <c r="R569" i="31"/>
  <c r="S569" i="31"/>
  <c r="T569" i="31"/>
  <c r="I570" i="31"/>
  <c r="J570" i="31"/>
  <c r="K570" i="31"/>
  <c r="L570" i="31"/>
  <c r="M570" i="31"/>
  <c r="N570" i="31"/>
  <c r="O570" i="31"/>
  <c r="P570" i="31"/>
  <c r="Q570" i="31"/>
  <c r="R570" i="31"/>
  <c r="S570" i="31"/>
  <c r="T570" i="31"/>
  <c r="I571" i="31"/>
  <c r="J571" i="31"/>
  <c r="K571" i="31"/>
  <c r="L571" i="31"/>
  <c r="M571" i="31"/>
  <c r="N571" i="31"/>
  <c r="O571" i="31"/>
  <c r="P571" i="31"/>
  <c r="Q571" i="31"/>
  <c r="R571" i="31"/>
  <c r="S571" i="31"/>
  <c r="T571" i="31"/>
  <c r="I572" i="31"/>
  <c r="J572" i="31"/>
  <c r="K572" i="31"/>
  <c r="L572" i="31"/>
  <c r="M572" i="31"/>
  <c r="N572" i="31"/>
  <c r="O572" i="31"/>
  <c r="P572" i="31"/>
  <c r="Q572" i="31"/>
  <c r="R572" i="31"/>
  <c r="S572" i="31"/>
  <c r="T572" i="31"/>
  <c r="I573" i="31"/>
  <c r="J573" i="31"/>
  <c r="K573" i="31"/>
  <c r="L573" i="31"/>
  <c r="M573" i="31"/>
  <c r="N573" i="31"/>
  <c r="O573" i="31"/>
  <c r="P573" i="31"/>
  <c r="Q573" i="31"/>
  <c r="R573" i="31"/>
  <c r="S573" i="31"/>
  <c r="T573" i="31"/>
  <c r="I574" i="31"/>
  <c r="J574" i="31"/>
  <c r="K574" i="31"/>
  <c r="L574" i="31"/>
  <c r="M574" i="31"/>
  <c r="N574" i="31"/>
  <c r="O574" i="31"/>
  <c r="P574" i="31"/>
  <c r="Q574" i="31"/>
  <c r="R574" i="31"/>
  <c r="S574" i="31"/>
  <c r="T574" i="31"/>
  <c r="I575" i="31"/>
  <c r="J575" i="31"/>
  <c r="K575" i="31"/>
  <c r="L575" i="31"/>
  <c r="M575" i="31"/>
  <c r="N575" i="31"/>
  <c r="O575" i="31"/>
  <c r="P575" i="31"/>
  <c r="Q575" i="31"/>
  <c r="R575" i="31"/>
  <c r="S575" i="31"/>
  <c r="T575" i="31"/>
  <c r="I576" i="31"/>
  <c r="J576" i="31"/>
  <c r="K576" i="31"/>
  <c r="L576" i="31"/>
  <c r="M576" i="31"/>
  <c r="N576" i="31"/>
  <c r="O576" i="31"/>
  <c r="P576" i="31"/>
  <c r="Q576" i="31"/>
  <c r="R576" i="31"/>
  <c r="S576" i="31"/>
  <c r="T576" i="31"/>
  <c r="I577" i="31"/>
  <c r="J577" i="31"/>
  <c r="K577" i="31"/>
  <c r="L577" i="31"/>
  <c r="M577" i="31"/>
  <c r="N577" i="31"/>
  <c r="O577" i="31"/>
  <c r="P577" i="31"/>
  <c r="Q577" i="31"/>
  <c r="R577" i="31"/>
  <c r="S577" i="31"/>
  <c r="T577" i="31"/>
  <c r="I578" i="31"/>
  <c r="J578" i="31"/>
  <c r="K578" i="31"/>
  <c r="L578" i="31"/>
  <c r="M578" i="31"/>
  <c r="N578" i="31"/>
  <c r="O578" i="31"/>
  <c r="P578" i="31"/>
  <c r="Q578" i="31"/>
  <c r="R578" i="31"/>
  <c r="S578" i="31"/>
  <c r="T578" i="31"/>
  <c r="I579" i="31"/>
  <c r="J579" i="31"/>
  <c r="K579" i="31"/>
  <c r="L579" i="31"/>
  <c r="M579" i="31"/>
  <c r="N579" i="31"/>
  <c r="O579" i="31"/>
  <c r="P579" i="31"/>
  <c r="Q579" i="31"/>
  <c r="R579" i="31"/>
  <c r="S579" i="31"/>
  <c r="T579" i="31"/>
  <c r="I580" i="31"/>
  <c r="J580" i="31"/>
  <c r="K580" i="31"/>
  <c r="L580" i="31"/>
  <c r="M580" i="31"/>
  <c r="N580" i="31"/>
  <c r="O580" i="31"/>
  <c r="P580" i="31"/>
  <c r="Q580" i="31"/>
  <c r="R580" i="31"/>
  <c r="S580" i="31"/>
  <c r="T580" i="31"/>
  <c r="I581" i="31"/>
  <c r="J581" i="31"/>
  <c r="K581" i="31"/>
  <c r="L581" i="31"/>
  <c r="M581" i="31"/>
  <c r="N581" i="31"/>
  <c r="O581" i="31"/>
  <c r="P581" i="31"/>
  <c r="Q581" i="31"/>
  <c r="R581" i="31"/>
  <c r="S581" i="31"/>
  <c r="T581" i="31"/>
  <c r="I582" i="31"/>
  <c r="J582" i="31"/>
  <c r="K582" i="31"/>
  <c r="L582" i="31"/>
  <c r="M582" i="31"/>
  <c r="N582" i="31"/>
  <c r="O582" i="31"/>
  <c r="P582" i="31"/>
  <c r="Q582" i="31"/>
  <c r="R582" i="31"/>
  <c r="S582" i="31"/>
  <c r="T582" i="31"/>
  <c r="I583" i="31"/>
  <c r="J583" i="31"/>
  <c r="K583" i="31"/>
  <c r="L583" i="31"/>
  <c r="M583" i="31"/>
  <c r="N583" i="31"/>
  <c r="O583" i="31"/>
  <c r="P583" i="31"/>
  <c r="Q583" i="31"/>
  <c r="R583" i="31"/>
  <c r="S583" i="31"/>
  <c r="T583" i="31"/>
  <c r="I584" i="31"/>
  <c r="J584" i="31"/>
  <c r="K584" i="31"/>
  <c r="L584" i="31"/>
  <c r="M584" i="31"/>
  <c r="N584" i="31"/>
  <c r="O584" i="31"/>
  <c r="P584" i="31"/>
  <c r="Q584" i="31"/>
  <c r="R584" i="31"/>
  <c r="S584" i="31"/>
  <c r="T584" i="31"/>
  <c r="I585" i="31"/>
  <c r="J585" i="31"/>
  <c r="K585" i="31"/>
  <c r="L585" i="31"/>
  <c r="M585" i="31"/>
  <c r="N585" i="31"/>
  <c r="O585" i="31"/>
  <c r="P585" i="31"/>
  <c r="Q585" i="31"/>
  <c r="R585" i="31"/>
  <c r="S585" i="31"/>
  <c r="T585" i="31"/>
  <c r="I586" i="31"/>
  <c r="J586" i="31"/>
  <c r="K586" i="31"/>
  <c r="L586" i="31"/>
  <c r="M586" i="31"/>
  <c r="N586" i="31"/>
  <c r="O586" i="31"/>
  <c r="P586" i="31"/>
  <c r="Q586" i="31"/>
  <c r="R586" i="31"/>
  <c r="S586" i="31"/>
  <c r="T586" i="31"/>
  <c r="I587" i="31"/>
  <c r="J587" i="31"/>
  <c r="K587" i="31"/>
  <c r="L587" i="31"/>
  <c r="M587" i="31"/>
  <c r="N587" i="31"/>
  <c r="O587" i="31"/>
  <c r="P587" i="31"/>
  <c r="Q587" i="31"/>
  <c r="R587" i="31"/>
  <c r="S587" i="31"/>
  <c r="T587" i="31"/>
  <c r="I588" i="31"/>
  <c r="J588" i="31"/>
  <c r="K588" i="31"/>
  <c r="L588" i="31"/>
  <c r="M588" i="31"/>
  <c r="N588" i="31"/>
  <c r="O588" i="31"/>
  <c r="P588" i="31"/>
  <c r="Q588" i="31"/>
  <c r="R588" i="31"/>
  <c r="S588" i="31"/>
  <c r="T588" i="31"/>
  <c r="I589" i="31"/>
  <c r="J589" i="31"/>
  <c r="K589" i="31"/>
  <c r="L589" i="31"/>
  <c r="M589" i="31"/>
  <c r="N589" i="31"/>
  <c r="O589" i="31"/>
  <c r="P589" i="31"/>
  <c r="Q589" i="31"/>
  <c r="R589" i="31"/>
  <c r="S589" i="31"/>
  <c r="T589" i="31"/>
  <c r="I590" i="31"/>
  <c r="J590" i="31"/>
  <c r="K590" i="31"/>
  <c r="L590" i="31"/>
  <c r="M590" i="31"/>
  <c r="N590" i="31"/>
  <c r="O590" i="31"/>
  <c r="P590" i="31"/>
  <c r="Q590" i="31"/>
  <c r="R590" i="31"/>
  <c r="S590" i="31"/>
  <c r="T590" i="31"/>
  <c r="I591" i="31"/>
  <c r="J591" i="31"/>
  <c r="K591" i="31"/>
  <c r="L591" i="31"/>
  <c r="M591" i="31"/>
  <c r="N591" i="31"/>
  <c r="O591" i="31"/>
  <c r="P591" i="31"/>
  <c r="Q591" i="31"/>
  <c r="R591" i="31"/>
  <c r="S591" i="31"/>
  <c r="T591" i="31"/>
  <c r="I592" i="31"/>
  <c r="J592" i="31"/>
  <c r="K592" i="31"/>
  <c r="L592" i="31"/>
  <c r="M592" i="31"/>
  <c r="N592" i="31"/>
  <c r="O592" i="31"/>
  <c r="P592" i="31"/>
  <c r="Q592" i="31"/>
  <c r="R592" i="31"/>
  <c r="S592" i="31"/>
  <c r="T592" i="31"/>
  <c r="I593" i="31"/>
  <c r="J593" i="31"/>
  <c r="K593" i="31"/>
  <c r="L593" i="31"/>
  <c r="M593" i="31"/>
  <c r="N593" i="31"/>
  <c r="O593" i="31"/>
  <c r="P593" i="31"/>
  <c r="Q593" i="31"/>
  <c r="R593" i="31"/>
  <c r="S593" i="31"/>
  <c r="T593" i="31"/>
  <c r="I594" i="31"/>
  <c r="J594" i="31"/>
  <c r="K594" i="31"/>
  <c r="L594" i="31"/>
  <c r="M594" i="31"/>
  <c r="N594" i="31"/>
  <c r="O594" i="31"/>
  <c r="P594" i="31"/>
  <c r="Q594" i="31"/>
  <c r="R594" i="31"/>
  <c r="S594" i="31"/>
  <c r="T594" i="31"/>
  <c r="I595" i="31"/>
  <c r="J595" i="31"/>
  <c r="K595" i="31"/>
  <c r="L595" i="31"/>
  <c r="M595" i="31"/>
  <c r="N595" i="31"/>
  <c r="O595" i="31"/>
  <c r="P595" i="31"/>
  <c r="Q595" i="31"/>
  <c r="R595" i="31"/>
  <c r="S595" i="31"/>
  <c r="T595" i="31"/>
  <c r="I596" i="31"/>
  <c r="J596" i="31"/>
  <c r="K596" i="31"/>
  <c r="L596" i="31"/>
  <c r="M596" i="31"/>
  <c r="N596" i="31"/>
  <c r="O596" i="31"/>
  <c r="P596" i="31"/>
  <c r="Q596" i="31"/>
  <c r="R596" i="31"/>
  <c r="S596" i="31"/>
  <c r="T596" i="31"/>
  <c r="I597" i="31"/>
  <c r="J597" i="31"/>
  <c r="K597" i="31"/>
  <c r="L597" i="31"/>
  <c r="M597" i="31"/>
  <c r="N597" i="31"/>
  <c r="O597" i="31"/>
  <c r="P597" i="31"/>
  <c r="Q597" i="31"/>
  <c r="R597" i="31"/>
  <c r="S597" i="31"/>
  <c r="T597" i="31"/>
  <c r="I598" i="31"/>
  <c r="J598" i="31"/>
  <c r="K598" i="31"/>
  <c r="L598" i="31"/>
  <c r="M598" i="31"/>
  <c r="N598" i="31"/>
  <c r="O598" i="31"/>
  <c r="P598" i="31"/>
  <c r="Q598" i="31"/>
  <c r="R598" i="31"/>
  <c r="S598" i="31"/>
  <c r="T598" i="31"/>
  <c r="I599" i="31"/>
  <c r="J599" i="31"/>
  <c r="K599" i="31"/>
  <c r="L599" i="31"/>
  <c r="M599" i="31"/>
  <c r="N599" i="31"/>
  <c r="O599" i="31"/>
  <c r="P599" i="31"/>
  <c r="Q599" i="31"/>
  <c r="R599" i="31"/>
  <c r="S599" i="31"/>
  <c r="T599" i="31"/>
  <c r="I600" i="31"/>
  <c r="J600" i="31"/>
  <c r="K600" i="31"/>
  <c r="L600" i="31"/>
  <c r="M600" i="31"/>
  <c r="N600" i="31"/>
  <c r="O600" i="31"/>
  <c r="P600" i="31"/>
  <c r="Q600" i="31"/>
  <c r="R600" i="31"/>
  <c r="S600" i="31"/>
  <c r="T600" i="31"/>
  <c r="I601" i="31"/>
  <c r="J601" i="31"/>
  <c r="K601" i="31"/>
  <c r="L601" i="31"/>
  <c r="M601" i="31"/>
  <c r="N601" i="31"/>
  <c r="O601" i="31"/>
  <c r="P601" i="31"/>
  <c r="Q601" i="31"/>
  <c r="R601" i="31"/>
  <c r="S601" i="31"/>
  <c r="T601" i="31"/>
  <c r="I602" i="31"/>
  <c r="J602" i="31"/>
  <c r="K602" i="31"/>
  <c r="L602" i="31"/>
  <c r="M602" i="31"/>
  <c r="N602" i="31"/>
  <c r="O602" i="31"/>
  <c r="P602" i="31"/>
  <c r="Q602" i="31"/>
  <c r="R602" i="31"/>
  <c r="S602" i="31"/>
  <c r="T602" i="31"/>
  <c r="I603" i="31"/>
  <c r="J603" i="31"/>
  <c r="K603" i="31"/>
  <c r="L603" i="31"/>
  <c r="M603" i="31"/>
  <c r="N603" i="31"/>
  <c r="O603" i="31"/>
  <c r="P603" i="31"/>
  <c r="Q603" i="31"/>
  <c r="R603" i="31"/>
  <c r="S603" i="31"/>
  <c r="T603" i="31"/>
  <c r="I604" i="31"/>
  <c r="J604" i="31"/>
  <c r="K604" i="31"/>
  <c r="L604" i="31"/>
  <c r="M604" i="31"/>
  <c r="N604" i="31"/>
  <c r="O604" i="31"/>
  <c r="P604" i="31"/>
  <c r="Q604" i="31"/>
  <c r="R604" i="31"/>
  <c r="S604" i="31"/>
  <c r="T604" i="31"/>
  <c r="I605" i="31"/>
  <c r="J605" i="31"/>
  <c r="K605" i="31"/>
  <c r="L605" i="31"/>
  <c r="M605" i="31"/>
  <c r="N605" i="31"/>
  <c r="O605" i="31"/>
  <c r="P605" i="31"/>
  <c r="Q605" i="31"/>
  <c r="R605" i="31"/>
  <c r="S605" i="31"/>
  <c r="T605" i="31"/>
  <c r="I606" i="31"/>
  <c r="J606" i="31"/>
  <c r="K606" i="31"/>
  <c r="L606" i="31"/>
  <c r="M606" i="31"/>
  <c r="N606" i="31"/>
  <c r="O606" i="31"/>
  <c r="P606" i="31"/>
  <c r="Q606" i="31"/>
  <c r="R606" i="31"/>
  <c r="S606" i="31"/>
  <c r="T606" i="31"/>
  <c r="I607" i="31"/>
  <c r="J607" i="31"/>
  <c r="K607" i="31"/>
  <c r="L607" i="31"/>
  <c r="M607" i="31"/>
  <c r="N607" i="31"/>
  <c r="O607" i="31"/>
  <c r="P607" i="31"/>
  <c r="Q607" i="31"/>
  <c r="R607" i="31"/>
  <c r="S607" i="31"/>
  <c r="T607" i="31"/>
  <c r="I608" i="31"/>
  <c r="J608" i="31"/>
  <c r="K608" i="31"/>
  <c r="L608" i="31"/>
  <c r="M608" i="31"/>
  <c r="N608" i="31"/>
  <c r="O608" i="31"/>
  <c r="P608" i="31"/>
  <c r="Q608" i="31"/>
  <c r="R608" i="31"/>
  <c r="S608" i="31"/>
  <c r="T608" i="31"/>
  <c r="I609" i="31"/>
  <c r="J609" i="31"/>
  <c r="K609" i="31"/>
  <c r="L609" i="31"/>
  <c r="M609" i="31"/>
  <c r="N609" i="31"/>
  <c r="O609" i="31"/>
  <c r="P609" i="31"/>
  <c r="Q609" i="31"/>
  <c r="R609" i="31"/>
  <c r="S609" i="31"/>
  <c r="T609" i="31"/>
  <c r="I610" i="31"/>
  <c r="J610" i="31"/>
  <c r="K610" i="31"/>
  <c r="L610" i="31"/>
  <c r="M610" i="31"/>
  <c r="N610" i="31"/>
  <c r="O610" i="31"/>
  <c r="P610" i="31"/>
  <c r="Q610" i="31"/>
  <c r="R610" i="31"/>
  <c r="S610" i="31"/>
  <c r="T610" i="31"/>
  <c r="I611" i="31"/>
  <c r="J611" i="31"/>
  <c r="K611" i="31"/>
  <c r="L611" i="31"/>
  <c r="M611" i="31"/>
  <c r="N611" i="31"/>
  <c r="O611" i="31"/>
  <c r="P611" i="31"/>
  <c r="Q611" i="31"/>
  <c r="R611" i="31"/>
  <c r="S611" i="31"/>
  <c r="T611" i="31"/>
  <c r="I612" i="31"/>
  <c r="J612" i="31"/>
  <c r="K612" i="31"/>
  <c r="L612" i="31"/>
  <c r="M612" i="31"/>
  <c r="N612" i="31"/>
  <c r="O612" i="31"/>
  <c r="P612" i="31"/>
  <c r="Q612" i="31"/>
  <c r="R612" i="31"/>
  <c r="S612" i="31"/>
  <c r="T612" i="31"/>
  <c r="I613" i="31"/>
  <c r="J613" i="31"/>
  <c r="K613" i="31"/>
  <c r="L613" i="31"/>
  <c r="M613" i="31"/>
  <c r="N613" i="31"/>
  <c r="O613" i="31"/>
  <c r="P613" i="31"/>
  <c r="Q613" i="31"/>
  <c r="R613" i="31"/>
  <c r="S613" i="31"/>
  <c r="T613" i="31"/>
  <c r="I614" i="31"/>
  <c r="J614" i="31"/>
  <c r="K614" i="31"/>
  <c r="L614" i="31"/>
  <c r="M614" i="31"/>
  <c r="N614" i="31"/>
  <c r="O614" i="31"/>
  <c r="P614" i="31"/>
  <c r="Q614" i="31"/>
  <c r="R614" i="31"/>
  <c r="S614" i="31"/>
  <c r="T614" i="31"/>
  <c r="I615" i="31"/>
  <c r="J615" i="31"/>
  <c r="K615" i="31"/>
  <c r="L615" i="31"/>
  <c r="M615" i="31"/>
  <c r="N615" i="31"/>
  <c r="O615" i="31"/>
  <c r="P615" i="31"/>
  <c r="Q615" i="31"/>
  <c r="R615" i="31"/>
  <c r="S615" i="31"/>
  <c r="T615" i="31"/>
  <c r="I616" i="31"/>
  <c r="J616" i="31"/>
  <c r="K616" i="31"/>
  <c r="L616" i="31"/>
  <c r="M616" i="31"/>
  <c r="N616" i="31"/>
  <c r="O616" i="31"/>
  <c r="P616" i="31"/>
  <c r="Q616" i="31"/>
  <c r="R616" i="31"/>
  <c r="S616" i="31"/>
  <c r="T616" i="31"/>
  <c r="I617" i="31"/>
  <c r="J617" i="31"/>
  <c r="K617" i="31"/>
  <c r="L617" i="31"/>
  <c r="M617" i="31"/>
  <c r="N617" i="31"/>
  <c r="O617" i="31"/>
  <c r="P617" i="31"/>
  <c r="Q617" i="31"/>
  <c r="R617" i="31"/>
  <c r="S617" i="31"/>
  <c r="T617" i="31"/>
  <c r="I618" i="31"/>
  <c r="J618" i="31"/>
  <c r="K618" i="31"/>
  <c r="L618" i="31"/>
  <c r="M618" i="31"/>
  <c r="N618" i="31"/>
  <c r="O618" i="31"/>
  <c r="P618" i="31"/>
  <c r="Q618" i="31"/>
  <c r="R618" i="31"/>
  <c r="S618" i="31"/>
  <c r="T618" i="31"/>
  <c r="I619" i="31"/>
  <c r="J619" i="31"/>
  <c r="K619" i="31"/>
  <c r="L619" i="31"/>
  <c r="M619" i="31"/>
  <c r="N619" i="31"/>
  <c r="O619" i="31"/>
  <c r="P619" i="31"/>
  <c r="Q619" i="31"/>
  <c r="R619" i="31"/>
  <c r="S619" i="31"/>
  <c r="T619" i="31"/>
  <c r="I620" i="31"/>
  <c r="J620" i="31"/>
  <c r="K620" i="31"/>
  <c r="L620" i="31"/>
  <c r="M620" i="31"/>
  <c r="N620" i="31"/>
  <c r="O620" i="31"/>
  <c r="P620" i="31"/>
  <c r="Q620" i="31"/>
  <c r="R620" i="31"/>
  <c r="S620" i="31"/>
  <c r="T620" i="31"/>
  <c r="I621" i="31"/>
  <c r="J621" i="31"/>
  <c r="K621" i="31"/>
  <c r="L621" i="31"/>
  <c r="M621" i="31"/>
  <c r="N621" i="31"/>
  <c r="O621" i="31"/>
  <c r="P621" i="31"/>
  <c r="Q621" i="31"/>
  <c r="R621" i="31"/>
  <c r="S621" i="31"/>
  <c r="T621" i="31"/>
  <c r="I622" i="31"/>
  <c r="J622" i="31"/>
  <c r="K622" i="31"/>
  <c r="L622" i="31"/>
  <c r="M622" i="31"/>
  <c r="N622" i="31"/>
  <c r="O622" i="31"/>
  <c r="P622" i="31"/>
  <c r="Q622" i="31"/>
  <c r="R622" i="31"/>
  <c r="S622" i="31"/>
  <c r="T622" i="31"/>
  <c r="I623" i="31"/>
  <c r="J623" i="31"/>
  <c r="K623" i="31"/>
  <c r="L623" i="31"/>
  <c r="M623" i="31"/>
  <c r="N623" i="31"/>
  <c r="O623" i="31"/>
  <c r="P623" i="31"/>
  <c r="Q623" i="31"/>
  <c r="R623" i="31"/>
  <c r="S623" i="31"/>
  <c r="T623" i="31"/>
  <c r="I624" i="31"/>
  <c r="J624" i="31"/>
  <c r="K624" i="31"/>
  <c r="L624" i="31"/>
  <c r="M624" i="31"/>
  <c r="N624" i="31"/>
  <c r="O624" i="31"/>
  <c r="P624" i="31"/>
  <c r="Q624" i="31"/>
  <c r="R624" i="31"/>
  <c r="S624" i="31"/>
  <c r="T624" i="31"/>
  <c r="I625" i="31"/>
  <c r="J625" i="31"/>
  <c r="K625" i="31"/>
  <c r="L625" i="31"/>
  <c r="M625" i="31"/>
  <c r="N625" i="31"/>
  <c r="O625" i="31"/>
  <c r="P625" i="31"/>
  <c r="Q625" i="31"/>
  <c r="R625" i="31"/>
  <c r="S625" i="31"/>
  <c r="T625" i="31"/>
  <c r="I626" i="31"/>
  <c r="J626" i="31"/>
  <c r="K626" i="31"/>
  <c r="L626" i="31"/>
  <c r="M626" i="31"/>
  <c r="N626" i="31"/>
  <c r="O626" i="31"/>
  <c r="P626" i="31"/>
  <c r="Q626" i="31"/>
  <c r="R626" i="31"/>
  <c r="S626" i="31"/>
  <c r="T626" i="31"/>
  <c r="I627" i="31"/>
  <c r="J627" i="31"/>
  <c r="K627" i="31"/>
  <c r="L627" i="31"/>
  <c r="M627" i="31"/>
  <c r="N627" i="31"/>
  <c r="O627" i="31"/>
  <c r="P627" i="31"/>
  <c r="Q627" i="31"/>
  <c r="R627" i="31"/>
  <c r="S627" i="31"/>
  <c r="T627" i="31"/>
  <c r="I628" i="31"/>
  <c r="J628" i="31"/>
  <c r="K628" i="31"/>
  <c r="L628" i="31"/>
  <c r="M628" i="31"/>
  <c r="N628" i="31"/>
  <c r="O628" i="31"/>
  <c r="P628" i="31"/>
  <c r="Q628" i="31"/>
  <c r="R628" i="31"/>
  <c r="S628" i="31"/>
  <c r="T628" i="31"/>
  <c r="I629" i="31"/>
  <c r="J629" i="31"/>
  <c r="K629" i="31"/>
  <c r="L629" i="31"/>
  <c r="M629" i="31"/>
  <c r="N629" i="31"/>
  <c r="O629" i="31"/>
  <c r="P629" i="31"/>
  <c r="Q629" i="31"/>
  <c r="R629" i="31"/>
  <c r="S629" i="31"/>
  <c r="T629" i="31"/>
  <c r="I630" i="31"/>
  <c r="J630" i="31"/>
  <c r="K630" i="31"/>
  <c r="L630" i="31"/>
  <c r="M630" i="31"/>
  <c r="N630" i="31"/>
  <c r="O630" i="31"/>
  <c r="P630" i="31"/>
  <c r="Q630" i="31"/>
  <c r="R630" i="31"/>
  <c r="S630" i="31"/>
  <c r="T630" i="31"/>
  <c r="I631" i="31"/>
  <c r="J631" i="31"/>
  <c r="K631" i="31"/>
  <c r="L631" i="31"/>
  <c r="M631" i="31"/>
  <c r="N631" i="31"/>
  <c r="O631" i="31"/>
  <c r="P631" i="31"/>
  <c r="Q631" i="31"/>
  <c r="R631" i="31"/>
  <c r="S631" i="31"/>
  <c r="T631" i="31"/>
  <c r="I632" i="31"/>
  <c r="J632" i="31"/>
  <c r="K632" i="31"/>
  <c r="L632" i="31"/>
  <c r="M632" i="31"/>
  <c r="N632" i="31"/>
  <c r="O632" i="31"/>
  <c r="P632" i="31"/>
  <c r="Q632" i="31"/>
  <c r="R632" i="31"/>
  <c r="S632" i="31"/>
  <c r="T632" i="31"/>
  <c r="I633" i="31"/>
  <c r="J633" i="31"/>
  <c r="K633" i="31"/>
  <c r="L633" i="31"/>
  <c r="M633" i="31"/>
  <c r="N633" i="31"/>
  <c r="O633" i="31"/>
  <c r="P633" i="31"/>
  <c r="Q633" i="31"/>
  <c r="R633" i="31"/>
  <c r="S633" i="31"/>
  <c r="T633" i="31"/>
  <c r="I634" i="31"/>
  <c r="J634" i="31"/>
  <c r="K634" i="31"/>
  <c r="L634" i="31"/>
  <c r="M634" i="31"/>
  <c r="N634" i="31"/>
  <c r="O634" i="31"/>
  <c r="P634" i="31"/>
  <c r="Q634" i="31"/>
  <c r="R634" i="31"/>
  <c r="S634" i="31"/>
  <c r="T634" i="31"/>
  <c r="I635" i="31"/>
  <c r="J635" i="31"/>
  <c r="K635" i="31"/>
  <c r="L635" i="31"/>
  <c r="M635" i="31"/>
  <c r="N635" i="31"/>
  <c r="O635" i="31"/>
  <c r="P635" i="31"/>
  <c r="Q635" i="31"/>
  <c r="R635" i="31"/>
  <c r="S635" i="31"/>
  <c r="T635" i="31"/>
  <c r="I636" i="31"/>
  <c r="J636" i="31"/>
  <c r="K636" i="31"/>
  <c r="L636" i="31"/>
  <c r="M636" i="31"/>
  <c r="N636" i="31"/>
  <c r="O636" i="31"/>
  <c r="P636" i="31"/>
  <c r="Q636" i="31"/>
  <c r="R636" i="31"/>
  <c r="S636" i="31"/>
  <c r="T636" i="31"/>
  <c r="I637" i="31"/>
  <c r="J637" i="31"/>
  <c r="K637" i="31"/>
  <c r="L637" i="31"/>
  <c r="M637" i="31"/>
  <c r="N637" i="31"/>
  <c r="O637" i="31"/>
  <c r="P637" i="31"/>
  <c r="Q637" i="31"/>
  <c r="R637" i="31"/>
  <c r="S637" i="31"/>
  <c r="T637" i="31"/>
  <c r="I638" i="31"/>
  <c r="J638" i="31"/>
  <c r="K638" i="31"/>
  <c r="L638" i="31"/>
  <c r="M638" i="31"/>
  <c r="N638" i="31"/>
  <c r="O638" i="31"/>
  <c r="P638" i="31"/>
  <c r="Q638" i="31"/>
  <c r="R638" i="31"/>
  <c r="S638" i="31"/>
  <c r="T638" i="31"/>
  <c r="I639" i="31"/>
  <c r="J639" i="31"/>
  <c r="K639" i="31"/>
  <c r="L639" i="31"/>
  <c r="M639" i="31"/>
  <c r="N639" i="31"/>
  <c r="O639" i="31"/>
  <c r="P639" i="31"/>
  <c r="Q639" i="31"/>
  <c r="R639" i="31"/>
  <c r="S639" i="31"/>
  <c r="T639" i="31"/>
  <c r="I640" i="31"/>
  <c r="J640" i="31"/>
  <c r="K640" i="31"/>
  <c r="L640" i="31"/>
  <c r="M640" i="31"/>
  <c r="N640" i="31"/>
  <c r="O640" i="31"/>
  <c r="P640" i="31"/>
  <c r="Q640" i="31"/>
  <c r="R640" i="31"/>
  <c r="S640" i="31"/>
  <c r="T640" i="31"/>
  <c r="I641" i="31"/>
  <c r="J641" i="31"/>
  <c r="K641" i="31"/>
  <c r="L641" i="31"/>
  <c r="M641" i="31"/>
  <c r="N641" i="31"/>
  <c r="O641" i="31"/>
  <c r="P641" i="31"/>
  <c r="Q641" i="31"/>
  <c r="R641" i="31"/>
  <c r="S641" i="31"/>
  <c r="T641" i="31"/>
  <c r="I642" i="31"/>
  <c r="J642" i="31"/>
  <c r="K642" i="31"/>
  <c r="L642" i="31"/>
  <c r="M642" i="31"/>
  <c r="N642" i="31"/>
  <c r="O642" i="31"/>
  <c r="P642" i="31"/>
  <c r="Q642" i="31"/>
  <c r="R642" i="31"/>
  <c r="S642" i="31"/>
  <c r="T642" i="31"/>
  <c r="I643" i="31"/>
  <c r="J643" i="31"/>
  <c r="K643" i="31"/>
  <c r="L643" i="31"/>
  <c r="M643" i="31"/>
  <c r="N643" i="31"/>
  <c r="O643" i="31"/>
  <c r="P643" i="31"/>
  <c r="Q643" i="31"/>
  <c r="R643" i="31"/>
  <c r="S643" i="31"/>
  <c r="T643" i="31"/>
  <c r="I644" i="31"/>
  <c r="J644" i="31"/>
  <c r="K644" i="31"/>
  <c r="L644" i="31"/>
  <c r="M644" i="31"/>
  <c r="N644" i="31"/>
  <c r="O644" i="31"/>
  <c r="P644" i="31"/>
  <c r="Q644" i="31"/>
  <c r="R644" i="31"/>
  <c r="S644" i="31"/>
  <c r="T644" i="31"/>
  <c r="I645" i="31"/>
  <c r="J645" i="31"/>
  <c r="K645" i="31"/>
  <c r="L645" i="31"/>
  <c r="M645" i="31"/>
  <c r="N645" i="31"/>
  <c r="O645" i="31"/>
  <c r="P645" i="31"/>
  <c r="Q645" i="31"/>
  <c r="R645" i="31"/>
  <c r="S645" i="31"/>
  <c r="T645" i="31"/>
  <c r="I646" i="31"/>
  <c r="J646" i="31"/>
  <c r="K646" i="31"/>
  <c r="L646" i="31"/>
  <c r="M646" i="31"/>
  <c r="N646" i="31"/>
  <c r="O646" i="31"/>
  <c r="P646" i="31"/>
  <c r="Q646" i="31"/>
  <c r="R646" i="31"/>
  <c r="S646" i="31"/>
  <c r="T646" i="31"/>
  <c r="I647" i="31"/>
  <c r="J647" i="31"/>
  <c r="K647" i="31"/>
  <c r="L647" i="31"/>
  <c r="M647" i="31"/>
  <c r="N647" i="31"/>
  <c r="O647" i="31"/>
  <c r="P647" i="31"/>
  <c r="Q647" i="31"/>
  <c r="R647" i="31"/>
  <c r="S647" i="31"/>
  <c r="T647" i="31"/>
  <c r="I648" i="31"/>
  <c r="J648" i="31"/>
  <c r="K648" i="31"/>
  <c r="L648" i="31"/>
  <c r="M648" i="31"/>
  <c r="N648" i="31"/>
  <c r="O648" i="31"/>
  <c r="P648" i="31"/>
  <c r="Q648" i="31"/>
  <c r="R648" i="31"/>
  <c r="S648" i="31"/>
  <c r="T648" i="31"/>
  <c r="I649" i="31"/>
  <c r="J649" i="31"/>
  <c r="K649" i="31"/>
  <c r="L649" i="31"/>
  <c r="M649" i="31"/>
  <c r="N649" i="31"/>
  <c r="O649" i="31"/>
  <c r="P649" i="31"/>
  <c r="Q649" i="31"/>
  <c r="R649" i="31"/>
  <c r="S649" i="31"/>
  <c r="T649" i="31"/>
  <c r="I650" i="31"/>
  <c r="J650" i="31"/>
  <c r="K650" i="31"/>
  <c r="L650" i="31"/>
  <c r="M650" i="31"/>
  <c r="N650" i="31"/>
  <c r="O650" i="31"/>
  <c r="P650" i="31"/>
  <c r="Q650" i="31"/>
  <c r="R650" i="31"/>
  <c r="S650" i="31"/>
  <c r="T650" i="31"/>
  <c r="I651" i="31"/>
  <c r="J651" i="31"/>
  <c r="K651" i="31"/>
  <c r="L651" i="31"/>
  <c r="M651" i="31"/>
  <c r="N651" i="31"/>
  <c r="O651" i="31"/>
  <c r="P651" i="31"/>
  <c r="Q651" i="31"/>
  <c r="R651" i="31"/>
  <c r="S651" i="31"/>
  <c r="T651" i="31"/>
  <c r="I652" i="31"/>
  <c r="J652" i="31"/>
  <c r="K652" i="31"/>
  <c r="L652" i="31"/>
  <c r="M652" i="31"/>
  <c r="N652" i="31"/>
  <c r="O652" i="31"/>
  <c r="P652" i="31"/>
  <c r="Q652" i="31"/>
  <c r="R652" i="31"/>
  <c r="S652" i="31"/>
  <c r="T652" i="31"/>
  <c r="I653" i="31"/>
  <c r="J653" i="31"/>
  <c r="K653" i="31"/>
  <c r="L653" i="31"/>
  <c r="M653" i="31"/>
  <c r="N653" i="31"/>
  <c r="O653" i="31"/>
  <c r="P653" i="31"/>
  <c r="Q653" i="31"/>
  <c r="R653" i="31"/>
  <c r="S653" i="31"/>
  <c r="T653" i="31"/>
  <c r="I654" i="31"/>
  <c r="J654" i="31"/>
  <c r="K654" i="31"/>
  <c r="L654" i="31"/>
  <c r="M654" i="31"/>
  <c r="N654" i="31"/>
  <c r="O654" i="31"/>
  <c r="P654" i="31"/>
  <c r="Q654" i="31"/>
  <c r="R654" i="31"/>
  <c r="S654" i="31"/>
  <c r="T654" i="31"/>
  <c r="I655" i="31"/>
  <c r="J655" i="31"/>
  <c r="K655" i="31"/>
  <c r="L655" i="31"/>
  <c r="M655" i="31"/>
  <c r="N655" i="31"/>
  <c r="O655" i="31"/>
  <c r="P655" i="31"/>
  <c r="Q655" i="31"/>
  <c r="R655" i="31"/>
  <c r="S655" i="31"/>
  <c r="T655" i="31"/>
  <c r="I656" i="31"/>
  <c r="J656" i="31"/>
  <c r="K656" i="31"/>
  <c r="L656" i="31"/>
  <c r="M656" i="31"/>
  <c r="N656" i="31"/>
  <c r="O656" i="31"/>
  <c r="P656" i="31"/>
  <c r="Q656" i="31"/>
  <c r="R656" i="31"/>
  <c r="S656" i="31"/>
  <c r="T656" i="31"/>
  <c r="I657" i="31"/>
  <c r="J657" i="31"/>
  <c r="K657" i="31"/>
  <c r="L657" i="31"/>
  <c r="M657" i="31"/>
  <c r="N657" i="31"/>
  <c r="O657" i="31"/>
  <c r="P657" i="31"/>
  <c r="Q657" i="31"/>
  <c r="R657" i="31"/>
  <c r="S657" i="31"/>
  <c r="T657" i="31"/>
  <c r="I658" i="31"/>
  <c r="J658" i="31"/>
  <c r="K658" i="31"/>
  <c r="L658" i="31"/>
  <c r="M658" i="31"/>
  <c r="N658" i="31"/>
  <c r="O658" i="31"/>
  <c r="P658" i="31"/>
  <c r="Q658" i="31"/>
  <c r="R658" i="31"/>
  <c r="S658" i="31"/>
  <c r="T658" i="31"/>
  <c r="I659" i="31"/>
  <c r="J659" i="31"/>
  <c r="K659" i="31"/>
  <c r="L659" i="31"/>
  <c r="M659" i="31"/>
  <c r="N659" i="31"/>
  <c r="O659" i="31"/>
  <c r="P659" i="31"/>
  <c r="Q659" i="31"/>
  <c r="R659" i="31"/>
  <c r="S659" i="31"/>
  <c r="T659" i="31"/>
  <c r="I660" i="31"/>
  <c r="J660" i="31"/>
  <c r="K660" i="31"/>
  <c r="L660" i="31"/>
  <c r="M660" i="31"/>
  <c r="N660" i="31"/>
  <c r="O660" i="31"/>
  <c r="P660" i="31"/>
  <c r="Q660" i="31"/>
  <c r="R660" i="31"/>
  <c r="S660" i="31"/>
  <c r="T660" i="31"/>
  <c r="I661" i="31"/>
  <c r="J661" i="31"/>
  <c r="K661" i="31"/>
  <c r="L661" i="31"/>
  <c r="M661" i="31"/>
  <c r="N661" i="31"/>
  <c r="O661" i="31"/>
  <c r="P661" i="31"/>
  <c r="Q661" i="31"/>
  <c r="R661" i="31"/>
  <c r="S661" i="31"/>
  <c r="T661" i="31"/>
  <c r="I662" i="31"/>
  <c r="J662" i="31"/>
  <c r="K662" i="31"/>
  <c r="L662" i="31"/>
  <c r="M662" i="31"/>
  <c r="N662" i="31"/>
  <c r="O662" i="31"/>
  <c r="P662" i="31"/>
  <c r="Q662" i="31"/>
  <c r="R662" i="31"/>
  <c r="S662" i="31"/>
  <c r="T662" i="31"/>
  <c r="I663" i="31"/>
  <c r="J663" i="31"/>
  <c r="K663" i="31"/>
  <c r="L663" i="31"/>
  <c r="M663" i="31"/>
  <c r="N663" i="31"/>
  <c r="O663" i="31"/>
  <c r="P663" i="31"/>
  <c r="Q663" i="31"/>
  <c r="R663" i="31"/>
  <c r="S663" i="31"/>
  <c r="T663" i="31"/>
  <c r="I664" i="31"/>
  <c r="J664" i="31"/>
  <c r="K664" i="31"/>
  <c r="L664" i="31"/>
  <c r="M664" i="31"/>
  <c r="N664" i="31"/>
  <c r="O664" i="31"/>
  <c r="P664" i="31"/>
  <c r="Q664" i="31"/>
  <c r="R664" i="31"/>
  <c r="S664" i="31"/>
  <c r="T664" i="31"/>
  <c r="I665" i="31"/>
  <c r="J665" i="31"/>
  <c r="K665" i="31"/>
  <c r="L665" i="31"/>
  <c r="M665" i="31"/>
  <c r="N665" i="31"/>
  <c r="O665" i="31"/>
  <c r="P665" i="31"/>
  <c r="Q665" i="31"/>
  <c r="R665" i="31"/>
  <c r="S665" i="31"/>
  <c r="T665" i="31"/>
  <c r="I666" i="31"/>
  <c r="J666" i="31"/>
  <c r="K666" i="31"/>
  <c r="L666" i="31"/>
  <c r="M666" i="31"/>
  <c r="N666" i="31"/>
  <c r="O666" i="31"/>
  <c r="P666" i="31"/>
  <c r="Q666" i="31"/>
  <c r="R666" i="31"/>
  <c r="S666" i="31"/>
  <c r="T666" i="31"/>
  <c r="I667" i="31"/>
  <c r="J667" i="31"/>
  <c r="K667" i="31"/>
  <c r="L667" i="31"/>
  <c r="M667" i="31"/>
  <c r="N667" i="31"/>
  <c r="O667" i="31"/>
  <c r="P667" i="31"/>
  <c r="Q667" i="31"/>
  <c r="R667" i="31"/>
  <c r="S667" i="31"/>
  <c r="T667" i="31"/>
  <c r="I668" i="31"/>
  <c r="J668" i="31"/>
  <c r="K668" i="31"/>
  <c r="L668" i="31"/>
  <c r="M668" i="31"/>
  <c r="N668" i="31"/>
  <c r="O668" i="31"/>
  <c r="P668" i="31"/>
  <c r="Q668" i="31"/>
  <c r="R668" i="31"/>
  <c r="S668" i="31"/>
  <c r="T668" i="31"/>
  <c r="I669" i="31"/>
  <c r="J669" i="31"/>
  <c r="K669" i="31"/>
  <c r="L669" i="31"/>
  <c r="M669" i="31"/>
  <c r="N669" i="31"/>
  <c r="O669" i="31"/>
  <c r="P669" i="31"/>
  <c r="Q669" i="31"/>
  <c r="R669" i="31"/>
  <c r="S669" i="31"/>
  <c r="T669" i="31"/>
  <c r="I670" i="31"/>
  <c r="J670" i="31"/>
  <c r="K670" i="31"/>
  <c r="L670" i="31"/>
  <c r="M670" i="31"/>
  <c r="N670" i="31"/>
  <c r="O670" i="31"/>
  <c r="P670" i="31"/>
  <c r="Q670" i="31"/>
  <c r="R670" i="31"/>
  <c r="S670" i="31"/>
  <c r="T670" i="31"/>
  <c r="I671" i="31"/>
  <c r="J671" i="31"/>
  <c r="K671" i="31"/>
  <c r="L671" i="31"/>
  <c r="M671" i="31"/>
  <c r="N671" i="31"/>
  <c r="O671" i="31"/>
  <c r="P671" i="31"/>
  <c r="Q671" i="31"/>
  <c r="R671" i="31"/>
  <c r="S671" i="31"/>
  <c r="T671" i="31"/>
  <c r="I672" i="31"/>
  <c r="J672" i="31"/>
  <c r="K672" i="31"/>
  <c r="L672" i="31"/>
  <c r="M672" i="31"/>
  <c r="N672" i="31"/>
  <c r="O672" i="31"/>
  <c r="P672" i="31"/>
  <c r="Q672" i="31"/>
  <c r="R672" i="31"/>
  <c r="S672" i="31"/>
  <c r="T672" i="31"/>
  <c r="I673" i="31"/>
  <c r="J673" i="31"/>
  <c r="K673" i="31"/>
  <c r="L673" i="31"/>
  <c r="M673" i="31"/>
  <c r="N673" i="31"/>
  <c r="O673" i="31"/>
  <c r="P673" i="31"/>
  <c r="Q673" i="31"/>
  <c r="R673" i="31"/>
  <c r="S673" i="31"/>
  <c r="T673" i="31"/>
  <c r="I674" i="31"/>
  <c r="J674" i="31"/>
  <c r="K674" i="31"/>
  <c r="L674" i="31"/>
  <c r="M674" i="31"/>
  <c r="N674" i="31"/>
  <c r="O674" i="31"/>
  <c r="P674" i="31"/>
  <c r="Q674" i="31"/>
  <c r="R674" i="31"/>
  <c r="S674" i="31"/>
  <c r="T674" i="31"/>
  <c r="I675" i="31"/>
  <c r="J675" i="31"/>
  <c r="K675" i="31"/>
  <c r="L675" i="31"/>
  <c r="M675" i="31"/>
  <c r="N675" i="31"/>
  <c r="O675" i="31"/>
  <c r="P675" i="31"/>
  <c r="Q675" i="31"/>
  <c r="R675" i="31"/>
  <c r="S675" i="31"/>
  <c r="T675" i="31"/>
  <c r="I676" i="31"/>
  <c r="J676" i="31"/>
  <c r="K676" i="31"/>
  <c r="L676" i="31"/>
  <c r="M676" i="31"/>
  <c r="N676" i="31"/>
  <c r="O676" i="31"/>
  <c r="P676" i="31"/>
  <c r="Q676" i="31"/>
  <c r="R676" i="31"/>
  <c r="S676" i="31"/>
  <c r="T676" i="31"/>
  <c r="I677" i="31"/>
  <c r="J677" i="31"/>
  <c r="K677" i="31"/>
  <c r="L677" i="31"/>
  <c r="M677" i="31"/>
  <c r="N677" i="31"/>
  <c r="O677" i="31"/>
  <c r="P677" i="31"/>
  <c r="Q677" i="31"/>
  <c r="R677" i="31"/>
  <c r="S677" i="31"/>
  <c r="T677" i="31"/>
  <c r="I678" i="31"/>
  <c r="J678" i="31"/>
  <c r="K678" i="31"/>
  <c r="L678" i="31"/>
  <c r="M678" i="31"/>
  <c r="N678" i="31"/>
  <c r="O678" i="31"/>
  <c r="P678" i="31"/>
  <c r="Q678" i="31"/>
  <c r="R678" i="31"/>
  <c r="S678" i="31"/>
  <c r="T678" i="31"/>
  <c r="I679" i="31"/>
  <c r="J679" i="31"/>
  <c r="K679" i="31"/>
  <c r="L679" i="31"/>
  <c r="M679" i="31"/>
  <c r="N679" i="31"/>
  <c r="O679" i="31"/>
  <c r="P679" i="31"/>
  <c r="Q679" i="31"/>
  <c r="R679" i="31"/>
  <c r="S679" i="31"/>
  <c r="T679" i="31"/>
  <c r="I680" i="31"/>
  <c r="J680" i="31"/>
  <c r="K680" i="31"/>
  <c r="L680" i="31"/>
  <c r="M680" i="31"/>
  <c r="N680" i="31"/>
  <c r="O680" i="31"/>
  <c r="P680" i="31"/>
  <c r="Q680" i="31"/>
  <c r="R680" i="31"/>
  <c r="S680" i="31"/>
  <c r="T680" i="31"/>
  <c r="I681" i="31"/>
  <c r="J681" i="31"/>
  <c r="K681" i="31"/>
  <c r="L681" i="31"/>
  <c r="M681" i="31"/>
  <c r="N681" i="31"/>
  <c r="O681" i="31"/>
  <c r="P681" i="31"/>
  <c r="Q681" i="31"/>
  <c r="R681" i="31"/>
  <c r="S681" i="31"/>
  <c r="T681" i="31"/>
  <c r="I682" i="31"/>
  <c r="J682" i="31"/>
  <c r="K682" i="31"/>
  <c r="L682" i="31"/>
  <c r="M682" i="31"/>
  <c r="N682" i="31"/>
  <c r="O682" i="31"/>
  <c r="P682" i="31"/>
  <c r="Q682" i="31"/>
  <c r="R682" i="31"/>
  <c r="S682" i="31"/>
  <c r="T682" i="31"/>
  <c r="I683" i="31"/>
  <c r="J683" i="31"/>
  <c r="K683" i="31"/>
  <c r="L683" i="31"/>
  <c r="M683" i="31"/>
  <c r="N683" i="31"/>
  <c r="O683" i="31"/>
  <c r="P683" i="31"/>
  <c r="Q683" i="31"/>
  <c r="R683" i="31"/>
  <c r="S683" i="31"/>
  <c r="T683" i="31"/>
  <c r="I684" i="31"/>
  <c r="J684" i="31"/>
  <c r="K684" i="31"/>
  <c r="L684" i="31"/>
  <c r="M684" i="31"/>
  <c r="N684" i="31"/>
  <c r="O684" i="31"/>
  <c r="P684" i="31"/>
  <c r="Q684" i="31"/>
  <c r="R684" i="31"/>
  <c r="S684" i="31"/>
  <c r="T684" i="31"/>
  <c r="I685" i="31"/>
  <c r="J685" i="31"/>
  <c r="K685" i="31"/>
  <c r="L685" i="31"/>
  <c r="M685" i="31"/>
  <c r="N685" i="31"/>
  <c r="O685" i="31"/>
  <c r="P685" i="31"/>
  <c r="Q685" i="31"/>
  <c r="R685" i="31"/>
  <c r="S685" i="31"/>
  <c r="T685" i="31"/>
  <c r="I686" i="31"/>
  <c r="J686" i="31"/>
  <c r="K686" i="31"/>
  <c r="L686" i="31"/>
  <c r="M686" i="31"/>
  <c r="N686" i="31"/>
  <c r="O686" i="31"/>
  <c r="P686" i="31"/>
  <c r="Q686" i="31"/>
  <c r="R686" i="31"/>
  <c r="S686" i="31"/>
  <c r="T686" i="31"/>
  <c r="I687" i="31"/>
  <c r="J687" i="31"/>
  <c r="K687" i="31"/>
  <c r="L687" i="31"/>
  <c r="M687" i="31"/>
  <c r="N687" i="31"/>
  <c r="O687" i="31"/>
  <c r="P687" i="31"/>
  <c r="Q687" i="31"/>
  <c r="R687" i="31"/>
  <c r="S687" i="31"/>
  <c r="T687" i="31"/>
  <c r="I688" i="31"/>
  <c r="J688" i="31"/>
  <c r="K688" i="31"/>
  <c r="L688" i="31"/>
  <c r="M688" i="31"/>
  <c r="N688" i="31"/>
  <c r="O688" i="31"/>
  <c r="P688" i="31"/>
  <c r="Q688" i="31"/>
  <c r="R688" i="31"/>
  <c r="S688" i="31"/>
  <c r="T688" i="31"/>
  <c r="I689" i="31"/>
  <c r="J689" i="31"/>
  <c r="K689" i="31"/>
  <c r="L689" i="31"/>
  <c r="M689" i="31"/>
  <c r="N689" i="31"/>
  <c r="O689" i="31"/>
  <c r="P689" i="31"/>
  <c r="Q689" i="31"/>
  <c r="R689" i="31"/>
  <c r="S689" i="31"/>
  <c r="T689" i="31"/>
  <c r="I690" i="31"/>
  <c r="J690" i="31"/>
  <c r="K690" i="31"/>
  <c r="L690" i="31"/>
  <c r="M690" i="31"/>
  <c r="N690" i="31"/>
  <c r="O690" i="31"/>
  <c r="P690" i="31"/>
  <c r="Q690" i="31"/>
  <c r="R690" i="31"/>
  <c r="S690" i="31"/>
  <c r="T690" i="31"/>
  <c r="I691" i="31"/>
  <c r="J691" i="31"/>
  <c r="K691" i="31"/>
  <c r="L691" i="31"/>
  <c r="M691" i="31"/>
  <c r="N691" i="31"/>
  <c r="O691" i="31"/>
  <c r="P691" i="31"/>
  <c r="Q691" i="31"/>
  <c r="R691" i="31"/>
  <c r="S691" i="31"/>
  <c r="T691" i="31"/>
  <c r="I692" i="31"/>
  <c r="J692" i="31"/>
  <c r="K692" i="31"/>
  <c r="L692" i="31"/>
  <c r="M692" i="31"/>
  <c r="N692" i="31"/>
  <c r="O692" i="31"/>
  <c r="P692" i="31"/>
  <c r="Q692" i="31"/>
  <c r="R692" i="31"/>
  <c r="S692" i="31"/>
  <c r="T692" i="31"/>
  <c r="I693" i="31"/>
  <c r="J693" i="31"/>
  <c r="K693" i="31"/>
  <c r="L693" i="31"/>
  <c r="M693" i="31"/>
  <c r="N693" i="31"/>
  <c r="O693" i="31"/>
  <c r="P693" i="31"/>
  <c r="Q693" i="31"/>
  <c r="R693" i="31"/>
  <c r="S693" i="31"/>
  <c r="T693" i="31"/>
  <c r="I694" i="31"/>
  <c r="J694" i="31"/>
  <c r="K694" i="31"/>
  <c r="L694" i="31"/>
  <c r="M694" i="31"/>
  <c r="N694" i="31"/>
  <c r="O694" i="31"/>
  <c r="P694" i="31"/>
  <c r="Q694" i="31"/>
  <c r="R694" i="31"/>
  <c r="S694" i="31"/>
  <c r="T694" i="31"/>
  <c r="I695" i="31"/>
  <c r="J695" i="31"/>
  <c r="K695" i="31"/>
  <c r="L695" i="31"/>
  <c r="M695" i="31"/>
  <c r="N695" i="31"/>
  <c r="O695" i="31"/>
  <c r="P695" i="31"/>
  <c r="Q695" i="31"/>
  <c r="R695" i="31"/>
  <c r="S695" i="31"/>
  <c r="T695" i="31"/>
  <c r="I696" i="31"/>
  <c r="J696" i="31"/>
  <c r="K696" i="31"/>
  <c r="L696" i="31"/>
  <c r="M696" i="31"/>
  <c r="N696" i="31"/>
  <c r="O696" i="31"/>
  <c r="P696" i="31"/>
  <c r="Q696" i="31"/>
  <c r="R696" i="31"/>
  <c r="S696" i="31"/>
  <c r="T696" i="31"/>
  <c r="I697" i="31"/>
  <c r="J697" i="31"/>
  <c r="K697" i="31"/>
  <c r="L697" i="31"/>
  <c r="M697" i="31"/>
  <c r="N697" i="31"/>
  <c r="O697" i="31"/>
  <c r="P697" i="31"/>
  <c r="Q697" i="31"/>
  <c r="R697" i="31"/>
  <c r="S697" i="31"/>
  <c r="T697" i="31"/>
  <c r="I698" i="31"/>
  <c r="J698" i="31"/>
  <c r="K698" i="31"/>
  <c r="L698" i="31"/>
  <c r="M698" i="31"/>
  <c r="N698" i="31"/>
  <c r="O698" i="31"/>
  <c r="P698" i="31"/>
  <c r="Q698" i="31"/>
  <c r="R698" i="31"/>
  <c r="S698" i="31"/>
  <c r="T698" i="31"/>
  <c r="I699" i="31"/>
  <c r="J699" i="31"/>
  <c r="K699" i="31"/>
  <c r="L699" i="31"/>
  <c r="M699" i="31"/>
  <c r="N699" i="31"/>
  <c r="O699" i="31"/>
  <c r="P699" i="31"/>
  <c r="Q699" i="31"/>
  <c r="R699" i="31"/>
  <c r="S699" i="31"/>
  <c r="T699" i="31"/>
  <c r="I700" i="31"/>
  <c r="J700" i="31"/>
  <c r="K700" i="31"/>
  <c r="L700" i="31"/>
  <c r="M700" i="31"/>
  <c r="N700" i="31"/>
  <c r="O700" i="31"/>
  <c r="P700" i="31"/>
  <c r="Q700" i="31"/>
  <c r="R700" i="31"/>
  <c r="S700" i="31"/>
  <c r="T700" i="31"/>
  <c r="I701" i="31"/>
  <c r="J701" i="31"/>
  <c r="K701" i="31"/>
  <c r="L701" i="31"/>
  <c r="M701" i="31"/>
  <c r="N701" i="31"/>
  <c r="O701" i="31"/>
  <c r="P701" i="31"/>
  <c r="Q701" i="31"/>
  <c r="R701" i="31"/>
  <c r="S701" i="31"/>
  <c r="T701" i="31"/>
  <c r="I702" i="31"/>
  <c r="J702" i="31"/>
  <c r="K702" i="31"/>
  <c r="L702" i="31"/>
  <c r="M702" i="31"/>
  <c r="N702" i="31"/>
  <c r="O702" i="31"/>
  <c r="P702" i="31"/>
  <c r="Q702" i="31"/>
  <c r="R702" i="31"/>
  <c r="S702" i="31"/>
  <c r="T702" i="31"/>
  <c r="I703" i="31"/>
  <c r="J703" i="31"/>
  <c r="K703" i="31"/>
  <c r="L703" i="31"/>
  <c r="M703" i="31"/>
  <c r="N703" i="31"/>
  <c r="O703" i="31"/>
  <c r="P703" i="31"/>
  <c r="Q703" i="31"/>
  <c r="R703" i="31"/>
  <c r="S703" i="31"/>
  <c r="T703" i="31"/>
  <c r="I704" i="31"/>
  <c r="J704" i="31"/>
  <c r="K704" i="31"/>
  <c r="L704" i="31"/>
  <c r="M704" i="31"/>
  <c r="N704" i="31"/>
  <c r="O704" i="31"/>
  <c r="P704" i="31"/>
  <c r="Q704" i="31"/>
  <c r="R704" i="31"/>
  <c r="S704" i="31"/>
  <c r="T704" i="31"/>
  <c r="I705" i="31"/>
  <c r="J705" i="31"/>
  <c r="K705" i="31"/>
  <c r="L705" i="31"/>
  <c r="M705" i="31"/>
  <c r="N705" i="31"/>
  <c r="O705" i="31"/>
  <c r="P705" i="31"/>
  <c r="Q705" i="31"/>
  <c r="R705" i="31"/>
  <c r="S705" i="31"/>
  <c r="T705" i="31"/>
  <c r="I706" i="31"/>
  <c r="J706" i="31"/>
  <c r="K706" i="31"/>
  <c r="L706" i="31"/>
  <c r="M706" i="31"/>
  <c r="N706" i="31"/>
  <c r="O706" i="31"/>
  <c r="P706" i="31"/>
  <c r="Q706" i="31"/>
  <c r="R706" i="31"/>
  <c r="S706" i="31"/>
  <c r="T706" i="31"/>
  <c r="I707" i="31"/>
  <c r="J707" i="31"/>
  <c r="K707" i="31"/>
  <c r="L707" i="31"/>
  <c r="M707" i="31"/>
  <c r="N707" i="31"/>
  <c r="O707" i="31"/>
  <c r="P707" i="31"/>
  <c r="Q707" i="31"/>
  <c r="R707" i="31"/>
  <c r="S707" i="31"/>
  <c r="T707" i="31"/>
  <c r="I708" i="31"/>
  <c r="J708" i="31"/>
  <c r="K708" i="31"/>
  <c r="L708" i="31"/>
  <c r="M708" i="31"/>
  <c r="N708" i="31"/>
  <c r="O708" i="31"/>
  <c r="P708" i="31"/>
  <c r="Q708" i="31"/>
  <c r="R708" i="31"/>
  <c r="S708" i="31"/>
  <c r="T708" i="31"/>
  <c r="I709" i="31"/>
  <c r="J709" i="31"/>
  <c r="K709" i="31"/>
  <c r="L709" i="31"/>
  <c r="M709" i="31"/>
  <c r="N709" i="31"/>
  <c r="O709" i="31"/>
  <c r="P709" i="31"/>
  <c r="Q709" i="31"/>
  <c r="R709" i="31"/>
  <c r="S709" i="31"/>
  <c r="T709" i="31"/>
  <c r="I710" i="31"/>
  <c r="J710" i="31"/>
  <c r="K710" i="31"/>
  <c r="L710" i="31"/>
  <c r="M710" i="31"/>
  <c r="N710" i="31"/>
  <c r="O710" i="31"/>
  <c r="P710" i="31"/>
  <c r="Q710" i="31"/>
  <c r="R710" i="31"/>
  <c r="S710" i="31"/>
  <c r="T710" i="31"/>
  <c r="I711" i="31"/>
  <c r="J711" i="31"/>
  <c r="K711" i="31"/>
  <c r="L711" i="31"/>
  <c r="M711" i="31"/>
  <c r="N711" i="31"/>
  <c r="O711" i="31"/>
  <c r="P711" i="31"/>
  <c r="Q711" i="31"/>
  <c r="R711" i="31"/>
  <c r="S711" i="31"/>
  <c r="T711" i="31"/>
  <c r="I712" i="31"/>
  <c r="J712" i="31"/>
  <c r="K712" i="31"/>
  <c r="L712" i="31"/>
  <c r="M712" i="31"/>
  <c r="N712" i="31"/>
  <c r="O712" i="31"/>
  <c r="P712" i="31"/>
  <c r="Q712" i="31"/>
  <c r="R712" i="31"/>
  <c r="S712" i="31"/>
  <c r="T712" i="31"/>
  <c r="I713" i="31"/>
  <c r="J713" i="31"/>
  <c r="K713" i="31"/>
  <c r="L713" i="31"/>
  <c r="M713" i="31"/>
  <c r="N713" i="31"/>
  <c r="O713" i="31"/>
  <c r="P713" i="31"/>
  <c r="Q713" i="31"/>
  <c r="R713" i="31"/>
  <c r="S713" i="31"/>
  <c r="T713" i="31"/>
  <c r="I714" i="31"/>
  <c r="J714" i="31"/>
  <c r="K714" i="31"/>
  <c r="L714" i="31"/>
  <c r="M714" i="31"/>
  <c r="N714" i="31"/>
  <c r="O714" i="31"/>
  <c r="P714" i="31"/>
  <c r="Q714" i="31"/>
  <c r="R714" i="31"/>
  <c r="S714" i="31"/>
  <c r="T714" i="31"/>
  <c r="I715" i="31"/>
  <c r="J715" i="31"/>
  <c r="K715" i="31"/>
  <c r="L715" i="31"/>
  <c r="M715" i="31"/>
  <c r="N715" i="31"/>
  <c r="O715" i="31"/>
  <c r="P715" i="31"/>
  <c r="Q715" i="31"/>
  <c r="R715" i="31"/>
  <c r="S715" i="31"/>
  <c r="T715" i="31"/>
  <c r="I716" i="31"/>
  <c r="J716" i="31"/>
  <c r="K716" i="31"/>
  <c r="L716" i="31"/>
  <c r="M716" i="31"/>
  <c r="N716" i="31"/>
  <c r="O716" i="31"/>
  <c r="P716" i="31"/>
  <c r="Q716" i="31"/>
  <c r="R716" i="31"/>
  <c r="S716" i="31"/>
  <c r="T716" i="31"/>
  <c r="I717" i="31"/>
  <c r="J717" i="31"/>
  <c r="K717" i="31"/>
  <c r="L717" i="31"/>
  <c r="M717" i="31"/>
  <c r="N717" i="31"/>
  <c r="O717" i="31"/>
  <c r="P717" i="31"/>
  <c r="Q717" i="31"/>
  <c r="R717" i="31"/>
  <c r="S717" i="31"/>
  <c r="T717" i="31"/>
  <c r="I718" i="31"/>
  <c r="J718" i="31"/>
  <c r="K718" i="31"/>
  <c r="L718" i="31"/>
  <c r="M718" i="31"/>
  <c r="N718" i="31"/>
  <c r="O718" i="31"/>
  <c r="P718" i="31"/>
  <c r="Q718" i="31"/>
  <c r="R718" i="31"/>
  <c r="S718" i="31"/>
  <c r="T718" i="31"/>
  <c r="I719" i="31"/>
  <c r="J719" i="31"/>
  <c r="K719" i="31"/>
  <c r="L719" i="31"/>
  <c r="M719" i="31"/>
  <c r="N719" i="31"/>
  <c r="O719" i="31"/>
  <c r="P719" i="31"/>
  <c r="Q719" i="31"/>
  <c r="R719" i="31"/>
  <c r="S719" i="31"/>
  <c r="T719" i="31"/>
  <c r="I720" i="31"/>
  <c r="J720" i="31"/>
  <c r="K720" i="31"/>
  <c r="L720" i="31"/>
  <c r="M720" i="31"/>
  <c r="N720" i="31"/>
  <c r="O720" i="31"/>
  <c r="P720" i="31"/>
  <c r="Q720" i="31"/>
  <c r="R720" i="31"/>
  <c r="S720" i="31"/>
  <c r="T720" i="31"/>
  <c r="I721" i="31"/>
  <c r="J721" i="31"/>
  <c r="K721" i="31"/>
  <c r="L721" i="31"/>
  <c r="M721" i="31"/>
  <c r="N721" i="31"/>
  <c r="O721" i="31"/>
  <c r="P721" i="31"/>
  <c r="Q721" i="31"/>
  <c r="R721" i="31"/>
  <c r="S721" i="31"/>
  <c r="T721" i="31"/>
  <c r="I722" i="31"/>
  <c r="J722" i="31"/>
  <c r="K722" i="31"/>
  <c r="L722" i="31"/>
  <c r="M722" i="31"/>
  <c r="N722" i="31"/>
  <c r="O722" i="31"/>
  <c r="P722" i="31"/>
  <c r="Q722" i="31"/>
  <c r="R722" i="31"/>
  <c r="S722" i="31"/>
  <c r="T722" i="31"/>
  <c r="I723" i="31"/>
  <c r="J723" i="31"/>
  <c r="K723" i="31"/>
  <c r="L723" i="31"/>
  <c r="M723" i="31"/>
  <c r="N723" i="31"/>
  <c r="O723" i="31"/>
  <c r="P723" i="31"/>
  <c r="Q723" i="31"/>
  <c r="R723" i="31"/>
  <c r="S723" i="31"/>
  <c r="T723" i="31"/>
  <c r="I724" i="31"/>
  <c r="J724" i="31"/>
  <c r="K724" i="31"/>
  <c r="L724" i="31"/>
  <c r="M724" i="31"/>
  <c r="N724" i="31"/>
  <c r="O724" i="31"/>
  <c r="P724" i="31"/>
  <c r="Q724" i="31"/>
  <c r="R724" i="31"/>
  <c r="S724" i="31"/>
  <c r="T724" i="31"/>
  <c r="I725" i="31"/>
  <c r="J725" i="31"/>
  <c r="K725" i="31"/>
  <c r="L725" i="31"/>
  <c r="M725" i="31"/>
  <c r="N725" i="31"/>
  <c r="O725" i="31"/>
  <c r="P725" i="31"/>
  <c r="Q725" i="31"/>
  <c r="R725" i="31"/>
  <c r="S725" i="31"/>
  <c r="T725" i="31"/>
  <c r="I726" i="31"/>
  <c r="J726" i="31"/>
  <c r="K726" i="31"/>
  <c r="L726" i="31"/>
  <c r="M726" i="31"/>
  <c r="N726" i="31"/>
  <c r="O726" i="31"/>
  <c r="P726" i="31"/>
  <c r="Q726" i="31"/>
  <c r="R726" i="31"/>
  <c r="S726" i="31"/>
  <c r="T726" i="31"/>
  <c r="I727" i="31"/>
  <c r="J727" i="31"/>
  <c r="K727" i="31"/>
  <c r="L727" i="31"/>
  <c r="M727" i="31"/>
  <c r="N727" i="31"/>
  <c r="O727" i="31"/>
  <c r="P727" i="31"/>
  <c r="Q727" i="31"/>
  <c r="R727" i="31"/>
  <c r="S727" i="31"/>
  <c r="T727" i="31"/>
  <c r="I728" i="31"/>
  <c r="J728" i="31"/>
  <c r="K728" i="31"/>
  <c r="L728" i="31"/>
  <c r="M728" i="31"/>
  <c r="N728" i="31"/>
  <c r="O728" i="31"/>
  <c r="P728" i="31"/>
  <c r="Q728" i="31"/>
  <c r="R728" i="31"/>
  <c r="S728" i="31"/>
  <c r="T728" i="31"/>
  <c r="I729" i="31"/>
  <c r="J729" i="31"/>
  <c r="K729" i="31"/>
  <c r="L729" i="31"/>
  <c r="M729" i="31"/>
  <c r="N729" i="31"/>
  <c r="O729" i="31"/>
  <c r="P729" i="31"/>
  <c r="Q729" i="31"/>
  <c r="R729" i="31"/>
  <c r="S729" i="31"/>
  <c r="T729" i="31"/>
  <c r="I730" i="31"/>
  <c r="J730" i="31"/>
  <c r="K730" i="31"/>
  <c r="L730" i="31"/>
  <c r="M730" i="31"/>
  <c r="N730" i="31"/>
  <c r="O730" i="31"/>
  <c r="P730" i="31"/>
  <c r="Q730" i="31"/>
  <c r="R730" i="31"/>
  <c r="S730" i="31"/>
  <c r="T730" i="31"/>
  <c r="I731" i="31"/>
  <c r="J731" i="31"/>
  <c r="K731" i="31"/>
  <c r="L731" i="31"/>
  <c r="M731" i="31"/>
  <c r="N731" i="31"/>
  <c r="O731" i="31"/>
  <c r="P731" i="31"/>
  <c r="Q731" i="31"/>
  <c r="R731" i="31"/>
  <c r="S731" i="31"/>
  <c r="T731" i="31"/>
  <c r="I732" i="31"/>
  <c r="J732" i="31"/>
  <c r="K732" i="31"/>
  <c r="L732" i="31"/>
  <c r="M732" i="31"/>
  <c r="N732" i="31"/>
  <c r="O732" i="31"/>
  <c r="P732" i="31"/>
  <c r="Q732" i="31"/>
  <c r="R732" i="31"/>
  <c r="S732" i="31"/>
  <c r="T732" i="31"/>
  <c r="I733" i="31"/>
  <c r="J733" i="31"/>
  <c r="K733" i="31"/>
  <c r="L733" i="31"/>
  <c r="M733" i="31"/>
  <c r="N733" i="31"/>
  <c r="O733" i="31"/>
  <c r="P733" i="31"/>
  <c r="Q733" i="31"/>
  <c r="R733" i="31"/>
  <c r="S733" i="31"/>
  <c r="T733" i="31"/>
  <c r="I734" i="31"/>
  <c r="J734" i="31"/>
  <c r="K734" i="31"/>
  <c r="L734" i="31"/>
  <c r="M734" i="31"/>
  <c r="N734" i="31"/>
  <c r="O734" i="31"/>
  <c r="P734" i="31"/>
  <c r="Q734" i="31"/>
  <c r="R734" i="31"/>
  <c r="S734" i="31"/>
  <c r="T734" i="31"/>
  <c r="I735" i="31"/>
  <c r="J735" i="31"/>
  <c r="K735" i="31"/>
  <c r="L735" i="31"/>
  <c r="M735" i="31"/>
  <c r="N735" i="31"/>
  <c r="O735" i="31"/>
  <c r="P735" i="31"/>
  <c r="Q735" i="31"/>
  <c r="R735" i="31"/>
  <c r="S735" i="31"/>
  <c r="T735" i="31"/>
  <c r="I736" i="31"/>
  <c r="J736" i="31"/>
  <c r="K736" i="31"/>
  <c r="L736" i="31"/>
  <c r="M736" i="31"/>
  <c r="N736" i="31"/>
  <c r="O736" i="31"/>
  <c r="P736" i="31"/>
  <c r="Q736" i="31"/>
  <c r="R736" i="31"/>
  <c r="S736" i="31"/>
  <c r="T736" i="31"/>
  <c r="I737" i="31"/>
  <c r="J737" i="31"/>
  <c r="K737" i="31"/>
  <c r="L737" i="31"/>
  <c r="M737" i="31"/>
  <c r="N737" i="31"/>
  <c r="O737" i="31"/>
  <c r="P737" i="31"/>
  <c r="Q737" i="31"/>
  <c r="R737" i="31"/>
  <c r="S737" i="31"/>
  <c r="T737" i="31"/>
  <c r="I738" i="31"/>
  <c r="J738" i="31"/>
  <c r="K738" i="31"/>
  <c r="L738" i="31"/>
  <c r="M738" i="31"/>
  <c r="N738" i="31"/>
  <c r="O738" i="31"/>
  <c r="P738" i="31"/>
  <c r="Q738" i="31"/>
  <c r="R738" i="31"/>
  <c r="S738" i="31"/>
  <c r="T738" i="31"/>
  <c r="I739" i="31"/>
  <c r="J739" i="31"/>
  <c r="K739" i="31"/>
  <c r="L739" i="31"/>
  <c r="M739" i="31"/>
  <c r="N739" i="31"/>
  <c r="O739" i="31"/>
  <c r="P739" i="31"/>
  <c r="Q739" i="31"/>
  <c r="R739" i="31"/>
  <c r="S739" i="31"/>
  <c r="T739" i="31"/>
  <c r="I740" i="31"/>
  <c r="J740" i="31"/>
  <c r="K740" i="31"/>
  <c r="L740" i="31"/>
  <c r="M740" i="31"/>
  <c r="N740" i="31"/>
  <c r="O740" i="31"/>
  <c r="P740" i="31"/>
  <c r="Q740" i="31"/>
  <c r="R740" i="31"/>
  <c r="S740" i="31"/>
  <c r="T740" i="31"/>
  <c r="I741" i="31"/>
  <c r="J741" i="31"/>
  <c r="K741" i="31"/>
  <c r="L741" i="31"/>
  <c r="M741" i="31"/>
  <c r="N741" i="31"/>
  <c r="O741" i="31"/>
  <c r="P741" i="31"/>
  <c r="Q741" i="31"/>
  <c r="R741" i="31"/>
  <c r="S741" i="31"/>
  <c r="T741" i="31"/>
  <c r="I742" i="31"/>
  <c r="J742" i="31"/>
  <c r="K742" i="31"/>
  <c r="L742" i="31"/>
  <c r="M742" i="31"/>
  <c r="N742" i="31"/>
  <c r="O742" i="31"/>
  <c r="P742" i="31"/>
  <c r="Q742" i="31"/>
  <c r="R742" i="31"/>
  <c r="S742" i="31"/>
  <c r="T742" i="31"/>
  <c r="I743" i="31"/>
  <c r="J743" i="31"/>
  <c r="K743" i="31"/>
  <c r="L743" i="31"/>
  <c r="M743" i="31"/>
  <c r="N743" i="31"/>
  <c r="O743" i="31"/>
  <c r="P743" i="31"/>
  <c r="Q743" i="31"/>
  <c r="R743" i="31"/>
  <c r="S743" i="31"/>
  <c r="T743" i="31"/>
  <c r="I744" i="31"/>
  <c r="J744" i="31"/>
  <c r="K744" i="31"/>
  <c r="L744" i="31"/>
  <c r="M744" i="31"/>
  <c r="N744" i="31"/>
  <c r="O744" i="31"/>
  <c r="P744" i="31"/>
  <c r="Q744" i="31"/>
  <c r="R744" i="31"/>
  <c r="S744" i="31"/>
  <c r="T744" i="31"/>
  <c r="I745" i="31"/>
  <c r="J745" i="31"/>
  <c r="K745" i="31"/>
  <c r="L745" i="31"/>
  <c r="M745" i="31"/>
  <c r="N745" i="31"/>
  <c r="O745" i="31"/>
  <c r="P745" i="31"/>
  <c r="Q745" i="31"/>
  <c r="R745" i="31"/>
  <c r="S745" i="31"/>
  <c r="T745" i="31"/>
  <c r="I746" i="31"/>
  <c r="J746" i="31"/>
  <c r="K746" i="31"/>
  <c r="L746" i="31"/>
  <c r="M746" i="31"/>
  <c r="N746" i="31"/>
  <c r="O746" i="31"/>
  <c r="P746" i="31"/>
  <c r="Q746" i="31"/>
  <c r="R746" i="31"/>
  <c r="S746" i="31"/>
  <c r="T746" i="31"/>
  <c r="I747" i="31"/>
  <c r="J747" i="31"/>
  <c r="K747" i="31"/>
  <c r="L747" i="31"/>
  <c r="M747" i="31"/>
  <c r="N747" i="31"/>
  <c r="O747" i="31"/>
  <c r="P747" i="31"/>
  <c r="Q747" i="31"/>
  <c r="R747" i="31"/>
  <c r="S747" i="31"/>
  <c r="T747" i="31"/>
  <c r="I748" i="31"/>
  <c r="J748" i="31"/>
  <c r="K748" i="31"/>
  <c r="L748" i="31"/>
  <c r="M748" i="31"/>
  <c r="N748" i="31"/>
  <c r="O748" i="31"/>
  <c r="P748" i="31"/>
  <c r="Q748" i="31"/>
  <c r="R748" i="31"/>
  <c r="S748" i="31"/>
  <c r="T748" i="31"/>
  <c r="I749" i="31"/>
  <c r="J749" i="31"/>
  <c r="K749" i="31"/>
  <c r="L749" i="31"/>
  <c r="M749" i="31"/>
  <c r="N749" i="31"/>
  <c r="O749" i="31"/>
  <c r="P749" i="31"/>
  <c r="Q749" i="31"/>
  <c r="R749" i="31"/>
  <c r="S749" i="31"/>
  <c r="T749" i="31"/>
  <c r="I750" i="31"/>
  <c r="J750" i="31"/>
  <c r="K750" i="31"/>
  <c r="L750" i="31"/>
  <c r="M750" i="31"/>
  <c r="N750" i="31"/>
  <c r="O750" i="31"/>
  <c r="P750" i="31"/>
  <c r="Q750" i="31"/>
  <c r="R750" i="31"/>
  <c r="S750" i="31"/>
  <c r="T750" i="31"/>
  <c r="I751" i="31"/>
  <c r="J751" i="31"/>
  <c r="K751" i="31"/>
  <c r="L751" i="31"/>
  <c r="M751" i="31"/>
  <c r="N751" i="31"/>
  <c r="O751" i="31"/>
  <c r="P751" i="31"/>
  <c r="Q751" i="31"/>
  <c r="R751" i="31"/>
  <c r="S751" i="31"/>
  <c r="T751" i="31"/>
  <c r="I752" i="31"/>
  <c r="J752" i="31"/>
  <c r="K752" i="31"/>
  <c r="L752" i="31"/>
  <c r="M752" i="31"/>
  <c r="N752" i="31"/>
  <c r="O752" i="31"/>
  <c r="P752" i="31"/>
  <c r="Q752" i="31"/>
  <c r="R752" i="31"/>
  <c r="S752" i="31"/>
  <c r="T752" i="31"/>
  <c r="I753" i="31"/>
  <c r="J753" i="31"/>
  <c r="K753" i="31"/>
  <c r="L753" i="31"/>
  <c r="M753" i="31"/>
  <c r="N753" i="31"/>
  <c r="O753" i="31"/>
  <c r="P753" i="31"/>
  <c r="Q753" i="31"/>
  <c r="R753" i="31"/>
  <c r="S753" i="31"/>
  <c r="T753" i="31"/>
  <c r="I754" i="31"/>
  <c r="J754" i="31"/>
  <c r="K754" i="31"/>
  <c r="L754" i="31"/>
  <c r="M754" i="31"/>
  <c r="N754" i="31"/>
  <c r="O754" i="31"/>
  <c r="P754" i="31"/>
  <c r="Q754" i="31"/>
  <c r="R754" i="31"/>
  <c r="S754" i="31"/>
  <c r="T754" i="31"/>
  <c r="I755" i="31"/>
  <c r="J755" i="31"/>
  <c r="K755" i="31"/>
  <c r="L755" i="31"/>
  <c r="M755" i="31"/>
  <c r="N755" i="31"/>
  <c r="O755" i="31"/>
  <c r="P755" i="31"/>
  <c r="Q755" i="31"/>
  <c r="R755" i="31"/>
  <c r="S755" i="31"/>
  <c r="T755" i="31"/>
  <c r="I756" i="31"/>
  <c r="J756" i="31"/>
  <c r="K756" i="31"/>
  <c r="L756" i="31"/>
  <c r="M756" i="31"/>
  <c r="N756" i="31"/>
  <c r="O756" i="31"/>
  <c r="P756" i="31"/>
  <c r="Q756" i="31"/>
  <c r="R756" i="31"/>
  <c r="S756" i="31"/>
  <c r="T756" i="31"/>
  <c r="I757" i="31"/>
  <c r="J757" i="31"/>
  <c r="K757" i="31"/>
  <c r="L757" i="31"/>
  <c r="M757" i="31"/>
  <c r="N757" i="31"/>
  <c r="O757" i="31"/>
  <c r="P757" i="31"/>
  <c r="Q757" i="31"/>
  <c r="R757" i="31"/>
  <c r="S757" i="31"/>
  <c r="T757" i="31"/>
  <c r="I758" i="31"/>
  <c r="J758" i="31"/>
  <c r="K758" i="31"/>
  <c r="L758" i="31"/>
  <c r="M758" i="31"/>
  <c r="N758" i="31"/>
  <c r="O758" i="31"/>
  <c r="P758" i="31"/>
  <c r="Q758" i="31"/>
  <c r="R758" i="31"/>
  <c r="S758" i="31"/>
  <c r="T758" i="31"/>
  <c r="I759" i="31"/>
  <c r="J759" i="31"/>
  <c r="K759" i="31"/>
  <c r="L759" i="31"/>
  <c r="M759" i="31"/>
  <c r="N759" i="31"/>
  <c r="O759" i="31"/>
  <c r="P759" i="31"/>
  <c r="Q759" i="31"/>
  <c r="R759" i="31"/>
  <c r="S759" i="31"/>
  <c r="T759" i="31"/>
  <c r="I760" i="31"/>
  <c r="J760" i="31"/>
  <c r="K760" i="31"/>
  <c r="L760" i="31"/>
  <c r="M760" i="31"/>
  <c r="N760" i="31"/>
  <c r="O760" i="31"/>
  <c r="P760" i="31"/>
  <c r="Q760" i="31"/>
  <c r="R760" i="31"/>
  <c r="S760" i="31"/>
  <c r="T760" i="31"/>
  <c r="I761" i="31"/>
  <c r="J761" i="31"/>
  <c r="K761" i="31"/>
  <c r="L761" i="31"/>
  <c r="M761" i="31"/>
  <c r="N761" i="31"/>
  <c r="O761" i="31"/>
  <c r="P761" i="31"/>
  <c r="Q761" i="31"/>
  <c r="R761" i="31"/>
  <c r="S761" i="31"/>
  <c r="T761" i="31"/>
  <c r="I762" i="31"/>
  <c r="J762" i="31"/>
  <c r="K762" i="31"/>
  <c r="L762" i="31"/>
  <c r="M762" i="31"/>
  <c r="N762" i="31"/>
  <c r="O762" i="31"/>
  <c r="P762" i="31"/>
  <c r="Q762" i="31"/>
  <c r="R762" i="31"/>
  <c r="S762" i="31"/>
  <c r="T762" i="31"/>
  <c r="I763" i="31"/>
  <c r="J763" i="31"/>
  <c r="K763" i="31"/>
  <c r="L763" i="31"/>
  <c r="M763" i="31"/>
  <c r="N763" i="31"/>
  <c r="O763" i="31"/>
  <c r="P763" i="31"/>
  <c r="Q763" i="31"/>
  <c r="R763" i="31"/>
  <c r="S763" i="31"/>
  <c r="T763" i="31"/>
  <c r="I764" i="31"/>
  <c r="J764" i="31"/>
  <c r="K764" i="31"/>
  <c r="L764" i="31"/>
  <c r="M764" i="31"/>
  <c r="N764" i="31"/>
  <c r="O764" i="31"/>
  <c r="P764" i="31"/>
  <c r="Q764" i="31"/>
  <c r="R764" i="31"/>
  <c r="S764" i="31"/>
  <c r="T764" i="31"/>
  <c r="I765" i="31"/>
  <c r="J765" i="31"/>
  <c r="K765" i="31"/>
  <c r="L765" i="31"/>
  <c r="M765" i="31"/>
  <c r="N765" i="31"/>
  <c r="O765" i="31"/>
  <c r="P765" i="31"/>
  <c r="Q765" i="31"/>
  <c r="R765" i="31"/>
  <c r="S765" i="31"/>
  <c r="T765" i="31"/>
  <c r="I766" i="31"/>
  <c r="J766" i="31"/>
  <c r="K766" i="31"/>
  <c r="L766" i="31"/>
  <c r="M766" i="31"/>
  <c r="N766" i="31"/>
  <c r="O766" i="31"/>
  <c r="P766" i="31"/>
  <c r="Q766" i="31"/>
  <c r="R766" i="31"/>
  <c r="S766" i="31"/>
  <c r="T766" i="31"/>
  <c r="I767" i="31"/>
  <c r="J767" i="31"/>
  <c r="K767" i="31"/>
  <c r="L767" i="31"/>
  <c r="M767" i="31"/>
  <c r="N767" i="31"/>
  <c r="O767" i="31"/>
  <c r="P767" i="31"/>
  <c r="Q767" i="31"/>
  <c r="R767" i="31"/>
  <c r="S767" i="31"/>
  <c r="T767" i="31"/>
  <c r="I768" i="31"/>
  <c r="J768" i="31"/>
  <c r="K768" i="31"/>
  <c r="L768" i="31"/>
  <c r="M768" i="31"/>
  <c r="N768" i="31"/>
  <c r="O768" i="31"/>
  <c r="P768" i="31"/>
  <c r="Q768" i="31"/>
  <c r="R768" i="31"/>
  <c r="S768" i="31"/>
  <c r="T768" i="31"/>
  <c r="I769" i="31"/>
  <c r="J769" i="31"/>
  <c r="K769" i="31"/>
  <c r="L769" i="31"/>
  <c r="M769" i="31"/>
  <c r="N769" i="31"/>
  <c r="O769" i="31"/>
  <c r="P769" i="31"/>
  <c r="Q769" i="31"/>
  <c r="R769" i="31"/>
  <c r="S769" i="31"/>
  <c r="T769" i="31"/>
  <c r="I770" i="31"/>
  <c r="J770" i="31"/>
  <c r="K770" i="31"/>
  <c r="L770" i="31"/>
  <c r="M770" i="31"/>
  <c r="N770" i="31"/>
  <c r="O770" i="31"/>
  <c r="P770" i="31"/>
  <c r="Q770" i="31"/>
  <c r="R770" i="31"/>
  <c r="S770" i="31"/>
  <c r="T770" i="31"/>
  <c r="I771" i="31"/>
  <c r="J771" i="31"/>
  <c r="K771" i="31"/>
  <c r="L771" i="31"/>
  <c r="M771" i="31"/>
  <c r="N771" i="31"/>
  <c r="O771" i="31"/>
  <c r="P771" i="31"/>
  <c r="Q771" i="31"/>
  <c r="R771" i="31"/>
  <c r="S771" i="31"/>
  <c r="T771" i="31"/>
  <c r="I772" i="31"/>
  <c r="J772" i="31"/>
  <c r="K772" i="31"/>
  <c r="L772" i="31"/>
  <c r="M772" i="31"/>
  <c r="N772" i="31"/>
  <c r="O772" i="31"/>
  <c r="P772" i="31"/>
  <c r="Q772" i="31"/>
  <c r="R772" i="31"/>
  <c r="S772" i="31"/>
  <c r="T772" i="31"/>
  <c r="I773" i="31"/>
  <c r="J773" i="31"/>
  <c r="K773" i="31"/>
  <c r="L773" i="31"/>
  <c r="M773" i="31"/>
  <c r="N773" i="31"/>
  <c r="O773" i="31"/>
  <c r="P773" i="31"/>
  <c r="Q773" i="31"/>
  <c r="R773" i="31"/>
  <c r="S773" i="31"/>
  <c r="T773" i="31"/>
  <c r="I774" i="31"/>
  <c r="J774" i="31"/>
  <c r="K774" i="31"/>
  <c r="L774" i="31"/>
  <c r="M774" i="31"/>
  <c r="N774" i="31"/>
  <c r="O774" i="31"/>
  <c r="P774" i="31"/>
  <c r="Q774" i="31"/>
  <c r="R774" i="31"/>
  <c r="S774" i="31"/>
  <c r="T774" i="31"/>
  <c r="I775" i="31"/>
  <c r="J775" i="31"/>
  <c r="K775" i="31"/>
  <c r="L775" i="31"/>
  <c r="M775" i="31"/>
  <c r="N775" i="31"/>
  <c r="O775" i="31"/>
  <c r="P775" i="31"/>
  <c r="Q775" i="31"/>
  <c r="R775" i="31"/>
  <c r="S775" i="31"/>
  <c r="T775" i="31"/>
  <c r="I776" i="31"/>
  <c r="J776" i="31"/>
  <c r="K776" i="31"/>
  <c r="L776" i="31"/>
  <c r="M776" i="31"/>
  <c r="N776" i="31"/>
  <c r="O776" i="31"/>
  <c r="P776" i="31"/>
  <c r="Q776" i="31"/>
  <c r="R776" i="31"/>
  <c r="S776" i="31"/>
  <c r="T776" i="31"/>
  <c r="I777" i="31"/>
  <c r="J777" i="31"/>
  <c r="K777" i="31"/>
  <c r="L777" i="31"/>
  <c r="M777" i="31"/>
  <c r="N777" i="31"/>
  <c r="O777" i="31"/>
  <c r="P777" i="31"/>
  <c r="Q777" i="31"/>
  <c r="R777" i="31"/>
  <c r="S777" i="31"/>
  <c r="T777" i="31"/>
  <c r="I778" i="31"/>
  <c r="J778" i="31"/>
  <c r="K778" i="31"/>
  <c r="L778" i="31"/>
  <c r="M778" i="31"/>
  <c r="N778" i="31"/>
  <c r="O778" i="31"/>
  <c r="P778" i="31"/>
  <c r="Q778" i="31"/>
  <c r="R778" i="31"/>
  <c r="S778" i="31"/>
  <c r="T778" i="31"/>
  <c r="I779" i="31"/>
  <c r="J779" i="31"/>
  <c r="K779" i="31"/>
  <c r="L779" i="31"/>
  <c r="M779" i="31"/>
  <c r="N779" i="31"/>
  <c r="O779" i="31"/>
  <c r="P779" i="31"/>
  <c r="Q779" i="31"/>
  <c r="R779" i="31"/>
  <c r="S779" i="31"/>
  <c r="T779" i="31"/>
  <c r="I780" i="31"/>
  <c r="J780" i="31"/>
  <c r="K780" i="31"/>
  <c r="L780" i="31"/>
  <c r="M780" i="31"/>
  <c r="N780" i="31"/>
  <c r="O780" i="31"/>
  <c r="P780" i="31"/>
  <c r="Q780" i="31"/>
  <c r="R780" i="31"/>
  <c r="S780" i="31"/>
  <c r="T780" i="31"/>
  <c r="I781" i="31"/>
  <c r="J781" i="31"/>
  <c r="K781" i="31"/>
  <c r="L781" i="31"/>
  <c r="M781" i="31"/>
  <c r="N781" i="31"/>
  <c r="O781" i="31"/>
  <c r="P781" i="31"/>
  <c r="Q781" i="31"/>
  <c r="R781" i="31"/>
  <c r="S781" i="31"/>
  <c r="T781" i="31"/>
  <c r="I782" i="31"/>
  <c r="J782" i="31"/>
  <c r="K782" i="31"/>
  <c r="L782" i="31"/>
  <c r="M782" i="31"/>
  <c r="N782" i="31"/>
  <c r="O782" i="31"/>
  <c r="P782" i="31"/>
  <c r="Q782" i="31"/>
  <c r="R782" i="31"/>
  <c r="S782" i="31"/>
  <c r="T782" i="31"/>
  <c r="I783" i="31"/>
  <c r="J783" i="31"/>
  <c r="K783" i="31"/>
  <c r="L783" i="31"/>
  <c r="M783" i="31"/>
  <c r="N783" i="31"/>
  <c r="O783" i="31"/>
  <c r="P783" i="31"/>
  <c r="Q783" i="31"/>
  <c r="R783" i="31"/>
  <c r="S783" i="31"/>
  <c r="T783" i="31"/>
  <c r="I784" i="31"/>
  <c r="J784" i="31"/>
  <c r="K784" i="31"/>
  <c r="L784" i="31"/>
  <c r="M784" i="31"/>
  <c r="N784" i="31"/>
  <c r="O784" i="31"/>
  <c r="P784" i="31"/>
  <c r="Q784" i="31"/>
  <c r="R784" i="31"/>
  <c r="S784" i="31"/>
  <c r="T784" i="31"/>
  <c r="I785" i="31"/>
  <c r="J785" i="31"/>
  <c r="K785" i="31"/>
  <c r="L785" i="31"/>
  <c r="M785" i="31"/>
  <c r="N785" i="31"/>
  <c r="O785" i="31"/>
  <c r="P785" i="31"/>
  <c r="Q785" i="31"/>
  <c r="R785" i="31"/>
  <c r="S785" i="31"/>
  <c r="T785" i="31"/>
  <c r="I786" i="31"/>
  <c r="J786" i="31"/>
  <c r="K786" i="31"/>
  <c r="L786" i="31"/>
  <c r="M786" i="31"/>
  <c r="N786" i="31"/>
  <c r="O786" i="31"/>
  <c r="P786" i="31"/>
  <c r="Q786" i="31"/>
  <c r="R786" i="31"/>
  <c r="S786" i="31"/>
  <c r="T786" i="31"/>
  <c r="I787" i="31"/>
  <c r="J787" i="31"/>
  <c r="K787" i="31"/>
  <c r="L787" i="31"/>
  <c r="M787" i="31"/>
  <c r="N787" i="31"/>
  <c r="O787" i="31"/>
  <c r="P787" i="31"/>
  <c r="Q787" i="31"/>
  <c r="R787" i="31"/>
  <c r="S787" i="31"/>
  <c r="T787" i="31"/>
  <c r="I788" i="31"/>
  <c r="J788" i="31"/>
  <c r="K788" i="31"/>
  <c r="L788" i="31"/>
  <c r="M788" i="31"/>
  <c r="N788" i="31"/>
  <c r="O788" i="31"/>
  <c r="P788" i="31"/>
  <c r="Q788" i="31"/>
  <c r="R788" i="31"/>
  <c r="S788" i="31"/>
  <c r="T788" i="31"/>
  <c r="I789" i="31"/>
  <c r="J789" i="31"/>
  <c r="K789" i="31"/>
  <c r="L789" i="31"/>
  <c r="M789" i="31"/>
  <c r="N789" i="31"/>
  <c r="O789" i="31"/>
  <c r="P789" i="31"/>
  <c r="Q789" i="31"/>
  <c r="R789" i="31"/>
  <c r="S789" i="31"/>
  <c r="T789" i="31"/>
  <c r="I790" i="31"/>
  <c r="J790" i="31"/>
  <c r="K790" i="31"/>
  <c r="L790" i="31"/>
  <c r="M790" i="31"/>
  <c r="N790" i="31"/>
  <c r="O790" i="31"/>
  <c r="P790" i="31"/>
  <c r="Q790" i="31"/>
  <c r="R790" i="31"/>
  <c r="S790" i="31"/>
  <c r="T790" i="31"/>
  <c r="I791" i="31"/>
  <c r="J791" i="31"/>
  <c r="K791" i="31"/>
  <c r="L791" i="31"/>
  <c r="M791" i="31"/>
  <c r="N791" i="31"/>
  <c r="O791" i="31"/>
  <c r="P791" i="31"/>
  <c r="Q791" i="31"/>
  <c r="R791" i="31"/>
  <c r="S791" i="31"/>
  <c r="T791" i="31"/>
  <c r="I792" i="31"/>
  <c r="J792" i="31"/>
  <c r="K792" i="31"/>
  <c r="L792" i="31"/>
  <c r="M792" i="31"/>
  <c r="N792" i="31"/>
  <c r="O792" i="31"/>
  <c r="P792" i="31"/>
  <c r="Q792" i="31"/>
  <c r="R792" i="31"/>
  <c r="S792" i="31"/>
  <c r="T792" i="31"/>
  <c r="I793" i="31"/>
  <c r="J793" i="31"/>
  <c r="K793" i="31"/>
  <c r="L793" i="31"/>
  <c r="M793" i="31"/>
  <c r="N793" i="31"/>
  <c r="O793" i="31"/>
  <c r="P793" i="31"/>
  <c r="Q793" i="31"/>
  <c r="R793" i="31"/>
  <c r="S793" i="31"/>
  <c r="T793" i="31"/>
  <c r="I794" i="31"/>
  <c r="J794" i="31"/>
  <c r="K794" i="31"/>
  <c r="L794" i="31"/>
  <c r="M794" i="31"/>
  <c r="N794" i="31"/>
  <c r="O794" i="31"/>
  <c r="P794" i="31"/>
  <c r="Q794" i="31"/>
  <c r="R794" i="31"/>
  <c r="S794" i="31"/>
  <c r="T794" i="31"/>
  <c r="I795" i="31"/>
  <c r="J795" i="31"/>
  <c r="K795" i="31"/>
  <c r="L795" i="31"/>
  <c r="M795" i="31"/>
  <c r="N795" i="31"/>
  <c r="O795" i="31"/>
  <c r="P795" i="31"/>
  <c r="Q795" i="31"/>
  <c r="R795" i="31"/>
  <c r="S795" i="31"/>
  <c r="T795" i="31"/>
  <c r="I796" i="31"/>
  <c r="J796" i="31"/>
  <c r="K796" i="31"/>
  <c r="L796" i="31"/>
  <c r="M796" i="31"/>
  <c r="N796" i="31"/>
  <c r="O796" i="31"/>
  <c r="P796" i="31"/>
  <c r="Q796" i="31"/>
  <c r="R796" i="31"/>
  <c r="S796" i="31"/>
  <c r="T796" i="31"/>
  <c r="I797" i="31"/>
  <c r="J797" i="31"/>
  <c r="K797" i="31"/>
  <c r="L797" i="31"/>
  <c r="M797" i="31"/>
  <c r="N797" i="31"/>
  <c r="O797" i="31"/>
  <c r="P797" i="31"/>
  <c r="Q797" i="31"/>
  <c r="R797" i="31"/>
  <c r="S797" i="31"/>
  <c r="T797" i="31"/>
  <c r="I798" i="31"/>
  <c r="J798" i="31"/>
  <c r="K798" i="31"/>
  <c r="L798" i="31"/>
  <c r="M798" i="31"/>
  <c r="N798" i="31"/>
  <c r="O798" i="31"/>
  <c r="P798" i="31"/>
  <c r="Q798" i="31"/>
  <c r="R798" i="31"/>
  <c r="S798" i="31"/>
  <c r="T798" i="31"/>
  <c r="I799" i="31"/>
  <c r="J799" i="31"/>
  <c r="K799" i="31"/>
  <c r="L799" i="31"/>
  <c r="M799" i="31"/>
  <c r="N799" i="31"/>
  <c r="O799" i="31"/>
  <c r="P799" i="31"/>
  <c r="Q799" i="31"/>
  <c r="R799" i="31"/>
  <c r="S799" i="31"/>
  <c r="T799" i="31"/>
  <c r="I800" i="31"/>
  <c r="J800" i="31"/>
  <c r="K800" i="31"/>
  <c r="L800" i="31"/>
  <c r="M800" i="31"/>
  <c r="N800" i="31"/>
  <c r="O800" i="31"/>
  <c r="P800" i="31"/>
  <c r="Q800" i="31"/>
  <c r="R800" i="31"/>
  <c r="S800" i="31"/>
  <c r="T800" i="31"/>
  <c r="I801" i="31"/>
  <c r="J801" i="31"/>
  <c r="K801" i="31"/>
  <c r="L801" i="31"/>
  <c r="M801" i="31"/>
  <c r="N801" i="31"/>
  <c r="O801" i="31"/>
  <c r="P801" i="31"/>
  <c r="Q801" i="31"/>
  <c r="R801" i="31"/>
  <c r="S801" i="31"/>
  <c r="T801" i="31"/>
  <c r="I802" i="31"/>
  <c r="J802" i="31"/>
  <c r="K802" i="31"/>
  <c r="L802" i="31"/>
  <c r="M802" i="31"/>
  <c r="N802" i="31"/>
  <c r="O802" i="31"/>
  <c r="P802" i="31"/>
  <c r="Q802" i="31"/>
  <c r="R802" i="31"/>
  <c r="S802" i="31"/>
  <c r="T802" i="31"/>
  <c r="I803" i="31"/>
  <c r="J803" i="31"/>
  <c r="K803" i="31"/>
  <c r="L803" i="31"/>
  <c r="M803" i="31"/>
  <c r="N803" i="31"/>
  <c r="O803" i="31"/>
  <c r="P803" i="31"/>
  <c r="Q803" i="31"/>
  <c r="R803" i="31"/>
  <c r="S803" i="31"/>
  <c r="T803" i="31"/>
  <c r="I804" i="31"/>
  <c r="J804" i="31"/>
  <c r="K804" i="31"/>
  <c r="L804" i="31"/>
  <c r="M804" i="31"/>
  <c r="N804" i="31"/>
  <c r="O804" i="31"/>
  <c r="P804" i="31"/>
  <c r="Q804" i="31"/>
  <c r="R804" i="31"/>
  <c r="S804" i="31"/>
  <c r="T804" i="31"/>
  <c r="I805" i="31"/>
  <c r="J805" i="31"/>
  <c r="K805" i="31"/>
  <c r="L805" i="31"/>
  <c r="M805" i="31"/>
  <c r="N805" i="31"/>
  <c r="O805" i="31"/>
  <c r="P805" i="31"/>
  <c r="Q805" i="31"/>
  <c r="R805" i="31"/>
  <c r="S805" i="31"/>
  <c r="T805" i="31"/>
  <c r="I806" i="31"/>
  <c r="J806" i="31"/>
  <c r="K806" i="31"/>
  <c r="L806" i="31"/>
  <c r="M806" i="31"/>
  <c r="N806" i="31"/>
  <c r="O806" i="31"/>
  <c r="P806" i="31"/>
  <c r="Q806" i="31"/>
  <c r="R806" i="31"/>
  <c r="S806" i="31"/>
  <c r="T806" i="31"/>
  <c r="I807" i="31"/>
  <c r="J807" i="31"/>
  <c r="K807" i="31"/>
  <c r="L807" i="31"/>
  <c r="M807" i="31"/>
  <c r="N807" i="31"/>
  <c r="O807" i="31"/>
  <c r="P807" i="31"/>
  <c r="Q807" i="31"/>
  <c r="R807" i="31"/>
  <c r="S807" i="31"/>
  <c r="T807" i="31"/>
  <c r="I808" i="31"/>
  <c r="J808" i="31"/>
  <c r="K808" i="31"/>
  <c r="L808" i="31"/>
  <c r="M808" i="31"/>
  <c r="N808" i="31"/>
  <c r="O808" i="31"/>
  <c r="P808" i="31"/>
  <c r="Q808" i="31"/>
  <c r="R808" i="31"/>
  <c r="S808" i="31"/>
  <c r="T808" i="31"/>
  <c r="I809" i="31"/>
  <c r="J809" i="31"/>
  <c r="K809" i="31"/>
  <c r="L809" i="31"/>
  <c r="M809" i="31"/>
  <c r="N809" i="31"/>
  <c r="O809" i="31"/>
  <c r="P809" i="31"/>
  <c r="Q809" i="31"/>
  <c r="R809" i="31"/>
  <c r="S809" i="31"/>
  <c r="T809" i="31"/>
  <c r="I810" i="31"/>
  <c r="J810" i="31"/>
  <c r="K810" i="31"/>
  <c r="L810" i="31"/>
  <c r="M810" i="31"/>
  <c r="N810" i="31"/>
  <c r="O810" i="31"/>
  <c r="P810" i="31"/>
  <c r="Q810" i="31"/>
  <c r="R810" i="31"/>
  <c r="S810" i="31"/>
  <c r="T810" i="31"/>
  <c r="I811" i="31"/>
  <c r="J811" i="31"/>
  <c r="K811" i="31"/>
  <c r="L811" i="31"/>
  <c r="M811" i="31"/>
  <c r="N811" i="31"/>
  <c r="O811" i="31"/>
  <c r="P811" i="31"/>
  <c r="Q811" i="31"/>
  <c r="R811" i="31"/>
  <c r="S811" i="31"/>
  <c r="T811" i="31"/>
  <c r="I812" i="31"/>
  <c r="J812" i="31"/>
  <c r="K812" i="31"/>
  <c r="L812" i="31"/>
  <c r="M812" i="31"/>
  <c r="N812" i="31"/>
  <c r="O812" i="31"/>
  <c r="P812" i="31"/>
  <c r="Q812" i="31"/>
  <c r="R812" i="31"/>
  <c r="S812" i="31"/>
  <c r="T812" i="31"/>
  <c r="I813" i="31"/>
  <c r="J813" i="31"/>
  <c r="K813" i="31"/>
  <c r="L813" i="31"/>
  <c r="M813" i="31"/>
  <c r="N813" i="31"/>
  <c r="O813" i="31"/>
  <c r="P813" i="31"/>
  <c r="Q813" i="31"/>
  <c r="R813" i="31"/>
  <c r="S813" i="31"/>
  <c r="T813" i="31"/>
  <c r="I814" i="31"/>
  <c r="J814" i="31"/>
  <c r="K814" i="31"/>
  <c r="L814" i="31"/>
  <c r="M814" i="31"/>
  <c r="N814" i="31"/>
  <c r="O814" i="31"/>
  <c r="P814" i="31"/>
  <c r="Q814" i="31"/>
  <c r="R814" i="31"/>
  <c r="S814" i="31"/>
  <c r="T814" i="31"/>
  <c r="I815" i="31"/>
  <c r="J815" i="31"/>
  <c r="K815" i="31"/>
  <c r="L815" i="31"/>
  <c r="M815" i="31"/>
  <c r="N815" i="31"/>
  <c r="O815" i="31"/>
  <c r="P815" i="31"/>
  <c r="Q815" i="31"/>
  <c r="R815" i="31"/>
  <c r="S815" i="31"/>
  <c r="T815" i="31"/>
  <c r="I816" i="31"/>
  <c r="J816" i="31"/>
  <c r="K816" i="31"/>
  <c r="L816" i="31"/>
  <c r="M816" i="31"/>
  <c r="N816" i="31"/>
  <c r="O816" i="31"/>
  <c r="P816" i="31"/>
  <c r="Q816" i="31"/>
  <c r="R816" i="31"/>
  <c r="S816" i="31"/>
  <c r="T816" i="31"/>
  <c r="I817" i="31"/>
  <c r="J817" i="31"/>
  <c r="K817" i="31"/>
  <c r="L817" i="31"/>
  <c r="M817" i="31"/>
  <c r="N817" i="31"/>
  <c r="O817" i="31"/>
  <c r="P817" i="31"/>
  <c r="Q817" i="31"/>
  <c r="R817" i="31"/>
  <c r="S817" i="31"/>
  <c r="T817" i="31"/>
  <c r="I818" i="31"/>
  <c r="J818" i="31"/>
  <c r="K818" i="31"/>
  <c r="L818" i="31"/>
  <c r="M818" i="31"/>
  <c r="N818" i="31"/>
  <c r="O818" i="31"/>
  <c r="P818" i="31"/>
  <c r="Q818" i="31"/>
  <c r="R818" i="31"/>
  <c r="S818" i="31"/>
  <c r="T818" i="31"/>
  <c r="I819" i="31"/>
  <c r="J819" i="31"/>
  <c r="K819" i="31"/>
  <c r="L819" i="31"/>
  <c r="M819" i="31"/>
  <c r="N819" i="31"/>
  <c r="O819" i="31"/>
  <c r="P819" i="31"/>
  <c r="Q819" i="31"/>
  <c r="R819" i="31"/>
  <c r="S819" i="31"/>
  <c r="T819" i="31"/>
  <c r="I820" i="31"/>
  <c r="J820" i="31"/>
  <c r="K820" i="31"/>
  <c r="L820" i="31"/>
  <c r="M820" i="31"/>
  <c r="N820" i="31"/>
  <c r="O820" i="31"/>
  <c r="P820" i="31"/>
  <c r="Q820" i="31"/>
  <c r="R820" i="31"/>
  <c r="S820" i="31"/>
  <c r="T820" i="31"/>
  <c r="I821" i="31"/>
  <c r="J821" i="31"/>
  <c r="K821" i="31"/>
  <c r="L821" i="31"/>
  <c r="M821" i="31"/>
  <c r="N821" i="31"/>
  <c r="O821" i="31"/>
  <c r="P821" i="31"/>
  <c r="Q821" i="31"/>
  <c r="R821" i="31"/>
  <c r="S821" i="31"/>
  <c r="T821" i="31"/>
  <c r="I822" i="31"/>
  <c r="J822" i="31"/>
  <c r="K822" i="31"/>
  <c r="L822" i="31"/>
  <c r="M822" i="31"/>
  <c r="N822" i="31"/>
  <c r="O822" i="31"/>
  <c r="P822" i="31"/>
  <c r="Q822" i="31"/>
  <c r="R822" i="31"/>
  <c r="S822" i="31"/>
  <c r="T822" i="31"/>
  <c r="I823" i="31"/>
  <c r="J823" i="31"/>
  <c r="K823" i="31"/>
  <c r="L823" i="31"/>
  <c r="M823" i="31"/>
  <c r="N823" i="31"/>
  <c r="O823" i="31"/>
  <c r="P823" i="31"/>
  <c r="Q823" i="31"/>
  <c r="R823" i="31"/>
  <c r="S823" i="31"/>
  <c r="T823" i="31"/>
  <c r="I824" i="31"/>
  <c r="J824" i="31"/>
  <c r="K824" i="31"/>
  <c r="L824" i="31"/>
  <c r="M824" i="31"/>
  <c r="N824" i="31"/>
  <c r="O824" i="31"/>
  <c r="P824" i="31"/>
  <c r="Q824" i="31"/>
  <c r="R824" i="31"/>
  <c r="S824" i="31"/>
  <c r="T824" i="31"/>
  <c r="I825" i="31"/>
  <c r="J825" i="31"/>
  <c r="K825" i="31"/>
  <c r="L825" i="31"/>
  <c r="M825" i="31"/>
  <c r="N825" i="31"/>
  <c r="O825" i="31"/>
  <c r="P825" i="31"/>
  <c r="Q825" i="31"/>
  <c r="R825" i="31"/>
  <c r="S825" i="31"/>
  <c r="T825" i="31"/>
  <c r="I826" i="31"/>
  <c r="J826" i="31"/>
  <c r="K826" i="31"/>
  <c r="L826" i="31"/>
  <c r="M826" i="31"/>
  <c r="N826" i="31"/>
  <c r="O826" i="31"/>
  <c r="P826" i="31"/>
  <c r="Q826" i="31"/>
  <c r="R826" i="31"/>
  <c r="S826" i="31"/>
  <c r="T826" i="31"/>
  <c r="I827" i="31"/>
  <c r="J827" i="31"/>
  <c r="K827" i="31"/>
  <c r="L827" i="31"/>
  <c r="M827" i="31"/>
  <c r="N827" i="31"/>
  <c r="O827" i="31"/>
  <c r="P827" i="31"/>
  <c r="Q827" i="31"/>
  <c r="R827" i="31"/>
  <c r="S827" i="31"/>
  <c r="T827" i="31"/>
  <c r="I828" i="31"/>
  <c r="J828" i="31"/>
  <c r="K828" i="31"/>
  <c r="L828" i="31"/>
  <c r="M828" i="31"/>
  <c r="N828" i="31"/>
  <c r="O828" i="31"/>
  <c r="P828" i="31"/>
  <c r="Q828" i="31"/>
  <c r="R828" i="31"/>
  <c r="S828" i="31"/>
  <c r="T828" i="31"/>
  <c r="I829" i="31"/>
  <c r="J829" i="31"/>
  <c r="K829" i="31"/>
  <c r="L829" i="31"/>
  <c r="M829" i="31"/>
  <c r="N829" i="31"/>
  <c r="O829" i="31"/>
  <c r="P829" i="31"/>
  <c r="Q829" i="31"/>
  <c r="R829" i="31"/>
  <c r="S829" i="31"/>
  <c r="T829" i="31"/>
  <c r="I830" i="31"/>
  <c r="J830" i="31"/>
  <c r="K830" i="31"/>
  <c r="L830" i="31"/>
  <c r="M830" i="31"/>
  <c r="N830" i="31"/>
  <c r="O830" i="31"/>
  <c r="P830" i="31"/>
  <c r="Q830" i="31"/>
  <c r="R830" i="31"/>
  <c r="S830" i="31"/>
  <c r="T830" i="31"/>
  <c r="I831" i="31"/>
  <c r="J831" i="31"/>
  <c r="K831" i="31"/>
  <c r="L831" i="31"/>
  <c r="M831" i="31"/>
  <c r="N831" i="31"/>
  <c r="O831" i="31"/>
  <c r="P831" i="31"/>
  <c r="Q831" i="31"/>
  <c r="R831" i="31"/>
  <c r="S831" i="31"/>
  <c r="T831" i="31"/>
  <c r="I832" i="31"/>
  <c r="J832" i="31"/>
  <c r="K832" i="31"/>
  <c r="L832" i="31"/>
  <c r="M832" i="31"/>
  <c r="N832" i="31"/>
  <c r="O832" i="31"/>
  <c r="P832" i="31"/>
  <c r="Q832" i="31"/>
  <c r="R832" i="31"/>
  <c r="S832" i="31"/>
  <c r="T832" i="31"/>
  <c r="I833" i="31"/>
  <c r="J833" i="31"/>
  <c r="K833" i="31"/>
  <c r="L833" i="31"/>
  <c r="M833" i="31"/>
  <c r="N833" i="31"/>
  <c r="O833" i="31"/>
  <c r="P833" i="31"/>
  <c r="Q833" i="31"/>
  <c r="R833" i="31"/>
  <c r="S833" i="31"/>
  <c r="T833" i="31"/>
  <c r="I834" i="31"/>
  <c r="J834" i="31"/>
  <c r="K834" i="31"/>
  <c r="L834" i="31"/>
  <c r="M834" i="31"/>
  <c r="N834" i="31"/>
  <c r="O834" i="31"/>
  <c r="P834" i="31"/>
  <c r="Q834" i="31"/>
  <c r="R834" i="31"/>
  <c r="S834" i="31"/>
  <c r="T834" i="31"/>
  <c r="I835" i="31"/>
  <c r="J835" i="31"/>
  <c r="K835" i="31"/>
  <c r="L835" i="31"/>
  <c r="M835" i="31"/>
  <c r="N835" i="31"/>
  <c r="O835" i="31"/>
  <c r="P835" i="31"/>
  <c r="Q835" i="31"/>
  <c r="R835" i="31"/>
  <c r="S835" i="31"/>
  <c r="T835" i="31"/>
  <c r="I836" i="31"/>
  <c r="J836" i="31"/>
  <c r="K836" i="31"/>
  <c r="L836" i="31"/>
  <c r="M836" i="31"/>
  <c r="N836" i="31"/>
  <c r="O836" i="31"/>
  <c r="P836" i="31"/>
  <c r="Q836" i="31"/>
  <c r="R836" i="31"/>
  <c r="S836" i="31"/>
  <c r="T836" i="31"/>
  <c r="I837" i="31"/>
  <c r="J837" i="31"/>
  <c r="K837" i="31"/>
  <c r="L837" i="31"/>
  <c r="M837" i="31"/>
  <c r="N837" i="31"/>
  <c r="O837" i="31"/>
  <c r="P837" i="31"/>
  <c r="Q837" i="31"/>
  <c r="R837" i="31"/>
  <c r="S837" i="31"/>
  <c r="T837" i="31"/>
  <c r="I838" i="31"/>
  <c r="J838" i="31"/>
  <c r="K838" i="31"/>
  <c r="L838" i="31"/>
  <c r="M838" i="31"/>
  <c r="N838" i="31"/>
  <c r="O838" i="31"/>
  <c r="P838" i="31"/>
  <c r="Q838" i="31"/>
  <c r="R838" i="31"/>
  <c r="S838" i="31"/>
  <c r="T838" i="31"/>
  <c r="I839" i="31"/>
  <c r="J839" i="31"/>
  <c r="K839" i="31"/>
  <c r="L839" i="31"/>
  <c r="M839" i="31"/>
  <c r="N839" i="31"/>
  <c r="O839" i="31"/>
  <c r="P839" i="31"/>
  <c r="Q839" i="31"/>
  <c r="R839" i="31"/>
  <c r="S839" i="31"/>
  <c r="T839" i="31"/>
  <c r="I840" i="31"/>
  <c r="J840" i="31"/>
  <c r="K840" i="31"/>
  <c r="L840" i="31"/>
  <c r="M840" i="31"/>
  <c r="N840" i="31"/>
  <c r="O840" i="31"/>
  <c r="P840" i="31"/>
  <c r="Q840" i="31"/>
  <c r="R840" i="31"/>
  <c r="S840" i="31"/>
  <c r="T840" i="31"/>
  <c r="I841" i="31"/>
  <c r="J841" i="31"/>
  <c r="K841" i="31"/>
  <c r="L841" i="31"/>
  <c r="M841" i="31"/>
  <c r="N841" i="31"/>
  <c r="O841" i="31"/>
  <c r="P841" i="31"/>
  <c r="Q841" i="31"/>
  <c r="R841" i="31"/>
  <c r="S841" i="31"/>
  <c r="T841" i="31"/>
  <c r="I842" i="31"/>
  <c r="J842" i="31"/>
  <c r="K842" i="31"/>
  <c r="L842" i="31"/>
  <c r="M842" i="31"/>
  <c r="N842" i="31"/>
  <c r="O842" i="31"/>
  <c r="P842" i="31"/>
  <c r="Q842" i="31"/>
  <c r="R842" i="31"/>
  <c r="S842" i="31"/>
  <c r="T842" i="31"/>
  <c r="I843" i="31"/>
  <c r="J843" i="31"/>
  <c r="K843" i="31"/>
  <c r="L843" i="31"/>
  <c r="M843" i="31"/>
  <c r="N843" i="31"/>
  <c r="O843" i="31"/>
  <c r="P843" i="31"/>
  <c r="Q843" i="31"/>
  <c r="R843" i="31"/>
  <c r="S843" i="31"/>
  <c r="T843" i="31"/>
  <c r="I844" i="31"/>
  <c r="J844" i="31"/>
  <c r="K844" i="31"/>
  <c r="L844" i="31"/>
  <c r="M844" i="31"/>
  <c r="N844" i="31"/>
  <c r="O844" i="31"/>
  <c r="P844" i="31"/>
  <c r="Q844" i="31"/>
  <c r="R844" i="31"/>
  <c r="S844" i="31"/>
  <c r="T844" i="31"/>
  <c r="I845" i="31"/>
  <c r="J845" i="31"/>
  <c r="K845" i="31"/>
  <c r="L845" i="31"/>
  <c r="M845" i="31"/>
  <c r="N845" i="31"/>
  <c r="O845" i="31"/>
  <c r="P845" i="31"/>
  <c r="Q845" i="31"/>
  <c r="R845" i="31"/>
  <c r="S845" i="31"/>
  <c r="T845" i="31"/>
  <c r="I846" i="31"/>
  <c r="J846" i="31"/>
  <c r="K846" i="31"/>
  <c r="L846" i="31"/>
  <c r="M846" i="31"/>
  <c r="N846" i="31"/>
  <c r="O846" i="31"/>
  <c r="P846" i="31"/>
  <c r="Q846" i="31"/>
  <c r="R846" i="31"/>
  <c r="S846" i="31"/>
  <c r="T846" i="31"/>
  <c r="I847" i="31"/>
  <c r="J847" i="31"/>
  <c r="K847" i="31"/>
  <c r="L847" i="31"/>
  <c r="M847" i="31"/>
  <c r="N847" i="31"/>
  <c r="O847" i="31"/>
  <c r="P847" i="31"/>
  <c r="Q847" i="31"/>
  <c r="R847" i="31"/>
  <c r="S847" i="31"/>
  <c r="T847" i="31"/>
  <c r="I848" i="31"/>
  <c r="J848" i="31"/>
  <c r="K848" i="31"/>
  <c r="L848" i="31"/>
  <c r="M848" i="31"/>
  <c r="N848" i="31"/>
  <c r="O848" i="31"/>
  <c r="P848" i="31"/>
  <c r="Q848" i="31"/>
  <c r="R848" i="31"/>
  <c r="S848" i="31"/>
  <c r="T848" i="31"/>
  <c r="I849" i="31"/>
  <c r="J849" i="31"/>
  <c r="K849" i="31"/>
  <c r="L849" i="31"/>
  <c r="M849" i="31"/>
  <c r="N849" i="31"/>
  <c r="O849" i="31"/>
  <c r="P849" i="31"/>
  <c r="Q849" i="31"/>
  <c r="R849" i="31"/>
  <c r="S849" i="31"/>
  <c r="T849" i="31"/>
  <c r="I850" i="31"/>
  <c r="J850" i="31"/>
  <c r="K850" i="31"/>
  <c r="L850" i="31"/>
  <c r="M850" i="31"/>
  <c r="N850" i="31"/>
  <c r="O850" i="31"/>
  <c r="P850" i="31"/>
  <c r="Q850" i="31"/>
  <c r="R850" i="31"/>
  <c r="S850" i="31"/>
  <c r="T850" i="31"/>
  <c r="I851" i="31"/>
  <c r="J851" i="31"/>
  <c r="K851" i="31"/>
  <c r="L851" i="31"/>
  <c r="M851" i="31"/>
  <c r="N851" i="31"/>
  <c r="O851" i="31"/>
  <c r="P851" i="31"/>
  <c r="Q851" i="31"/>
  <c r="R851" i="31"/>
  <c r="S851" i="31"/>
  <c r="T851" i="31"/>
  <c r="I852" i="31"/>
  <c r="J852" i="31"/>
  <c r="K852" i="31"/>
  <c r="L852" i="31"/>
  <c r="M852" i="31"/>
  <c r="N852" i="31"/>
  <c r="O852" i="31"/>
  <c r="P852" i="31"/>
  <c r="Q852" i="31"/>
  <c r="R852" i="31"/>
  <c r="S852" i="31"/>
  <c r="T852" i="31"/>
  <c r="I853" i="31"/>
  <c r="J853" i="31"/>
  <c r="K853" i="31"/>
  <c r="L853" i="31"/>
  <c r="M853" i="31"/>
  <c r="N853" i="31"/>
  <c r="O853" i="31"/>
  <c r="P853" i="31"/>
  <c r="Q853" i="31"/>
  <c r="R853" i="31"/>
  <c r="S853" i="31"/>
  <c r="T853" i="31"/>
  <c r="I854" i="31"/>
  <c r="J854" i="31"/>
  <c r="K854" i="31"/>
  <c r="L854" i="31"/>
  <c r="M854" i="31"/>
  <c r="N854" i="31"/>
  <c r="O854" i="31"/>
  <c r="P854" i="31"/>
  <c r="Q854" i="31"/>
  <c r="R854" i="31"/>
  <c r="S854" i="31"/>
  <c r="T854" i="31"/>
  <c r="I855" i="31"/>
  <c r="J855" i="31"/>
  <c r="K855" i="31"/>
  <c r="L855" i="31"/>
  <c r="M855" i="31"/>
  <c r="N855" i="31"/>
  <c r="O855" i="31"/>
  <c r="P855" i="31"/>
  <c r="Q855" i="31"/>
  <c r="R855" i="31"/>
  <c r="S855" i="31"/>
  <c r="T855" i="31"/>
  <c r="I856" i="31"/>
  <c r="J856" i="31"/>
  <c r="K856" i="31"/>
  <c r="L856" i="31"/>
  <c r="M856" i="31"/>
  <c r="N856" i="31"/>
  <c r="O856" i="31"/>
  <c r="P856" i="31"/>
  <c r="Q856" i="31"/>
  <c r="R856" i="31"/>
  <c r="S856" i="31"/>
  <c r="T856" i="31"/>
  <c r="I857" i="31"/>
  <c r="J857" i="31"/>
  <c r="K857" i="31"/>
  <c r="L857" i="31"/>
  <c r="M857" i="31"/>
  <c r="N857" i="31"/>
  <c r="O857" i="31"/>
  <c r="P857" i="31"/>
  <c r="Q857" i="31"/>
  <c r="R857" i="31"/>
  <c r="S857" i="31"/>
  <c r="T857" i="31"/>
  <c r="I858" i="31"/>
  <c r="J858" i="31"/>
  <c r="K858" i="31"/>
  <c r="L858" i="31"/>
  <c r="M858" i="31"/>
  <c r="N858" i="31"/>
  <c r="O858" i="31"/>
  <c r="P858" i="31"/>
  <c r="Q858" i="31"/>
  <c r="R858" i="31"/>
  <c r="S858" i="31"/>
  <c r="T858" i="31"/>
  <c r="I859" i="31"/>
  <c r="J859" i="31"/>
  <c r="K859" i="31"/>
  <c r="L859" i="31"/>
  <c r="M859" i="31"/>
  <c r="N859" i="31"/>
  <c r="O859" i="31"/>
  <c r="P859" i="31"/>
  <c r="Q859" i="31"/>
  <c r="R859" i="31"/>
  <c r="S859" i="31"/>
  <c r="T859" i="31"/>
  <c r="I860" i="31"/>
  <c r="J860" i="31"/>
  <c r="K860" i="31"/>
  <c r="L860" i="31"/>
  <c r="M860" i="31"/>
  <c r="N860" i="31"/>
  <c r="O860" i="31"/>
  <c r="P860" i="31"/>
  <c r="Q860" i="31"/>
  <c r="R860" i="31"/>
  <c r="S860" i="31"/>
  <c r="T860" i="31"/>
  <c r="I861" i="31"/>
  <c r="J861" i="31"/>
  <c r="K861" i="31"/>
  <c r="L861" i="31"/>
  <c r="M861" i="31"/>
  <c r="N861" i="31"/>
  <c r="O861" i="31"/>
  <c r="P861" i="31"/>
  <c r="Q861" i="31"/>
  <c r="R861" i="31"/>
  <c r="S861" i="31"/>
  <c r="T861" i="31"/>
  <c r="I862" i="31"/>
  <c r="J862" i="31"/>
  <c r="K862" i="31"/>
  <c r="L862" i="31"/>
  <c r="M862" i="31"/>
  <c r="N862" i="31"/>
  <c r="O862" i="31"/>
  <c r="P862" i="31"/>
  <c r="Q862" i="31"/>
  <c r="R862" i="31"/>
  <c r="S862" i="31"/>
  <c r="T862" i="31"/>
  <c r="I863" i="31"/>
  <c r="J863" i="31"/>
  <c r="K863" i="31"/>
  <c r="L863" i="31"/>
  <c r="M863" i="31"/>
  <c r="N863" i="31"/>
  <c r="O863" i="31"/>
  <c r="P863" i="31"/>
  <c r="Q863" i="31"/>
  <c r="R863" i="31"/>
  <c r="S863" i="31"/>
  <c r="T863" i="31"/>
  <c r="I864" i="31"/>
  <c r="J864" i="31"/>
  <c r="K864" i="31"/>
  <c r="L864" i="31"/>
  <c r="M864" i="31"/>
  <c r="N864" i="31"/>
  <c r="O864" i="31"/>
  <c r="P864" i="31"/>
  <c r="Q864" i="31"/>
  <c r="R864" i="31"/>
  <c r="S864" i="31"/>
  <c r="T864" i="31"/>
  <c r="I865" i="31"/>
  <c r="J865" i="31"/>
  <c r="K865" i="31"/>
  <c r="L865" i="31"/>
  <c r="M865" i="31"/>
  <c r="N865" i="31"/>
  <c r="O865" i="31"/>
  <c r="P865" i="31"/>
  <c r="Q865" i="31"/>
  <c r="R865" i="31"/>
  <c r="S865" i="31"/>
  <c r="T865" i="31"/>
  <c r="I866" i="31"/>
  <c r="J866" i="31"/>
  <c r="K866" i="31"/>
  <c r="L866" i="31"/>
  <c r="M866" i="31"/>
  <c r="N866" i="31"/>
  <c r="O866" i="31"/>
  <c r="P866" i="31"/>
  <c r="Q866" i="31"/>
  <c r="R866" i="31"/>
  <c r="S866" i="31"/>
  <c r="T866" i="31"/>
  <c r="I867" i="31"/>
  <c r="J867" i="31"/>
  <c r="K867" i="31"/>
  <c r="L867" i="31"/>
  <c r="M867" i="31"/>
  <c r="N867" i="31"/>
  <c r="O867" i="31"/>
  <c r="P867" i="31"/>
  <c r="Q867" i="31"/>
  <c r="R867" i="31"/>
  <c r="S867" i="31"/>
  <c r="T867" i="31"/>
  <c r="I868" i="31"/>
  <c r="J868" i="31"/>
  <c r="K868" i="31"/>
  <c r="L868" i="31"/>
  <c r="M868" i="31"/>
  <c r="N868" i="31"/>
  <c r="O868" i="31"/>
  <c r="P868" i="31"/>
  <c r="Q868" i="31"/>
  <c r="R868" i="31"/>
  <c r="S868" i="31"/>
  <c r="T868" i="31"/>
  <c r="I869" i="31"/>
  <c r="J869" i="31"/>
  <c r="K869" i="31"/>
  <c r="L869" i="31"/>
  <c r="M869" i="31"/>
  <c r="N869" i="31"/>
  <c r="O869" i="31"/>
  <c r="P869" i="31"/>
  <c r="Q869" i="31"/>
  <c r="R869" i="31"/>
  <c r="S869" i="31"/>
  <c r="T869" i="31"/>
  <c r="I870" i="31"/>
  <c r="J870" i="31"/>
  <c r="K870" i="31"/>
  <c r="L870" i="31"/>
  <c r="M870" i="31"/>
  <c r="N870" i="31"/>
  <c r="O870" i="31"/>
  <c r="P870" i="31"/>
  <c r="Q870" i="31"/>
  <c r="R870" i="31"/>
  <c r="S870" i="31"/>
  <c r="T870" i="31"/>
  <c r="I871" i="31"/>
  <c r="J871" i="31"/>
  <c r="K871" i="31"/>
  <c r="L871" i="31"/>
  <c r="M871" i="31"/>
  <c r="N871" i="31"/>
  <c r="O871" i="31"/>
  <c r="P871" i="31"/>
  <c r="Q871" i="31"/>
  <c r="R871" i="31"/>
  <c r="S871" i="31"/>
  <c r="T871" i="31"/>
  <c r="I872" i="31"/>
  <c r="J872" i="31"/>
  <c r="K872" i="31"/>
  <c r="L872" i="31"/>
  <c r="M872" i="31"/>
  <c r="N872" i="31"/>
  <c r="O872" i="31"/>
  <c r="P872" i="31"/>
  <c r="Q872" i="31"/>
  <c r="R872" i="31"/>
  <c r="S872" i="31"/>
  <c r="T872" i="31"/>
  <c r="I873" i="31"/>
  <c r="J873" i="31"/>
  <c r="K873" i="31"/>
  <c r="L873" i="31"/>
  <c r="M873" i="31"/>
  <c r="N873" i="31"/>
  <c r="O873" i="31"/>
  <c r="P873" i="31"/>
  <c r="Q873" i="31"/>
  <c r="R873" i="31"/>
  <c r="S873" i="31"/>
  <c r="T873" i="31"/>
  <c r="I874" i="31"/>
  <c r="J874" i="31"/>
  <c r="K874" i="31"/>
  <c r="L874" i="31"/>
  <c r="M874" i="31"/>
  <c r="N874" i="31"/>
  <c r="O874" i="31"/>
  <c r="P874" i="31"/>
  <c r="Q874" i="31"/>
  <c r="R874" i="31"/>
  <c r="S874" i="31"/>
  <c r="T874" i="31"/>
  <c r="I875" i="31"/>
  <c r="J875" i="31"/>
  <c r="K875" i="31"/>
  <c r="L875" i="31"/>
  <c r="M875" i="31"/>
  <c r="N875" i="31"/>
  <c r="O875" i="31"/>
  <c r="P875" i="31"/>
  <c r="Q875" i="31"/>
  <c r="R875" i="31"/>
  <c r="S875" i="31"/>
  <c r="T875" i="31"/>
  <c r="I876" i="31"/>
  <c r="J876" i="31"/>
  <c r="K876" i="31"/>
  <c r="L876" i="31"/>
  <c r="M876" i="31"/>
  <c r="N876" i="31"/>
  <c r="O876" i="31"/>
  <c r="P876" i="31"/>
  <c r="Q876" i="31"/>
  <c r="R876" i="31"/>
  <c r="S876" i="31"/>
  <c r="T876" i="31"/>
  <c r="I877" i="31"/>
  <c r="J877" i="31"/>
  <c r="K877" i="31"/>
  <c r="L877" i="31"/>
  <c r="M877" i="31"/>
  <c r="N877" i="31"/>
  <c r="O877" i="31"/>
  <c r="P877" i="31"/>
  <c r="Q877" i="31"/>
  <c r="R877" i="31"/>
  <c r="S877" i="31"/>
  <c r="T877" i="31"/>
  <c r="I878" i="31"/>
  <c r="J878" i="31"/>
  <c r="K878" i="31"/>
  <c r="L878" i="31"/>
  <c r="M878" i="31"/>
  <c r="N878" i="31"/>
  <c r="O878" i="31"/>
  <c r="P878" i="31"/>
  <c r="Q878" i="31"/>
  <c r="R878" i="31"/>
  <c r="S878" i="31"/>
  <c r="T878" i="31"/>
  <c r="I879" i="31"/>
  <c r="J879" i="31"/>
  <c r="K879" i="31"/>
  <c r="L879" i="31"/>
  <c r="M879" i="31"/>
  <c r="N879" i="31"/>
  <c r="O879" i="31"/>
  <c r="P879" i="31"/>
  <c r="Q879" i="31"/>
  <c r="R879" i="31"/>
  <c r="S879" i="31"/>
  <c r="T879" i="31"/>
  <c r="I880" i="31"/>
  <c r="J880" i="31"/>
  <c r="K880" i="31"/>
  <c r="L880" i="31"/>
  <c r="M880" i="31"/>
  <c r="N880" i="31"/>
  <c r="O880" i="31"/>
  <c r="P880" i="31"/>
  <c r="Q880" i="31"/>
  <c r="R880" i="31"/>
  <c r="S880" i="31"/>
  <c r="T880" i="31"/>
  <c r="I881" i="31"/>
  <c r="J881" i="31"/>
  <c r="K881" i="31"/>
  <c r="L881" i="31"/>
  <c r="M881" i="31"/>
  <c r="N881" i="31"/>
  <c r="O881" i="31"/>
  <c r="P881" i="31"/>
  <c r="Q881" i="31"/>
  <c r="R881" i="31"/>
  <c r="S881" i="31"/>
  <c r="T881" i="31"/>
  <c r="I882" i="31"/>
  <c r="J882" i="31"/>
  <c r="K882" i="31"/>
  <c r="L882" i="31"/>
  <c r="M882" i="31"/>
  <c r="N882" i="31"/>
  <c r="O882" i="31"/>
  <c r="P882" i="31"/>
  <c r="Q882" i="31"/>
  <c r="R882" i="31"/>
  <c r="S882" i="31"/>
  <c r="T882" i="31"/>
  <c r="I883" i="31"/>
  <c r="J883" i="31"/>
  <c r="K883" i="31"/>
  <c r="L883" i="31"/>
  <c r="M883" i="31"/>
  <c r="N883" i="31"/>
  <c r="O883" i="31"/>
  <c r="P883" i="31"/>
  <c r="Q883" i="31"/>
  <c r="R883" i="31"/>
  <c r="S883" i="31"/>
  <c r="T883" i="31"/>
  <c r="I884" i="31"/>
  <c r="J884" i="31"/>
  <c r="K884" i="31"/>
  <c r="L884" i="31"/>
  <c r="M884" i="31"/>
  <c r="N884" i="31"/>
  <c r="O884" i="31"/>
  <c r="P884" i="31"/>
  <c r="Q884" i="31"/>
  <c r="R884" i="31"/>
  <c r="S884" i="31"/>
  <c r="T884" i="31"/>
  <c r="I885" i="31"/>
  <c r="J885" i="31"/>
  <c r="K885" i="31"/>
  <c r="L885" i="31"/>
  <c r="M885" i="31"/>
  <c r="N885" i="31"/>
  <c r="O885" i="31"/>
  <c r="P885" i="31"/>
  <c r="Q885" i="31"/>
  <c r="R885" i="31"/>
  <c r="S885" i="31"/>
  <c r="T885" i="31"/>
  <c r="I886" i="31"/>
  <c r="J886" i="31"/>
  <c r="K886" i="31"/>
  <c r="L886" i="31"/>
  <c r="M886" i="31"/>
  <c r="N886" i="31"/>
  <c r="O886" i="31"/>
  <c r="P886" i="31"/>
  <c r="Q886" i="31"/>
  <c r="R886" i="31"/>
  <c r="S886" i="31"/>
  <c r="T886" i="31"/>
  <c r="I887" i="31"/>
  <c r="J887" i="31"/>
  <c r="K887" i="31"/>
  <c r="L887" i="31"/>
  <c r="M887" i="31"/>
  <c r="N887" i="31"/>
  <c r="O887" i="31"/>
  <c r="P887" i="31"/>
  <c r="Q887" i="31"/>
  <c r="R887" i="31"/>
  <c r="S887" i="31"/>
  <c r="T887" i="31"/>
  <c r="I888" i="31"/>
  <c r="J888" i="31"/>
  <c r="K888" i="31"/>
  <c r="L888" i="31"/>
  <c r="M888" i="31"/>
  <c r="N888" i="31"/>
  <c r="O888" i="31"/>
  <c r="P888" i="31"/>
  <c r="Q888" i="31"/>
  <c r="R888" i="31"/>
  <c r="S888" i="31"/>
  <c r="T888" i="31"/>
  <c r="I889" i="31"/>
  <c r="J889" i="31"/>
  <c r="K889" i="31"/>
  <c r="L889" i="31"/>
  <c r="M889" i="31"/>
  <c r="N889" i="31"/>
  <c r="O889" i="31"/>
  <c r="P889" i="31"/>
  <c r="Q889" i="31"/>
  <c r="R889" i="31"/>
  <c r="S889" i="31"/>
  <c r="T889" i="31"/>
  <c r="I890" i="31"/>
  <c r="J890" i="31"/>
  <c r="K890" i="31"/>
  <c r="L890" i="31"/>
  <c r="M890" i="31"/>
  <c r="N890" i="31"/>
  <c r="O890" i="31"/>
  <c r="P890" i="31"/>
  <c r="Q890" i="31"/>
  <c r="R890" i="31"/>
  <c r="S890" i="31"/>
  <c r="T890" i="31"/>
  <c r="I891" i="31"/>
  <c r="J891" i="31"/>
  <c r="K891" i="31"/>
  <c r="L891" i="31"/>
  <c r="M891" i="31"/>
  <c r="N891" i="31"/>
  <c r="O891" i="31"/>
  <c r="P891" i="31"/>
  <c r="Q891" i="31"/>
  <c r="R891" i="31"/>
  <c r="S891" i="31"/>
  <c r="T891" i="31"/>
  <c r="I892" i="31"/>
  <c r="J892" i="31"/>
  <c r="K892" i="31"/>
  <c r="L892" i="31"/>
  <c r="M892" i="31"/>
  <c r="N892" i="31"/>
  <c r="O892" i="31"/>
  <c r="P892" i="31"/>
  <c r="Q892" i="31"/>
  <c r="R892" i="31"/>
  <c r="S892" i="31"/>
  <c r="T892" i="31"/>
  <c r="I893" i="31"/>
  <c r="J893" i="31"/>
  <c r="K893" i="31"/>
  <c r="L893" i="31"/>
  <c r="M893" i="31"/>
  <c r="N893" i="31"/>
  <c r="O893" i="31"/>
  <c r="P893" i="31"/>
  <c r="Q893" i="31"/>
  <c r="R893" i="31"/>
  <c r="S893" i="31"/>
  <c r="T893" i="31"/>
  <c r="I894" i="31"/>
  <c r="J894" i="31"/>
  <c r="K894" i="31"/>
  <c r="L894" i="31"/>
  <c r="M894" i="31"/>
  <c r="N894" i="31"/>
  <c r="O894" i="31"/>
  <c r="P894" i="31"/>
  <c r="Q894" i="31"/>
  <c r="R894" i="31"/>
  <c r="S894" i="31"/>
  <c r="T894" i="31"/>
  <c r="I895" i="31"/>
  <c r="J895" i="31"/>
  <c r="K895" i="31"/>
  <c r="L895" i="31"/>
  <c r="M895" i="31"/>
  <c r="N895" i="31"/>
  <c r="O895" i="31"/>
  <c r="P895" i="31"/>
  <c r="Q895" i="31"/>
  <c r="R895" i="31"/>
  <c r="S895" i="31"/>
  <c r="T895" i="31"/>
  <c r="I896" i="31"/>
  <c r="J896" i="31"/>
  <c r="K896" i="31"/>
  <c r="L896" i="31"/>
  <c r="M896" i="31"/>
  <c r="N896" i="31"/>
  <c r="O896" i="31"/>
  <c r="P896" i="31"/>
  <c r="Q896" i="31"/>
  <c r="R896" i="31"/>
  <c r="S896" i="31"/>
  <c r="T896" i="31"/>
  <c r="I897" i="31"/>
  <c r="J897" i="31"/>
  <c r="K897" i="31"/>
  <c r="L897" i="31"/>
  <c r="M897" i="31"/>
  <c r="N897" i="31"/>
  <c r="O897" i="31"/>
  <c r="P897" i="31"/>
  <c r="Q897" i="31"/>
  <c r="R897" i="31"/>
  <c r="S897" i="31"/>
  <c r="T897" i="31"/>
  <c r="I898" i="31"/>
  <c r="J898" i="31"/>
  <c r="K898" i="31"/>
  <c r="L898" i="31"/>
  <c r="M898" i="31"/>
  <c r="N898" i="31"/>
  <c r="O898" i="31"/>
  <c r="P898" i="31"/>
  <c r="Q898" i="31"/>
  <c r="R898" i="31"/>
  <c r="S898" i="31"/>
  <c r="T898" i="31"/>
  <c r="I899" i="31"/>
  <c r="J899" i="31"/>
  <c r="K899" i="31"/>
  <c r="L899" i="31"/>
  <c r="M899" i="31"/>
  <c r="N899" i="31"/>
  <c r="O899" i="31"/>
  <c r="P899" i="31"/>
  <c r="Q899" i="31"/>
  <c r="R899" i="31"/>
  <c r="S899" i="31"/>
  <c r="T899" i="31"/>
  <c r="I900" i="31"/>
  <c r="J900" i="31"/>
  <c r="K900" i="31"/>
  <c r="L900" i="31"/>
  <c r="M900" i="31"/>
  <c r="N900" i="31"/>
  <c r="O900" i="31"/>
  <c r="P900" i="31"/>
  <c r="Q900" i="31"/>
  <c r="R900" i="31"/>
  <c r="S900" i="31"/>
  <c r="T900" i="31"/>
  <c r="I901" i="31"/>
  <c r="J901" i="31"/>
  <c r="K901" i="31"/>
  <c r="L901" i="31"/>
  <c r="M901" i="31"/>
  <c r="N901" i="31"/>
  <c r="O901" i="31"/>
  <c r="P901" i="31"/>
  <c r="Q901" i="31"/>
  <c r="R901" i="31"/>
  <c r="S901" i="31"/>
  <c r="T901" i="31"/>
  <c r="I902" i="31"/>
  <c r="J902" i="31"/>
  <c r="K902" i="31"/>
  <c r="L902" i="31"/>
  <c r="M902" i="31"/>
  <c r="N902" i="31"/>
  <c r="O902" i="31"/>
  <c r="P902" i="31"/>
  <c r="Q902" i="31"/>
  <c r="R902" i="31"/>
  <c r="S902" i="31"/>
  <c r="T902" i="31"/>
  <c r="I903" i="31"/>
  <c r="J903" i="31"/>
  <c r="K903" i="31"/>
  <c r="L903" i="31"/>
  <c r="M903" i="31"/>
  <c r="N903" i="31"/>
  <c r="O903" i="31"/>
  <c r="P903" i="31"/>
  <c r="Q903" i="31"/>
  <c r="R903" i="31"/>
  <c r="S903" i="31"/>
  <c r="T903" i="31"/>
  <c r="I904" i="31"/>
  <c r="J904" i="31"/>
  <c r="K904" i="31"/>
  <c r="L904" i="31"/>
  <c r="M904" i="31"/>
  <c r="N904" i="31"/>
  <c r="O904" i="31"/>
  <c r="P904" i="31"/>
  <c r="Q904" i="31"/>
  <c r="R904" i="31"/>
  <c r="S904" i="31"/>
  <c r="T904" i="31"/>
  <c r="I905" i="31"/>
  <c r="J905" i="31"/>
  <c r="K905" i="31"/>
  <c r="L905" i="31"/>
  <c r="M905" i="31"/>
  <c r="N905" i="31"/>
  <c r="O905" i="31"/>
  <c r="P905" i="31"/>
  <c r="Q905" i="31"/>
  <c r="R905" i="31"/>
  <c r="S905" i="31"/>
  <c r="T905" i="31"/>
  <c r="I906" i="31"/>
  <c r="J906" i="31"/>
  <c r="K906" i="31"/>
  <c r="L906" i="31"/>
  <c r="M906" i="31"/>
  <c r="N906" i="31"/>
  <c r="O906" i="31"/>
  <c r="P906" i="31"/>
  <c r="Q906" i="31"/>
  <c r="R906" i="31"/>
  <c r="S906" i="31"/>
  <c r="T906" i="31"/>
  <c r="I907" i="31"/>
  <c r="J907" i="31"/>
  <c r="K907" i="31"/>
  <c r="L907" i="31"/>
  <c r="M907" i="31"/>
  <c r="N907" i="31"/>
  <c r="O907" i="31"/>
  <c r="P907" i="31"/>
  <c r="Q907" i="31"/>
  <c r="R907" i="31"/>
  <c r="S907" i="31"/>
  <c r="T907" i="31"/>
  <c r="I908" i="31"/>
  <c r="J908" i="31"/>
  <c r="K908" i="31"/>
  <c r="L908" i="31"/>
  <c r="M908" i="31"/>
  <c r="N908" i="31"/>
  <c r="O908" i="31"/>
  <c r="P908" i="31"/>
  <c r="Q908" i="31"/>
  <c r="R908" i="31"/>
  <c r="S908" i="31"/>
  <c r="T908" i="31"/>
  <c r="I909" i="31"/>
  <c r="J909" i="31"/>
  <c r="K909" i="31"/>
  <c r="L909" i="31"/>
  <c r="M909" i="31"/>
  <c r="N909" i="31"/>
  <c r="O909" i="31"/>
  <c r="P909" i="31"/>
  <c r="Q909" i="31"/>
  <c r="R909" i="31"/>
  <c r="S909" i="31"/>
  <c r="T909" i="31"/>
  <c r="I910" i="31"/>
  <c r="J910" i="31"/>
  <c r="K910" i="31"/>
  <c r="L910" i="31"/>
  <c r="M910" i="31"/>
  <c r="N910" i="31"/>
  <c r="O910" i="31"/>
  <c r="P910" i="31"/>
  <c r="Q910" i="31"/>
  <c r="R910" i="31"/>
  <c r="S910" i="31"/>
  <c r="T910" i="31"/>
  <c r="I911" i="31"/>
  <c r="J911" i="31"/>
  <c r="K911" i="31"/>
  <c r="L911" i="31"/>
  <c r="M911" i="31"/>
  <c r="N911" i="31"/>
  <c r="O911" i="31"/>
  <c r="P911" i="31"/>
  <c r="Q911" i="31"/>
  <c r="R911" i="31"/>
  <c r="S911" i="31"/>
  <c r="T911" i="31"/>
  <c r="I912" i="31"/>
  <c r="J912" i="31"/>
  <c r="K912" i="31"/>
  <c r="L912" i="31"/>
  <c r="M912" i="31"/>
  <c r="N912" i="31"/>
  <c r="O912" i="31"/>
  <c r="P912" i="31"/>
  <c r="Q912" i="31"/>
  <c r="R912" i="31"/>
  <c r="S912" i="31"/>
  <c r="T912" i="31"/>
  <c r="I913" i="31"/>
  <c r="J913" i="31"/>
  <c r="K913" i="31"/>
  <c r="L913" i="31"/>
  <c r="M913" i="31"/>
  <c r="N913" i="31"/>
  <c r="O913" i="31"/>
  <c r="P913" i="31"/>
  <c r="Q913" i="31"/>
  <c r="R913" i="31"/>
  <c r="S913" i="31"/>
  <c r="T913" i="31"/>
  <c r="I914" i="31"/>
  <c r="J914" i="31"/>
  <c r="K914" i="31"/>
  <c r="L914" i="31"/>
  <c r="M914" i="31"/>
  <c r="N914" i="31"/>
  <c r="O914" i="31"/>
  <c r="P914" i="31"/>
  <c r="Q914" i="31"/>
  <c r="R914" i="31"/>
  <c r="S914" i="31"/>
  <c r="T914" i="31"/>
  <c r="I915" i="31"/>
  <c r="J915" i="31"/>
  <c r="K915" i="31"/>
  <c r="L915" i="31"/>
  <c r="M915" i="31"/>
  <c r="N915" i="31"/>
  <c r="O915" i="31"/>
  <c r="P915" i="31"/>
  <c r="Q915" i="31"/>
  <c r="R915" i="31"/>
  <c r="S915" i="31"/>
  <c r="T915" i="31"/>
  <c r="I916" i="31"/>
  <c r="J916" i="31"/>
  <c r="K916" i="31"/>
  <c r="L916" i="31"/>
  <c r="M916" i="31"/>
  <c r="N916" i="31"/>
  <c r="O916" i="31"/>
  <c r="P916" i="31"/>
  <c r="Q916" i="31"/>
  <c r="R916" i="31"/>
  <c r="S916" i="31"/>
  <c r="T916" i="31"/>
  <c r="I917" i="31"/>
  <c r="J917" i="31"/>
  <c r="K917" i="31"/>
  <c r="L917" i="31"/>
  <c r="M917" i="31"/>
  <c r="N917" i="31"/>
  <c r="O917" i="31"/>
  <c r="P917" i="31"/>
  <c r="Q917" i="31"/>
  <c r="R917" i="31"/>
  <c r="S917" i="31"/>
  <c r="T917" i="31"/>
  <c r="I918" i="31"/>
  <c r="J918" i="31"/>
  <c r="K918" i="31"/>
  <c r="L918" i="31"/>
  <c r="M918" i="31"/>
  <c r="N918" i="31"/>
  <c r="O918" i="31"/>
  <c r="P918" i="31"/>
  <c r="Q918" i="31"/>
  <c r="R918" i="31"/>
  <c r="S918" i="31"/>
  <c r="T918" i="31"/>
  <c r="I919" i="31"/>
  <c r="J919" i="31"/>
  <c r="K919" i="31"/>
  <c r="L919" i="31"/>
  <c r="M919" i="31"/>
  <c r="N919" i="31"/>
  <c r="O919" i="31"/>
  <c r="P919" i="31"/>
  <c r="Q919" i="31"/>
  <c r="R919" i="31"/>
  <c r="S919" i="31"/>
  <c r="T919" i="31"/>
  <c r="I920" i="31"/>
  <c r="J920" i="31"/>
  <c r="K920" i="31"/>
  <c r="L920" i="31"/>
  <c r="M920" i="31"/>
  <c r="N920" i="31"/>
  <c r="O920" i="31"/>
  <c r="P920" i="31"/>
  <c r="Q920" i="31"/>
  <c r="R920" i="31"/>
  <c r="S920" i="31"/>
  <c r="T920" i="31"/>
  <c r="I921" i="31"/>
  <c r="J921" i="31"/>
  <c r="K921" i="31"/>
  <c r="L921" i="31"/>
  <c r="M921" i="31"/>
  <c r="N921" i="31"/>
  <c r="O921" i="31"/>
  <c r="P921" i="31"/>
  <c r="Q921" i="31"/>
  <c r="R921" i="31"/>
  <c r="S921" i="31"/>
  <c r="T921" i="31"/>
  <c r="I922" i="31"/>
  <c r="J922" i="31"/>
  <c r="K922" i="31"/>
  <c r="L922" i="31"/>
  <c r="M922" i="31"/>
  <c r="N922" i="31"/>
  <c r="O922" i="31"/>
  <c r="P922" i="31"/>
  <c r="Q922" i="31"/>
  <c r="R922" i="31"/>
  <c r="S922" i="31"/>
  <c r="T922" i="31"/>
  <c r="I923" i="31"/>
  <c r="J923" i="31"/>
  <c r="K923" i="31"/>
  <c r="L923" i="31"/>
  <c r="M923" i="31"/>
  <c r="N923" i="31"/>
  <c r="O923" i="31"/>
  <c r="P923" i="31"/>
  <c r="Q923" i="31"/>
  <c r="R923" i="31"/>
  <c r="S923" i="31"/>
  <c r="T923" i="31"/>
  <c r="I924" i="31"/>
  <c r="J924" i="31"/>
  <c r="K924" i="31"/>
  <c r="L924" i="31"/>
  <c r="M924" i="31"/>
  <c r="N924" i="31"/>
  <c r="O924" i="31"/>
  <c r="P924" i="31"/>
  <c r="Q924" i="31"/>
  <c r="R924" i="31"/>
  <c r="S924" i="31"/>
  <c r="T924" i="31"/>
  <c r="I925" i="31"/>
  <c r="J925" i="31"/>
  <c r="K925" i="31"/>
  <c r="L925" i="31"/>
  <c r="M925" i="31"/>
  <c r="N925" i="31"/>
  <c r="O925" i="31"/>
  <c r="P925" i="31"/>
  <c r="Q925" i="31"/>
  <c r="R925" i="31"/>
  <c r="S925" i="31"/>
  <c r="T925" i="31"/>
  <c r="I926" i="31"/>
  <c r="J926" i="31"/>
  <c r="K926" i="31"/>
  <c r="L926" i="31"/>
  <c r="M926" i="31"/>
  <c r="N926" i="31"/>
  <c r="O926" i="31"/>
  <c r="P926" i="31"/>
  <c r="Q926" i="31"/>
  <c r="R926" i="31"/>
  <c r="S926" i="31"/>
  <c r="T926" i="31"/>
  <c r="I927" i="31"/>
  <c r="J927" i="31"/>
  <c r="K927" i="31"/>
  <c r="L927" i="31"/>
  <c r="M927" i="31"/>
  <c r="N927" i="31"/>
  <c r="O927" i="31"/>
  <c r="P927" i="31"/>
  <c r="Q927" i="31"/>
  <c r="R927" i="31"/>
  <c r="S927" i="31"/>
  <c r="T927" i="31"/>
  <c r="I928" i="31"/>
  <c r="J928" i="31"/>
  <c r="K928" i="31"/>
  <c r="L928" i="31"/>
  <c r="M928" i="31"/>
  <c r="N928" i="31"/>
  <c r="O928" i="31"/>
  <c r="P928" i="31"/>
  <c r="Q928" i="31"/>
  <c r="R928" i="31"/>
  <c r="S928" i="31"/>
  <c r="T928" i="31"/>
  <c r="I929" i="31"/>
  <c r="J929" i="31"/>
  <c r="K929" i="31"/>
  <c r="L929" i="31"/>
  <c r="M929" i="31"/>
  <c r="N929" i="31"/>
  <c r="O929" i="31"/>
  <c r="P929" i="31"/>
  <c r="Q929" i="31"/>
  <c r="R929" i="31"/>
  <c r="S929" i="31"/>
  <c r="T929" i="31"/>
  <c r="I930" i="31"/>
  <c r="J930" i="31"/>
  <c r="K930" i="31"/>
  <c r="L930" i="31"/>
  <c r="M930" i="31"/>
  <c r="N930" i="31"/>
  <c r="O930" i="31"/>
  <c r="P930" i="31"/>
  <c r="Q930" i="31"/>
  <c r="R930" i="31"/>
  <c r="S930" i="31"/>
  <c r="T930" i="31"/>
  <c r="I931" i="31"/>
  <c r="J931" i="31"/>
  <c r="K931" i="31"/>
  <c r="L931" i="31"/>
  <c r="M931" i="31"/>
  <c r="N931" i="31"/>
  <c r="O931" i="31"/>
  <c r="P931" i="31"/>
  <c r="Q931" i="31"/>
  <c r="R931" i="31"/>
  <c r="S931" i="31"/>
  <c r="T931" i="31"/>
  <c r="I932" i="31"/>
  <c r="J932" i="31"/>
  <c r="K932" i="31"/>
  <c r="L932" i="31"/>
  <c r="M932" i="31"/>
  <c r="N932" i="31"/>
  <c r="O932" i="31"/>
  <c r="P932" i="31"/>
  <c r="Q932" i="31"/>
  <c r="R932" i="31"/>
  <c r="S932" i="31"/>
  <c r="T932" i="31"/>
  <c r="I933" i="31"/>
  <c r="J933" i="31"/>
  <c r="K933" i="31"/>
  <c r="L933" i="31"/>
  <c r="M933" i="31"/>
  <c r="N933" i="31"/>
  <c r="O933" i="31"/>
  <c r="P933" i="31"/>
  <c r="Q933" i="31"/>
  <c r="R933" i="31"/>
  <c r="S933" i="31"/>
  <c r="T933" i="31"/>
  <c r="I934" i="31"/>
  <c r="J934" i="31"/>
  <c r="K934" i="31"/>
  <c r="L934" i="31"/>
  <c r="M934" i="31"/>
  <c r="N934" i="31"/>
  <c r="O934" i="31"/>
  <c r="P934" i="31"/>
  <c r="Q934" i="31"/>
  <c r="R934" i="31"/>
  <c r="S934" i="31"/>
  <c r="T934" i="31"/>
  <c r="I935" i="31"/>
  <c r="J935" i="31"/>
  <c r="K935" i="31"/>
  <c r="L935" i="31"/>
  <c r="M935" i="31"/>
  <c r="N935" i="31"/>
  <c r="O935" i="31"/>
  <c r="P935" i="31"/>
  <c r="Q935" i="31"/>
  <c r="R935" i="31"/>
  <c r="S935" i="31"/>
  <c r="T935" i="31"/>
  <c r="I936" i="31"/>
  <c r="J936" i="31"/>
  <c r="K936" i="31"/>
  <c r="L936" i="31"/>
  <c r="M936" i="31"/>
  <c r="N936" i="31"/>
  <c r="O936" i="31"/>
  <c r="P936" i="31"/>
  <c r="Q936" i="31"/>
  <c r="R936" i="31"/>
  <c r="S936" i="31"/>
  <c r="T936" i="31"/>
  <c r="I937" i="31"/>
  <c r="J937" i="31"/>
  <c r="K937" i="31"/>
  <c r="L937" i="31"/>
  <c r="M937" i="31"/>
  <c r="N937" i="31"/>
  <c r="O937" i="31"/>
  <c r="P937" i="31"/>
  <c r="Q937" i="31"/>
  <c r="R937" i="31"/>
  <c r="S937" i="31"/>
  <c r="T937" i="31"/>
  <c r="I938" i="31"/>
  <c r="J938" i="31"/>
  <c r="K938" i="31"/>
  <c r="L938" i="31"/>
  <c r="M938" i="31"/>
  <c r="N938" i="31"/>
  <c r="O938" i="31"/>
  <c r="P938" i="31"/>
  <c r="Q938" i="31"/>
  <c r="R938" i="31"/>
  <c r="S938" i="31"/>
  <c r="T938" i="31"/>
  <c r="I939" i="31"/>
  <c r="J939" i="31"/>
  <c r="K939" i="31"/>
  <c r="L939" i="31"/>
  <c r="M939" i="31"/>
  <c r="N939" i="31"/>
  <c r="O939" i="31"/>
  <c r="P939" i="31"/>
  <c r="Q939" i="31"/>
  <c r="R939" i="31"/>
  <c r="S939" i="31"/>
  <c r="T939" i="31"/>
  <c r="I940" i="31"/>
  <c r="J940" i="31"/>
  <c r="K940" i="31"/>
  <c r="L940" i="31"/>
  <c r="M940" i="31"/>
  <c r="N940" i="31"/>
  <c r="O940" i="31"/>
  <c r="P940" i="31"/>
  <c r="Q940" i="31"/>
  <c r="R940" i="31"/>
  <c r="S940" i="31"/>
  <c r="T940" i="31"/>
  <c r="I941" i="31"/>
  <c r="J941" i="31"/>
  <c r="K941" i="31"/>
  <c r="L941" i="31"/>
  <c r="M941" i="31"/>
  <c r="N941" i="31"/>
  <c r="O941" i="31"/>
  <c r="P941" i="31"/>
  <c r="Q941" i="31"/>
  <c r="R941" i="31"/>
  <c r="S941" i="31"/>
  <c r="T941" i="31"/>
  <c r="I942" i="31"/>
  <c r="J942" i="31"/>
  <c r="K942" i="31"/>
  <c r="L942" i="31"/>
  <c r="M942" i="31"/>
  <c r="N942" i="31"/>
  <c r="O942" i="31"/>
  <c r="P942" i="31"/>
  <c r="Q942" i="31"/>
  <c r="R942" i="31"/>
  <c r="S942" i="31"/>
  <c r="T942" i="31"/>
  <c r="I943" i="31"/>
  <c r="J943" i="31"/>
  <c r="K943" i="31"/>
  <c r="L943" i="31"/>
  <c r="M943" i="31"/>
  <c r="N943" i="31"/>
  <c r="O943" i="31"/>
  <c r="P943" i="31"/>
  <c r="Q943" i="31"/>
  <c r="R943" i="31"/>
  <c r="S943" i="31"/>
  <c r="T943" i="31"/>
  <c r="I944" i="31"/>
  <c r="J944" i="31"/>
  <c r="K944" i="31"/>
  <c r="L944" i="31"/>
  <c r="M944" i="31"/>
  <c r="N944" i="31"/>
  <c r="O944" i="31"/>
  <c r="P944" i="31"/>
  <c r="Q944" i="31"/>
  <c r="R944" i="31"/>
  <c r="S944" i="31"/>
  <c r="T944" i="31"/>
  <c r="I945" i="31"/>
  <c r="J945" i="31"/>
  <c r="K945" i="31"/>
  <c r="L945" i="31"/>
  <c r="M945" i="31"/>
  <c r="N945" i="31"/>
  <c r="O945" i="31"/>
  <c r="P945" i="31"/>
  <c r="Q945" i="31"/>
  <c r="R945" i="31"/>
  <c r="S945" i="31"/>
  <c r="T945" i="31"/>
  <c r="I946" i="31"/>
  <c r="J946" i="31"/>
  <c r="K946" i="31"/>
  <c r="L946" i="31"/>
  <c r="M946" i="31"/>
  <c r="N946" i="31"/>
  <c r="O946" i="31"/>
  <c r="P946" i="31"/>
  <c r="Q946" i="31"/>
  <c r="R946" i="31"/>
  <c r="S946" i="31"/>
  <c r="T946" i="31"/>
  <c r="I947" i="31"/>
  <c r="J947" i="31"/>
  <c r="K947" i="31"/>
  <c r="L947" i="31"/>
  <c r="M947" i="31"/>
  <c r="N947" i="31"/>
  <c r="O947" i="31"/>
  <c r="P947" i="31"/>
  <c r="Q947" i="31"/>
  <c r="R947" i="31"/>
  <c r="S947" i="31"/>
  <c r="T947" i="31"/>
  <c r="I948" i="31"/>
  <c r="J948" i="31"/>
  <c r="K948" i="31"/>
  <c r="L948" i="31"/>
  <c r="M948" i="31"/>
  <c r="N948" i="31"/>
  <c r="O948" i="31"/>
  <c r="P948" i="31"/>
  <c r="Q948" i="31"/>
  <c r="R948" i="31"/>
  <c r="S948" i="31"/>
  <c r="T948" i="31"/>
  <c r="I949" i="31"/>
  <c r="J949" i="31"/>
  <c r="K949" i="31"/>
  <c r="L949" i="31"/>
  <c r="M949" i="31"/>
  <c r="N949" i="31"/>
  <c r="O949" i="31"/>
  <c r="P949" i="31"/>
  <c r="Q949" i="31"/>
  <c r="R949" i="31"/>
  <c r="S949" i="31"/>
  <c r="T949" i="31"/>
  <c r="I950" i="31"/>
  <c r="J950" i="31"/>
  <c r="K950" i="31"/>
  <c r="L950" i="31"/>
  <c r="M950" i="31"/>
  <c r="N950" i="31"/>
  <c r="O950" i="31"/>
  <c r="P950" i="31"/>
  <c r="Q950" i="31"/>
  <c r="R950" i="31"/>
  <c r="S950" i="31"/>
  <c r="T950" i="31"/>
  <c r="I951" i="31"/>
  <c r="J951" i="31"/>
  <c r="K951" i="31"/>
  <c r="L951" i="31"/>
  <c r="M951" i="31"/>
  <c r="N951" i="31"/>
  <c r="O951" i="31"/>
  <c r="P951" i="31"/>
  <c r="Q951" i="31"/>
  <c r="R951" i="31"/>
  <c r="S951" i="31"/>
  <c r="T951" i="31"/>
  <c r="I952" i="31"/>
  <c r="J952" i="31"/>
  <c r="K952" i="31"/>
  <c r="L952" i="31"/>
  <c r="M952" i="31"/>
  <c r="N952" i="31"/>
  <c r="O952" i="31"/>
  <c r="P952" i="31"/>
  <c r="Q952" i="31"/>
  <c r="R952" i="31"/>
  <c r="S952" i="31"/>
  <c r="T952" i="31"/>
  <c r="I953" i="31"/>
  <c r="J953" i="31"/>
  <c r="K953" i="31"/>
  <c r="L953" i="31"/>
  <c r="M953" i="31"/>
  <c r="N953" i="31"/>
  <c r="O953" i="31"/>
  <c r="P953" i="31"/>
  <c r="Q953" i="31"/>
  <c r="R953" i="31"/>
  <c r="S953" i="31"/>
  <c r="T953" i="31"/>
  <c r="I954" i="31"/>
  <c r="J954" i="31"/>
  <c r="K954" i="31"/>
  <c r="L954" i="31"/>
  <c r="M954" i="31"/>
  <c r="N954" i="31"/>
  <c r="O954" i="31"/>
  <c r="P954" i="31"/>
  <c r="Q954" i="31"/>
  <c r="R954" i="31"/>
  <c r="S954" i="31"/>
  <c r="T954" i="31"/>
  <c r="I955" i="31"/>
  <c r="J955" i="31"/>
  <c r="K955" i="31"/>
  <c r="L955" i="31"/>
  <c r="M955" i="31"/>
  <c r="N955" i="31"/>
  <c r="O955" i="31"/>
  <c r="P955" i="31"/>
  <c r="Q955" i="31"/>
  <c r="R955" i="31"/>
  <c r="S955" i="31"/>
  <c r="T955" i="31"/>
  <c r="I956" i="31"/>
  <c r="J956" i="31"/>
  <c r="K956" i="31"/>
  <c r="L956" i="31"/>
  <c r="M956" i="31"/>
  <c r="N956" i="31"/>
  <c r="O956" i="31"/>
  <c r="P956" i="31"/>
  <c r="Q956" i="31"/>
  <c r="R956" i="31"/>
  <c r="S956" i="31"/>
  <c r="T956" i="31"/>
  <c r="I957" i="31"/>
  <c r="J957" i="31"/>
  <c r="K957" i="31"/>
  <c r="L957" i="31"/>
  <c r="M957" i="31"/>
  <c r="N957" i="31"/>
  <c r="O957" i="31"/>
  <c r="P957" i="31"/>
  <c r="Q957" i="31"/>
  <c r="R957" i="31"/>
  <c r="S957" i="31"/>
  <c r="T957" i="31"/>
  <c r="I958" i="31"/>
  <c r="J958" i="31"/>
  <c r="K958" i="31"/>
  <c r="L958" i="31"/>
  <c r="M958" i="31"/>
  <c r="N958" i="31"/>
  <c r="O958" i="31"/>
  <c r="P958" i="31"/>
  <c r="Q958" i="31"/>
  <c r="R958" i="31"/>
  <c r="S958" i="31"/>
  <c r="T958" i="31"/>
  <c r="I959" i="31"/>
  <c r="J959" i="31"/>
  <c r="K959" i="31"/>
  <c r="L959" i="31"/>
  <c r="M959" i="31"/>
  <c r="N959" i="31"/>
  <c r="O959" i="31"/>
  <c r="P959" i="31"/>
  <c r="Q959" i="31"/>
  <c r="R959" i="31"/>
  <c r="S959" i="31"/>
  <c r="T959" i="31"/>
  <c r="I960" i="31"/>
  <c r="J960" i="31"/>
  <c r="K960" i="31"/>
  <c r="L960" i="31"/>
  <c r="M960" i="31"/>
  <c r="N960" i="31"/>
  <c r="O960" i="31"/>
  <c r="P960" i="31"/>
  <c r="Q960" i="31"/>
  <c r="R960" i="31"/>
  <c r="S960" i="31"/>
  <c r="T960" i="31"/>
  <c r="I961" i="31"/>
  <c r="J961" i="31"/>
  <c r="K961" i="31"/>
  <c r="L961" i="31"/>
  <c r="M961" i="31"/>
  <c r="N961" i="31"/>
  <c r="O961" i="31"/>
  <c r="P961" i="31"/>
  <c r="Q961" i="31"/>
  <c r="R961" i="31"/>
  <c r="S961" i="31"/>
  <c r="T961" i="31"/>
  <c r="I962" i="31"/>
  <c r="J962" i="31"/>
  <c r="K962" i="31"/>
  <c r="L962" i="31"/>
  <c r="M962" i="31"/>
  <c r="N962" i="31"/>
  <c r="O962" i="31"/>
  <c r="P962" i="31"/>
  <c r="Q962" i="31"/>
  <c r="R962" i="31"/>
  <c r="S962" i="31"/>
  <c r="T962" i="31"/>
  <c r="I963" i="31"/>
  <c r="J963" i="31"/>
  <c r="K963" i="31"/>
  <c r="L963" i="31"/>
  <c r="M963" i="31"/>
  <c r="N963" i="31"/>
  <c r="O963" i="31"/>
  <c r="P963" i="31"/>
  <c r="Q963" i="31"/>
  <c r="R963" i="31"/>
  <c r="S963" i="31"/>
  <c r="T963" i="31"/>
  <c r="I964" i="31"/>
  <c r="J964" i="31"/>
  <c r="K964" i="31"/>
  <c r="L964" i="31"/>
  <c r="M964" i="31"/>
  <c r="N964" i="31"/>
  <c r="O964" i="31"/>
  <c r="P964" i="31"/>
  <c r="Q964" i="31"/>
  <c r="R964" i="31"/>
  <c r="S964" i="31"/>
  <c r="T964" i="31"/>
  <c r="I965" i="31"/>
  <c r="J965" i="31"/>
  <c r="K965" i="31"/>
  <c r="L965" i="31"/>
  <c r="M965" i="31"/>
  <c r="N965" i="31"/>
  <c r="O965" i="31"/>
  <c r="P965" i="31"/>
  <c r="Q965" i="31"/>
  <c r="R965" i="31"/>
  <c r="S965" i="31"/>
  <c r="T965" i="31"/>
  <c r="I966" i="31"/>
  <c r="J966" i="31"/>
  <c r="K966" i="31"/>
  <c r="L966" i="31"/>
  <c r="M966" i="31"/>
  <c r="N966" i="31"/>
  <c r="O966" i="31"/>
  <c r="P966" i="31"/>
  <c r="Q966" i="31"/>
  <c r="R966" i="31"/>
  <c r="S966" i="31"/>
  <c r="T966" i="31"/>
  <c r="I967" i="31"/>
  <c r="J967" i="31"/>
  <c r="K967" i="31"/>
  <c r="L967" i="31"/>
  <c r="M967" i="31"/>
  <c r="N967" i="31"/>
  <c r="O967" i="31"/>
  <c r="P967" i="31"/>
  <c r="Q967" i="31"/>
  <c r="R967" i="31"/>
  <c r="S967" i="31"/>
  <c r="T967" i="31"/>
  <c r="I968" i="31"/>
  <c r="J968" i="31"/>
  <c r="K968" i="31"/>
  <c r="L968" i="31"/>
  <c r="M968" i="31"/>
  <c r="N968" i="31"/>
  <c r="O968" i="31"/>
  <c r="P968" i="31"/>
  <c r="Q968" i="31"/>
  <c r="R968" i="31"/>
  <c r="S968" i="31"/>
  <c r="T968" i="31"/>
  <c r="I969" i="31"/>
  <c r="J969" i="31"/>
  <c r="K969" i="31"/>
  <c r="L969" i="31"/>
  <c r="M969" i="31"/>
  <c r="N969" i="31"/>
  <c r="O969" i="31"/>
  <c r="P969" i="31"/>
  <c r="Q969" i="31"/>
  <c r="R969" i="31"/>
  <c r="S969" i="31"/>
  <c r="T969" i="31"/>
  <c r="I970" i="31"/>
  <c r="J970" i="31"/>
  <c r="K970" i="31"/>
  <c r="L970" i="31"/>
  <c r="M970" i="31"/>
  <c r="N970" i="31"/>
  <c r="O970" i="31"/>
  <c r="P970" i="31"/>
  <c r="Q970" i="31"/>
  <c r="R970" i="31"/>
  <c r="S970" i="31"/>
  <c r="T970" i="31"/>
  <c r="I971" i="31"/>
  <c r="J971" i="31"/>
  <c r="K971" i="31"/>
  <c r="L971" i="31"/>
  <c r="M971" i="31"/>
  <c r="N971" i="31"/>
  <c r="O971" i="31"/>
  <c r="P971" i="31"/>
  <c r="Q971" i="31"/>
  <c r="R971" i="31"/>
  <c r="S971" i="31"/>
  <c r="T971" i="31"/>
  <c r="I972" i="31"/>
  <c r="J972" i="31"/>
  <c r="K972" i="31"/>
  <c r="L972" i="31"/>
  <c r="M972" i="31"/>
  <c r="N972" i="31"/>
  <c r="O972" i="31"/>
  <c r="P972" i="31"/>
  <c r="Q972" i="31"/>
  <c r="R972" i="31"/>
  <c r="S972" i="31"/>
  <c r="T972" i="31"/>
  <c r="I973" i="31"/>
  <c r="J973" i="31"/>
  <c r="K973" i="31"/>
  <c r="L973" i="31"/>
  <c r="M973" i="31"/>
  <c r="N973" i="31"/>
  <c r="O973" i="31"/>
  <c r="P973" i="31"/>
  <c r="Q973" i="31"/>
  <c r="R973" i="31"/>
  <c r="S973" i="31"/>
  <c r="T973" i="31"/>
  <c r="I974" i="31"/>
  <c r="J974" i="31"/>
  <c r="K974" i="31"/>
  <c r="L974" i="31"/>
  <c r="M974" i="31"/>
  <c r="N974" i="31"/>
  <c r="O974" i="31"/>
  <c r="P974" i="31"/>
  <c r="Q974" i="31"/>
  <c r="R974" i="31"/>
  <c r="S974" i="31"/>
  <c r="T974" i="31"/>
  <c r="I975" i="31"/>
  <c r="J975" i="31"/>
  <c r="K975" i="31"/>
  <c r="L975" i="31"/>
  <c r="M975" i="31"/>
  <c r="N975" i="31"/>
  <c r="O975" i="31"/>
  <c r="P975" i="31"/>
  <c r="Q975" i="31"/>
  <c r="R975" i="31"/>
  <c r="S975" i="31"/>
  <c r="T975" i="31"/>
  <c r="I976" i="31"/>
  <c r="J976" i="31"/>
  <c r="K976" i="31"/>
  <c r="L976" i="31"/>
  <c r="M976" i="31"/>
  <c r="N976" i="31"/>
  <c r="O976" i="31"/>
  <c r="P976" i="31"/>
  <c r="Q976" i="31"/>
  <c r="R976" i="31"/>
  <c r="S976" i="31"/>
  <c r="T976" i="31"/>
  <c r="I977" i="31"/>
  <c r="J977" i="31"/>
  <c r="K977" i="31"/>
  <c r="L977" i="31"/>
  <c r="M977" i="31"/>
  <c r="N977" i="31"/>
  <c r="O977" i="31"/>
  <c r="P977" i="31"/>
  <c r="Q977" i="31"/>
  <c r="R977" i="31"/>
  <c r="S977" i="31"/>
  <c r="T977" i="31"/>
  <c r="I978" i="31"/>
  <c r="J978" i="31"/>
  <c r="K978" i="31"/>
  <c r="L978" i="31"/>
  <c r="M978" i="31"/>
  <c r="N978" i="31"/>
  <c r="O978" i="31"/>
  <c r="P978" i="31"/>
  <c r="Q978" i="31"/>
  <c r="R978" i="31"/>
  <c r="S978" i="31"/>
  <c r="T978" i="31"/>
  <c r="I979" i="31"/>
  <c r="J979" i="31"/>
  <c r="K979" i="31"/>
  <c r="L979" i="31"/>
  <c r="M979" i="31"/>
  <c r="N979" i="31"/>
  <c r="O979" i="31"/>
  <c r="P979" i="31"/>
  <c r="Q979" i="31"/>
  <c r="R979" i="31"/>
  <c r="S979" i="31"/>
  <c r="T979" i="31"/>
  <c r="I980" i="31"/>
  <c r="J980" i="31"/>
  <c r="K980" i="31"/>
  <c r="L980" i="31"/>
  <c r="M980" i="31"/>
  <c r="N980" i="31"/>
  <c r="O980" i="31"/>
  <c r="P980" i="31"/>
  <c r="Q980" i="31"/>
  <c r="R980" i="31"/>
  <c r="S980" i="31"/>
  <c r="T980" i="31"/>
  <c r="I981" i="31"/>
  <c r="J981" i="31"/>
  <c r="K981" i="31"/>
  <c r="L981" i="31"/>
  <c r="M981" i="31"/>
  <c r="N981" i="31"/>
  <c r="O981" i="31"/>
  <c r="P981" i="31"/>
  <c r="Q981" i="31"/>
  <c r="R981" i="31"/>
  <c r="S981" i="31"/>
  <c r="T981" i="31"/>
  <c r="I982" i="31"/>
  <c r="J982" i="31"/>
  <c r="K982" i="31"/>
  <c r="L982" i="31"/>
  <c r="M982" i="31"/>
  <c r="N982" i="31"/>
  <c r="O982" i="31"/>
  <c r="P982" i="31"/>
  <c r="Q982" i="31"/>
  <c r="R982" i="31"/>
  <c r="S982" i="31"/>
  <c r="T982" i="31"/>
  <c r="I983" i="31"/>
  <c r="J983" i="31"/>
  <c r="K983" i="31"/>
  <c r="L983" i="31"/>
  <c r="M983" i="31"/>
  <c r="N983" i="31"/>
  <c r="O983" i="31"/>
  <c r="P983" i="31"/>
  <c r="Q983" i="31"/>
  <c r="R983" i="31"/>
  <c r="S983" i="31"/>
  <c r="T983" i="31"/>
  <c r="I984" i="31"/>
  <c r="J984" i="31"/>
  <c r="K984" i="31"/>
  <c r="L984" i="31"/>
  <c r="M984" i="31"/>
  <c r="N984" i="31"/>
  <c r="O984" i="31"/>
  <c r="P984" i="31"/>
  <c r="Q984" i="31"/>
  <c r="R984" i="31"/>
  <c r="S984" i="31"/>
  <c r="T984" i="31"/>
  <c r="I985" i="31"/>
  <c r="J985" i="31"/>
  <c r="K985" i="31"/>
  <c r="L985" i="31"/>
  <c r="M985" i="31"/>
  <c r="N985" i="31"/>
  <c r="O985" i="31"/>
  <c r="P985" i="31"/>
  <c r="Q985" i="31"/>
  <c r="R985" i="31"/>
  <c r="S985" i="31"/>
  <c r="T985" i="31"/>
  <c r="I986" i="31"/>
  <c r="J986" i="31"/>
  <c r="K986" i="31"/>
  <c r="L986" i="31"/>
  <c r="M986" i="31"/>
  <c r="N986" i="31"/>
  <c r="O986" i="31"/>
  <c r="P986" i="31"/>
  <c r="Q986" i="31"/>
  <c r="R986" i="31"/>
  <c r="S986" i="31"/>
  <c r="T986" i="31"/>
  <c r="I987" i="31"/>
  <c r="J987" i="31"/>
  <c r="K987" i="31"/>
  <c r="L987" i="31"/>
  <c r="M987" i="31"/>
  <c r="N987" i="31"/>
  <c r="O987" i="31"/>
  <c r="P987" i="31"/>
  <c r="Q987" i="31"/>
  <c r="R987" i="31"/>
  <c r="S987" i="31"/>
  <c r="T987" i="31"/>
  <c r="I988" i="31"/>
  <c r="J988" i="31"/>
  <c r="K988" i="31"/>
  <c r="L988" i="31"/>
  <c r="M988" i="31"/>
  <c r="N988" i="31"/>
  <c r="O988" i="31"/>
  <c r="P988" i="31"/>
  <c r="Q988" i="31"/>
  <c r="R988" i="31"/>
  <c r="S988" i="31"/>
  <c r="T988" i="31"/>
  <c r="I989" i="31"/>
  <c r="J989" i="31"/>
  <c r="K989" i="31"/>
  <c r="L989" i="31"/>
  <c r="M989" i="31"/>
  <c r="N989" i="31"/>
  <c r="O989" i="31"/>
  <c r="P989" i="31"/>
  <c r="Q989" i="31"/>
  <c r="R989" i="31"/>
  <c r="S989" i="31"/>
  <c r="T989" i="31"/>
  <c r="I990" i="31"/>
  <c r="J990" i="31"/>
  <c r="K990" i="31"/>
  <c r="L990" i="31"/>
  <c r="M990" i="31"/>
  <c r="N990" i="31"/>
  <c r="O990" i="31"/>
  <c r="P990" i="31"/>
  <c r="Q990" i="31"/>
  <c r="R990" i="31"/>
  <c r="S990" i="31"/>
  <c r="T990" i="31"/>
  <c r="I991" i="31"/>
  <c r="J991" i="31"/>
  <c r="K991" i="31"/>
  <c r="L991" i="31"/>
  <c r="M991" i="31"/>
  <c r="N991" i="31"/>
  <c r="O991" i="31"/>
  <c r="P991" i="31"/>
  <c r="Q991" i="31"/>
  <c r="R991" i="31"/>
  <c r="S991" i="31"/>
  <c r="T991" i="31"/>
  <c r="I992" i="31"/>
  <c r="J992" i="31"/>
  <c r="K992" i="31"/>
  <c r="L992" i="31"/>
  <c r="M992" i="31"/>
  <c r="N992" i="31"/>
  <c r="O992" i="31"/>
  <c r="P992" i="31"/>
  <c r="Q992" i="31"/>
  <c r="R992" i="31"/>
  <c r="S992" i="31"/>
  <c r="T992" i="31"/>
  <c r="I993" i="31"/>
  <c r="J993" i="31"/>
  <c r="K993" i="31"/>
  <c r="L993" i="31"/>
  <c r="M993" i="31"/>
  <c r="N993" i="31"/>
  <c r="O993" i="31"/>
  <c r="P993" i="31"/>
  <c r="Q993" i="31"/>
  <c r="R993" i="31"/>
  <c r="S993" i="31"/>
  <c r="T993" i="31"/>
  <c r="I994" i="31"/>
  <c r="J994" i="31"/>
  <c r="K994" i="31"/>
  <c r="L994" i="31"/>
  <c r="M994" i="31"/>
  <c r="N994" i="31"/>
  <c r="O994" i="31"/>
  <c r="P994" i="31"/>
  <c r="Q994" i="31"/>
  <c r="R994" i="31"/>
  <c r="S994" i="31"/>
  <c r="T994" i="31"/>
  <c r="I995" i="31"/>
  <c r="J995" i="31"/>
  <c r="K995" i="31"/>
  <c r="L995" i="31"/>
  <c r="M995" i="31"/>
  <c r="N995" i="31"/>
  <c r="O995" i="31"/>
  <c r="P995" i="31"/>
  <c r="Q995" i="31"/>
  <c r="R995" i="31"/>
  <c r="S995" i="31"/>
  <c r="T995" i="31"/>
  <c r="I996" i="31"/>
  <c r="J996" i="31"/>
  <c r="K996" i="31"/>
  <c r="L996" i="31"/>
  <c r="M996" i="31"/>
  <c r="N996" i="31"/>
  <c r="O996" i="31"/>
  <c r="P996" i="31"/>
  <c r="Q996" i="31"/>
  <c r="R996" i="31"/>
  <c r="S996" i="31"/>
  <c r="T996" i="31"/>
  <c r="I997" i="31"/>
  <c r="J997" i="31"/>
  <c r="K997" i="31"/>
  <c r="L997" i="31"/>
  <c r="M997" i="31"/>
  <c r="N997" i="31"/>
  <c r="O997" i="31"/>
  <c r="P997" i="31"/>
  <c r="Q997" i="31"/>
  <c r="R997" i="31"/>
  <c r="S997" i="31"/>
  <c r="T997" i="31"/>
  <c r="I998" i="31"/>
  <c r="J998" i="31"/>
  <c r="K998" i="31"/>
  <c r="L998" i="31"/>
  <c r="M998" i="31"/>
  <c r="N998" i="31"/>
  <c r="O998" i="31"/>
  <c r="P998" i="31"/>
  <c r="Q998" i="31"/>
  <c r="R998" i="31"/>
  <c r="S998" i="31"/>
  <c r="T998" i="31"/>
  <c r="I999" i="31"/>
  <c r="J999" i="31"/>
  <c r="K999" i="31"/>
  <c r="L999" i="31"/>
  <c r="M999" i="31"/>
  <c r="N999" i="31"/>
  <c r="O999" i="31"/>
  <c r="P999" i="31"/>
  <c r="Q999" i="31"/>
  <c r="R999" i="31"/>
  <c r="S999" i="31"/>
  <c r="T999" i="31"/>
  <c r="I1000" i="31"/>
  <c r="J1000" i="31"/>
  <c r="K1000" i="31"/>
  <c r="L1000" i="31"/>
  <c r="M1000" i="31"/>
  <c r="N1000" i="31"/>
  <c r="O1000" i="31"/>
  <c r="P1000" i="31"/>
  <c r="Q1000" i="31"/>
  <c r="R1000" i="31"/>
  <c r="S1000" i="31"/>
  <c r="T1000" i="31"/>
  <c r="I1001" i="31"/>
  <c r="J1001" i="31"/>
  <c r="K1001" i="31"/>
  <c r="L1001" i="31"/>
  <c r="M1001" i="31"/>
  <c r="N1001" i="31"/>
  <c r="O1001" i="31"/>
  <c r="P1001" i="31"/>
  <c r="Q1001" i="31"/>
  <c r="R1001" i="31"/>
  <c r="S1001" i="31"/>
  <c r="T1001" i="31"/>
  <c r="I1002" i="31"/>
  <c r="J1002" i="31"/>
  <c r="K1002" i="31"/>
  <c r="L1002" i="31"/>
  <c r="M1002" i="31"/>
  <c r="N1002" i="31"/>
  <c r="O1002" i="31"/>
  <c r="P1002" i="31"/>
  <c r="Q1002" i="31"/>
  <c r="R1002" i="31"/>
  <c r="S1002" i="31"/>
  <c r="T1002" i="31"/>
  <c r="I1003" i="31"/>
  <c r="J1003" i="31"/>
  <c r="K1003" i="31"/>
  <c r="L1003" i="31"/>
  <c r="M1003" i="31"/>
  <c r="N1003" i="31"/>
  <c r="O1003" i="31"/>
  <c r="P1003" i="31"/>
  <c r="Q1003" i="31"/>
  <c r="R1003" i="31"/>
  <c r="S1003" i="31"/>
  <c r="T1003" i="31"/>
  <c r="I1004" i="31"/>
  <c r="J1004" i="31"/>
  <c r="K1004" i="31"/>
  <c r="L1004" i="31"/>
  <c r="M1004" i="31"/>
  <c r="N1004" i="31"/>
  <c r="O1004" i="31"/>
  <c r="P1004" i="31"/>
  <c r="Q1004" i="31"/>
  <c r="R1004" i="31"/>
  <c r="S1004" i="31"/>
  <c r="T1004" i="31"/>
  <c r="I1005" i="31"/>
  <c r="J1005" i="31"/>
  <c r="K1005" i="31"/>
  <c r="L1005" i="31"/>
  <c r="M1005" i="31"/>
  <c r="N1005" i="31"/>
  <c r="O1005" i="31"/>
  <c r="P1005" i="31"/>
  <c r="Q1005" i="31"/>
  <c r="R1005" i="31"/>
  <c r="S1005" i="31"/>
  <c r="T1005" i="31"/>
  <c r="I1006" i="31"/>
  <c r="J1006" i="31"/>
  <c r="K1006" i="31"/>
  <c r="L1006" i="31"/>
  <c r="M1006" i="31"/>
  <c r="N1006" i="31"/>
  <c r="O1006" i="31"/>
  <c r="P1006" i="31"/>
  <c r="Q1006" i="31"/>
  <c r="R1006" i="31"/>
  <c r="S1006" i="31"/>
  <c r="T1006" i="31"/>
  <c r="I1007" i="31"/>
  <c r="J1007" i="31"/>
  <c r="K1007" i="31"/>
  <c r="L1007" i="31"/>
  <c r="M1007" i="31"/>
  <c r="N1007" i="31"/>
  <c r="O1007" i="31"/>
  <c r="P1007" i="31"/>
  <c r="Q1007" i="31"/>
  <c r="R1007" i="31"/>
  <c r="S1007" i="31"/>
  <c r="T1007" i="31"/>
  <c r="I1008" i="31"/>
  <c r="J1008" i="31"/>
  <c r="K1008" i="31"/>
  <c r="L1008" i="31"/>
  <c r="M1008" i="31"/>
  <c r="N1008" i="31"/>
  <c r="O1008" i="31"/>
  <c r="P1008" i="31"/>
  <c r="Q1008" i="31"/>
  <c r="R1008" i="31"/>
  <c r="S1008" i="31"/>
  <c r="T1008" i="31"/>
  <c r="I1009" i="31"/>
  <c r="J1009" i="31"/>
  <c r="K1009" i="31"/>
  <c r="L1009" i="31"/>
  <c r="M1009" i="31"/>
  <c r="N1009" i="31"/>
  <c r="O1009" i="31"/>
  <c r="P1009" i="31"/>
  <c r="Q1009" i="31"/>
  <c r="R1009" i="31"/>
  <c r="S1009" i="31"/>
  <c r="T1009" i="31"/>
  <c r="I1010" i="31"/>
  <c r="J1010" i="31"/>
  <c r="K1010" i="31"/>
  <c r="L1010" i="31"/>
  <c r="M1010" i="31"/>
  <c r="N1010" i="31"/>
  <c r="O1010" i="31"/>
  <c r="P1010" i="31"/>
  <c r="Q1010" i="31"/>
  <c r="R1010" i="31"/>
  <c r="S1010" i="31"/>
  <c r="T1010" i="31"/>
  <c r="I1011" i="31"/>
  <c r="J1011" i="31"/>
  <c r="K1011" i="31"/>
  <c r="L1011" i="31"/>
  <c r="M1011" i="31"/>
  <c r="N1011" i="31"/>
  <c r="O1011" i="31"/>
  <c r="P1011" i="31"/>
  <c r="Q1011" i="31"/>
  <c r="R1011" i="31"/>
  <c r="S1011" i="31"/>
  <c r="T1011" i="31"/>
  <c r="I1012" i="31"/>
  <c r="J1012" i="31"/>
  <c r="K1012" i="31"/>
  <c r="L1012" i="31"/>
  <c r="M1012" i="31"/>
  <c r="N1012" i="31"/>
  <c r="O1012" i="31"/>
  <c r="P1012" i="31"/>
  <c r="Q1012" i="31"/>
  <c r="R1012" i="31"/>
  <c r="S1012" i="31"/>
  <c r="T1012" i="31"/>
  <c r="I1013" i="31"/>
  <c r="J1013" i="31"/>
  <c r="K1013" i="31"/>
  <c r="L1013" i="31"/>
  <c r="M1013" i="31"/>
  <c r="N1013" i="31"/>
  <c r="O1013" i="31"/>
  <c r="P1013" i="31"/>
  <c r="Q1013" i="31"/>
  <c r="R1013" i="31"/>
  <c r="S1013" i="31"/>
  <c r="T1013" i="31"/>
  <c r="I1014" i="31"/>
  <c r="J1014" i="31"/>
  <c r="K1014" i="31"/>
  <c r="L1014" i="31"/>
  <c r="M1014" i="31"/>
  <c r="N1014" i="31"/>
  <c r="O1014" i="31"/>
  <c r="P1014" i="31"/>
  <c r="Q1014" i="31"/>
  <c r="R1014" i="31"/>
  <c r="S1014" i="31"/>
  <c r="T1014" i="31"/>
  <c r="I1015" i="31"/>
  <c r="J1015" i="31"/>
  <c r="K1015" i="31"/>
  <c r="L1015" i="31"/>
  <c r="M1015" i="31"/>
  <c r="N1015" i="31"/>
  <c r="O1015" i="31"/>
  <c r="P1015" i="31"/>
  <c r="Q1015" i="31"/>
  <c r="R1015" i="31"/>
  <c r="S1015" i="31"/>
  <c r="T1015" i="31"/>
  <c r="I1016" i="31"/>
  <c r="J1016" i="31"/>
  <c r="K1016" i="31"/>
  <c r="L1016" i="31"/>
  <c r="M1016" i="31"/>
  <c r="N1016" i="31"/>
  <c r="O1016" i="31"/>
  <c r="P1016" i="31"/>
  <c r="Q1016" i="31"/>
  <c r="R1016" i="31"/>
  <c r="S1016" i="31"/>
  <c r="T1016" i="31"/>
  <c r="I1017" i="31"/>
  <c r="J1017" i="31"/>
  <c r="K1017" i="31"/>
  <c r="L1017" i="31"/>
  <c r="M1017" i="31"/>
  <c r="N1017" i="31"/>
  <c r="O1017" i="31"/>
  <c r="P1017" i="31"/>
  <c r="Q1017" i="31"/>
  <c r="R1017" i="31"/>
  <c r="S1017" i="31"/>
  <c r="T1017" i="31"/>
  <c r="I1018" i="31"/>
  <c r="J1018" i="31"/>
  <c r="K1018" i="31"/>
  <c r="L1018" i="31"/>
  <c r="M1018" i="31"/>
  <c r="N1018" i="31"/>
  <c r="O1018" i="31"/>
  <c r="P1018" i="31"/>
  <c r="Q1018" i="31"/>
  <c r="R1018" i="31"/>
  <c r="S1018" i="31"/>
  <c r="T1018" i="31"/>
  <c r="I1019" i="31"/>
  <c r="J1019" i="31"/>
  <c r="K1019" i="31"/>
  <c r="L1019" i="31"/>
  <c r="M1019" i="31"/>
  <c r="N1019" i="31"/>
  <c r="O1019" i="31"/>
  <c r="P1019" i="31"/>
  <c r="Q1019" i="31"/>
  <c r="R1019" i="31"/>
  <c r="S1019" i="31"/>
  <c r="T1019" i="31"/>
  <c r="I1020" i="31"/>
  <c r="J1020" i="31"/>
  <c r="K1020" i="31"/>
  <c r="L1020" i="31"/>
  <c r="M1020" i="31"/>
  <c r="N1020" i="31"/>
  <c r="O1020" i="31"/>
  <c r="P1020" i="31"/>
  <c r="Q1020" i="31"/>
  <c r="R1020" i="31"/>
  <c r="S1020" i="31"/>
  <c r="T1020" i="31"/>
  <c r="I1021" i="31"/>
  <c r="J1021" i="31"/>
  <c r="K1021" i="31"/>
  <c r="L1021" i="31"/>
  <c r="M1021" i="31"/>
  <c r="N1021" i="31"/>
  <c r="O1021" i="31"/>
  <c r="P1021" i="31"/>
  <c r="Q1021" i="31"/>
  <c r="R1021" i="31"/>
  <c r="S1021" i="31"/>
  <c r="T1021" i="31"/>
  <c r="I1022" i="31"/>
  <c r="J1022" i="31"/>
  <c r="K1022" i="31"/>
  <c r="L1022" i="31"/>
  <c r="M1022" i="31"/>
  <c r="N1022" i="31"/>
  <c r="O1022" i="31"/>
  <c r="P1022" i="31"/>
  <c r="Q1022" i="31"/>
  <c r="R1022" i="31"/>
  <c r="S1022" i="31"/>
  <c r="T1022" i="31"/>
  <c r="I1023" i="31"/>
  <c r="J1023" i="31"/>
  <c r="K1023" i="31"/>
  <c r="L1023" i="31"/>
  <c r="M1023" i="31"/>
  <c r="N1023" i="31"/>
  <c r="O1023" i="31"/>
  <c r="P1023" i="31"/>
  <c r="Q1023" i="31"/>
  <c r="R1023" i="31"/>
  <c r="S1023" i="31"/>
  <c r="T1023" i="31"/>
  <c r="I1024" i="31"/>
  <c r="J1024" i="31"/>
  <c r="K1024" i="31"/>
  <c r="L1024" i="31"/>
  <c r="M1024" i="31"/>
  <c r="N1024" i="31"/>
  <c r="O1024" i="31"/>
  <c r="P1024" i="31"/>
  <c r="Q1024" i="31"/>
  <c r="R1024" i="31"/>
  <c r="S1024" i="31"/>
  <c r="T1024" i="31"/>
  <c r="I1025" i="31"/>
  <c r="J1025" i="31"/>
  <c r="K1025" i="31"/>
  <c r="L1025" i="31"/>
  <c r="M1025" i="31"/>
  <c r="N1025" i="31"/>
  <c r="O1025" i="31"/>
  <c r="P1025" i="31"/>
  <c r="Q1025" i="31"/>
  <c r="R1025" i="31"/>
  <c r="S1025" i="31"/>
  <c r="T1025" i="31"/>
  <c r="I1026" i="31"/>
  <c r="J1026" i="31"/>
  <c r="K1026" i="31"/>
  <c r="L1026" i="31"/>
  <c r="M1026" i="31"/>
  <c r="N1026" i="31"/>
  <c r="O1026" i="31"/>
  <c r="P1026" i="31"/>
  <c r="Q1026" i="31"/>
  <c r="R1026" i="31"/>
  <c r="S1026" i="31"/>
  <c r="T1026" i="31"/>
  <c r="I1027" i="31"/>
  <c r="J1027" i="31"/>
  <c r="K1027" i="31"/>
  <c r="L1027" i="31"/>
  <c r="M1027" i="31"/>
  <c r="N1027" i="31"/>
  <c r="O1027" i="31"/>
  <c r="P1027" i="31"/>
  <c r="Q1027" i="31"/>
  <c r="R1027" i="31"/>
  <c r="S1027" i="31"/>
  <c r="T1027" i="31"/>
  <c r="I1028" i="31"/>
  <c r="J1028" i="31"/>
  <c r="K1028" i="31"/>
  <c r="L1028" i="31"/>
  <c r="M1028" i="31"/>
  <c r="N1028" i="31"/>
  <c r="O1028" i="31"/>
  <c r="P1028" i="31"/>
  <c r="Q1028" i="31"/>
  <c r="R1028" i="31"/>
  <c r="S1028" i="31"/>
  <c r="T1028" i="31"/>
  <c r="I1029" i="31"/>
  <c r="J1029" i="31"/>
  <c r="K1029" i="31"/>
  <c r="L1029" i="31"/>
  <c r="M1029" i="31"/>
  <c r="N1029" i="31"/>
  <c r="O1029" i="31"/>
  <c r="P1029" i="31"/>
  <c r="Q1029" i="31"/>
  <c r="R1029" i="31"/>
  <c r="S1029" i="31"/>
  <c r="T1029" i="31"/>
  <c r="I1030" i="31"/>
  <c r="J1030" i="31"/>
  <c r="K1030" i="31"/>
  <c r="L1030" i="31"/>
  <c r="M1030" i="31"/>
  <c r="N1030" i="31"/>
  <c r="O1030" i="31"/>
  <c r="P1030" i="31"/>
  <c r="Q1030" i="31"/>
  <c r="R1030" i="31"/>
  <c r="S1030" i="31"/>
  <c r="T1030" i="31"/>
  <c r="I1031" i="31"/>
  <c r="J1031" i="31"/>
  <c r="K1031" i="31"/>
  <c r="L1031" i="31"/>
  <c r="M1031" i="31"/>
  <c r="N1031" i="31"/>
  <c r="O1031" i="31"/>
  <c r="P1031" i="31"/>
  <c r="Q1031" i="31"/>
  <c r="R1031" i="31"/>
  <c r="S1031" i="31"/>
  <c r="T1031" i="31"/>
  <c r="I1032" i="31"/>
  <c r="J1032" i="31"/>
  <c r="K1032" i="31"/>
  <c r="L1032" i="31"/>
  <c r="M1032" i="31"/>
  <c r="N1032" i="31"/>
  <c r="O1032" i="31"/>
  <c r="P1032" i="31"/>
  <c r="Q1032" i="31"/>
  <c r="R1032" i="31"/>
  <c r="S1032" i="31"/>
  <c r="T1032" i="31"/>
  <c r="I1033" i="31"/>
  <c r="J1033" i="31"/>
  <c r="K1033" i="31"/>
  <c r="L1033" i="31"/>
  <c r="M1033" i="31"/>
  <c r="N1033" i="31"/>
  <c r="O1033" i="31"/>
  <c r="P1033" i="31"/>
  <c r="Q1033" i="31"/>
  <c r="R1033" i="31"/>
  <c r="S1033" i="31"/>
  <c r="T1033" i="31"/>
  <c r="I1034" i="31"/>
  <c r="J1034" i="31"/>
  <c r="K1034" i="31"/>
  <c r="L1034" i="31"/>
  <c r="M1034" i="31"/>
  <c r="N1034" i="31"/>
  <c r="O1034" i="31"/>
  <c r="P1034" i="31"/>
  <c r="Q1034" i="31"/>
  <c r="R1034" i="31"/>
  <c r="S1034" i="31"/>
  <c r="T1034" i="31"/>
  <c r="I1035" i="31"/>
  <c r="J1035" i="31"/>
  <c r="K1035" i="31"/>
  <c r="L1035" i="31"/>
  <c r="M1035" i="31"/>
  <c r="N1035" i="31"/>
  <c r="O1035" i="31"/>
  <c r="P1035" i="31"/>
  <c r="Q1035" i="31"/>
  <c r="R1035" i="31"/>
  <c r="S1035" i="31"/>
  <c r="T1035" i="31"/>
  <c r="I1036" i="31"/>
  <c r="J1036" i="31"/>
  <c r="K1036" i="31"/>
  <c r="L1036" i="31"/>
  <c r="M1036" i="31"/>
  <c r="N1036" i="31"/>
  <c r="O1036" i="31"/>
  <c r="P1036" i="31"/>
  <c r="Q1036" i="31"/>
  <c r="R1036" i="31"/>
  <c r="S1036" i="31"/>
  <c r="T1036" i="31"/>
  <c r="I1037" i="31"/>
  <c r="J1037" i="31"/>
  <c r="K1037" i="31"/>
  <c r="L1037" i="31"/>
  <c r="M1037" i="31"/>
  <c r="N1037" i="31"/>
  <c r="O1037" i="31"/>
  <c r="P1037" i="31"/>
  <c r="Q1037" i="31"/>
  <c r="R1037" i="31"/>
  <c r="S1037" i="31"/>
  <c r="T1037" i="31"/>
  <c r="I1038" i="31"/>
  <c r="J1038" i="31"/>
  <c r="K1038" i="31"/>
  <c r="L1038" i="31"/>
  <c r="M1038" i="31"/>
  <c r="N1038" i="31"/>
  <c r="O1038" i="31"/>
  <c r="P1038" i="31"/>
  <c r="Q1038" i="31"/>
  <c r="R1038" i="31"/>
  <c r="S1038" i="31"/>
  <c r="T1038" i="31"/>
  <c r="I1039" i="31"/>
  <c r="J1039" i="31"/>
  <c r="K1039" i="31"/>
  <c r="L1039" i="31"/>
  <c r="M1039" i="31"/>
  <c r="N1039" i="31"/>
  <c r="O1039" i="31"/>
  <c r="P1039" i="31"/>
  <c r="Q1039" i="31"/>
  <c r="R1039" i="31"/>
  <c r="S1039" i="31"/>
  <c r="T1039" i="31"/>
  <c r="I1040" i="31"/>
  <c r="J1040" i="31"/>
  <c r="K1040" i="31"/>
  <c r="L1040" i="31"/>
  <c r="M1040" i="31"/>
  <c r="N1040" i="31"/>
  <c r="O1040" i="31"/>
  <c r="P1040" i="31"/>
  <c r="Q1040" i="31"/>
  <c r="R1040" i="31"/>
  <c r="S1040" i="31"/>
  <c r="T1040" i="31"/>
  <c r="I1041" i="31"/>
  <c r="J1041" i="31"/>
  <c r="K1041" i="31"/>
  <c r="L1041" i="31"/>
  <c r="M1041" i="31"/>
  <c r="N1041" i="31"/>
  <c r="O1041" i="31"/>
  <c r="P1041" i="31"/>
  <c r="Q1041" i="31"/>
  <c r="R1041" i="31"/>
  <c r="S1041" i="31"/>
  <c r="T1041" i="31"/>
  <c r="I1042" i="31"/>
  <c r="J1042" i="31"/>
  <c r="K1042" i="31"/>
  <c r="L1042" i="31"/>
  <c r="M1042" i="31"/>
  <c r="N1042" i="31"/>
  <c r="O1042" i="31"/>
  <c r="P1042" i="31"/>
  <c r="Q1042" i="31"/>
  <c r="R1042" i="31"/>
  <c r="S1042" i="31"/>
  <c r="T1042" i="31"/>
  <c r="I1043" i="31"/>
  <c r="J1043" i="31"/>
  <c r="K1043" i="31"/>
  <c r="L1043" i="31"/>
  <c r="M1043" i="31"/>
  <c r="N1043" i="31"/>
  <c r="O1043" i="31"/>
  <c r="P1043" i="31"/>
  <c r="Q1043" i="31"/>
  <c r="R1043" i="31"/>
  <c r="S1043" i="31"/>
  <c r="T1043" i="31"/>
  <c r="I1044" i="31"/>
  <c r="J1044" i="31"/>
  <c r="K1044" i="31"/>
  <c r="L1044" i="31"/>
  <c r="M1044" i="31"/>
  <c r="N1044" i="31"/>
  <c r="O1044" i="31"/>
  <c r="P1044" i="31"/>
  <c r="Q1044" i="31"/>
  <c r="R1044" i="31"/>
  <c r="S1044" i="31"/>
  <c r="T1044" i="31"/>
  <c r="I1045" i="31"/>
  <c r="J1045" i="31"/>
  <c r="K1045" i="31"/>
  <c r="L1045" i="31"/>
  <c r="M1045" i="31"/>
  <c r="N1045" i="31"/>
  <c r="O1045" i="31"/>
  <c r="P1045" i="31"/>
  <c r="Q1045" i="31"/>
  <c r="R1045" i="31"/>
  <c r="S1045" i="31"/>
  <c r="T1045" i="31"/>
  <c r="I1046" i="31"/>
  <c r="J1046" i="31"/>
  <c r="K1046" i="31"/>
  <c r="L1046" i="31"/>
  <c r="M1046" i="31"/>
  <c r="N1046" i="31"/>
  <c r="O1046" i="31"/>
  <c r="P1046" i="31"/>
  <c r="Q1046" i="31"/>
  <c r="R1046" i="31"/>
  <c r="S1046" i="31"/>
  <c r="T1046" i="31"/>
  <c r="I1047" i="31"/>
  <c r="J1047" i="31"/>
  <c r="K1047" i="31"/>
  <c r="L1047" i="31"/>
  <c r="M1047" i="31"/>
  <c r="N1047" i="31"/>
  <c r="O1047" i="31"/>
  <c r="P1047" i="31"/>
  <c r="Q1047" i="31"/>
  <c r="R1047" i="31"/>
  <c r="S1047" i="31"/>
  <c r="T1047" i="31"/>
  <c r="I1048" i="31"/>
  <c r="J1048" i="31"/>
  <c r="K1048" i="31"/>
  <c r="L1048" i="31"/>
  <c r="M1048" i="31"/>
  <c r="N1048" i="31"/>
  <c r="O1048" i="31"/>
  <c r="P1048" i="31"/>
  <c r="Q1048" i="31"/>
  <c r="R1048" i="31"/>
  <c r="S1048" i="31"/>
  <c r="T1048" i="31"/>
  <c r="I1049" i="31"/>
  <c r="J1049" i="31"/>
  <c r="K1049" i="31"/>
  <c r="L1049" i="31"/>
  <c r="M1049" i="31"/>
  <c r="N1049" i="31"/>
  <c r="O1049" i="31"/>
  <c r="P1049" i="31"/>
  <c r="Q1049" i="31"/>
  <c r="R1049" i="31"/>
  <c r="S1049" i="31"/>
  <c r="T1049" i="31"/>
  <c r="I1050" i="31"/>
  <c r="J1050" i="31"/>
  <c r="K1050" i="31"/>
  <c r="L1050" i="31"/>
  <c r="M1050" i="31"/>
  <c r="N1050" i="31"/>
  <c r="O1050" i="31"/>
  <c r="P1050" i="31"/>
  <c r="Q1050" i="31"/>
  <c r="R1050" i="31"/>
  <c r="S1050" i="31"/>
  <c r="T1050" i="31"/>
  <c r="I1051" i="31"/>
  <c r="J1051" i="31"/>
  <c r="K1051" i="31"/>
  <c r="L1051" i="31"/>
  <c r="M1051" i="31"/>
  <c r="N1051" i="31"/>
  <c r="O1051" i="31"/>
  <c r="P1051" i="31"/>
  <c r="Q1051" i="31"/>
  <c r="R1051" i="31"/>
  <c r="S1051" i="31"/>
  <c r="T1051" i="31"/>
  <c r="I1052" i="31"/>
  <c r="J1052" i="31"/>
  <c r="K1052" i="31"/>
  <c r="L1052" i="31"/>
  <c r="M1052" i="31"/>
  <c r="N1052" i="31"/>
  <c r="O1052" i="31"/>
  <c r="P1052" i="31"/>
  <c r="Q1052" i="31"/>
  <c r="R1052" i="31"/>
  <c r="S1052" i="31"/>
  <c r="T1052" i="31"/>
  <c r="I1053" i="31"/>
  <c r="J1053" i="31"/>
  <c r="K1053" i="31"/>
  <c r="L1053" i="31"/>
  <c r="M1053" i="31"/>
  <c r="N1053" i="31"/>
  <c r="O1053" i="31"/>
  <c r="P1053" i="31"/>
  <c r="Q1053" i="31"/>
  <c r="R1053" i="31"/>
  <c r="S1053" i="31"/>
  <c r="T1053" i="31"/>
  <c r="I1054" i="31"/>
  <c r="J1054" i="31"/>
  <c r="K1054" i="31"/>
  <c r="L1054" i="31"/>
  <c r="M1054" i="31"/>
  <c r="N1054" i="31"/>
  <c r="O1054" i="31"/>
  <c r="P1054" i="31"/>
  <c r="Q1054" i="31"/>
  <c r="R1054" i="31"/>
  <c r="S1054" i="31"/>
  <c r="T1054" i="31"/>
  <c r="I1055" i="31"/>
  <c r="J1055" i="31"/>
  <c r="K1055" i="31"/>
  <c r="L1055" i="31"/>
  <c r="M1055" i="31"/>
  <c r="N1055" i="31"/>
  <c r="O1055" i="31"/>
  <c r="P1055" i="31"/>
  <c r="Q1055" i="31"/>
  <c r="R1055" i="31"/>
  <c r="S1055" i="31"/>
  <c r="T1055" i="31"/>
  <c r="I1056" i="31"/>
  <c r="J1056" i="31"/>
  <c r="K1056" i="31"/>
  <c r="L1056" i="31"/>
  <c r="M1056" i="31"/>
  <c r="N1056" i="31"/>
  <c r="O1056" i="31"/>
  <c r="P1056" i="31"/>
  <c r="Q1056" i="31"/>
  <c r="R1056" i="31"/>
  <c r="S1056" i="31"/>
  <c r="T1056" i="31"/>
  <c r="I1057" i="31"/>
  <c r="J1057" i="31"/>
  <c r="K1057" i="31"/>
  <c r="L1057" i="31"/>
  <c r="M1057" i="31"/>
  <c r="N1057" i="31"/>
  <c r="O1057" i="31"/>
  <c r="P1057" i="31"/>
  <c r="Q1057" i="31"/>
  <c r="R1057" i="31"/>
  <c r="S1057" i="31"/>
  <c r="T1057" i="31"/>
  <c r="I1058" i="31"/>
  <c r="J1058" i="31"/>
  <c r="K1058" i="31"/>
  <c r="L1058" i="31"/>
  <c r="M1058" i="31"/>
  <c r="N1058" i="31"/>
  <c r="O1058" i="31"/>
  <c r="P1058" i="31"/>
  <c r="Q1058" i="31"/>
  <c r="R1058" i="31"/>
  <c r="S1058" i="31"/>
  <c r="T1058" i="31"/>
  <c r="I1059" i="31"/>
  <c r="J1059" i="31"/>
  <c r="K1059" i="31"/>
  <c r="L1059" i="31"/>
  <c r="M1059" i="31"/>
  <c r="N1059" i="31"/>
  <c r="O1059" i="31"/>
  <c r="P1059" i="31"/>
  <c r="Q1059" i="31"/>
  <c r="R1059" i="31"/>
  <c r="S1059" i="31"/>
  <c r="T1059" i="31"/>
  <c r="I1060" i="31"/>
  <c r="J1060" i="31"/>
  <c r="K1060" i="31"/>
  <c r="L1060" i="31"/>
  <c r="M1060" i="31"/>
  <c r="N1060" i="31"/>
  <c r="O1060" i="31"/>
  <c r="P1060" i="31"/>
  <c r="Q1060" i="31"/>
  <c r="R1060" i="31"/>
  <c r="S1060" i="31"/>
  <c r="T1060" i="31"/>
  <c r="I1061" i="31"/>
  <c r="J1061" i="31"/>
  <c r="K1061" i="31"/>
  <c r="L1061" i="31"/>
  <c r="M1061" i="31"/>
  <c r="N1061" i="31"/>
  <c r="O1061" i="31"/>
  <c r="P1061" i="31"/>
  <c r="Q1061" i="31"/>
  <c r="R1061" i="31"/>
  <c r="S1061" i="31"/>
  <c r="T1061" i="31"/>
  <c r="I1062" i="31"/>
  <c r="J1062" i="31"/>
  <c r="K1062" i="31"/>
  <c r="L1062" i="31"/>
  <c r="M1062" i="31"/>
  <c r="N1062" i="31"/>
  <c r="O1062" i="31"/>
  <c r="P1062" i="31"/>
  <c r="Q1062" i="31"/>
  <c r="R1062" i="31"/>
  <c r="S1062" i="31"/>
  <c r="T1062" i="31"/>
  <c r="I1063" i="31"/>
  <c r="J1063" i="31"/>
  <c r="K1063" i="31"/>
  <c r="L1063" i="31"/>
  <c r="M1063" i="31"/>
  <c r="N1063" i="31"/>
  <c r="O1063" i="31"/>
  <c r="P1063" i="31"/>
  <c r="Q1063" i="31"/>
  <c r="R1063" i="31"/>
  <c r="S1063" i="31"/>
  <c r="T1063" i="31"/>
  <c r="I1064" i="31"/>
  <c r="J1064" i="31"/>
  <c r="K1064" i="31"/>
  <c r="L1064" i="31"/>
  <c r="M1064" i="31"/>
  <c r="N1064" i="31"/>
  <c r="O1064" i="31"/>
  <c r="P1064" i="31"/>
  <c r="Q1064" i="31"/>
  <c r="R1064" i="31"/>
  <c r="S1064" i="31"/>
  <c r="T1064" i="31"/>
  <c r="I1065" i="31"/>
  <c r="J1065" i="31"/>
  <c r="K1065" i="31"/>
  <c r="L1065" i="31"/>
  <c r="M1065" i="31"/>
  <c r="N1065" i="31"/>
  <c r="O1065" i="31"/>
  <c r="P1065" i="31"/>
  <c r="Q1065" i="31"/>
  <c r="R1065" i="31"/>
  <c r="S1065" i="31"/>
  <c r="T1065" i="31"/>
  <c r="I1066" i="31"/>
  <c r="J1066" i="31"/>
  <c r="K1066" i="31"/>
  <c r="L1066" i="31"/>
  <c r="M1066" i="31"/>
  <c r="N1066" i="31"/>
  <c r="O1066" i="31"/>
  <c r="P1066" i="31"/>
  <c r="Q1066" i="31"/>
  <c r="R1066" i="31"/>
  <c r="S1066" i="31"/>
  <c r="T1066" i="31"/>
  <c r="I1067" i="31"/>
  <c r="J1067" i="31"/>
  <c r="K1067" i="31"/>
  <c r="L1067" i="31"/>
  <c r="M1067" i="31"/>
  <c r="N1067" i="31"/>
  <c r="O1067" i="31"/>
  <c r="P1067" i="31"/>
  <c r="Q1067" i="31"/>
  <c r="R1067" i="31"/>
  <c r="S1067" i="31"/>
  <c r="T1067" i="31"/>
  <c r="I1068" i="31"/>
  <c r="J1068" i="31"/>
  <c r="K1068" i="31"/>
  <c r="L1068" i="31"/>
  <c r="M1068" i="31"/>
  <c r="N1068" i="31"/>
  <c r="O1068" i="31"/>
  <c r="P1068" i="31"/>
  <c r="Q1068" i="31"/>
  <c r="R1068" i="31"/>
  <c r="S1068" i="31"/>
  <c r="T1068" i="31"/>
  <c r="I1069" i="31"/>
  <c r="J1069" i="31"/>
  <c r="K1069" i="31"/>
  <c r="L1069" i="31"/>
  <c r="M1069" i="31"/>
  <c r="N1069" i="31"/>
  <c r="O1069" i="31"/>
  <c r="P1069" i="31"/>
  <c r="Q1069" i="31"/>
  <c r="R1069" i="31"/>
  <c r="S1069" i="31"/>
  <c r="T1069" i="31"/>
  <c r="I1070" i="31"/>
  <c r="J1070" i="31"/>
  <c r="K1070" i="31"/>
  <c r="L1070" i="31"/>
  <c r="M1070" i="31"/>
  <c r="N1070" i="31"/>
  <c r="O1070" i="31"/>
  <c r="P1070" i="31"/>
  <c r="Q1070" i="31"/>
  <c r="R1070" i="31"/>
  <c r="S1070" i="31"/>
  <c r="T1070" i="31"/>
  <c r="I1071" i="31"/>
  <c r="J1071" i="31"/>
  <c r="K1071" i="31"/>
  <c r="L1071" i="31"/>
  <c r="M1071" i="31"/>
  <c r="N1071" i="31"/>
  <c r="O1071" i="31"/>
  <c r="P1071" i="31"/>
  <c r="Q1071" i="31"/>
  <c r="R1071" i="31"/>
  <c r="S1071" i="31"/>
  <c r="T1071" i="31"/>
  <c r="I1072" i="31"/>
  <c r="J1072" i="31"/>
  <c r="K1072" i="31"/>
  <c r="L1072" i="31"/>
  <c r="M1072" i="31"/>
  <c r="N1072" i="31"/>
  <c r="O1072" i="31"/>
  <c r="P1072" i="31"/>
  <c r="Q1072" i="31"/>
  <c r="R1072" i="31"/>
  <c r="S1072" i="31"/>
  <c r="T1072" i="31"/>
  <c r="I1073" i="31"/>
  <c r="J1073" i="31"/>
  <c r="K1073" i="31"/>
  <c r="L1073" i="31"/>
  <c r="M1073" i="31"/>
  <c r="N1073" i="31"/>
  <c r="O1073" i="31"/>
  <c r="P1073" i="31"/>
  <c r="Q1073" i="31"/>
  <c r="R1073" i="31"/>
  <c r="S1073" i="31"/>
  <c r="T1073" i="31"/>
  <c r="I1074" i="31"/>
  <c r="J1074" i="31"/>
  <c r="K1074" i="31"/>
  <c r="L1074" i="31"/>
  <c r="M1074" i="31"/>
  <c r="N1074" i="31"/>
  <c r="O1074" i="31"/>
  <c r="P1074" i="31"/>
  <c r="Q1074" i="31"/>
  <c r="R1074" i="31"/>
  <c r="S1074" i="31"/>
  <c r="T1074" i="31"/>
  <c r="I1075" i="31"/>
  <c r="J1075" i="31"/>
  <c r="K1075" i="31"/>
  <c r="L1075" i="31"/>
  <c r="M1075" i="31"/>
  <c r="N1075" i="31"/>
  <c r="O1075" i="31"/>
  <c r="P1075" i="31"/>
  <c r="Q1075" i="31"/>
  <c r="R1075" i="31"/>
  <c r="S1075" i="31"/>
  <c r="T1075" i="31"/>
  <c r="I1076" i="31"/>
  <c r="J1076" i="31"/>
  <c r="K1076" i="31"/>
  <c r="L1076" i="31"/>
  <c r="M1076" i="31"/>
  <c r="N1076" i="31"/>
  <c r="O1076" i="31"/>
  <c r="P1076" i="31"/>
  <c r="Q1076" i="31"/>
  <c r="R1076" i="31"/>
  <c r="S1076" i="31"/>
  <c r="T1076" i="31"/>
  <c r="I1077" i="31"/>
  <c r="J1077" i="31"/>
  <c r="K1077" i="31"/>
  <c r="L1077" i="31"/>
  <c r="M1077" i="31"/>
  <c r="N1077" i="31"/>
  <c r="O1077" i="31"/>
  <c r="P1077" i="31"/>
  <c r="Q1077" i="31"/>
  <c r="R1077" i="31"/>
  <c r="S1077" i="31"/>
  <c r="T1077" i="31"/>
  <c r="I1078" i="31"/>
  <c r="J1078" i="31"/>
  <c r="K1078" i="31"/>
  <c r="L1078" i="31"/>
  <c r="M1078" i="31"/>
  <c r="N1078" i="31"/>
  <c r="O1078" i="31"/>
  <c r="P1078" i="31"/>
  <c r="Q1078" i="31"/>
  <c r="R1078" i="31"/>
  <c r="S1078" i="31"/>
  <c r="T1078" i="31"/>
  <c r="I1079" i="31"/>
  <c r="J1079" i="31"/>
  <c r="K1079" i="31"/>
  <c r="L1079" i="31"/>
  <c r="M1079" i="31"/>
  <c r="N1079" i="31"/>
  <c r="O1079" i="31"/>
  <c r="P1079" i="31"/>
  <c r="Q1079" i="31"/>
  <c r="R1079" i="31"/>
  <c r="S1079" i="31"/>
  <c r="T1079" i="31"/>
  <c r="I1080" i="31"/>
  <c r="J1080" i="31"/>
  <c r="K1080" i="31"/>
  <c r="L1080" i="31"/>
  <c r="M1080" i="31"/>
  <c r="N1080" i="31"/>
  <c r="O1080" i="31"/>
  <c r="P1080" i="31"/>
  <c r="Q1080" i="31"/>
  <c r="R1080" i="31"/>
  <c r="S1080" i="31"/>
  <c r="T1080" i="31"/>
  <c r="I1081" i="31"/>
  <c r="J1081" i="31"/>
  <c r="K1081" i="31"/>
  <c r="L1081" i="31"/>
  <c r="M1081" i="31"/>
  <c r="N1081" i="31"/>
  <c r="O1081" i="31"/>
  <c r="P1081" i="31"/>
  <c r="Q1081" i="31"/>
  <c r="R1081" i="31"/>
  <c r="S1081" i="31"/>
  <c r="T1081" i="31"/>
  <c r="I1082" i="31"/>
  <c r="J1082" i="31"/>
  <c r="K1082" i="31"/>
  <c r="L1082" i="31"/>
  <c r="M1082" i="31"/>
  <c r="N1082" i="31"/>
  <c r="O1082" i="31"/>
  <c r="P1082" i="31"/>
  <c r="Q1082" i="31"/>
  <c r="R1082" i="31"/>
  <c r="S1082" i="31"/>
  <c r="T1082" i="31"/>
  <c r="I1083" i="31"/>
  <c r="J1083" i="31"/>
  <c r="K1083" i="31"/>
  <c r="L1083" i="31"/>
  <c r="M1083" i="31"/>
  <c r="N1083" i="31"/>
  <c r="O1083" i="31"/>
  <c r="P1083" i="31"/>
  <c r="Q1083" i="31"/>
  <c r="R1083" i="31"/>
  <c r="S1083" i="31"/>
  <c r="T1083" i="31"/>
  <c r="I1084" i="31"/>
  <c r="J1084" i="31"/>
  <c r="K1084" i="31"/>
  <c r="L1084" i="31"/>
  <c r="M1084" i="31"/>
  <c r="N1084" i="31"/>
  <c r="O1084" i="31"/>
  <c r="P1084" i="31"/>
  <c r="Q1084" i="31"/>
  <c r="R1084" i="31"/>
  <c r="S1084" i="31"/>
  <c r="T1084" i="31"/>
  <c r="I1085" i="31"/>
  <c r="J1085" i="31"/>
  <c r="K1085" i="31"/>
  <c r="L1085" i="31"/>
  <c r="M1085" i="31"/>
  <c r="N1085" i="31"/>
  <c r="O1085" i="31"/>
  <c r="P1085" i="31"/>
  <c r="Q1085" i="31"/>
  <c r="R1085" i="31"/>
  <c r="S1085" i="31"/>
  <c r="T1085" i="31"/>
  <c r="I1086" i="31"/>
  <c r="J1086" i="31"/>
  <c r="K1086" i="31"/>
  <c r="L1086" i="31"/>
  <c r="M1086" i="31"/>
  <c r="N1086" i="31"/>
  <c r="O1086" i="31"/>
  <c r="P1086" i="31"/>
  <c r="Q1086" i="31"/>
  <c r="R1086" i="31"/>
  <c r="S1086" i="31"/>
  <c r="T1086" i="31"/>
  <c r="I1087" i="31"/>
  <c r="J1087" i="31"/>
  <c r="K1087" i="31"/>
  <c r="L1087" i="31"/>
  <c r="M1087" i="31"/>
  <c r="N1087" i="31"/>
  <c r="O1087" i="31"/>
  <c r="P1087" i="31"/>
  <c r="Q1087" i="31"/>
  <c r="R1087" i="31"/>
  <c r="S1087" i="31"/>
  <c r="T1087" i="31"/>
  <c r="I1088" i="31"/>
  <c r="J1088" i="31"/>
  <c r="K1088" i="31"/>
  <c r="L1088" i="31"/>
  <c r="M1088" i="31"/>
  <c r="N1088" i="31"/>
  <c r="O1088" i="31"/>
  <c r="P1088" i="31"/>
  <c r="Q1088" i="31"/>
  <c r="R1088" i="31"/>
  <c r="S1088" i="31"/>
  <c r="T1088" i="31"/>
  <c r="I1089" i="31"/>
  <c r="J1089" i="31"/>
  <c r="K1089" i="31"/>
  <c r="L1089" i="31"/>
  <c r="M1089" i="31"/>
  <c r="N1089" i="31"/>
  <c r="O1089" i="31"/>
  <c r="P1089" i="31"/>
  <c r="Q1089" i="31"/>
  <c r="R1089" i="31"/>
  <c r="S1089" i="31"/>
  <c r="T1089" i="31"/>
  <c r="I1090" i="31"/>
  <c r="J1090" i="31"/>
  <c r="K1090" i="31"/>
  <c r="L1090" i="31"/>
  <c r="M1090" i="31"/>
  <c r="N1090" i="31"/>
  <c r="O1090" i="31"/>
  <c r="P1090" i="31"/>
  <c r="Q1090" i="31"/>
  <c r="R1090" i="31"/>
  <c r="S1090" i="31"/>
  <c r="T1090" i="31"/>
  <c r="I1091" i="31"/>
  <c r="J1091" i="31"/>
  <c r="K1091" i="31"/>
  <c r="L1091" i="31"/>
  <c r="M1091" i="31"/>
  <c r="N1091" i="31"/>
  <c r="O1091" i="31"/>
  <c r="P1091" i="31"/>
  <c r="Q1091" i="31"/>
  <c r="R1091" i="31"/>
  <c r="S1091" i="31"/>
  <c r="T1091" i="31"/>
  <c r="I1092" i="31"/>
  <c r="J1092" i="31"/>
  <c r="K1092" i="31"/>
  <c r="L1092" i="31"/>
  <c r="M1092" i="31"/>
  <c r="N1092" i="31"/>
  <c r="O1092" i="31"/>
  <c r="P1092" i="31"/>
  <c r="Q1092" i="31"/>
  <c r="R1092" i="31"/>
  <c r="S1092" i="31"/>
  <c r="T1092" i="31"/>
  <c r="I1093" i="31"/>
  <c r="J1093" i="31"/>
  <c r="K1093" i="31"/>
  <c r="L1093" i="31"/>
  <c r="M1093" i="31"/>
  <c r="N1093" i="31"/>
  <c r="O1093" i="31"/>
  <c r="P1093" i="31"/>
  <c r="Q1093" i="31"/>
  <c r="R1093" i="31"/>
  <c r="S1093" i="31"/>
  <c r="T1093" i="31"/>
  <c r="I1094" i="31"/>
  <c r="J1094" i="31"/>
  <c r="K1094" i="31"/>
  <c r="L1094" i="31"/>
  <c r="M1094" i="31"/>
  <c r="N1094" i="31"/>
  <c r="O1094" i="31"/>
  <c r="P1094" i="31"/>
  <c r="Q1094" i="31"/>
  <c r="R1094" i="31"/>
  <c r="S1094" i="31"/>
  <c r="T1094" i="31"/>
  <c r="I1095" i="31"/>
  <c r="J1095" i="31"/>
  <c r="K1095" i="31"/>
  <c r="L1095" i="31"/>
  <c r="M1095" i="31"/>
  <c r="N1095" i="31"/>
  <c r="O1095" i="31"/>
  <c r="P1095" i="31"/>
  <c r="Q1095" i="31"/>
  <c r="R1095" i="31"/>
  <c r="S1095" i="31"/>
  <c r="T1095" i="31"/>
  <c r="I1096" i="31"/>
  <c r="J1096" i="31"/>
  <c r="K1096" i="31"/>
  <c r="L1096" i="31"/>
  <c r="M1096" i="31"/>
  <c r="N1096" i="31"/>
  <c r="O1096" i="31"/>
  <c r="P1096" i="31"/>
  <c r="Q1096" i="31"/>
  <c r="R1096" i="31"/>
  <c r="S1096" i="31"/>
  <c r="T1096" i="31"/>
  <c r="I1097" i="31"/>
  <c r="J1097" i="31"/>
  <c r="K1097" i="31"/>
  <c r="L1097" i="31"/>
  <c r="M1097" i="31"/>
  <c r="N1097" i="31"/>
  <c r="O1097" i="31"/>
  <c r="P1097" i="31"/>
  <c r="Q1097" i="31"/>
  <c r="R1097" i="31"/>
  <c r="S1097" i="31"/>
  <c r="T1097" i="31"/>
  <c r="I1098" i="31"/>
  <c r="J1098" i="31"/>
  <c r="K1098" i="31"/>
  <c r="L1098" i="31"/>
  <c r="M1098" i="31"/>
  <c r="N1098" i="31"/>
  <c r="O1098" i="31"/>
  <c r="P1098" i="31"/>
  <c r="Q1098" i="31"/>
  <c r="R1098" i="31"/>
  <c r="S1098" i="31"/>
  <c r="T1098" i="31"/>
  <c r="I1099" i="31"/>
  <c r="J1099" i="31"/>
  <c r="K1099" i="31"/>
  <c r="L1099" i="31"/>
  <c r="M1099" i="31"/>
  <c r="N1099" i="31"/>
  <c r="O1099" i="31"/>
  <c r="P1099" i="31"/>
  <c r="Q1099" i="31"/>
  <c r="R1099" i="31"/>
  <c r="S1099" i="31"/>
  <c r="T1099" i="31"/>
  <c r="I1100" i="31"/>
  <c r="J1100" i="31"/>
  <c r="K1100" i="31"/>
  <c r="L1100" i="31"/>
  <c r="M1100" i="31"/>
  <c r="N1100" i="31"/>
  <c r="O1100" i="31"/>
  <c r="P1100" i="31"/>
  <c r="Q1100" i="31"/>
  <c r="R1100" i="31"/>
  <c r="S1100" i="31"/>
  <c r="T1100" i="31"/>
  <c r="I1101" i="31"/>
  <c r="J1101" i="31"/>
  <c r="K1101" i="31"/>
  <c r="L1101" i="31"/>
  <c r="M1101" i="31"/>
  <c r="N1101" i="31"/>
  <c r="O1101" i="31"/>
  <c r="P1101" i="31"/>
  <c r="Q1101" i="31"/>
  <c r="R1101" i="31"/>
  <c r="S1101" i="31"/>
  <c r="T1101" i="31"/>
  <c r="I1102" i="31"/>
  <c r="J1102" i="31"/>
  <c r="K1102" i="31"/>
  <c r="L1102" i="31"/>
  <c r="M1102" i="31"/>
  <c r="N1102" i="31"/>
  <c r="O1102" i="31"/>
  <c r="P1102" i="31"/>
  <c r="Q1102" i="31"/>
  <c r="R1102" i="31"/>
  <c r="S1102" i="31"/>
  <c r="T1102" i="31"/>
  <c r="I1103" i="31"/>
  <c r="J1103" i="31"/>
  <c r="K1103" i="31"/>
  <c r="L1103" i="31"/>
  <c r="M1103" i="31"/>
  <c r="N1103" i="31"/>
  <c r="O1103" i="31"/>
  <c r="P1103" i="31"/>
  <c r="Q1103" i="31"/>
  <c r="R1103" i="31"/>
  <c r="S1103" i="31"/>
  <c r="T1103" i="31"/>
  <c r="I1104" i="31"/>
  <c r="J1104" i="31"/>
  <c r="K1104" i="31"/>
  <c r="L1104" i="31"/>
  <c r="M1104" i="31"/>
  <c r="N1104" i="31"/>
  <c r="O1104" i="31"/>
  <c r="P1104" i="31"/>
  <c r="Q1104" i="31"/>
  <c r="R1104" i="31"/>
  <c r="S1104" i="31"/>
  <c r="T1104" i="31"/>
  <c r="I1105" i="31"/>
  <c r="J1105" i="31"/>
  <c r="K1105" i="31"/>
  <c r="L1105" i="31"/>
  <c r="M1105" i="31"/>
  <c r="N1105" i="31"/>
  <c r="O1105" i="31"/>
  <c r="P1105" i="31"/>
  <c r="Q1105" i="31"/>
  <c r="R1105" i="31"/>
  <c r="S1105" i="31"/>
  <c r="T1105" i="31"/>
  <c r="I1106" i="31"/>
  <c r="J1106" i="31"/>
  <c r="K1106" i="31"/>
  <c r="L1106" i="31"/>
  <c r="M1106" i="31"/>
  <c r="N1106" i="31"/>
  <c r="O1106" i="31"/>
  <c r="P1106" i="31"/>
  <c r="Q1106" i="31"/>
  <c r="R1106" i="31"/>
  <c r="S1106" i="31"/>
  <c r="T1106" i="31"/>
  <c r="I1107" i="31"/>
  <c r="J1107" i="31"/>
  <c r="K1107" i="31"/>
  <c r="L1107" i="31"/>
  <c r="M1107" i="31"/>
  <c r="N1107" i="31"/>
  <c r="O1107" i="31"/>
  <c r="P1107" i="31"/>
  <c r="Q1107" i="31"/>
  <c r="R1107" i="31"/>
  <c r="S1107" i="31"/>
  <c r="T1107" i="31"/>
  <c r="I1108" i="31"/>
  <c r="J1108" i="31"/>
  <c r="K1108" i="31"/>
  <c r="L1108" i="31"/>
  <c r="M1108" i="31"/>
  <c r="N1108" i="31"/>
  <c r="O1108" i="31"/>
  <c r="P1108" i="31"/>
  <c r="Q1108" i="31"/>
  <c r="R1108" i="31"/>
  <c r="S1108" i="31"/>
  <c r="T1108" i="31"/>
  <c r="I1109" i="31"/>
  <c r="J1109" i="31"/>
  <c r="K1109" i="31"/>
  <c r="L1109" i="31"/>
  <c r="M1109" i="31"/>
  <c r="N1109" i="31"/>
  <c r="O1109" i="31"/>
  <c r="P1109" i="31"/>
  <c r="Q1109" i="31"/>
  <c r="R1109" i="31"/>
  <c r="S1109" i="31"/>
  <c r="T1109" i="31"/>
  <c r="I1110" i="31"/>
  <c r="J1110" i="31"/>
  <c r="K1110" i="31"/>
  <c r="L1110" i="31"/>
  <c r="M1110" i="31"/>
  <c r="N1110" i="31"/>
  <c r="O1110" i="31"/>
  <c r="P1110" i="31"/>
  <c r="Q1110" i="31"/>
  <c r="R1110" i="31"/>
  <c r="S1110" i="31"/>
  <c r="T1110" i="31"/>
  <c r="I1111" i="31"/>
  <c r="J1111" i="31"/>
  <c r="K1111" i="31"/>
  <c r="L1111" i="31"/>
  <c r="M1111" i="31"/>
  <c r="N1111" i="31"/>
  <c r="O1111" i="31"/>
  <c r="P1111" i="31"/>
  <c r="Q1111" i="31"/>
  <c r="R1111" i="31"/>
  <c r="S1111" i="31"/>
  <c r="T1111" i="31"/>
  <c r="I1112" i="31"/>
  <c r="J1112" i="31"/>
  <c r="K1112" i="31"/>
  <c r="L1112" i="31"/>
  <c r="M1112" i="31"/>
  <c r="N1112" i="31"/>
  <c r="O1112" i="31"/>
  <c r="P1112" i="31"/>
  <c r="Q1112" i="31"/>
  <c r="R1112" i="31"/>
  <c r="S1112" i="31"/>
  <c r="T1112" i="31"/>
  <c r="I1113" i="31"/>
  <c r="J1113" i="31"/>
  <c r="K1113" i="31"/>
  <c r="L1113" i="31"/>
  <c r="M1113" i="31"/>
  <c r="N1113" i="31"/>
  <c r="O1113" i="31"/>
  <c r="P1113" i="31"/>
  <c r="Q1113" i="31"/>
  <c r="R1113" i="31"/>
  <c r="S1113" i="31"/>
  <c r="T1113" i="31"/>
  <c r="I1114" i="31"/>
  <c r="J1114" i="31"/>
  <c r="K1114" i="31"/>
  <c r="L1114" i="31"/>
  <c r="M1114" i="31"/>
  <c r="N1114" i="31"/>
  <c r="O1114" i="31"/>
  <c r="P1114" i="31"/>
  <c r="Q1114" i="31"/>
  <c r="R1114" i="31"/>
  <c r="S1114" i="31"/>
  <c r="T1114" i="31"/>
  <c r="I1115" i="31"/>
  <c r="J1115" i="31"/>
  <c r="K1115" i="31"/>
  <c r="L1115" i="31"/>
  <c r="M1115" i="31"/>
  <c r="N1115" i="31"/>
  <c r="O1115" i="31"/>
  <c r="P1115" i="31"/>
  <c r="Q1115" i="31"/>
  <c r="R1115" i="31"/>
  <c r="S1115" i="31"/>
  <c r="T1115" i="31"/>
  <c r="I1116" i="31"/>
  <c r="J1116" i="31"/>
  <c r="K1116" i="31"/>
  <c r="L1116" i="31"/>
  <c r="M1116" i="31"/>
  <c r="N1116" i="31"/>
  <c r="O1116" i="31"/>
  <c r="P1116" i="31"/>
  <c r="Q1116" i="31"/>
  <c r="R1116" i="31"/>
  <c r="S1116" i="31"/>
  <c r="T1116" i="31"/>
  <c r="I1117" i="31"/>
  <c r="J1117" i="31"/>
  <c r="K1117" i="31"/>
  <c r="L1117" i="31"/>
  <c r="M1117" i="31"/>
  <c r="N1117" i="31"/>
  <c r="O1117" i="31"/>
  <c r="P1117" i="31"/>
  <c r="Q1117" i="31"/>
  <c r="R1117" i="31"/>
  <c r="S1117" i="31"/>
  <c r="T1117" i="31"/>
  <c r="I1118" i="31"/>
  <c r="J1118" i="31"/>
  <c r="K1118" i="31"/>
  <c r="L1118" i="31"/>
  <c r="M1118" i="31"/>
  <c r="N1118" i="31"/>
  <c r="O1118" i="31"/>
  <c r="P1118" i="31"/>
  <c r="Q1118" i="31"/>
  <c r="R1118" i="31"/>
  <c r="S1118" i="31"/>
  <c r="T1118" i="31"/>
  <c r="I1119" i="31"/>
  <c r="J1119" i="31"/>
  <c r="K1119" i="31"/>
  <c r="L1119" i="31"/>
  <c r="M1119" i="31"/>
  <c r="N1119" i="31"/>
  <c r="O1119" i="31"/>
  <c r="P1119" i="31"/>
  <c r="Q1119" i="31"/>
  <c r="R1119" i="31"/>
  <c r="S1119" i="31"/>
  <c r="T1119" i="31"/>
  <c r="I1120" i="31"/>
  <c r="J1120" i="31"/>
  <c r="K1120" i="31"/>
  <c r="L1120" i="31"/>
  <c r="M1120" i="31"/>
  <c r="N1120" i="31"/>
  <c r="O1120" i="31"/>
  <c r="P1120" i="31"/>
  <c r="Q1120" i="31"/>
  <c r="R1120" i="31"/>
  <c r="S1120" i="31"/>
  <c r="T1120" i="31"/>
  <c r="I1121" i="31"/>
  <c r="J1121" i="31"/>
  <c r="K1121" i="31"/>
  <c r="L1121" i="31"/>
  <c r="M1121" i="31"/>
  <c r="N1121" i="31"/>
  <c r="O1121" i="31"/>
  <c r="P1121" i="31"/>
  <c r="Q1121" i="31"/>
  <c r="R1121" i="31"/>
  <c r="S1121" i="31"/>
  <c r="T1121" i="31"/>
  <c r="I1122" i="31"/>
  <c r="J1122" i="31"/>
  <c r="K1122" i="31"/>
  <c r="L1122" i="31"/>
  <c r="M1122" i="31"/>
  <c r="N1122" i="31"/>
  <c r="O1122" i="31"/>
  <c r="P1122" i="31"/>
  <c r="Q1122" i="31"/>
  <c r="R1122" i="31"/>
  <c r="S1122" i="31"/>
  <c r="T1122" i="31"/>
  <c r="I1123" i="31"/>
  <c r="J1123" i="31"/>
  <c r="K1123" i="31"/>
  <c r="L1123" i="31"/>
  <c r="M1123" i="31"/>
  <c r="N1123" i="31"/>
  <c r="O1123" i="31"/>
  <c r="P1123" i="31"/>
  <c r="Q1123" i="31"/>
  <c r="R1123" i="31"/>
  <c r="S1123" i="31"/>
  <c r="T1123" i="31"/>
  <c r="I1124" i="31"/>
  <c r="J1124" i="31"/>
  <c r="K1124" i="31"/>
  <c r="L1124" i="31"/>
  <c r="M1124" i="31"/>
  <c r="N1124" i="31"/>
  <c r="O1124" i="31"/>
  <c r="P1124" i="31"/>
  <c r="Q1124" i="31"/>
  <c r="R1124" i="31"/>
  <c r="S1124" i="31"/>
  <c r="T1124" i="31"/>
  <c r="I1125" i="31"/>
  <c r="J1125" i="31"/>
  <c r="K1125" i="31"/>
  <c r="L1125" i="31"/>
  <c r="M1125" i="31"/>
  <c r="N1125" i="31"/>
  <c r="O1125" i="31"/>
  <c r="P1125" i="31"/>
  <c r="Q1125" i="31"/>
  <c r="R1125" i="31"/>
  <c r="S1125" i="31"/>
  <c r="T1125" i="31"/>
  <c r="I1126" i="31"/>
  <c r="J1126" i="31"/>
  <c r="K1126" i="31"/>
  <c r="L1126" i="31"/>
  <c r="M1126" i="31"/>
  <c r="N1126" i="31"/>
  <c r="O1126" i="31"/>
  <c r="P1126" i="31"/>
  <c r="Q1126" i="31"/>
  <c r="R1126" i="31"/>
  <c r="S1126" i="31"/>
  <c r="T1126" i="31"/>
  <c r="I1127" i="31"/>
  <c r="J1127" i="31"/>
  <c r="K1127" i="31"/>
  <c r="L1127" i="31"/>
  <c r="M1127" i="31"/>
  <c r="N1127" i="31"/>
  <c r="O1127" i="31"/>
  <c r="P1127" i="31"/>
  <c r="Q1127" i="31"/>
  <c r="R1127" i="31"/>
  <c r="S1127" i="31"/>
  <c r="T1127" i="31"/>
  <c r="I1128" i="31"/>
  <c r="J1128" i="31"/>
  <c r="K1128" i="31"/>
  <c r="L1128" i="31"/>
  <c r="M1128" i="31"/>
  <c r="N1128" i="31"/>
  <c r="O1128" i="31"/>
  <c r="P1128" i="31"/>
  <c r="Q1128" i="31"/>
  <c r="R1128" i="31"/>
  <c r="S1128" i="31"/>
  <c r="T1128" i="31"/>
  <c r="I1129" i="31"/>
  <c r="J1129" i="31"/>
  <c r="K1129" i="31"/>
  <c r="L1129" i="31"/>
  <c r="M1129" i="31"/>
  <c r="N1129" i="31"/>
  <c r="O1129" i="31"/>
  <c r="P1129" i="31"/>
  <c r="Q1129" i="31"/>
  <c r="R1129" i="31"/>
  <c r="S1129" i="31"/>
  <c r="T1129" i="31"/>
  <c r="I1130" i="31"/>
  <c r="J1130" i="31"/>
  <c r="K1130" i="31"/>
  <c r="L1130" i="31"/>
  <c r="M1130" i="31"/>
  <c r="N1130" i="31"/>
  <c r="O1130" i="31"/>
  <c r="P1130" i="31"/>
  <c r="Q1130" i="31"/>
  <c r="R1130" i="31"/>
  <c r="S1130" i="31"/>
  <c r="T1130" i="31"/>
  <c r="I1131" i="31"/>
  <c r="J1131" i="31"/>
  <c r="K1131" i="31"/>
  <c r="L1131" i="31"/>
  <c r="M1131" i="31"/>
  <c r="N1131" i="31"/>
  <c r="O1131" i="31"/>
  <c r="P1131" i="31"/>
  <c r="Q1131" i="31"/>
  <c r="R1131" i="31"/>
  <c r="S1131" i="31"/>
  <c r="T1131" i="31"/>
  <c r="I1132" i="31"/>
  <c r="J1132" i="31"/>
  <c r="K1132" i="31"/>
  <c r="L1132" i="31"/>
  <c r="M1132" i="31"/>
  <c r="N1132" i="31"/>
  <c r="O1132" i="31"/>
  <c r="P1132" i="31"/>
  <c r="Q1132" i="31"/>
  <c r="R1132" i="31"/>
  <c r="S1132" i="31"/>
  <c r="T1132" i="31"/>
  <c r="I1133" i="31"/>
  <c r="J1133" i="31"/>
  <c r="K1133" i="31"/>
  <c r="L1133" i="31"/>
  <c r="M1133" i="31"/>
  <c r="N1133" i="31"/>
  <c r="O1133" i="31"/>
  <c r="P1133" i="31"/>
  <c r="Q1133" i="31"/>
  <c r="R1133" i="31"/>
  <c r="S1133" i="31"/>
  <c r="T1133" i="31"/>
  <c r="I1134" i="31"/>
  <c r="J1134" i="31"/>
  <c r="K1134" i="31"/>
  <c r="L1134" i="31"/>
  <c r="M1134" i="31"/>
  <c r="N1134" i="31"/>
  <c r="O1134" i="31"/>
  <c r="P1134" i="31"/>
  <c r="Q1134" i="31"/>
  <c r="R1134" i="31"/>
  <c r="S1134" i="31"/>
  <c r="T1134" i="31"/>
  <c r="I1135" i="31"/>
  <c r="J1135" i="31"/>
  <c r="K1135" i="31"/>
  <c r="L1135" i="31"/>
  <c r="M1135" i="31"/>
  <c r="N1135" i="31"/>
  <c r="O1135" i="31"/>
  <c r="P1135" i="31"/>
  <c r="Q1135" i="31"/>
  <c r="R1135" i="31"/>
  <c r="S1135" i="31"/>
  <c r="T1135" i="31"/>
  <c r="I1136" i="31"/>
  <c r="J1136" i="31"/>
  <c r="K1136" i="31"/>
  <c r="L1136" i="31"/>
  <c r="M1136" i="31"/>
  <c r="N1136" i="31"/>
  <c r="O1136" i="31"/>
  <c r="P1136" i="31"/>
  <c r="Q1136" i="31"/>
  <c r="R1136" i="31"/>
  <c r="S1136" i="31"/>
  <c r="T1136" i="31"/>
  <c r="I1137" i="31"/>
  <c r="J1137" i="31"/>
  <c r="K1137" i="31"/>
  <c r="L1137" i="31"/>
  <c r="M1137" i="31"/>
  <c r="N1137" i="31"/>
  <c r="O1137" i="31"/>
  <c r="P1137" i="31"/>
  <c r="Q1137" i="31"/>
  <c r="R1137" i="31"/>
  <c r="S1137" i="31"/>
  <c r="T1137" i="31"/>
  <c r="I1138" i="31"/>
  <c r="J1138" i="31"/>
  <c r="K1138" i="31"/>
  <c r="L1138" i="31"/>
  <c r="M1138" i="31"/>
  <c r="N1138" i="31"/>
  <c r="O1138" i="31"/>
  <c r="P1138" i="31"/>
  <c r="Q1138" i="31"/>
  <c r="R1138" i="31"/>
  <c r="S1138" i="31"/>
  <c r="T1138" i="31"/>
  <c r="I1139" i="31"/>
  <c r="J1139" i="31"/>
  <c r="K1139" i="31"/>
  <c r="L1139" i="31"/>
  <c r="M1139" i="31"/>
  <c r="N1139" i="31"/>
  <c r="O1139" i="31"/>
  <c r="P1139" i="31"/>
  <c r="Q1139" i="31"/>
  <c r="R1139" i="31"/>
  <c r="S1139" i="31"/>
  <c r="T1139" i="31"/>
  <c r="I1140" i="31"/>
  <c r="J1140" i="31"/>
  <c r="K1140" i="31"/>
  <c r="L1140" i="31"/>
  <c r="M1140" i="31"/>
  <c r="N1140" i="31"/>
  <c r="O1140" i="31"/>
  <c r="P1140" i="31"/>
  <c r="Q1140" i="31"/>
  <c r="R1140" i="31"/>
  <c r="S1140" i="31"/>
  <c r="T1140" i="31"/>
  <c r="I1141" i="31"/>
  <c r="J1141" i="31"/>
  <c r="K1141" i="31"/>
  <c r="L1141" i="31"/>
  <c r="M1141" i="31"/>
  <c r="N1141" i="31"/>
  <c r="O1141" i="31"/>
  <c r="P1141" i="31"/>
  <c r="Q1141" i="31"/>
  <c r="R1141" i="31"/>
  <c r="S1141" i="31"/>
  <c r="T1141" i="31"/>
  <c r="I1142" i="31"/>
  <c r="J1142" i="31"/>
  <c r="K1142" i="31"/>
  <c r="L1142" i="31"/>
  <c r="M1142" i="31"/>
  <c r="N1142" i="31"/>
  <c r="O1142" i="31"/>
  <c r="P1142" i="31"/>
  <c r="Q1142" i="31"/>
  <c r="R1142" i="31"/>
  <c r="S1142" i="31"/>
  <c r="T1142" i="31"/>
  <c r="I1143" i="31"/>
  <c r="J1143" i="31"/>
  <c r="K1143" i="31"/>
  <c r="L1143" i="31"/>
  <c r="M1143" i="31"/>
  <c r="N1143" i="31"/>
  <c r="O1143" i="31"/>
  <c r="P1143" i="31"/>
  <c r="Q1143" i="31"/>
  <c r="R1143" i="31"/>
  <c r="S1143" i="31"/>
  <c r="T1143" i="31"/>
  <c r="I1144" i="31"/>
  <c r="J1144" i="31"/>
  <c r="K1144" i="31"/>
  <c r="L1144" i="31"/>
  <c r="M1144" i="31"/>
  <c r="N1144" i="31"/>
  <c r="O1144" i="31"/>
  <c r="P1144" i="31"/>
  <c r="Q1144" i="31"/>
  <c r="R1144" i="31"/>
  <c r="S1144" i="31"/>
  <c r="T1144" i="31"/>
  <c r="I1145" i="31"/>
  <c r="J1145" i="31"/>
  <c r="K1145" i="31"/>
  <c r="L1145" i="31"/>
  <c r="M1145" i="31"/>
  <c r="N1145" i="31"/>
  <c r="O1145" i="31"/>
  <c r="P1145" i="31"/>
  <c r="Q1145" i="31"/>
  <c r="R1145" i="31"/>
  <c r="S1145" i="31"/>
  <c r="T1145" i="31"/>
  <c r="I1146" i="31"/>
  <c r="J1146" i="31"/>
  <c r="K1146" i="31"/>
  <c r="L1146" i="31"/>
  <c r="M1146" i="31"/>
  <c r="N1146" i="31"/>
  <c r="O1146" i="31"/>
  <c r="P1146" i="31"/>
  <c r="Q1146" i="31"/>
  <c r="R1146" i="31"/>
  <c r="S1146" i="31"/>
  <c r="T1146" i="31"/>
  <c r="I1147" i="31"/>
  <c r="J1147" i="31"/>
  <c r="K1147" i="31"/>
  <c r="L1147" i="31"/>
  <c r="M1147" i="31"/>
  <c r="N1147" i="31"/>
  <c r="O1147" i="31"/>
  <c r="P1147" i="31"/>
  <c r="Q1147" i="31"/>
  <c r="R1147" i="31"/>
  <c r="S1147" i="31"/>
  <c r="T1147" i="31"/>
  <c r="I1148" i="31"/>
  <c r="J1148" i="31"/>
  <c r="K1148" i="31"/>
  <c r="L1148" i="31"/>
  <c r="M1148" i="31"/>
  <c r="N1148" i="31"/>
  <c r="O1148" i="31"/>
  <c r="P1148" i="31"/>
  <c r="Q1148" i="31"/>
  <c r="R1148" i="31"/>
  <c r="S1148" i="31"/>
  <c r="T1148" i="31"/>
  <c r="I1149" i="31"/>
  <c r="J1149" i="31"/>
  <c r="K1149" i="31"/>
  <c r="L1149" i="31"/>
  <c r="M1149" i="31"/>
  <c r="N1149" i="31"/>
  <c r="O1149" i="31"/>
  <c r="P1149" i="31"/>
  <c r="Q1149" i="31"/>
  <c r="R1149" i="31"/>
  <c r="S1149" i="31"/>
  <c r="T1149" i="31"/>
  <c r="I1150" i="31"/>
  <c r="J1150" i="31"/>
  <c r="K1150" i="31"/>
  <c r="L1150" i="31"/>
  <c r="M1150" i="31"/>
  <c r="N1150" i="31"/>
  <c r="O1150" i="31"/>
  <c r="P1150" i="31"/>
  <c r="Q1150" i="31"/>
  <c r="R1150" i="31"/>
  <c r="S1150" i="31"/>
  <c r="T1150" i="31"/>
  <c r="I1151" i="31"/>
  <c r="J1151" i="31"/>
  <c r="K1151" i="31"/>
  <c r="L1151" i="31"/>
  <c r="M1151" i="31"/>
  <c r="N1151" i="31"/>
  <c r="O1151" i="31"/>
  <c r="P1151" i="31"/>
  <c r="Q1151" i="31"/>
  <c r="R1151" i="31"/>
  <c r="S1151" i="31"/>
  <c r="T1151" i="31"/>
  <c r="I1152" i="31"/>
  <c r="J1152" i="31"/>
  <c r="K1152" i="31"/>
  <c r="L1152" i="31"/>
  <c r="M1152" i="31"/>
  <c r="N1152" i="31"/>
  <c r="O1152" i="31"/>
  <c r="P1152" i="31"/>
  <c r="Q1152" i="31"/>
  <c r="R1152" i="31"/>
  <c r="S1152" i="31"/>
  <c r="T1152" i="31"/>
  <c r="I1153" i="31"/>
  <c r="J1153" i="31"/>
  <c r="K1153" i="31"/>
  <c r="L1153" i="31"/>
  <c r="M1153" i="31"/>
  <c r="N1153" i="31"/>
  <c r="O1153" i="31"/>
  <c r="P1153" i="31"/>
  <c r="Q1153" i="31"/>
  <c r="R1153" i="31"/>
  <c r="S1153" i="31"/>
  <c r="T1153" i="31"/>
  <c r="I1154" i="31"/>
  <c r="J1154" i="31"/>
  <c r="K1154" i="31"/>
  <c r="L1154" i="31"/>
  <c r="M1154" i="31"/>
  <c r="N1154" i="31"/>
  <c r="O1154" i="31"/>
  <c r="P1154" i="31"/>
  <c r="Q1154" i="31"/>
  <c r="R1154" i="31"/>
  <c r="S1154" i="31"/>
  <c r="T1154" i="31"/>
  <c r="I1155" i="31"/>
  <c r="J1155" i="31"/>
  <c r="K1155" i="31"/>
  <c r="L1155" i="31"/>
  <c r="M1155" i="31"/>
  <c r="N1155" i="31"/>
  <c r="O1155" i="31"/>
  <c r="P1155" i="31"/>
  <c r="Q1155" i="31"/>
  <c r="R1155" i="31"/>
  <c r="S1155" i="31"/>
  <c r="T1155" i="31"/>
  <c r="I1156" i="31"/>
  <c r="J1156" i="31"/>
  <c r="K1156" i="31"/>
  <c r="L1156" i="31"/>
  <c r="M1156" i="31"/>
  <c r="N1156" i="31"/>
  <c r="O1156" i="31"/>
  <c r="P1156" i="31"/>
  <c r="Q1156" i="31"/>
  <c r="R1156" i="31"/>
  <c r="S1156" i="31"/>
  <c r="T1156" i="31"/>
  <c r="I1157" i="31"/>
  <c r="J1157" i="31"/>
  <c r="K1157" i="31"/>
  <c r="L1157" i="31"/>
  <c r="M1157" i="31"/>
  <c r="N1157" i="31"/>
  <c r="O1157" i="31"/>
  <c r="P1157" i="31"/>
  <c r="Q1157" i="31"/>
  <c r="R1157" i="31"/>
  <c r="S1157" i="31"/>
  <c r="T1157" i="31"/>
  <c r="I1158" i="31"/>
  <c r="J1158" i="31"/>
  <c r="K1158" i="31"/>
  <c r="L1158" i="31"/>
  <c r="M1158" i="31"/>
  <c r="N1158" i="31"/>
  <c r="O1158" i="31"/>
  <c r="P1158" i="31"/>
  <c r="Q1158" i="31"/>
  <c r="R1158" i="31"/>
  <c r="S1158" i="31"/>
  <c r="T1158" i="31"/>
  <c r="I1159" i="31"/>
  <c r="J1159" i="31"/>
  <c r="K1159" i="31"/>
  <c r="L1159" i="31"/>
  <c r="M1159" i="31"/>
  <c r="N1159" i="31"/>
  <c r="O1159" i="31"/>
  <c r="P1159" i="31"/>
  <c r="Q1159" i="31"/>
  <c r="R1159" i="31"/>
  <c r="S1159" i="31"/>
  <c r="T1159" i="31"/>
  <c r="I1160" i="31"/>
  <c r="J1160" i="31"/>
  <c r="K1160" i="31"/>
  <c r="L1160" i="31"/>
  <c r="M1160" i="31"/>
  <c r="N1160" i="31"/>
  <c r="O1160" i="31"/>
  <c r="P1160" i="31"/>
  <c r="Q1160" i="31"/>
  <c r="R1160" i="31"/>
  <c r="S1160" i="31"/>
  <c r="T1160" i="31"/>
  <c r="I1161" i="31"/>
  <c r="J1161" i="31"/>
  <c r="K1161" i="31"/>
  <c r="L1161" i="31"/>
  <c r="M1161" i="31"/>
  <c r="N1161" i="31"/>
  <c r="O1161" i="31"/>
  <c r="P1161" i="31"/>
  <c r="Q1161" i="31"/>
  <c r="R1161" i="31"/>
  <c r="S1161" i="31"/>
  <c r="T1161" i="31"/>
  <c r="I1162" i="31"/>
  <c r="J1162" i="31"/>
  <c r="K1162" i="31"/>
  <c r="L1162" i="31"/>
  <c r="M1162" i="31"/>
  <c r="N1162" i="31"/>
  <c r="O1162" i="31"/>
  <c r="P1162" i="31"/>
  <c r="Q1162" i="31"/>
  <c r="R1162" i="31"/>
  <c r="S1162" i="31"/>
  <c r="T1162" i="31"/>
  <c r="I1163" i="31"/>
  <c r="J1163" i="31"/>
  <c r="K1163" i="31"/>
  <c r="L1163" i="31"/>
  <c r="M1163" i="31"/>
  <c r="N1163" i="31"/>
  <c r="O1163" i="31"/>
  <c r="P1163" i="31"/>
  <c r="Q1163" i="31"/>
  <c r="R1163" i="31"/>
  <c r="S1163" i="31"/>
  <c r="T1163" i="31"/>
  <c r="I1164" i="31"/>
  <c r="J1164" i="31"/>
  <c r="K1164" i="31"/>
  <c r="L1164" i="31"/>
  <c r="M1164" i="31"/>
  <c r="N1164" i="31"/>
  <c r="O1164" i="31"/>
  <c r="P1164" i="31"/>
  <c r="Q1164" i="31"/>
  <c r="R1164" i="31"/>
  <c r="S1164" i="31"/>
  <c r="T1164" i="31"/>
  <c r="I1165" i="31"/>
  <c r="J1165" i="31"/>
  <c r="K1165" i="31"/>
  <c r="L1165" i="31"/>
  <c r="M1165" i="31"/>
  <c r="N1165" i="31"/>
  <c r="O1165" i="31"/>
  <c r="P1165" i="31"/>
  <c r="Q1165" i="31"/>
  <c r="R1165" i="31"/>
  <c r="S1165" i="31"/>
  <c r="T1165" i="31"/>
  <c r="I1166" i="31"/>
  <c r="J1166" i="31"/>
  <c r="K1166" i="31"/>
  <c r="L1166" i="31"/>
  <c r="M1166" i="31"/>
  <c r="N1166" i="31"/>
  <c r="O1166" i="31"/>
  <c r="P1166" i="31"/>
  <c r="Q1166" i="31"/>
  <c r="R1166" i="31"/>
  <c r="S1166" i="31"/>
  <c r="T1166" i="31"/>
  <c r="I1167" i="31"/>
  <c r="J1167" i="31"/>
  <c r="K1167" i="31"/>
  <c r="L1167" i="31"/>
  <c r="M1167" i="31"/>
  <c r="N1167" i="31"/>
  <c r="O1167" i="31"/>
  <c r="P1167" i="31"/>
  <c r="Q1167" i="31"/>
  <c r="R1167" i="31"/>
  <c r="S1167" i="31"/>
  <c r="T1167" i="31"/>
  <c r="I1168" i="31"/>
  <c r="J1168" i="31"/>
  <c r="K1168" i="31"/>
  <c r="L1168" i="31"/>
  <c r="M1168" i="31"/>
  <c r="N1168" i="31"/>
  <c r="O1168" i="31"/>
  <c r="P1168" i="31"/>
  <c r="Q1168" i="31"/>
  <c r="R1168" i="31"/>
  <c r="S1168" i="31"/>
  <c r="T1168" i="31"/>
  <c r="I1169" i="31"/>
  <c r="J1169" i="31"/>
  <c r="K1169" i="31"/>
  <c r="L1169" i="31"/>
  <c r="M1169" i="31"/>
  <c r="N1169" i="31"/>
  <c r="O1169" i="31"/>
  <c r="P1169" i="31"/>
  <c r="Q1169" i="31"/>
  <c r="R1169" i="31"/>
  <c r="S1169" i="31"/>
  <c r="T1169" i="31"/>
  <c r="I1170" i="31"/>
  <c r="J1170" i="31"/>
  <c r="K1170" i="31"/>
  <c r="L1170" i="31"/>
  <c r="M1170" i="31"/>
  <c r="N1170" i="31"/>
  <c r="O1170" i="31"/>
  <c r="P1170" i="31"/>
  <c r="Q1170" i="31"/>
  <c r="R1170" i="31"/>
  <c r="S1170" i="31"/>
  <c r="T1170" i="31"/>
  <c r="I1171" i="31"/>
  <c r="J1171" i="31"/>
  <c r="K1171" i="31"/>
  <c r="L1171" i="31"/>
  <c r="M1171" i="31"/>
  <c r="N1171" i="31"/>
  <c r="O1171" i="31"/>
  <c r="P1171" i="31"/>
  <c r="Q1171" i="31"/>
  <c r="R1171" i="31"/>
  <c r="S1171" i="31"/>
  <c r="T1171" i="31"/>
  <c r="I1172" i="31"/>
  <c r="J1172" i="31"/>
  <c r="K1172" i="31"/>
  <c r="L1172" i="31"/>
  <c r="M1172" i="31"/>
  <c r="N1172" i="31"/>
  <c r="O1172" i="31"/>
  <c r="P1172" i="31"/>
  <c r="Q1172" i="31"/>
  <c r="R1172" i="31"/>
  <c r="S1172" i="31"/>
  <c r="T1172" i="31"/>
  <c r="I1173" i="31"/>
  <c r="J1173" i="31"/>
  <c r="K1173" i="31"/>
  <c r="L1173" i="31"/>
  <c r="M1173" i="31"/>
  <c r="N1173" i="31"/>
  <c r="O1173" i="31"/>
  <c r="P1173" i="31"/>
  <c r="Q1173" i="31"/>
  <c r="R1173" i="31"/>
  <c r="S1173" i="31"/>
  <c r="T1173" i="31"/>
  <c r="I1174" i="31"/>
  <c r="J1174" i="31"/>
  <c r="K1174" i="31"/>
  <c r="L1174" i="31"/>
  <c r="M1174" i="31"/>
  <c r="N1174" i="31"/>
  <c r="O1174" i="31"/>
  <c r="P1174" i="31"/>
  <c r="Q1174" i="31"/>
  <c r="R1174" i="31"/>
  <c r="S1174" i="31"/>
  <c r="T1174" i="31"/>
  <c r="I1175" i="31"/>
  <c r="J1175" i="31"/>
  <c r="K1175" i="31"/>
  <c r="L1175" i="31"/>
  <c r="M1175" i="31"/>
  <c r="N1175" i="31"/>
  <c r="O1175" i="31"/>
  <c r="P1175" i="31"/>
  <c r="Q1175" i="31"/>
  <c r="R1175" i="31"/>
  <c r="S1175" i="31"/>
  <c r="T1175" i="31"/>
  <c r="I1176" i="31"/>
  <c r="J1176" i="31"/>
  <c r="K1176" i="31"/>
  <c r="L1176" i="31"/>
  <c r="M1176" i="31"/>
  <c r="N1176" i="31"/>
  <c r="O1176" i="31"/>
  <c r="P1176" i="31"/>
  <c r="Q1176" i="31"/>
  <c r="R1176" i="31"/>
  <c r="S1176" i="31"/>
  <c r="T1176" i="31"/>
  <c r="I1177" i="31"/>
  <c r="J1177" i="31"/>
  <c r="K1177" i="31"/>
  <c r="L1177" i="31"/>
  <c r="M1177" i="31"/>
  <c r="N1177" i="31"/>
  <c r="O1177" i="31"/>
  <c r="P1177" i="31"/>
  <c r="Q1177" i="31"/>
  <c r="R1177" i="31"/>
  <c r="S1177" i="31"/>
  <c r="T1177" i="31"/>
  <c r="I1178" i="31"/>
  <c r="J1178" i="31"/>
  <c r="K1178" i="31"/>
  <c r="L1178" i="31"/>
  <c r="M1178" i="31"/>
  <c r="N1178" i="31"/>
  <c r="O1178" i="31"/>
  <c r="P1178" i="31"/>
  <c r="Q1178" i="31"/>
  <c r="R1178" i="31"/>
  <c r="S1178" i="31"/>
  <c r="T1178" i="31"/>
  <c r="I1179" i="31"/>
  <c r="J1179" i="31"/>
  <c r="K1179" i="31"/>
  <c r="L1179" i="31"/>
  <c r="M1179" i="31"/>
  <c r="N1179" i="31"/>
  <c r="O1179" i="31"/>
  <c r="P1179" i="31"/>
  <c r="Q1179" i="31"/>
  <c r="R1179" i="31"/>
  <c r="S1179" i="31"/>
  <c r="T1179" i="31"/>
  <c r="I1180" i="31"/>
  <c r="J1180" i="31"/>
  <c r="K1180" i="31"/>
  <c r="L1180" i="31"/>
  <c r="M1180" i="31"/>
  <c r="N1180" i="31"/>
  <c r="O1180" i="31"/>
  <c r="P1180" i="31"/>
  <c r="Q1180" i="31"/>
  <c r="R1180" i="31"/>
  <c r="S1180" i="31"/>
  <c r="T1180" i="31"/>
  <c r="I1181" i="31"/>
  <c r="J1181" i="31"/>
  <c r="K1181" i="31"/>
  <c r="L1181" i="31"/>
  <c r="M1181" i="31"/>
  <c r="N1181" i="31"/>
  <c r="O1181" i="31"/>
  <c r="P1181" i="31"/>
  <c r="Q1181" i="31"/>
  <c r="R1181" i="31"/>
  <c r="S1181" i="31"/>
  <c r="T1181" i="31"/>
  <c r="I1182" i="31"/>
  <c r="J1182" i="31"/>
  <c r="K1182" i="31"/>
  <c r="L1182" i="31"/>
  <c r="M1182" i="31"/>
  <c r="N1182" i="31"/>
  <c r="O1182" i="31"/>
  <c r="P1182" i="31"/>
  <c r="Q1182" i="31"/>
  <c r="R1182" i="31"/>
  <c r="S1182" i="31"/>
  <c r="T1182" i="31"/>
  <c r="I1183" i="31"/>
  <c r="J1183" i="31"/>
  <c r="K1183" i="31"/>
  <c r="L1183" i="31"/>
  <c r="M1183" i="31"/>
  <c r="N1183" i="31"/>
  <c r="O1183" i="31"/>
  <c r="P1183" i="31"/>
  <c r="Q1183" i="31"/>
  <c r="R1183" i="31"/>
  <c r="S1183" i="31"/>
  <c r="T1183" i="31"/>
  <c r="I1184" i="31"/>
  <c r="J1184" i="31"/>
  <c r="K1184" i="31"/>
  <c r="L1184" i="31"/>
  <c r="M1184" i="31"/>
  <c r="N1184" i="31"/>
  <c r="O1184" i="31"/>
  <c r="P1184" i="31"/>
  <c r="Q1184" i="31"/>
  <c r="R1184" i="31"/>
  <c r="S1184" i="31"/>
  <c r="T1184" i="31"/>
  <c r="I1185" i="31"/>
  <c r="J1185" i="31"/>
  <c r="K1185" i="31"/>
  <c r="L1185" i="31"/>
  <c r="M1185" i="31"/>
  <c r="N1185" i="31"/>
  <c r="O1185" i="31"/>
  <c r="P1185" i="31"/>
  <c r="Q1185" i="31"/>
  <c r="R1185" i="31"/>
  <c r="S1185" i="31"/>
  <c r="T1185" i="31"/>
  <c r="I1186" i="31"/>
  <c r="J1186" i="31"/>
  <c r="K1186" i="31"/>
  <c r="L1186" i="31"/>
  <c r="M1186" i="31"/>
  <c r="N1186" i="31"/>
  <c r="O1186" i="31"/>
  <c r="P1186" i="31"/>
  <c r="Q1186" i="31"/>
  <c r="R1186" i="31"/>
  <c r="S1186" i="31"/>
  <c r="T1186" i="31"/>
  <c r="I1187" i="31"/>
  <c r="J1187" i="31"/>
  <c r="K1187" i="31"/>
  <c r="L1187" i="31"/>
  <c r="M1187" i="31"/>
  <c r="N1187" i="31"/>
  <c r="O1187" i="31"/>
  <c r="P1187" i="31"/>
  <c r="Q1187" i="31"/>
  <c r="R1187" i="31"/>
  <c r="S1187" i="31"/>
  <c r="T1187" i="31"/>
  <c r="I1188" i="31"/>
  <c r="J1188" i="31"/>
  <c r="K1188" i="31"/>
  <c r="L1188" i="31"/>
  <c r="M1188" i="31"/>
  <c r="N1188" i="31"/>
  <c r="O1188" i="31"/>
  <c r="P1188" i="31"/>
  <c r="Q1188" i="31"/>
  <c r="R1188" i="31"/>
  <c r="S1188" i="31"/>
  <c r="T1188" i="31"/>
  <c r="I1189" i="31"/>
  <c r="J1189" i="31"/>
  <c r="K1189" i="31"/>
  <c r="L1189" i="31"/>
  <c r="M1189" i="31"/>
  <c r="N1189" i="31"/>
  <c r="O1189" i="31"/>
  <c r="P1189" i="31"/>
  <c r="Q1189" i="31"/>
  <c r="R1189" i="31"/>
  <c r="S1189" i="31"/>
  <c r="T1189" i="31"/>
  <c r="I1190" i="31"/>
  <c r="J1190" i="31"/>
  <c r="K1190" i="31"/>
  <c r="L1190" i="31"/>
  <c r="M1190" i="31"/>
  <c r="N1190" i="31"/>
  <c r="O1190" i="31"/>
  <c r="P1190" i="31"/>
  <c r="Q1190" i="31"/>
  <c r="R1190" i="31"/>
  <c r="S1190" i="31"/>
  <c r="T1190" i="31"/>
  <c r="I1191" i="31"/>
  <c r="J1191" i="31"/>
  <c r="K1191" i="31"/>
  <c r="L1191" i="31"/>
  <c r="M1191" i="31"/>
  <c r="N1191" i="31"/>
  <c r="O1191" i="31"/>
  <c r="P1191" i="31"/>
  <c r="Q1191" i="31"/>
  <c r="R1191" i="31"/>
  <c r="S1191" i="31"/>
  <c r="T1191" i="31"/>
  <c r="I1192" i="31"/>
  <c r="J1192" i="31"/>
  <c r="K1192" i="31"/>
  <c r="L1192" i="31"/>
  <c r="M1192" i="31"/>
  <c r="N1192" i="31"/>
  <c r="O1192" i="31"/>
  <c r="P1192" i="31"/>
  <c r="Q1192" i="31"/>
  <c r="R1192" i="31"/>
  <c r="S1192" i="31"/>
  <c r="T1192" i="31"/>
  <c r="I1193" i="31"/>
  <c r="J1193" i="31"/>
  <c r="K1193" i="31"/>
  <c r="L1193" i="31"/>
  <c r="M1193" i="31"/>
  <c r="N1193" i="31"/>
  <c r="O1193" i="31"/>
  <c r="P1193" i="31"/>
  <c r="Q1193" i="31"/>
  <c r="R1193" i="31"/>
  <c r="S1193" i="31"/>
  <c r="T1193" i="31"/>
  <c r="I1194" i="31"/>
  <c r="J1194" i="31"/>
  <c r="K1194" i="31"/>
  <c r="L1194" i="31"/>
  <c r="M1194" i="31"/>
  <c r="N1194" i="31"/>
  <c r="O1194" i="31"/>
  <c r="P1194" i="31"/>
  <c r="Q1194" i="31"/>
  <c r="R1194" i="31"/>
  <c r="S1194" i="31"/>
  <c r="T1194" i="31"/>
  <c r="I1195" i="31"/>
  <c r="J1195" i="31"/>
  <c r="K1195" i="31"/>
  <c r="L1195" i="31"/>
  <c r="M1195" i="31"/>
  <c r="N1195" i="31"/>
  <c r="O1195" i="31"/>
  <c r="P1195" i="31"/>
  <c r="Q1195" i="31"/>
  <c r="R1195" i="31"/>
  <c r="S1195" i="31"/>
  <c r="T1195" i="31"/>
  <c r="I1196" i="31"/>
  <c r="J1196" i="31"/>
  <c r="K1196" i="31"/>
  <c r="L1196" i="31"/>
  <c r="M1196" i="31"/>
  <c r="N1196" i="31"/>
  <c r="O1196" i="31"/>
  <c r="P1196" i="31"/>
  <c r="Q1196" i="31"/>
  <c r="R1196" i="31"/>
  <c r="S1196" i="31"/>
  <c r="T1196" i="31"/>
  <c r="I1197" i="31"/>
  <c r="J1197" i="31"/>
  <c r="K1197" i="31"/>
  <c r="L1197" i="31"/>
  <c r="M1197" i="31"/>
  <c r="N1197" i="31"/>
  <c r="O1197" i="31"/>
  <c r="P1197" i="31"/>
  <c r="Q1197" i="31"/>
  <c r="R1197" i="31"/>
  <c r="S1197" i="31"/>
  <c r="T1197" i="31"/>
  <c r="I1198" i="31"/>
  <c r="J1198" i="31"/>
  <c r="K1198" i="31"/>
  <c r="L1198" i="31"/>
  <c r="M1198" i="31"/>
  <c r="N1198" i="31"/>
  <c r="O1198" i="31"/>
  <c r="P1198" i="31"/>
  <c r="Q1198" i="31"/>
  <c r="R1198" i="31"/>
  <c r="S1198" i="31"/>
  <c r="T1198" i="31"/>
  <c r="I1199" i="31"/>
  <c r="J1199" i="31"/>
  <c r="K1199" i="31"/>
  <c r="L1199" i="31"/>
  <c r="M1199" i="31"/>
  <c r="N1199" i="31"/>
  <c r="O1199" i="31"/>
  <c r="P1199" i="31"/>
  <c r="Q1199" i="31"/>
  <c r="R1199" i="31"/>
  <c r="S1199" i="31"/>
  <c r="T1199" i="31"/>
  <c r="I1200" i="31"/>
  <c r="J1200" i="31"/>
  <c r="K1200" i="31"/>
  <c r="L1200" i="31"/>
  <c r="M1200" i="31"/>
  <c r="N1200" i="31"/>
  <c r="O1200" i="31"/>
  <c r="P1200" i="31"/>
  <c r="Q1200" i="31"/>
  <c r="R1200" i="31"/>
  <c r="S1200" i="31"/>
  <c r="T1200" i="31"/>
  <c r="I1201" i="31"/>
  <c r="J1201" i="31"/>
  <c r="K1201" i="31"/>
  <c r="L1201" i="31"/>
  <c r="M1201" i="31"/>
  <c r="N1201" i="31"/>
  <c r="O1201" i="31"/>
  <c r="P1201" i="31"/>
  <c r="Q1201" i="31"/>
  <c r="R1201" i="31"/>
  <c r="S1201" i="31"/>
  <c r="T1201" i="31"/>
  <c r="I1202" i="31"/>
  <c r="J1202" i="31"/>
  <c r="K1202" i="31"/>
  <c r="L1202" i="31"/>
  <c r="M1202" i="31"/>
  <c r="N1202" i="31"/>
  <c r="O1202" i="31"/>
  <c r="P1202" i="31"/>
  <c r="Q1202" i="31"/>
  <c r="R1202" i="31"/>
  <c r="S1202" i="31"/>
  <c r="T1202" i="31"/>
  <c r="I1203" i="31"/>
  <c r="J1203" i="31"/>
  <c r="K1203" i="31"/>
  <c r="L1203" i="31"/>
  <c r="M1203" i="31"/>
  <c r="N1203" i="31"/>
  <c r="O1203" i="31"/>
  <c r="P1203" i="31"/>
  <c r="Q1203" i="31"/>
  <c r="R1203" i="31"/>
  <c r="S1203" i="31"/>
  <c r="T1203" i="31"/>
  <c r="I1204" i="31"/>
  <c r="J1204" i="31"/>
  <c r="K1204" i="31"/>
  <c r="L1204" i="31"/>
  <c r="M1204" i="31"/>
  <c r="N1204" i="31"/>
  <c r="O1204" i="31"/>
  <c r="P1204" i="31"/>
  <c r="Q1204" i="31"/>
  <c r="R1204" i="31"/>
  <c r="S1204" i="31"/>
  <c r="T1204" i="31"/>
  <c r="I1205" i="31"/>
  <c r="J1205" i="31"/>
  <c r="K1205" i="31"/>
  <c r="L1205" i="31"/>
  <c r="M1205" i="31"/>
  <c r="N1205" i="31"/>
  <c r="O1205" i="31"/>
  <c r="P1205" i="31"/>
  <c r="Q1205" i="31"/>
  <c r="R1205" i="31"/>
  <c r="S1205" i="31"/>
  <c r="T1205" i="31"/>
  <c r="I1206" i="31"/>
  <c r="J1206" i="31"/>
  <c r="K1206" i="31"/>
  <c r="L1206" i="31"/>
  <c r="M1206" i="31"/>
  <c r="N1206" i="31"/>
  <c r="O1206" i="31"/>
  <c r="P1206" i="31"/>
  <c r="Q1206" i="31"/>
  <c r="R1206" i="31"/>
  <c r="S1206" i="31"/>
  <c r="T1206" i="31"/>
  <c r="I1207" i="31"/>
  <c r="J1207" i="31"/>
  <c r="K1207" i="31"/>
  <c r="L1207" i="31"/>
  <c r="M1207" i="31"/>
  <c r="N1207" i="31"/>
  <c r="O1207" i="31"/>
  <c r="P1207" i="31"/>
  <c r="Q1207" i="31"/>
  <c r="R1207" i="31"/>
  <c r="S1207" i="31"/>
  <c r="T1207" i="31"/>
  <c r="I1208" i="31"/>
  <c r="J1208" i="31"/>
  <c r="K1208" i="31"/>
  <c r="L1208" i="31"/>
  <c r="M1208" i="31"/>
  <c r="N1208" i="31"/>
  <c r="O1208" i="31"/>
  <c r="P1208" i="31"/>
  <c r="Q1208" i="31"/>
  <c r="R1208" i="31"/>
  <c r="S1208" i="31"/>
  <c r="T1208" i="31"/>
  <c r="I1209" i="31"/>
  <c r="J1209" i="31"/>
  <c r="K1209" i="31"/>
  <c r="L1209" i="31"/>
  <c r="M1209" i="31"/>
  <c r="N1209" i="31"/>
  <c r="O1209" i="31"/>
  <c r="P1209" i="31"/>
  <c r="Q1209" i="31"/>
  <c r="R1209" i="31"/>
  <c r="S1209" i="31"/>
  <c r="T1209" i="31"/>
  <c r="I1210" i="31"/>
  <c r="J1210" i="31"/>
  <c r="K1210" i="31"/>
  <c r="L1210" i="31"/>
  <c r="M1210" i="31"/>
  <c r="N1210" i="31"/>
  <c r="O1210" i="31"/>
  <c r="P1210" i="31"/>
  <c r="Q1210" i="31"/>
  <c r="R1210" i="31"/>
  <c r="S1210" i="31"/>
  <c r="T1210" i="31"/>
  <c r="I1211" i="31"/>
  <c r="J1211" i="31"/>
  <c r="K1211" i="31"/>
  <c r="L1211" i="31"/>
  <c r="M1211" i="31"/>
  <c r="N1211" i="31"/>
  <c r="O1211" i="31"/>
  <c r="P1211" i="31"/>
  <c r="Q1211" i="31"/>
  <c r="R1211" i="31"/>
  <c r="S1211" i="31"/>
  <c r="T1211" i="31"/>
  <c r="I1212" i="31"/>
  <c r="J1212" i="31"/>
  <c r="K1212" i="31"/>
  <c r="L1212" i="31"/>
  <c r="M1212" i="31"/>
  <c r="N1212" i="31"/>
  <c r="O1212" i="31"/>
  <c r="P1212" i="31"/>
  <c r="Q1212" i="31"/>
  <c r="R1212" i="31"/>
  <c r="S1212" i="31"/>
  <c r="T1212" i="31"/>
  <c r="I1213" i="31"/>
  <c r="J1213" i="31"/>
  <c r="K1213" i="31"/>
  <c r="L1213" i="31"/>
  <c r="M1213" i="31"/>
  <c r="N1213" i="31"/>
  <c r="O1213" i="31"/>
  <c r="P1213" i="31"/>
  <c r="Q1213" i="31"/>
  <c r="R1213" i="31"/>
  <c r="S1213" i="31"/>
  <c r="T1213" i="31"/>
  <c r="I1214" i="31"/>
  <c r="J1214" i="31"/>
  <c r="K1214" i="31"/>
  <c r="L1214" i="31"/>
  <c r="M1214" i="31"/>
  <c r="N1214" i="31"/>
  <c r="O1214" i="31"/>
  <c r="P1214" i="31"/>
  <c r="Q1214" i="31"/>
  <c r="R1214" i="31"/>
  <c r="S1214" i="31"/>
  <c r="T1214" i="31"/>
  <c r="I1215" i="31"/>
  <c r="J1215" i="31"/>
  <c r="K1215" i="31"/>
  <c r="L1215" i="31"/>
  <c r="M1215" i="31"/>
  <c r="N1215" i="31"/>
  <c r="O1215" i="31"/>
  <c r="P1215" i="31"/>
  <c r="Q1215" i="31"/>
  <c r="R1215" i="31"/>
  <c r="S1215" i="31"/>
  <c r="T1215" i="31"/>
  <c r="I1216" i="31"/>
  <c r="J1216" i="31"/>
  <c r="K1216" i="31"/>
  <c r="L1216" i="31"/>
  <c r="M1216" i="31"/>
  <c r="N1216" i="31"/>
  <c r="O1216" i="31"/>
  <c r="P1216" i="31"/>
  <c r="Q1216" i="31"/>
  <c r="R1216" i="31"/>
  <c r="S1216" i="31"/>
  <c r="T1216" i="31"/>
  <c r="I1217" i="31"/>
  <c r="J1217" i="31"/>
  <c r="K1217" i="31"/>
  <c r="L1217" i="31"/>
  <c r="M1217" i="31"/>
  <c r="N1217" i="31"/>
  <c r="O1217" i="31"/>
  <c r="P1217" i="31"/>
  <c r="Q1217" i="31"/>
  <c r="R1217" i="31"/>
  <c r="S1217" i="31"/>
  <c r="T1217" i="31"/>
  <c r="I1218" i="31"/>
  <c r="J1218" i="31"/>
  <c r="K1218" i="31"/>
  <c r="L1218" i="31"/>
  <c r="M1218" i="31"/>
  <c r="N1218" i="31"/>
  <c r="O1218" i="31"/>
  <c r="P1218" i="31"/>
  <c r="Q1218" i="31"/>
  <c r="R1218" i="31"/>
  <c r="S1218" i="31"/>
  <c r="T1218" i="31"/>
  <c r="I1219" i="31"/>
  <c r="J1219" i="31"/>
  <c r="K1219" i="31"/>
  <c r="L1219" i="31"/>
  <c r="M1219" i="31"/>
  <c r="N1219" i="31"/>
  <c r="O1219" i="31"/>
  <c r="P1219" i="31"/>
  <c r="Q1219" i="31"/>
  <c r="R1219" i="31"/>
  <c r="S1219" i="31"/>
  <c r="T1219" i="31"/>
  <c r="I1220" i="31"/>
  <c r="J1220" i="31"/>
  <c r="K1220" i="31"/>
  <c r="L1220" i="31"/>
  <c r="M1220" i="31"/>
  <c r="N1220" i="31"/>
  <c r="O1220" i="31"/>
  <c r="P1220" i="31"/>
  <c r="Q1220" i="31"/>
  <c r="R1220" i="31"/>
  <c r="S1220" i="31"/>
  <c r="T1220" i="31"/>
  <c r="I1221" i="31"/>
  <c r="J1221" i="31"/>
  <c r="K1221" i="31"/>
  <c r="L1221" i="31"/>
  <c r="M1221" i="31"/>
  <c r="N1221" i="31"/>
  <c r="O1221" i="31"/>
  <c r="P1221" i="31"/>
  <c r="Q1221" i="31"/>
  <c r="R1221" i="31"/>
  <c r="S1221" i="31"/>
  <c r="T1221" i="31"/>
  <c r="I1222" i="31"/>
  <c r="J1222" i="31"/>
  <c r="K1222" i="31"/>
  <c r="L1222" i="31"/>
  <c r="M1222" i="31"/>
  <c r="N1222" i="31"/>
  <c r="O1222" i="31"/>
  <c r="P1222" i="31"/>
  <c r="Q1222" i="31"/>
  <c r="R1222" i="31"/>
  <c r="S1222" i="31"/>
  <c r="T1222" i="31"/>
  <c r="I1223" i="31"/>
  <c r="J1223" i="31"/>
  <c r="K1223" i="31"/>
  <c r="L1223" i="31"/>
  <c r="M1223" i="31"/>
  <c r="N1223" i="31"/>
  <c r="O1223" i="31"/>
  <c r="P1223" i="31"/>
  <c r="Q1223" i="31"/>
  <c r="R1223" i="31"/>
  <c r="S1223" i="31"/>
  <c r="T1223" i="31"/>
  <c r="I1224" i="31"/>
  <c r="J1224" i="31"/>
  <c r="K1224" i="31"/>
  <c r="L1224" i="31"/>
  <c r="M1224" i="31"/>
  <c r="N1224" i="31"/>
  <c r="O1224" i="31"/>
  <c r="P1224" i="31"/>
  <c r="Q1224" i="31"/>
  <c r="R1224" i="31"/>
  <c r="S1224" i="31"/>
  <c r="T1224" i="31"/>
  <c r="I1225" i="31"/>
  <c r="J1225" i="31"/>
  <c r="K1225" i="31"/>
  <c r="L1225" i="31"/>
  <c r="M1225" i="31"/>
  <c r="N1225" i="31"/>
  <c r="O1225" i="31"/>
  <c r="P1225" i="31"/>
  <c r="Q1225" i="31"/>
  <c r="R1225" i="31"/>
  <c r="S1225" i="31"/>
  <c r="T1225" i="31"/>
  <c r="I1226" i="31"/>
  <c r="J1226" i="31"/>
  <c r="K1226" i="31"/>
  <c r="L1226" i="31"/>
  <c r="M1226" i="31"/>
  <c r="N1226" i="31"/>
  <c r="O1226" i="31"/>
  <c r="P1226" i="31"/>
  <c r="Q1226" i="31"/>
  <c r="R1226" i="31"/>
  <c r="S1226" i="31"/>
  <c r="T1226" i="31"/>
  <c r="I1227" i="31"/>
  <c r="J1227" i="31"/>
  <c r="K1227" i="31"/>
  <c r="L1227" i="31"/>
  <c r="M1227" i="31"/>
  <c r="N1227" i="31"/>
  <c r="O1227" i="31"/>
  <c r="P1227" i="31"/>
  <c r="Q1227" i="31"/>
  <c r="R1227" i="31"/>
  <c r="S1227" i="31"/>
  <c r="T1227" i="31"/>
  <c r="I1228" i="31"/>
  <c r="J1228" i="31"/>
  <c r="K1228" i="31"/>
  <c r="L1228" i="31"/>
  <c r="M1228" i="31"/>
  <c r="N1228" i="31"/>
  <c r="O1228" i="31"/>
  <c r="P1228" i="31"/>
  <c r="Q1228" i="31"/>
  <c r="R1228" i="31"/>
  <c r="S1228" i="31"/>
  <c r="T1228" i="31"/>
  <c r="I1229" i="31"/>
  <c r="J1229" i="31"/>
  <c r="K1229" i="31"/>
  <c r="L1229" i="31"/>
  <c r="M1229" i="31"/>
  <c r="N1229" i="31"/>
  <c r="O1229" i="31"/>
  <c r="P1229" i="31"/>
  <c r="Q1229" i="31"/>
  <c r="R1229" i="31"/>
  <c r="S1229" i="31"/>
  <c r="T1229" i="31"/>
  <c r="I1230" i="31"/>
  <c r="J1230" i="31"/>
  <c r="K1230" i="31"/>
  <c r="L1230" i="31"/>
  <c r="M1230" i="31"/>
  <c r="N1230" i="31"/>
  <c r="O1230" i="31"/>
  <c r="P1230" i="31"/>
  <c r="Q1230" i="31"/>
  <c r="R1230" i="31"/>
  <c r="S1230" i="31"/>
  <c r="T1230" i="31"/>
  <c r="I1231" i="31"/>
  <c r="J1231" i="31"/>
  <c r="K1231" i="31"/>
  <c r="L1231" i="31"/>
  <c r="M1231" i="31"/>
  <c r="N1231" i="31"/>
  <c r="O1231" i="31"/>
  <c r="P1231" i="31"/>
  <c r="Q1231" i="31"/>
  <c r="R1231" i="31"/>
  <c r="S1231" i="31"/>
  <c r="T1231" i="31"/>
  <c r="I1232" i="31"/>
  <c r="J1232" i="31"/>
  <c r="K1232" i="31"/>
  <c r="L1232" i="31"/>
  <c r="M1232" i="31"/>
  <c r="N1232" i="31"/>
  <c r="O1232" i="31"/>
  <c r="P1232" i="31"/>
  <c r="Q1232" i="31"/>
  <c r="R1232" i="31"/>
  <c r="S1232" i="31"/>
  <c r="T1232" i="31"/>
  <c r="I1233" i="31"/>
  <c r="J1233" i="31"/>
  <c r="K1233" i="31"/>
  <c r="L1233" i="31"/>
  <c r="M1233" i="31"/>
  <c r="N1233" i="31"/>
  <c r="O1233" i="31"/>
  <c r="P1233" i="31"/>
  <c r="Q1233" i="31"/>
  <c r="R1233" i="31"/>
  <c r="S1233" i="31"/>
  <c r="T1233" i="31"/>
  <c r="I1234" i="31"/>
  <c r="J1234" i="31"/>
  <c r="K1234" i="31"/>
  <c r="L1234" i="31"/>
  <c r="M1234" i="31"/>
  <c r="N1234" i="31"/>
  <c r="O1234" i="31"/>
  <c r="P1234" i="31"/>
  <c r="Q1234" i="31"/>
  <c r="R1234" i="31"/>
  <c r="S1234" i="31"/>
  <c r="T1234" i="31"/>
  <c r="I1235" i="31"/>
  <c r="J1235" i="31"/>
  <c r="K1235" i="31"/>
  <c r="L1235" i="31"/>
  <c r="M1235" i="31"/>
  <c r="N1235" i="31"/>
  <c r="O1235" i="31"/>
  <c r="P1235" i="31"/>
  <c r="Q1235" i="31"/>
  <c r="R1235" i="31"/>
  <c r="S1235" i="31"/>
  <c r="T1235" i="31"/>
  <c r="I1236" i="31"/>
  <c r="J1236" i="31"/>
  <c r="K1236" i="31"/>
  <c r="L1236" i="31"/>
  <c r="M1236" i="31"/>
  <c r="N1236" i="31"/>
  <c r="O1236" i="31"/>
  <c r="P1236" i="31"/>
  <c r="Q1236" i="31"/>
  <c r="R1236" i="31"/>
  <c r="S1236" i="31"/>
  <c r="T1236" i="31"/>
  <c r="I1237" i="31"/>
  <c r="J1237" i="31"/>
  <c r="K1237" i="31"/>
  <c r="L1237" i="31"/>
  <c r="M1237" i="31"/>
  <c r="N1237" i="31"/>
  <c r="O1237" i="31"/>
  <c r="P1237" i="31"/>
  <c r="Q1237" i="31"/>
  <c r="R1237" i="31"/>
  <c r="S1237" i="31"/>
  <c r="T1237" i="31"/>
  <c r="I1238" i="31"/>
  <c r="J1238" i="31"/>
  <c r="K1238" i="31"/>
  <c r="L1238" i="31"/>
  <c r="M1238" i="31"/>
  <c r="N1238" i="31"/>
  <c r="O1238" i="31"/>
  <c r="P1238" i="31"/>
  <c r="Q1238" i="31"/>
  <c r="R1238" i="31"/>
  <c r="S1238" i="31"/>
  <c r="T1238" i="31"/>
  <c r="I1239" i="31"/>
  <c r="J1239" i="31"/>
  <c r="K1239" i="31"/>
  <c r="L1239" i="31"/>
  <c r="M1239" i="31"/>
  <c r="N1239" i="31"/>
  <c r="O1239" i="31"/>
  <c r="P1239" i="31"/>
  <c r="Q1239" i="31"/>
  <c r="R1239" i="31"/>
  <c r="S1239" i="31"/>
  <c r="T1239" i="31"/>
  <c r="I1240" i="31"/>
  <c r="J1240" i="31"/>
  <c r="K1240" i="31"/>
  <c r="L1240" i="31"/>
  <c r="M1240" i="31"/>
  <c r="N1240" i="31"/>
  <c r="O1240" i="31"/>
  <c r="P1240" i="31"/>
  <c r="Q1240" i="31"/>
  <c r="R1240" i="31"/>
  <c r="S1240" i="31"/>
  <c r="T1240" i="31"/>
  <c r="I1241" i="31"/>
  <c r="J1241" i="31"/>
  <c r="K1241" i="31"/>
  <c r="L1241" i="31"/>
  <c r="M1241" i="31"/>
  <c r="N1241" i="31"/>
  <c r="O1241" i="31"/>
  <c r="P1241" i="31"/>
  <c r="Q1241" i="31"/>
  <c r="R1241" i="31"/>
  <c r="S1241" i="31"/>
  <c r="T1241" i="31"/>
  <c r="I1242" i="31"/>
  <c r="J1242" i="31"/>
  <c r="K1242" i="31"/>
  <c r="L1242" i="31"/>
  <c r="M1242" i="31"/>
  <c r="N1242" i="31"/>
  <c r="O1242" i="31"/>
  <c r="P1242" i="31"/>
  <c r="Q1242" i="31"/>
  <c r="R1242" i="31"/>
  <c r="S1242" i="31"/>
  <c r="T1242" i="31"/>
  <c r="I1243" i="31"/>
  <c r="J1243" i="31"/>
  <c r="K1243" i="31"/>
  <c r="L1243" i="31"/>
  <c r="M1243" i="31"/>
  <c r="N1243" i="31"/>
  <c r="O1243" i="31"/>
  <c r="P1243" i="31"/>
  <c r="Q1243" i="31"/>
  <c r="R1243" i="31"/>
  <c r="S1243" i="31"/>
  <c r="T1243" i="31"/>
  <c r="I1244" i="31"/>
  <c r="J1244" i="31"/>
  <c r="K1244" i="31"/>
  <c r="L1244" i="31"/>
  <c r="M1244" i="31"/>
  <c r="N1244" i="31"/>
  <c r="O1244" i="31"/>
  <c r="P1244" i="31"/>
  <c r="Q1244" i="31"/>
  <c r="R1244" i="31"/>
  <c r="S1244" i="31"/>
  <c r="T1244" i="31"/>
  <c r="I1245" i="31"/>
  <c r="J1245" i="31"/>
  <c r="K1245" i="31"/>
  <c r="L1245" i="31"/>
  <c r="M1245" i="31"/>
  <c r="N1245" i="31"/>
  <c r="O1245" i="31"/>
  <c r="P1245" i="31"/>
  <c r="Q1245" i="31"/>
  <c r="R1245" i="31"/>
  <c r="S1245" i="31"/>
  <c r="T1245" i="31"/>
  <c r="I1246" i="31"/>
  <c r="J1246" i="31"/>
  <c r="K1246" i="31"/>
  <c r="L1246" i="31"/>
  <c r="M1246" i="31"/>
  <c r="N1246" i="31"/>
  <c r="O1246" i="31"/>
  <c r="P1246" i="31"/>
  <c r="Q1246" i="31"/>
  <c r="R1246" i="31"/>
  <c r="S1246" i="31"/>
  <c r="T1246" i="31"/>
  <c r="I1247" i="31"/>
  <c r="J1247" i="31"/>
  <c r="K1247" i="31"/>
  <c r="L1247" i="31"/>
  <c r="M1247" i="31"/>
  <c r="N1247" i="31"/>
  <c r="O1247" i="31"/>
  <c r="P1247" i="31"/>
  <c r="Q1247" i="31"/>
  <c r="R1247" i="31"/>
  <c r="S1247" i="31"/>
  <c r="T1247" i="31"/>
  <c r="I1248" i="31"/>
  <c r="J1248" i="31"/>
  <c r="K1248" i="31"/>
  <c r="L1248" i="31"/>
  <c r="M1248" i="31"/>
  <c r="N1248" i="31"/>
  <c r="O1248" i="31"/>
  <c r="P1248" i="31"/>
  <c r="Q1248" i="31"/>
  <c r="R1248" i="31"/>
  <c r="S1248" i="31"/>
  <c r="T1248" i="31"/>
  <c r="I1249" i="31"/>
  <c r="J1249" i="31"/>
  <c r="K1249" i="31"/>
  <c r="L1249" i="31"/>
  <c r="M1249" i="31"/>
  <c r="N1249" i="31"/>
  <c r="O1249" i="31"/>
  <c r="P1249" i="31"/>
  <c r="Q1249" i="31"/>
  <c r="R1249" i="31"/>
  <c r="S1249" i="31"/>
  <c r="T1249" i="31"/>
  <c r="I1250" i="31"/>
  <c r="J1250" i="31"/>
  <c r="K1250" i="31"/>
  <c r="L1250" i="31"/>
  <c r="M1250" i="31"/>
  <c r="N1250" i="31"/>
  <c r="O1250" i="31"/>
  <c r="P1250" i="31"/>
  <c r="Q1250" i="31"/>
  <c r="R1250" i="31"/>
  <c r="S1250" i="31"/>
  <c r="T1250" i="31"/>
  <c r="I1251" i="31"/>
  <c r="J1251" i="31"/>
  <c r="K1251" i="31"/>
  <c r="L1251" i="31"/>
  <c r="M1251" i="31"/>
  <c r="N1251" i="31"/>
  <c r="O1251" i="31"/>
  <c r="P1251" i="31"/>
  <c r="Q1251" i="31"/>
  <c r="R1251" i="31"/>
  <c r="S1251" i="31"/>
  <c r="T1251" i="31"/>
  <c r="I1252" i="31"/>
  <c r="J1252" i="31"/>
  <c r="K1252" i="31"/>
  <c r="L1252" i="31"/>
  <c r="M1252" i="31"/>
  <c r="N1252" i="31"/>
  <c r="O1252" i="31"/>
  <c r="P1252" i="31"/>
  <c r="Q1252" i="31"/>
  <c r="R1252" i="31"/>
  <c r="S1252" i="31"/>
  <c r="T1252" i="31"/>
  <c r="I1253" i="31"/>
  <c r="J1253" i="31"/>
  <c r="K1253" i="31"/>
  <c r="L1253" i="31"/>
  <c r="M1253" i="31"/>
  <c r="N1253" i="31"/>
  <c r="O1253" i="31"/>
  <c r="P1253" i="31"/>
  <c r="Q1253" i="31"/>
  <c r="R1253" i="31"/>
  <c r="S1253" i="31"/>
  <c r="T1253" i="31"/>
  <c r="I1254" i="31"/>
  <c r="J1254" i="31"/>
  <c r="K1254" i="31"/>
  <c r="L1254" i="31"/>
  <c r="M1254" i="31"/>
  <c r="N1254" i="31"/>
  <c r="O1254" i="31"/>
  <c r="P1254" i="31"/>
  <c r="Q1254" i="31"/>
  <c r="R1254" i="31"/>
  <c r="S1254" i="31"/>
  <c r="T1254" i="31"/>
  <c r="I1255" i="31"/>
  <c r="J1255" i="31"/>
  <c r="K1255" i="31"/>
  <c r="L1255" i="31"/>
  <c r="M1255" i="31"/>
  <c r="N1255" i="31"/>
  <c r="O1255" i="31"/>
  <c r="P1255" i="31"/>
  <c r="Q1255" i="31"/>
  <c r="R1255" i="31"/>
  <c r="S1255" i="31"/>
  <c r="T1255" i="31"/>
  <c r="I1256" i="31"/>
  <c r="J1256" i="31"/>
  <c r="K1256" i="31"/>
  <c r="L1256" i="31"/>
  <c r="M1256" i="31"/>
  <c r="N1256" i="31"/>
  <c r="O1256" i="31"/>
  <c r="P1256" i="31"/>
  <c r="Q1256" i="31"/>
  <c r="R1256" i="31"/>
  <c r="S1256" i="31"/>
  <c r="T1256" i="31"/>
  <c r="I1257" i="31"/>
  <c r="J1257" i="31"/>
  <c r="K1257" i="31"/>
  <c r="L1257" i="31"/>
  <c r="M1257" i="31"/>
  <c r="N1257" i="31"/>
  <c r="O1257" i="31"/>
  <c r="P1257" i="31"/>
  <c r="Q1257" i="31"/>
  <c r="R1257" i="31"/>
  <c r="S1257" i="31"/>
  <c r="T1257" i="31"/>
  <c r="I1258" i="31"/>
  <c r="J1258" i="31"/>
  <c r="K1258" i="31"/>
  <c r="L1258" i="31"/>
  <c r="M1258" i="31"/>
  <c r="N1258" i="31"/>
  <c r="O1258" i="31"/>
  <c r="P1258" i="31"/>
  <c r="Q1258" i="31"/>
  <c r="R1258" i="31"/>
  <c r="S1258" i="31"/>
  <c r="T1258" i="31"/>
  <c r="I1259" i="31"/>
  <c r="J1259" i="31"/>
  <c r="K1259" i="31"/>
  <c r="L1259" i="31"/>
  <c r="M1259" i="31"/>
  <c r="N1259" i="31"/>
  <c r="O1259" i="31"/>
  <c r="P1259" i="31"/>
  <c r="Q1259" i="31"/>
  <c r="R1259" i="31"/>
  <c r="S1259" i="31"/>
  <c r="T1259" i="31"/>
  <c r="I1260" i="31"/>
  <c r="J1260" i="31"/>
  <c r="K1260" i="31"/>
  <c r="L1260" i="31"/>
  <c r="M1260" i="31"/>
  <c r="N1260" i="31"/>
  <c r="O1260" i="31"/>
  <c r="P1260" i="31"/>
  <c r="Q1260" i="31"/>
  <c r="R1260" i="31"/>
  <c r="S1260" i="31"/>
  <c r="T1260" i="31"/>
  <c r="I1261" i="31"/>
  <c r="J1261" i="31"/>
  <c r="K1261" i="31"/>
  <c r="L1261" i="31"/>
  <c r="M1261" i="31"/>
  <c r="N1261" i="31"/>
  <c r="O1261" i="31"/>
  <c r="P1261" i="31"/>
  <c r="Q1261" i="31"/>
  <c r="R1261" i="31"/>
  <c r="S1261" i="31"/>
  <c r="T1261" i="31"/>
  <c r="I1262" i="31"/>
  <c r="J1262" i="31"/>
  <c r="K1262" i="31"/>
  <c r="L1262" i="31"/>
  <c r="M1262" i="31"/>
  <c r="N1262" i="31"/>
  <c r="O1262" i="31"/>
  <c r="P1262" i="31"/>
  <c r="Q1262" i="31"/>
  <c r="R1262" i="31"/>
  <c r="S1262" i="31"/>
  <c r="T1262" i="31"/>
  <c r="I1263" i="31"/>
  <c r="J1263" i="31"/>
  <c r="K1263" i="31"/>
  <c r="L1263" i="31"/>
  <c r="M1263" i="31"/>
  <c r="N1263" i="31"/>
  <c r="O1263" i="31"/>
  <c r="P1263" i="31"/>
  <c r="Q1263" i="31"/>
  <c r="R1263" i="31"/>
  <c r="S1263" i="31"/>
  <c r="T1263" i="31"/>
  <c r="I1264" i="31"/>
  <c r="J1264" i="31"/>
  <c r="K1264" i="31"/>
  <c r="L1264" i="31"/>
  <c r="M1264" i="31"/>
  <c r="N1264" i="31"/>
  <c r="O1264" i="31"/>
  <c r="P1264" i="31"/>
  <c r="Q1264" i="31"/>
  <c r="R1264" i="31"/>
  <c r="S1264" i="31"/>
  <c r="T1264" i="31"/>
  <c r="I1265" i="31"/>
  <c r="J1265" i="31"/>
  <c r="K1265" i="31"/>
  <c r="L1265" i="31"/>
  <c r="M1265" i="31"/>
  <c r="N1265" i="31"/>
  <c r="O1265" i="31"/>
  <c r="P1265" i="31"/>
  <c r="Q1265" i="31"/>
  <c r="R1265" i="31"/>
  <c r="S1265" i="31"/>
  <c r="T1265" i="31"/>
  <c r="I1266" i="31"/>
  <c r="J1266" i="31"/>
  <c r="K1266" i="31"/>
  <c r="L1266" i="31"/>
  <c r="M1266" i="31"/>
  <c r="N1266" i="31"/>
  <c r="O1266" i="31"/>
  <c r="P1266" i="31"/>
  <c r="Q1266" i="31"/>
  <c r="R1266" i="31"/>
  <c r="S1266" i="31"/>
  <c r="T1266" i="31"/>
  <c r="I1267" i="31"/>
  <c r="J1267" i="31"/>
  <c r="K1267" i="31"/>
  <c r="L1267" i="31"/>
  <c r="M1267" i="31"/>
  <c r="N1267" i="31"/>
  <c r="O1267" i="31"/>
  <c r="P1267" i="31"/>
  <c r="Q1267" i="31"/>
  <c r="R1267" i="31"/>
  <c r="S1267" i="31"/>
  <c r="T1267" i="31"/>
  <c r="I1268" i="31"/>
  <c r="J1268" i="31"/>
  <c r="K1268" i="31"/>
  <c r="L1268" i="31"/>
  <c r="M1268" i="31"/>
  <c r="N1268" i="31"/>
  <c r="O1268" i="31"/>
  <c r="P1268" i="31"/>
  <c r="Q1268" i="31"/>
  <c r="R1268" i="31"/>
  <c r="S1268" i="31"/>
  <c r="T1268" i="31"/>
  <c r="I1269" i="31"/>
  <c r="J1269" i="31"/>
  <c r="K1269" i="31"/>
  <c r="L1269" i="31"/>
  <c r="M1269" i="31"/>
  <c r="N1269" i="31"/>
  <c r="O1269" i="31"/>
  <c r="P1269" i="31"/>
  <c r="Q1269" i="31"/>
  <c r="R1269" i="31"/>
  <c r="S1269" i="31"/>
  <c r="T1269" i="31"/>
  <c r="I1270" i="31"/>
  <c r="J1270" i="31"/>
  <c r="K1270" i="31"/>
  <c r="L1270" i="31"/>
  <c r="M1270" i="31"/>
  <c r="N1270" i="31"/>
  <c r="O1270" i="31"/>
  <c r="P1270" i="31"/>
  <c r="Q1270" i="31"/>
  <c r="R1270" i="31"/>
  <c r="S1270" i="31"/>
  <c r="T1270" i="31"/>
  <c r="I1271" i="31"/>
  <c r="J1271" i="31"/>
  <c r="K1271" i="31"/>
  <c r="L1271" i="31"/>
  <c r="M1271" i="31"/>
  <c r="N1271" i="31"/>
  <c r="O1271" i="31"/>
  <c r="P1271" i="31"/>
  <c r="Q1271" i="31"/>
  <c r="R1271" i="31"/>
  <c r="S1271" i="31"/>
  <c r="T1271" i="31"/>
  <c r="I1272" i="31"/>
  <c r="J1272" i="31"/>
  <c r="K1272" i="31"/>
  <c r="L1272" i="31"/>
  <c r="M1272" i="31"/>
  <c r="N1272" i="31"/>
  <c r="O1272" i="31"/>
  <c r="P1272" i="31"/>
  <c r="Q1272" i="31"/>
  <c r="R1272" i="31"/>
  <c r="S1272" i="31"/>
  <c r="T1272" i="31"/>
  <c r="I1273" i="31"/>
  <c r="J1273" i="31"/>
  <c r="K1273" i="31"/>
  <c r="L1273" i="31"/>
  <c r="M1273" i="31"/>
  <c r="N1273" i="31"/>
  <c r="O1273" i="31"/>
  <c r="P1273" i="31"/>
  <c r="Q1273" i="31"/>
  <c r="R1273" i="31"/>
  <c r="S1273" i="31"/>
  <c r="T1273" i="31"/>
  <c r="I1274" i="31"/>
  <c r="J1274" i="31"/>
  <c r="K1274" i="31"/>
  <c r="L1274" i="31"/>
  <c r="M1274" i="31"/>
  <c r="N1274" i="31"/>
  <c r="O1274" i="31"/>
  <c r="P1274" i="31"/>
  <c r="Q1274" i="31"/>
  <c r="R1274" i="31"/>
  <c r="S1274" i="31"/>
  <c r="T1274" i="31"/>
  <c r="I1275" i="31"/>
  <c r="J1275" i="31"/>
  <c r="K1275" i="31"/>
  <c r="L1275" i="31"/>
  <c r="M1275" i="31"/>
  <c r="N1275" i="31"/>
  <c r="O1275" i="31"/>
  <c r="P1275" i="31"/>
  <c r="Q1275" i="31"/>
  <c r="R1275" i="31"/>
  <c r="S1275" i="31"/>
  <c r="T1275" i="31"/>
  <c r="I1276" i="31"/>
  <c r="J1276" i="31"/>
  <c r="K1276" i="31"/>
  <c r="L1276" i="31"/>
  <c r="M1276" i="31"/>
  <c r="N1276" i="31"/>
  <c r="O1276" i="31"/>
  <c r="P1276" i="31"/>
  <c r="Q1276" i="31"/>
  <c r="R1276" i="31"/>
  <c r="S1276" i="31"/>
  <c r="T1276" i="31"/>
  <c r="I1277" i="31"/>
  <c r="J1277" i="31"/>
  <c r="K1277" i="31"/>
  <c r="L1277" i="31"/>
  <c r="M1277" i="31"/>
  <c r="N1277" i="31"/>
  <c r="O1277" i="31"/>
  <c r="P1277" i="31"/>
  <c r="Q1277" i="31"/>
  <c r="R1277" i="31"/>
  <c r="S1277" i="31"/>
  <c r="T1277" i="31"/>
  <c r="I1278" i="31"/>
  <c r="J1278" i="31"/>
  <c r="K1278" i="31"/>
  <c r="L1278" i="31"/>
  <c r="M1278" i="31"/>
  <c r="N1278" i="31"/>
  <c r="O1278" i="31"/>
  <c r="P1278" i="31"/>
  <c r="Q1278" i="31"/>
  <c r="R1278" i="31"/>
  <c r="S1278" i="31"/>
  <c r="T1278" i="31"/>
  <c r="I1279" i="31"/>
  <c r="J1279" i="31"/>
  <c r="K1279" i="31"/>
  <c r="L1279" i="31"/>
  <c r="M1279" i="31"/>
  <c r="N1279" i="31"/>
  <c r="O1279" i="31"/>
  <c r="P1279" i="31"/>
  <c r="Q1279" i="31"/>
  <c r="R1279" i="31"/>
  <c r="S1279" i="31"/>
  <c r="T1279" i="31"/>
  <c r="I1280" i="31"/>
  <c r="J1280" i="31"/>
  <c r="K1280" i="31"/>
  <c r="L1280" i="31"/>
  <c r="M1280" i="31"/>
  <c r="N1280" i="31"/>
  <c r="O1280" i="31"/>
  <c r="P1280" i="31"/>
  <c r="Q1280" i="31"/>
  <c r="R1280" i="31"/>
  <c r="S1280" i="31"/>
  <c r="T1280" i="31"/>
  <c r="I1281" i="31"/>
  <c r="J1281" i="31"/>
  <c r="K1281" i="31"/>
  <c r="L1281" i="31"/>
  <c r="M1281" i="31"/>
  <c r="N1281" i="31"/>
  <c r="O1281" i="31"/>
  <c r="P1281" i="31"/>
  <c r="Q1281" i="31"/>
  <c r="R1281" i="31"/>
  <c r="S1281" i="31"/>
  <c r="T1281" i="31"/>
  <c r="I1282" i="31"/>
  <c r="J1282" i="31"/>
  <c r="K1282" i="31"/>
  <c r="L1282" i="31"/>
  <c r="M1282" i="31"/>
  <c r="N1282" i="31"/>
  <c r="O1282" i="31"/>
  <c r="P1282" i="31"/>
  <c r="Q1282" i="31"/>
  <c r="R1282" i="31"/>
  <c r="S1282" i="31"/>
  <c r="T1282" i="31"/>
  <c r="I1283" i="31"/>
  <c r="J1283" i="31"/>
  <c r="K1283" i="31"/>
  <c r="L1283" i="31"/>
  <c r="M1283" i="31"/>
  <c r="N1283" i="31"/>
  <c r="O1283" i="31"/>
  <c r="P1283" i="31"/>
  <c r="Q1283" i="31"/>
  <c r="R1283" i="31"/>
  <c r="S1283" i="31"/>
  <c r="T1283" i="31"/>
  <c r="I1284" i="31"/>
  <c r="J1284" i="31"/>
  <c r="K1284" i="31"/>
  <c r="L1284" i="31"/>
  <c r="M1284" i="31"/>
  <c r="N1284" i="31"/>
  <c r="O1284" i="31"/>
  <c r="P1284" i="31"/>
  <c r="Q1284" i="31"/>
  <c r="R1284" i="31"/>
  <c r="S1284" i="31"/>
  <c r="T1284" i="31"/>
  <c r="I1285" i="31"/>
  <c r="J1285" i="31"/>
  <c r="K1285" i="31"/>
  <c r="L1285" i="31"/>
  <c r="M1285" i="31"/>
  <c r="N1285" i="31"/>
  <c r="O1285" i="31"/>
  <c r="P1285" i="31"/>
  <c r="Q1285" i="31"/>
  <c r="R1285" i="31"/>
  <c r="S1285" i="31"/>
  <c r="T1285" i="31"/>
  <c r="I1286" i="31"/>
  <c r="J1286" i="31"/>
  <c r="K1286" i="31"/>
  <c r="L1286" i="31"/>
  <c r="M1286" i="31"/>
  <c r="N1286" i="31"/>
  <c r="O1286" i="31"/>
  <c r="P1286" i="31"/>
  <c r="Q1286" i="31"/>
  <c r="R1286" i="31"/>
  <c r="S1286" i="31"/>
  <c r="T1286" i="31"/>
  <c r="I1287" i="31"/>
  <c r="J1287" i="31"/>
  <c r="K1287" i="31"/>
  <c r="L1287" i="31"/>
  <c r="M1287" i="31"/>
  <c r="N1287" i="31"/>
  <c r="O1287" i="31"/>
  <c r="P1287" i="31"/>
  <c r="Q1287" i="31"/>
  <c r="R1287" i="31"/>
  <c r="S1287" i="31"/>
  <c r="T1287" i="31"/>
  <c r="I1288" i="31"/>
  <c r="J1288" i="31"/>
  <c r="K1288" i="31"/>
  <c r="L1288" i="31"/>
  <c r="M1288" i="31"/>
  <c r="N1288" i="31"/>
  <c r="O1288" i="31"/>
  <c r="P1288" i="31"/>
  <c r="Q1288" i="31"/>
  <c r="R1288" i="31"/>
  <c r="S1288" i="31"/>
  <c r="T1288" i="31"/>
  <c r="I1289" i="31"/>
  <c r="J1289" i="31"/>
  <c r="K1289" i="31"/>
  <c r="L1289" i="31"/>
  <c r="M1289" i="31"/>
  <c r="N1289" i="31"/>
  <c r="O1289" i="31"/>
  <c r="P1289" i="31"/>
  <c r="Q1289" i="31"/>
  <c r="R1289" i="31"/>
  <c r="S1289" i="31"/>
  <c r="T1289" i="31"/>
  <c r="I1290" i="31"/>
  <c r="J1290" i="31"/>
  <c r="K1290" i="31"/>
  <c r="L1290" i="31"/>
  <c r="M1290" i="31"/>
  <c r="N1290" i="31"/>
  <c r="O1290" i="31"/>
  <c r="P1290" i="31"/>
  <c r="Q1290" i="31"/>
  <c r="R1290" i="31"/>
  <c r="S1290" i="31"/>
  <c r="T1290" i="31"/>
  <c r="I1291" i="31"/>
  <c r="J1291" i="31"/>
  <c r="K1291" i="31"/>
  <c r="L1291" i="31"/>
  <c r="M1291" i="31"/>
  <c r="N1291" i="31"/>
  <c r="O1291" i="31"/>
  <c r="P1291" i="31"/>
  <c r="Q1291" i="31"/>
  <c r="R1291" i="31"/>
  <c r="S1291" i="31"/>
  <c r="T1291" i="31"/>
  <c r="I1292" i="31"/>
  <c r="J1292" i="31"/>
  <c r="K1292" i="31"/>
  <c r="L1292" i="31"/>
  <c r="M1292" i="31"/>
  <c r="N1292" i="31"/>
  <c r="O1292" i="31"/>
  <c r="P1292" i="31"/>
  <c r="Q1292" i="31"/>
  <c r="R1292" i="31"/>
  <c r="S1292" i="31"/>
  <c r="T1292" i="31"/>
  <c r="I1293" i="31"/>
  <c r="J1293" i="31"/>
  <c r="K1293" i="31"/>
  <c r="L1293" i="31"/>
  <c r="M1293" i="31"/>
  <c r="N1293" i="31"/>
  <c r="O1293" i="31"/>
  <c r="P1293" i="31"/>
  <c r="Q1293" i="31"/>
  <c r="R1293" i="31"/>
  <c r="S1293" i="31"/>
  <c r="T1293" i="31"/>
  <c r="I1294" i="31"/>
  <c r="J1294" i="31"/>
  <c r="K1294" i="31"/>
  <c r="L1294" i="31"/>
  <c r="M1294" i="31"/>
  <c r="N1294" i="31"/>
  <c r="O1294" i="31"/>
  <c r="P1294" i="31"/>
  <c r="Q1294" i="31"/>
  <c r="R1294" i="31"/>
  <c r="S1294" i="31"/>
  <c r="T1294" i="31"/>
  <c r="I1295" i="31"/>
  <c r="J1295" i="31"/>
  <c r="K1295" i="31"/>
  <c r="L1295" i="31"/>
  <c r="M1295" i="31"/>
  <c r="N1295" i="31"/>
  <c r="O1295" i="31"/>
  <c r="P1295" i="31"/>
  <c r="Q1295" i="31"/>
  <c r="R1295" i="31"/>
  <c r="S1295" i="31"/>
  <c r="T1295" i="31"/>
  <c r="I1296" i="31"/>
  <c r="J1296" i="31"/>
  <c r="K1296" i="31"/>
  <c r="L1296" i="31"/>
  <c r="M1296" i="31"/>
  <c r="N1296" i="31"/>
  <c r="O1296" i="31"/>
  <c r="P1296" i="31"/>
  <c r="Q1296" i="31"/>
  <c r="R1296" i="31"/>
  <c r="S1296" i="31"/>
  <c r="T1296" i="31"/>
  <c r="I1297" i="31"/>
  <c r="J1297" i="31"/>
  <c r="K1297" i="31"/>
  <c r="L1297" i="31"/>
  <c r="M1297" i="31"/>
  <c r="N1297" i="31"/>
  <c r="O1297" i="31"/>
  <c r="P1297" i="31"/>
  <c r="Q1297" i="31"/>
  <c r="R1297" i="31"/>
  <c r="S1297" i="31"/>
  <c r="T1297" i="31"/>
  <c r="I1298" i="31"/>
  <c r="J1298" i="31"/>
  <c r="K1298" i="31"/>
  <c r="L1298" i="31"/>
  <c r="M1298" i="31"/>
  <c r="N1298" i="31"/>
  <c r="O1298" i="31"/>
  <c r="P1298" i="31"/>
  <c r="Q1298" i="31"/>
  <c r="R1298" i="31"/>
  <c r="S1298" i="31"/>
  <c r="T1298" i="31"/>
  <c r="I1299" i="31"/>
  <c r="J1299" i="31"/>
  <c r="K1299" i="31"/>
  <c r="L1299" i="31"/>
  <c r="M1299" i="31"/>
  <c r="N1299" i="31"/>
  <c r="O1299" i="31"/>
  <c r="P1299" i="31"/>
  <c r="Q1299" i="31"/>
  <c r="R1299" i="31"/>
  <c r="S1299" i="31"/>
  <c r="T1299" i="31"/>
  <c r="I1300" i="31"/>
  <c r="J1300" i="31"/>
  <c r="K1300" i="31"/>
  <c r="L1300" i="31"/>
  <c r="M1300" i="31"/>
  <c r="N1300" i="31"/>
  <c r="O1300" i="31"/>
  <c r="P1300" i="31"/>
  <c r="Q1300" i="31"/>
  <c r="R1300" i="31"/>
  <c r="S1300" i="31"/>
  <c r="T1300" i="31"/>
  <c r="I1301" i="31"/>
  <c r="J1301" i="31"/>
  <c r="K1301" i="31"/>
  <c r="L1301" i="31"/>
  <c r="M1301" i="31"/>
  <c r="N1301" i="31"/>
  <c r="O1301" i="31"/>
  <c r="P1301" i="31"/>
  <c r="Q1301" i="31"/>
  <c r="R1301" i="31"/>
  <c r="S1301" i="31"/>
  <c r="T1301" i="31"/>
  <c r="I1302" i="31"/>
  <c r="J1302" i="31"/>
  <c r="K1302" i="31"/>
  <c r="L1302" i="31"/>
  <c r="M1302" i="31"/>
  <c r="N1302" i="31"/>
  <c r="O1302" i="31"/>
  <c r="P1302" i="31"/>
  <c r="Q1302" i="31"/>
  <c r="R1302" i="31"/>
  <c r="S1302" i="31"/>
  <c r="T1302" i="31"/>
  <c r="I1303" i="31"/>
  <c r="J1303" i="31"/>
  <c r="K1303" i="31"/>
  <c r="L1303" i="31"/>
  <c r="M1303" i="31"/>
  <c r="N1303" i="31"/>
  <c r="O1303" i="31"/>
  <c r="P1303" i="31"/>
  <c r="Q1303" i="31"/>
  <c r="R1303" i="31"/>
  <c r="S1303" i="31"/>
  <c r="T1303" i="31"/>
  <c r="I1304" i="31"/>
  <c r="J1304" i="31"/>
  <c r="K1304" i="31"/>
  <c r="L1304" i="31"/>
  <c r="M1304" i="31"/>
  <c r="N1304" i="31"/>
  <c r="O1304" i="31"/>
  <c r="P1304" i="31"/>
  <c r="Q1304" i="31"/>
  <c r="R1304" i="31"/>
  <c r="S1304" i="31"/>
  <c r="T1304" i="31"/>
  <c r="I1305" i="31"/>
  <c r="J1305" i="31"/>
  <c r="K1305" i="31"/>
  <c r="L1305" i="31"/>
  <c r="M1305" i="31"/>
  <c r="N1305" i="31"/>
  <c r="O1305" i="31"/>
  <c r="P1305" i="31"/>
  <c r="Q1305" i="31"/>
  <c r="R1305" i="31"/>
  <c r="S1305" i="31"/>
  <c r="T1305" i="31"/>
  <c r="I1306" i="31"/>
  <c r="J1306" i="31"/>
  <c r="K1306" i="31"/>
  <c r="L1306" i="31"/>
  <c r="M1306" i="31"/>
  <c r="N1306" i="31"/>
  <c r="O1306" i="31"/>
  <c r="P1306" i="31"/>
  <c r="Q1306" i="31"/>
  <c r="R1306" i="31"/>
  <c r="S1306" i="31"/>
  <c r="T1306" i="31"/>
  <c r="I1307" i="31"/>
  <c r="J1307" i="31"/>
  <c r="K1307" i="31"/>
  <c r="L1307" i="31"/>
  <c r="M1307" i="31"/>
  <c r="N1307" i="31"/>
  <c r="O1307" i="31"/>
  <c r="P1307" i="31"/>
  <c r="Q1307" i="31"/>
  <c r="R1307" i="31"/>
  <c r="S1307" i="31"/>
  <c r="T1307" i="31"/>
  <c r="I1308" i="31"/>
  <c r="J1308" i="31"/>
  <c r="K1308" i="31"/>
  <c r="L1308" i="31"/>
  <c r="M1308" i="31"/>
  <c r="N1308" i="31"/>
  <c r="O1308" i="31"/>
  <c r="P1308" i="31"/>
  <c r="Q1308" i="31"/>
  <c r="R1308" i="31"/>
  <c r="S1308" i="31"/>
  <c r="T1308" i="31"/>
  <c r="I1309" i="31"/>
  <c r="J1309" i="31"/>
  <c r="K1309" i="31"/>
  <c r="L1309" i="31"/>
  <c r="M1309" i="31"/>
  <c r="N1309" i="31"/>
  <c r="O1309" i="31"/>
  <c r="P1309" i="31"/>
  <c r="Q1309" i="31"/>
  <c r="R1309" i="31"/>
  <c r="S1309" i="31"/>
  <c r="T1309" i="31"/>
  <c r="I1310" i="31"/>
  <c r="J1310" i="31"/>
  <c r="K1310" i="31"/>
  <c r="L1310" i="31"/>
  <c r="M1310" i="31"/>
  <c r="N1310" i="31"/>
  <c r="O1310" i="31"/>
  <c r="P1310" i="31"/>
  <c r="Q1310" i="31"/>
  <c r="R1310" i="31"/>
  <c r="S1310" i="31"/>
  <c r="T1310" i="31"/>
  <c r="I1311" i="31"/>
  <c r="J1311" i="31"/>
  <c r="K1311" i="31"/>
  <c r="L1311" i="31"/>
  <c r="M1311" i="31"/>
  <c r="N1311" i="31"/>
  <c r="O1311" i="31"/>
  <c r="P1311" i="31"/>
  <c r="Q1311" i="31"/>
  <c r="R1311" i="31"/>
  <c r="S1311" i="31"/>
  <c r="T1311" i="31"/>
  <c r="I1312" i="31"/>
  <c r="J1312" i="31"/>
  <c r="K1312" i="31"/>
  <c r="L1312" i="31"/>
  <c r="M1312" i="31"/>
  <c r="N1312" i="31"/>
  <c r="O1312" i="31"/>
  <c r="P1312" i="31"/>
  <c r="Q1312" i="31"/>
  <c r="R1312" i="31"/>
  <c r="S1312" i="31"/>
  <c r="T1312" i="31"/>
  <c r="I1313" i="31"/>
  <c r="J1313" i="31"/>
  <c r="K1313" i="31"/>
  <c r="L1313" i="31"/>
  <c r="M1313" i="31"/>
  <c r="N1313" i="31"/>
  <c r="O1313" i="31"/>
  <c r="P1313" i="31"/>
  <c r="Q1313" i="31"/>
  <c r="R1313" i="31"/>
  <c r="S1313" i="31"/>
  <c r="T1313" i="31"/>
  <c r="I1314" i="31"/>
  <c r="J1314" i="31"/>
  <c r="K1314" i="31"/>
  <c r="L1314" i="31"/>
  <c r="M1314" i="31"/>
  <c r="N1314" i="31"/>
  <c r="O1314" i="31"/>
  <c r="P1314" i="31"/>
  <c r="Q1314" i="31"/>
  <c r="R1314" i="31"/>
  <c r="S1314" i="31"/>
  <c r="T1314" i="31"/>
  <c r="I1315" i="31"/>
  <c r="J1315" i="31"/>
  <c r="K1315" i="31"/>
  <c r="L1315" i="31"/>
  <c r="M1315" i="31"/>
  <c r="N1315" i="31"/>
  <c r="O1315" i="31"/>
  <c r="P1315" i="31"/>
  <c r="Q1315" i="31"/>
  <c r="R1315" i="31"/>
  <c r="S1315" i="31"/>
  <c r="T1315" i="31"/>
  <c r="I1316" i="31"/>
  <c r="J1316" i="31"/>
  <c r="K1316" i="31"/>
  <c r="L1316" i="31"/>
  <c r="M1316" i="31"/>
  <c r="N1316" i="31"/>
  <c r="O1316" i="31"/>
  <c r="P1316" i="31"/>
  <c r="Q1316" i="31"/>
  <c r="R1316" i="31"/>
  <c r="S1316" i="31"/>
  <c r="T1316" i="31"/>
  <c r="I1317" i="31"/>
  <c r="J1317" i="31"/>
  <c r="K1317" i="31"/>
  <c r="L1317" i="31"/>
  <c r="M1317" i="31"/>
  <c r="N1317" i="31"/>
  <c r="O1317" i="31"/>
  <c r="P1317" i="31"/>
  <c r="Q1317" i="31"/>
  <c r="R1317" i="31"/>
  <c r="S1317" i="31"/>
  <c r="T1317" i="31"/>
  <c r="I1318" i="31"/>
  <c r="J1318" i="31"/>
  <c r="K1318" i="31"/>
  <c r="L1318" i="31"/>
  <c r="M1318" i="31"/>
  <c r="N1318" i="31"/>
  <c r="O1318" i="31"/>
  <c r="P1318" i="31"/>
  <c r="Q1318" i="31"/>
  <c r="R1318" i="31"/>
  <c r="S1318" i="31"/>
  <c r="T1318" i="31"/>
  <c r="I1319" i="31"/>
  <c r="J1319" i="31"/>
  <c r="K1319" i="31"/>
  <c r="L1319" i="31"/>
  <c r="M1319" i="31"/>
  <c r="N1319" i="31"/>
  <c r="O1319" i="31"/>
  <c r="P1319" i="31"/>
  <c r="Q1319" i="31"/>
  <c r="R1319" i="31"/>
  <c r="S1319" i="31"/>
  <c r="T1319" i="31"/>
  <c r="I1320" i="31"/>
  <c r="J1320" i="31"/>
  <c r="K1320" i="31"/>
  <c r="L1320" i="31"/>
  <c r="M1320" i="31"/>
  <c r="N1320" i="31"/>
  <c r="O1320" i="31"/>
  <c r="P1320" i="31"/>
  <c r="Q1320" i="31"/>
  <c r="R1320" i="31"/>
  <c r="S1320" i="31"/>
  <c r="T1320" i="31"/>
  <c r="I1321" i="31"/>
  <c r="J1321" i="31"/>
  <c r="K1321" i="31"/>
  <c r="L1321" i="31"/>
  <c r="M1321" i="31"/>
  <c r="N1321" i="31"/>
  <c r="O1321" i="31"/>
  <c r="P1321" i="31"/>
  <c r="Q1321" i="31"/>
  <c r="R1321" i="31"/>
  <c r="S1321" i="31"/>
  <c r="T1321" i="31"/>
  <c r="I1322" i="31"/>
  <c r="J1322" i="31"/>
  <c r="K1322" i="31"/>
  <c r="L1322" i="31"/>
  <c r="M1322" i="31"/>
  <c r="N1322" i="31"/>
  <c r="O1322" i="31"/>
  <c r="P1322" i="31"/>
  <c r="Q1322" i="31"/>
  <c r="R1322" i="31"/>
  <c r="S1322" i="31"/>
  <c r="T1322" i="31"/>
  <c r="I1323" i="31"/>
  <c r="J1323" i="31"/>
  <c r="K1323" i="31"/>
  <c r="L1323" i="31"/>
  <c r="M1323" i="31"/>
  <c r="N1323" i="31"/>
  <c r="O1323" i="31"/>
  <c r="P1323" i="31"/>
  <c r="Q1323" i="31"/>
  <c r="R1323" i="31"/>
  <c r="S1323" i="31"/>
  <c r="T1323" i="31"/>
  <c r="I1324" i="31"/>
  <c r="J1324" i="31"/>
  <c r="K1324" i="31"/>
  <c r="L1324" i="31"/>
  <c r="M1324" i="31"/>
  <c r="N1324" i="31"/>
  <c r="O1324" i="31"/>
  <c r="P1324" i="31"/>
  <c r="Q1324" i="31"/>
  <c r="R1324" i="31"/>
  <c r="S1324" i="31"/>
  <c r="T1324" i="31"/>
  <c r="I1325" i="31"/>
  <c r="J1325" i="31"/>
  <c r="K1325" i="31"/>
  <c r="L1325" i="31"/>
  <c r="M1325" i="31"/>
  <c r="N1325" i="31"/>
  <c r="O1325" i="31"/>
  <c r="P1325" i="31"/>
  <c r="Q1325" i="31"/>
  <c r="R1325" i="31"/>
  <c r="S1325" i="31"/>
  <c r="T1325" i="31"/>
  <c r="I1326" i="31"/>
  <c r="J1326" i="31"/>
  <c r="K1326" i="31"/>
  <c r="L1326" i="31"/>
  <c r="M1326" i="31"/>
  <c r="N1326" i="31"/>
  <c r="O1326" i="31"/>
  <c r="P1326" i="31"/>
  <c r="Q1326" i="31"/>
  <c r="R1326" i="31"/>
  <c r="S1326" i="31"/>
  <c r="T1326" i="31"/>
  <c r="I1327" i="31"/>
  <c r="J1327" i="31"/>
  <c r="K1327" i="31"/>
  <c r="L1327" i="31"/>
  <c r="M1327" i="31"/>
  <c r="N1327" i="31"/>
  <c r="O1327" i="31"/>
  <c r="P1327" i="31"/>
  <c r="Q1327" i="31"/>
  <c r="R1327" i="31"/>
  <c r="S1327" i="31"/>
  <c r="T1327" i="31"/>
  <c r="I1328" i="31"/>
  <c r="J1328" i="31"/>
  <c r="K1328" i="31"/>
  <c r="L1328" i="31"/>
  <c r="M1328" i="31"/>
  <c r="N1328" i="31"/>
  <c r="O1328" i="31"/>
  <c r="P1328" i="31"/>
  <c r="Q1328" i="31"/>
  <c r="R1328" i="31"/>
  <c r="S1328" i="31"/>
  <c r="T1328" i="31"/>
  <c r="I1329" i="31"/>
  <c r="J1329" i="31"/>
  <c r="K1329" i="31"/>
  <c r="L1329" i="31"/>
  <c r="M1329" i="31"/>
  <c r="N1329" i="31"/>
  <c r="O1329" i="31"/>
  <c r="P1329" i="31"/>
  <c r="Q1329" i="31"/>
  <c r="R1329" i="31"/>
  <c r="S1329" i="31"/>
  <c r="T1329" i="31"/>
  <c r="I1330" i="31"/>
  <c r="J1330" i="31"/>
  <c r="K1330" i="31"/>
  <c r="L1330" i="31"/>
  <c r="M1330" i="31"/>
  <c r="N1330" i="31"/>
  <c r="O1330" i="31"/>
  <c r="P1330" i="31"/>
  <c r="Q1330" i="31"/>
  <c r="R1330" i="31"/>
  <c r="S1330" i="31"/>
  <c r="T1330" i="31"/>
  <c r="I1331" i="31"/>
  <c r="J1331" i="31"/>
  <c r="K1331" i="31"/>
  <c r="L1331" i="31"/>
  <c r="M1331" i="31"/>
  <c r="N1331" i="31"/>
  <c r="O1331" i="31"/>
  <c r="P1331" i="31"/>
  <c r="Q1331" i="31"/>
  <c r="R1331" i="31"/>
  <c r="S1331" i="31"/>
  <c r="T1331" i="31"/>
  <c r="I1332" i="31"/>
  <c r="J1332" i="31"/>
  <c r="K1332" i="31"/>
  <c r="L1332" i="31"/>
  <c r="M1332" i="31"/>
  <c r="N1332" i="31"/>
  <c r="O1332" i="31"/>
  <c r="P1332" i="31"/>
  <c r="Q1332" i="31"/>
  <c r="R1332" i="31"/>
  <c r="S1332" i="31"/>
  <c r="T1332" i="31"/>
  <c r="I1333" i="31"/>
  <c r="J1333" i="31"/>
  <c r="K1333" i="31"/>
  <c r="L1333" i="31"/>
  <c r="M1333" i="31"/>
  <c r="N1333" i="31"/>
  <c r="O1333" i="31"/>
  <c r="P1333" i="31"/>
  <c r="Q1333" i="31"/>
  <c r="R1333" i="31"/>
  <c r="S1333" i="31"/>
  <c r="T1333" i="31"/>
  <c r="I1334" i="31"/>
  <c r="J1334" i="31"/>
  <c r="K1334" i="31"/>
  <c r="L1334" i="31"/>
  <c r="M1334" i="31"/>
  <c r="N1334" i="31"/>
  <c r="O1334" i="31"/>
  <c r="P1334" i="31"/>
  <c r="Q1334" i="31"/>
  <c r="R1334" i="31"/>
  <c r="S1334" i="31"/>
  <c r="T1334" i="31"/>
  <c r="I1335" i="31"/>
  <c r="J1335" i="31"/>
  <c r="K1335" i="31"/>
  <c r="L1335" i="31"/>
  <c r="M1335" i="31"/>
  <c r="N1335" i="31"/>
  <c r="O1335" i="31"/>
  <c r="P1335" i="31"/>
  <c r="Q1335" i="31"/>
  <c r="R1335" i="31"/>
  <c r="S1335" i="31"/>
  <c r="T1335" i="31"/>
  <c r="I1336" i="31"/>
  <c r="J1336" i="31"/>
  <c r="K1336" i="31"/>
  <c r="L1336" i="31"/>
  <c r="M1336" i="31"/>
  <c r="N1336" i="31"/>
  <c r="O1336" i="31"/>
  <c r="P1336" i="31"/>
  <c r="Q1336" i="31"/>
  <c r="R1336" i="31"/>
  <c r="S1336" i="31"/>
  <c r="T1336" i="31"/>
  <c r="I1337" i="31"/>
  <c r="J1337" i="31"/>
  <c r="K1337" i="31"/>
  <c r="L1337" i="31"/>
  <c r="M1337" i="31"/>
  <c r="N1337" i="31"/>
  <c r="O1337" i="31"/>
  <c r="P1337" i="31"/>
  <c r="Q1337" i="31"/>
  <c r="R1337" i="31"/>
  <c r="S1337" i="31"/>
  <c r="T1337" i="31"/>
  <c r="I1338" i="31"/>
  <c r="J1338" i="31"/>
  <c r="K1338" i="31"/>
  <c r="L1338" i="31"/>
  <c r="M1338" i="31"/>
  <c r="N1338" i="31"/>
  <c r="O1338" i="31"/>
  <c r="P1338" i="31"/>
  <c r="Q1338" i="31"/>
  <c r="R1338" i="31"/>
  <c r="S1338" i="31"/>
  <c r="T1338" i="31"/>
  <c r="I1339" i="31"/>
  <c r="J1339" i="31"/>
  <c r="K1339" i="31"/>
  <c r="L1339" i="31"/>
  <c r="M1339" i="31"/>
  <c r="N1339" i="31"/>
  <c r="O1339" i="31"/>
  <c r="P1339" i="31"/>
  <c r="Q1339" i="31"/>
  <c r="R1339" i="31"/>
  <c r="S1339" i="31"/>
  <c r="T1339" i="31"/>
  <c r="I1340" i="31"/>
  <c r="J1340" i="31"/>
  <c r="K1340" i="31"/>
  <c r="L1340" i="31"/>
  <c r="M1340" i="31"/>
  <c r="N1340" i="31"/>
  <c r="O1340" i="31"/>
  <c r="P1340" i="31"/>
  <c r="Q1340" i="31"/>
  <c r="R1340" i="31"/>
  <c r="S1340" i="31"/>
  <c r="T1340" i="31"/>
  <c r="I1341" i="31"/>
  <c r="J1341" i="31"/>
  <c r="K1341" i="31"/>
  <c r="L1341" i="31"/>
  <c r="M1341" i="31"/>
  <c r="N1341" i="31"/>
  <c r="O1341" i="31"/>
  <c r="P1341" i="31"/>
  <c r="Q1341" i="31"/>
  <c r="R1341" i="31"/>
  <c r="S1341" i="31"/>
  <c r="T1341" i="31"/>
  <c r="I1342" i="31"/>
  <c r="J1342" i="31"/>
  <c r="K1342" i="31"/>
  <c r="L1342" i="31"/>
  <c r="M1342" i="31"/>
  <c r="N1342" i="31"/>
  <c r="O1342" i="31"/>
  <c r="P1342" i="31"/>
  <c r="Q1342" i="31"/>
  <c r="R1342" i="31"/>
  <c r="S1342" i="31"/>
  <c r="T1342" i="31"/>
  <c r="I1343" i="31"/>
  <c r="J1343" i="31"/>
  <c r="K1343" i="31"/>
  <c r="L1343" i="31"/>
  <c r="M1343" i="31"/>
  <c r="N1343" i="31"/>
  <c r="O1343" i="31"/>
  <c r="P1343" i="31"/>
  <c r="Q1343" i="31"/>
  <c r="R1343" i="31"/>
  <c r="S1343" i="31"/>
  <c r="T1343" i="31"/>
  <c r="I1344" i="31"/>
  <c r="J1344" i="31"/>
  <c r="K1344" i="31"/>
  <c r="L1344" i="31"/>
  <c r="M1344" i="31"/>
  <c r="N1344" i="31"/>
  <c r="O1344" i="31"/>
  <c r="P1344" i="31"/>
  <c r="Q1344" i="31"/>
  <c r="R1344" i="31"/>
  <c r="S1344" i="31"/>
  <c r="T1344" i="31"/>
  <c r="I1345" i="31"/>
  <c r="J1345" i="31"/>
  <c r="K1345" i="31"/>
  <c r="L1345" i="31"/>
  <c r="M1345" i="31"/>
  <c r="N1345" i="31"/>
  <c r="O1345" i="31"/>
  <c r="P1345" i="31"/>
  <c r="Q1345" i="31"/>
  <c r="R1345" i="31"/>
  <c r="S1345" i="31"/>
  <c r="T1345" i="31"/>
  <c r="I1346" i="31"/>
  <c r="J1346" i="31"/>
  <c r="K1346" i="31"/>
  <c r="L1346" i="31"/>
  <c r="M1346" i="31"/>
  <c r="N1346" i="31"/>
  <c r="O1346" i="31"/>
  <c r="P1346" i="31"/>
  <c r="Q1346" i="31"/>
  <c r="R1346" i="31"/>
  <c r="S1346" i="31"/>
  <c r="T1346" i="31"/>
  <c r="I1347" i="31"/>
  <c r="J1347" i="31"/>
  <c r="K1347" i="31"/>
  <c r="L1347" i="31"/>
  <c r="M1347" i="31"/>
  <c r="N1347" i="31"/>
  <c r="O1347" i="31"/>
  <c r="P1347" i="31"/>
  <c r="Q1347" i="31"/>
  <c r="R1347" i="31"/>
  <c r="S1347" i="31"/>
  <c r="T1347" i="31"/>
  <c r="I1348" i="31"/>
  <c r="J1348" i="31"/>
  <c r="K1348" i="31"/>
  <c r="L1348" i="31"/>
  <c r="M1348" i="31"/>
  <c r="N1348" i="31"/>
  <c r="O1348" i="31"/>
  <c r="P1348" i="31"/>
  <c r="Q1348" i="31"/>
  <c r="R1348" i="31"/>
  <c r="S1348" i="31"/>
  <c r="T1348" i="31"/>
  <c r="I1349" i="31"/>
  <c r="J1349" i="31"/>
  <c r="K1349" i="31"/>
  <c r="L1349" i="31"/>
  <c r="M1349" i="31"/>
  <c r="N1349" i="31"/>
  <c r="O1349" i="31"/>
  <c r="P1349" i="31"/>
  <c r="Q1349" i="31"/>
  <c r="R1349" i="31"/>
  <c r="S1349" i="31"/>
  <c r="T1349" i="31"/>
  <c r="I1350" i="31"/>
  <c r="J1350" i="31"/>
  <c r="K1350" i="31"/>
  <c r="L1350" i="31"/>
  <c r="M1350" i="31"/>
  <c r="N1350" i="31"/>
  <c r="O1350" i="31"/>
  <c r="P1350" i="31"/>
  <c r="Q1350" i="31"/>
  <c r="R1350" i="31"/>
  <c r="S1350" i="31"/>
  <c r="T1350" i="31"/>
  <c r="I1351" i="31"/>
  <c r="J1351" i="31"/>
  <c r="K1351" i="31"/>
  <c r="L1351" i="31"/>
  <c r="M1351" i="31"/>
  <c r="N1351" i="31"/>
  <c r="O1351" i="31"/>
  <c r="P1351" i="31"/>
  <c r="Q1351" i="31"/>
  <c r="R1351" i="31"/>
  <c r="S1351" i="31"/>
  <c r="T1351" i="31"/>
  <c r="I1352" i="31"/>
  <c r="J1352" i="31"/>
  <c r="K1352" i="31"/>
  <c r="L1352" i="31"/>
  <c r="M1352" i="31"/>
  <c r="N1352" i="31"/>
  <c r="O1352" i="31"/>
  <c r="P1352" i="31"/>
  <c r="Q1352" i="31"/>
  <c r="R1352" i="31"/>
  <c r="S1352" i="31"/>
  <c r="T1352" i="31"/>
  <c r="I1353" i="31"/>
  <c r="J1353" i="31"/>
  <c r="K1353" i="31"/>
  <c r="L1353" i="31"/>
  <c r="M1353" i="31"/>
  <c r="N1353" i="31"/>
  <c r="O1353" i="31"/>
  <c r="P1353" i="31"/>
  <c r="Q1353" i="31"/>
  <c r="R1353" i="31"/>
  <c r="S1353" i="31"/>
  <c r="T1353" i="31"/>
  <c r="I1354" i="31"/>
  <c r="J1354" i="31"/>
  <c r="K1354" i="31"/>
  <c r="L1354" i="31"/>
  <c r="M1354" i="31"/>
  <c r="N1354" i="31"/>
  <c r="O1354" i="31"/>
  <c r="P1354" i="31"/>
  <c r="Q1354" i="31"/>
  <c r="R1354" i="31"/>
  <c r="S1354" i="31"/>
  <c r="T1354" i="31"/>
  <c r="I1355" i="31"/>
  <c r="J1355" i="31"/>
  <c r="K1355" i="31"/>
  <c r="L1355" i="31"/>
  <c r="M1355" i="31"/>
  <c r="N1355" i="31"/>
  <c r="O1355" i="31"/>
  <c r="P1355" i="31"/>
  <c r="Q1355" i="31"/>
  <c r="R1355" i="31"/>
  <c r="S1355" i="31"/>
  <c r="T1355" i="31"/>
  <c r="I1356" i="31"/>
  <c r="J1356" i="31"/>
  <c r="K1356" i="31"/>
  <c r="L1356" i="31"/>
  <c r="M1356" i="31"/>
  <c r="N1356" i="31"/>
  <c r="O1356" i="31"/>
  <c r="P1356" i="31"/>
  <c r="Q1356" i="31"/>
  <c r="R1356" i="31"/>
  <c r="S1356" i="31"/>
  <c r="T1356" i="31"/>
  <c r="I1357" i="31"/>
  <c r="J1357" i="31"/>
  <c r="K1357" i="31"/>
  <c r="L1357" i="31"/>
  <c r="M1357" i="31"/>
  <c r="N1357" i="31"/>
  <c r="O1357" i="31"/>
  <c r="P1357" i="31"/>
  <c r="Q1357" i="31"/>
  <c r="R1357" i="31"/>
  <c r="S1357" i="31"/>
  <c r="T1357" i="31"/>
  <c r="I1358" i="31"/>
  <c r="J1358" i="31"/>
  <c r="K1358" i="31"/>
  <c r="L1358" i="31"/>
  <c r="M1358" i="31"/>
  <c r="N1358" i="31"/>
  <c r="O1358" i="31"/>
  <c r="P1358" i="31"/>
  <c r="Q1358" i="31"/>
  <c r="R1358" i="31"/>
  <c r="S1358" i="31"/>
  <c r="T1358" i="31"/>
  <c r="I1359" i="31"/>
  <c r="J1359" i="31"/>
  <c r="K1359" i="31"/>
  <c r="L1359" i="31"/>
  <c r="M1359" i="31"/>
  <c r="N1359" i="31"/>
  <c r="O1359" i="31"/>
  <c r="P1359" i="31"/>
  <c r="Q1359" i="31"/>
  <c r="R1359" i="31"/>
  <c r="S1359" i="31"/>
  <c r="T1359" i="31"/>
  <c r="I1360" i="31"/>
  <c r="J1360" i="31"/>
  <c r="K1360" i="31"/>
  <c r="L1360" i="31"/>
  <c r="M1360" i="31"/>
  <c r="N1360" i="31"/>
  <c r="O1360" i="31"/>
  <c r="P1360" i="31"/>
  <c r="Q1360" i="31"/>
  <c r="R1360" i="31"/>
  <c r="S1360" i="31"/>
  <c r="T1360" i="31"/>
  <c r="I1361" i="31"/>
  <c r="J1361" i="31"/>
  <c r="K1361" i="31"/>
  <c r="L1361" i="31"/>
  <c r="M1361" i="31"/>
  <c r="N1361" i="31"/>
  <c r="O1361" i="31"/>
  <c r="P1361" i="31"/>
  <c r="Q1361" i="31"/>
  <c r="R1361" i="31"/>
  <c r="S1361" i="31"/>
  <c r="T1361" i="31"/>
  <c r="I1362" i="31"/>
  <c r="J1362" i="31"/>
  <c r="K1362" i="31"/>
  <c r="L1362" i="31"/>
  <c r="M1362" i="31"/>
  <c r="N1362" i="31"/>
  <c r="O1362" i="31"/>
  <c r="P1362" i="31"/>
  <c r="Q1362" i="31"/>
  <c r="R1362" i="31"/>
  <c r="S1362" i="31"/>
  <c r="T1362" i="31"/>
  <c r="I1363" i="31"/>
  <c r="J1363" i="31"/>
  <c r="K1363" i="31"/>
  <c r="L1363" i="31"/>
  <c r="M1363" i="31"/>
  <c r="N1363" i="31"/>
  <c r="O1363" i="31"/>
  <c r="P1363" i="31"/>
  <c r="Q1363" i="31"/>
  <c r="R1363" i="31"/>
  <c r="S1363" i="31"/>
  <c r="T1363" i="31"/>
  <c r="I1364" i="31"/>
  <c r="J1364" i="31"/>
  <c r="K1364" i="31"/>
  <c r="L1364" i="31"/>
  <c r="M1364" i="31"/>
  <c r="N1364" i="31"/>
  <c r="O1364" i="31"/>
  <c r="P1364" i="31"/>
  <c r="Q1364" i="31"/>
  <c r="R1364" i="31"/>
  <c r="S1364" i="31"/>
  <c r="T1364" i="31"/>
  <c r="I1365" i="31"/>
  <c r="J1365" i="31"/>
  <c r="K1365" i="31"/>
  <c r="L1365" i="31"/>
  <c r="M1365" i="31"/>
  <c r="N1365" i="31"/>
  <c r="O1365" i="31"/>
  <c r="P1365" i="31"/>
  <c r="Q1365" i="31"/>
  <c r="R1365" i="31"/>
  <c r="S1365" i="31"/>
  <c r="T1365" i="31"/>
  <c r="I1366" i="31"/>
  <c r="J1366" i="31"/>
  <c r="K1366" i="31"/>
  <c r="L1366" i="31"/>
  <c r="M1366" i="31"/>
  <c r="N1366" i="31"/>
  <c r="O1366" i="31"/>
  <c r="P1366" i="31"/>
  <c r="Q1366" i="31"/>
  <c r="R1366" i="31"/>
  <c r="S1366" i="31"/>
  <c r="T1366" i="31"/>
  <c r="I1367" i="31"/>
  <c r="J1367" i="31"/>
  <c r="K1367" i="31"/>
  <c r="L1367" i="31"/>
  <c r="M1367" i="31"/>
  <c r="N1367" i="31"/>
  <c r="O1367" i="31"/>
  <c r="P1367" i="31"/>
  <c r="Q1367" i="31"/>
  <c r="R1367" i="31"/>
  <c r="S1367" i="31"/>
  <c r="T1367" i="31"/>
  <c r="I1368" i="31"/>
  <c r="J1368" i="31"/>
  <c r="K1368" i="31"/>
  <c r="L1368" i="31"/>
  <c r="M1368" i="31"/>
  <c r="N1368" i="31"/>
  <c r="O1368" i="31"/>
  <c r="P1368" i="31"/>
  <c r="Q1368" i="31"/>
  <c r="R1368" i="31"/>
  <c r="S1368" i="31"/>
  <c r="T1368" i="31"/>
  <c r="I1369" i="31"/>
  <c r="J1369" i="31"/>
  <c r="K1369" i="31"/>
  <c r="L1369" i="31"/>
  <c r="M1369" i="31"/>
  <c r="N1369" i="31"/>
  <c r="O1369" i="31"/>
  <c r="P1369" i="31"/>
  <c r="Q1369" i="31"/>
  <c r="R1369" i="31"/>
  <c r="S1369" i="31"/>
  <c r="T1369" i="31"/>
  <c r="I1370" i="31"/>
  <c r="J1370" i="31"/>
  <c r="K1370" i="31"/>
  <c r="L1370" i="31"/>
  <c r="M1370" i="31"/>
  <c r="N1370" i="31"/>
  <c r="O1370" i="31"/>
  <c r="P1370" i="31"/>
  <c r="Q1370" i="31"/>
  <c r="R1370" i="31"/>
  <c r="S1370" i="31"/>
  <c r="T1370" i="31"/>
  <c r="I1371" i="31"/>
  <c r="J1371" i="31"/>
  <c r="K1371" i="31"/>
  <c r="L1371" i="31"/>
  <c r="M1371" i="31"/>
  <c r="N1371" i="31"/>
  <c r="O1371" i="31"/>
  <c r="P1371" i="31"/>
  <c r="Q1371" i="31"/>
  <c r="R1371" i="31"/>
  <c r="S1371" i="31"/>
  <c r="T1371" i="31"/>
  <c r="I1372" i="31"/>
  <c r="J1372" i="31"/>
  <c r="K1372" i="31"/>
  <c r="L1372" i="31"/>
  <c r="M1372" i="31"/>
  <c r="N1372" i="31"/>
  <c r="O1372" i="31"/>
  <c r="P1372" i="31"/>
  <c r="Q1372" i="31"/>
  <c r="R1372" i="31"/>
  <c r="S1372" i="31"/>
  <c r="T1372" i="31"/>
  <c r="I1373" i="31"/>
  <c r="J1373" i="31"/>
  <c r="K1373" i="31"/>
  <c r="L1373" i="31"/>
  <c r="M1373" i="31"/>
  <c r="N1373" i="31"/>
  <c r="O1373" i="31"/>
  <c r="P1373" i="31"/>
  <c r="Q1373" i="31"/>
  <c r="R1373" i="31"/>
  <c r="S1373" i="31"/>
  <c r="T1373" i="31"/>
  <c r="I1374" i="31"/>
  <c r="J1374" i="31"/>
  <c r="K1374" i="31"/>
  <c r="L1374" i="31"/>
  <c r="M1374" i="31"/>
  <c r="N1374" i="31"/>
  <c r="O1374" i="31"/>
  <c r="P1374" i="31"/>
  <c r="Q1374" i="31"/>
  <c r="R1374" i="31"/>
  <c r="S1374" i="31"/>
  <c r="T1374" i="31"/>
  <c r="I1375" i="31"/>
  <c r="J1375" i="31"/>
  <c r="K1375" i="31"/>
  <c r="L1375" i="31"/>
  <c r="M1375" i="31"/>
  <c r="N1375" i="31"/>
  <c r="O1375" i="31"/>
  <c r="P1375" i="31"/>
  <c r="Q1375" i="31"/>
  <c r="R1375" i="31"/>
  <c r="S1375" i="31"/>
  <c r="T1375" i="31"/>
  <c r="I1376" i="31"/>
  <c r="J1376" i="31"/>
  <c r="K1376" i="31"/>
  <c r="L1376" i="31"/>
  <c r="M1376" i="31"/>
  <c r="N1376" i="31"/>
  <c r="O1376" i="31"/>
  <c r="P1376" i="31"/>
  <c r="Q1376" i="31"/>
  <c r="R1376" i="31"/>
  <c r="S1376" i="31"/>
  <c r="T1376" i="31"/>
  <c r="I1377" i="31"/>
  <c r="J1377" i="31"/>
  <c r="K1377" i="31"/>
  <c r="L1377" i="31"/>
  <c r="M1377" i="31"/>
  <c r="N1377" i="31"/>
  <c r="O1377" i="31"/>
  <c r="P1377" i="31"/>
  <c r="Q1377" i="31"/>
  <c r="R1377" i="31"/>
  <c r="S1377" i="31"/>
  <c r="T1377" i="31"/>
  <c r="I1378" i="31"/>
  <c r="J1378" i="31"/>
  <c r="K1378" i="31"/>
  <c r="L1378" i="31"/>
  <c r="M1378" i="31"/>
  <c r="N1378" i="31"/>
  <c r="O1378" i="31"/>
  <c r="P1378" i="31"/>
  <c r="Q1378" i="31"/>
  <c r="R1378" i="31"/>
  <c r="S1378" i="31"/>
  <c r="T1378" i="31"/>
  <c r="I1379" i="31"/>
  <c r="J1379" i="31"/>
  <c r="K1379" i="31"/>
  <c r="L1379" i="31"/>
  <c r="M1379" i="31"/>
  <c r="N1379" i="31"/>
  <c r="O1379" i="31"/>
  <c r="P1379" i="31"/>
  <c r="Q1379" i="31"/>
  <c r="R1379" i="31"/>
  <c r="S1379" i="31"/>
  <c r="T1379" i="31"/>
  <c r="I1380" i="31"/>
  <c r="J1380" i="31"/>
  <c r="K1380" i="31"/>
  <c r="L1380" i="31"/>
  <c r="M1380" i="31"/>
  <c r="N1380" i="31"/>
  <c r="O1380" i="31"/>
  <c r="P1380" i="31"/>
  <c r="Q1380" i="31"/>
  <c r="R1380" i="31"/>
  <c r="S1380" i="31"/>
  <c r="T1380" i="31"/>
  <c r="I1381" i="31"/>
  <c r="J1381" i="31"/>
  <c r="K1381" i="31"/>
  <c r="L1381" i="31"/>
  <c r="M1381" i="31"/>
  <c r="N1381" i="31"/>
  <c r="O1381" i="31"/>
  <c r="P1381" i="31"/>
  <c r="Q1381" i="31"/>
  <c r="R1381" i="31"/>
  <c r="S1381" i="31"/>
  <c r="T1381" i="31"/>
  <c r="I1382" i="31"/>
  <c r="J1382" i="31"/>
  <c r="K1382" i="31"/>
  <c r="L1382" i="31"/>
  <c r="M1382" i="31"/>
  <c r="N1382" i="31"/>
  <c r="O1382" i="31"/>
  <c r="P1382" i="31"/>
  <c r="Q1382" i="31"/>
  <c r="R1382" i="31"/>
  <c r="S1382" i="31"/>
  <c r="T1382" i="31"/>
  <c r="I1383" i="31"/>
  <c r="J1383" i="31"/>
  <c r="K1383" i="31"/>
  <c r="L1383" i="31"/>
  <c r="M1383" i="31"/>
  <c r="N1383" i="31"/>
  <c r="O1383" i="31"/>
  <c r="P1383" i="31"/>
  <c r="Q1383" i="31"/>
  <c r="R1383" i="31"/>
  <c r="S1383" i="31"/>
  <c r="T1383" i="31"/>
  <c r="I1384" i="31"/>
  <c r="J1384" i="31"/>
  <c r="K1384" i="31"/>
  <c r="L1384" i="31"/>
  <c r="M1384" i="31"/>
  <c r="N1384" i="31"/>
  <c r="O1384" i="31"/>
  <c r="P1384" i="31"/>
  <c r="Q1384" i="31"/>
  <c r="R1384" i="31"/>
  <c r="S1384" i="31"/>
  <c r="T1384" i="31"/>
  <c r="I1385" i="31"/>
  <c r="J1385" i="31"/>
  <c r="K1385" i="31"/>
  <c r="L1385" i="31"/>
  <c r="M1385" i="31"/>
  <c r="N1385" i="31"/>
  <c r="O1385" i="31"/>
  <c r="P1385" i="31"/>
  <c r="Q1385" i="31"/>
  <c r="R1385" i="31"/>
  <c r="S1385" i="31"/>
  <c r="T1385" i="31"/>
  <c r="I1386" i="31"/>
  <c r="J1386" i="31"/>
  <c r="K1386" i="31"/>
  <c r="L1386" i="31"/>
  <c r="M1386" i="31"/>
  <c r="N1386" i="31"/>
  <c r="O1386" i="31"/>
  <c r="P1386" i="31"/>
  <c r="Q1386" i="31"/>
  <c r="R1386" i="31"/>
  <c r="S1386" i="31"/>
  <c r="T1386" i="31"/>
  <c r="I1387" i="31"/>
  <c r="J1387" i="31"/>
  <c r="K1387" i="31"/>
  <c r="L1387" i="31"/>
  <c r="M1387" i="31"/>
  <c r="N1387" i="31"/>
  <c r="O1387" i="31"/>
  <c r="P1387" i="31"/>
  <c r="Q1387" i="31"/>
  <c r="R1387" i="31"/>
  <c r="S1387" i="31"/>
  <c r="T1387" i="31"/>
  <c r="I1388" i="31"/>
  <c r="J1388" i="31"/>
  <c r="K1388" i="31"/>
  <c r="L1388" i="31"/>
  <c r="M1388" i="31"/>
  <c r="N1388" i="31"/>
  <c r="O1388" i="31"/>
  <c r="P1388" i="31"/>
  <c r="Q1388" i="31"/>
  <c r="R1388" i="31"/>
  <c r="S1388" i="31"/>
  <c r="T1388" i="31"/>
  <c r="I1389" i="31"/>
  <c r="J1389" i="31"/>
  <c r="K1389" i="31"/>
  <c r="L1389" i="31"/>
  <c r="M1389" i="31"/>
  <c r="N1389" i="31"/>
  <c r="O1389" i="31"/>
  <c r="P1389" i="31"/>
  <c r="Q1389" i="31"/>
  <c r="R1389" i="31"/>
  <c r="S1389" i="31"/>
  <c r="T1389" i="31"/>
  <c r="I1390" i="31"/>
  <c r="J1390" i="31"/>
  <c r="K1390" i="31"/>
  <c r="L1390" i="31"/>
  <c r="M1390" i="31"/>
  <c r="N1390" i="31"/>
  <c r="O1390" i="31"/>
  <c r="P1390" i="31"/>
  <c r="Q1390" i="31"/>
  <c r="R1390" i="31"/>
  <c r="S1390" i="31"/>
  <c r="T1390" i="31"/>
  <c r="I1391" i="31"/>
  <c r="J1391" i="31"/>
  <c r="K1391" i="31"/>
  <c r="L1391" i="31"/>
  <c r="M1391" i="31"/>
  <c r="N1391" i="31"/>
  <c r="O1391" i="31"/>
  <c r="P1391" i="31"/>
  <c r="Q1391" i="31"/>
  <c r="R1391" i="31"/>
  <c r="S1391" i="31"/>
  <c r="T1391" i="31"/>
  <c r="I1392" i="31"/>
  <c r="J1392" i="31"/>
  <c r="K1392" i="31"/>
  <c r="L1392" i="31"/>
  <c r="M1392" i="31"/>
  <c r="N1392" i="31"/>
  <c r="O1392" i="31"/>
  <c r="P1392" i="31"/>
  <c r="Q1392" i="31"/>
  <c r="R1392" i="31"/>
  <c r="S1392" i="31"/>
  <c r="T1392" i="31"/>
  <c r="I1393" i="31"/>
  <c r="J1393" i="31"/>
  <c r="K1393" i="31"/>
  <c r="L1393" i="31"/>
  <c r="M1393" i="31"/>
  <c r="N1393" i="31"/>
  <c r="O1393" i="31"/>
  <c r="P1393" i="31"/>
  <c r="Q1393" i="31"/>
  <c r="R1393" i="31"/>
  <c r="S1393" i="31"/>
  <c r="T1393" i="31"/>
  <c r="I1394" i="31"/>
  <c r="J1394" i="31"/>
  <c r="K1394" i="31"/>
  <c r="L1394" i="31"/>
  <c r="M1394" i="31"/>
  <c r="N1394" i="31"/>
  <c r="O1394" i="31"/>
  <c r="P1394" i="31"/>
  <c r="Q1394" i="31"/>
  <c r="R1394" i="31"/>
  <c r="S1394" i="31"/>
  <c r="T1394" i="31"/>
  <c r="I1395" i="31"/>
  <c r="J1395" i="31"/>
  <c r="K1395" i="31"/>
  <c r="L1395" i="31"/>
  <c r="M1395" i="31"/>
  <c r="N1395" i="31"/>
  <c r="O1395" i="31"/>
  <c r="P1395" i="31"/>
  <c r="Q1395" i="31"/>
  <c r="R1395" i="31"/>
  <c r="S1395" i="31"/>
  <c r="T1395" i="31"/>
  <c r="I1396" i="31"/>
  <c r="J1396" i="31"/>
  <c r="K1396" i="31"/>
  <c r="L1396" i="31"/>
  <c r="M1396" i="31"/>
  <c r="N1396" i="31"/>
  <c r="O1396" i="31"/>
  <c r="P1396" i="31"/>
  <c r="Q1396" i="31"/>
  <c r="R1396" i="31"/>
  <c r="S1396" i="31"/>
  <c r="T1396" i="31"/>
  <c r="I1397" i="31"/>
  <c r="J1397" i="31"/>
  <c r="K1397" i="31"/>
  <c r="L1397" i="31"/>
  <c r="M1397" i="31"/>
  <c r="N1397" i="31"/>
  <c r="O1397" i="31"/>
  <c r="P1397" i="31"/>
  <c r="Q1397" i="31"/>
  <c r="R1397" i="31"/>
  <c r="S1397" i="31"/>
  <c r="T1397" i="31"/>
  <c r="I1398" i="31"/>
  <c r="J1398" i="31"/>
  <c r="K1398" i="31"/>
  <c r="L1398" i="31"/>
  <c r="M1398" i="31"/>
  <c r="N1398" i="31"/>
  <c r="O1398" i="31"/>
  <c r="P1398" i="31"/>
  <c r="Q1398" i="31"/>
  <c r="R1398" i="31"/>
  <c r="S1398" i="31"/>
  <c r="T1398" i="31"/>
  <c r="I1399" i="31"/>
  <c r="J1399" i="31"/>
  <c r="K1399" i="31"/>
  <c r="L1399" i="31"/>
  <c r="M1399" i="31"/>
  <c r="N1399" i="31"/>
  <c r="O1399" i="31"/>
  <c r="P1399" i="31"/>
  <c r="Q1399" i="31"/>
  <c r="R1399" i="31"/>
  <c r="S1399" i="31"/>
  <c r="T1399" i="31"/>
  <c r="I1400" i="31"/>
  <c r="J1400" i="31"/>
  <c r="K1400" i="31"/>
  <c r="L1400" i="31"/>
  <c r="M1400" i="31"/>
  <c r="N1400" i="31"/>
  <c r="O1400" i="31"/>
  <c r="P1400" i="31"/>
  <c r="Q1400" i="31"/>
  <c r="R1400" i="31"/>
  <c r="S1400" i="31"/>
  <c r="T1400" i="31"/>
  <c r="I1401" i="31"/>
  <c r="J1401" i="31"/>
  <c r="K1401" i="31"/>
  <c r="L1401" i="31"/>
  <c r="M1401" i="31"/>
  <c r="N1401" i="31"/>
  <c r="O1401" i="31"/>
  <c r="P1401" i="31"/>
  <c r="Q1401" i="31"/>
  <c r="R1401" i="31"/>
  <c r="S1401" i="31"/>
  <c r="T1401" i="31"/>
  <c r="I1402" i="31"/>
  <c r="J1402" i="31"/>
  <c r="K1402" i="31"/>
  <c r="L1402" i="31"/>
  <c r="M1402" i="31"/>
  <c r="N1402" i="31"/>
  <c r="O1402" i="31"/>
  <c r="P1402" i="31"/>
  <c r="Q1402" i="31"/>
  <c r="R1402" i="31"/>
  <c r="S1402" i="31"/>
  <c r="T1402" i="31"/>
  <c r="I1403" i="31"/>
  <c r="J1403" i="31"/>
  <c r="K1403" i="31"/>
  <c r="L1403" i="31"/>
  <c r="M1403" i="31"/>
  <c r="N1403" i="31"/>
  <c r="O1403" i="31"/>
  <c r="P1403" i="31"/>
  <c r="Q1403" i="31"/>
  <c r="R1403" i="31"/>
  <c r="S1403" i="31"/>
  <c r="T1403" i="31"/>
  <c r="I1404" i="31"/>
  <c r="J1404" i="31"/>
  <c r="K1404" i="31"/>
  <c r="L1404" i="31"/>
  <c r="M1404" i="31"/>
  <c r="N1404" i="31"/>
  <c r="O1404" i="31"/>
  <c r="P1404" i="31"/>
  <c r="Q1404" i="31"/>
  <c r="R1404" i="31"/>
  <c r="S1404" i="31"/>
  <c r="T1404" i="31"/>
  <c r="I1405" i="31"/>
  <c r="J1405" i="31"/>
  <c r="K1405" i="31"/>
  <c r="L1405" i="31"/>
  <c r="M1405" i="31"/>
  <c r="N1405" i="31"/>
  <c r="O1405" i="31"/>
  <c r="P1405" i="31"/>
  <c r="Q1405" i="31"/>
  <c r="R1405" i="31"/>
  <c r="S1405" i="31"/>
  <c r="T1405" i="31"/>
  <c r="I1406" i="31"/>
  <c r="J1406" i="31"/>
  <c r="K1406" i="31"/>
  <c r="L1406" i="31"/>
  <c r="M1406" i="31"/>
  <c r="N1406" i="31"/>
  <c r="O1406" i="31"/>
  <c r="P1406" i="31"/>
  <c r="Q1406" i="31"/>
  <c r="R1406" i="31"/>
  <c r="S1406" i="31"/>
  <c r="T1406" i="31"/>
  <c r="I1407" i="31"/>
  <c r="J1407" i="31"/>
  <c r="K1407" i="31"/>
  <c r="L1407" i="31"/>
  <c r="M1407" i="31"/>
  <c r="N1407" i="31"/>
  <c r="O1407" i="31"/>
  <c r="P1407" i="31"/>
  <c r="Q1407" i="31"/>
  <c r="R1407" i="31"/>
  <c r="S1407" i="31"/>
  <c r="T1407" i="31"/>
  <c r="I1408" i="31"/>
  <c r="J1408" i="31"/>
  <c r="K1408" i="31"/>
  <c r="L1408" i="31"/>
  <c r="M1408" i="31"/>
  <c r="N1408" i="31"/>
  <c r="O1408" i="31"/>
  <c r="P1408" i="31"/>
  <c r="Q1408" i="31"/>
  <c r="R1408" i="31"/>
  <c r="S1408" i="31"/>
  <c r="T1408" i="31"/>
  <c r="I1409" i="31"/>
  <c r="J1409" i="31"/>
  <c r="K1409" i="31"/>
  <c r="L1409" i="31"/>
  <c r="M1409" i="31"/>
  <c r="N1409" i="31"/>
  <c r="O1409" i="31"/>
  <c r="P1409" i="31"/>
  <c r="Q1409" i="31"/>
  <c r="R1409" i="31"/>
  <c r="S1409" i="31"/>
  <c r="T1409" i="31"/>
  <c r="I1410" i="31"/>
  <c r="J1410" i="31"/>
  <c r="K1410" i="31"/>
  <c r="L1410" i="31"/>
  <c r="M1410" i="31"/>
  <c r="N1410" i="31"/>
  <c r="O1410" i="31"/>
  <c r="P1410" i="31"/>
  <c r="Q1410" i="31"/>
  <c r="R1410" i="31"/>
  <c r="S1410" i="31"/>
  <c r="T1410" i="31"/>
  <c r="I1411" i="31"/>
  <c r="J1411" i="31"/>
  <c r="K1411" i="31"/>
  <c r="L1411" i="31"/>
  <c r="M1411" i="31"/>
  <c r="N1411" i="31"/>
  <c r="O1411" i="31"/>
  <c r="P1411" i="31"/>
  <c r="Q1411" i="31"/>
  <c r="R1411" i="31"/>
  <c r="S1411" i="31"/>
  <c r="T1411" i="31"/>
  <c r="I1412" i="31"/>
  <c r="J1412" i="31"/>
  <c r="K1412" i="31"/>
  <c r="L1412" i="31"/>
  <c r="M1412" i="31"/>
  <c r="N1412" i="31"/>
  <c r="O1412" i="31"/>
  <c r="P1412" i="31"/>
  <c r="Q1412" i="31"/>
  <c r="R1412" i="31"/>
  <c r="S1412" i="31"/>
  <c r="T1412" i="31"/>
  <c r="I1413" i="31"/>
  <c r="J1413" i="31"/>
  <c r="K1413" i="31"/>
  <c r="L1413" i="31"/>
  <c r="M1413" i="31"/>
  <c r="N1413" i="31"/>
  <c r="O1413" i="31"/>
  <c r="P1413" i="31"/>
  <c r="Q1413" i="31"/>
  <c r="R1413" i="31"/>
  <c r="S1413" i="31"/>
  <c r="T1413" i="31"/>
  <c r="I1414" i="31"/>
  <c r="J1414" i="31"/>
  <c r="K1414" i="31"/>
  <c r="L1414" i="31"/>
  <c r="M1414" i="31"/>
  <c r="N1414" i="31"/>
  <c r="O1414" i="31"/>
  <c r="P1414" i="31"/>
  <c r="Q1414" i="31"/>
  <c r="R1414" i="31"/>
  <c r="S1414" i="31"/>
  <c r="T1414" i="31"/>
  <c r="I1415" i="31"/>
  <c r="J1415" i="31"/>
  <c r="K1415" i="31"/>
  <c r="L1415" i="31"/>
  <c r="M1415" i="31"/>
  <c r="N1415" i="31"/>
  <c r="O1415" i="31"/>
  <c r="P1415" i="31"/>
  <c r="Q1415" i="31"/>
  <c r="R1415" i="31"/>
  <c r="S1415" i="31"/>
  <c r="T1415" i="31"/>
  <c r="I1416" i="31"/>
  <c r="J1416" i="31"/>
  <c r="K1416" i="31"/>
  <c r="L1416" i="31"/>
  <c r="M1416" i="31"/>
  <c r="N1416" i="31"/>
  <c r="O1416" i="31"/>
  <c r="P1416" i="31"/>
  <c r="Q1416" i="31"/>
  <c r="R1416" i="31"/>
  <c r="S1416" i="31"/>
  <c r="T1416" i="31"/>
  <c r="I1417" i="31"/>
  <c r="J1417" i="31"/>
  <c r="K1417" i="31"/>
  <c r="L1417" i="31"/>
  <c r="M1417" i="31"/>
  <c r="N1417" i="31"/>
  <c r="O1417" i="31"/>
  <c r="P1417" i="31"/>
  <c r="Q1417" i="31"/>
  <c r="R1417" i="31"/>
  <c r="S1417" i="31"/>
  <c r="T1417" i="31"/>
  <c r="I1418" i="31"/>
  <c r="J1418" i="31"/>
  <c r="K1418" i="31"/>
  <c r="L1418" i="31"/>
  <c r="M1418" i="31"/>
  <c r="N1418" i="31"/>
  <c r="O1418" i="31"/>
  <c r="P1418" i="31"/>
  <c r="Q1418" i="31"/>
  <c r="R1418" i="31"/>
  <c r="S1418" i="31"/>
  <c r="T1418" i="31"/>
  <c r="I1419" i="31"/>
  <c r="J1419" i="31"/>
  <c r="K1419" i="31"/>
  <c r="L1419" i="31"/>
  <c r="M1419" i="31"/>
  <c r="N1419" i="31"/>
  <c r="O1419" i="31"/>
  <c r="P1419" i="31"/>
  <c r="Q1419" i="31"/>
  <c r="R1419" i="31"/>
  <c r="S1419" i="31"/>
  <c r="T1419" i="31"/>
  <c r="I1420" i="31"/>
  <c r="J1420" i="31"/>
  <c r="K1420" i="31"/>
  <c r="L1420" i="31"/>
  <c r="M1420" i="31"/>
  <c r="N1420" i="31"/>
  <c r="O1420" i="31"/>
  <c r="P1420" i="31"/>
  <c r="Q1420" i="31"/>
  <c r="R1420" i="31"/>
  <c r="S1420" i="31"/>
  <c r="T1420" i="31"/>
  <c r="I1421" i="31"/>
  <c r="J1421" i="31"/>
  <c r="K1421" i="31"/>
  <c r="L1421" i="31"/>
  <c r="M1421" i="31"/>
  <c r="N1421" i="31"/>
  <c r="O1421" i="31"/>
  <c r="P1421" i="31"/>
  <c r="Q1421" i="31"/>
  <c r="R1421" i="31"/>
  <c r="S1421" i="31"/>
  <c r="T1421" i="31"/>
  <c r="I1422" i="31"/>
  <c r="J1422" i="31"/>
  <c r="K1422" i="31"/>
  <c r="L1422" i="31"/>
  <c r="M1422" i="31"/>
  <c r="N1422" i="31"/>
  <c r="O1422" i="31"/>
  <c r="P1422" i="31"/>
  <c r="Q1422" i="31"/>
  <c r="R1422" i="31"/>
  <c r="S1422" i="31"/>
  <c r="T1422" i="31"/>
  <c r="I1423" i="31"/>
  <c r="J1423" i="31"/>
  <c r="K1423" i="31"/>
  <c r="L1423" i="31"/>
  <c r="M1423" i="31"/>
  <c r="N1423" i="31"/>
  <c r="O1423" i="31"/>
  <c r="P1423" i="31"/>
  <c r="Q1423" i="31"/>
  <c r="R1423" i="31"/>
  <c r="S1423" i="31"/>
  <c r="T1423" i="31"/>
  <c r="I1424" i="31"/>
  <c r="J1424" i="31"/>
  <c r="K1424" i="31"/>
  <c r="L1424" i="31"/>
  <c r="M1424" i="31"/>
  <c r="N1424" i="31"/>
  <c r="O1424" i="31"/>
  <c r="P1424" i="31"/>
  <c r="Q1424" i="31"/>
  <c r="R1424" i="31"/>
  <c r="S1424" i="31"/>
  <c r="T1424" i="31"/>
  <c r="I1425" i="31"/>
  <c r="J1425" i="31"/>
  <c r="K1425" i="31"/>
  <c r="L1425" i="31"/>
  <c r="M1425" i="31"/>
  <c r="N1425" i="31"/>
  <c r="O1425" i="31"/>
  <c r="P1425" i="31"/>
  <c r="Q1425" i="31"/>
  <c r="R1425" i="31"/>
  <c r="S1425" i="31"/>
  <c r="T1425" i="31"/>
  <c r="I1426" i="31"/>
  <c r="J1426" i="31"/>
  <c r="K1426" i="31"/>
  <c r="L1426" i="31"/>
  <c r="M1426" i="31"/>
  <c r="N1426" i="31"/>
  <c r="O1426" i="31"/>
  <c r="P1426" i="31"/>
  <c r="Q1426" i="31"/>
  <c r="R1426" i="31"/>
  <c r="S1426" i="31"/>
  <c r="T1426" i="31"/>
  <c r="I1427" i="31"/>
  <c r="J1427" i="31"/>
  <c r="K1427" i="31"/>
  <c r="L1427" i="31"/>
  <c r="M1427" i="31"/>
  <c r="N1427" i="31"/>
  <c r="O1427" i="31"/>
  <c r="P1427" i="31"/>
  <c r="Q1427" i="31"/>
  <c r="R1427" i="31"/>
  <c r="S1427" i="31"/>
  <c r="T1427" i="31"/>
  <c r="I1428" i="31"/>
  <c r="J1428" i="31"/>
  <c r="K1428" i="31"/>
  <c r="L1428" i="31"/>
  <c r="M1428" i="31"/>
  <c r="N1428" i="31"/>
  <c r="O1428" i="31"/>
  <c r="P1428" i="31"/>
  <c r="Q1428" i="31"/>
  <c r="R1428" i="31"/>
  <c r="S1428" i="31"/>
  <c r="T1428" i="31"/>
  <c r="I1429" i="31"/>
  <c r="J1429" i="31"/>
  <c r="K1429" i="31"/>
  <c r="L1429" i="31"/>
  <c r="M1429" i="31"/>
  <c r="N1429" i="31"/>
  <c r="O1429" i="31"/>
  <c r="P1429" i="31"/>
  <c r="Q1429" i="31"/>
  <c r="R1429" i="31"/>
  <c r="S1429" i="31"/>
  <c r="T1429" i="31"/>
  <c r="I1430" i="31"/>
  <c r="J1430" i="31"/>
  <c r="K1430" i="31"/>
  <c r="L1430" i="31"/>
  <c r="M1430" i="31"/>
  <c r="N1430" i="31"/>
  <c r="O1430" i="31"/>
  <c r="P1430" i="31"/>
  <c r="Q1430" i="31"/>
  <c r="R1430" i="31"/>
  <c r="S1430" i="31"/>
  <c r="T1430" i="31"/>
  <c r="I1431" i="31"/>
  <c r="J1431" i="31"/>
  <c r="K1431" i="31"/>
  <c r="L1431" i="31"/>
  <c r="M1431" i="31"/>
  <c r="N1431" i="31"/>
  <c r="O1431" i="31"/>
  <c r="P1431" i="31"/>
  <c r="Q1431" i="31"/>
  <c r="R1431" i="31"/>
  <c r="S1431" i="31"/>
  <c r="T1431" i="31"/>
  <c r="I1432" i="31"/>
  <c r="J1432" i="31"/>
  <c r="K1432" i="31"/>
  <c r="L1432" i="31"/>
  <c r="M1432" i="31"/>
  <c r="N1432" i="31"/>
  <c r="O1432" i="31"/>
  <c r="P1432" i="31"/>
  <c r="Q1432" i="31"/>
  <c r="R1432" i="31"/>
  <c r="S1432" i="31"/>
  <c r="T1432" i="31"/>
  <c r="I1433" i="31"/>
  <c r="J1433" i="31"/>
  <c r="K1433" i="31"/>
  <c r="L1433" i="31"/>
  <c r="M1433" i="31"/>
  <c r="N1433" i="31"/>
  <c r="O1433" i="31"/>
  <c r="P1433" i="31"/>
  <c r="Q1433" i="31"/>
  <c r="R1433" i="31"/>
  <c r="S1433" i="31"/>
  <c r="T1433" i="31"/>
  <c r="I1434" i="31"/>
  <c r="J1434" i="31"/>
  <c r="K1434" i="31"/>
  <c r="L1434" i="31"/>
  <c r="M1434" i="31"/>
  <c r="N1434" i="31"/>
  <c r="O1434" i="31"/>
  <c r="P1434" i="31"/>
  <c r="Q1434" i="31"/>
  <c r="R1434" i="31"/>
  <c r="S1434" i="31"/>
  <c r="T1434" i="31"/>
  <c r="I1435" i="31"/>
  <c r="J1435" i="31"/>
  <c r="K1435" i="31"/>
  <c r="L1435" i="31"/>
  <c r="M1435" i="31"/>
  <c r="N1435" i="31"/>
  <c r="O1435" i="31"/>
  <c r="P1435" i="31"/>
  <c r="Q1435" i="31"/>
  <c r="R1435" i="31"/>
  <c r="S1435" i="31"/>
  <c r="T1435" i="31"/>
  <c r="I1436" i="31"/>
  <c r="J1436" i="31"/>
  <c r="K1436" i="31"/>
  <c r="L1436" i="31"/>
  <c r="M1436" i="31"/>
  <c r="N1436" i="31"/>
  <c r="O1436" i="31"/>
  <c r="P1436" i="31"/>
  <c r="Q1436" i="31"/>
  <c r="R1436" i="31"/>
  <c r="S1436" i="31"/>
  <c r="T1436" i="31"/>
  <c r="I1437" i="31"/>
  <c r="J1437" i="31"/>
  <c r="K1437" i="31"/>
  <c r="L1437" i="31"/>
  <c r="M1437" i="31"/>
  <c r="N1437" i="31"/>
  <c r="O1437" i="31"/>
  <c r="P1437" i="31"/>
  <c r="Q1437" i="31"/>
  <c r="R1437" i="31"/>
  <c r="S1437" i="31"/>
  <c r="T1437" i="31"/>
  <c r="I1438" i="31"/>
  <c r="J1438" i="31"/>
  <c r="K1438" i="31"/>
  <c r="L1438" i="31"/>
  <c r="M1438" i="31"/>
  <c r="N1438" i="31"/>
  <c r="O1438" i="31"/>
  <c r="P1438" i="31"/>
  <c r="Q1438" i="31"/>
  <c r="R1438" i="31"/>
  <c r="S1438" i="31"/>
  <c r="T1438" i="31"/>
  <c r="I1439" i="31"/>
  <c r="J1439" i="31"/>
  <c r="K1439" i="31"/>
  <c r="L1439" i="31"/>
  <c r="M1439" i="31"/>
  <c r="N1439" i="31"/>
  <c r="O1439" i="31"/>
  <c r="P1439" i="31"/>
  <c r="Q1439" i="31"/>
  <c r="R1439" i="31"/>
  <c r="S1439" i="31"/>
  <c r="T1439" i="31"/>
  <c r="I1440" i="31"/>
  <c r="J1440" i="31"/>
  <c r="K1440" i="31"/>
  <c r="L1440" i="31"/>
  <c r="M1440" i="31"/>
  <c r="N1440" i="31"/>
  <c r="O1440" i="31"/>
  <c r="P1440" i="31"/>
  <c r="Q1440" i="31"/>
  <c r="R1440" i="31"/>
  <c r="S1440" i="31"/>
  <c r="T1440" i="31"/>
  <c r="I1441" i="31"/>
  <c r="J1441" i="31"/>
  <c r="K1441" i="31"/>
  <c r="L1441" i="31"/>
  <c r="M1441" i="31"/>
  <c r="N1441" i="31"/>
  <c r="O1441" i="31"/>
  <c r="P1441" i="31"/>
  <c r="Q1441" i="31"/>
  <c r="R1441" i="31"/>
  <c r="S1441" i="31"/>
  <c r="T1441" i="31"/>
  <c r="I1442" i="31"/>
  <c r="J1442" i="31"/>
  <c r="K1442" i="31"/>
  <c r="L1442" i="31"/>
  <c r="M1442" i="31"/>
  <c r="N1442" i="31"/>
  <c r="O1442" i="31"/>
  <c r="P1442" i="31"/>
  <c r="Q1442" i="31"/>
  <c r="R1442" i="31"/>
  <c r="S1442" i="31"/>
  <c r="T1442" i="31"/>
  <c r="I1443" i="31"/>
  <c r="J1443" i="31"/>
  <c r="K1443" i="31"/>
  <c r="L1443" i="31"/>
  <c r="M1443" i="31"/>
  <c r="N1443" i="31"/>
  <c r="O1443" i="31"/>
  <c r="P1443" i="31"/>
  <c r="Q1443" i="31"/>
  <c r="R1443" i="31"/>
  <c r="S1443" i="31"/>
  <c r="T1443" i="31"/>
  <c r="I1444" i="31"/>
  <c r="J1444" i="31"/>
  <c r="K1444" i="31"/>
  <c r="L1444" i="31"/>
  <c r="M1444" i="31"/>
  <c r="N1444" i="31"/>
  <c r="O1444" i="31"/>
  <c r="P1444" i="31"/>
  <c r="Q1444" i="31"/>
  <c r="R1444" i="31"/>
  <c r="S1444" i="31"/>
  <c r="T1444" i="31"/>
  <c r="I1445" i="31"/>
  <c r="J1445" i="31"/>
  <c r="K1445" i="31"/>
  <c r="L1445" i="31"/>
  <c r="M1445" i="31"/>
  <c r="N1445" i="31"/>
  <c r="O1445" i="31"/>
  <c r="P1445" i="31"/>
  <c r="Q1445" i="31"/>
  <c r="R1445" i="31"/>
  <c r="S1445" i="31"/>
  <c r="T1445" i="31"/>
  <c r="I1446" i="31"/>
  <c r="J1446" i="31"/>
  <c r="K1446" i="31"/>
  <c r="L1446" i="31"/>
  <c r="M1446" i="31"/>
  <c r="N1446" i="31"/>
  <c r="O1446" i="31"/>
  <c r="P1446" i="31"/>
  <c r="Q1446" i="31"/>
  <c r="R1446" i="31"/>
  <c r="S1446" i="31"/>
  <c r="T1446" i="31"/>
  <c r="I1447" i="31"/>
  <c r="J1447" i="31"/>
  <c r="K1447" i="31"/>
  <c r="L1447" i="31"/>
  <c r="M1447" i="31"/>
  <c r="N1447" i="31"/>
  <c r="O1447" i="31"/>
  <c r="P1447" i="31"/>
  <c r="Q1447" i="31"/>
  <c r="R1447" i="31"/>
  <c r="S1447" i="31"/>
  <c r="T1447" i="31"/>
  <c r="I1448" i="31"/>
  <c r="J1448" i="31"/>
  <c r="K1448" i="31"/>
  <c r="L1448" i="31"/>
  <c r="M1448" i="31"/>
  <c r="N1448" i="31"/>
  <c r="O1448" i="31"/>
  <c r="P1448" i="31"/>
  <c r="Q1448" i="31"/>
  <c r="R1448" i="31"/>
  <c r="S1448" i="31"/>
  <c r="T1448" i="31"/>
  <c r="I1449" i="31"/>
  <c r="J1449" i="31"/>
  <c r="K1449" i="31"/>
  <c r="L1449" i="31"/>
  <c r="M1449" i="31"/>
  <c r="N1449" i="31"/>
  <c r="O1449" i="31"/>
  <c r="P1449" i="31"/>
  <c r="Q1449" i="31"/>
  <c r="R1449" i="31"/>
  <c r="S1449" i="31"/>
  <c r="T1449" i="31"/>
  <c r="I1450" i="31"/>
  <c r="J1450" i="31"/>
  <c r="K1450" i="31"/>
  <c r="L1450" i="31"/>
  <c r="M1450" i="31"/>
  <c r="N1450" i="31"/>
  <c r="O1450" i="31"/>
  <c r="P1450" i="31"/>
  <c r="Q1450" i="31"/>
  <c r="R1450" i="31"/>
  <c r="S1450" i="31"/>
  <c r="T1450" i="31"/>
  <c r="I1451" i="31"/>
  <c r="J1451" i="31"/>
  <c r="K1451" i="31"/>
  <c r="L1451" i="31"/>
  <c r="M1451" i="31"/>
  <c r="N1451" i="31"/>
  <c r="O1451" i="31"/>
  <c r="P1451" i="31"/>
  <c r="Q1451" i="31"/>
  <c r="R1451" i="31"/>
  <c r="S1451" i="31"/>
  <c r="T1451" i="31"/>
  <c r="I1452" i="31"/>
  <c r="J1452" i="31"/>
  <c r="K1452" i="31"/>
  <c r="L1452" i="31"/>
  <c r="M1452" i="31"/>
  <c r="N1452" i="31"/>
  <c r="O1452" i="31"/>
  <c r="P1452" i="31"/>
  <c r="Q1452" i="31"/>
  <c r="R1452" i="31"/>
  <c r="S1452" i="31"/>
  <c r="T1452" i="31"/>
  <c r="I1453" i="31"/>
  <c r="J1453" i="31"/>
  <c r="K1453" i="31"/>
  <c r="L1453" i="31"/>
  <c r="M1453" i="31"/>
  <c r="N1453" i="31"/>
  <c r="O1453" i="31"/>
  <c r="P1453" i="31"/>
  <c r="Q1453" i="31"/>
  <c r="R1453" i="31"/>
  <c r="S1453" i="31"/>
  <c r="T1453" i="31"/>
  <c r="I1454" i="31"/>
  <c r="J1454" i="31"/>
  <c r="K1454" i="31"/>
  <c r="L1454" i="31"/>
  <c r="M1454" i="31"/>
  <c r="N1454" i="31"/>
  <c r="O1454" i="31"/>
  <c r="P1454" i="31"/>
  <c r="Q1454" i="31"/>
  <c r="R1454" i="31"/>
  <c r="S1454" i="31"/>
  <c r="T1454" i="31"/>
  <c r="I1455" i="31"/>
  <c r="J1455" i="31"/>
  <c r="K1455" i="31"/>
  <c r="L1455" i="31"/>
  <c r="M1455" i="31"/>
  <c r="N1455" i="31"/>
  <c r="O1455" i="31"/>
  <c r="P1455" i="31"/>
  <c r="Q1455" i="31"/>
  <c r="R1455" i="31"/>
  <c r="S1455" i="31"/>
  <c r="T1455" i="31"/>
  <c r="I1456" i="31"/>
  <c r="J1456" i="31"/>
  <c r="K1456" i="31"/>
  <c r="L1456" i="31"/>
  <c r="M1456" i="31"/>
  <c r="N1456" i="31"/>
  <c r="O1456" i="31"/>
  <c r="P1456" i="31"/>
  <c r="Q1456" i="31"/>
  <c r="R1456" i="31"/>
  <c r="S1456" i="31"/>
  <c r="T1456" i="31"/>
  <c r="I1457" i="31"/>
  <c r="J1457" i="31"/>
  <c r="K1457" i="31"/>
  <c r="L1457" i="31"/>
  <c r="M1457" i="31"/>
  <c r="N1457" i="31"/>
  <c r="O1457" i="31"/>
  <c r="P1457" i="31"/>
  <c r="Q1457" i="31"/>
  <c r="R1457" i="31"/>
  <c r="S1457" i="31"/>
  <c r="T1457" i="31"/>
  <c r="I1458" i="31"/>
  <c r="J1458" i="31"/>
  <c r="K1458" i="31"/>
  <c r="L1458" i="31"/>
  <c r="M1458" i="31"/>
  <c r="N1458" i="31"/>
  <c r="O1458" i="31"/>
  <c r="P1458" i="31"/>
  <c r="Q1458" i="31"/>
  <c r="R1458" i="31"/>
  <c r="S1458" i="31"/>
  <c r="T1458" i="31"/>
  <c r="I1459" i="31"/>
  <c r="J1459" i="31"/>
  <c r="K1459" i="31"/>
  <c r="L1459" i="31"/>
  <c r="M1459" i="31"/>
  <c r="N1459" i="31"/>
  <c r="O1459" i="31"/>
  <c r="P1459" i="31"/>
  <c r="Q1459" i="31"/>
  <c r="R1459" i="31"/>
  <c r="S1459" i="31"/>
  <c r="T1459" i="31"/>
  <c r="I1460" i="31"/>
  <c r="J1460" i="31"/>
  <c r="K1460" i="31"/>
  <c r="L1460" i="31"/>
  <c r="M1460" i="31"/>
  <c r="N1460" i="31"/>
  <c r="O1460" i="31"/>
  <c r="P1460" i="31"/>
  <c r="Q1460" i="31"/>
  <c r="R1460" i="31"/>
  <c r="S1460" i="31"/>
  <c r="T1460" i="31"/>
  <c r="I1461" i="31"/>
  <c r="J1461" i="31"/>
  <c r="K1461" i="31"/>
  <c r="L1461" i="31"/>
  <c r="M1461" i="31"/>
  <c r="N1461" i="31"/>
  <c r="O1461" i="31"/>
  <c r="P1461" i="31"/>
  <c r="Q1461" i="31"/>
  <c r="R1461" i="31"/>
  <c r="S1461" i="31"/>
  <c r="T1461" i="31"/>
  <c r="I1462" i="31"/>
  <c r="J1462" i="31"/>
  <c r="K1462" i="31"/>
  <c r="L1462" i="31"/>
  <c r="M1462" i="31"/>
  <c r="N1462" i="31"/>
  <c r="O1462" i="31"/>
  <c r="P1462" i="31"/>
  <c r="Q1462" i="31"/>
  <c r="R1462" i="31"/>
  <c r="S1462" i="31"/>
  <c r="T1462" i="31"/>
  <c r="I1463" i="31"/>
  <c r="J1463" i="31"/>
  <c r="K1463" i="31"/>
  <c r="L1463" i="31"/>
  <c r="M1463" i="31"/>
  <c r="N1463" i="31"/>
  <c r="O1463" i="31"/>
  <c r="P1463" i="31"/>
  <c r="Q1463" i="31"/>
  <c r="R1463" i="31"/>
  <c r="S1463" i="31"/>
  <c r="T1463" i="31"/>
  <c r="I1464" i="31"/>
  <c r="J1464" i="31"/>
  <c r="K1464" i="31"/>
  <c r="L1464" i="31"/>
  <c r="M1464" i="31"/>
  <c r="N1464" i="31"/>
  <c r="O1464" i="31"/>
  <c r="P1464" i="31"/>
  <c r="Q1464" i="31"/>
  <c r="R1464" i="31"/>
  <c r="S1464" i="31"/>
  <c r="T1464" i="31"/>
  <c r="I1465" i="31"/>
  <c r="J1465" i="31"/>
  <c r="K1465" i="31"/>
  <c r="L1465" i="31"/>
  <c r="M1465" i="31"/>
  <c r="N1465" i="31"/>
  <c r="O1465" i="31"/>
  <c r="P1465" i="31"/>
  <c r="Q1465" i="31"/>
  <c r="R1465" i="31"/>
  <c r="S1465" i="31"/>
  <c r="T1465" i="31"/>
  <c r="I1466" i="31"/>
  <c r="J1466" i="31"/>
  <c r="K1466" i="31"/>
  <c r="L1466" i="31"/>
  <c r="M1466" i="31"/>
  <c r="N1466" i="31"/>
  <c r="O1466" i="31"/>
  <c r="P1466" i="31"/>
  <c r="Q1466" i="31"/>
  <c r="R1466" i="31"/>
  <c r="S1466" i="31"/>
  <c r="T1466" i="31"/>
  <c r="I1467" i="31"/>
  <c r="J1467" i="31"/>
  <c r="K1467" i="31"/>
  <c r="L1467" i="31"/>
  <c r="M1467" i="31"/>
  <c r="N1467" i="31"/>
  <c r="O1467" i="31"/>
  <c r="P1467" i="31"/>
  <c r="Q1467" i="31"/>
  <c r="R1467" i="31"/>
  <c r="S1467" i="31"/>
  <c r="T1467" i="31"/>
  <c r="I1468" i="31"/>
  <c r="J1468" i="31"/>
  <c r="K1468" i="31"/>
  <c r="L1468" i="31"/>
  <c r="M1468" i="31"/>
  <c r="N1468" i="31"/>
  <c r="O1468" i="31"/>
  <c r="P1468" i="31"/>
  <c r="Q1468" i="31"/>
  <c r="R1468" i="31"/>
  <c r="S1468" i="31"/>
  <c r="T1468" i="31"/>
  <c r="I1469" i="31"/>
  <c r="J1469" i="31"/>
  <c r="K1469" i="31"/>
  <c r="L1469" i="31"/>
  <c r="M1469" i="31"/>
  <c r="N1469" i="31"/>
  <c r="O1469" i="31"/>
  <c r="P1469" i="31"/>
  <c r="Q1469" i="31"/>
  <c r="R1469" i="31"/>
  <c r="S1469" i="31"/>
  <c r="T1469" i="31"/>
  <c r="I1470" i="31"/>
  <c r="J1470" i="31"/>
  <c r="K1470" i="31"/>
  <c r="L1470" i="31"/>
  <c r="M1470" i="31"/>
  <c r="N1470" i="31"/>
  <c r="O1470" i="31"/>
  <c r="P1470" i="31"/>
  <c r="Q1470" i="31"/>
  <c r="R1470" i="31"/>
  <c r="S1470" i="31"/>
  <c r="T1470" i="31"/>
  <c r="I1471" i="31"/>
  <c r="J1471" i="31"/>
  <c r="K1471" i="31"/>
  <c r="L1471" i="31"/>
  <c r="M1471" i="31"/>
  <c r="N1471" i="31"/>
  <c r="O1471" i="31"/>
  <c r="P1471" i="31"/>
  <c r="Q1471" i="31"/>
  <c r="R1471" i="31"/>
  <c r="S1471" i="31"/>
  <c r="T1471" i="31"/>
  <c r="I1472" i="31"/>
  <c r="J1472" i="31"/>
  <c r="K1472" i="31"/>
  <c r="L1472" i="31"/>
  <c r="M1472" i="31"/>
  <c r="N1472" i="31"/>
  <c r="O1472" i="31"/>
  <c r="P1472" i="31"/>
  <c r="Q1472" i="31"/>
  <c r="R1472" i="31"/>
  <c r="S1472" i="31"/>
  <c r="T1472" i="31"/>
  <c r="I1473" i="31"/>
  <c r="J1473" i="31"/>
  <c r="K1473" i="31"/>
  <c r="L1473" i="31"/>
  <c r="M1473" i="31"/>
  <c r="N1473" i="31"/>
  <c r="O1473" i="31"/>
  <c r="P1473" i="31"/>
  <c r="Q1473" i="31"/>
  <c r="R1473" i="31"/>
  <c r="S1473" i="31"/>
  <c r="T1473" i="31"/>
  <c r="I1474" i="31"/>
  <c r="J1474" i="31"/>
  <c r="K1474" i="31"/>
  <c r="L1474" i="31"/>
  <c r="M1474" i="31"/>
  <c r="N1474" i="31"/>
  <c r="O1474" i="31"/>
  <c r="P1474" i="31"/>
  <c r="Q1474" i="31"/>
  <c r="R1474" i="31"/>
  <c r="S1474" i="31"/>
  <c r="T1474" i="31"/>
  <c r="I1475" i="31"/>
  <c r="J1475" i="31"/>
  <c r="K1475" i="31"/>
  <c r="L1475" i="31"/>
  <c r="M1475" i="31"/>
  <c r="N1475" i="31"/>
  <c r="O1475" i="31"/>
  <c r="P1475" i="31"/>
  <c r="Q1475" i="31"/>
  <c r="R1475" i="31"/>
  <c r="S1475" i="31"/>
  <c r="T1475" i="31"/>
  <c r="I1476" i="31"/>
  <c r="J1476" i="31"/>
  <c r="K1476" i="31"/>
  <c r="L1476" i="31"/>
  <c r="M1476" i="31"/>
  <c r="N1476" i="31"/>
  <c r="O1476" i="31"/>
  <c r="P1476" i="31"/>
  <c r="Q1476" i="31"/>
  <c r="R1476" i="31"/>
  <c r="S1476" i="31"/>
  <c r="T1476" i="31"/>
  <c r="I1477" i="31"/>
  <c r="J1477" i="31"/>
  <c r="K1477" i="31"/>
  <c r="L1477" i="31"/>
  <c r="M1477" i="31"/>
  <c r="N1477" i="31"/>
  <c r="O1477" i="31"/>
  <c r="P1477" i="31"/>
  <c r="Q1477" i="31"/>
  <c r="R1477" i="31"/>
  <c r="S1477" i="31"/>
  <c r="T1477" i="31"/>
  <c r="I1478" i="31"/>
  <c r="J1478" i="31"/>
  <c r="K1478" i="31"/>
  <c r="L1478" i="31"/>
  <c r="M1478" i="31"/>
  <c r="N1478" i="31"/>
  <c r="O1478" i="31"/>
  <c r="P1478" i="31"/>
  <c r="Q1478" i="31"/>
  <c r="R1478" i="31"/>
  <c r="S1478" i="31"/>
  <c r="T1478" i="31"/>
  <c r="I1479" i="31"/>
  <c r="J1479" i="31"/>
  <c r="K1479" i="31"/>
  <c r="L1479" i="31"/>
  <c r="M1479" i="31"/>
  <c r="N1479" i="31"/>
  <c r="O1479" i="31"/>
  <c r="P1479" i="31"/>
  <c r="Q1479" i="31"/>
  <c r="R1479" i="31"/>
  <c r="S1479" i="31"/>
  <c r="T1479" i="31"/>
  <c r="I1480" i="31"/>
  <c r="J1480" i="31"/>
  <c r="K1480" i="31"/>
  <c r="L1480" i="31"/>
  <c r="M1480" i="31"/>
  <c r="N1480" i="31"/>
  <c r="O1480" i="31"/>
  <c r="P1480" i="31"/>
  <c r="Q1480" i="31"/>
  <c r="R1480" i="31"/>
  <c r="S1480" i="31"/>
  <c r="T1480" i="31"/>
  <c r="I1481" i="31"/>
  <c r="J1481" i="31"/>
  <c r="K1481" i="31"/>
  <c r="L1481" i="31"/>
  <c r="M1481" i="31"/>
  <c r="N1481" i="31"/>
  <c r="O1481" i="31"/>
  <c r="P1481" i="31"/>
  <c r="Q1481" i="31"/>
  <c r="R1481" i="31"/>
  <c r="S1481" i="31"/>
  <c r="T1481" i="31"/>
  <c r="I1482" i="31"/>
  <c r="J1482" i="31"/>
  <c r="K1482" i="31"/>
  <c r="L1482" i="31"/>
  <c r="M1482" i="31"/>
  <c r="N1482" i="31"/>
  <c r="O1482" i="31"/>
  <c r="P1482" i="31"/>
  <c r="Q1482" i="31"/>
  <c r="R1482" i="31"/>
  <c r="S1482" i="31"/>
  <c r="T1482" i="31"/>
  <c r="I1483" i="31"/>
  <c r="J1483" i="31"/>
  <c r="K1483" i="31"/>
  <c r="L1483" i="31"/>
  <c r="M1483" i="31"/>
  <c r="N1483" i="31"/>
  <c r="O1483" i="31"/>
  <c r="P1483" i="31"/>
  <c r="Q1483" i="31"/>
  <c r="R1483" i="31"/>
  <c r="S1483" i="31"/>
  <c r="T1483" i="31"/>
  <c r="I1484" i="31"/>
  <c r="J1484" i="31"/>
  <c r="K1484" i="31"/>
  <c r="L1484" i="31"/>
  <c r="M1484" i="31"/>
  <c r="N1484" i="31"/>
  <c r="O1484" i="31"/>
  <c r="P1484" i="31"/>
  <c r="Q1484" i="31"/>
  <c r="R1484" i="31"/>
  <c r="S1484" i="31"/>
  <c r="T1484" i="31"/>
  <c r="I1485" i="31"/>
  <c r="J1485" i="31"/>
  <c r="K1485" i="31"/>
  <c r="L1485" i="31"/>
  <c r="M1485" i="31"/>
  <c r="N1485" i="31"/>
  <c r="O1485" i="31"/>
  <c r="P1485" i="31"/>
  <c r="Q1485" i="31"/>
  <c r="R1485" i="31"/>
  <c r="S1485" i="31"/>
  <c r="T1485" i="31"/>
  <c r="I1486" i="31"/>
  <c r="J1486" i="31"/>
  <c r="K1486" i="31"/>
  <c r="L1486" i="31"/>
  <c r="M1486" i="31"/>
  <c r="N1486" i="31"/>
  <c r="O1486" i="31"/>
  <c r="P1486" i="31"/>
  <c r="Q1486" i="31"/>
  <c r="R1486" i="31"/>
  <c r="S1486" i="31"/>
  <c r="T1486" i="31"/>
  <c r="I1487" i="31"/>
  <c r="J1487" i="31"/>
  <c r="K1487" i="31"/>
  <c r="L1487" i="31"/>
  <c r="M1487" i="31"/>
  <c r="N1487" i="31"/>
  <c r="O1487" i="31"/>
  <c r="P1487" i="31"/>
  <c r="Q1487" i="31"/>
  <c r="R1487" i="31"/>
  <c r="S1487" i="31"/>
  <c r="T1487" i="31"/>
  <c r="I1488" i="31"/>
  <c r="J1488" i="31"/>
  <c r="K1488" i="31"/>
  <c r="L1488" i="31"/>
  <c r="M1488" i="31"/>
  <c r="N1488" i="31"/>
  <c r="O1488" i="31"/>
  <c r="P1488" i="31"/>
  <c r="Q1488" i="31"/>
  <c r="R1488" i="31"/>
  <c r="S1488" i="31"/>
  <c r="T1488" i="31"/>
  <c r="I1489" i="31"/>
  <c r="J1489" i="31"/>
  <c r="K1489" i="31"/>
  <c r="L1489" i="31"/>
  <c r="M1489" i="31"/>
  <c r="N1489" i="31"/>
  <c r="O1489" i="31"/>
  <c r="P1489" i="31"/>
  <c r="Q1489" i="31"/>
  <c r="R1489" i="31"/>
  <c r="S1489" i="31"/>
  <c r="T1489" i="31"/>
  <c r="I1490" i="31"/>
  <c r="J1490" i="31"/>
  <c r="K1490" i="31"/>
  <c r="L1490" i="31"/>
  <c r="M1490" i="31"/>
  <c r="N1490" i="31"/>
  <c r="O1490" i="31"/>
  <c r="P1490" i="31"/>
  <c r="Q1490" i="31"/>
  <c r="R1490" i="31"/>
  <c r="S1490" i="31"/>
  <c r="T1490" i="31"/>
  <c r="I1491" i="31"/>
  <c r="J1491" i="31"/>
  <c r="K1491" i="31"/>
  <c r="L1491" i="31"/>
  <c r="M1491" i="31"/>
  <c r="N1491" i="31"/>
  <c r="O1491" i="31"/>
  <c r="P1491" i="31"/>
  <c r="Q1491" i="31"/>
  <c r="R1491" i="31"/>
  <c r="S1491" i="31"/>
  <c r="T1491" i="31"/>
  <c r="I1492" i="31"/>
  <c r="J1492" i="31"/>
  <c r="K1492" i="31"/>
  <c r="L1492" i="31"/>
  <c r="M1492" i="31"/>
  <c r="N1492" i="31"/>
  <c r="O1492" i="31"/>
  <c r="P1492" i="31"/>
  <c r="Q1492" i="31"/>
  <c r="R1492" i="31"/>
  <c r="S1492" i="31"/>
  <c r="T1492" i="31"/>
  <c r="I1493" i="31"/>
  <c r="J1493" i="31"/>
  <c r="K1493" i="31"/>
  <c r="L1493" i="31"/>
  <c r="M1493" i="31"/>
  <c r="N1493" i="31"/>
  <c r="O1493" i="31"/>
  <c r="P1493" i="31"/>
  <c r="Q1493" i="31"/>
  <c r="R1493" i="31"/>
  <c r="S1493" i="31"/>
  <c r="T1493" i="31"/>
  <c r="I1494" i="31"/>
  <c r="J1494" i="31"/>
  <c r="K1494" i="31"/>
  <c r="L1494" i="31"/>
  <c r="M1494" i="31"/>
  <c r="N1494" i="31"/>
  <c r="O1494" i="31"/>
  <c r="P1494" i="31"/>
  <c r="Q1494" i="31"/>
  <c r="R1494" i="31"/>
  <c r="S1494" i="31"/>
  <c r="T1494" i="31"/>
  <c r="I1495" i="31"/>
  <c r="J1495" i="31"/>
  <c r="K1495" i="31"/>
  <c r="L1495" i="31"/>
  <c r="M1495" i="31"/>
  <c r="N1495" i="31"/>
  <c r="O1495" i="31"/>
  <c r="P1495" i="31"/>
  <c r="Q1495" i="31"/>
  <c r="R1495" i="31"/>
  <c r="S1495" i="31"/>
  <c r="T1495" i="31"/>
  <c r="I1496" i="31"/>
  <c r="J1496" i="31"/>
  <c r="K1496" i="31"/>
  <c r="L1496" i="31"/>
  <c r="M1496" i="31"/>
  <c r="N1496" i="31"/>
  <c r="O1496" i="31"/>
  <c r="P1496" i="31"/>
  <c r="Q1496" i="31"/>
  <c r="R1496" i="31"/>
  <c r="S1496" i="31"/>
  <c r="T1496" i="31"/>
  <c r="I1497" i="31"/>
  <c r="J1497" i="31"/>
  <c r="K1497" i="31"/>
  <c r="L1497" i="31"/>
  <c r="M1497" i="31"/>
  <c r="N1497" i="31"/>
  <c r="O1497" i="31"/>
  <c r="P1497" i="31"/>
  <c r="Q1497" i="31"/>
  <c r="R1497" i="31"/>
  <c r="S1497" i="31"/>
  <c r="T1497" i="31"/>
  <c r="I1498" i="31"/>
  <c r="J1498" i="31"/>
  <c r="K1498" i="31"/>
  <c r="L1498" i="31"/>
  <c r="M1498" i="31"/>
  <c r="N1498" i="31"/>
  <c r="O1498" i="31"/>
  <c r="P1498" i="31"/>
  <c r="Q1498" i="31"/>
  <c r="R1498" i="31"/>
  <c r="S1498" i="31"/>
  <c r="T1498" i="31"/>
  <c r="I1499" i="31"/>
  <c r="J1499" i="31"/>
  <c r="K1499" i="31"/>
  <c r="L1499" i="31"/>
  <c r="M1499" i="31"/>
  <c r="N1499" i="31"/>
  <c r="O1499" i="31"/>
  <c r="P1499" i="31"/>
  <c r="Q1499" i="31"/>
  <c r="R1499" i="31"/>
  <c r="S1499" i="31"/>
  <c r="T1499" i="31"/>
  <c r="I1500" i="31"/>
  <c r="J1500" i="31"/>
  <c r="K1500" i="31"/>
  <c r="L1500" i="31"/>
  <c r="M1500" i="31"/>
  <c r="N1500" i="31"/>
  <c r="O1500" i="31"/>
  <c r="P1500" i="31"/>
  <c r="Q1500" i="31"/>
  <c r="R1500" i="31"/>
  <c r="S1500" i="31"/>
  <c r="T1500" i="31"/>
  <c r="I1501" i="31"/>
  <c r="J1501" i="31"/>
  <c r="K1501" i="31"/>
  <c r="L1501" i="31"/>
  <c r="M1501" i="31"/>
  <c r="N1501" i="31"/>
  <c r="O1501" i="31"/>
  <c r="P1501" i="31"/>
  <c r="Q1501" i="31"/>
  <c r="R1501" i="31"/>
  <c r="S1501" i="31"/>
  <c r="T1501" i="31"/>
  <c r="I1502" i="31"/>
  <c r="J1502" i="31"/>
  <c r="K1502" i="31"/>
  <c r="L1502" i="31"/>
  <c r="M1502" i="31"/>
  <c r="N1502" i="31"/>
  <c r="O1502" i="31"/>
  <c r="P1502" i="31"/>
  <c r="Q1502" i="31"/>
  <c r="R1502" i="31"/>
  <c r="S1502" i="31"/>
  <c r="T1502" i="31"/>
  <c r="I1503" i="31"/>
  <c r="J1503" i="31"/>
  <c r="K1503" i="31"/>
  <c r="L1503" i="31"/>
  <c r="M1503" i="31"/>
  <c r="N1503" i="31"/>
  <c r="O1503" i="31"/>
  <c r="P1503" i="31"/>
  <c r="Q1503" i="31"/>
  <c r="R1503" i="31"/>
  <c r="S1503" i="31"/>
  <c r="T1503" i="31"/>
  <c r="I1504" i="31"/>
  <c r="J1504" i="31"/>
  <c r="K1504" i="31"/>
  <c r="L1504" i="31"/>
  <c r="M1504" i="31"/>
  <c r="N1504" i="31"/>
  <c r="O1504" i="31"/>
  <c r="P1504" i="31"/>
  <c r="Q1504" i="31"/>
  <c r="R1504" i="31"/>
  <c r="S1504" i="31"/>
  <c r="T1504" i="31"/>
  <c r="I1505" i="31"/>
  <c r="J1505" i="31"/>
  <c r="K1505" i="31"/>
  <c r="L1505" i="31"/>
  <c r="M1505" i="31"/>
  <c r="N1505" i="31"/>
  <c r="O1505" i="31"/>
  <c r="P1505" i="31"/>
  <c r="Q1505" i="31"/>
  <c r="R1505" i="31"/>
  <c r="S1505" i="31"/>
  <c r="T1505" i="31"/>
  <c r="I1506" i="31"/>
  <c r="J1506" i="31"/>
  <c r="K1506" i="31"/>
  <c r="L1506" i="31"/>
  <c r="M1506" i="31"/>
  <c r="N1506" i="31"/>
  <c r="O1506" i="31"/>
  <c r="P1506" i="31"/>
  <c r="Q1506" i="31"/>
  <c r="R1506" i="31"/>
  <c r="S1506" i="31"/>
  <c r="T1506" i="31"/>
  <c r="I1507" i="31"/>
  <c r="J1507" i="31"/>
  <c r="K1507" i="31"/>
  <c r="L1507" i="31"/>
  <c r="M1507" i="31"/>
  <c r="N1507" i="31"/>
  <c r="O1507" i="31"/>
  <c r="P1507" i="31"/>
  <c r="Q1507" i="31"/>
  <c r="R1507" i="31"/>
  <c r="S1507" i="31"/>
  <c r="T1507" i="31"/>
  <c r="I1508" i="31"/>
  <c r="J1508" i="31"/>
  <c r="K1508" i="31"/>
  <c r="L1508" i="31"/>
  <c r="M1508" i="31"/>
  <c r="N1508" i="31"/>
  <c r="O1508" i="31"/>
  <c r="P1508" i="31"/>
  <c r="Q1508" i="31"/>
  <c r="R1508" i="31"/>
  <c r="S1508" i="31"/>
  <c r="T1508" i="31"/>
  <c r="I1509" i="31"/>
  <c r="J1509" i="31"/>
  <c r="K1509" i="31"/>
  <c r="L1509" i="31"/>
  <c r="M1509" i="31"/>
  <c r="N1509" i="31"/>
  <c r="O1509" i="31"/>
  <c r="P1509" i="31"/>
  <c r="Q1509" i="31"/>
  <c r="R1509" i="31"/>
  <c r="S1509" i="31"/>
  <c r="T1509" i="31"/>
  <c r="I1510" i="31"/>
  <c r="J1510" i="31"/>
  <c r="K1510" i="31"/>
  <c r="L1510" i="31"/>
  <c r="M1510" i="31"/>
  <c r="N1510" i="31"/>
  <c r="O1510" i="31"/>
  <c r="P1510" i="31"/>
  <c r="Q1510" i="31"/>
  <c r="R1510" i="31"/>
  <c r="S1510" i="31"/>
  <c r="T1510" i="31"/>
  <c r="I1511" i="31"/>
  <c r="J1511" i="31"/>
  <c r="K1511" i="31"/>
  <c r="L1511" i="31"/>
  <c r="M1511" i="31"/>
  <c r="N1511" i="31"/>
  <c r="O1511" i="31"/>
  <c r="P1511" i="31"/>
  <c r="Q1511" i="31"/>
  <c r="R1511" i="31"/>
  <c r="S1511" i="31"/>
  <c r="T1511" i="31"/>
  <c r="I1512" i="31"/>
  <c r="J1512" i="31"/>
  <c r="K1512" i="31"/>
  <c r="L1512" i="31"/>
  <c r="M1512" i="31"/>
  <c r="N1512" i="31"/>
  <c r="O1512" i="31"/>
  <c r="P1512" i="31"/>
  <c r="Q1512" i="31"/>
  <c r="R1512" i="31"/>
  <c r="S1512" i="31"/>
  <c r="T1512" i="31"/>
  <c r="I1513" i="31"/>
  <c r="J1513" i="31"/>
  <c r="K1513" i="31"/>
  <c r="L1513" i="31"/>
  <c r="M1513" i="31"/>
  <c r="N1513" i="31"/>
  <c r="O1513" i="31"/>
  <c r="P1513" i="31"/>
  <c r="Q1513" i="31"/>
  <c r="R1513" i="31"/>
  <c r="S1513" i="31"/>
  <c r="T1513" i="31"/>
  <c r="I1514" i="31"/>
  <c r="J1514" i="31"/>
  <c r="K1514" i="31"/>
  <c r="L1514" i="31"/>
  <c r="M1514" i="31"/>
  <c r="N1514" i="31"/>
  <c r="O1514" i="31"/>
  <c r="P1514" i="31"/>
  <c r="Q1514" i="31"/>
  <c r="R1514" i="31"/>
  <c r="S1514" i="31"/>
  <c r="T1514" i="31"/>
  <c r="I1515" i="31"/>
  <c r="J1515" i="31"/>
  <c r="K1515" i="31"/>
  <c r="L1515" i="31"/>
  <c r="M1515" i="31"/>
  <c r="N1515" i="31"/>
  <c r="O1515" i="31"/>
  <c r="P1515" i="31"/>
  <c r="Q1515" i="31"/>
  <c r="R1515" i="31"/>
  <c r="S1515" i="31"/>
  <c r="T1515" i="31"/>
  <c r="I1516" i="31"/>
  <c r="J1516" i="31"/>
  <c r="K1516" i="31"/>
  <c r="L1516" i="31"/>
  <c r="M1516" i="31"/>
  <c r="N1516" i="31"/>
  <c r="O1516" i="31"/>
  <c r="P1516" i="31"/>
  <c r="Q1516" i="31"/>
  <c r="R1516" i="31"/>
  <c r="S1516" i="31"/>
  <c r="T1516" i="31"/>
  <c r="I1517" i="31"/>
  <c r="J1517" i="31"/>
  <c r="K1517" i="31"/>
  <c r="L1517" i="31"/>
  <c r="M1517" i="31"/>
  <c r="N1517" i="31"/>
  <c r="O1517" i="31"/>
  <c r="P1517" i="31"/>
  <c r="Q1517" i="31"/>
  <c r="R1517" i="31"/>
  <c r="S1517" i="31"/>
  <c r="T1517" i="31"/>
  <c r="I1518" i="31"/>
  <c r="J1518" i="31"/>
  <c r="K1518" i="31"/>
  <c r="L1518" i="31"/>
  <c r="M1518" i="31"/>
  <c r="N1518" i="31"/>
  <c r="O1518" i="31"/>
  <c r="P1518" i="31"/>
  <c r="Q1518" i="31"/>
  <c r="R1518" i="31"/>
  <c r="S1518" i="31"/>
  <c r="T1518" i="31"/>
  <c r="I1519" i="31"/>
  <c r="J1519" i="31"/>
  <c r="K1519" i="31"/>
  <c r="L1519" i="31"/>
  <c r="M1519" i="31"/>
  <c r="N1519" i="31"/>
  <c r="O1519" i="31"/>
  <c r="P1519" i="31"/>
  <c r="Q1519" i="31"/>
  <c r="R1519" i="31"/>
  <c r="S1519" i="31"/>
  <c r="T1519" i="31"/>
  <c r="I1520" i="31"/>
  <c r="J1520" i="31"/>
  <c r="K1520" i="31"/>
  <c r="L1520" i="31"/>
  <c r="M1520" i="31"/>
  <c r="N1520" i="31"/>
  <c r="O1520" i="31"/>
  <c r="P1520" i="31"/>
  <c r="Q1520" i="31"/>
  <c r="R1520" i="31"/>
  <c r="S1520" i="31"/>
  <c r="T1520" i="31"/>
  <c r="I1521" i="31"/>
  <c r="J1521" i="31"/>
  <c r="K1521" i="31"/>
  <c r="L1521" i="31"/>
  <c r="M1521" i="31"/>
  <c r="N1521" i="31"/>
  <c r="O1521" i="31"/>
  <c r="P1521" i="31"/>
  <c r="Q1521" i="31"/>
  <c r="R1521" i="31"/>
  <c r="S1521" i="31"/>
  <c r="T1521" i="31"/>
  <c r="I1522" i="31"/>
  <c r="J1522" i="31"/>
  <c r="K1522" i="31"/>
  <c r="L1522" i="31"/>
  <c r="M1522" i="31"/>
  <c r="N1522" i="31"/>
  <c r="O1522" i="31"/>
  <c r="P1522" i="31"/>
  <c r="Q1522" i="31"/>
  <c r="R1522" i="31"/>
  <c r="S1522" i="31"/>
  <c r="T1522" i="31"/>
  <c r="I1523" i="31"/>
  <c r="J1523" i="31"/>
  <c r="K1523" i="31"/>
  <c r="L1523" i="31"/>
  <c r="M1523" i="31"/>
  <c r="N1523" i="31"/>
  <c r="O1523" i="31"/>
  <c r="P1523" i="31"/>
  <c r="Q1523" i="31"/>
  <c r="R1523" i="31"/>
  <c r="S1523" i="31"/>
  <c r="T1523" i="31"/>
  <c r="I1524" i="31"/>
  <c r="J1524" i="31"/>
  <c r="K1524" i="31"/>
  <c r="L1524" i="31"/>
  <c r="M1524" i="31"/>
  <c r="N1524" i="31"/>
  <c r="O1524" i="31"/>
  <c r="P1524" i="31"/>
  <c r="Q1524" i="31"/>
  <c r="R1524" i="31"/>
  <c r="S1524" i="31"/>
  <c r="T1524" i="31"/>
  <c r="I1525" i="31"/>
  <c r="J1525" i="31"/>
  <c r="K1525" i="31"/>
  <c r="L1525" i="31"/>
  <c r="M1525" i="31"/>
  <c r="N1525" i="31"/>
  <c r="O1525" i="31"/>
  <c r="P1525" i="31"/>
  <c r="Q1525" i="31"/>
  <c r="R1525" i="31"/>
  <c r="S1525" i="31"/>
  <c r="T1525" i="31"/>
  <c r="I1526" i="31"/>
  <c r="J1526" i="31"/>
  <c r="K1526" i="31"/>
  <c r="L1526" i="31"/>
  <c r="M1526" i="31"/>
  <c r="N1526" i="31"/>
  <c r="O1526" i="31"/>
  <c r="P1526" i="31"/>
  <c r="Q1526" i="31"/>
  <c r="R1526" i="31"/>
  <c r="S1526" i="31"/>
  <c r="T1526" i="31"/>
  <c r="I1527" i="31"/>
  <c r="J1527" i="31"/>
  <c r="K1527" i="31"/>
  <c r="L1527" i="31"/>
  <c r="M1527" i="31"/>
  <c r="N1527" i="31"/>
  <c r="O1527" i="31"/>
  <c r="P1527" i="31"/>
  <c r="Q1527" i="31"/>
  <c r="R1527" i="31"/>
  <c r="S1527" i="31"/>
  <c r="T1527" i="31"/>
  <c r="I1528" i="31"/>
  <c r="J1528" i="31"/>
  <c r="K1528" i="31"/>
  <c r="L1528" i="31"/>
  <c r="M1528" i="31"/>
  <c r="N1528" i="31"/>
  <c r="O1528" i="31"/>
  <c r="P1528" i="31"/>
  <c r="Q1528" i="31"/>
  <c r="R1528" i="31"/>
  <c r="S1528" i="31"/>
  <c r="T1528" i="31"/>
  <c r="I1529" i="31"/>
  <c r="J1529" i="31"/>
  <c r="K1529" i="31"/>
  <c r="L1529" i="31"/>
  <c r="M1529" i="31"/>
  <c r="N1529" i="31"/>
  <c r="O1529" i="31"/>
  <c r="P1529" i="31"/>
  <c r="Q1529" i="31"/>
  <c r="R1529" i="31"/>
  <c r="S1529" i="31"/>
  <c r="T1529" i="31"/>
  <c r="I1530" i="31"/>
  <c r="J1530" i="31"/>
  <c r="K1530" i="31"/>
  <c r="L1530" i="31"/>
  <c r="M1530" i="31"/>
  <c r="N1530" i="31"/>
  <c r="O1530" i="31"/>
  <c r="P1530" i="31"/>
  <c r="Q1530" i="31"/>
  <c r="R1530" i="31"/>
  <c r="S1530" i="31"/>
  <c r="T1530" i="31"/>
  <c r="I1531" i="31"/>
  <c r="J1531" i="31"/>
  <c r="K1531" i="31"/>
  <c r="L1531" i="31"/>
  <c r="M1531" i="31"/>
  <c r="N1531" i="31"/>
  <c r="O1531" i="31"/>
  <c r="P1531" i="31"/>
  <c r="Q1531" i="31"/>
  <c r="R1531" i="31"/>
  <c r="S1531" i="31"/>
  <c r="T1531" i="31"/>
  <c r="I1532" i="31"/>
  <c r="J1532" i="31"/>
  <c r="K1532" i="31"/>
  <c r="L1532" i="31"/>
  <c r="M1532" i="31"/>
  <c r="N1532" i="31"/>
  <c r="O1532" i="31"/>
  <c r="P1532" i="31"/>
  <c r="Q1532" i="31"/>
  <c r="R1532" i="31"/>
  <c r="S1532" i="31"/>
  <c r="T1532" i="31"/>
  <c r="I1533" i="31"/>
  <c r="J1533" i="31"/>
  <c r="K1533" i="31"/>
  <c r="L1533" i="31"/>
  <c r="M1533" i="31"/>
  <c r="N1533" i="31"/>
  <c r="O1533" i="31"/>
  <c r="P1533" i="31"/>
  <c r="Q1533" i="31"/>
  <c r="R1533" i="31"/>
  <c r="S1533" i="31"/>
  <c r="T1533" i="31"/>
  <c r="I1534" i="31"/>
  <c r="J1534" i="31"/>
  <c r="K1534" i="31"/>
  <c r="L1534" i="31"/>
  <c r="M1534" i="31"/>
  <c r="N1534" i="31"/>
  <c r="O1534" i="31"/>
  <c r="P1534" i="31"/>
  <c r="Q1534" i="31"/>
  <c r="R1534" i="31"/>
  <c r="S1534" i="31"/>
  <c r="T1534" i="31"/>
  <c r="I1535" i="31"/>
  <c r="J1535" i="31"/>
  <c r="K1535" i="31"/>
  <c r="L1535" i="31"/>
  <c r="M1535" i="31"/>
  <c r="N1535" i="31"/>
  <c r="O1535" i="31"/>
  <c r="P1535" i="31"/>
  <c r="Q1535" i="31"/>
  <c r="R1535" i="31"/>
  <c r="S1535" i="31"/>
  <c r="T1535" i="31"/>
  <c r="I1536" i="31"/>
  <c r="J1536" i="31"/>
  <c r="K1536" i="31"/>
  <c r="L1536" i="31"/>
  <c r="M1536" i="31"/>
  <c r="N1536" i="31"/>
  <c r="O1536" i="31"/>
  <c r="P1536" i="31"/>
  <c r="Q1536" i="31"/>
  <c r="R1536" i="31"/>
  <c r="S1536" i="31"/>
  <c r="T1536" i="31"/>
  <c r="I1537" i="31"/>
  <c r="J1537" i="31"/>
  <c r="K1537" i="31"/>
  <c r="L1537" i="31"/>
  <c r="M1537" i="31"/>
  <c r="N1537" i="31"/>
  <c r="O1537" i="31"/>
  <c r="P1537" i="31"/>
  <c r="Q1537" i="31"/>
  <c r="R1537" i="31"/>
  <c r="S1537" i="31"/>
  <c r="T1537" i="31"/>
  <c r="I1538" i="31"/>
  <c r="J1538" i="31"/>
  <c r="K1538" i="31"/>
  <c r="L1538" i="31"/>
  <c r="M1538" i="31"/>
  <c r="N1538" i="31"/>
  <c r="O1538" i="31"/>
  <c r="P1538" i="31"/>
  <c r="Q1538" i="31"/>
  <c r="R1538" i="31"/>
  <c r="S1538" i="31"/>
  <c r="T1538" i="31"/>
  <c r="I1539" i="31"/>
  <c r="J1539" i="31"/>
  <c r="K1539" i="31"/>
  <c r="L1539" i="31"/>
  <c r="M1539" i="31"/>
  <c r="N1539" i="31"/>
  <c r="O1539" i="31"/>
  <c r="P1539" i="31"/>
  <c r="Q1539" i="31"/>
  <c r="R1539" i="31"/>
  <c r="S1539" i="31"/>
  <c r="T1539" i="31"/>
  <c r="I1540" i="31"/>
  <c r="J1540" i="31"/>
  <c r="K1540" i="31"/>
  <c r="L1540" i="31"/>
  <c r="M1540" i="31"/>
  <c r="N1540" i="31"/>
  <c r="O1540" i="31"/>
  <c r="P1540" i="31"/>
  <c r="Q1540" i="31"/>
  <c r="R1540" i="31"/>
  <c r="S1540" i="31"/>
  <c r="T1540" i="31"/>
  <c r="I1541" i="31"/>
  <c r="J1541" i="31"/>
  <c r="K1541" i="31"/>
  <c r="L1541" i="31"/>
  <c r="M1541" i="31"/>
  <c r="N1541" i="31"/>
  <c r="O1541" i="31"/>
  <c r="P1541" i="31"/>
  <c r="Q1541" i="31"/>
  <c r="R1541" i="31"/>
  <c r="S1541" i="31"/>
  <c r="T1541" i="31"/>
  <c r="I1542" i="31"/>
  <c r="J1542" i="31"/>
  <c r="K1542" i="31"/>
  <c r="L1542" i="31"/>
  <c r="M1542" i="31"/>
  <c r="N1542" i="31"/>
  <c r="O1542" i="31"/>
  <c r="P1542" i="31"/>
  <c r="Q1542" i="31"/>
  <c r="R1542" i="31"/>
  <c r="S1542" i="31"/>
  <c r="T1542" i="31"/>
  <c r="I1543" i="31"/>
  <c r="J1543" i="31"/>
  <c r="K1543" i="31"/>
  <c r="L1543" i="31"/>
  <c r="M1543" i="31"/>
  <c r="N1543" i="31"/>
  <c r="O1543" i="31"/>
  <c r="P1543" i="31"/>
  <c r="Q1543" i="31"/>
  <c r="R1543" i="31"/>
  <c r="S1543" i="31"/>
  <c r="T1543" i="31"/>
  <c r="I1544" i="31"/>
  <c r="J1544" i="31"/>
  <c r="K1544" i="31"/>
  <c r="L1544" i="31"/>
  <c r="M1544" i="31"/>
  <c r="N1544" i="31"/>
  <c r="O1544" i="31"/>
  <c r="P1544" i="31"/>
  <c r="Q1544" i="31"/>
  <c r="R1544" i="31"/>
  <c r="S1544" i="31"/>
  <c r="T1544" i="31"/>
  <c r="I1545" i="31"/>
  <c r="J1545" i="31"/>
  <c r="K1545" i="31"/>
  <c r="L1545" i="31"/>
  <c r="M1545" i="31"/>
  <c r="N1545" i="31"/>
  <c r="O1545" i="31"/>
  <c r="P1545" i="31"/>
  <c r="Q1545" i="31"/>
  <c r="R1545" i="31"/>
  <c r="S1545" i="31"/>
  <c r="T1545" i="31"/>
  <c r="I1546" i="31"/>
  <c r="J1546" i="31"/>
  <c r="K1546" i="31"/>
  <c r="L1546" i="31"/>
  <c r="M1546" i="31"/>
  <c r="N1546" i="31"/>
  <c r="O1546" i="31"/>
  <c r="P1546" i="31"/>
  <c r="Q1546" i="31"/>
  <c r="R1546" i="31"/>
  <c r="S1546" i="31"/>
  <c r="T1546" i="31"/>
  <c r="I1547" i="31"/>
  <c r="J1547" i="31"/>
  <c r="K1547" i="31"/>
  <c r="L1547" i="31"/>
  <c r="M1547" i="31"/>
  <c r="N1547" i="31"/>
  <c r="O1547" i="31"/>
  <c r="P1547" i="31"/>
  <c r="Q1547" i="31"/>
  <c r="R1547" i="31"/>
  <c r="S1547" i="31"/>
  <c r="T1547" i="31"/>
  <c r="I1548" i="31"/>
  <c r="J1548" i="31"/>
  <c r="K1548" i="31"/>
  <c r="L1548" i="31"/>
  <c r="M1548" i="31"/>
  <c r="N1548" i="31"/>
  <c r="O1548" i="31"/>
  <c r="P1548" i="31"/>
  <c r="Q1548" i="31"/>
  <c r="R1548" i="31"/>
  <c r="S1548" i="31"/>
  <c r="T1548" i="31"/>
  <c r="I1549" i="31"/>
  <c r="J1549" i="31"/>
  <c r="K1549" i="31"/>
  <c r="L1549" i="31"/>
  <c r="M1549" i="31"/>
  <c r="N1549" i="31"/>
  <c r="O1549" i="31"/>
  <c r="P1549" i="31"/>
  <c r="Q1549" i="31"/>
  <c r="R1549" i="31"/>
  <c r="S1549" i="31"/>
  <c r="T1549" i="31"/>
  <c r="I1550" i="31"/>
  <c r="J1550" i="31"/>
  <c r="K1550" i="31"/>
  <c r="L1550" i="31"/>
  <c r="M1550" i="31"/>
  <c r="N1550" i="31"/>
  <c r="O1550" i="31"/>
  <c r="P1550" i="31"/>
  <c r="Q1550" i="31"/>
  <c r="R1550" i="31"/>
  <c r="S1550" i="31"/>
  <c r="T1550" i="31"/>
  <c r="I1551" i="31"/>
  <c r="J1551" i="31"/>
  <c r="K1551" i="31"/>
  <c r="L1551" i="31"/>
  <c r="M1551" i="31"/>
  <c r="N1551" i="31"/>
  <c r="O1551" i="31"/>
  <c r="P1551" i="31"/>
  <c r="Q1551" i="31"/>
  <c r="R1551" i="31"/>
  <c r="S1551" i="31"/>
  <c r="T1551" i="31"/>
  <c r="I1552" i="31"/>
  <c r="J1552" i="31"/>
  <c r="K1552" i="31"/>
  <c r="L1552" i="31"/>
  <c r="M1552" i="31"/>
  <c r="N1552" i="31"/>
  <c r="O1552" i="31"/>
  <c r="P1552" i="31"/>
  <c r="Q1552" i="31"/>
  <c r="R1552" i="31"/>
  <c r="S1552" i="31"/>
  <c r="T1552" i="31"/>
  <c r="I1553" i="31"/>
  <c r="J1553" i="31"/>
  <c r="K1553" i="31"/>
  <c r="L1553" i="31"/>
  <c r="M1553" i="31"/>
  <c r="N1553" i="31"/>
  <c r="O1553" i="31"/>
  <c r="P1553" i="31"/>
  <c r="Q1553" i="31"/>
  <c r="R1553" i="31"/>
  <c r="S1553" i="31"/>
  <c r="T1553" i="31"/>
  <c r="I1554" i="31"/>
  <c r="J1554" i="31"/>
  <c r="K1554" i="31"/>
  <c r="L1554" i="31"/>
  <c r="M1554" i="31"/>
  <c r="N1554" i="31"/>
  <c r="O1554" i="31"/>
  <c r="P1554" i="31"/>
  <c r="Q1554" i="31"/>
  <c r="R1554" i="31"/>
  <c r="S1554" i="31"/>
  <c r="T1554" i="31"/>
  <c r="I1555" i="31"/>
  <c r="J1555" i="31"/>
  <c r="K1555" i="31"/>
  <c r="L1555" i="31"/>
  <c r="M1555" i="31"/>
  <c r="N1555" i="31"/>
  <c r="O1555" i="31"/>
  <c r="P1555" i="31"/>
  <c r="Q1555" i="31"/>
  <c r="R1555" i="31"/>
  <c r="S1555" i="31"/>
  <c r="T1555" i="31"/>
  <c r="I1556" i="31"/>
  <c r="J1556" i="31"/>
  <c r="K1556" i="31"/>
  <c r="L1556" i="31"/>
  <c r="M1556" i="31"/>
  <c r="N1556" i="31"/>
  <c r="O1556" i="31"/>
  <c r="P1556" i="31"/>
  <c r="Q1556" i="31"/>
  <c r="R1556" i="31"/>
  <c r="S1556" i="31"/>
  <c r="T1556" i="31"/>
  <c r="I1557" i="31"/>
  <c r="J1557" i="31"/>
  <c r="K1557" i="31"/>
  <c r="L1557" i="31"/>
  <c r="M1557" i="31"/>
  <c r="N1557" i="31"/>
  <c r="O1557" i="31"/>
  <c r="P1557" i="31"/>
  <c r="Q1557" i="31"/>
  <c r="R1557" i="31"/>
  <c r="S1557" i="31"/>
  <c r="T1557" i="31"/>
  <c r="I1558" i="31"/>
  <c r="J1558" i="31"/>
  <c r="K1558" i="31"/>
  <c r="L1558" i="31"/>
  <c r="M1558" i="31"/>
  <c r="N1558" i="31"/>
  <c r="O1558" i="31"/>
  <c r="P1558" i="31"/>
  <c r="Q1558" i="31"/>
  <c r="R1558" i="31"/>
  <c r="S1558" i="31"/>
  <c r="T1558" i="31"/>
  <c r="I1559" i="31"/>
  <c r="J1559" i="31"/>
  <c r="K1559" i="31"/>
  <c r="L1559" i="31"/>
  <c r="M1559" i="31"/>
  <c r="N1559" i="31"/>
  <c r="O1559" i="31"/>
  <c r="P1559" i="31"/>
  <c r="Q1559" i="31"/>
  <c r="R1559" i="31"/>
  <c r="S1559" i="31"/>
  <c r="T1559" i="31"/>
  <c r="I1560" i="31"/>
  <c r="J1560" i="31"/>
  <c r="K1560" i="31"/>
  <c r="L1560" i="31"/>
  <c r="M1560" i="31"/>
  <c r="N1560" i="31"/>
  <c r="O1560" i="31"/>
  <c r="P1560" i="31"/>
  <c r="Q1560" i="31"/>
  <c r="R1560" i="31"/>
  <c r="S1560" i="31"/>
  <c r="T1560" i="31"/>
  <c r="I1561" i="31"/>
  <c r="J1561" i="31"/>
  <c r="K1561" i="31"/>
  <c r="L1561" i="31"/>
  <c r="M1561" i="31"/>
  <c r="N1561" i="31"/>
  <c r="O1561" i="31"/>
  <c r="P1561" i="31"/>
  <c r="Q1561" i="31"/>
  <c r="R1561" i="31"/>
  <c r="S1561" i="31"/>
  <c r="T1561" i="31"/>
  <c r="I1562" i="31"/>
  <c r="J1562" i="31"/>
  <c r="K1562" i="31"/>
  <c r="L1562" i="31"/>
  <c r="M1562" i="31"/>
  <c r="N1562" i="31"/>
  <c r="O1562" i="31"/>
  <c r="P1562" i="31"/>
  <c r="Q1562" i="31"/>
  <c r="R1562" i="31"/>
  <c r="S1562" i="31"/>
  <c r="T1562" i="31"/>
  <c r="I1563" i="31"/>
  <c r="J1563" i="31"/>
  <c r="K1563" i="31"/>
  <c r="L1563" i="31"/>
  <c r="M1563" i="31"/>
  <c r="N1563" i="31"/>
  <c r="O1563" i="31"/>
  <c r="P1563" i="31"/>
  <c r="Q1563" i="31"/>
  <c r="R1563" i="31"/>
  <c r="S1563" i="31"/>
  <c r="T1563" i="31"/>
  <c r="I1564" i="31"/>
  <c r="J1564" i="31"/>
  <c r="K1564" i="31"/>
  <c r="L1564" i="31"/>
  <c r="M1564" i="31"/>
  <c r="N1564" i="31"/>
  <c r="O1564" i="31"/>
  <c r="P1564" i="31"/>
  <c r="Q1564" i="31"/>
  <c r="R1564" i="31"/>
  <c r="S1564" i="31"/>
  <c r="T1564" i="31"/>
  <c r="I1565" i="31"/>
  <c r="J1565" i="31"/>
  <c r="K1565" i="31"/>
  <c r="L1565" i="31"/>
  <c r="M1565" i="31"/>
  <c r="N1565" i="31"/>
  <c r="O1565" i="31"/>
  <c r="P1565" i="31"/>
  <c r="Q1565" i="31"/>
  <c r="R1565" i="31"/>
  <c r="S1565" i="31"/>
  <c r="T1565" i="31"/>
  <c r="I1566" i="31"/>
  <c r="J1566" i="31"/>
  <c r="K1566" i="31"/>
  <c r="L1566" i="31"/>
  <c r="M1566" i="31"/>
  <c r="N1566" i="31"/>
  <c r="O1566" i="31"/>
  <c r="P1566" i="31"/>
  <c r="Q1566" i="31"/>
  <c r="R1566" i="31"/>
  <c r="S1566" i="31"/>
  <c r="T1566" i="31"/>
  <c r="I1567" i="31"/>
  <c r="J1567" i="31"/>
  <c r="K1567" i="31"/>
  <c r="L1567" i="31"/>
  <c r="M1567" i="31"/>
  <c r="N1567" i="31"/>
  <c r="O1567" i="31"/>
  <c r="P1567" i="31"/>
  <c r="Q1567" i="31"/>
  <c r="R1567" i="31"/>
  <c r="S1567" i="31"/>
  <c r="T1567" i="31"/>
  <c r="I1568" i="31"/>
  <c r="J1568" i="31"/>
  <c r="K1568" i="31"/>
  <c r="L1568" i="31"/>
  <c r="M1568" i="31"/>
  <c r="N1568" i="31"/>
  <c r="O1568" i="31"/>
  <c r="P1568" i="31"/>
  <c r="Q1568" i="31"/>
  <c r="R1568" i="31"/>
  <c r="S1568" i="31"/>
  <c r="T1568" i="31"/>
  <c r="I1569" i="31"/>
  <c r="J1569" i="31"/>
  <c r="K1569" i="31"/>
  <c r="L1569" i="31"/>
  <c r="M1569" i="31"/>
  <c r="N1569" i="31"/>
  <c r="O1569" i="31"/>
  <c r="P1569" i="31"/>
  <c r="Q1569" i="31"/>
  <c r="R1569" i="31"/>
  <c r="S1569" i="31"/>
  <c r="T1569" i="31"/>
  <c r="I1570" i="31"/>
  <c r="J1570" i="31"/>
  <c r="K1570" i="31"/>
  <c r="L1570" i="31"/>
  <c r="M1570" i="31"/>
  <c r="N1570" i="31"/>
  <c r="O1570" i="31"/>
  <c r="P1570" i="31"/>
  <c r="Q1570" i="31"/>
  <c r="R1570" i="31"/>
  <c r="S1570" i="31"/>
  <c r="T1570" i="31"/>
  <c r="I1571" i="31"/>
  <c r="J1571" i="31"/>
  <c r="K1571" i="31"/>
  <c r="L1571" i="31"/>
  <c r="M1571" i="31"/>
  <c r="N1571" i="31"/>
  <c r="O1571" i="31"/>
  <c r="P1571" i="31"/>
  <c r="Q1571" i="31"/>
  <c r="R1571" i="31"/>
  <c r="S1571" i="31"/>
  <c r="T1571" i="31"/>
  <c r="I1572" i="31"/>
  <c r="J1572" i="31"/>
  <c r="K1572" i="31"/>
  <c r="L1572" i="31"/>
  <c r="M1572" i="31"/>
  <c r="N1572" i="31"/>
  <c r="O1572" i="31"/>
  <c r="P1572" i="31"/>
  <c r="Q1572" i="31"/>
  <c r="R1572" i="31"/>
  <c r="S1572" i="31"/>
  <c r="T1572" i="31"/>
  <c r="I1573" i="31"/>
  <c r="J1573" i="31"/>
  <c r="K1573" i="31"/>
  <c r="L1573" i="31"/>
  <c r="M1573" i="31"/>
  <c r="N1573" i="31"/>
  <c r="O1573" i="31"/>
  <c r="P1573" i="31"/>
  <c r="Q1573" i="31"/>
  <c r="R1573" i="31"/>
  <c r="S1573" i="31"/>
  <c r="T1573" i="31"/>
  <c r="I1574" i="31"/>
  <c r="J1574" i="31"/>
  <c r="K1574" i="31"/>
  <c r="L1574" i="31"/>
  <c r="M1574" i="31"/>
  <c r="N1574" i="31"/>
  <c r="O1574" i="31"/>
  <c r="P1574" i="31"/>
  <c r="Q1574" i="31"/>
  <c r="R1574" i="31"/>
  <c r="S1574" i="31"/>
  <c r="T1574" i="31"/>
  <c r="I1575" i="31"/>
  <c r="J1575" i="31"/>
  <c r="K1575" i="31"/>
  <c r="L1575" i="31"/>
  <c r="M1575" i="31"/>
  <c r="N1575" i="31"/>
  <c r="O1575" i="31"/>
  <c r="P1575" i="31"/>
  <c r="Q1575" i="31"/>
  <c r="R1575" i="31"/>
  <c r="S1575" i="31"/>
  <c r="T1575" i="31"/>
  <c r="I1576" i="31"/>
  <c r="J1576" i="31"/>
  <c r="K1576" i="31"/>
  <c r="L1576" i="31"/>
  <c r="M1576" i="31"/>
  <c r="N1576" i="31"/>
  <c r="O1576" i="31"/>
  <c r="P1576" i="31"/>
  <c r="Q1576" i="31"/>
  <c r="R1576" i="31"/>
  <c r="S1576" i="31"/>
  <c r="T1576" i="31"/>
  <c r="I1577" i="31"/>
  <c r="J1577" i="31"/>
  <c r="K1577" i="31"/>
  <c r="L1577" i="31"/>
  <c r="M1577" i="31"/>
  <c r="N1577" i="31"/>
  <c r="O1577" i="31"/>
  <c r="P1577" i="31"/>
  <c r="Q1577" i="31"/>
  <c r="R1577" i="31"/>
  <c r="S1577" i="31"/>
  <c r="T1577" i="31"/>
  <c r="I1578" i="31"/>
  <c r="J1578" i="31"/>
  <c r="K1578" i="31"/>
  <c r="L1578" i="31"/>
  <c r="M1578" i="31"/>
  <c r="N1578" i="31"/>
  <c r="O1578" i="31"/>
  <c r="P1578" i="31"/>
  <c r="Q1578" i="31"/>
  <c r="R1578" i="31"/>
  <c r="S1578" i="31"/>
  <c r="T1578" i="31"/>
  <c r="I1579" i="31"/>
  <c r="J1579" i="31"/>
  <c r="K1579" i="31"/>
  <c r="L1579" i="31"/>
  <c r="M1579" i="31"/>
  <c r="N1579" i="31"/>
  <c r="O1579" i="31"/>
  <c r="P1579" i="31"/>
  <c r="Q1579" i="31"/>
  <c r="R1579" i="31"/>
  <c r="S1579" i="31"/>
  <c r="T1579" i="31"/>
  <c r="I1580" i="31"/>
  <c r="J1580" i="31"/>
  <c r="K1580" i="31"/>
  <c r="L1580" i="31"/>
  <c r="M1580" i="31"/>
  <c r="N1580" i="31"/>
  <c r="O1580" i="31"/>
  <c r="P1580" i="31"/>
  <c r="Q1580" i="31"/>
  <c r="R1580" i="31"/>
  <c r="S1580" i="31"/>
  <c r="T1580" i="31"/>
  <c r="I1581" i="31"/>
  <c r="J1581" i="31"/>
  <c r="K1581" i="31"/>
  <c r="L1581" i="31"/>
  <c r="M1581" i="31"/>
  <c r="N1581" i="31"/>
  <c r="O1581" i="31"/>
  <c r="P1581" i="31"/>
  <c r="Q1581" i="31"/>
  <c r="R1581" i="31"/>
  <c r="S1581" i="31"/>
  <c r="T1581" i="31"/>
  <c r="I1582" i="31"/>
  <c r="J1582" i="31"/>
  <c r="K1582" i="31"/>
  <c r="L1582" i="31"/>
  <c r="M1582" i="31"/>
  <c r="N1582" i="31"/>
  <c r="O1582" i="31"/>
  <c r="P1582" i="31"/>
  <c r="Q1582" i="31"/>
  <c r="R1582" i="31"/>
  <c r="S1582" i="31"/>
  <c r="T1582" i="31"/>
  <c r="I1583" i="31"/>
  <c r="J1583" i="31"/>
  <c r="K1583" i="31"/>
  <c r="L1583" i="31"/>
  <c r="M1583" i="31"/>
  <c r="N1583" i="31"/>
  <c r="O1583" i="31"/>
  <c r="P1583" i="31"/>
  <c r="Q1583" i="31"/>
  <c r="R1583" i="31"/>
  <c r="S1583" i="31"/>
  <c r="T1583" i="31"/>
  <c r="I1584" i="31"/>
  <c r="J1584" i="31"/>
  <c r="K1584" i="31"/>
  <c r="L1584" i="31"/>
  <c r="M1584" i="31"/>
  <c r="N1584" i="31"/>
  <c r="O1584" i="31"/>
  <c r="P1584" i="31"/>
  <c r="Q1584" i="31"/>
  <c r="R1584" i="31"/>
  <c r="S1584" i="31"/>
  <c r="T1584" i="31"/>
  <c r="I1585" i="31"/>
  <c r="J1585" i="31"/>
  <c r="K1585" i="31"/>
  <c r="L1585" i="31"/>
  <c r="M1585" i="31"/>
  <c r="N1585" i="31"/>
  <c r="O1585" i="31"/>
  <c r="P1585" i="31"/>
  <c r="Q1585" i="31"/>
  <c r="R1585" i="31"/>
  <c r="S1585" i="31"/>
  <c r="T1585" i="31"/>
  <c r="I1586" i="31"/>
  <c r="J1586" i="31"/>
  <c r="K1586" i="31"/>
  <c r="L1586" i="31"/>
  <c r="M1586" i="31"/>
  <c r="N1586" i="31"/>
  <c r="O1586" i="31"/>
  <c r="P1586" i="31"/>
  <c r="Q1586" i="31"/>
  <c r="R1586" i="31"/>
  <c r="S1586" i="31"/>
  <c r="T1586" i="31"/>
  <c r="I1587" i="31"/>
  <c r="J1587" i="31"/>
  <c r="K1587" i="31"/>
  <c r="L1587" i="31"/>
  <c r="M1587" i="31"/>
  <c r="N1587" i="31"/>
  <c r="O1587" i="31"/>
  <c r="P1587" i="31"/>
  <c r="Q1587" i="31"/>
  <c r="R1587" i="31"/>
  <c r="S1587" i="31"/>
  <c r="T1587" i="31"/>
  <c r="I1588" i="31"/>
  <c r="J1588" i="31"/>
  <c r="K1588" i="31"/>
  <c r="L1588" i="31"/>
  <c r="M1588" i="31"/>
  <c r="N1588" i="31"/>
  <c r="O1588" i="31"/>
  <c r="P1588" i="31"/>
  <c r="Q1588" i="31"/>
  <c r="R1588" i="31"/>
  <c r="S1588" i="31"/>
  <c r="T1588" i="31"/>
  <c r="I1589" i="31"/>
  <c r="J1589" i="31"/>
  <c r="K1589" i="31"/>
  <c r="L1589" i="31"/>
  <c r="M1589" i="31"/>
  <c r="N1589" i="31"/>
  <c r="O1589" i="31"/>
  <c r="P1589" i="31"/>
  <c r="Q1589" i="31"/>
  <c r="R1589" i="31"/>
  <c r="S1589" i="31"/>
  <c r="T1589" i="31"/>
  <c r="I1590" i="31"/>
  <c r="J1590" i="31"/>
  <c r="K1590" i="31"/>
  <c r="L1590" i="31"/>
  <c r="M1590" i="31"/>
  <c r="N1590" i="31"/>
  <c r="O1590" i="31"/>
  <c r="P1590" i="31"/>
  <c r="Q1590" i="31"/>
  <c r="R1590" i="31"/>
  <c r="S1590" i="31"/>
  <c r="T1590" i="31"/>
  <c r="I1591" i="31"/>
  <c r="J1591" i="31"/>
  <c r="K1591" i="31"/>
  <c r="L1591" i="31"/>
  <c r="M1591" i="31"/>
  <c r="N1591" i="31"/>
  <c r="O1591" i="31"/>
  <c r="P1591" i="31"/>
  <c r="Q1591" i="31"/>
  <c r="R1591" i="31"/>
  <c r="S1591" i="31"/>
  <c r="T1591" i="31"/>
  <c r="I1592" i="31"/>
  <c r="J1592" i="31"/>
  <c r="K1592" i="31"/>
  <c r="L1592" i="31"/>
  <c r="M1592" i="31"/>
  <c r="N1592" i="31"/>
  <c r="O1592" i="31"/>
  <c r="P1592" i="31"/>
  <c r="Q1592" i="31"/>
  <c r="R1592" i="31"/>
  <c r="S1592" i="31"/>
  <c r="T1592" i="31"/>
  <c r="I1593" i="31"/>
  <c r="J1593" i="31"/>
  <c r="K1593" i="31"/>
  <c r="L1593" i="31"/>
  <c r="M1593" i="31"/>
  <c r="N1593" i="31"/>
  <c r="O1593" i="31"/>
  <c r="P1593" i="31"/>
  <c r="Q1593" i="31"/>
  <c r="R1593" i="31"/>
  <c r="S1593" i="31"/>
  <c r="T1593" i="31"/>
  <c r="I1594" i="31"/>
  <c r="J1594" i="31"/>
  <c r="K1594" i="31"/>
  <c r="L1594" i="31"/>
  <c r="M1594" i="31"/>
  <c r="N1594" i="31"/>
  <c r="O1594" i="31"/>
  <c r="P1594" i="31"/>
  <c r="Q1594" i="31"/>
  <c r="R1594" i="31"/>
  <c r="S1594" i="31"/>
  <c r="T1594" i="31"/>
  <c r="I1595" i="31"/>
  <c r="J1595" i="31"/>
  <c r="K1595" i="31"/>
  <c r="L1595" i="31"/>
  <c r="M1595" i="31"/>
  <c r="N1595" i="31"/>
  <c r="O1595" i="31"/>
  <c r="P1595" i="31"/>
  <c r="Q1595" i="31"/>
  <c r="R1595" i="31"/>
  <c r="S1595" i="31"/>
  <c r="T1595" i="31"/>
  <c r="I1596" i="31"/>
  <c r="J1596" i="31"/>
  <c r="K1596" i="31"/>
  <c r="L1596" i="31"/>
  <c r="M1596" i="31"/>
  <c r="N1596" i="31"/>
  <c r="O1596" i="31"/>
  <c r="P1596" i="31"/>
  <c r="Q1596" i="31"/>
  <c r="R1596" i="31"/>
  <c r="S1596" i="31"/>
  <c r="T1596" i="31"/>
  <c r="I1597" i="31"/>
  <c r="J1597" i="31"/>
  <c r="K1597" i="31"/>
  <c r="L1597" i="31"/>
  <c r="M1597" i="31"/>
  <c r="N1597" i="31"/>
  <c r="O1597" i="31"/>
  <c r="P1597" i="31"/>
  <c r="Q1597" i="31"/>
  <c r="R1597" i="31"/>
  <c r="S1597" i="31"/>
  <c r="T1597" i="31"/>
  <c r="I1598" i="31"/>
  <c r="J1598" i="31"/>
  <c r="K1598" i="31"/>
  <c r="L1598" i="31"/>
  <c r="M1598" i="31"/>
  <c r="N1598" i="31"/>
  <c r="O1598" i="31"/>
  <c r="P1598" i="31"/>
  <c r="Q1598" i="31"/>
  <c r="R1598" i="31"/>
  <c r="S1598" i="31"/>
  <c r="T1598" i="31"/>
  <c r="I1599" i="31"/>
  <c r="J1599" i="31"/>
  <c r="K1599" i="31"/>
  <c r="L1599" i="31"/>
  <c r="M1599" i="31"/>
  <c r="N1599" i="31"/>
  <c r="O1599" i="31"/>
  <c r="P1599" i="31"/>
  <c r="Q1599" i="31"/>
  <c r="R1599" i="31"/>
  <c r="S1599" i="31"/>
  <c r="T1599" i="31"/>
  <c r="I1600" i="31"/>
  <c r="J1600" i="31"/>
  <c r="K1600" i="31"/>
  <c r="L1600" i="31"/>
  <c r="M1600" i="31"/>
  <c r="N1600" i="31"/>
  <c r="O1600" i="31"/>
  <c r="P1600" i="31"/>
  <c r="Q1600" i="31"/>
  <c r="R1600" i="31"/>
  <c r="S1600" i="31"/>
  <c r="T1600" i="31"/>
  <c r="I1601" i="31"/>
  <c r="J1601" i="31"/>
  <c r="K1601" i="31"/>
  <c r="L1601" i="31"/>
  <c r="M1601" i="31"/>
  <c r="N1601" i="31"/>
  <c r="O1601" i="31"/>
  <c r="P1601" i="31"/>
  <c r="Q1601" i="31"/>
  <c r="R1601" i="31"/>
  <c r="S1601" i="31"/>
  <c r="T1601" i="31"/>
  <c r="I1602" i="31"/>
  <c r="J1602" i="31"/>
  <c r="K1602" i="31"/>
  <c r="L1602" i="31"/>
  <c r="M1602" i="31"/>
  <c r="N1602" i="31"/>
  <c r="O1602" i="31"/>
  <c r="P1602" i="31"/>
  <c r="Q1602" i="31"/>
  <c r="R1602" i="31"/>
  <c r="S1602" i="31"/>
  <c r="T1602" i="31"/>
  <c r="I1603" i="31"/>
  <c r="J1603" i="31"/>
  <c r="K1603" i="31"/>
  <c r="L1603" i="31"/>
  <c r="M1603" i="31"/>
  <c r="N1603" i="31"/>
  <c r="O1603" i="31"/>
  <c r="P1603" i="31"/>
  <c r="Q1603" i="31"/>
  <c r="R1603" i="31"/>
  <c r="S1603" i="31"/>
  <c r="T1603" i="31"/>
  <c r="I1604" i="31"/>
  <c r="J1604" i="31"/>
  <c r="K1604" i="31"/>
  <c r="L1604" i="31"/>
  <c r="M1604" i="31"/>
  <c r="N1604" i="31"/>
  <c r="O1604" i="31"/>
  <c r="P1604" i="31"/>
  <c r="Q1604" i="31"/>
  <c r="R1604" i="31"/>
  <c r="S1604" i="31"/>
  <c r="T1604" i="31"/>
  <c r="I1605" i="31"/>
  <c r="J1605" i="31"/>
  <c r="K1605" i="31"/>
  <c r="L1605" i="31"/>
  <c r="M1605" i="31"/>
  <c r="N1605" i="31"/>
  <c r="O1605" i="31"/>
  <c r="P1605" i="31"/>
  <c r="Q1605" i="31"/>
  <c r="R1605" i="31"/>
  <c r="S1605" i="31"/>
  <c r="T1605" i="31"/>
  <c r="I1606" i="31"/>
  <c r="J1606" i="31"/>
  <c r="K1606" i="31"/>
  <c r="L1606" i="31"/>
  <c r="M1606" i="31"/>
  <c r="N1606" i="31"/>
  <c r="O1606" i="31"/>
  <c r="P1606" i="31"/>
  <c r="Q1606" i="31"/>
  <c r="R1606" i="31"/>
  <c r="S1606" i="31"/>
  <c r="T1606" i="31"/>
  <c r="I1607" i="31"/>
  <c r="J1607" i="31"/>
  <c r="K1607" i="31"/>
  <c r="L1607" i="31"/>
  <c r="M1607" i="31"/>
  <c r="N1607" i="31"/>
  <c r="O1607" i="31"/>
  <c r="P1607" i="31"/>
  <c r="Q1607" i="31"/>
  <c r="R1607" i="31"/>
  <c r="S1607" i="31"/>
  <c r="T1607" i="31"/>
  <c r="I1608" i="31"/>
  <c r="J1608" i="31"/>
  <c r="K1608" i="31"/>
  <c r="L1608" i="31"/>
  <c r="M1608" i="31"/>
  <c r="N1608" i="31"/>
  <c r="O1608" i="31"/>
  <c r="P1608" i="31"/>
  <c r="Q1608" i="31"/>
  <c r="R1608" i="31"/>
  <c r="S1608" i="31"/>
  <c r="T1608" i="31"/>
  <c r="I1609" i="31"/>
  <c r="J1609" i="31"/>
  <c r="K1609" i="31"/>
  <c r="L1609" i="31"/>
  <c r="M1609" i="31"/>
  <c r="N1609" i="31"/>
  <c r="O1609" i="31"/>
  <c r="P1609" i="31"/>
  <c r="Q1609" i="31"/>
  <c r="R1609" i="31"/>
  <c r="S1609" i="31"/>
  <c r="T1609" i="31"/>
  <c r="I1610" i="31"/>
  <c r="J1610" i="31"/>
  <c r="K1610" i="31"/>
  <c r="L1610" i="31"/>
  <c r="M1610" i="31"/>
  <c r="N1610" i="31"/>
  <c r="O1610" i="31"/>
  <c r="P1610" i="31"/>
  <c r="Q1610" i="31"/>
  <c r="R1610" i="31"/>
  <c r="S1610" i="31"/>
  <c r="T1610" i="31"/>
  <c r="I1611" i="31"/>
  <c r="J1611" i="31"/>
  <c r="K1611" i="31"/>
  <c r="L1611" i="31"/>
  <c r="M1611" i="31"/>
  <c r="N1611" i="31"/>
  <c r="O1611" i="31"/>
  <c r="P1611" i="31"/>
  <c r="Q1611" i="31"/>
  <c r="R1611" i="31"/>
  <c r="S1611" i="31"/>
  <c r="T1611" i="31"/>
  <c r="I1612" i="31"/>
  <c r="J1612" i="31"/>
  <c r="K1612" i="31"/>
  <c r="L1612" i="31"/>
  <c r="M1612" i="31"/>
  <c r="N1612" i="31"/>
  <c r="O1612" i="31"/>
  <c r="P1612" i="31"/>
  <c r="Q1612" i="31"/>
  <c r="R1612" i="31"/>
  <c r="S1612" i="31"/>
  <c r="T1612" i="31"/>
  <c r="I1613" i="31"/>
  <c r="J1613" i="31"/>
  <c r="K1613" i="31"/>
  <c r="L1613" i="31"/>
  <c r="M1613" i="31"/>
  <c r="N1613" i="31"/>
  <c r="O1613" i="31"/>
  <c r="P1613" i="31"/>
  <c r="Q1613" i="31"/>
  <c r="R1613" i="31"/>
  <c r="S1613" i="31"/>
  <c r="T1613" i="31"/>
  <c r="I1614" i="31"/>
  <c r="J1614" i="31"/>
  <c r="K1614" i="31"/>
  <c r="L1614" i="31"/>
  <c r="M1614" i="31"/>
  <c r="N1614" i="31"/>
  <c r="O1614" i="31"/>
  <c r="P1614" i="31"/>
  <c r="Q1614" i="31"/>
  <c r="R1614" i="31"/>
  <c r="S1614" i="31"/>
  <c r="T1614" i="31"/>
  <c r="I1615" i="31"/>
  <c r="J1615" i="31"/>
  <c r="K1615" i="31"/>
  <c r="L1615" i="31"/>
  <c r="M1615" i="31"/>
  <c r="N1615" i="31"/>
  <c r="O1615" i="31"/>
  <c r="P1615" i="31"/>
  <c r="Q1615" i="31"/>
  <c r="R1615" i="31"/>
  <c r="S1615" i="31"/>
  <c r="T1615" i="31"/>
  <c r="I1616" i="31"/>
  <c r="J1616" i="31"/>
  <c r="K1616" i="31"/>
  <c r="L1616" i="31"/>
  <c r="M1616" i="31"/>
  <c r="N1616" i="31"/>
  <c r="O1616" i="31"/>
  <c r="P1616" i="31"/>
  <c r="Q1616" i="31"/>
  <c r="R1616" i="31"/>
  <c r="S1616" i="31"/>
  <c r="T1616" i="31"/>
  <c r="I1617" i="31"/>
  <c r="J1617" i="31"/>
  <c r="K1617" i="31"/>
  <c r="L1617" i="31"/>
  <c r="M1617" i="31"/>
  <c r="N1617" i="31"/>
  <c r="O1617" i="31"/>
  <c r="P1617" i="31"/>
  <c r="Q1617" i="31"/>
  <c r="R1617" i="31"/>
  <c r="S1617" i="31"/>
  <c r="T1617" i="31"/>
  <c r="I1618" i="31"/>
  <c r="J1618" i="31"/>
  <c r="K1618" i="31"/>
  <c r="L1618" i="31"/>
  <c r="M1618" i="31"/>
  <c r="N1618" i="31"/>
  <c r="O1618" i="31"/>
  <c r="P1618" i="31"/>
  <c r="Q1618" i="31"/>
  <c r="R1618" i="31"/>
  <c r="S1618" i="31"/>
  <c r="T1618" i="31"/>
  <c r="I1619" i="31"/>
  <c r="J1619" i="31"/>
  <c r="K1619" i="31"/>
  <c r="L1619" i="31"/>
  <c r="M1619" i="31"/>
  <c r="N1619" i="31"/>
  <c r="O1619" i="31"/>
  <c r="P1619" i="31"/>
  <c r="Q1619" i="31"/>
  <c r="R1619" i="31"/>
  <c r="S1619" i="31"/>
  <c r="T1619" i="31"/>
  <c r="I1620" i="31"/>
  <c r="J1620" i="31"/>
  <c r="K1620" i="31"/>
  <c r="L1620" i="31"/>
  <c r="M1620" i="31"/>
  <c r="N1620" i="31"/>
  <c r="O1620" i="31"/>
  <c r="P1620" i="31"/>
  <c r="Q1620" i="31"/>
  <c r="R1620" i="31"/>
  <c r="S1620" i="31"/>
  <c r="T1620" i="31"/>
  <c r="I1621" i="31"/>
  <c r="J1621" i="31"/>
  <c r="K1621" i="31"/>
  <c r="L1621" i="31"/>
  <c r="M1621" i="31"/>
  <c r="N1621" i="31"/>
  <c r="O1621" i="31"/>
  <c r="P1621" i="31"/>
  <c r="Q1621" i="31"/>
  <c r="R1621" i="31"/>
  <c r="S1621" i="31"/>
  <c r="T1621" i="31"/>
  <c r="I1622" i="31"/>
  <c r="J1622" i="31"/>
  <c r="K1622" i="31"/>
  <c r="L1622" i="31"/>
  <c r="M1622" i="31"/>
  <c r="N1622" i="31"/>
  <c r="O1622" i="31"/>
  <c r="P1622" i="31"/>
  <c r="Q1622" i="31"/>
  <c r="R1622" i="31"/>
  <c r="S1622" i="31"/>
  <c r="T1622" i="31"/>
  <c r="I1623" i="31"/>
  <c r="J1623" i="31"/>
  <c r="K1623" i="31"/>
  <c r="L1623" i="31"/>
  <c r="M1623" i="31"/>
  <c r="N1623" i="31"/>
  <c r="O1623" i="31"/>
  <c r="P1623" i="31"/>
  <c r="Q1623" i="31"/>
  <c r="R1623" i="31"/>
  <c r="S1623" i="31"/>
  <c r="T1623" i="31"/>
  <c r="I1624" i="31"/>
  <c r="J1624" i="31"/>
  <c r="K1624" i="31"/>
  <c r="L1624" i="31"/>
  <c r="M1624" i="31"/>
  <c r="N1624" i="31"/>
  <c r="O1624" i="31"/>
  <c r="P1624" i="31"/>
  <c r="Q1624" i="31"/>
  <c r="R1624" i="31"/>
  <c r="S1624" i="31"/>
  <c r="T1624" i="31"/>
  <c r="I1625" i="31"/>
  <c r="J1625" i="31"/>
  <c r="K1625" i="31"/>
  <c r="L1625" i="31"/>
  <c r="M1625" i="31"/>
  <c r="N1625" i="31"/>
  <c r="O1625" i="31"/>
  <c r="P1625" i="31"/>
  <c r="Q1625" i="31"/>
  <c r="R1625" i="31"/>
  <c r="S1625" i="31"/>
  <c r="T1625" i="31"/>
  <c r="I1626" i="31"/>
  <c r="J1626" i="31"/>
  <c r="K1626" i="31"/>
  <c r="L1626" i="31"/>
  <c r="M1626" i="31"/>
  <c r="N1626" i="31"/>
  <c r="O1626" i="31"/>
  <c r="P1626" i="31"/>
  <c r="Q1626" i="31"/>
  <c r="R1626" i="31"/>
  <c r="S1626" i="31"/>
  <c r="T1626" i="31"/>
  <c r="I1627" i="31"/>
  <c r="J1627" i="31"/>
  <c r="K1627" i="31"/>
  <c r="L1627" i="31"/>
  <c r="M1627" i="31"/>
  <c r="N1627" i="31"/>
  <c r="O1627" i="31"/>
  <c r="P1627" i="31"/>
  <c r="Q1627" i="31"/>
  <c r="R1627" i="31"/>
  <c r="S1627" i="31"/>
  <c r="T1627" i="31"/>
  <c r="I1628" i="31"/>
  <c r="J1628" i="31"/>
  <c r="K1628" i="31"/>
  <c r="L1628" i="31"/>
  <c r="M1628" i="31"/>
  <c r="N1628" i="31"/>
  <c r="O1628" i="31"/>
  <c r="P1628" i="31"/>
  <c r="Q1628" i="31"/>
  <c r="R1628" i="31"/>
  <c r="S1628" i="31"/>
  <c r="T1628" i="31"/>
  <c r="I1629" i="31"/>
  <c r="J1629" i="31"/>
  <c r="K1629" i="31"/>
  <c r="L1629" i="31"/>
  <c r="M1629" i="31"/>
  <c r="N1629" i="31"/>
  <c r="O1629" i="31"/>
  <c r="P1629" i="31"/>
  <c r="Q1629" i="31"/>
  <c r="R1629" i="31"/>
  <c r="S1629" i="31"/>
  <c r="T1629" i="31"/>
  <c r="I1630" i="31"/>
  <c r="J1630" i="31"/>
  <c r="K1630" i="31"/>
  <c r="L1630" i="31"/>
  <c r="M1630" i="31"/>
  <c r="N1630" i="31"/>
  <c r="O1630" i="31"/>
  <c r="P1630" i="31"/>
  <c r="Q1630" i="31"/>
  <c r="R1630" i="31"/>
  <c r="S1630" i="31"/>
  <c r="T1630" i="31"/>
  <c r="I1631" i="31"/>
  <c r="J1631" i="31"/>
  <c r="K1631" i="31"/>
  <c r="L1631" i="31"/>
  <c r="M1631" i="31"/>
  <c r="N1631" i="31"/>
  <c r="O1631" i="31"/>
  <c r="P1631" i="31"/>
  <c r="Q1631" i="31"/>
  <c r="R1631" i="31"/>
  <c r="S1631" i="31"/>
  <c r="T1631" i="31"/>
  <c r="I1632" i="31"/>
  <c r="J1632" i="31"/>
  <c r="K1632" i="31"/>
  <c r="L1632" i="31"/>
  <c r="M1632" i="31"/>
  <c r="N1632" i="31"/>
  <c r="O1632" i="31"/>
  <c r="P1632" i="31"/>
  <c r="Q1632" i="31"/>
  <c r="R1632" i="31"/>
  <c r="S1632" i="31"/>
  <c r="T1632" i="31"/>
  <c r="I1633" i="31"/>
  <c r="J1633" i="31"/>
  <c r="K1633" i="31"/>
  <c r="L1633" i="31"/>
  <c r="M1633" i="31"/>
  <c r="N1633" i="31"/>
  <c r="O1633" i="31"/>
  <c r="P1633" i="31"/>
  <c r="Q1633" i="31"/>
  <c r="R1633" i="31"/>
  <c r="S1633" i="31"/>
  <c r="T1633" i="31"/>
  <c r="I1634" i="31"/>
  <c r="J1634" i="31"/>
  <c r="K1634" i="31"/>
  <c r="L1634" i="31"/>
  <c r="M1634" i="31"/>
  <c r="N1634" i="31"/>
  <c r="O1634" i="31"/>
  <c r="P1634" i="31"/>
  <c r="Q1634" i="31"/>
  <c r="R1634" i="31"/>
  <c r="S1634" i="31"/>
  <c r="T1634" i="31"/>
  <c r="I1635" i="31"/>
  <c r="J1635" i="31"/>
  <c r="K1635" i="31"/>
  <c r="L1635" i="31"/>
  <c r="M1635" i="31"/>
  <c r="N1635" i="31"/>
  <c r="O1635" i="31"/>
  <c r="P1635" i="31"/>
  <c r="Q1635" i="31"/>
  <c r="R1635" i="31"/>
  <c r="S1635" i="31"/>
  <c r="T1635" i="31"/>
  <c r="I1636" i="31"/>
  <c r="J1636" i="31"/>
  <c r="K1636" i="31"/>
  <c r="L1636" i="31"/>
  <c r="M1636" i="31"/>
  <c r="N1636" i="31"/>
  <c r="O1636" i="31"/>
  <c r="P1636" i="31"/>
  <c r="Q1636" i="31"/>
  <c r="R1636" i="31"/>
  <c r="S1636" i="31"/>
  <c r="T1636" i="31"/>
  <c r="I1637" i="31"/>
  <c r="J1637" i="31"/>
  <c r="K1637" i="31"/>
  <c r="L1637" i="31"/>
  <c r="M1637" i="31"/>
  <c r="N1637" i="31"/>
  <c r="O1637" i="31"/>
  <c r="P1637" i="31"/>
  <c r="Q1637" i="31"/>
  <c r="R1637" i="31"/>
  <c r="S1637" i="31"/>
  <c r="T1637" i="31"/>
  <c r="I1638" i="31"/>
  <c r="J1638" i="31"/>
  <c r="K1638" i="31"/>
  <c r="L1638" i="31"/>
  <c r="M1638" i="31"/>
  <c r="N1638" i="31"/>
  <c r="O1638" i="31"/>
  <c r="P1638" i="31"/>
  <c r="Q1638" i="31"/>
  <c r="R1638" i="31"/>
  <c r="S1638" i="31"/>
  <c r="T1638" i="31"/>
  <c r="I1639" i="31"/>
  <c r="J1639" i="31"/>
  <c r="K1639" i="31"/>
  <c r="L1639" i="31"/>
  <c r="M1639" i="31"/>
  <c r="N1639" i="31"/>
  <c r="O1639" i="31"/>
  <c r="P1639" i="31"/>
  <c r="Q1639" i="31"/>
  <c r="R1639" i="31"/>
  <c r="S1639" i="31"/>
  <c r="T1639" i="31"/>
  <c r="I1640" i="31"/>
  <c r="J1640" i="31"/>
  <c r="K1640" i="31"/>
  <c r="L1640" i="31"/>
  <c r="M1640" i="31"/>
  <c r="N1640" i="31"/>
  <c r="O1640" i="31"/>
  <c r="P1640" i="31"/>
  <c r="Q1640" i="31"/>
  <c r="R1640" i="31"/>
  <c r="S1640" i="31"/>
  <c r="T1640" i="31"/>
  <c r="I1641" i="31"/>
  <c r="J1641" i="31"/>
  <c r="K1641" i="31"/>
  <c r="L1641" i="31"/>
  <c r="M1641" i="31"/>
  <c r="N1641" i="31"/>
  <c r="O1641" i="31"/>
  <c r="P1641" i="31"/>
  <c r="Q1641" i="31"/>
  <c r="R1641" i="31"/>
  <c r="S1641" i="31"/>
  <c r="T1641" i="31"/>
  <c r="I1642" i="31"/>
  <c r="J1642" i="31"/>
  <c r="K1642" i="31"/>
  <c r="L1642" i="31"/>
  <c r="M1642" i="31"/>
  <c r="N1642" i="31"/>
  <c r="O1642" i="31"/>
  <c r="P1642" i="31"/>
  <c r="Q1642" i="31"/>
  <c r="R1642" i="31"/>
  <c r="S1642" i="31"/>
  <c r="T1642" i="31"/>
  <c r="I1643" i="31"/>
  <c r="J1643" i="31"/>
  <c r="K1643" i="31"/>
  <c r="L1643" i="31"/>
  <c r="M1643" i="31"/>
  <c r="N1643" i="31"/>
  <c r="O1643" i="31"/>
  <c r="P1643" i="31"/>
  <c r="Q1643" i="31"/>
  <c r="R1643" i="31"/>
  <c r="S1643" i="31"/>
  <c r="T1643" i="31"/>
  <c r="I1644" i="31"/>
  <c r="J1644" i="31"/>
  <c r="K1644" i="31"/>
  <c r="L1644" i="31"/>
  <c r="M1644" i="31"/>
  <c r="N1644" i="31"/>
  <c r="O1644" i="31"/>
  <c r="P1644" i="31"/>
  <c r="Q1644" i="31"/>
  <c r="R1644" i="31"/>
  <c r="S1644" i="31"/>
  <c r="T1644" i="31"/>
  <c r="I1645" i="31"/>
  <c r="J1645" i="31"/>
  <c r="K1645" i="31"/>
  <c r="L1645" i="31"/>
  <c r="M1645" i="31"/>
  <c r="N1645" i="31"/>
  <c r="O1645" i="31"/>
  <c r="P1645" i="31"/>
  <c r="Q1645" i="31"/>
  <c r="R1645" i="31"/>
  <c r="S1645" i="31"/>
  <c r="T1645" i="31"/>
  <c r="I1646" i="31"/>
  <c r="J1646" i="31"/>
  <c r="K1646" i="31"/>
  <c r="L1646" i="31"/>
  <c r="M1646" i="31"/>
  <c r="N1646" i="31"/>
  <c r="O1646" i="31"/>
  <c r="P1646" i="31"/>
  <c r="Q1646" i="31"/>
  <c r="R1646" i="31"/>
  <c r="S1646" i="31"/>
  <c r="T1646" i="31"/>
  <c r="I1647" i="31"/>
  <c r="J1647" i="31"/>
  <c r="K1647" i="31"/>
  <c r="L1647" i="31"/>
  <c r="M1647" i="31"/>
  <c r="N1647" i="31"/>
  <c r="O1647" i="31"/>
  <c r="P1647" i="31"/>
  <c r="Q1647" i="31"/>
  <c r="R1647" i="31"/>
  <c r="S1647" i="31"/>
  <c r="T1647" i="31"/>
  <c r="I1648" i="31"/>
  <c r="J1648" i="31"/>
  <c r="K1648" i="31"/>
  <c r="L1648" i="31"/>
  <c r="M1648" i="31"/>
  <c r="N1648" i="31"/>
  <c r="O1648" i="31"/>
  <c r="P1648" i="31"/>
  <c r="Q1648" i="31"/>
  <c r="R1648" i="31"/>
  <c r="S1648" i="31"/>
  <c r="T1648" i="31"/>
  <c r="I1649" i="31"/>
  <c r="J1649" i="31"/>
  <c r="K1649" i="31"/>
  <c r="L1649" i="31"/>
  <c r="M1649" i="31"/>
  <c r="N1649" i="31"/>
  <c r="O1649" i="31"/>
  <c r="P1649" i="31"/>
  <c r="Q1649" i="31"/>
  <c r="R1649" i="31"/>
  <c r="S1649" i="31"/>
  <c r="T1649" i="31"/>
  <c r="I1650" i="31"/>
  <c r="J1650" i="31"/>
  <c r="K1650" i="31"/>
  <c r="L1650" i="31"/>
  <c r="M1650" i="31"/>
  <c r="N1650" i="31"/>
  <c r="O1650" i="31"/>
  <c r="P1650" i="31"/>
  <c r="Q1650" i="31"/>
  <c r="R1650" i="31"/>
  <c r="S1650" i="31"/>
  <c r="T1650" i="31"/>
  <c r="I1651" i="31"/>
  <c r="J1651" i="31"/>
  <c r="K1651" i="31"/>
  <c r="L1651" i="31"/>
  <c r="M1651" i="31"/>
  <c r="N1651" i="31"/>
  <c r="O1651" i="31"/>
  <c r="P1651" i="31"/>
  <c r="Q1651" i="31"/>
  <c r="R1651" i="31"/>
  <c r="S1651" i="31"/>
  <c r="T1651" i="31"/>
  <c r="I1652" i="31"/>
  <c r="J1652" i="31"/>
  <c r="K1652" i="31"/>
  <c r="L1652" i="31"/>
  <c r="M1652" i="31"/>
  <c r="N1652" i="31"/>
  <c r="O1652" i="31"/>
  <c r="P1652" i="31"/>
  <c r="Q1652" i="31"/>
  <c r="R1652" i="31"/>
  <c r="S1652" i="31"/>
  <c r="T1652" i="31"/>
  <c r="I1653" i="31"/>
  <c r="J1653" i="31"/>
  <c r="K1653" i="31"/>
  <c r="L1653" i="31"/>
  <c r="M1653" i="31"/>
  <c r="N1653" i="31"/>
  <c r="O1653" i="31"/>
  <c r="P1653" i="31"/>
  <c r="Q1653" i="31"/>
  <c r="R1653" i="31"/>
  <c r="S1653" i="31"/>
  <c r="T1653" i="31"/>
  <c r="I1654" i="31"/>
  <c r="J1654" i="31"/>
  <c r="K1654" i="31"/>
  <c r="L1654" i="31"/>
  <c r="M1654" i="31"/>
  <c r="N1654" i="31"/>
  <c r="O1654" i="31"/>
  <c r="P1654" i="31"/>
  <c r="Q1654" i="31"/>
  <c r="R1654" i="31"/>
  <c r="S1654" i="31"/>
  <c r="T1654" i="31"/>
  <c r="I1655" i="31"/>
  <c r="J1655" i="31"/>
  <c r="K1655" i="31"/>
  <c r="L1655" i="31"/>
  <c r="M1655" i="31"/>
  <c r="N1655" i="31"/>
  <c r="O1655" i="31"/>
  <c r="P1655" i="31"/>
  <c r="Q1655" i="31"/>
  <c r="R1655" i="31"/>
  <c r="S1655" i="31"/>
  <c r="T1655" i="31"/>
  <c r="I1656" i="31"/>
  <c r="J1656" i="31"/>
  <c r="K1656" i="31"/>
  <c r="L1656" i="31"/>
  <c r="M1656" i="31"/>
  <c r="N1656" i="31"/>
  <c r="O1656" i="31"/>
  <c r="P1656" i="31"/>
  <c r="Q1656" i="31"/>
  <c r="R1656" i="31"/>
  <c r="S1656" i="31"/>
  <c r="T1656" i="31"/>
  <c r="I1657" i="31"/>
  <c r="J1657" i="31"/>
  <c r="K1657" i="31"/>
  <c r="L1657" i="31"/>
  <c r="M1657" i="31"/>
  <c r="N1657" i="31"/>
  <c r="O1657" i="31"/>
  <c r="P1657" i="31"/>
  <c r="Q1657" i="31"/>
  <c r="R1657" i="31"/>
  <c r="S1657" i="31"/>
  <c r="T1657" i="31"/>
  <c r="I1658" i="31"/>
  <c r="J1658" i="31"/>
  <c r="K1658" i="31"/>
  <c r="L1658" i="31"/>
  <c r="M1658" i="31"/>
  <c r="N1658" i="31"/>
  <c r="O1658" i="31"/>
  <c r="P1658" i="31"/>
  <c r="Q1658" i="31"/>
  <c r="R1658" i="31"/>
  <c r="S1658" i="31"/>
  <c r="T1658" i="31"/>
  <c r="I1659" i="31"/>
  <c r="J1659" i="31"/>
  <c r="K1659" i="31"/>
  <c r="L1659" i="31"/>
  <c r="M1659" i="31"/>
  <c r="N1659" i="31"/>
  <c r="O1659" i="31"/>
  <c r="P1659" i="31"/>
  <c r="Q1659" i="31"/>
  <c r="R1659" i="31"/>
  <c r="S1659" i="31"/>
  <c r="T1659" i="31"/>
  <c r="I1660" i="31"/>
  <c r="J1660" i="31"/>
  <c r="K1660" i="31"/>
  <c r="L1660" i="31"/>
  <c r="M1660" i="31"/>
  <c r="N1660" i="31"/>
  <c r="O1660" i="31"/>
  <c r="P1660" i="31"/>
  <c r="Q1660" i="31"/>
  <c r="R1660" i="31"/>
  <c r="S1660" i="31"/>
  <c r="T1660" i="31"/>
  <c r="I1661" i="31"/>
  <c r="J1661" i="31"/>
  <c r="K1661" i="31"/>
  <c r="L1661" i="31"/>
  <c r="M1661" i="31"/>
  <c r="N1661" i="31"/>
  <c r="O1661" i="31"/>
  <c r="P1661" i="31"/>
  <c r="Q1661" i="31"/>
  <c r="R1661" i="31"/>
  <c r="S1661" i="31"/>
  <c r="T1661" i="31"/>
  <c r="I1662" i="31"/>
  <c r="J1662" i="31"/>
  <c r="K1662" i="31"/>
  <c r="L1662" i="31"/>
  <c r="M1662" i="31"/>
  <c r="N1662" i="31"/>
  <c r="O1662" i="31"/>
  <c r="P1662" i="31"/>
  <c r="Q1662" i="31"/>
  <c r="R1662" i="31"/>
  <c r="S1662" i="31"/>
  <c r="T1662" i="31"/>
  <c r="I1663" i="31"/>
  <c r="J1663" i="31"/>
  <c r="K1663" i="31"/>
  <c r="L1663" i="31"/>
  <c r="M1663" i="31"/>
  <c r="N1663" i="31"/>
  <c r="O1663" i="31"/>
  <c r="P1663" i="31"/>
  <c r="Q1663" i="31"/>
  <c r="R1663" i="31"/>
  <c r="S1663" i="31"/>
  <c r="T1663" i="31"/>
  <c r="I1664" i="31"/>
  <c r="J1664" i="31"/>
  <c r="K1664" i="31"/>
  <c r="L1664" i="31"/>
  <c r="M1664" i="31"/>
  <c r="N1664" i="31"/>
  <c r="O1664" i="31"/>
  <c r="P1664" i="31"/>
  <c r="Q1664" i="31"/>
  <c r="R1664" i="31"/>
  <c r="S1664" i="31"/>
  <c r="T1664" i="31"/>
  <c r="I1665" i="31"/>
  <c r="J1665" i="31"/>
  <c r="K1665" i="31"/>
  <c r="L1665" i="31"/>
  <c r="M1665" i="31"/>
  <c r="N1665" i="31"/>
  <c r="O1665" i="31"/>
  <c r="P1665" i="31"/>
  <c r="Q1665" i="31"/>
  <c r="R1665" i="31"/>
  <c r="S1665" i="31"/>
  <c r="T1665" i="31"/>
  <c r="I1666" i="31"/>
  <c r="J1666" i="31"/>
  <c r="K1666" i="31"/>
  <c r="L1666" i="31"/>
  <c r="M1666" i="31"/>
  <c r="N1666" i="31"/>
  <c r="O1666" i="31"/>
  <c r="P1666" i="31"/>
  <c r="Q1666" i="31"/>
  <c r="R1666" i="31"/>
  <c r="S1666" i="31"/>
  <c r="T1666" i="31"/>
  <c r="I1667" i="31"/>
  <c r="J1667" i="31"/>
  <c r="K1667" i="31"/>
  <c r="L1667" i="31"/>
  <c r="M1667" i="31"/>
  <c r="N1667" i="31"/>
  <c r="O1667" i="31"/>
  <c r="P1667" i="31"/>
  <c r="Q1667" i="31"/>
  <c r="R1667" i="31"/>
  <c r="S1667" i="31"/>
  <c r="T1667" i="31"/>
  <c r="I1668" i="31"/>
  <c r="J1668" i="31"/>
  <c r="K1668" i="31"/>
  <c r="L1668" i="31"/>
  <c r="M1668" i="31"/>
  <c r="N1668" i="31"/>
  <c r="O1668" i="31"/>
  <c r="P1668" i="31"/>
  <c r="Q1668" i="31"/>
  <c r="R1668" i="31"/>
  <c r="S1668" i="31"/>
  <c r="T1668" i="31"/>
  <c r="I1669" i="31"/>
  <c r="J1669" i="31"/>
  <c r="K1669" i="31"/>
  <c r="L1669" i="31"/>
  <c r="M1669" i="31"/>
  <c r="N1669" i="31"/>
  <c r="O1669" i="31"/>
  <c r="P1669" i="31"/>
  <c r="Q1669" i="31"/>
  <c r="R1669" i="31"/>
  <c r="S1669" i="31"/>
  <c r="T1669" i="31"/>
  <c r="I1670" i="31"/>
  <c r="J1670" i="31"/>
  <c r="K1670" i="31"/>
  <c r="L1670" i="31"/>
  <c r="M1670" i="31"/>
  <c r="N1670" i="31"/>
  <c r="O1670" i="31"/>
  <c r="P1670" i="31"/>
  <c r="Q1670" i="31"/>
  <c r="R1670" i="31"/>
  <c r="S1670" i="31"/>
  <c r="T1670" i="31"/>
  <c r="I1671" i="31"/>
  <c r="J1671" i="31"/>
  <c r="K1671" i="31"/>
  <c r="L1671" i="31"/>
  <c r="M1671" i="31"/>
  <c r="N1671" i="31"/>
  <c r="O1671" i="31"/>
  <c r="P1671" i="31"/>
  <c r="Q1671" i="31"/>
  <c r="R1671" i="31"/>
  <c r="S1671" i="31"/>
  <c r="T1671" i="31"/>
  <c r="I1672" i="31"/>
  <c r="J1672" i="31"/>
  <c r="K1672" i="31"/>
  <c r="L1672" i="31"/>
  <c r="M1672" i="31"/>
  <c r="N1672" i="31"/>
  <c r="O1672" i="31"/>
  <c r="P1672" i="31"/>
  <c r="Q1672" i="31"/>
  <c r="R1672" i="31"/>
  <c r="S1672" i="31"/>
  <c r="T1672" i="31"/>
  <c r="I1673" i="31"/>
  <c r="J1673" i="31"/>
  <c r="K1673" i="31"/>
  <c r="L1673" i="31"/>
  <c r="M1673" i="31"/>
  <c r="N1673" i="31"/>
  <c r="O1673" i="31"/>
  <c r="P1673" i="31"/>
  <c r="Q1673" i="31"/>
  <c r="R1673" i="31"/>
  <c r="S1673" i="31"/>
  <c r="T1673" i="31"/>
  <c r="I1674" i="31"/>
  <c r="J1674" i="31"/>
  <c r="K1674" i="31"/>
  <c r="L1674" i="31"/>
  <c r="M1674" i="31"/>
  <c r="N1674" i="31"/>
  <c r="O1674" i="31"/>
  <c r="P1674" i="31"/>
  <c r="Q1674" i="31"/>
  <c r="R1674" i="31"/>
  <c r="S1674" i="31"/>
  <c r="T1674" i="31"/>
  <c r="I1675" i="31"/>
  <c r="J1675" i="31"/>
  <c r="K1675" i="31"/>
  <c r="L1675" i="31"/>
  <c r="M1675" i="31"/>
  <c r="N1675" i="31"/>
  <c r="O1675" i="31"/>
  <c r="P1675" i="31"/>
  <c r="Q1675" i="31"/>
  <c r="R1675" i="31"/>
  <c r="S1675" i="31"/>
  <c r="T1675" i="31"/>
  <c r="I1676" i="31"/>
  <c r="J1676" i="31"/>
  <c r="K1676" i="31"/>
  <c r="L1676" i="31"/>
  <c r="M1676" i="31"/>
  <c r="N1676" i="31"/>
  <c r="O1676" i="31"/>
  <c r="P1676" i="31"/>
  <c r="Q1676" i="31"/>
  <c r="R1676" i="31"/>
  <c r="S1676" i="31"/>
  <c r="T1676" i="31"/>
  <c r="I1677" i="31"/>
  <c r="J1677" i="31"/>
  <c r="K1677" i="31"/>
  <c r="L1677" i="31"/>
  <c r="M1677" i="31"/>
  <c r="N1677" i="31"/>
  <c r="O1677" i="31"/>
  <c r="P1677" i="31"/>
  <c r="Q1677" i="31"/>
  <c r="R1677" i="31"/>
  <c r="S1677" i="31"/>
  <c r="T1677" i="31"/>
  <c r="I1678" i="31"/>
  <c r="J1678" i="31"/>
  <c r="K1678" i="31"/>
  <c r="L1678" i="31"/>
  <c r="M1678" i="31"/>
  <c r="N1678" i="31"/>
  <c r="O1678" i="31"/>
  <c r="P1678" i="31"/>
  <c r="Q1678" i="31"/>
  <c r="R1678" i="31"/>
  <c r="S1678" i="31"/>
  <c r="T1678" i="31"/>
  <c r="I1679" i="31"/>
  <c r="J1679" i="31"/>
  <c r="K1679" i="31"/>
  <c r="L1679" i="31"/>
  <c r="M1679" i="31"/>
  <c r="N1679" i="31"/>
  <c r="O1679" i="31"/>
  <c r="P1679" i="31"/>
  <c r="Q1679" i="31"/>
  <c r="R1679" i="31"/>
  <c r="S1679" i="31"/>
  <c r="T1679" i="31"/>
  <c r="I1680" i="31"/>
  <c r="J1680" i="31"/>
  <c r="K1680" i="31"/>
  <c r="L1680" i="31"/>
  <c r="M1680" i="31"/>
  <c r="N1680" i="31"/>
  <c r="O1680" i="31"/>
  <c r="P1680" i="31"/>
  <c r="Q1680" i="31"/>
  <c r="R1680" i="31"/>
  <c r="S1680" i="31"/>
  <c r="T1680" i="31"/>
  <c r="I1681" i="31"/>
  <c r="J1681" i="31"/>
  <c r="K1681" i="31"/>
  <c r="L1681" i="31"/>
  <c r="M1681" i="31"/>
  <c r="N1681" i="31"/>
  <c r="O1681" i="31"/>
  <c r="P1681" i="31"/>
  <c r="Q1681" i="31"/>
  <c r="R1681" i="31"/>
  <c r="S1681" i="31"/>
  <c r="T1681" i="31"/>
  <c r="I1682" i="31"/>
  <c r="J1682" i="31"/>
  <c r="K1682" i="31"/>
  <c r="L1682" i="31"/>
  <c r="M1682" i="31"/>
  <c r="N1682" i="31"/>
  <c r="O1682" i="31"/>
  <c r="P1682" i="31"/>
  <c r="Q1682" i="31"/>
  <c r="R1682" i="31"/>
  <c r="S1682" i="31"/>
  <c r="T1682" i="31"/>
  <c r="I1683" i="31"/>
  <c r="J1683" i="31"/>
  <c r="K1683" i="31"/>
  <c r="L1683" i="31"/>
  <c r="M1683" i="31"/>
  <c r="N1683" i="31"/>
  <c r="O1683" i="31"/>
  <c r="P1683" i="31"/>
  <c r="Q1683" i="31"/>
  <c r="R1683" i="31"/>
  <c r="S1683" i="31"/>
  <c r="T1683" i="31"/>
  <c r="I1684" i="31"/>
  <c r="J1684" i="31"/>
  <c r="K1684" i="31"/>
  <c r="L1684" i="31"/>
  <c r="M1684" i="31"/>
  <c r="N1684" i="31"/>
  <c r="O1684" i="31"/>
  <c r="P1684" i="31"/>
  <c r="Q1684" i="31"/>
  <c r="R1684" i="31"/>
  <c r="S1684" i="31"/>
  <c r="T1684" i="31"/>
  <c r="I1685" i="31"/>
  <c r="J1685" i="31"/>
  <c r="K1685" i="31"/>
  <c r="L1685" i="31"/>
  <c r="M1685" i="31"/>
  <c r="N1685" i="31"/>
  <c r="O1685" i="31"/>
  <c r="P1685" i="31"/>
  <c r="Q1685" i="31"/>
  <c r="R1685" i="31"/>
  <c r="S1685" i="31"/>
  <c r="T1685" i="31"/>
  <c r="I1686" i="31"/>
  <c r="J1686" i="31"/>
  <c r="K1686" i="31"/>
  <c r="L1686" i="31"/>
  <c r="M1686" i="31"/>
  <c r="N1686" i="31"/>
  <c r="O1686" i="31"/>
  <c r="P1686" i="31"/>
  <c r="Q1686" i="31"/>
  <c r="R1686" i="31"/>
  <c r="S1686" i="31"/>
  <c r="T1686" i="31"/>
  <c r="I1687" i="31"/>
  <c r="J1687" i="31"/>
  <c r="K1687" i="31"/>
  <c r="L1687" i="31"/>
  <c r="M1687" i="31"/>
  <c r="N1687" i="31"/>
  <c r="O1687" i="31"/>
  <c r="P1687" i="31"/>
  <c r="Q1687" i="31"/>
  <c r="R1687" i="31"/>
  <c r="S1687" i="31"/>
  <c r="T1687" i="31"/>
  <c r="I1688" i="31"/>
  <c r="J1688" i="31"/>
  <c r="K1688" i="31"/>
  <c r="L1688" i="31"/>
  <c r="M1688" i="31"/>
  <c r="N1688" i="31"/>
  <c r="O1688" i="31"/>
  <c r="P1688" i="31"/>
  <c r="Q1688" i="31"/>
  <c r="R1688" i="31"/>
  <c r="S1688" i="31"/>
  <c r="T1688" i="31"/>
  <c r="I1689" i="31"/>
  <c r="J1689" i="31"/>
  <c r="K1689" i="31"/>
  <c r="L1689" i="31"/>
  <c r="M1689" i="31"/>
  <c r="N1689" i="31"/>
  <c r="O1689" i="31"/>
  <c r="P1689" i="31"/>
  <c r="Q1689" i="31"/>
  <c r="R1689" i="31"/>
  <c r="S1689" i="31"/>
  <c r="T1689" i="31"/>
  <c r="I1690" i="31"/>
  <c r="J1690" i="31"/>
  <c r="K1690" i="31"/>
  <c r="L1690" i="31"/>
  <c r="M1690" i="31"/>
  <c r="N1690" i="31"/>
  <c r="O1690" i="31"/>
  <c r="P1690" i="31"/>
  <c r="Q1690" i="31"/>
  <c r="R1690" i="31"/>
  <c r="S1690" i="31"/>
  <c r="T1690" i="31"/>
  <c r="I1691" i="31"/>
  <c r="J1691" i="31"/>
  <c r="K1691" i="31"/>
  <c r="L1691" i="31"/>
  <c r="M1691" i="31"/>
  <c r="N1691" i="31"/>
  <c r="O1691" i="31"/>
  <c r="P1691" i="31"/>
  <c r="Q1691" i="31"/>
  <c r="R1691" i="31"/>
  <c r="S1691" i="31"/>
  <c r="T1691" i="31"/>
  <c r="I1692" i="31"/>
  <c r="J1692" i="31"/>
  <c r="K1692" i="31"/>
  <c r="L1692" i="31"/>
  <c r="M1692" i="31"/>
  <c r="N1692" i="31"/>
  <c r="O1692" i="31"/>
  <c r="P1692" i="31"/>
  <c r="Q1692" i="31"/>
  <c r="R1692" i="31"/>
  <c r="S1692" i="31"/>
  <c r="T1692" i="31"/>
  <c r="I1693" i="31"/>
  <c r="J1693" i="31"/>
  <c r="K1693" i="31"/>
  <c r="L1693" i="31"/>
  <c r="M1693" i="31"/>
  <c r="N1693" i="31"/>
  <c r="O1693" i="31"/>
  <c r="P1693" i="31"/>
  <c r="Q1693" i="31"/>
  <c r="R1693" i="31"/>
  <c r="S1693" i="31"/>
  <c r="T1693" i="31"/>
  <c r="I1694" i="31"/>
  <c r="J1694" i="31"/>
  <c r="K1694" i="31"/>
  <c r="L1694" i="31"/>
  <c r="M1694" i="31"/>
  <c r="N1694" i="31"/>
  <c r="O1694" i="31"/>
  <c r="P1694" i="31"/>
  <c r="Q1694" i="31"/>
  <c r="R1694" i="31"/>
  <c r="S1694" i="31"/>
  <c r="T1694" i="31"/>
  <c r="I1695" i="31"/>
  <c r="J1695" i="31"/>
  <c r="K1695" i="31"/>
  <c r="L1695" i="31"/>
  <c r="M1695" i="31"/>
  <c r="N1695" i="31"/>
  <c r="O1695" i="31"/>
  <c r="P1695" i="31"/>
  <c r="Q1695" i="31"/>
  <c r="R1695" i="31"/>
  <c r="S1695" i="31"/>
  <c r="T1695" i="31"/>
  <c r="I1696" i="31"/>
  <c r="J1696" i="31"/>
  <c r="K1696" i="31"/>
  <c r="L1696" i="31"/>
  <c r="M1696" i="31"/>
  <c r="N1696" i="31"/>
  <c r="O1696" i="31"/>
  <c r="P1696" i="31"/>
  <c r="Q1696" i="31"/>
  <c r="R1696" i="31"/>
  <c r="S1696" i="31"/>
  <c r="T1696" i="31"/>
  <c r="I1697" i="31"/>
  <c r="J1697" i="31"/>
  <c r="K1697" i="31"/>
  <c r="L1697" i="31"/>
  <c r="M1697" i="31"/>
  <c r="N1697" i="31"/>
  <c r="O1697" i="31"/>
  <c r="P1697" i="31"/>
  <c r="Q1697" i="31"/>
  <c r="R1697" i="31"/>
  <c r="S1697" i="31"/>
  <c r="T1697" i="31"/>
  <c r="I1698" i="31"/>
  <c r="J1698" i="31"/>
  <c r="K1698" i="31"/>
  <c r="L1698" i="31"/>
  <c r="M1698" i="31"/>
  <c r="N1698" i="31"/>
  <c r="O1698" i="31"/>
  <c r="P1698" i="31"/>
  <c r="Q1698" i="31"/>
  <c r="R1698" i="31"/>
  <c r="S1698" i="31"/>
  <c r="T1698" i="31"/>
  <c r="I1699" i="31"/>
  <c r="J1699" i="31"/>
  <c r="K1699" i="31"/>
  <c r="L1699" i="31"/>
  <c r="M1699" i="31"/>
  <c r="N1699" i="31"/>
  <c r="O1699" i="31"/>
  <c r="P1699" i="31"/>
  <c r="Q1699" i="31"/>
  <c r="R1699" i="31"/>
  <c r="S1699" i="31"/>
  <c r="T1699" i="31"/>
  <c r="I1700" i="31"/>
  <c r="J1700" i="31"/>
  <c r="K1700" i="31"/>
  <c r="L1700" i="31"/>
  <c r="M1700" i="31"/>
  <c r="N1700" i="31"/>
  <c r="O1700" i="31"/>
  <c r="P1700" i="31"/>
  <c r="Q1700" i="31"/>
  <c r="R1700" i="31"/>
  <c r="S1700" i="31"/>
  <c r="T1700" i="31"/>
  <c r="I1701" i="31"/>
  <c r="J1701" i="31"/>
  <c r="K1701" i="31"/>
  <c r="L1701" i="31"/>
  <c r="M1701" i="31"/>
  <c r="N1701" i="31"/>
  <c r="O1701" i="31"/>
  <c r="P1701" i="31"/>
  <c r="Q1701" i="31"/>
  <c r="R1701" i="31"/>
  <c r="S1701" i="31"/>
  <c r="T1701" i="31"/>
  <c r="I1702" i="31"/>
  <c r="J1702" i="31"/>
  <c r="K1702" i="31"/>
  <c r="L1702" i="31"/>
  <c r="M1702" i="31"/>
  <c r="N1702" i="31"/>
  <c r="O1702" i="31"/>
  <c r="P1702" i="31"/>
  <c r="Q1702" i="31"/>
  <c r="R1702" i="31"/>
  <c r="S1702" i="31"/>
  <c r="T1702" i="31"/>
  <c r="I1703" i="31"/>
  <c r="J1703" i="31"/>
  <c r="K1703" i="31"/>
  <c r="L1703" i="31"/>
  <c r="M1703" i="31"/>
  <c r="N1703" i="31"/>
  <c r="O1703" i="31"/>
  <c r="P1703" i="31"/>
  <c r="Q1703" i="31"/>
  <c r="R1703" i="31"/>
  <c r="S1703" i="31"/>
  <c r="T1703" i="31"/>
  <c r="I1704" i="31"/>
  <c r="J1704" i="31"/>
  <c r="K1704" i="31"/>
  <c r="L1704" i="31"/>
  <c r="M1704" i="31"/>
  <c r="N1704" i="31"/>
  <c r="O1704" i="31"/>
  <c r="P1704" i="31"/>
  <c r="Q1704" i="31"/>
  <c r="R1704" i="31"/>
  <c r="S1704" i="31"/>
  <c r="T1704" i="31"/>
  <c r="I1705" i="31"/>
  <c r="J1705" i="31"/>
  <c r="K1705" i="31"/>
  <c r="L1705" i="31"/>
  <c r="M1705" i="31"/>
  <c r="N1705" i="31"/>
  <c r="O1705" i="31"/>
  <c r="P1705" i="31"/>
  <c r="Q1705" i="31"/>
  <c r="R1705" i="31"/>
  <c r="S1705" i="31"/>
  <c r="T1705" i="31"/>
  <c r="I1706" i="31"/>
  <c r="J1706" i="31"/>
  <c r="K1706" i="31"/>
  <c r="L1706" i="31"/>
  <c r="M1706" i="31"/>
  <c r="N1706" i="31"/>
  <c r="O1706" i="31"/>
  <c r="P1706" i="31"/>
  <c r="Q1706" i="31"/>
  <c r="R1706" i="31"/>
  <c r="S1706" i="31"/>
  <c r="T1706" i="31"/>
  <c r="I1707" i="31"/>
  <c r="J1707" i="31"/>
  <c r="K1707" i="31"/>
  <c r="L1707" i="31"/>
  <c r="M1707" i="31"/>
  <c r="N1707" i="31"/>
  <c r="O1707" i="31"/>
  <c r="P1707" i="31"/>
  <c r="Q1707" i="31"/>
  <c r="R1707" i="31"/>
  <c r="S1707" i="31"/>
  <c r="T1707" i="31"/>
  <c r="I1708" i="31"/>
  <c r="J1708" i="31"/>
  <c r="K1708" i="31"/>
  <c r="L1708" i="31"/>
  <c r="M1708" i="31"/>
  <c r="N1708" i="31"/>
  <c r="O1708" i="31"/>
  <c r="P1708" i="31"/>
  <c r="Q1708" i="31"/>
  <c r="R1708" i="31"/>
  <c r="S1708" i="31"/>
  <c r="T1708" i="31"/>
  <c r="I1709" i="31"/>
  <c r="J1709" i="31"/>
  <c r="K1709" i="31"/>
  <c r="L1709" i="31"/>
  <c r="M1709" i="31"/>
  <c r="N1709" i="31"/>
  <c r="O1709" i="31"/>
  <c r="P1709" i="31"/>
  <c r="Q1709" i="31"/>
  <c r="R1709" i="31"/>
  <c r="S1709" i="31"/>
  <c r="T1709" i="31"/>
  <c r="I1710" i="31"/>
  <c r="J1710" i="31"/>
  <c r="K1710" i="31"/>
  <c r="L1710" i="31"/>
  <c r="M1710" i="31"/>
  <c r="N1710" i="31"/>
  <c r="O1710" i="31"/>
  <c r="P1710" i="31"/>
  <c r="Q1710" i="31"/>
  <c r="R1710" i="31"/>
  <c r="S1710" i="31"/>
  <c r="T1710" i="31"/>
  <c r="I1711" i="31"/>
  <c r="J1711" i="31"/>
  <c r="K1711" i="31"/>
  <c r="L1711" i="31"/>
  <c r="M1711" i="31"/>
  <c r="N1711" i="31"/>
  <c r="O1711" i="31"/>
  <c r="P1711" i="31"/>
  <c r="Q1711" i="31"/>
  <c r="R1711" i="31"/>
  <c r="S1711" i="31"/>
  <c r="T1711" i="31"/>
  <c r="I1712" i="31"/>
  <c r="J1712" i="31"/>
  <c r="K1712" i="31"/>
  <c r="L1712" i="31"/>
  <c r="M1712" i="31"/>
  <c r="N1712" i="31"/>
  <c r="O1712" i="31"/>
  <c r="P1712" i="31"/>
  <c r="Q1712" i="31"/>
  <c r="R1712" i="31"/>
  <c r="S1712" i="31"/>
  <c r="T1712" i="31"/>
  <c r="I1713" i="31"/>
  <c r="J1713" i="31"/>
  <c r="K1713" i="31"/>
  <c r="L1713" i="31"/>
  <c r="M1713" i="31"/>
  <c r="N1713" i="31"/>
  <c r="O1713" i="31"/>
  <c r="P1713" i="31"/>
  <c r="Q1713" i="31"/>
  <c r="R1713" i="31"/>
  <c r="S1713" i="31"/>
  <c r="T1713" i="31"/>
  <c r="I1714" i="31"/>
  <c r="J1714" i="31"/>
  <c r="K1714" i="31"/>
  <c r="L1714" i="31"/>
  <c r="M1714" i="31"/>
  <c r="N1714" i="31"/>
  <c r="O1714" i="31"/>
  <c r="P1714" i="31"/>
  <c r="Q1714" i="31"/>
  <c r="R1714" i="31"/>
  <c r="S1714" i="31"/>
  <c r="T1714" i="31"/>
  <c r="I1715" i="31"/>
  <c r="J1715" i="31"/>
  <c r="K1715" i="31"/>
  <c r="L1715" i="31"/>
  <c r="M1715" i="31"/>
  <c r="N1715" i="31"/>
  <c r="O1715" i="31"/>
  <c r="P1715" i="31"/>
  <c r="Q1715" i="31"/>
  <c r="R1715" i="31"/>
  <c r="S1715" i="31"/>
  <c r="T1715" i="31"/>
  <c r="I1716" i="31"/>
  <c r="J1716" i="31"/>
  <c r="K1716" i="31"/>
  <c r="L1716" i="31"/>
  <c r="M1716" i="31"/>
  <c r="N1716" i="31"/>
  <c r="O1716" i="31"/>
  <c r="P1716" i="31"/>
  <c r="Q1716" i="31"/>
  <c r="R1716" i="31"/>
  <c r="S1716" i="31"/>
  <c r="T1716" i="31"/>
  <c r="I1717" i="31"/>
  <c r="J1717" i="31"/>
  <c r="K1717" i="31"/>
  <c r="L1717" i="31"/>
  <c r="M1717" i="31"/>
  <c r="N1717" i="31"/>
  <c r="O1717" i="31"/>
  <c r="P1717" i="31"/>
  <c r="Q1717" i="31"/>
  <c r="R1717" i="31"/>
  <c r="S1717" i="31"/>
  <c r="T1717" i="31"/>
  <c r="I1718" i="31"/>
  <c r="J1718" i="31"/>
  <c r="K1718" i="31"/>
  <c r="L1718" i="31"/>
  <c r="M1718" i="31"/>
  <c r="N1718" i="31"/>
  <c r="O1718" i="31"/>
  <c r="P1718" i="31"/>
  <c r="Q1718" i="31"/>
  <c r="R1718" i="31"/>
  <c r="S1718" i="31"/>
  <c r="T1718" i="31"/>
  <c r="I1719" i="31"/>
  <c r="J1719" i="31"/>
  <c r="K1719" i="31"/>
  <c r="L1719" i="31"/>
  <c r="M1719" i="31"/>
  <c r="N1719" i="31"/>
  <c r="O1719" i="31"/>
  <c r="P1719" i="31"/>
  <c r="Q1719" i="31"/>
  <c r="R1719" i="31"/>
  <c r="S1719" i="31"/>
  <c r="T1719" i="31"/>
  <c r="I1720" i="31"/>
  <c r="J1720" i="31"/>
  <c r="K1720" i="31"/>
  <c r="L1720" i="31"/>
  <c r="M1720" i="31"/>
  <c r="N1720" i="31"/>
  <c r="O1720" i="31"/>
  <c r="P1720" i="31"/>
  <c r="Q1720" i="31"/>
  <c r="R1720" i="31"/>
  <c r="S1720" i="31"/>
  <c r="T1720" i="31"/>
  <c r="I1721" i="31"/>
  <c r="J1721" i="31"/>
  <c r="K1721" i="31"/>
  <c r="L1721" i="31"/>
  <c r="M1721" i="31"/>
  <c r="N1721" i="31"/>
  <c r="O1721" i="31"/>
  <c r="P1721" i="31"/>
  <c r="Q1721" i="31"/>
  <c r="R1721" i="31"/>
  <c r="S1721" i="31"/>
  <c r="T1721" i="31"/>
  <c r="I1722" i="31"/>
  <c r="J1722" i="31"/>
  <c r="K1722" i="31"/>
  <c r="L1722" i="31"/>
  <c r="M1722" i="31"/>
  <c r="N1722" i="31"/>
  <c r="O1722" i="31"/>
  <c r="P1722" i="31"/>
  <c r="Q1722" i="31"/>
  <c r="R1722" i="31"/>
  <c r="S1722" i="31"/>
  <c r="T1722" i="31"/>
  <c r="I1723" i="31"/>
  <c r="J1723" i="31"/>
  <c r="K1723" i="31"/>
  <c r="L1723" i="31"/>
  <c r="M1723" i="31"/>
  <c r="N1723" i="31"/>
  <c r="O1723" i="31"/>
  <c r="P1723" i="31"/>
  <c r="Q1723" i="31"/>
  <c r="R1723" i="31"/>
  <c r="S1723" i="31"/>
  <c r="T1723" i="31"/>
  <c r="I1724" i="31"/>
  <c r="J1724" i="31"/>
  <c r="K1724" i="31"/>
  <c r="L1724" i="31"/>
  <c r="M1724" i="31"/>
  <c r="N1724" i="31"/>
  <c r="O1724" i="31"/>
  <c r="P1724" i="31"/>
  <c r="Q1724" i="31"/>
  <c r="R1724" i="31"/>
  <c r="S1724" i="31"/>
  <c r="T1724" i="31"/>
  <c r="I1725" i="31"/>
  <c r="J1725" i="31"/>
  <c r="K1725" i="31"/>
  <c r="L1725" i="31"/>
  <c r="M1725" i="31"/>
  <c r="N1725" i="31"/>
  <c r="O1725" i="31"/>
  <c r="P1725" i="31"/>
  <c r="Q1725" i="31"/>
  <c r="R1725" i="31"/>
  <c r="S1725" i="31"/>
  <c r="T1725" i="31"/>
  <c r="I1726" i="31"/>
  <c r="J1726" i="31"/>
  <c r="K1726" i="31"/>
  <c r="L1726" i="31"/>
  <c r="M1726" i="31"/>
  <c r="N1726" i="31"/>
  <c r="O1726" i="31"/>
  <c r="P1726" i="31"/>
  <c r="Q1726" i="31"/>
  <c r="R1726" i="31"/>
  <c r="S1726" i="31"/>
  <c r="T1726" i="31"/>
  <c r="I1727" i="31"/>
  <c r="J1727" i="31"/>
  <c r="K1727" i="31"/>
  <c r="L1727" i="31"/>
  <c r="M1727" i="31"/>
  <c r="N1727" i="31"/>
  <c r="O1727" i="31"/>
  <c r="P1727" i="31"/>
  <c r="Q1727" i="31"/>
  <c r="R1727" i="31"/>
  <c r="S1727" i="31"/>
  <c r="T1727" i="31"/>
  <c r="I1728" i="31"/>
  <c r="J1728" i="31"/>
  <c r="K1728" i="31"/>
  <c r="L1728" i="31"/>
  <c r="M1728" i="31"/>
  <c r="N1728" i="31"/>
  <c r="O1728" i="31"/>
  <c r="P1728" i="31"/>
  <c r="Q1728" i="31"/>
  <c r="R1728" i="31"/>
  <c r="S1728" i="31"/>
  <c r="T1728" i="31"/>
  <c r="I1729" i="31"/>
  <c r="J1729" i="31"/>
  <c r="K1729" i="31"/>
  <c r="L1729" i="31"/>
  <c r="M1729" i="31"/>
  <c r="N1729" i="31"/>
  <c r="O1729" i="31"/>
  <c r="P1729" i="31"/>
  <c r="Q1729" i="31"/>
  <c r="R1729" i="31"/>
  <c r="S1729" i="31"/>
  <c r="T1729" i="31"/>
  <c r="I1730" i="31"/>
  <c r="J1730" i="31"/>
  <c r="K1730" i="31"/>
  <c r="L1730" i="31"/>
  <c r="M1730" i="31"/>
  <c r="N1730" i="31"/>
  <c r="O1730" i="31"/>
  <c r="P1730" i="31"/>
  <c r="Q1730" i="31"/>
  <c r="R1730" i="31"/>
  <c r="S1730" i="31"/>
  <c r="T1730" i="31"/>
  <c r="I1731" i="31"/>
  <c r="J1731" i="31"/>
  <c r="K1731" i="31"/>
  <c r="L1731" i="31"/>
  <c r="M1731" i="31"/>
  <c r="N1731" i="31"/>
  <c r="O1731" i="31"/>
  <c r="P1731" i="31"/>
  <c r="Q1731" i="31"/>
  <c r="R1731" i="31"/>
  <c r="S1731" i="31"/>
  <c r="T1731" i="31"/>
  <c r="I1732" i="31"/>
  <c r="J1732" i="31"/>
  <c r="K1732" i="31"/>
  <c r="L1732" i="31"/>
  <c r="M1732" i="31"/>
  <c r="N1732" i="31"/>
  <c r="O1732" i="31"/>
  <c r="P1732" i="31"/>
  <c r="Q1732" i="31"/>
  <c r="R1732" i="31"/>
  <c r="S1732" i="31"/>
  <c r="T1732" i="31"/>
  <c r="I1733" i="31"/>
  <c r="J1733" i="31"/>
  <c r="K1733" i="31"/>
  <c r="L1733" i="31"/>
  <c r="M1733" i="31"/>
  <c r="N1733" i="31"/>
  <c r="O1733" i="31"/>
  <c r="P1733" i="31"/>
  <c r="Q1733" i="31"/>
  <c r="R1733" i="31"/>
  <c r="S1733" i="31"/>
  <c r="T1733" i="31"/>
  <c r="I1734" i="31"/>
  <c r="J1734" i="31"/>
  <c r="K1734" i="31"/>
  <c r="L1734" i="31"/>
  <c r="M1734" i="31"/>
  <c r="N1734" i="31"/>
  <c r="O1734" i="31"/>
  <c r="P1734" i="31"/>
  <c r="Q1734" i="31"/>
  <c r="R1734" i="31"/>
  <c r="S1734" i="31"/>
  <c r="T1734" i="31"/>
  <c r="I1735" i="31"/>
  <c r="J1735" i="31"/>
  <c r="K1735" i="31"/>
  <c r="L1735" i="31"/>
  <c r="M1735" i="31"/>
  <c r="N1735" i="31"/>
  <c r="O1735" i="31"/>
  <c r="P1735" i="31"/>
  <c r="Q1735" i="31"/>
  <c r="R1735" i="31"/>
  <c r="S1735" i="31"/>
  <c r="T1735" i="31"/>
  <c r="I1736" i="31"/>
  <c r="J1736" i="31"/>
  <c r="K1736" i="31"/>
  <c r="L1736" i="31"/>
  <c r="M1736" i="31"/>
  <c r="N1736" i="31"/>
  <c r="O1736" i="31"/>
  <c r="P1736" i="31"/>
  <c r="Q1736" i="31"/>
  <c r="R1736" i="31"/>
  <c r="S1736" i="31"/>
  <c r="T1736" i="31"/>
  <c r="I1737" i="31"/>
  <c r="J1737" i="31"/>
  <c r="K1737" i="31"/>
  <c r="L1737" i="31"/>
  <c r="M1737" i="31"/>
  <c r="N1737" i="31"/>
  <c r="O1737" i="31"/>
  <c r="P1737" i="31"/>
  <c r="Q1737" i="31"/>
  <c r="R1737" i="31"/>
  <c r="S1737" i="31"/>
  <c r="T1737" i="31"/>
  <c r="I1738" i="31"/>
  <c r="J1738" i="31"/>
  <c r="K1738" i="31"/>
  <c r="L1738" i="31"/>
  <c r="M1738" i="31"/>
  <c r="N1738" i="31"/>
  <c r="O1738" i="31"/>
  <c r="P1738" i="31"/>
  <c r="Q1738" i="31"/>
  <c r="R1738" i="31"/>
  <c r="S1738" i="31"/>
  <c r="T1738" i="31"/>
  <c r="I1739" i="31"/>
  <c r="J1739" i="31"/>
  <c r="K1739" i="31"/>
  <c r="L1739" i="31"/>
  <c r="M1739" i="31"/>
  <c r="N1739" i="31"/>
  <c r="O1739" i="31"/>
  <c r="P1739" i="31"/>
  <c r="Q1739" i="31"/>
  <c r="R1739" i="31"/>
  <c r="S1739" i="31"/>
  <c r="T1739" i="31"/>
  <c r="I1740" i="31"/>
  <c r="J1740" i="31"/>
  <c r="K1740" i="31"/>
  <c r="L1740" i="31"/>
  <c r="M1740" i="31"/>
  <c r="N1740" i="31"/>
  <c r="O1740" i="31"/>
  <c r="P1740" i="31"/>
  <c r="Q1740" i="31"/>
  <c r="R1740" i="31"/>
  <c r="S1740" i="31"/>
  <c r="T1740" i="31"/>
  <c r="I1741" i="31"/>
  <c r="J1741" i="31"/>
  <c r="K1741" i="31"/>
  <c r="L1741" i="31"/>
  <c r="M1741" i="31"/>
  <c r="N1741" i="31"/>
  <c r="O1741" i="31"/>
  <c r="P1741" i="31"/>
  <c r="Q1741" i="31"/>
  <c r="R1741" i="31"/>
  <c r="S1741" i="31"/>
  <c r="T1741" i="31"/>
  <c r="X1" i="31"/>
  <c r="W1" i="31"/>
  <c r="V1" i="31"/>
  <c r="U1" i="31"/>
  <c r="T2" i="31"/>
  <c r="T1" i="31"/>
  <c r="S2" i="31"/>
  <c r="S1" i="31"/>
  <c r="R2" i="31"/>
  <c r="R1" i="31"/>
  <c r="Q2" i="31"/>
  <c r="Q1" i="31"/>
  <c r="P2" i="31"/>
  <c r="P1" i="31"/>
  <c r="O2" i="31"/>
  <c r="O1" i="31"/>
  <c r="N2" i="31"/>
  <c r="N1" i="31"/>
  <c r="M2" i="31"/>
  <c r="M1" i="31"/>
  <c r="L2" i="31"/>
  <c r="L1" i="31"/>
  <c r="K2" i="31"/>
  <c r="K1" i="31"/>
  <c r="J2" i="31"/>
  <c r="J1" i="31"/>
  <c r="I1" i="31"/>
  <c r="I2" i="31"/>
  <c r="D1740" i="31"/>
  <c r="E1740" i="31" s="1"/>
  <c r="D1741" i="31"/>
  <c r="E1741" i="31" s="1"/>
  <c r="D1713" i="31"/>
  <c r="D1714" i="31"/>
  <c r="D1715" i="31"/>
  <c r="E1715" i="31" s="1"/>
  <c r="D1716" i="31"/>
  <c r="E1716" i="31" s="1"/>
  <c r="D1717" i="31"/>
  <c r="E1717" i="31" s="1"/>
  <c r="D1718" i="31"/>
  <c r="D1719" i="31"/>
  <c r="E1719" i="31" s="1"/>
  <c r="D1720" i="31"/>
  <c r="E1720" i="31" s="1"/>
  <c r="D1721" i="31"/>
  <c r="D1722" i="31"/>
  <c r="E1722" i="31" s="1"/>
  <c r="D1723" i="31"/>
  <c r="E1723" i="31" s="1"/>
  <c r="D1724" i="31"/>
  <c r="E1724" i="31" s="1"/>
  <c r="D1725" i="31"/>
  <c r="E1725" i="31" s="1"/>
  <c r="D1726" i="31"/>
  <c r="D1727" i="31"/>
  <c r="E1727" i="31" s="1"/>
  <c r="D1728" i="31"/>
  <c r="E1728" i="31" s="1"/>
  <c r="D1729" i="31"/>
  <c r="D1730" i="31"/>
  <c r="E1730" i="31" s="1"/>
  <c r="D1731" i="31"/>
  <c r="E1731" i="31" s="1"/>
  <c r="D1732" i="31"/>
  <c r="E1732" i="31" s="1"/>
  <c r="D1733" i="31"/>
  <c r="E1733" i="31" s="1"/>
  <c r="D1734" i="31"/>
  <c r="E1734" i="31" s="1"/>
  <c r="D1735" i="31"/>
  <c r="E1735" i="31" s="1"/>
  <c r="D1736" i="31"/>
  <c r="E1736" i="31" s="1"/>
  <c r="D1737" i="31"/>
  <c r="D1738" i="31"/>
  <c r="D1739" i="31"/>
  <c r="E1739" i="31" s="1"/>
  <c r="D1712" i="31"/>
  <c r="E1712" i="31" s="1"/>
  <c r="E1713" i="31"/>
  <c r="E1714" i="31"/>
  <c r="E1718" i="31"/>
  <c r="E1721" i="31"/>
  <c r="E1726" i="31"/>
  <c r="E1729" i="31"/>
  <c r="E1737" i="31"/>
  <c r="E1738" i="31"/>
  <c r="D1709" i="31"/>
  <c r="E1709" i="31" s="1"/>
  <c r="D1710" i="31"/>
  <c r="E1710" i="31" s="1"/>
  <c r="D1711" i="31"/>
  <c r="E1711" i="31" s="1"/>
  <c r="D1683" i="31"/>
  <c r="E1683" i="31" s="1"/>
  <c r="D1684" i="31"/>
  <c r="E1684" i="31" s="1"/>
  <c r="D1685" i="31"/>
  <c r="E1685" i="31" s="1"/>
  <c r="D1686" i="31"/>
  <c r="E1686" i="31" s="1"/>
  <c r="D1687" i="31"/>
  <c r="E1687" i="31" s="1"/>
  <c r="D1688" i="31"/>
  <c r="E1688" i="31" s="1"/>
  <c r="D1689" i="31"/>
  <c r="E1689" i="31" s="1"/>
  <c r="D1690" i="31"/>
  <c r="E1690" i="31" s="1"/>
  <c r="D1691" i="31"/>
  <c r="E1691" i="31" s="1"/>
  <c r="D1692" i="31"/>
  <c r="E1692" i="31" s="1"/>
  <c r="D1693" i="31"/>
  <c r="E1693" i="31" s="1"/>
  <c r="D1694" i="31"/>
  <c r="E1694" i="31" s="1"/>
  <c r="D1695" i="31"/>
  <c r="E1695" i="31" s="1"/>
  <c r="D1696" i="31"/>
  <c r="E1696" i="31" s="1"/>
  <c r="D1697" i="31"/>
  <c r="E1697" i="31" s="1"/>
  <c r="D1698" i="31"/>
  <c r="E1698" i="31" s="1"/>
  <c r="D1699" i="31"/>
  <c r="E1699" i="31" s="1"/>
  <c r="D1700" i="31"/>
  <c r="E1700" i="31" s="1"/>
  <c r="D1701" i="31"/>
  <c r="E1701" i="31" s="1"/>
  <c r="D1702" i="31"/>
  <c r="E1702" i="31" s="1"/>
  <c r="D1703" i="31"/>
  <c r="E1703" i="31" s="1"/>
  <c r="D1704" i="31"/>
  <c r="E1704" i="31" s="1"/>
  <c r="D1705" i="31"/>
  <c r="E1705" i="31" s="1"/>
  <c r="D1706" i="31"/>
  <c r="E1706" i="31" s="1"/>
  <c r="D1707" i="31"/>
  <c r="E1707" i="31" s="1"/>
  <c r="D1708" i="31"/>
  <c r="E1708" i="31" s="1"/>
  <c r="D1682" i="31"/>
  <c r="E1682" i="31" s="1"/>
  <c r="D1653" i="31"/>
  <c r="E1653" i="31" s="1"/>
  <c r="D1654" i="31"/>
  <c r="E1654" i="31" s="1"/>
  <c r="D1655" i="31"/>
  <c r="E1655" i="31" s="1"/>
  <c r="D1656" i="31"/>
  <c r="E1656" i="31" s="1"/>
  <c r="D1657" i="31"/>
  <c r="E1657" i="31" s="1"/>
  <c r="D1658" i="31"/>
  <c r="E1658" i="31" s="1"/>
  <c r="D1659" i="31"/>
  <c r="E1659" i="31" s="1"/>
  <c r="D1660" i="31"/>
  <c r="E1660" i="31" s="1"/>
  <c r="D1661" i="31"/>
  <c r="E1661" i="31" s="1"/>
  <c r="D1662" i="31"/>
  <c r="E1662" i="31" s="1"/>
  <c r="D1663" i="31"/>
  <c r="E1663" i="31" s="1"/>
  <c r="D1664" i="31"/>
  <c r="E1664" i="31" s="1"/>
  <c r="D1665" i="31"/>
  <c r="E1665" i="31" s="1"/>
  <c r="D1666" i="31"/>
  <c r="E1666" i="31" s="1"/>
  <c r="D1667" i="31"/>
  <c r="E1667" i="31" s="1"/>
  <c r="D1668" i="31"/>
  <c r="E1668" i="31" s="1"/>
  <c r="D1669" i="31"/>
  <c r="E1669" i="31" s="1"/>
  <c r="D1670" i="31"/>
  <c r="E1670" i="31" s="1"/>
  <c r="D1671" i="31"/>
  <c r="E1671" i="31" s="1"/>
  <c r="D1672" i="31"/>
  <c r="E1672" i="31" s="1"/>
  <c r="D1673" i="31"/>
  <c r="E1673" i="31" s="1"/>
  <c r="D1674" i="31"/>
  <c r="E1674" i="31" s="1"/>
  <c r="D1675" i="31"/>
  <c r="E1675" i="31" s="1"/>
  <c r="D1676" i="31"/>
  <c r="E1676" i="31" s="1"/>
  <c r="D1677" i="31"/>
  <c r="E1677" i="31" s="1"/>
  <c r="D1678" i="31"/>
  <c r="E1678" i="31" s="1"/>
  <c r="D1679" i="31"/>
  <c r="E1679" i="31" s="1"/>
  <c r="D1680" i="31"/>
  <c r="E1680" i="31" s="1"/>
  <c r="D1681" i="31"/>
  <c r="E1681" i="31" s="1"/>
  <c r="D1652" i="31"/>
  <c r="E1652" i="31" s="1"/>
  <c r="D1623" i="31"/>
  <c r="D1624" i="31"/>
  <c r="E1624" i="31" s="1"/>
  <c r="D1625" i="31"/>
  <c r="E1625" i="31" s="1"/>
  <c r="D1626" i="31"/>
  <c r="E1626" i="31" s="1"/>
  <c r="D1627" i="31"/>
  <c r="D1628" i="31"/>
  <c r="E1628" i="31" s="1"/>
  <c r="D1629" i="31"/>
  <c r="E1629" i="31" s="1"/>
  <c r="D1630" i="31"/>
  <c r="E1630" i="31" s="1"/>
  <c r="D1631" i="31"/>
  <c r="E1631" i="31" s="1"/>
  <c r="D1632" i="31"/>
  <c r="E1632" i="31" s="1"/>
  <c r="D1633" i="31"/>
  <c r="E1633" i="31" s="1"/>
  <c r="D1634" i="31"/>
  <c r="E1634" i="31" s="1"/>
  <c r="D1635" i="31"/>
  <c r="D1636" i="31"/>
  <c r="E1636" i="31" s="1"/>
  <c r="D1637" i="31"/>
  <c r="E1637" i="31" s="1"/>
  <c r="D1638" i="31"/>
  <c r="E1638" i="31" s="1"/>
  <c r="D1639" i="31"/>
  <c r="E1639" i="31" s="1"/>
  <c r="D1640" i="31"/>
  <c r="E1640" i="31" s="1"/>
  <c r="D1641" i="31"/>
  <c r="E1641" i="31" s="1"/>
  <c r="D1642" i="31"/>
  <c r="E1642" i="31" s="1"/>
  <c r="D1643" i="31"/>
  <c r="D1644" i="31"/>
  <c r="E1644" i="31" s="1"/>
  <c r="D1645" i="31"/>
  <c r="E1645" i="31" s="1"/>
  <c r="D1646" i="31"/>
  <c r="E1646" i="31" s="1"/>
  <c r="D1647" i="31"/>
  <c r="D1648" i="31"/>
  <c r="E1648" i="31" s="1"/>
  <c r="D1649" i="31"/>
  <c r="E1649" i="31" s="1"/>
  <c r="D1650" i="31"/>
  <c r="E1650" i="31" s="1"/>
  <c r="D1651" i="31"/>
  <c r="D1622" i="31"/>
  <c r="E1622" i="31" s="1"/>
  <c r="E1623" i="31"/>
  <c r="E1627" i="31"/>
  <c r="E1635" i="31"/>
  <c r="E1643" i="31"/>
  <c r="E1647" i="31"/>
  <c r="E1651" i="31"/>
  <c r="P5" i="30"/>
  <c r="P5" i="29"/>
  <c r="P5" i="28"/>
  <c r="R5" i="25"/>
  <c r="G186" i="9" l="1"/>
  <c r="G182" i="9"/>
  <c r="D182" i="9" s="1"/>
  <c r="E182" i="9" s="1"/>
  <c r="J182" i="9" s="1"/>
  <c r="G183" i="9"/>
  <c r="D183" i="9" s="1"/>
  <c r="E183" i="9" s="1"/>
  <c r="J183" i="9" s="1"/>
  <c r="G185" i="9"/>
  <c r="D185" i="9" s="1"/>
  <c r="E185" i="9" s="1"/>
  <c r="J185" i="9" s="1"/>
  <c r="G187" i="9"/>
  <c r="G184" i="9"/>
  <c r="D184" i="9" s="1"/>
  <c r="E184" i="9" s="1"/>
  <c r="J184" i="9" s="1"/>
  <c r="D181" i="9"/>
  <c r="E181" i="9" s="1"/>
  <c r="J181" i="9" s="1"/>
  <c r="D186" i="9"/>
  <c r="E186" i="9" s="1"/>
  <c r="J186" i="9" s="1"/>
  <c r="D187" i="9"/>
  <c r="E187" i="9" s="1"/>
  <c r="J187" i="9" s="1"/>
  <c r="D179" i="9"/>
  <c r="E179" i="9" s="1"/>
  <c r="J179" i="9" s="1"/>
  <c r="D180" i="9"/>
  <c r="E180" i="9" s="1"/>
  <c r="J180" i="9" s="1"/>
  <c r="JO36" i="20"/>
  <c r="JO35" i="20"/>
  <c r="JO34" i="20"/>
  <c r="JO33" i="20"/>
  <c r="JO32" i="20"/>
  <c r="JO31" i="20"/>
  <c r="JO30" i="20"/>
  <c r="JO29" i="20"/>
  <c r="JO28" i="20"/>
  <c r="JO27" i="20"/>
  <c r="JO26" i="20"/>
  <c r="JO25" i="20"/>
  <c r="JO24" i="20"/>
  <c r="JO23" i="20"/>
  <c r="JO22" i="20"/>
  <c r="JO21" i="20"/>
  <c r="JO20" i="20"/>
  <c r="JO19" i="20"/>
  <c r="JO18" i="20"/>
  <c r="JO17" i="20"/>
  <c r="JO16" i="20"/>
  <c r="JO15" i="20"/>
  <c r="JV14" i="20"/>
  <c r="JO14" i="20"/>
  <c r="JV13" i="20"/>
  <c r="JO13" i="20"/>
  <c r="JV12" i="20"/>
  <c r="JO12" i="20"/>
  <c r="JV11" i="20"/>
  <c r="JO11" i="20"/>
  <c r="JV10" i="20"/>
  <c r="JV9" i="20"/>
  <c r="JV8" i="20"/>
  <c r="JV7" i="20"/>
  <c r="JR7" i="20"/>
  <c r="JM7" i="20"/>
  <c r="JM8" i="20" s="1"/>
  <c r="JM9" i="20" s="1"/>
  <c r="JM10" i="20" s="1"/>
  <c r="JM11" i="20" s="1"/>
  <c r="JM12" i="20" s="1"/>
  <c r="JM13" i="20" s="1"/>
  <c r="JM14" i="20" s="1"/>
  <c r="JM15" i="20" s="1"/>
  <c r="JM16" i="20" s="1"/>
  <c r="JM17" i="20" s="1"/>
  <c r="JM18" i="20" s="1"/>
  <c r="JM19" i="20" s="1"/>
  <c r="JM20" i="20" s="1"/>
  <c r="JM21" i="20" s="1"/>
  <c r="JM22" i="20" s="1"/>
  <c r="JM23" i="20" s="1"/>
  <c r="JM24" i="20" s="1"/>
  <c r="JM25" i="20" s="1"/>
  <c r="JM26" i="20" s="1"/>
  <c r="JM27" i="20" s="1"/>
  <c r="JM28" i="20" s="1"/>
  <c r="JM29" i="20" s="1"/>
  <c r="JM30" i="20" s="1"/>
  <c r="JM31" i="20" s="1"/>
  <c r="JM32" i="20" s="1"/>
  <c r="JM33" i="20" s="1"/>
  <c r="JM34" i="20" s="1"/>
  <c r="JM35" i="20" s="1"/>
  <c r="JM36" i="20" s="1"/>
  <c r="JJ7" i="20"/>
  <c r="JN7" i="20" s="1"/>
  <c r="JZ7" i="20" s="1"/>
  <c r="KA7" i="20" s="1"/>
  <c r="JJ8" i="20"/>
  <c r="JN8" i="20" s="1"/>
  <c r="JZ8" i="20" s="1"/>
  <c r="KA8" i="20" s="1"/>
  <c r="JJ9" i="20"/>
  <c r="JN9" i="20" s="1"/>
  <c r="JZ9" i="20" s="1"/>
  <c r="KA9" i="20" s="1"/>
  <c r="JJ10" i="20"/>
  <c r="JN10" i="20" s="1"/>
  <c r="JZ10" i="20" s="1"/>
  <c r="KA10" i="20" s="1"/>
  <c r="JI8" i="20"/>
  <c r="JI9" i="20"/>
  <c r="JI10" i="20"/>
  <c r="JI11" i="20"/>
  <c r="JI12" i="20"/>
  <c r="JI13" i="20"/>
  <c r="JI14" i="20"/>
  <c r="JI15" i="20"/>
  <c r="JI16" i="20"/>
  <c r="JI17" i="20"/>
  <c r="JI18" i="20"/>
  <c r="JI19" i="20"/>
  <c r="JI20" i="20"/>
  <c r="JI21" i="20"/>
  <c r="JI22" i="20"/>
  <c r="JI23" i="20"/>
  <c r="JI24" i="20"/>
  <c r="JI25" i="20"/>
  <c r="JI26" i="20"/>
  <c r="JI27" i="20"/>
  <c r="JI28" i="20"/>
  <c r="JI29" i="20"/>
  <c r="JI30" i="20"/>
  <c r="JI31" i="20"/>
  <c r="JI32" i="20"/>
  <c r="JI33" i="20"/>
  <c r="JI34" i="20"/>
  <c r="JI35" i="20"/>
  <c r="JI36" i="20"/>
  <c r="JI7" i="20"/>
  <c r="JK5" i="20"/>
  <c r="JL5" i="20"/>
  <c r="JM5" i="20"/>
  <c r="JN5" i="20"/>
  <c r="JO5" i="20"/>
  <c r="JP5" i="20"/>
  <c r="JQ5" i="20"/>
  <c r="JR5" i="20"/>
  <c r="JS5" i="20"/>
  <c r="JT5" i="20"/>
  <c r="JU5" i="20"/>
  <c r="JV5" i="20"/>
  <c r="KE5" i="20"/>
  <c r="KF5" i="20"/>
  <c r="KG5" i="20"/>
  <c r="KH5" i="20"/>
  <c r="JJ5" i="20"/>
  <c r="JO36" i="21"/>
  <c r="JO35" i="21"/>
  <c r="JO34" i="21"/>
  <c r="JO33" i="21"/>
  <c r="JO32" i="21"/>
  <c r="JO31" i="21"/>
  <c r="JO30" i="21"/>
  <c r="JO29" i="21"/>
  <c r="JO28" i="21"/>
  <c r="JO27" i="21"/>
  <c r="JO26" i="21"/>
  <c r="JO25" i="21"/>
  <c r="JO24" i="21"/>
  <c r="JO23" i="21"/>
  <c r="JO22" i="21"/>
  <c r="JO21" i="21"/>
  <c r="JO20" i="21"/>
  <c r="JO19" i="21"/>
  <c r="JO18" i="21"/>
  <c r="JO17" i="21"/>
  <c r="JO16" i="21"/>
  <c r="JV15" i="21"/>
  <c r="JO15" i="21"/>
  <c r="JV14" i="21"/>
  <c r="JO14" i="21"/>
  <c r="JV13" i="21"/>
  <c r="JO13" i="21"/>
  <c r="JV12" i="21"/>
  <c r="JO12" i="21"/>
  <c r="JV11" i="21"/>
  <c r="JO11" i="21"/>
  <c r="JV10" i="21"/>
  <c r="JV9" i="21"/>
  <c r="JV8" i="21"/>
  <c r="JV7" i="21"/>
  <c r="JR7" i="21"/>
  <c r="JS7" i="21" s="1"/>
  <c r="JM7" i="21"/>
  <c r="JM8" i="21" s="1"/>
  <c r="JM9" i="21" s="1"/>
  <c r="JM10" i="21" s="1"/>
  <c r="JM11" i="21" s="1"/>
  <c r="JM12" i="21" s="1"/>
  <c r="JM13" i="21" s="1"/>
  <c r="JM14" i="21" s="1"/>
  <c r="JM15" i="21" s="1"/>
  <c r="JM16" i="21" s="1"/>
  <c r="JM17" i="21" s="1"/>
  <c r="JM18" i="21" s="1"/>
  <c r="JM19" i="21" s="1"/>
  <c r="JM20" i="21" s="1"/>
  <c r="JM21" i="21" s="1"/>
  <c r="JM22" i="21" s="1"/>
  <c r="JM23" i="21" s="1"/>
  <c r="JM24" i="21" s="1"/>
  <c r="JM25" i="21" s="1"/>
  <c r="JM26" i="21" s="1"/>
  <c r="JM27" i="21" s="1"/>
  <c r="JM28" i="21" s="1"/>
  <c r="JM29" i="21" s="1"/>
  <c r="JM30" i="21" s="1"/>
  <c r="JM31" i="21" s="1"/>
  <c r="JM32" i="21" s="1"/>
  <c r="JM33" i="21" s="1"/>
  <c r="JM34" i="21" s="1"/>
  <c r="JM35" i="21" s="1"/>
  <c r="JM36" i="21" s="1"/>
  <c r="JJ7" i="21"/>
  <c r="JN7" i="21" s="1"/>
  <c r="JZ7" i="21" s="1"/>
  <c r="KA7" i="21" s="1"/>
  <c r="JJ8" i="21"/>
  <c r="JN8" i="21" s="1"/>
  <c r="JZ8" i="21" s="1"/>
  <c r="KA8" i="21" s="1"/>
  <c r="JJ9" i="21"/>
  <c r="JN9" i="21" s="1"/>
  <c r="JZ9" i="21" s="1"/>
  <c r="KA9" i="21" s="1"/>
  <c r="JJ10" i="21"/>
  <c r="JN10" i="21" s="1"/>
  <c r="JZ10" i="21" s="1"/>
  <c r="KA10" i="21" s="1"/>
  <c r="JI8" i="21"/>
  <c r="JI9" i="21"/>
  <c r="JI10" i="21"/>
  <c r="JI11" i="21"/>
  <c r="JI12" i="21"/>
  <c r="JI13" i="21"/>
  <c r="JI14" i="21"/>
  <c r="JI15" i="21"/>
  <c r="JI16" i="21"/>
  <c r="JI17" i="21"/>
  <c r="JI18" i="21"/>
  <c r="JI19" i="21"/>
  <c r="JI20" i="21"/>
  <c r="JI21" i="21"/>
  <c r="JI22" i="21"/>
  <c r="JI23" i="21"/>
  <c r="JI24" i="21"/>
  <c r="JI25" i="21"/>
  <c r="JI26" i="21"/>
  <c r="JI27" i="21"/>
  <c r="JI28" i="21"/>
  <c r="JI29" i="21"/>
  <c r="JI30" i="21"/>
  <c r="JI31" i="21"/>
  <c r="JI32" i="21"/>
  <c r="JI33" i="21"/>
  <c r="JI34" i="21"/>
  <c r="JI35" i="21"/>
  <c r="JI36" i="21"/>
  <c r="JI7" i="21"/>
  <c r="JK5" i="21"/>
  <c r="JL5" i="21"/>
  <c r="JM5" i="21"/>
  <c r="JN5" i="21"/>
  <c r="JO5" i="21"/>
  <c r="JP5" i="21"/>
  <c r="JQ5" i="21"/>
  <c r="JR5" i="21"/>
  <c r="JS5" i="21"/>
  <c r="JT5" i="21"/>
  <c r="JU5" i="21"/>
  <c r="JV5" i="21"/>
  <c r="KE5" i="21"/>
  <c r="KF5" i="21"/>
  <c r="KG5" i="21"/>
  <c r="KH5" i="21"/>
  <c r="JJ5" i="21"/>
  <c r="JO36" i="18"/>
  <c r="JO35" i="18"/>
  <c r="JO34" i="18"/>
  <c r="JO33" i="18"/>
  <c r="JO32" i="18"/>
  <c r="JO31" i="18"/>
  <c r="JO30" i="18"/>
  <c r="JO29" i="18"/>
  <c r="JO28" i="18"/>
  <c r="JO27" i="18"/>
  <c r="JO26" i="18"/>
  <c r="JO25" i="18"/>
  <c r="JO24" i="18"/>
  <c r="JO23" i="18"/>
  <c r="JO22" i="18"/>
  <c r="JO21" i="18"/>
  <c r="JO20" i="18"/>
  <c r="JO19" i="18"/>
  <c r="JO18" i="18"/>
  <c r="JO17" i="18"/>
  <c r="JO16" i="18"/>
  <c r="JV15" i="18"/>
  <c r="JO15" i="18"/>
  <c r="JV14" i="18"/>
  <c r="JO14" i="18"/>
  <c r="JV13" i="18"/>
  <c r="JO13" i="18"/>
  <c r="JV12" i="18"/>
  <c r="JO12" i="18"/>
  <c r="JV11" i="18"/>
  <c r="JO11" i="18"/>
  <c r="JV10" i="18"/>
  <c r="JV9" i="18"/>
  <c r="JV8" i="18"/>
  <c r="JV7" i="18"/>
  <c r="JR7" i="18"/>
  <c r="JR8" i="18" s="1"/>
  <c r="JM7" i="18"/>
  <c r="JM8" i="18" s="1"/>
  <c r="JM9" i="18" s="1"/>
  <c r="JM10" i="18" s="1"/>
  <c r="JM11" i="18" s="1"/>
  <c r="JM12" i="18" s="1"/>
  <c r="JM13" i="18" s="1"/>
  <c r="JM14" i="18" s="1"/>
  <c r="JM15" i="18" s="1"/>
  <c r="JM16" i="18" s="1"/>
  <c r="JM17" i="18" s="1"/>
  <c r="JM18" i="18" s="1"/>
  <c r="JM19" i="18" s="1"/>
  <c r="JM20" i="18" s="1"/>
  <c r="JM21" i="18" s="1"/>
  <c r="JM22" i="18" s="1"/>
  <c r="JM23" i="18" s="1"/>
  <c r="JM24" i="18" s="1"/>
  <c r="JM25" i="18" s="1"/>
  <c r="JM26" i="18" s="1"/>
  <c r="JM27" i="18" s="1"/>
  <c r="JM28" i="18" s="1"/>
  <c r="JM29" i="18" s="1"/>
  <c r="JM30" i="18" s="1"/>
  <c r="JM31" i="18" s="1"/>
  <c r="JM32" i="18" s="1"/>
  <c r="JM33" i="18" s="1"/>
  <c r="JM34" i="18" s="1"/>
  <c r="JM35" i="18" s="1"/>
  <c r="JM36" i="18" s="1"/>
  <c r="JJ7" i="18"/>
  <c r="JN7" i="18" s="1"/>
  <c r="JZ7" i="18" s="1"/>
  <c r="KA7" i="18" s="1"/>
  <c r="JJ8" i="18"/>
  <c r="JN8" i="18" s="1"/>
  <c r="JZ8" i="18" s="1"/>
  <c r="KA8" i="18" s="1"/>
  <c r="JJ9" i="18"/>
  <c r="JN9" i="18" s="1"/>
  <c r="JZ9" i="18" s="1"/>
  <c r="KA9" i="18" s="1"/>
  <c r="JJ10" i="18"/>
  <c r="JN10" i="18" s="1"/>
  <c r="JZ10" i="18" s="1"/>
  <c r="KA10" i="18" s="1"/>
  <c r="JI8" i="18"/>
  <c r="JI9" i="18"/>
  <c r="JI10" i="18"/>
  <c r="JI11" i="18"/>
  <c r="JI12" i="18"/>
  <c r="JI13" i="18"/>
  <c r="JI14" i="18"/>
  <c r="JI15" i="18"/>
  <c r="JI16" i="18"/>
  <c r="JI17" i="18"/>
  <c r="JI18" i="18"/>
  <c r="JI19" i="18"/>
  <c r="JI20" i="18"/>
  <c r="JI21" i="18"/>
  <c r="JI22" i="18"/>
  <c r="JI23" i="18"/>
  <c r="JI24" i="18"/>
  <c r="JI25" i="18"/>
  <c r="JI26" i="18"/>
  <c r="JI27" i="18"/>
  <c r="JI28" i="18"/>
  <c r="JI29" i="18"/>
  <c r="JI30" i="18"/>
  <c r="JI31" i="18"/>
  <c r="JI32" i="18"/>
  <c r="JI33" i="18"/>
  <c r="JI34" i="18"/>
  <c r="JI35" i="18"/>
  <c r="JI36" i="18"/>
  <c r="JI7" i="18"/>
  <c r="KF5" i="18"/>
  <c r="KG5" i="18"/>
  <c r="KH5" i="18"/>
  <c r="JK5" i="18"/>
  <c r="JL5" i="18"/>
  <c r="JM5" i="18"/>
  <c r="JN5" i="18"/>
  <c r="JO5" i="18"/>
  <c r="JP5" i="18"/>
  <c r="JQ5" i="18"/>
  <c r="JR5" i="18"/>
  <c r="JS5" i="18"/>
  <c r="JT5" i="18"/>
  <c r="JU5" i="18"/>
  <c r="JV5" i="18"/>
  <c r="KE5" i="18"/>
  <c r="JJ5" i="18"/>
  <c r="JW7" i="18" l="1"/>
  <c r="KD7" i="18" s="1"/>
  <c r="JX7" i="18" s="1"/>
  <c r="JY7" i="18" s="1"/>
  <c r="KB7" i="18" s="1"/>
  <c r="KC7" i="18"/>
  <c r="JW9" i="21"/>
  <c r="KD9" i="21" s="1"/>
  <c r="JX9" i="21" s="1"/>
  <c r="JY9" i="21" s="1"/>
  <c r="KB9" i="21" s="1"/>
  <c r="KC9" i="21"/>
  <c r="JW10" i="20"/>
  <c r="KD10" i="20" s="1"/>
  <c r="KC10" i="20"/>
  <c r="JW8" i="20"/>
  <c r="KD8" i="20" s="1"/>
  <c r="JX8" i="20" s="1"/>
  <c r="JY8" i="20" s="1"/>
  <c r="KB8" i="20" s="1"/>
  <c r="KC8" i="20"/>
  <c r="JW8" i="21"/>
  <c r="KD8" i="21" s="1"/>
  <c r="JX8" i="21" s="1"/>
  <c r="JY8" i="21" s="1"/>
  <c r="KB8" i="21" s="1"/>
  <c r="KC8" i="21"/>
  <c r="JW9" i="20"/>
  <c r="KD9" i="20" s="1"/>
  <c r="JX9" i="20" s="1"/>
  <c r="JY9" i="20" s="1"/>
  <c r="KB9" i="20" s="1"/>
  <c r="KC9" i="20"/>
  <c r="JW10" i="18"/>
  <c r="KD10" i="18" s="1"/>
  <c r="JX10" i="18" s="1"/>
  <c r="JY10" i="18" s="1"/>
  <c r="KB10" i="18" s="1"/>
  <c r="KC10" i="18"/>
  <c r="JW8" i="18"/>
  <c r="KD8" i="18" s="1"/>
  <c r="JX8" i="18" s="1"/>
  <c r="JY8" i="18" s="1"/>
  <c r="KB8" i="18" s="1"/>
  <c r="KC8" i="18"/>
  <c r="JW7" i="21"/>
  <c r="KD7" i="21" s="1"/>
  <c r="JX7" i="21" s="1"/>
  <c r="JY7" i="21" s="1"/>
  <c r="KB7" i="21" s="1"/>
  <c r="KC7" i="21"/>
  <c r="JX10" i="20"/>
  <c r="JY10" i="20" s="1"/>
  <c r="KB10" i="20" s="1"/>
  <c r="JW7" i="20"/>
  <c r="KD7" i="20" s="1"/>
  <c r="JX7" i="20" s="1"/>
  <c r="JY7" i="20" s="1"/>
  <c r="KB7" i="20" s="1"/>
  <c r="KC7" i="20"/>
  <c r="JW9" i="18"/>
  <c r="KD9" i="18" s="1"/>
  <c r="JX9" i="18" s="1"/>
  <c r="JY9" i="18" s="1"/>
  <c r="KB9" i="18" s="1"/>
  <c r="KC9" i="18"/>
  <c r="JW10" i="21"/>
  <c r="KD10" i="21" s="1"/>
  <c r="JX10" i="21" s="1"/>
  <c r="JY10" i="21" s="1"/>
  <c r="KB10" i="21" s="1"/>
  <c r="KC10" i="21"/>
  <c r="JR8" i="20"/>
  <c r="JS7" i="20"/>
  <c r="JK7" i="20" s="1"/>
  <c r="JU7" i="21"/>
  <c r="JR8" i="21"/>
  <c r="JK7" i="21"/>
  <c r="JS7" i="18"/>
  <c r="JU7" i="18" s="1"/>
  <c r="JS8" i="18"/>
  <c r="JR9" i="18"/>
  <c r="MP5" i="10"/>
  <c r="MO5" i="10"/>
  <c r="MN5" i="10"/>
  <c r="MM5" i="10"/>
  <c r="MD5" i="10"/>
  <c r="MC5" i="10"/>
  <c r="MB5" i="10"/>
  <c r="MA5" i="10"/>
  <c r="LZ5" i="10"/>
  <c r="LY5" i="10"/>
  <c r="LX5" i="10"/>
  <c r="LW5" i="10"/>
  <c r="LV5" i="10"/>
  <c r="LU5" i="10"/>
  <c r="LT5" i="10"/>
  <c r="LS5" i="10"/>
  <c r="LR5" i="10"/>
  <c r="LQ36" i="10"/>
  <c r="LQ35" i="10"/>
  <c r="LQ34" i="10"/>
  <c r="LQ33" i="10"/>
  <c r="LQ32" i="10"/>
  <c r="LQ31" i="10"/>
  <c r="LQ30" i="10"/>
  <c r="LQ29" i="10"/>
  <c r="LQ28" i="10"/>
  <c r="LQ27" i="10"/>
  <c r="LQ26" i="10"/>
  <c r="LQ25" i="10"/>
  <c r="LQ24" i="10"/>
  <c r="LQ23" i="10"/>
  <c r="LQ22" i="10"/>
  <c r="LQ21" i="10"/>
  <c r="LQ20" i="10"/>
  <c r="LQ19" i="10"/>
  <c r="LQ18" i="10"/>
  <c r="LQ17" i="10"/>
  <c r="LQ16" i="10"/>
  <c r="LQ15" i="10"/>
  <c r="LQ14" i="10"/>
  <c r="LQ13" i="10"/>
  <c r="LQ12" i="10"/>
  <c r="LQ11" i="10"/>
  <c r="LQ10" i="10"/>
  <c r="LQ9" i="10"/>
  <c r="LQ8" i="10"/>
  <c r="LQ7" i="10"/>
  <c r="LR7" i="10"/>
  <c r="LV7" i="10" s="1"/>
  <c r="MH7" i="10" s="1"/>
  <c r="MI7" i="10" s="1"/>
  <c r="LU7" i="10"/>
  <c r="LU8" i="10" s="1"/>
  <c r="LU9" i="10" s="1"/>
  <c r="LU10" i="10" s="1"/>
  <c r="LU11" i="10" s="1"/>
  <c r="LU12" i="10" s="1"/>
  <c r="LU13" i="10" s="1"/>
  <c r="LU14" i="10" s="1"/>
  <c r="LU15" i="10" s="1"/>
  <c r="LU16" i="10" s="1"/>
  <c r="LU17" i="10" s="1"/>
  <c r="LU18" i="10" s="1"/>
  <c r="LU19" i="10" s="1"/>
  <c r="LU20" i="10" s="1"/>
  <c r="LU21" i="10" s="1"/>
  <c r="LU22" i="10" s="1"/>
  <c r="LU23" i="10" s="1"/>
  <c r="LU24" i="10" s="1"/>
  <c r="LU25" i="10" s="1"/>
  <c r="LU26" i="10" s="1"/>
  <c r="LU27" i="10" s="1"/>
  <c r="LU28" i="10" s="1"/>
  <c r="LU29" i="10" s="1"/>
  <c r="LU30" i="10" s="1"/>
  <c r="LU31" i="10" s="1"/>
  <c r="LU32" i="10" s="1"/>
  <c r="LU33" i="10" s="1"/>
  <c r="LU34" i="10" s="1"/>
  <c r="LU35" i="10" s="1"/>
  <c r="LU36" i="10" s="1"/>
  <c r="LZ7" i="10"/>
  <c r="LZ8" i="10" s="1"/>
  <c r="LZ9" i="10" s="1"/>
  <c r="LZ10" i="10" s="1"/>
  <c r="MD7" i="10"/>
  <c r="LR8" i="10"/>
  <c r="MD8" i="10"/>
  <c r="LR9" i="10"/>
  <c r="LV9" i="10" s="1"/>
  <c r="MH9" i="10" s="1"/>
  <c r="MI9" i="10" s="1"/>
  <c r="MD9" i="10"/>
  <c r="LR10" i="10"/>
  <c r="MD10" i="10"/>
  <c r="LW11" i="10"/>
  <c r="MD11" i="10"/>
  <c r="LW12" i="10"/>
  <c r="MD12" i="10"/>
  <c r="LW13" i="10"/>
  <c r="MD13" i="10"/>
  <c r="LW14" i="10"/>
  <c r="LW15" i="10"/>
  <c r="LW16" i="10"/>
  <c r="LW17" i="10"/>
  <c r="LW18" i="10"/>
  <c r="LW19" i="10"/>
  <c r="LW20" i="10"/>
  <c r="LW21" i="10"/>
  <c r="LW22" i="10"/>
  <c r="LW23" i="10"/>
  <c r="LW24" i="10"/>
  <c r="LW25" i="10"/>
  <c r="LW26" i="10"/>
  <c r="LW27" i="10"/>
  <c r="LW28" i="10"/>
  <c r="LW29" i="10"/>
  <c r="LW30" i="10"/>
  <c r="LW31" i="10"/>
  <c r="LW32" i="10"/>
  <c r="LW33" i="10"/>
  <c r="LW34" i="10"/>
  <c r="LW35" i="10"/>
  <c r="LW36" i="10"/>
  <c r="ME9" i="10" l="1"/>
  <c r="ML9" i="10" s="1"/>
  <c r="MF9" i="10" s="1"/>
  <c r="MG9" i="10" s="1"/>
  <c r="MJ9" i="10" s="1"/>
  <c r="MK9" i="10"/>
  <c r="ME7" i="10"/>
  <c r="ML7" i="10" s="1"/>
  <c r="MF7" i="10" s="1"/>
  <c r="MG7" i="10" s="1"/>
  <c r="MJ7" i="10" s="1"/>
  <c r="MK7" i="10"/>
  <c r="MA8" i="10"/>
  <c r="LS8" i="10" s="1"/>
  <c r="LW8" i="10" s="1"/>
  <c r="JK7" i="18"/>
  <c r="JO7" i="18" s="1"/>
  <c r="KE7" i="18" s="1"/>
  <c r="JU8" i="18"/>
  <c r="JO7" i="20"/>
  <c r="KE7" i="20" s="1"/>
  <c r="JL7" i="20"/>
  <c r="JR9" i="20"/>
  <c r="JS8" i="20"/>
  <c r="JK8" i="20" s="1"/>
  <c r="JU7" i="20"/>
  <c r="JO7" i="21"/>
  <c r="KE7" i="21" s="1"/>
  <c r="JL7" i="21"/>
  <c r="JS8" i="21"/>
  <c r="JK8" i="21" s="1"/>
  <c r="JR9" i="21"/>
  <c r="JS9" i="18"/>
  <c r="JK9" i="18" s="1"/>
  <c r="JR10" i="18"/>
  <c r="JK8" i="18"/>
  <c r="LV10" i="10"/>
  <c r="MH10" i="10" s="1"/>
  <c r="MI10" i="10" s="1"/>
  <c r="MA9" i="10"/>
  <c r="LS9" i="10" s="1"/>
  <c r="LW9" i="10" s="1"/>
  <c r="MA10" i="10"/>
  <c r="LS10" i="10" s="1"/>
  <c r="LW10" i="10" s="1"/>
  <c r="LZ11" i="10"/>
  <c r="LV8" i="10"/>
  <c r="MH8" i="10" s="1"/>
  <c r="MI8" i="10" s="1"/>
  <c r="MA7" i="10"/>
  <c r="LS7" i="10" s="1"/>
  <c r="LW7" i="10" s="1"/>
  <c r="KF7" i="21" l="1"/>
  <c r="KF7" i="18"/>
  <c r="KG7" i="18" s="1"/>
  <c r="KH7" i="18" s="1"/>
  <c r="KI7" i="18" s="1"/>
  <c r="P7" i="28" s="1"/>
  <c r="H1652" i="31" s="1"/>
  <c r="KF7" i="20"/>
  <c r="KG7" i="20" s="1"/>
  <c r="KH7" i="20" s="1"/>
  <c r="KI7" i="20" s="1"/>
  <c r="P7" i="30" s="1"/>
  <c r="H1712" i="31" s="1"/>
  <c r="MN7" i="10"/>
  <c r="MO7" i="10" s="1"/>
  <c r="MP7" i="10" s="1"/>
  <c r="MQ7" i="10" s="1"/>
  <c r="R7" i="25" s="1"/>
  <c r="H1622" i="31" s="1"/>
  <c r="MM7" i="10"/>
  <c r="MM9" i="10"/>
  <c r="MN9" i="10"/>
  <c r="MO9" i="10" s="1"/>
  <c r="MP9" i="10" s="1"/>
  <c r="ME8" i="10"/>
  <c r="ML8" i="10" s="1"/>
  <c r="MF8" i="10" s="1"/>
  <c r="MG8" i="10" s="1"/>
  <c r="MJ8" i="10" s="1"/>
  <c r="MK8" i="10"/>
  <c r="ME10" i="10"/>
  <c r="ML10" i="10" s="1"/>
  <c r="MF10" i="10" s="1"/>
  <c r="MG10" i="10" s="1"/>
  <c r="MJ10" i="10" s="1"/>
  <c r="MK10" i="10"/>
  <c r="JL7" i="18"/>
  <c r="LT8" i="10"/>
  <c r="JU8" i="20"/>
  <c r="JO8" i="20"/>
  <c r="JL8" i="20"/>
  <c r="JR10" i="20"/>
  <c r="JS9" i="20"/>
  <c r="JK9" i="20" s="1"/>
  <c r="JU8" i="21"/>
  <c r="JO8" i="21"/>
  <c r="JL8" i="21"/>
  <c r="JR10" i="21"/>
  <c r="JS9" i="21"/>
  <c r="JK9" i="21" s="1"/>
  <c r="KG7" i="21"/>
  <c r="KH7" i="21" s="1"/>
  <c r="KI7" i="21" s="1"/>
  <c r="P7" i="29" s="1"/>
  <c r="H1682" i="31" s="1"/>
  <c r="JO9" i="18"/>
  <c r="JL9" i="18"/>
  <c r="JO8" i="18"/>
  <c r="JL8" i="18"/>
  <c r="JR11" i="18"/>
  <c r="JS10" i="18"/>
  <c r="JK10" i="18" s="1"/>
  <c r="JU9" i="18"/>
  <c r="LT10" i="10"/>
  <c r="MC7" i="10"/>
  <c r="MC8" i="10" s="1"/>
  <c r="MC9" i="10" s="1"/>
  <c r="MC10" i="10" s="1"/>
  <c r="LZ12" i="10" s="1"/>
  <c r="LT9" i="10"/>
  <c r="LT7" i="10"/>
  <c r="KE8" i="18" l="1"/>
  <c r="KF8" i="18"/>
  <c r="KE8" i="20"/>
  <c r="KF8" i="20"/>
  <c r="KG8" i="20" s="1"/>
  <c r="KH8" i="20" s="1"/>
  <c r="KI8" i="20" s="1"/>
  <c r="P8" i="30" s="1"/>
  <c r="H1713" i="31" s="1"/>
  <c r="KF8" i="21"/>
  <c r="KE8" i="21"/>
  <c r="KE9" i="18"/>
  <c r="KF9" i="18"/>
  <c r="KG9" i="18" s="1"/>
  <c r="KH9" i="18" s="1"/>
  <c r="MM10" i="10"/>
  <c r="MN10" i="10"/>
  <c r="MO10" i="10" s="1"/>
  <c r="MP10" i="10" s="1"/>
  <c r="MN8" i="10"/>
  <c r="MO8" i="10" s="1"/>
  <c r="MP8" i="10" s="1"/>
  <c r="MQ8" i="10" s="1"/>
  <c r="MM8" i="10"/>
  <c r="MA11" i="10"/>
  <c r="MC11" i="10" s="1"/>
  <c r="MA12" i="10"/>
  <c r="LZ13" i="10"/>
  <c r="MA13" i="10" s="1"/>
  <c r="JU9" i="20"/>
  <c r="JL9" i="20"/>
  <c r="JO9" i="20"/>
  <c r="JR11" i="20"/>
  <c r="JS10" i="20"/>
  <c r="JK10" i="20" s="1"/>
  <c r="KG8" i="21"/>
  <c r="KH8" i="21" s="1"/>
  <c r="KI8" i="21" s="1"/>
  <c r="P8" i="29" s="1"/>
  <c r="H1683" i="31" s="1"/>
  <c r="JS10" i="21"/>
  <c r="JK10" i="21" s="1"/>
  <c r="JR11" i="21"/>
  <c r="JO9" i="21"/>
  <c r="JL9" i="21"/>
  <c r="JU9" i="21"/>
  <c r="JL10" i="18"/>
  <c r="JO10" i="18"/>
  <c r="JU10" i="18"/>
  <c r="KG8" i="18"/>
  <c r="KH8" i="18" s="1"/>
  <c r="KI8" i="18" s="1"/>
  <c r="P8" i="28" s="1"/>
  <c r="H1653" i="31" s="1"/>
  <c r="KE9" i="20" l="1"/>
  <c r="KF9" i="20"/>
  <c r="KE10" i="18"/>
  <c r="KF10" i="18"/>
  <c r="KF9" i="21"/>
  <c r="KG9" i="21" s="1"/>
  <c r="KH9" i="21" s="1"/>
  <c r="KI9" i="21" s="1"/>
  <c r="P9" i="29" s="1"/>
  <c r="H1684" i="31" s="1"/>
  <c r="KE9" i="21"/>
  <c r="MC12" i="10"/>
  <c r="MC13" i="10" s="1"/>
  <c r="LZ14" i="10" s="1"/>
  <c r="MA14" i="10" s="1"/>
  <c r="MQ9" i="10"/>
  <c r="R8" i="25"/>
  <c r="H1623" i="31" s="1"/>
  <c r="KG9" i="20"/>
  <c r="KH9" i="20" s="1"/>
  <c r="KI9" i="20" s="1"/>
  <c r="P9" i="30" s="1"/>
  <c r="H1714" i="31" s="1"/>
  <c r="JL10" i="20"/>
  <c r="JO10" i="20"/>
  <c r="JU10" i="20"/>
  <c r="JL10" i="21"/>
  <c r="JO10" i="21"/>
  <c r="JU10" i="21"/>
  <c r="KI9" i="18"/>
  <c r="P9" i="28" s="1"/>
  <c r="H1654" i="31" s="1"/>
  <c r="JR12" i="18"/>
  <c r="JS11" i="18"/>
  <c r="JU11" i="18" s="1"/>
  <c r="KG10" i="18"/>
  <c r="KH10" i="18" s="1"/>
  <c r="KE10" i="20" l="1"/>
  <c r="KF10" i="20"/>
  <c r="KG10" i="20" s="1"/>
  <c r="KH10" i="20" s="1"/>
  <c r="KI10" i="20" s="1"/>
  <c r="KF10" i="21"/>
  <c r="KG10" i="21" s="1"/>
  <c r="KH10" i="21" s="1"/>
  <c r="KI10" i="21" s="1"/>
  <c r="KE10" i="21"/>
  <c r="JS12" i="18"/>
  <c r="JU12" i="18" s="1"/>
  <c r="JR14" i="18"/>
  <c r="JS14" i="18" s="1"/>
  <c r="JR13" i="18"/>
  <c r="MQ10" i="10"/>
  <c r="R9" i="25"/>
  <c r="H1624" i="31" s="1"/>
  <c r="JR12" i="20"/>
  <c r="JS11" i="20"/>
  <c r="JU11" i="20" s="1"/>
  <c r="JR12" i="21"/>
  <c r="JS11" i="21"/>
  <c r="JU11" i="21" s="1"/>
  <c r="KI10" i="18"/>
  <c r="JS12" i="21" l="1"/>
  <c r="JU12" i="21" s="1"/>
  <c r="JR15" i="21"/>
  <c r="JS15" i="21" s="1"/>
  <c r="JR13" i="21"/>
  <c r="JS13" i="21" s="1"/>
  <c r="JR14" i="21"/>
  <c r="JS14" i="21" s="1"/>
  <c r="JS12" i="20"/>
  <c r="JU12" i="20" s="1"/>
  <c r="JR13" i="20"/>
  <c r="JS13" i="20" s="1"/>
  <c r="JR14" i="20"/>
  <c r="JS14" i="20" s="1"/>
  <c r="JS13" i="18"/>
  <c r="JU13" i="18" s="1"/>
  <c r="JU14" i="18" s="1"/>
  <c r="JR15" i="18"/>
  <c r="JS15" i="18" s="1"/>
  <c r="P10" i="30"/>
  <c r="H1715" i="31" s="1"/>
  <c r="P10" i="29"/>
  <c r="H1685" i="31" s="1"/>
  <c r="P10" i="28"/>
  <c r="H1655" i="31" s="1"/>
  <c r="R10" i="25"/>
  <c r="H1625" i="31" s="1"/>
  <c r="JU13" i="20" l="1"/>
  <c r="JU14" i="20" s="1"/>
  <c r="JR15" i="20" s="1"/>
  <c r="JS15" i="20" s="1"/>
  <c r="JU15" i="18"/>
  <c r="JR16" i="18" s="1"/>
  <c r="JS16" i="18" s="1"/>
  <c r="JU13" i="21"/>
  <c r="JU14" i="21" s="1"/>
  <c r="JU15" i="21" s="1"/>
  <c r="JR16" i="21" s="1"/>
  <c r="JS16" i="21" s="1"/>
  <c r="D1621" i="31" l="1"/>
  <c r="E1621" i="31" s="1"/>
  <c r="D1620" i="31"/>
  <c r="E1620" i="31" s="1"/>
  <c r="D1619" i="31"/>
  <c r="E1619" i="31" s="1"/>
  <c r="D1618" i="31"/>
  <c r="E1618" i="31" s="1"/>
  <c r="D1617" i="31"/>
  <c r="E1617" i="31" s="1"/>
  <c r="D1616" i="31"/>
  <c r="E1616" i="31" s="1"/>
  <c r="D1615" i="31"/>
  <c r="E1615" i="31" s="1"/>
  <c r="D1614" i="31"/>
  <c r="E1614" i="31" s="1"/>
  <c r="D1613" i="31"/>
  <c r="E1613" i="31" s="1"/>
  <c r="D1612" i="31"/>
  <c r="E1612" i="31" s="1"/>
  <c r="D1611" i="31"/>
  <c r="E1611" i="31" s="1"/>
  <c r="D1610" i="31"/>
  <c r="E1610" i="31" s="1"/>
  <c r="D1609" i="31"/>
  <c r="E1609" i="31" s="1"/>
  <c r="D1608" i="31"/>
  <c r="E1608" i="31" s="1"/>
  <c r="D1607" i="31"/>
  <c r="E1607" i="31" s="1"/>
  <c r="D1606" i="31"/>
  <c r="E1606" i="31" s="1"/>
  <c r="D1605" i="31"/>
  <c r="E1605" i="31" s="1"/>
  <c r="D1604" i="31"/>
  <c r="E1604" i="31" s="1"/>
  <c r="D1603" i="31"/>
  <c r="E1603" i="31" s="1"/>
  <c r="D1602" i="31"/>
  <c r="E1602" i="31" s="1"/>
  <c r="D1601" i="31"/>
  <c r="E1601" i="31" s="1"/>
  <c r="D1600" i="31"/>
  <c r="E1600" i="31" s="1"/>
  <c r="D1599" i="31"/>
  <c r="E1599" i="31" s="1"/>
  <c r="D1598" i="31"/>
  <c r="E1598" i="31" s="1"/>
  <c r="D1597" i="31"/>
  <c r="E1597" i="31" s="1"/>
  <c r="D1596" i="31"/>
  <c r="E1596" i="31" s="1"/>
  <c r="D1595" i="31"/>
  <c r="E1595" i="31" s="1"/>
  <c r="D1594" i="31"/>
  <c r="E1594" i="31" s="1"/>
  <c r="D1593" i="31"/>
  <c r="E1593" i="31" s="1"/>
  <c r="D1592" i="31"/>
  <c r="E1592" i="31" s="1"/>
  <c r="D1591" i="31"/>
  <c r="E1591" i="31" s="1"/>
  <c r="D1590" i="31"/>
  <c r="E1590" i="31" s="1"/>
  <c r="D1589" i="31"/>
  <c r="E1589" i="31" s="1"/>
  <c r="D1588" i="31"/>
  <c r="E1588" i="31" s="1"/>
  <c r="D1587" i="31"/>
  <c r="E1587" i="31" s="1"/>
  <c r="D1586" i="31"/>
  <c r="E1586" i="31" s="1"/>
  <c r="D1585" i="31"/>
  <c r="E1585" i="31" s="1"/>
  <c r="D1584" i="31"/>
  <c r="E1584" i="31" s="1"/>
  <c r="D1583" i="31"/>
  <c r="E1583" i="31" s="1"/>
  <c r="D1582" i="31"/>
  <c r="E1582" i="31" s="1"/>
  <c r="D1581" i="31"/>
  <c r="E1581" i="31" s="1"/>
  <c r="D1580" i="31"/>
  <c r="E1580" i="31" s="1"/>
  <c r="D1579" i="31"/>
  <c r="E1579" i="31" s="1"/>
  <c r="D1578" i="31"/>
  <c r="E1578" i="31" s="1"/>
  <c r="D1577" i="31"/>
  <c r="E1577" i="31" s="1"/>
  <c r="D1576" i="31"/>
  <c r="E1576" i="31" s="1"/>
  <c r="D1575" i="31"/>
  <c r="E1575" i="31" s="1"/>
  <c r="D1574" i="31"/>
  <c r="E1574" i="31" s="1"/>
  <c r="D1573" i="31"/>
  <c r="E1573" i="31" s="1"/>
  <c r="D1572" i="31"/>
  <c r="E1572" i="31" s="1"/>
  <c r="D1571" i="31"/>
  <c r="E1571" i="31" s="1"/>
  <c r="D1570" i="31"/>
  <c r="E1570" i="31" s="1"/>
  <c r="D1569" i="31"/>
  <c r="E1569" i="31" s="1"/>
  <c r="D1568" i="31"/>
  <c r="E1568" i="31" s="1"/>
  <c r="D1567" i="31"/>
  <c r="E1567" i="31" s="1"/>
  <c r="D1566" i="31"/>
  <c r="E1566" i="31" s="1"/>
  <c r="D1565" i="31"/>
  <c r="E1565" i="31" s="1"/>
  <c r="D1564" i="31"/>
  <c r="E1564" i="31" s="1"/>
  <c r="D1563" i="31"/>
  <c r="E1563" i="31" s="1"/>
  <c r="D1562" i="31"/>
  <c r="E1562" i="31" s="1"/>
  <c r="D1561" i="31"/>
  <c r="E1561" i="31" s="1"/>
  <c r="D1560" i="31"/>
  <c r="E1560" i="31" s="1"/>
  <c r="D1559" i="31"/>
  <c r="E1559" i="31" s="1"/>
  <c r="D1558" i="31"/>
  <c r="E1558" i="31" s="1"/>
  <c r="D1557" i="31"/>
  <c r="E1557" i="31" s="1"/>
  <c r="D1556" i="31"/>
  <c r="E1556" i="31" s="1"/>
  <c r="D1555" i="31"/>
  <c r="E1555" i="31" s="1"/>
  <c r="D1554" i="31"/>
  <c r="E1554" i="31" s="1"/>
  <c r="D1553" i="31"/>
  <c r="E1553" i="31" s="1"/>
  <c r="D1552" i="31"/>
  <c r="E1552" i="31" s="1"/>
  <c r="D1551" i="31"/>
  <c r="E1551" i="31" s="1"/>
  <c r="D1550" i="31"/>
  <c r="E1550" i="31" s="1"/>
  <c r="D1549" i="31"/>
  <c r="E1549" i="31" s="1"/>
  <c r="D1548" i="31"/>
  <c r="E1548" i="31" s="1"/>
  <c r="D1547" i="31"/>
  <c r="E1547" i="31" s="1"/>
  <c r="D1546" i="31"/>
  <c r="E1546" i="31" s="1"/>
  <c r="D1545" i="31"/>
  <c r="E1545" i="31" s="1"/>
  <c r="D1544" i="31"/>
  <c r="E1544" i="31" s="1"/>
  <c r="D1543" i="31"/>
  <c r="E1543" i="31" s="1"/>
  <c r="D1542" i="31"/>
  <c r="E1542" i="31" s="1"/>
  <c r="D1541" i="31"/>
  <c r="E1541" i="31" s="1"/>
  <c r="D1540" i="31"/>
  <c r="E1540" i="31" s="1"/>
  <c r="D1539" i="31"/>
  <c r="E1539" i="31" s="1"/>
  <c r="D1538" i="31"/>
  <c r="E1538" i="31" s="1"/>
  <c r="D1537" i="31"/>
  <c r="E1537" i="31" s="1"/>
  <c r="D1536" i="31"/>
  <c r="E1536" i="31" s="1"/>
  <c r="D1535" i="31"/>
  <c r="E1535" i="31" s="1"/>
  <c r="D1534" i="31"/>
  <c r="E1534" i="31" s="1"/>
  <c r="D1533" i="31"/>
  <c r="E1533" i="31" s="1"/>
  <c r="D1532" i="31"/>
  <c r="E1532" i="31" s="1"/>
  <c r="D1531" i="31"/>
  <c r="E1531" i="31" s="1"/>
  <c r="D1530" i="31"/>
  <c r="E1530" i="31" s="1"/>
  <c r="D1529" i="31"/>
  <c r="E1529" i="31" s="1"/>
  <c r="D1528" i="31"/>
  <c r="E1528" i="31" s="1"/>
  <c r="D1527" i="31"/>
  <c r="E1527" i="31" s="1"/>
  <c r="D1526" i="31"/>
  <c r="E1526" i="31" s="1"/>
  <c r="D1525" i="31"/>
  <c r="E1525" i="31" s="1"/>
  <c r="D1524" i="31"/>
  <c r="E1524" i="31" s="1"/>
  <c r="D1523" i="31"/>
  <c r="E1523" i="31" s="1"/>
  <c r="D1522" i="31"/>
  <c r="E1522" i="31" s="1"/>
  <c r="D1521" i="31"/>
  <c r="E1521" i="31" s="1"/>
  <c r="D1520" i="31"/>
  <c r="E1520" i="31" s="1"/>
  <c r="D1519" i="31"/>
  <c r="E1519" i="31" s="1"/>
  <c r="D1518" i="31"/>
  <c r="E1518" i="31" s="1"/>
  <c r="D1517" i="31"/>
  <c r="E1517" i="31" s="1"/>
  <c r="D1516" i="31"/>
  <c r="E1516" i="31" s="1"/>
  <c r="D1515" i="31"/>
  <c r="E1515" i="31" s="1"/>
  <c r="D1514" i="31"/>
  <c r="E1514" i="31" s="1"/>
  <c r="D1513" i="31"/>
  <c r="E1513" i="31" s="1"/>
  <c r="D1512" i="31"/>
  <c r="E1512" i="31" s="1"/>
  <c r="D1511" i="31"/>
  <c r="E1511" i="31" s="1"/>
  <c r="D1510" i="31"/>
  <c r="E1510" i="31" s="1"/>
  <c r="D1509" i="31"/>
  <c r="E1509" i="31" s="1"/>
  <c r="D1508" i="31"/>
  <c r="E1508" i="31" s="1"/>
  <c r="D1507" i="31"/>
  <c r="E1507" i="31" s="1"/>
  <c r="D1506" i="31"/>
  <c r="E1506" i="31" s="1"/>
  <c r="D1505" i="31"/>
  <c r="E1505" i="31" s="1"/>
  <c r="D1504" i="31"/>
  <c r="E1504" i="31" s="1"/>
  <c r="D1503" i="31"/>
  <c r="E1503" i="31" s="1"/>
  <c r="D1502" i="31"/>
  <c r="E1502" i="31" s="1"/>
  <c r="D1501" i="31"/>
  <c r="E1501" i="31" s="1"/>
  <c r="D1500" i="31"/>
  <c r="E1500" i="31" s="1"/>
  <c r="D1499" i="31"/>
  <c r="E1499" i="31" s="1"/>
  <c r="D1498" i="31"/>
  <c r="E1498" i="31" s="1"/>
  <c r="D1497" i="31"/>
  <c r="E1497" i="31" s="1"/>
  <c r="D1496" i="31"/>
  <c r="E1496" i="31" s="1"/>
  <c r="D1495" i="31"/>
  <c r="E1495" i="31" s="1"/>
  <c r="D1494" i="31"/>
  <c r="D1493" i="31"/>
  <c r="E1493" i="31" s="1"/>
  <c r="D1492" i="31"/>
  <c r="E1492" i="31" s="1"/>
  <c r="D1491" i="31"/>
  <c r="E1491" i="31" s="1"/>
  <c r="D1490" i="31"/>
  <c r="E1490" i="31" s="1"/>
  <c r="D1489" i="31"/>
  <c r="E1489" i="31" s="1"/>
  <c r="D1488" i="31"/>
  <c r="E1488" i="31" s="1"/>
  <c r="D1487" i="31"/>
  <c r="E1487" i="31" s="1"/>
  <c r="D1486" i="31"/>
  <c r="E1486" i="31" s="1"/>
  <c r="D1485" i="31"/>
  <c r="E1485" i="31" s="1"/>
  <c r="D1484" i="31"/>
  <c r="E1484" i="31" s="1"/>
  <c r="D1483" i="31"/>
  <c r="E1483" i="31" s="1"/>
  <c r="D1482" i="31"/>
  <c r="E1482" i="31" s="1"/>
  <c r="D1481" i="31"/>
  <c r="E1481" i="31" s="1"/>
  <c r="D1480" i="31"/>
  <c r="E1480" i="31" s="1"/>
  <c r="D1479" i="31"/>
  <c r="E1479" i="31" s="1"/>
  <c r="D1478" i="31"/>
  <c r="E1478" i="31" s="1"/>
  <c r="D1477" i="31"/>
  <c r="E1477" i="31" s="1"/>
  <c r="D1476" i="31"/>
  <c r="E1476" i="31" s="1"/>
  <c r="D1475" i="31"/>
  <c r="E1475" i="31" s="1"/>
  <c r="D1474" i="31"/>
  <c r="E1474" i="31" s="1"/>
  <c r="D1473" i="31"/>
  <c r="E1473" i="31" s="1"/>
  <c r="D1472" i="31"/>
  <c r="E1472" i="31" s="1"/>
  <c r="D1471" i="31"/>
  <c r="E1471" i="31" s="1"/>
  <c r="D1470" i="31"/>
  <c r="E1470" i="31" s="1"/>
  <c r="D1469" i="31"/>
  <c r="E1469" i="31" s="1"/>
  <c r="D1468" i="31"/>
  <c r="E1468" i="31" s="1"/>
  <c r="D1467" i="31"/>
  <c r="E1467" i="31" s="1"/>
  <c r="D1466" i="31"/>
  <c r="E1466" i="31" s="1"/>
  <c r="D1465" i="31"/>
  <c r="E1465" i="31" s="1"/>
  <c r="D1464" i="31"/>
  <c r="E1464" i="31" s="1"/>
  <c r="D1463" i="31"/>
  <c r="E1463" i="31" s="1"/>
  <c r="D1462" i="31"/>
  <c r="E1462" i="31" s="1"/>
  <c r="D1461" i="31"/>
  <c r="E1461" i="31" s="1"/>
  <c r="D1460" i="31"/>
  <c r="E1460" i="31" s="1"/>
  <c r="D1459" i="31"/>
  <c r="E1459" i="31" s="1"/>
  <c r="D1458" i="31"/>
  <c r="E1458" i="31" s="1"/>
  <c r="D1457" i="31"/>
  <c r="E1457" i="31" s="1"/>
  <c r="D1456" i="31"/>
  <c r="E1456" i="31" s="1"/>
  <c r="D1455" i="31"/>
  <c r="E1455" i="31" s="1"/>
  <c r="D1454" i="31"/>
  <c r="E1454" i="31" s="1"/>
  <c r="D1453" i="31"/>
  <c r="E1453" i="31" s="1"/>
  <c r="D1452" i="31"/>
  <c r="E1452" i="31" s="1"/>
  <c r="D1451" i="31"/>
  <c r="E1451" i="31" s="1"/>
  <c r="D1450" i="31"/>
  <c r="E1450" i="31" s="1"/>
  <c r="D1449" i="31"/>
  <c r="E1449" i="31" s="1"/>
  <c r="D1448" i="31"/>
  <c r="E1448" i="31" s="1"/>
  <c r="D1447" i="31"/>
  <c r="E1447" i="31" s="1"/>
  <c r="D1446" i="31"/>
  <c r="E1446" i="31" s="1"/>
  <c r="D1445" i="31"/>
  <c r="E1445" i="31" s="1"/>
  <c r="D1444" i="31"/>
  <c r="E1444" i="31" s="1"/>
  <c r="D1443" i="31"/>
  <c r="E1443" i="31" s="1"/>
  <c r="D1442" i="31"/>
  <c r="E1442" i="31" s="1"/>
  <c r="D1441" i="31"/>
  <c r="E1441" i="31" s="1"/>
  <c r="D1440" i="31"/>
  <c r="E1440" i="31" s="1"/>
  <c r="D1439" i="31"/>
  <c r="E1439" i="31" s="1"/>
  <c r="D1438" i="31"/>
  <c r="E1438" i="31" s="1"/>
  <c r="D1437" i="31"/>
  <c r="E1437" i="31" s="1"/>
  <c r="D1436" i="31"/>
  <c r="E1436" i="31" s="1"/>
  <c r="D1435" i="31"/>
  <c r="E1435" i="31" s="1"/>
  <c r="D1434" i="31"/>
  <c r="E1434" i="31" s="1"/>
  <c r="D1433" i="31"/>
  <c r="E1433" i="31" s="1"/>
  <c r="D1432" i="31"/>
  <c r="E1432" i="31" s="1"/>
  <c r="D1431" i="31"/>
  <c r="E1431" i="31" s="1"/>
  <c r="D1430" i="31"/>
  <c r="E1430" i="31" s="1"/>
  <c r="D1429" i="31"/>
  <c r="E1429" i="31" s="1"/>
  <c r="D1428" i="31"/>
  <c r="E1428" i="31" s="1"/>
  <c r="D1427" i="31"/>
  <c r="E1427" i="31" s="1"/>
  <c r="D1426" i="31"/>
  <c r="E1426" i="31" s="1"/>
  <c r="D1425" i="31"/>
  <c r="E1425" i="31" s="1"/>
  <c r="D1424" i="31"/>
  <c r="E1424" i="31" s="1"/>
  <c r="D1423" i="31"/>
  <c r="E1423" i="31" s="1"/>
  <c r="D1422" i="31"/>
  <c r="E1422" i="31" s="1"/>
  <c r="D1421" i="31"/>
  <c r="E1421" i="31" s="1"/>
  <c r="D1420" i="31"/>
  <c r="E1420" i="31" s="1"/>
  <c r="D1419" i="31"/>
  <c r="E1419" i="31" s="1"/>
  <c r="D1418" i="31"/>
  <c r="E1418" i="31" s="1"/>
  <c r="D1417" i="31"/>
  <c r="E1417" i="31" s="1"/>
  <c r="D1416" i="31"/>
  <c r="E1416" i="31" s="1"/>
  <c r="D1415" i="31"/>
  <c r="E1415" i="31" s="1"/>
  <c r="D1414" i="31"/>
  <c r="E1414" i="31" s="1"/>
  <c r="D1413" i="31"/>
  <c r="E1413" i="31" s="1"/>
  <c r="D1412" i="31"/>
  <c r="E1412" i="31" s="1"/>
  <c r="D1411" i="31"/>
  <c r="E1411" i="31" s="1"/>
  <c r="D1410" i="31"/>
  <c r="E1410" i="31" s="1"/>
  <c r="D1409" i="31"/>
  <c r="E1409" i="31" s="1"/>
  <c r="D1408" i="31"/>
  <c r="E1408" i="31" s="1"/>
  <c r="D1407" i="31"/>
  <c r="E1407" i="31" s="1"/>
  <c r="D1406" i="31"/>
  <c r="E1406" i="31" s="1"/>
  <c r="D1405" i="31"/>
  <c r="E1405" i="31" s="1"/>
  <c r="D1404" i="31"/>
  <c r="E1404" i="31" s="1"/>
  <c r="D1403" i="31"/>
  <c r="E1403" i="31" s="1"/>
  <c r="D1402" i="31"/>
  <c r="E1402" i="31" s="1"/>
  <c r="D1401" i="31"/>
  <c r="E1401" i="31" s="1"/>
  <c r="D1400" i="31"/>
  <c r="E1400" i="31" s="1"/>
  <c r="D1399" i="31"/>
  <c r="E1399" i="31" s="1"/>
  <c r="D1398" i="31"/>
  <c r="E1398" i="31" s="1"/>
  <c r="D1397" i="31"/>
  <c r="E1397" i="31" s="1"/>
  <c r="D1396" i="31"/>
  <c r="E1396" i="31" s="1"/>
  <c r="D1395" i="31"/>
  <c r="E1395" i="31" s="1"/>
  <c r="D1394" i="31"/>
  <c r="E1394" i="31" s="1"/>
  <c r="D1393" i="31"/>
  <c r="E1393" i="31" s="1"/>
  <c r="D1392" i="31"/>
  <c r="E1392" i="31" s="1"/>
  <c r="D1391" i="31"/>
  <c r="E1391" i="31" s="1"/>
  <c r="D1390" i="31"/>
  <c r="E1390" i="31" s="1"/>
  <c r="D1389" i="31"/>
  <c r="E1389" i="31" s="1"/>
  <c r="D1388" i="31"/>
  <c r="E1388" i="31" s="1"/>
  <c r="D1387" i="31"/>
  <c r="E1387" i="31" s="1"/>
  <c r="D1386" i="31"/>
  <c r="E1386" i="31" s="1"/>
  <c r="D1385" i="31"/>
  <c r="E1385" i="31" s="1"/>
  <c r="D1384" i="31"/>
  <c r="E1384" i="31" s="1"/>
  <c r="D1383" i="31"/>
  <c r="E1383" i="31" s="1"/>
  <c r="D1382" i="31"/>
  <c r="E1382" i="31" s="1"/>
  <c r="D1381" i="31"/>
  <c r="E1381" i="31" s="1"/>
  <c r="D1380" i="31"/>
  <c r="E1380" i="31" s="1"/>
  <c r="D1379" i="31"/>
  <c r="E1379" i="31" s="1"/>
  <c r="D1378" i="31"/>
  <c r="E1378" i="31" s="1"/>
  <c r="D1377" i="31"/>
  <c r="E1377" i="31" s="1"/>
  <c r="D1376" i="31"/>
  <c r="E1376" i="31" s="1"/>
  <c r="D1375" i="31"/>
  <c r="E1375" i="31" s="1"/>
  <c r="D1374" i="31"/>
  <c r="E1374" i="31" s="1"/>
  <c r="D1373" i="31"/>
  <c r="E1373" i="31" s="1"/>
  <c r="D1372" i="31"/>
  <c r="E1372" i="31" s="1"/>
  <c r="D1371" i="31"/>
  <c r="E1371" i="31" s="1"/>
  <c r="D1370" i="31"/>
  <c r="E1370" i="31" s="1"/>
  <c r="D1369" i="31"/>
  <c r="E1369" i="31" s="1"/>
  <c r="D1368" i="31"/>
  <c r="E1368" i="31" s="1"/>
  <c r="D1367" i="31"/>
  <c r="E1367" i="31" s="1"/>
  <c r="D1366" i="31"/>
  <c r="D1365" i="31"/>
  <c r="E1365" i="31" s="1"/>
  <c r="D1364" i="31"/>
  <c r="E1364" i="31" s="1"/>
  <c r="D1363" i="31"/>
  <c r="E1363" i="31" s="1"/>
  <c r="D1362" i="31"/>
  <c r="E1362" i="31" s="1"/>
  <c r="D1361" i="31"/>
  <c r="E1361" i="31" s="1"/>
  <c r="D1360" i="31"/>
  <c r="E1360" i="31" s="1"/>
  <c r="D1359" i="31"/>
  <c r="E1359" i="31" s="1"/>
  <c r="D1358" i="31"/>
  <c r="E1358" i="31" s="1"/>
  <c r="D1357" i="31"/>
  <c r="E1357" i="31" s="1"/>
  <c r="D1356" i="31"/>
  <c r="E1356" i="31" s="1"/>
  <c r="D1355" i="31"/>
  <c r="E1355" i="31" s="1"/>
  <c r="D1354" i="31"/>
  <c r="E1354" i="31" s="1"/>
  <c r="D1353" i="31"/>
  <c r="E1353" i="31" s="1"/>
  <c r="D1352" i="31"/>
  <c r="E1352" i="31" s="1"/>
  <c r="D1351" i="31"/>
  <c r="E1351" i="31" s="1"/>
  <c r="D1350" i="31"/>
  <c r="E1350" i="31" s="1"/>
  <c r="D1349" i="31"/>
  <c r="E1349" i="31" s="1"/>
  <c r="D1348" i="31"/>
  <c r="E1348" i="31" s="1"/>
  <c r="D1347" i="31"/>
  <c r="E1347" i="31" s="1"/>
  <c r="D1346" i="31"/>
  <c r="E1346" i="31" s="1"/>
  <c r="D1345" i="31"/>
  <c r="E1345" i="31" s="1"/>
  <c r="D1344" i="31"/>
  <c r="E1344" i="31" s="1"/>
  <c r="D1343" i="31"/>
  <c r="E1343" i="31" s="1"/>
  <c r="D1342" i="31"/>
  <c r="E1342" i="31" s="1"/>
  <c r="D1341" i="31"/>
  <c r="E1341" i="31" s="1"/>
  <c r="D1340" i="31"/>
  <c r="E1340" i="31" s="1"/>
  <c r="D1339" i="31"/>
  <c r="E1339" i="31" s="1"/>
  <c r="D1338" i="31"/>
  <c r="E1338" i="31" s="1"/>
  <c r="D1337" i="31"/>
  <c r="E1337" i="31" s="1"/>
  <c r="D1336" i="31"/>
  <c r="E1336" i="31" s="1"/>
  <c r="D1335" i="31"/>
  <c r="E1335" i="31" s="1"/>
  <c r="D1334" i="31"/>
  <c r="E1334" i="31" s="1"/>
  <c r="D1333" i="31"/>
  <c r="E1333" i="31" s="1"/>
  <c r="D1332" i="31"/>
  <c r="E1332" i="31" s="1"/>
  <c r="D1331" i="31"/>
  <c r="E1331" i="31" s="1"/>
  <c r="D1330" i="31"/>
  <c r="E1330" i="31" s="1"/>
  <c r="D1329" i="31"/>
  <c r="E1329" i="31" s="1"/>
  <c r="D1328" i="31"/>
  <c r="E1328" i="31" s="1"/>
  <c r="D1327" i="31"/>
  <c r="E1327" i="31" s="1"/>
  <c r="D1326" i="31"/>
  <c r="E1326" i="31" s="1"/>
  <c r="D1325" i="31"/>
  <c r="E1325" i="31" s="1"/>
  <c r="D1324" i="31"/>
  <c r="E1324" i="31" s="1"/>
  <c r="D1323" i="31"/>
  <c r="E1323" i="31" s="1"/>
  <c r="D1322" i="31"/>
  <c r="E1322" i="31" s="1"/>
  <c r="D1321" i="31"/>
  <c r="E1321" i="31" s="1"/>
  <c r="D1320" i="31"/>
  <c r="E1320" i="31" s="1"/>
  <c r="D1319" i="31"/>
  <c r="E1319" i="31" s="1"/>
  <c r="D1318" i="31"/>
  <c r="E1318" i="31" s="1"/>
  <c r="D1317" i="31"/>
  <c r="E1317" i="31" s="1"/>
  <c r="D1316" i="31"/>
  <c r="E1316" i="31" s="1"/>
  <c r="D1315" i="31"/>
  <c r="E1315" i="31" s="1"/>
  <c r="D1314" i="31"/>
  <c r="E1314" i="31" s="1"/>
  <c r="D1313" i="31"/>
  <c r="E1313" i="31" s="1"/>
  <c r="D1312" i="31"/>
  <c r="E1312" i="31" s="1"/>
  <c r="D1311" i="31"/>
  <c r="E1311" i="31" s="1"/>
  <c r="D1310" i="31"/>
  <c r="E1310" i="31" s="1"/>
  <c r="D1309" i="31"/>
  <c r="E1309" i="31" s="1"/>
  <c r="D1308" i="31"/>
  <c r="E1308" i="31" s="1"/>
  <c r="D1307" i="31"/>
  <c r="E1307" i="31" s="1"/>
  <c r="D1306" i="31"/>
  <c r="E1306" i="31" s="1"/>
  <c r="D1305" i="31"/>
  <c r="E1305" i="31" s="1"/>
  <c r="D1304" i="31"/>
  <c r="E1304" i="31" s="1"/>
  <c r="D1303" i="31"/>
  <c r="E1303" i="31" s="1"/>
  <c r="D1302" i="31"/>
  <c r="E1302" i="31" s="1"/>
  <c r="D1301" i="31"/>
  <c r="E1301" i="31" s="1"/>
  <c r="D1300" i="31"/>
  <c r="E1300" i="31" s="1"/>
  <c r="D1299" i="31"/>
  <c r="E1299" i="31" s="1"/>
  <c r="D1298" i="31"/>
  <c r="E1298" i="31" s="1"/>
  <c r="D1297" i="31"/>
  <c r="E1297" i="31" s="1"/>
  <c r="D1296" i="31"/>
  <c r="E1296" i="31" s="1"/>
  <c r="D1295" i="31"/>
  <c r="E1295" i="31" s="1"/>
  <c r="D1294" i="31"/>
  <c r="E1294" i="31" s="1"/>
  <c r="D1293" i="31"/>
  <c r="E1293" i="31" s="1"/>
  <c r="D1292" i="31"/>
  <c r="E1292" i="31" s="1"/>
  <c r="D1291" i="31"/>
  <c r="E1291" i="31" s="1"/>
  <c r="D1290" i="31"/>
  <c r="E1290" i="31" s="1"/>
  <c r="D1289" i="31"/>
  <c r="E1289" i="31" s="1"/>
  <c r="D1288" i="31"/>
  <c r="E1288" i="31" s="1"/>
  <c r="D1287" i="31"/>
  <c r="E1287" i="31" s="1"/>
  <c r="D1286" i="31"/>
  <c r="E1286" i="31" s="1"/>
  <c r="D1285" i="31"/>
  <c r="E1285" i="31" s="1"/>
  <c r="D1284" i="31"/>
  <c r="E1284" i="31" s="1"/>
  <c r="D1283" i="31"/>
  <c r="E1283" i="31" s="1"/>
  <c r="D1282" i="31"/>
  <c r="E1282" i="31" s="1"/>
  <c r="D1281" i="31"/>
  <c r="E1281" i="31" s="1"/>
  <c r="D1280" i="31"/>
  <c r="E1280" i="31" s="1"/>
  <c r="D1279" i="31"/>
  <c r="E1279" i="31" s="1"/>
  <c r="D1278" i="31"/>
  <c r="E1278" i="31" s="1"/>
  <c r="D1277" i="31"/>
  <c r="E1277" i="31" s="1"/>
  <c r="D1276" i="31"/>
  <c r="E1276" i="31" s="1"/>
  <c r="D1275" i="31"/>
  <c r="E1275" i="31" s="1"/>
  <c r="D1274" i="31"/>
  <c r="E1274" i="31" s="1"/>
  <c r="D1273" i="31"/>
  <c r="E1273" i="31" s="1"/>
  <c r="D1272" i="31"/>
  <c r="E1272" i="31" s="1"/>
  <c r="D1271" i="31"/>
  <c r="E1271" i="31" s="1"/>
  <c r="D1270" i="31"/>
  <c r="E1270" i="31" s="1"/>
  <c r="D1269" i="31"/>
  <c r="E1269" i="31" s="1"/>
  <c r="D1268" i="31"/>
  <c r="D1267" i="31"/>
  <c r="E1267" i="31" s="1"/>
  <c r="D1266" i="31"/>
  <c r="E1266" i="31" s="1"/>
  <c r="D1265" i="31"/>
  <c r="E1265" i="31" s="1"/>
  <c r="D1264" i="31"/>
  <c r="E1264" i="31" s="1"/>
  <c r="D1263" i="31"/>
  <c r="E1263" i="31" s="1"/>
  <c r="D1262" i="31"/>
  <c r="E1262" i="31" s="1"/>
  <c r="D1261" i="31"/>
  <c r="E1261" i="31" s="1"/>
  <c r="D1260" i="31"/>
  <c r="E1260" i="31" s="1"/>
  <c r="D1259" i="31"/>
  <c r="E1259" i="31" s="1"/>
  <c r="D1258" i="31"/>
  <c r="E1258" i="31" s="1"/>
  <c r="D1257" i="31"/>
  <c r="E1257" i="31" s="1"/>
  <c r="D1256" i="31"/>
  <c r="E1256" i="31" s="1"/>
  <c r="D1255" i="31"/>
  <c r="E1255" i="31" s="1"/>
  <c r="D1254" i="31"/>
  <c r="E1254" i="31" s="1"/>
  <c r="D1253" i="31"/>
  <c r="E1253" i="31" s="1"/>
  <c r="D1252" i="31"/>
  <c r="D1251" i="31"/>
  <c r="E1251" i="31" s="1"/>
  <c r="D1250" i="31"/>
  <c r="E1250" i="31" s="1"/>
  <c r="D1249" i="31"/>
  <c r="E1249" i="31" s="1"/>
  <c r="D1248" i="31"/>
  <c r="E1248" i="31" s="1"/>
  <c r="D1247" i="31"/>
  <c r="E1247" i="31" s="1"/>
  <c r="D1246" i="31"/>
  <c r="E1246" i="31" s="1"/>
  <c r="D1245" i="31"/>
  <c r="E1245" i="31" s="1"/>
  <c r="D1244" i="31"/>
  <c r="E1244" i="31" s="1"/>
  <c r="D1243" i="31"/>
  <c r="E1243" i="31" s="1"/>
  <c r="D1242" i="31"/>
  <c r="E1242" i="31" s="1"/>
  <c r="D1241" i="31"/>
  <c r="E1241" i="31" s="1"/>
  <c r="D1240" i="31"/>
  <c r="E1240" i="31" s="1"/>
  <c r="D1239" i="31"/>
  <c r="E1239" i="31" s="1"/>
  <c r="D1238" i="31"/>
  <c r="E1238" i="31" s="1"/>
  <c r="D1237" i="31"/>
  <c r="E1237" i="31" s="1"/>
  <c r="D1236" i="31"/>
  <c r="D1235" i="31"/>
  <c r="E1235" i="31" s="1"/>
  <c r="D1234" i="31"/>
  <c r="E1234" i="31" s="1"/>
  <c r="D1233" i="31"/>
  <c r="E1233" i="31" s="1"/>
  <c r="D1232" i="31"/>
  <c r="E1232" i="31" s="1"/>
  <c r="D1231" i="31"/>
  <c r="E1231" i="31" s="1"/>
  <c r="D1230" i="31"/>
  <c r="E1230" i="31" s="1"/>
  <c r="D1229" i="31"/>
  <c r="E1229" i="31" s="1"/>
  <c r="D1228" i="31"/>
  <c r="E1228" i="31" s="1"/>
  <c r="D1227" i="31"/>
  <c r="E1227" i="31" s="1"/>
  <c r="D1226" i="31"/>
  <c r="E1226" i="31" s="1"/>
  <c r="D1225" i="31"/>
  <c r="E1225" i="31" s="1"/>
  <c r="D1224" i="31"/>
  <c r="E1224" i="31" s="1"/>
  <c r="D1223" i="31"/>
  <c r="E1223" i="31" s="1"/>
  <c r="D1222" i="31"/>
  <c r="E1222" i="31" s="1"/>
  <c r="D1221" i="31"/>
  <c r="E1221" i="31" s="1"/>
  <c r="D1220" i="31"/>
  <c r="E1220" i="31" s="1"/>
  <c r="D1219" i="31"/>
  <c r="E1219" i="31" s="1"/>
  <c r="D1218" i="31"/>
  <c r="E1218" i="31" s="1"/>
  <c r="D1217" i="31"/>
  <c r="E1217" i="31" s="1"/>
  <c r="D1216" i="31"/>
  <c r="E1216" i="31" s="1"/>
  <c r="D1215" i="31"/>
  <c r="E1215" i="31" s="1"/>
  <c r="D1214" i="31"/>
  <c r="E1214" i="31" s="1"/>
  <c r="D1213" i="31"/>
  <c r="E1213" i="31" s="1"/>
  <c r="D1212" i="31"/>
  <c r="E1212" i="31" s="1"/>
  <c r="D1211" i="31"/>
  <c r="E1211" i="31" s="1"/>
  <c r="D1210" i="31"/>
  <c r="E1210" i="31" s="1"/>
  <c r="D1209" i="31"/>
  <c r="E1209" i="31" s="1"/>
  <c r="D1208" i="31"/>
  <c r="E1208" i="31" s="1"/>
  <c r="D1207" i="31"/>
  <c r="E1207" i="31" s="1"/>
  <c r="D1206" i="31"/>
  <c r="E1206" i="31" s="1"/>
  <c r="D1205" i="31"/>
  <c r="E1205" i="31" s="1"/>
  <c r="D1204" i="31"/>
  <c r="E1204" i="31" s="1"/>
  <c r="D1203" i="31"/>
  <c r="E1203" i="31" s="1"/>
  <c r="D1202" i="31"/>
  <c r="E1202" i="31" s="1"/>
  <c r="D1201" i="31"/>
  <c r="E1201" i="31" s="1"/>
  <c r="D1200" i="31"/>
  <c r="E1200" i="31" s="1"/>
  <c r="D1199" i="31"/>
  <c r="D1198" i="31"/>
  <c r="E1198" i="31" s="1"/>
  <c r="D1197" i="31"/>
  <c r="E1197" i="31" s="1"/>
  <c r="D1196" i="31"/>
  <c r="E1196" i="31" s="1"/>
  <c r="D1195" i="31"/>
  <c r="E1195" i="31" s="1"/>
  <c r="D1194" i="31"/>
  <c r="E1194" i="31" s="1"/>
  <c r="D1193" i="31"/>
  <c r="E1193" i="31" s="1"/>
  <c r="D1192" i="31"/>
  <c r="E1192" i="31" s="1"/>
  <c r="D1191" i="31"/>
  <c r="E1191" i="31" s="1"/>
  <c r="D1190" i="31"/>
  <c r="E1190" i="31" s="1"/>
  <c r="D1189" i="31"/>
  <c r="E1189" i="31" s="1"/>
  <c r="D1188" i="31"/>
  <c r="E1188" i="31" s="1"/>
  <c r="D1187" i="31"/>
  <c r="E1187" i="31" s="1"/>
  <c r="D1186" i="31"/>
  <c r="E1186" i="31" s="1"/>
  <c r="D1185" i="31"/>
  <c r="E1185" i="31" s="1"/>
  <c r="D1184" i="31"/>
  <c r="E1184" i="31" s="1"/>
  <c r="D1183" i="31"/>
  <c r="E1183" i="31" s="1"/>
  <c r="D1182" i="31"/>
  <c r="E1182" i="31" s="1"/>
  <c r="D1181" i="31"/>
  <c r="E1181" i="31" s="1"/>
  <c r="D1180" i="31"/>
  <c r="E1180" i="31" s="1"/>
  <c r="D1179" i="31"/>
  <c r="E1179" i="31" s="1"/>
  <c r="D1178" i="31"/>
  <c r="E1178" i="31" s="1"/>
  <c r="D1177" i="31"/>
  <c r="E1177" i="31" s="1"/>
  <c r="D1176" i="31"/>
  <c r="E1176" i="31" s="1"/>
  <c r="D1175" i="31"/>
  <c r="E1175" i="31" s="1"/>
  <c r="D1174" i="31"/>
  <c r="E1174" i="31" s="1"/>
  <c r="D1173" i="31"/>
  <c r="E1173" i="31" s="1"/>
  <c r="D1172" i="31"/>
  <c r="E1172" i="31" s="1"/>
  <c r="D1171" i="31"/>
  <c r="E1171" i="31" s="1"/>
  <c r="D1170" i="31"/>
  <c r="E1170" i="31" s="1"/>
  <c r="D1169" i="31"/>
  <c r="E1169" i="31" s="1"/>
  <c r="D1168" i="31"/>
  <c r="E1168" i="31" s="1"/>
  <c r="D1167" i="31"/>
  <c r="E1167" i="31" s="1"/>
  <c r="D1166" i="31"/>
  <c r="E1166" i="31" s="1"/>
  <c r="D1165" i="31"/>
  <c r="E1165" i="31" s="1"/>
  <c r="D1164" i="31"/>
  <c r="E1164" i="31" s="1"/>
  <c r="D1163" i="31"/>
  <c r="E1163" i="31" s="1"/>
  <c r="D1162" i="31"/>
  <c r="E1162" i="31" s="1"/>
  <c r="D1161" i="31"/>
  <c r="E1161" i="31" s="1"/>
  <c r="D1160" i="31"/>
  <c r="E1160" i="31" s="1"/>
  <c r="D1159" i="31"/>
  <c r="E1159" i="31" s="1"/>
  <c r="D1158" i="31"/>
  <c r="E1158" i="31" s="1"/>
  <c r="D1157" i="31"/>
  <c r="E1157" i="31" s="1"/>
  <c r="D1156" i="31"/>
  <c r="E1156" i="31" s="1"/>
  <c r="D1155" i="31"/>
  <c r="E1155" i="31" s="1"/>
  <c r="D1154" i="31"/>
  <c r="E1154" i="31" s="1"/>
  <c r="D1153" i="31"/>
  <c r="E1153" i="31" s="1"/>
  <c r="D1152" i="31"/>
  <c r="E1152" i="31" s="1"/>
  <c r="D1151" i="31"/>
  <c r="D1150" i="31"/>
  <c r="E1150" i="31" s="1"/>
  <c r="D1149" i="31"/>
  <c r="E1149" i="31" s="1"/>
  <c r="D1148" i="31"/>
  <c r="E1148" i="31" s="1"/>
  <c r="D1147" i="31"/>
  <c r="E1147" i="31" s="1"/>
  <c r="D1146" i="31"/>
  <c r="E1146" i="31" s="1"/>
  <c r="D1145" i="31"/>
  <c r="E1145" i="31" s="1"/>
  <c r="D1144" i="31"/>
  <c r="E1144" i="31" s="1"/>
  <c r="D1143" i="31"/>
  <c r="E1143" i="31" s="1"/>
  <c r="D1142" i="31"/>
  <c r="E1142" i="31" s="1"/>
  <c r="D1141" i="31"/>
  <c r="E1141" i="31" s="1"/>
  <c r="D1140" i="31"/>
  <c r="E1140" i="31" s="1"/>
  <c r="D1139" i="31"/>
  <c r="E1139" i="31" s="1"/>
  <c r="D1138" i="31"/>
  <c r="E1138" i="31" s="1"/>
  <c r="D1137" i="31"/>
  <c r="E1137" i="31" s="1"/>
  <c r="D1136" i="31"/>
  <c r="E1136" i="31" s="1"/>
  <c r="D1135" i="31"/>
  <c r="E1135" i="31" s="1"/>
  <c r="D1134" i="31"/>
  <c r="E1134" i="31" s="1"/>
  <c r="D1133" i="31"/>
  <c r="E1133" i="31" s="1"/>
  <c r="D1132" i="31"/>
  <c r="E1132" i="31" s="1"/>
  <c r="D1131" i="31"/>
  <c r="E1131" i="31" s="1"/>
  <c r="D1130" i="31"/>
  <c r="E1130" i="31" s="1"/>
  <c r="D1129" i="31"/>
  <c r="E1129" i="31" s="1"/>
  <c r="D1128" i="31"/>
  <c r="E1128" i="31" s="1"/>
  <c r="D1127" i="31"/>
  <c r="E1127" i="31" s="1"/>
  <c r="D1126" i="31"/>
  <c r="E1126" i="31" s="1"/>
  <c r="D1125" i="31"/>
  <c r="E1125" i="31" s="1"/>
  <c r="D1124" i="31"/>
  <c r="E1124" i="31" s="1"/>
  <c r="D1123" i="31"/>
  <c r="E1123" i="31" s="1"/>
  <c r="D1122" i="31"/>
  <c r="E1122" i="31" s="1"/>
  <c r="D1121" i="31"/>
  <c r="E1121" i="31" s="1"/>
  <c r="D1120" i="31"/>
  <c r="E1120" i="31" s="1"/>
  <c r="D1119" i="31"/>
  <c r="E1119" i="31" s="1"/>
  <c r="D1118" i="31"/>
  <c r="E1118" i="31" s="1"/>
  <c r="D1117" i="31"/>
  <c r="E1117" i="31" s="1"/>
  <c r="D1116" i="31"/>
  <c r="E1116" i="31" s="1"/>
  <c r="D1115" i="31"/>
  <c r="E1115" i="31" s="1"/>
  <c r="D1114" i="31"/>
  <c r="E1114" i="31" s="1"/>
  <c r="D1113" i="31"/>
  <c r="E1113" i="31" s="1"/>
  <c r="D1112" i="31"/>
  <c r="E1112" i="31" s="1"/>
  <c r="D1111" i="31"/>
  <c r="E1111" i="31" s="1"/>
  <c r="D1110" i="31"/>
  <c r="E1110" i="31" s="1"/>
  <c r="D1109" i="31"/>
  <c r="E1109" i="31" s="1"/>
  <c r="D1108" i="31"/>
  <c r="E1108" i="31" s="1"/>
  <c r="D1107" i="31"/>
  <c r="E1107" i="31" s="1"/>
  <c r="D1106" i="31"/>
  <c r="E1106" i="31" s="1"/>
  <c r="D1105" i="31"/>
  <c r="E1105" i="31" s="1"/>
  <c r="D1104" i="31"/>
  <c r="E1104" i="31" s="1"/>
  <c r="D1103" i="31"/>
  <c r="E1103" i="31" s="1"/>
  <c r="D1102" i="31"/>
  <c r="E1102" i="31" s="1"/>
  <c r="D1101" i="31"/>
  <c r="E1101" i="31" s="1"/>
  <c r="D1100" i="31"/>
  <c r="E1100" i="31" s="1"/>
  <c r="D1099" i="31"/>
  <c r="E1099" i="31" s="1"/>
  <c r="D1098" i="31"/>
  <c r="E1098" i="31" s="1"/>
  <c r="D1097" i="31"/>
  <c r="E1097" i="31" s="1"/>
  <c r="D1096" i="31"/>
  <c r="E1096" i="31" s="1"/>
  <c r="D1095" i="31"/>
  <c r="E1095" i="31" s="1"/>
  <c r="D1094" i="31"/>
  <c r="E1094" i="31" s="1"/>
  <c r="D1093" i="31"/>
  <c r="E1093" i="31" s="1"/>
  <c r="D1092" i="31"/>
  <c r="E1092" i="31" s="1"/>
  <c r="D1091" i="31"/>
  <c r="E1091" i="31" s="1"/>
  <c r="D1090" i="31"/>
  <c r="E1090" i="31" s="1"/>
  <c r="D1089" i="31"/>
  <c r="E1089" i="31" s="1"/>
  <c r="D1088" i="31"/>
  <c r="E1088" i="31" s="1"/>
  <c r="D1087" i="31"/>
  <c r="E1087" i="31" s="1"/>
  <c r="D1086" i="31"/>
  <c r="E1086" i="31" s="1"/>
  <c r="D1085" i="31"/>
  <c r="E1085" i="31" s="1"/>
  <c r="D1084" i="31"/>
  <c r="E1084" i="31" s="1"/>
  <c r="D1083" i="31"/>
  <c r="E1083" i="31" s="1"/>
  <c r="D1082" i="31"/>
  <c r="E1082" i="31" s="1"/>
  <c r="D1081" i="31"/>
  <c r="E1081" i="31" s="1"/>
  <c r="D1080" i="31"/>
  <c r="E1080" i="31" s="1"/>
  <c r="D1079" i="31"/>
  <c r="E1079" i="31" s="1"/>
  <c r="D1078" i="31"/>
  <c r="E1078" i="31" s="1"/>
  <c r="D1077" i="31"/>
  <c r="E1077" i="31" s="1"/>
  <c r="D1076" i="31"/>
  <c r="E1076" i="31" s="1"/>
  <c r="D1075" i="31"/>
  <c r="E1075" i="31" s="1"/>
  <c r="D1074" i="31"/>
  <c r="E1074" i="31" s="1"/>
  <c r="D1073" i="31"/>
  <c r="E1073" i="31" s="1"/>
  <c r="D1072" i="31"/>
  <c r="E1072" i="31" s="1"/>
  <c r="D1071" i="31"/>
  <c r="D1070" i="31"/>
  <c r="E1070" i="31" s="1"/>
  <c r="D1069" i="31"/>
  <c r="E1069" i="31" s="1"/>
  <c r="D1068" i="31"/>
  <c r="E1068" i="31" s="1"/>
  <c r="D1067" i="31"/>
  <c r="E1067" i="31" s="1"/>
  <c r="D1066" i="31"/>
  <c r="E1066" i="31" s="1"/>
  <c r="D1065" i="31"/>
  <c r="E1065" i="31" s="1"/>
  <c r="D1064" i="31"/>
  <c r="E1064" i="31" s="1"/>
  <c r="D1063" i="31"/>
  <c r="E1063" i="31" s="1"/>
  <c r="D1062" i="31"/>
  <c r="E1062" i="31" s="1"/>
  <c r="D1061" i="31"/>
  <c r="E1061" i="31" s="1"/>
  <c r="D1060" i="31"/>
  <c r="E1060" i="31" s="1"/>
  <c r="D1059" i="31"/>
  <c r="E1059" i="31" s="1"/>
  <c r="D1058" i="31"/>
  <c r="E1058" i="31" s="1"/>
  <c r="D1057" i="31"/>
  <c r="E1057" i="31" s="1"/>
  <c r="D1056" i="31"/>
  <c r="E1056" i="31" s="1"/>
  <c r="D1055" i="31"/>
  <c r="E1055" i="31" s="1"/>
  <c r="D1054" i="31"/>
  <c r="E1054" i="31" s="1"/>
  <c r="D1053" i="31"/>
  <c r="E1053" i="31" s="1"/>
  <c r="D1052" i="31"/>
  <c r="E1052" i="31" s="1"/>
  <c r="D1051" i="31"/>
  <c r="E1051" i="31" s="1"/>
  <c r="D1050" i="31"/>
  <c r="E1050" i="31" s="1"/>
  <c r="D1049" i="31"/>
  <c r="E1049" i="31" s="1"/>
  <c r="D1048" i="31"/>
  <c r="E1048" i="31" s="1"/>
  <c r="D1047" i="31"/>
  <c r="E1047" i="31" s="1"/>
  <c r="D1046" i="31"/>
  <c r="E1046" i="31" s="1"/>
  <c r="D1045" i="31"/>
  <c r="E1045" i="31" s="1"/>
  <c r="D1044" i="31"/>
  <c r="E1044" i="31" s="1"/>
  <c r="D1043" i="31"/>
  <c r="E1043" i="31" s="1"/>
  <c r="D1042" i="31"/>
  <c r="E1042" i="31" s="1"/>
  <c r="D1041" i="31"/>
  <c r="E1041" i="31" s="1"/>
  <c r="D1040" i="31"/>
  <c r="E1040" i="31" s="1"/>
  <c r="D1039" i="31"/>
  <c r="E1039" i="31" s="1"/>
  <c r="D1038" i="31"/>
  <c r="E1038" i="31" s="1"/>
  <c r="D1037" i="31"/>
  <c r="E1037" i="31" s="1"/>
  <c r="D1036" i="31"/>
  <c r="E1036" i="31" s="1"/>
  <c r="D1035" i="31"/>
  <c r="E1035" i="31" s="1"/>
  <c r="D1034" i="31"/>
  <c r="E1034" i="31" s="1"/>
  <c r="D1033" i="31"/>
  <c r="E1033" i="31" s="1"/>
  <c r="D1032" i="31"/>
  <c r="E1032" i="31" s="1"/>
  <c r="D1031" i="31"/>
  <c r="E1031" i="31" s="1"/>
  <c r="D1030" i="31"/>
  <c r="E1030" i="31" s="1"/>
  <c r="D1029" i="31"/>
  <c r="E1029" i="31" s="1"/>
  <c r="D1028" i="31"/>
  <c r="E1028" i="31" s="1"/>
  <c r="D1027" i="31"/>
  <c r="E1027" i="31" s="1"/>
  <c r="D1026" i="31"/>
  <c r="E1026" i="31" s="1"/>
  <c r="D1025" i="31"/>
  <c r="E1025" i="31" s="1"/>
  <c r="D1024" i="31"/>
  <c r="E1024" i="31" s="1"/>
  <c r="D1023" i="31"/>
  <c r="D1022" i="31"/>
  <c r="E1022" i="31" s="1"/>
  <c r="D1021" i="31"/>
  <c r="E1021" i="31" s="1"/>
  <c r="D1020" i="31"/>
  <c r="E1020" i="31" s="1"/>
  <c r="D1019" i="31"/>
  <c r="E1019" i="31" s="1"/>
  <c r="D1018" i="31"/>
  <c r="E1018" i="31" s="1"/>
  <c r="D1017" i="31"/>
  <c r="E1017" i="31" s="1"/>
  <c r="D1016" i="31"/>
  <c r="E1016" i="31" s="1"/>
  <c r="D1015" i="31"/>
  <c r="E1015" i="31" s="1"/>
  <c r="D1014" i="31"/>
  <c r="E1014" i="31" s="1"/>
  <c r="D1013" i="31"/>
  <c r="E1013" i="31" s="1"/>
  <c r="D1012" i="31"/>
  <c r="E1012" i="31" s="1"/>
  <c r="D1011" i="31"/>
  <c r="E1011" i="31" s="1"/>
  <c r="D1010" i="31"/>
  <c r="E1010" i="31" s="1"/>
  <c r="D1009" i="31"/>
  <c r="E1009" i="31" s="1"/>
  <c r="D1008" i="31"/>
  <c r="E1008" i="31" s="1"/>
  <c r="D1007" i="31"/>
  <c r="E1007" i="31" s="1"/>
  <c r="D1006" i="31"/>
  <c r="E1006" i="31" s="1"/>
  <c r="D1005" i="31"/>
  <c r="E1005" i="31" s="1"/>
  <c r="D1004" i="31"/>
  <c r="E1004" i="31" s="1"/>
  <c r="D1003" i="31"/>
  <c r="E1003" i="31" s="1"/>
  <c r="D1002" i="31"/>
  <c r="E1002" i="31" s="1"/>
  <c r="D1001" i="31"/>
  <c r="E1001" i="31" s="1"/>
  <c r="D1000" i="31"/>
  <c r="E1000" i="31" s="1"/>
  <c r="D999" i="31"/>
  <c r="E999" i="31" s="1"/>
  <c r="D998" i="31"/>
  <c r="E998" i="31" s="1"/>
  <c r="D997" i="31"/>
  <c r="E997" i="31" s="1"/>
  <c r="D996" i="31"/>
  <c r="E996" i="31" s="1"/>
  <c r="D995" i="31"/>
  <c r="E995" i="31" s="1"/>
  <c r="D994" i="31"/>
  <c r="E994" i="31" s="1"/>
  <c r="D993" i="31"/>
  <c r="E993" i="31" s="1"/>
  <c r="D992" i="31"/>
  <c r="E992" i="31" s="1"/>
  <c r="D991" i="31"/>
  <c r="E991" i="31" s="1"/>
  <c r="D990" i="31"/>
  <c r="E990" i="31" s="1"/>
  <c r="D989" i="31"/>
  <c r="E989" i="31" s="1"/>
  <c r="D988" i="31"/>
  <c r="E988" i="31" s="1"/>
  <c r="D987" i="31"/>
  <c r="E987" i="31" s="1"/>
  <c r="D986" i="31"/>
  <c r="E986" i="31" s="1"/>
  <c r="D985" i="31"/>
  <c r="E985" i="31" s="1"/>
  <c r="D984" i="31"/>
  <c r="E984" i="31" s="1"/>
  <c r="D983" i="31"/>
  <c r="E983" i="31" s="1"/>
  <c r="D982" i="31"/>
  <c r="E982" i="31" s="1"/>
  <c r="D981" i="31"/>
  <c r="D980" i="31"/>
  <c r="E980" i="31" s="1"/>
  <c r="D979" i="31"/>
  <c r="E979" i="31" s="1"/>
  <c r="D978" i="31"/>
  <c r="E978" i="31" s="1"/>
  <c r="D977" i="31"/>
  <c r="E977" i="31" s="1"/>
  <c r="D976" i="31"/>
  <c r="E976" i="31" s="1"/>
  <c r="D975" i="31"/>
  <c r="E975" i="31" s="1"/>
  <c r="D974" i="31"/>
  <c r="E974" i="31" s="1"/>
  <c r="D973" i="31"/>
  <c r="E973" i="31" s="1"/>
  <c r="D972" i="31"/>
  <c r="E972" i="31" s="1"/>
  <c r="D971" i="31"/>
  <c r="E971" i="31" s="1"/>
  <c r="D970" i="31"/>
  <c r="E970" i="31" s="1"/>
  <c r="D969" i="31"/>
  <c r="D968" i="31"/>
  <c r="E968" i="31" s="1"/>
  <c r="D967" i="31"/>
  <c r="E967" i="31" s="1"/>
  <c r="D966" i="31"/>
  <c r="E966" i="31" s="1"/>
  <c r="D965" i="31"/>
  <c r="E965" i="31" s="1"/>
  <c r="D964" i="31"/>
  <c r="E964" i="31" s="1"/>
  <c r="D963" i="31"/>
  <c r="E963" i="31" s="1"/>
  <c r="D962" i="31"/>
  <c r="E962" i="31" s="1"/>
  <c r="D961" i="31"/>
  <c r="E961" i="31" s="1"/>
  <c r="D960" i="31"/>
  <c r="E960" i="31" s="1"/>
  <c r="D959" i="31"/>
  <c r="D958" i="31"/>
  <c r="E958" i="31" s="1"/>
  <c r="D957" i="31"/>
  <c r="E957" i="31" s="1"/>
  <c r="D956" i="31"/>
  <c r="E956" i="31" s="1"/>
  <c r="D955" i="31"/>
  <c r="E955" i="31" s="1"/>
  <c r="D954" i="31"/>
  <c r="E954" i="31" s="1"/>
  <c r="D953" i="31"/>
  <c r="E953" i="31" s="1"/>
  <c r="D952" i="31"/>
  <c r="E952" i="31" s="1"/>
  <c r="D951" i="31"/>
  <c r="E951" i="31" s="1"/>
  <c r="D950" i="31"/>
  <c r="E950" i="31" s="1"/>
  <c r="D949" i="31"/>
  <c r="D948" i="31"/>
  <c r="E948" i="31" s="1"/>
  <c r="D947" i="31"/>
  <c r="E947" i="31" s="1"/>
  <c r="D946" i="31"/>
  <c r="E946" i="31" s="1"/>
  <c r="D945" i="31"/>
  <c r="E945" i="31" s="1"/>
  <c r="D944" i="31"/>
  <c r="E944" i="31" s="1"/>
  <c r="D943" i="31"/>
  <c r="E943" i="31" s="1"/>
  <c r="D942" i="31"/>
  <c r="E942" i="31" s="1"/>
  <c r="D941" i="31"/>
  <c r="E941" i="31" s="1"/>
  <c r="D940" i="31"/>
  <c r="E940" i="31" s="1"/>
  <c r="D939" i="31"/>
  <c r="E939" i="31" s="1"/>
  <c r="D938" i="31"/>
  <c r="E938" i="31" s="1"/>
  <c r="D937" i="31"/>
  <c r="D936" i="31"/>
  <c r="E936" i="31" s="1"/>
  <c r="D935" i="31"/>
  <c r="E935" i="31" s="1"/>
  <c r="D934" i="31"/>
  <c r="E934" i="31" s="1"/>
  <c r="D933" i="31"/>
  <c r="E933" i="31" s="1"/>
  <c r="D932" i="31"/>
  <c r="E932" i="31" s="1"/>
  <c r="D931" i="31"/>
  <c r="E931" i="31" s="1"/>
  <c r="D930" i="31"/>
  <c r="E930" i="31" s="1"/>
  <c r="D929" i="31"/>
  <c r="E929" i="31" s="1"/>
  <c r="D928" i="31"/>
  <c r="E928" i="31" s="1"/>
  <c r="D927" i="31"/>
  <c r="D926" i="31"/>
  <c r="E926" i="31" s="1"/>
  <c r="D925" i="31"/>
  <c r="E925" i="31" s="1"/>
  <c r="D924" i="31"/>
  <c r="E924" i="31" s="1"/>
  <c r="D923" i="31"/>
  <c r="E923" i="31" s="1"/>
  <c r="D922" i="31"/>
  <c r="E922" i="31" s="1"/>
  <c r="D921" i="31"/>
  <c r="E921" i="31" s="1"/>
  <c r="D920" i="31"/>
  <c r="E920" i="31" s="1"/>
  <c r="D919" i="31"/>
  <c r="E919" i="31" s="1"/>
  <c r="D918" i="31"/>
  <c r="E918" i="31" s="1"/>
  <c r="D917" i="31"/>
  <c r="D916" i="31"/>
  <c r="E916" i="31" s="1"/>
  <c r="D915" i="31"/>
  <c r="E915" i="31" s="1"/>
  <c r="D914" i="31"/>
  <c r="E914" i="31" s="1"/>
  <c r="D913" i="31"/>
  <c r="E913" i="31" s="1"/>
  <c r="D912" i="31"/>
  <c r="E912" i="31" s="1"/>
  <c r="D911" i="31"/>
  <c r="E911" i="31" s="1"/>
  <c r="D910" i="31"/>
  <c r="E910" i="31" s="1"/>
  <c r="D909" i="31"/>
  <c r="E909" i="31" s="1"/>
  <c r="D908" i="31"/>
  <c r="E908" i="31" s="1"/>
  <c r="D907" i="31"/>
  <c r="E907" i="31" s="1"/>
  <c r="D906" i="31"/>
  <c r="E906" i="31" s="1"/>
  <c r="D905" i="31"/>
  <c r="D904" i="31"/>
  <c r="E904" i="31" s="1"/>
  <c r="D903" i="31"/>
  <c r="E903" i="31" s="1"/>
  <c r="D902" i="31"/>
  <c r="E902" i="31" s="1"/>
  <c r="D901" i="31"/>
  <c r="E901" i="31" s="1"/>
  <c r="D900" i="31"/>
  <c r="E900" i="31" s="1"/>
  <c r="D899" i="31"/>
  <c r="E899" i="31" s="1"/>
  <c r="D898" i="31"/>
  <c r="E898" i="31" s="1"/>
  <c r="D897" i="31"/>
  <c r="E897" i="31" s="1"/>
  <c r="D896" i="31"/>
  <c r="E896" i="31" s="1"/>
  <c r="D895" i="31"/>
  <c r="E895" i="31" s="1"/>
  <c r="D894" i="31"/>
  <c r="E894" i="31" s="1"/>
  <c r="D893" i="31"/>
  <c r="E893" i="31" s="1"/>
  <c r="D892" i="31"/>
  <c r="E892" i="31" s="1"/>
  <c r="D891" i="31"/>
  <c r="E891" i="31" s="1"/>
  <c r="D890" i="31"/>
  <c r="E890" i="31" s="1"/>
  <c r="D889" i="31"/>
  <c r="E889" i="31" s="1"/>
  <c r="D888" i="31"/>
  <c r="E888" i="31" s="1"/>
  <c r="D887" i="31"/>
  <c r="E887" i="31" s="1"/>
  <c r="D886" i="31"/>
  <c r="E886" i="31" s="1"/>
  <c r="D885" i="31"/>
  <c r="E885" i="31" s="1"/>
  <c r="D884" i="31"/>
  <c r="E884" i="31" s="1"/>
  <c r="D883" i="31"/>
  <c r="E883" i="31" s="1"/>
  <c r="D882" i="31"/>
  <c r="E882" i="31" s="1"/>
  <c r="D881" i="31"/>
  <c r="E881" i="31" s="1"/>
  <c r="D880" i="31"/>
  <c r="E880" i="31" s="1"/>
  <c r="D879" i="31"/>
  <c r="E879" i="31" s="1"/>
  <c r="D878" i="31"/>
  <c r="E878" i="31" s="1"/>
  <c r="D877" i="31"/>
  <c r="D876" i="31"/>
  <c r="E876" i="31" s="1"/>
  <c r="D875" i="31"/>
  <c r="E875" i="31" s="1"/>
  <c r="D874" i="31"/>
  <c r="E874" i="31" s="1"/>
  <c r="D873" i="31"/>
  <c r="E873" i="31" s="1"/>
  <c r="D872" i="31"/>
  <c r="E872" i="31" s="1"/>
  <c r="D871" i="31"/>
  <c r="E871" i="31" s="1"/>
  <c r="D870" i="31"/>
  <c r="E870" i="31" s="1"/>
  <c r="D869" i="31"/>
  <c r="E869" i="31" s="1"/>
  <c r="D868" i="31"/>
  <c r="E868" i="31" s="1"/>
  <c r="D867" i="31"/>
  <c r="E867" i="31" s="1"/>
  <c r="D866" i="31"/>
  <c r="E866" i="31" s="1"/>
  <c r="D865" i="31"/>
  <c r="E865" i="31" s="1"/>
  <c r="D864" i="31"/>
  <c r="E864" i="31" s="1"/>
  <c r="D863" i="31"/>
  <c r="E863" i="31" s="1"/>
  <c r="D862" i="31"/>
  <c r="E862" i="31" s="1"/>
  <c r="D861" i="31"/>
  <c r="D860" i="31"/>
  <c r="E860" i="31" s="1"/>
  <c r="D859" i="31"/>
  <c r="E859" i="31" s="1"/>
  <c r="D858" i="31"/>
  <c r="E858" i="31" s="1"/>
  <c r="D857" i="31"/>
  <c r="E857" i="31" s="1"/>
  <c r="D856" i="31"/>
  <c r="E856" i="31" s="1"/>
  <c r="D855" i="31"/>
  <c r="E855" i="31" s="1"/>
  <c r="D854" i="31"/>
  <c r="E854" i="31" s="1"/>
  <c r="D853" i="31"/>
  <c r="E853" i="31" s="1"/>
  <c r="D852" i="31"/>
  <c r="E852" i="31" s="1"/>
  <c r="D851" i="31"/>
  <c r="E851" i="31" s="1"/>
  <c r="D850" i="31"/>
  <c r="E850" i="31" s="1"/>
  <c r="D849" i="31"/>
  <c r="E849" i="31" s="1"/>
  <c r="D848" i="31"/>
  <c r="E848" i="31" s="1"/>
  <c r="D847" i="31"/>
  <c r="E847" i="31" s="1"/>
  <c r="D846" i="31"/>
  <c r="E846" i="31" s="1"/>
  <c r="D845" i="31"/>
  <c r="D844" i="31"/>
  <c r="E844" i="31" s="1"/>
  <c r="D843" i="31"/>
  <c r="E843" i="31" s="1"/>
  <c r="D842" i="31"/>
  <c r="E842" i="31" s="1"/>
  <c r="D841" i="31"/>
  <c r="E841" i="31" s="1"/>
  <c r="D840" i="31"/>
  <c r="E840" i="31" s="1"/>
  <c r="D839" i="31"/>
  <c r="E839" i="31" s="1"/>
  <c r="D838" i="31"/>
  <c r="E838" i="31" s="1"/>
  <c r="D837" i="31"/>
  <c r="E837" i="31" s="1"/>
  <c r="D836" i="31"/>
  <c r="D835" i="31"/>
  <c r="E835" i="31" s="1"/>
  <c r="D834" i="31"/>
  <c r="E834" i="31" s="1"/>
  <c r="D833" i="31"/>
  <c r="E833" i="31" s="1"/>
  <c r="D832" i="31"/>
  <c r="E832" i="31" s="1"/>
  <c r="D831" i="31"/>
  <c r="E831" i="31" s="1"/>
  <c r="D830" i="31"/>
  <c r="E830" i="31" s="1"/>
  <c r="D829" i="31"/>
  <c r="E829" i="31" s="1"/>
  <c r="D828" i="31"/>
  <c r="E828" i="31" s="1"/>
  <c r="D827" i="31"/>
  <c r="E827" i="31" s="1"/>
  <c r="D826" i="31"/>
  <c r="E826" i="31" s="1"/>
  <c r="D825" i="31"/>
  <c r="E825" i="31" s="1"/>
  <c r="D824" i="31"/>
  <c r="E824" i="31" s="1"/>
  <c r="D823" i="31"/>
  <c r="E823" i="31" s="1"/>
  <c r="D822" i="31"/>
  <c r="E822" i="31" s="1"/>
  <c r="D821" i="31"/>
  <c r="E821" i="31" s="1"/>
  <c r="D820" i="31"/>
  <c r="E820" i="31" s="1"/>
  <c r="D819" i="31"/>
  <c r="E819" i="31" s="1"/>
  <c r="D818" i="31"/>
  <c r="E818" i="31" s="1"/>
  <c r="D817" i="31"/>
  <c r="E817" i="31" s="1"/>
  <c r="D816" i="31"/>
  <c r="E816" i="31" s="1"/>
  <c r="D815" i="31"/>
  <c r="E815" i="31" s="1"/>
  <c r="D814" i="31"/>
  <c r="E814" i="31" s="1"/>
  <c r="D813" i="31"/>
  <c r="E813" i="31" s="1"/>
  <c r="D812" i="31"/>
  <c r="E812" i="31" s="1"/>
  <c r="D811" i="31"/>
  <c r="E811" i="31" s="1"/>
  <c r="D810" i="31"/>
  <c r="E810" i="31" s="1"/>
  <c r="D809" i="31"/>
  <c r="E809" i="31" s="1"/>
  <c r="D808" i="31"/>
  <c r="E808" i="31" s="1"/>
  <c r="D807" i="31"/>
  <c r="E807" i="31" s="1"/>
  <c r="D806" i="31"/>
  <c r="E806" i="31" s="1"/>
  <c r="D805" i="31"/>
  <c r="E805" i="31" s="1"/>
  <c r="D804" i="31"/>
  <c r="E804" i="31" s="1"/>
  <c r="D803" i="31"/>
  <c r="E803" i="31" s="1"/>
  <c r="D802" i="31"/>
  <c r="E802" i="31" s="1"/>
  <c r="D801" i="31"/>
  <c r="E801" i="31" s="1"/>
  <c r="D800" i="31"/>
  <c r="E800" i="31" s="1"/>
  <c r="D799" i="31"/>
  <c r="E799" i="31" s="1"/>
  <c r="D798" i="31"/>
  <c r="E798" i="31" s="1"/>
  <c r="D797" i="31"/>
  <c r="E797" i="31" s="1"/>
  <c r="D796" i="31"/>
  <c r="E796" i="31" s="1"/>
  <c r="D795" i="31"/>
  <c r="E795" i="31" s="1"/>
  <c r="D794" i="31"/>
  <c r="E794" i="31" s="1"/>
  <c r="D793" i="31"/>
  <c r="E793" i="31" s="1"/>
  <c r="D792" i="31"/>
  <c r="E792" i="31" s="1"/>
  <c r="D791" i="31"/>
  <c r="E791" i="31" s="1"/>
  <c r="D790" i="31"/>
  <c r="E790" i="31" s="1"/>
  <c r="D789" i="31"/>
  <c r="E789" i="31" s="1"/>
  <c r="D788" i="31"/>
  <c r="E788" i="31" s="1"/>
  <c r="D787" i="31"/>
  <c r="E787" i="31" s="1"/>
  <c r="D786" i="31"/>
  <c r="E786" i="31" s="1"/>
  <c r="D785" i="31"/>
  <c r="E785" i="31" s="1"/>
  <c r="D784" i="31"/>
  <c r="E784" i="31" s="1"/>
  <c r="D783" i="31"/>
  <c r="E783" i="31" s="1"/>
  <c r="D782" i="31"/>
  <c r="E782" i="31" s="1"/>
  <c r="D781" i="31"/>
  <c r="E781" i="31" s="1"/>
  <c r="D780" i="31"/>
  <c r="E780" i="31" s="1"/>
  <c r="D779" i="31"/>
  <c r="E779" i="31" s="1"/>
  <c r="D778" i="31"/>
  <c r="E778" i="31" s="1"/>
  <c r="D777" i="31"/>
  <c r="E777" i="31" s="1"/>
  <c r="D776" i="31"/>
  <c r="E776" i="31" s="1"/>
  <c r="D775" i="31"/>
  <c r="E775" i="31" s="1"/>
  <c r="D774" i="31"/>
  <c r="E774" i="31" s="1"/>
  <c r="D773" i="31"/>
  <c r="E773" i="31" s="1"/>
  <c r="D772" i="31"/>
  <c r="E772" i="31" s="1"/>
  <c r="D771" i="31"/>
  <c r="E771" i="31" s="1"/>
  <c r="D770" i="31"/>
  <c r="E770" i="31" s="1"/>
  <c r="D769" i="31"/>
  <c r="E769" i="31" s="1"/>
  <c r="D768" i="31"/>
  <c r="E768" i="31" s="1"/>
  <c r="D767" i="31"/>
  <c r="E767" i="31" s="1"/>
  <c r="D766" i="31"/>
  <c r="E766" i="31" s="1"/>
  <c r="D765" i="31"/>
  <c r="E765" i="31" s="1"/>
  <c r="D764" i="31"/>
  <c r="E764" i="31" s="1"/>
  <c r="D763" i="31"/>
  <c r="E763" i="31" s="1"/>
  <c r="D762" i="31"/>
  <c r="E762" i="31" s="1"/>
  <c r="D761" i="31"/>
  <c r="E761" i="31" s="1"/>
  <c r="D760" i="31"/>
  <c r="E760" i="31" s="1"/>
  <c r="D759" i="31"/>
  <c r="E759" i="31" s="1"/>
  <c r="D758" i="31"/>
  <c r="E758" i="31" s="1"/>
  <c r="D757" i="31"/>
  <c r="E757" i="31" s="1"/>
  <c r="D756" i="31"/>
  <c r="E756" i="31" s="1"/>
  <c r="D755" i="31"/>
  <c r="E755" i="31" s="1"/>
  <c r="D754" i="31"/>
  <c r="E754" i="31" s="1"/>
  <c r="D753" i="31"/>
  <c r="E753" i="31" s="1"/>
  <c r="D752" i="31"/>
  <c r="E752" i="31" s="1"/>
  <c r="D751" i="31"/>
  <c r="E751" i="31" s="1"/>
  <c r="D750" i="31"/>
  <c r="E750" i="31" s="1"/>
  <c r="D749" i="31"/>
  <c r="E749" i="31" s="1"/>
  <c r="D748" i="31"/>
  <c r="E748" i="31" s="1"/>
  <c r="D747" i="31"/>
  <c r="E747" i="31" s="1"/>
  <c r="D746" i="31"/>
  <c r="E746" i="31" s="1"/>
  <c r="D745" i="31"/>
  <c r="E745" i="31" s="1"/>
  <c r="D744" i="31"/>
  <c r="E744" i="31" s="1"/>
  <c r="D743" i="31"/>
  <c r="E743" i="31" s="1"/>
  <c r="D742" i="31"/>
  <c r="E742" i="31" s="1"/>
  <c r="D741" i="31"/>
  <c r="E741" i="31" s="1"/>
  <c r="D740" i="31"/>
  <c r="E740" i="31" s="1"/>
  <c r="D739" i="31"/>
  <c r="E739" i="31" s="1"/>
  <c r="D738" i="31"/>
  <c r="E738" i="31" s="1"/>
  <c r="D737" i="31"/>
  <c r="E737" i="31" s="1"/>
  <c r="D736" i="31"/>
  <c r="E736" i="31" s="1"/>
  <c r="D735" i="31"/>
  <c r="E735" i="31" s="1"/>
  <c r="D734" i="31"/>
  <c r="E734" i="31" s="1"/>
  <c r="D733" i="31"/>
  <c r="E733" i="31" s="1"/>
  <c r="D732" i="31"/>
  <c r="E732" i="31" s="1"/>
  <c r="D731" i="31"/>
  <c r="E731" i="31" s="1"/>
  <c r="D730" i="31"/>
  <c r="E730" i="31" s="1"/>
  <c r="D729" i="31"/>
  <c r="E729" i="31" s="1"/>
  <c r="D728" i="31"/>
  <c r="E728" i="31" s="1"/>
  <c r="D727" i="31"/>
  <c r="E727" i="31" s="1"/>
  <c r="D726" i="31"/>
  <c r="E726" i="31" s="1"/>
  <c r="D725" i="31"/>
  <c r="E725" i="31" s="1"/>
  <c r="D724" i="31"/>
  <c r="D723" i="31"/>
  <c r="E723" i="31" s="1"/>
  <c r="D722" i="31"/>
  <c r="E722" i="31" s="1"/>
  <c r="D721" i="31"/>
  <c r="E721" i="31" s="1"/>
  <c r="D720" i="31"/>
  <c r="E720" i="31" s="1"/>
  <c r="D719" i="31"/>
  <c r="E719" i="31" s="1"/>
  <c r="D718" i="31"/>
  <c r="E718" i="31" s="1"/>
  <c r="D717" i="31"/>
  <c r="E717" i="31" s="1"/>
  <c r="D716" i="31"/>
  <c r="E716" i="31" s="1"/>
  <c r="D715" i="31"/>
  <c r="E715" i="31" s="1"/>
  <c r="D714" i="31"/>
  <c r="E714" i="31" s="1"/>
  <c r="D713" i="31"/>
  <c r="E713" i="31" s="1"/>
  <c r="D712" i="31"/>
  <c r="E712" i="31" s="1"/>
  <c r="D711" i="31"/>
  <c r="E711" i="31" s="1"/>
  <c r="D710" i="31"/>
  <c r="E710" i="31" s="1"/>
  <c r="D709" i="31"/>
  <c r="E709" i="31" s="1"/>
  <c r="D708" i="31"/>
  <c r="E708" i="31" s="1"/>
  <c r="D707" i="31"/>
  <c r="E707" i="31" s="1"/>
  <c r="D706" i="31"/>
  <c r="E706" i="31" s="1"/>
  <c r="D705" i="31"/>
  <c r="E705" i="31" s="1"/>
  <c r="D704" i="31"/>
  <c r="E704" i="31" s="1"/>
  <c r="D703" i="31"/>
  <c r="E703" i="31" s="1"/>
  <c r="D702" i="31"/>
  <c r="E702" i="31" s="1"/>
  <c r="D701" i="31"/>
  <c r="E701" i="31" s="1"/>
  <c r="D700" i="31"/>
  <c r="E700" i="31" s="1"/>
  <c r="D699" i="31"/>
  <c r="E699" i="31" s="1"/>
  <c r="D698" i="31"/>
  <c r="E698" i="31" s="1"/>
  <c r="D697" i="31"/>
  <c r="E697" i="31" s="1"/>
  <c r="D696" i="31"/>
  <c r="E696" i="31" s="1"/>
  <c r="D695" i="31"/>
  <c r="E695" i="31" s="1"/>
  <c r="D694" i="31"/>
  <c r="E694" i="31" s="1"/>
  <c r="D693" i="31"/>
  <c r="E693" i="31" s="1"/>
  <c r="D692" i="31"/>
  <c r="E692" i="31" s="1"/>
  <c r="D691" i="31"/>
  <c r="E691" i="31" s="1"/>
  <c r="D690" i="31"/>
  <c r="E690" i="31" s="1"/>
  <c r="D689" i="31"/>
  <c r="E689" i="31" s="1"/>
  <c r="D688" i="31"/>
  <c r="E688" i="31" s="1"/>
  <c r="D687" i="31"/>
  <c r="E687" i="31" s="1"/>
  <c r="D686" i="31"/>
  <c r="E686" i="31" s="1"/>
  <c r="D685" i="31"/>
  <c r="E685" i="31" s="1"/>
  <c r="D684" i="31"/>
  <c r="E684" i="31" s="1"/>
  <c r="D683" i="31"/>
  <c r="E683" i="31" s="1"/>
  <c r="D682" i="31"/>
  <c r="E682" i="31" s="1"/>
  <c r="D681" i="31"/>
  <c r="E681" i="31" s="1"/>
  <c r="D680" i="31"/>
  <c r="E680" i="31" s="1"/>
  <c r="D679" i="31"/>
  <c r="E679" i="31" s="1"/>
  <c r="D678" i="31"/>
  <c r="E678" i="31" s="1"/>
  <c r="D677" i="31"/>
  <c r="E677" i="31" s="1"/>
  <c r="D676" i="31"/>
  <c r="E676" i="31" s="1"/>
  <c r="D675" i="31"/>
  <c r="E675" i="31" s="1"/>
  <c r="D674" i="31"/>
  <c r="E674" i="31" s="1"/>
  <c r="D673" i="31"/>
  <c r="E673" i="31" s="1"/>
  <c r="D672" i="31"/>
  <c r="E672" i="31" s="1"/>
  <c r="D671" i="31"/>
  <c r="E671" i="31" s="1"/>
  <c r="D670" i="31"/>
  <c r="E670" i="31" s="1"/>
  <c r="D669" i="31"/>
  <c r="E669" i="31" s="1"/>
  <c r="D668" i="31"/>
  <c r="E668" i="31" s="1"/>
  <c r="D667" i="31"/>
  <c r="E667" i="31" s="1"/>
  <c r="D666" i="31"/>
  <c r="E666" i="31" s="1"/>
  <c r="D665" i="31"/>
  <c r="E665" i="31" s="1"/>
  <c r="D664" i="31"/>
  <c r="E664" i="31" s="1"/>
  <c r="D663" i="31"/>
  <c r="E663" i="31" s="1"/>
  <c r="D662" i="31"/>
  <c r="E662" i="31" s="1"/>
  <c r="D661" i="31"/>
  <c r="E661" i="31" s="1"/>
  <c r="D660" i="31"/>
  <c r="E660" i="31" s="1"/>
  <c r="D659" i="31"/>
  <c r="E659" i="31" s="1"/>
  <c r="D658" i="31"/>
  <c r="E658" i="31" s="1"/>
  <c r="D657" i="31"/>
  <c r="E657" i="31" s="1"/>
  <c r="D656" i="31"/>
  <c r="E656" i="31" s="1"/>
  <c r="D655" i="31"/>
  <c r="E655" i="31" s="1"/>
  <c r="D654" i="31"/>
  <c r="E654" i="31" s="1"/>
  <c r="D653" i="31"/>
  <c r="E653" i="31" s="1"/>
  <c r="D652" i="31"/>
  <c r="E652" i="31" s="1"/>
  <c r="D651" i="31"/>
  <c r="E651" i="31" s="1"/>
  <c r="D650" i="31"/>
  <c r="E650" i="31" s="1"/>
  <c r="D649" i="31"/>
  <c r="E649" i="31" s="1"/>
  <c r="D648" i="31"/>
  <c r="E648" i="31" s="1"/>
  <c r="D647" i="31"/>
  <c r="E647" i="31" s="1"/>
  <c r="D646" i="31"/>
  <c r="E646" i="31" s="1"/>
  <c r="D645" i="31"/>
  <c r="E645" i="31" s="1"/>
  <c r="D644" i="31"/>
  <c r="E644" i="31" s="1"/>
  <c r="D643" i="31"/>
  <c r="E643" i="31" s="1"/>
  <c r="D642" i="31"/>
  <c r="E642" i="31" s="1"/>
  <c r="D641" i="31"/>
  <c r="E641" i="31" s="1"/>
  <c r="D640" i="31"/>
  <c r="E640" i="31" s="1"/>
  <c r="D639" i="31"/>
  <c r="E639" i="31" s="1"/>
  <c r="D638" i="31"/>
  <c r="E638" i="31" s="1"/>
  <c r="D637" i="31"/>
  <c r="E637" i="31" s="1"/>
  <c r="D636" i="31"/>
  <c r="E636" i="31" s="1"/>
  <c r="D635" i="31"/>
  <c r="E635" i="31" s="1"/>
  <c r="D634" i="31"/>
  <c r="E634" i="31" s="1"/>
  <c r="D633" i="31"/>
  <c r="E633" i="31" s="1"/>
  <c r="D632" i="31"/>
  <c r="E632" i="31" s="1"/>
  <c r="D631" i="31"/>
  <c r="E631" i="31" s="1"/>
  <c r="D630" i="31"/>
  <c r="E630" i="31" s="1"/>
  <c r="D629" i="31"/>
  <c r="E629" i="31" s="1"/>
  <c r="D628" i="31"/>
  <c r="E628" i="31" s="1"/>
  <c r="D627" i="31"/>
  <c r="E627" i="31" s="1"/>
  <c r="D626" i="31"/>
  <c r="E626" i="31" s="1"/>
  <c r="D625" i="31"/>
  <c r="E625" i="31" s="1"/>
  <c r="D624" i="31"/>
  <c r="E624" i="31" s="1"/>
  <c r="D623" i="31"/>
  <c r="E623" i="31" s="1"/>
  <c r="D622" i="31"/>
  <c r="E622" i="31" s="1"/>
  <c r="D621" i="31"/>
  <c r="E621" i="31" s="1"/>
  <c r="D620" i="31"/>
  <c r="E620" i="31" s="1"/>
  <c r="D619" i="31"/>
  <c r="E619" i="31" s="1"/>
  <c r="D618" i="31"/>
  <c r="E618" i="31" s="1"/>
  <c r="D617" i="31"/>
  <c r="E617" i="31" s="1"/>
  <c r="D616" i="31"/>
  <c r="E616" i="31" s="1"/>
  <c r="D615" i="31"/>
  <c r="E615" i="31" s="1"/>
  <c r="D614" i="31"/>
  <c r="E614" i="31" s="1"/>
  <c r="D613" i="31"/>
  <c r="E613" i="31" s="1"/>
  <c r="D612" i="31"/>
  <c r="E612" i="31" s="1"/>
  <c r="D611" i="31"/>
  <c r="E611" i="31" s="1"/>
  <c r="D610" i="31"/>
  <c r="E610" i="31" s="1"/>
  <c r="D609" i="31"/>
  <c r="E609" i="31" s="1"/>
  <c r="D608" i="31"/>
  <c r="E608" i="31" s="1"/>
  <c r="D607" i="31"/>
  <c r="E607" i="31" s="1"/>
  <c r="D606" i="31"/>
  <c r="E606" i="31" s="1"/>
  <c r="D605" i="31"/>
  <c r="E605" i="31" s="1"/>
  <c r="D604" i="31"/>
  <c r="D603" i="31"/>
  <c r="E603" i="31" s="1"/>
  <c r="D602" i="31"/>
  <c r="E602" i="31" s="1"/>
  <c r="D601" i="31"/>
  <c r="E601" i="31" s="1"/>
  <c r="D600" i="31"/>
  <c r="E600" i="31" s="1"/>
  <c r="D599" i="31"/>
  <c r="E599" i="31" s="1"/>
  <c r="D598" i="31"/>
  <c r="E598" i="31" s="1"/>
  <c r="D597" i="31"/>
  <c r="E597" i="31" s="1"/>
  <c r="D596" i="31"/>
  <c r="E596" i="31" s="1"/>
  <c r="D595" i="31"/>
  <c r="E595" i="31" s="1"/>
  <c r="D594" i="31"/>
  <c r="E594" i="31" s="1"/>
  <c r="D593" i="31"/>
  <c r="E593" i="31" s="1"/>
  <c r="D592" i="31"/>
  <c r="E592" i="31" s="1"/>
  <c r="D591" i="31"/>
  <c r="E591" i="31" s="1"/>
  <c r="D590" i="31"/>
  <c r="E590" i="31" s="1"/>
  <c r="D589" i="31"/>
  <c r="E589" i="31" s="1"/>
  <c r="D588" i="31"/>
  <c r="E588" i="31" s="1"/>
  <c r="D587" i="31"/>
  <c r="E587" i="31" s="1"/>
  <c r="D586" i="31"/>
  <c r="E586" i="31" s="1"/>
  <c r="D585" i="31"/>
  <c r="E585" i="31" s="1"/>
  <c r="D584" i="31"/>
  <c r="E584" i="31" s="1"/>
  <c r="D583" i="31"/>
  <c r="E583" i="31" s="1"/>
  <c r="D582" i="31"/>
  <c r="E582" i="31" s="1"/>
  <c r="D581" i="31"/>
  <c r="E581" i="31" s="1"/>
  <c r="D580" i="31"/>
  <c r="E580" i="31" s="1"/>
  <c r="D579" i="31"/>
  <c r="E579" i="31" s="1"/>
  <c r="D578" i="31"/>
  <c r="E578" i="31" s="1"/>
  <c r="D577" i="31"/>
  <c r="E577" i="31" s="1"/>
  <c r="D576" i="31"/>
  <c r="E576" i="31" s="1"/>
  <c r="D575" i="31"/>
  <c r="E575" i="31" s="1"/>
  <c r="D574" i="31"/>
  <c r="E574" i="31" s="1"/>
  <c r="D573" i="31"/>
  <c r="E573" i="31" s="1"/>
  <c r="D572" i="31"/>
  <c r="E572" i="31" s="1"/>
  <c r="D571" i="31"/>
  <c r="E571" i="31" s="1"/>
  <c r="D570" i="31"/>
  <c r="E570" i="31" s="1"/>
  <c r="D569" i="31"/>
  <c r="E569" i="31" s="1"/>
  <c r="D568" i="31"/>
  <c r="E568" i="31" s="1"/>
  <c r="D567" i="31"/>
  <c r="E567" i="31" s="1"/>
  <c r="D566" i="31"/>
  <c r="E566" i="31" s="1"/>
  <c r="D565" i="31"/>
  <c r="E565" i="31" s="1"/>
  <c r="D564" i="31"/>
  <c r="E564" i="31" s="1"/>
  <c r="D563" i="31"/>
  <c r="E563" i="31" s="1"/>
  <c r="D562" i="31"/>
  <c r="E562" i="31" s="1"/>
  <c r="D561" i="31"/>
  <c r="E561" i="31" s="1"/>
  <c r="D560" i="31"/>
  <c r="E560" i="31" s="1"/>
  <c r="D559" i="31"/>
  <c r="E559" i="31" s="1"/>
  <c r="D558" i="31"/>
  <c r="E558" i="31" s="1"/>
  <c r="D557" i="31"/>
  <c r="E557" i="31" s="1"/>
  <c r="D556" i="31"/>
  <c r="E556" i="31" s="1"/>
  <c r="D555" i="31"/>
  <c r="E555" i="31" s="1"/>
  <c r="D554" i="31"/>
  <c r="E554" i="31" s="1"/>
  <c r="D553" i="31"/>
  <c r="E553" i="31" s="1"/>
  <c r="D552" i="31"/>
  <c r="E552" i="31" s="1"/>
  <c r="D551" i="31"/>
  <c r="E551" i="31" s="1"/>
  <c r="D550" i="31"/>
  <c r="E550" i="31" s="1"/>
  <c r="D549" i="31"/>
  <c r="E549" i="31" s="1"/>
  <c r="D548" i="31"/>
  <c r="E548" i="31" s="1"/>
  <c r="D547" i="31"/>
  <c r="E547" i="31" s="1"/>
  <c r="D546" i="31"/>
  <c r="E546" i="31" s="1"/>
  <c r="D545" i="31"/>
  <c r="E545" i="31" s="1"/>
  <c r="D544" i="31"/>
  <c r="E544" i="31" s="1"/>
  <c r="D543" i="31"/>
  <c r="E543" i="31" s="1"/>
  <c r="D542" i="31"/>
  <c r="E542" i="31" s="1"/>
  <c r="D541" i="31"/>
  <c r="E541" i="31" s="1"/>
  <c r="D540" i="31"/>
  <c r="D539" i="31"/>
  <c r="E539" i="31" s="1"/>
  <c r="D538" i="31"/>
  <c r="E538" i="31" s="1"/>
  <c r="D537" i="31"/>
  <c r="E537" i="31" s="1"/>
  <c r="D536" i="31"/>
  <c r="E536" i="31" s="1"/>
  <c r="D535" i="31"/>
  <c r="E535" i="31" s="1"/>
  <c r="D534" i="31"/>
  <c r="E534" i="31" s="1"/>
  <c r="D533" i="31"/>
  <c r="E533" i="31" s="1"/>
  <c r="D532" i="31"/>
  <c r="E532" i="31" s="1"/>
  <c r="D531" i="31"/>
  <c r="E531" i="31" s="1"/>
  <c r="D530" i="31"/>
  <c r="E530" i="31" s="1"/>
  <c r="D529" i="31"/>
  <c r="E529" i="31" s="1"/>
  <c r="D528" i="31"/>
  <c r="E528" i="31" s="1"/>
  <c r="D527" i="31"/>
  <c r="E527" i="31" s="1"/>
  <c r="D526" i="31"/>
  <c r="E526" i="31" s="1"/>
  <c r="D525" i="31"/>
  <c r="E525" i="31" s="1"/>
  <c r="D524" i="31"/>
  <c r="E524" i="31" s="1"/>
  <c r="D523" i="31"/>
  <c r="E523" i="31" s="1"/>
  <c r="D522" i="31"/>
  <c r="E522" i="31" s="1"/>
  <c r="D521" i="31"/>
  <c r="E521" i="31" s="1"/>
  <c r="D520" i="31"/>
  <c r="E520" i="31" s="1"/>
  <c r="D519" i="31"/>
  <c r="E519" i="31" s="1"/>
  <c r="D518" i="31"/>
  <c r="E518" i="31" s="1"/>
  <c r="D517" i="31"/>
  <c r="E517" i="31" s="1"/>
  <c r="D516" i="31"/>
  <c r="E516" i="31" s="1"/>
  <c r="D515" i="31"/>
  <c r="E515" i="31" s="1"/>
  <c r="D514" i="31"/>
  <c r="E514" i="31" s="1"/>
  <c r="D513" i="31"/>
  <c r="E513" i="31" s="1"/>
  <c r="D512" i="31"/>
  <c r="E512" i="31" s="1"/>
  <c r="D511" i="31"/>
  <c r="E511" i="31" s="1"/>
  <c r="D510" i="31"/>
  <c r="E510" i="31" s="1"/>
  <c r="D509" i="31"/>
  <c r="E509" i="31" s="1"/>
  <c r="D508" i="31"/>
  <c r="E508" i="31" s="1"/>
  <c r="D507" i="31"/>
  <c r="E507" i="31" s="1"/>
  <c r="D506" i="31"/>
  <c r="E506" i="31" s="1"/>
  <c r="D505" i="31"/>
  <c r="E505" i="31" s="1"/>
  <c r="D504" i="31"/>
  <c r="E504" i="31" s="1"/>
  <c r="D503" i="31"/>
  <c r="E503" i="31" s="1"/>
  <c r="D502" i="31"/>
  <c r="E502" i="31" s="1"/>
  <c r="D501" i="31"/>
  <c r="E501" i="31" s="1"/>
  <c r="D500" i="31"/>
  <c r="E500" i="31" s="1"/>
  <c r="D499" i="31"/>
  <c r="E499" i="31" s="1"/>
  <c r="D498" i="31"/>
  <c r="E498" i="31" s="1"/>
  <c r="D497" i="31"/>
  <c r="E497" i="31" s="1"/>
  <c r="D496" i="31"/>
  <c r="E496" i="31" s="1"/>
  <c r="D495" i="31"/>
  <c r="E495" i="31" s="1"/>
  <c r="D494" i="31"/>
  <c r="E494" i="31" s="1"/>
  <c r="D493" i="31"/>
  <c r="E493" i="31" s="1"/>
  <c r="D492" i="31"/>
  <c r="E492" i="31" s="1"/>
  <c r="D491" i="31"/>
  <c r="E491" i="31" s="1"/>
  <c r="D490" i="31"/>
  <c r="E490" i="31" s="1"/>
  <c r="D489" i="31"/>
  <c r="E489" i="31" s="1"/>
  <c r="D488" i="31"/>
  <c r="E488" i="31" s="1"/>
  <c r="D487" i="31"/>
  <c r="E487" i="31" s="1"/>
  <c r="D486" i="31"/>
  <c r="E486" i="31" s="1"/>
  <c r="D485" i="31"/>
  <c r="E485" i="31" s="1"/>
  <c r="D484" i="31"/>
  <c r="E484" i="31" s="1"/>
  <c r="D483" i="31"/>
  <c r="E483" i="31" s="1"/>
  <c r="D482" i="31"/>
  <c r="E482" i="31" s="1"/>
  <c r="D481" i="31"/>
  <c r="E481" i="31" s="1"/>
  <c r="D480" i="31"/>
  <c r="E480" i="31" s="1"/>
  <c r="D479" i="31"/>
  <c r="E479" i="31" s="1"/>
  <c r="D478" i="31"/>
  <c r="E478" i="31" s="1"/>
  <c r="D477" i="31"/>
  <c r="E477" i="31" s="1"/>
  <c r="D476" i="31"/>
  <c r="E476" i="31" s="1"/>
  <c r="D475" i="31"/>
  <c r="E475" i="31" s="1"/>
  <c r="D474" i="31"/>
  <c r="E474" i="31" s="1"/>
  <c r="D473" i="31"/>
  <c r="E473" i="31" s="1"/>
  <c r="D472" i="31"/>
  <c r="E472" i="31" s="1"/>
  <c r="D471" i="31"/>
  <c r="E471" i="31" s="1"/>
  <c r="D470" i="31"/>
  <c r="E470" i="31" s="1"/>
  <c r="D469" i="31"/>
  <c r="E469" i="31" s="1"/>
  <c r="D468" i="31"/>
  <c r="E468" i="31" s="1"/>
  <c r="D467" i="31"/>
  <c r="E467" i="31" s="1"/>
  <c r="D466" i="31"/>
  <c r="E466" i="31" s="1"/>
  <c r="D465" i="31"/>
  <c r="E465" i="31" s="1"/>
  <c r="D464" i="31"/>
  <c r="E464" i="31" s="1"/>
  <c r="D463" i="31"/>
  <c r="E463" i="31" s="1"/>
  <c r="D462" i="31"/>
  <c r="E462" i="31" s="1"/>
  <c r="D461" i="31"/>
  <c r="E461" i="31" s="1"/>
  <c r="D460" i="31"/>
  <c r="E460" i="31" s="1"/>
  <c r="D459" i="31"/>
  <c r="E459" i="31" s="1"/>
  <c r="D458" i="31"/>
  <c r="E458" i="31" s="1"/>
  <c r="D457" i="31"/>
  <c r="E457" i="31" s="1"/>
  <c r="D456" i="31"/>
  <c r="E456" i="31" s="1"/>
  <c r="D455" i="31"/>
  <c r="E455" i="31" s="1"/>
  <c r="D454" i="31"/>
  <c r="E454" i="31" s="1"/>
  <c r="D453" i="31"/>
  <c r="E453" i="31" s="1"/>
  <c r="D452" i="31"/>
  <c r="E452" i="31" s="1"/>
  <c r="D451" i="31"/>
  <c r="E451" i="31" s="1"/>
  <c r="D450" i="31"/>
  <c r="E450" i="31" s="1"/>
  <c r="D449" i="31"/>
  <c r="E449" i="31" s="1"/>
  <c r="D448" i="31"/>
  <c r="E448" i="31" s="1"/>
  <c r="D447" i="31"/>
  <c r="E447" i="31" s="1"/>
  <c r="D446" i="31"/>
  <c r="E446" i="31" s="1"/>
  <c r="D445" i="31"/>
  <c r="E445" i="31" s="1"/>
  <c r="D444" i="31"/>
  <c r="E444" i="31" s="1"/>
  <c r="D443" i="31"/>
  <c r="E443" i="31" s="1"/>
  <c r="D442" i="31"/>
  <c r="E442" i="31" s="1"/>
  <c r="D441" i="31"/>
  <c r="E441" i="31" s="1"/>
  <c r="D440" i="31"/>
  <c r="E440" i="31" s="1"/>
  <c r="D439" i="31"/>
  <c r="E439" i="31" s="1"/>
  <c r="D438" i="31"/>
  <c r="E438" i="31" s="1"/>
  <c r="D437" i="31"/>
  <c r="E437" i="31" s="1"/>
  <c r="D436" i="31"/>
  <c r="D435" i="31"/>
  <c r="E435" i="31" s="1"/>
  <c r="D434" i="31"/>
  <c r="E434" i="31" s="1"/>
  <c r="D433" i="31"/>
  <c r="E433" i="31" s="1"/>
  <c r="D432" i="31"/>
  <c r="E432" i="31" s="1"/>
  <c r="D431" i="31"/>
  <c r="E431" i="31" s="1"/>
  <c r="D430" i="31"/>
  <c r="E430" i="31" s="1"/>
  <c r="D429" i="31"/>
  <c r="E429" i="31" s="1"/>
  <c r="D428" i="31"/>
  <c r="E428" i="31" s="1"/>
  <c r="D427" i="31"/>
  <c r="E427" i="31" s="1"/>
  <c r="D426" i="31"/>
  <c r="E426" i="31" s="1"/>
  <c r="D425" i="31"/>
  <c r="E425" i="31" s="1"/>
  <c r="D424" i="31"/>
  <c r="E424" i="31" s="1"/>
  <c r="D423" i="31"/>
  <c r="E423" i="31" s="1"/>
  <c r="D422" i="31"/>
  <c r="E422" i="31" s="1"/>
  <c r="D421" i="31"/>
  <c r="E421" i="31" s="1"/>
  <c r="D420" i="31"/>
  <c r="E420" i="31" s="1"/>
  <c r="D419" i="31"/>
  <c r="E419" i="31" s="1"/>
  <c r="D418" i="31"/>
  <c r="E418" i="31" s="1"/>
  <c r="D417" i="31"/>
  <c r="E417" i="31" s="1"/>
  <c r="D416" i="31"/>
  <c r="E416" i="31" s="1"/>
  <c r="D415" i="31"/>
  <c r="E415" i="31" s="1"/>
  <c r="D414" i="31"/>
  <c r="E414" i="31" s="1"/>
  <c r="D413" i="31"/>
  <c r="E413" i="31" s="1"/>
  <c r="D412" i="31"/>
  <c r="E412" i="31" s="1"/>
  <c r="D411" i="31"/>
  <c r="E411" i="31" s="1"/>
  <c r="D410" i="31"/>
  <c r="E410" i="31" s="1"/>
  <c r="D409" i="31"/>
  <c r="E409" i="31" s="1"/>
  <c r="D408" i="31"/>
  <c r="E408" i="31" s="1"/>
  <c r="D407" i="31"/>
  <c r="E407" i="31" s="1"/>
  <c r="D406" i="31"/>
  <c r="E406" i="31" s="1"/>
  <c r="D405" i="31"/>
  <c r="E405" i="31" s="1"/>
  <c r="D404" i="31"/>
  <c r="E404" i="31" s="1"/>
  <c r="D403" i="31"/>
  <c r="E403" i="31" s="1"/>
  <c r="D402" i="31"/>
  <c r="E402" i="31" s="1"/>
  <c r="D401" i="31"/>
  <c r="E401" i="31" s="1"/>
  <c r="D400" i="31"/>
  <c r="E400" i="31" s="1"/>
  <c r="D399" i="31"/>
  <c r="E399" i="31" s="1"/>
  <c r="D398" i="31"/>
  <c r="E398" i="31" s="1"/>
  <c r="D397" i="31"/>
  <c r="E397" i="31" s="1"/>
  <c r="D396" i="31"/>
  <c r="E396" i="31" s="1"/>
  <c r="D395" i="31"/>
  <c r="E395" i="31" s="1"/>
  <c r="D394" i="31"/>
  <c r="E394" i="31" s="1"/>
  <c r="D393" i="31"/>
  <c r="E393" i="31" s="1"/>
  <c r="D392" i="31"/>
  <c r="E392" i="31" s="1"/>
  <c r="D391" i="31"/>
  <c r="E391" i="31" s="1"/>
  <c r="D390" i="31"/>
  <c r="E390" i="31" s="1"/>
  <c r="D389" i="31"/>
  <c r="E389" i="31" s="1"/>
  <c r="D388" i="31"/>
  <c r="E388" i="31" s="1"/>
  <c r="D387" i="31"/>
  <c r="E387" i="31" s="1"/>
  <c r="D386" i="31"/>
  <c r="E386" i="31" s="1"/>
  <c r="D385" i="31"/>
  <c r="E385" i="31" s="1"/>
  <c r="D384" i="31"/>
  <c r="E384" i="31" s="1"/>
  <c r="D383" i="31"/>
  <c r="E383" i="31" s="1"/>
  <c r="D382" i="31"/>
  <c r="E382" i="31" s="1"/>
  <c r="D381" i="31"/>
  <c r="E381" i="31" s="1"/>
  <c r="D380" i="31"/>
  <c r="E380" i="31" s="1"/>
  <c r="D379" i="31"/>
  <c r="E379" i="31" s="1"/>
  <c r="D378" i="31"/>
  <c r="E378" i="31" s="1"/>
  <c r="D377" i="31"/>
  <c r="E377" i="31" s="1"/>
  <c r="D376" i="31"/>
  <c r="E376" i="31" s="1"/>
  <c r="D375" i="31"/>
  <c r="E375" i="31" s="1"/>
  <c r="D374" i="31"/>
  <c r="E374" i="31" s="1"/>
  <c r="D373" i="31"/>
  <c r="E373" i="31" s="1"/>
  <c r="D372" i="31"/>
  <c r="D371" i="31"/>
  <c r="E371" i="31" s="1"/>
  <c r="D370" i="31"/>
  <c r="E370" i="31" s="1"/>
  <c r="D369" i="31"/>
  <c r="E369" i="31" s="1"/>
  <c r="D368" i="31"/>
  <c r="E368" i="31" s="1"/>
  <c r="D367" i="31"/>
  <c r="E367" i="31" s="1"/>
  <c r="D366" i="31"/>
  <c r="E366" i="31" s="1"/>
  <c r="D365" i="31"/>
  <c r="E365" i="31" s="1"/>
  <c r="D364" i="31"/>
  <c r="E364" i="31" s="1"/>
  <c r="D363" i="31"/>
  <c r="E363" i="31" s="1"/>
  <c r="D362" i="31"/>
  <c r="E362" i="31" s="1"/>
  <c r="D361" i="31"/>
  <c r="E361" i="31" s="1"/>
  <c r="D360" i="31"/>
  <c r="E360" i="31" s="1"/>
  <c r="D359" i="31"/>
  <c r="E359" i="31" s="1"/>
  <c r="D358" i="31"/>
  <c r="E358" i="31" s="1"/>
  <c r="D357" i="31"/>
  <c r="E357" i="31" s="1"/>
  <c r="D356" i="31"/>
  <c r="E356" i="31" s="1"/>
  <c r="D355" i="31"/>
  <c r="E355" i="31" s="1"/>
  <c r="D354" i="31"/>
  <c r="E354" i="31" s="1"/>
  <c r="D353" i="31"/>
  <c r="E353" i="31" s="1"/>
  <c r="D352" i="31"/>
  <c r="E352" i="31" s="1"/>
  <c r="D351" i="31"/>
  <c r="E351" i="31" s="1"/>
  <c r="D350" i="31"/>
  <c r="E350" i="31" s="1"/>
  <c r="D349" i="31"/>
  <c r="E349" i="31" s="1"/>
  <c r="D348" i="31"/>
  <c r="E348" i="31" s="1"/>
  <c r="D347" i="31"/>
  <c r="E347" i="31" s="1"/>
  <c r="D346" i="31"/>
  <c r="E346" i="31" s="1"/>
  <c r="D345" i="31"/>
  <c r="E345" i="31" s="1"/>
  <c r="D344" i="31"/>
  <c r="E344" i="31" s="1"/>
  <c r="D343" i="31"/>
  <c r="E343" i="31" s="1"/>
  <c r="D342" i="31"/>
  <c r="E342" i="31" s="1"/>
  <c r="D341" i="31"/>
  <c r="E341" i="31" s="1"/>
  <c r="D340" i="31"/>
  <c r="E340" i="31" s="1"/>
  <c r="D339" i="31"/>
  <c r="E339" i="31" s="1"/>
  <c r="D338" i="31"/>
  <c r="E338" i="31" s="1"/>
  <c r="D337" i="31"/>
  <c r="E337" i="31" s="1"/>
  <c r="D336" i="31"/>
  <c r="E336" i="31" s="1"/>
  <c r="D335" i="31"/>
  <c r="E335" i="31" s="1"/>
  <c r="D334" i="31"/>
  <c r="E334" i="31" s="1"/>
  <c r="D333" i="31"/>
  <c r="E333" i="31" s="1"/>
  <c r="D332" i="31"/>
  <c r="E332" i="31" s="1"/>
  <c r="D331" i="31"/>
  <c r="E331" i="31" s="1"/>
  <c r="D330" i="31"/>
  <c r="E330" i="31" s="1"/>
  <c r="D329" i="31"/>
  <c r="E329" i="31" s="1"/>
  <c r="D328" i="31"/>
  <c r="E328" i="31" s="1"/>
  <c r="D327" i="31"/>
  <c r="E327" i="31" s="1"/>
  <c r="D326" i="31"/>
  <c r="E326" i="31" s="1"/>
  <c r="D325" i="31"/>
  <c r="E325" i="31" s="1"/>
  <c r="D324" i="31"/>
  <c r="E324" i="31" s="1"/>
  <c r="D323" i="31"/>
  <c r="E323" i="31" s="1"/>
  <c r="D322" i="31"/>
  <c r="E322" i="31" s="1"/>
  <c r="D321" i="31"/>
  <c r="E321" i="31" s="1"/>
  <c r="D320" i="31"/>
  <c r="E320" i="31" s="1"/>
  <c r="D319" i="31"/>
  <c r="E319" i="31" s="1"/>
  <c r="D318" i="31"/>
  <c r="E318" i="31" s="1"/>
  <c r="D317" i="31"/>
  <c r="E317" i="31" s="1"/>
  <c r="D316" i="31"/>
  <c r="E316" i="31" s="1"/>
  <c r="D315" i="31"/>
  <c r="E315" i="31" s="1"/>
  <c r="D314" i="31"/>
  <c r="E314" i="31" s="1"/>
  <c r="D313" i="31"/>
  <c r="E313" i="31" s="1"/>
  <c r="D312" i="31"/>
  <c r="E312" i="31" s="1"/>
  <c r="D311" i="31"/>
  <c r="E311" i="31" s="1"/>
  <c r="D310" i="31"/>
  <c r="E310" i="31" s="1"/>
  <c r="D309" i="31"/>
  <c r="E309" i="31" s="1"/>
  <c r="D308" i="31"/>
  <c r="D307" i="31"/>
  <c r="E307" i="31" s="1"/>
  <c r="D306" i="31"/>
  <c r="E306" i="31" s="1"/>
  <c r="D305" i="31"/>
  <c r="E305" i="31" s="1"/>
  <c r="D304" i="31"/>
  <c r="E304" i="31" s="1"/>
  <c r="D303" i="31"/>
  <c r="E303" i="31" s="1"/>
  <c r="D302" i="31"/>
  <c r="E302" i="31" s="1"/>
  <c r="D301" i="31"/>
  <c r="E301" i="31" s="1"/>
  <c r="D300" i="31"/>
  <c r="E300" i="31" s="1"/>
  <c r="D299" i="31"/>
  <c r="E299" i="31" s="1"/>
  <c r="D298" i="31"/>
  <c r="E298" i="31" s="1"/>
  <c r="D297" i="31"/>
  <c r="E297" i="31" s="1"/>
  <c r="D296" i="31"/>
  <c r="E296" i="31" s="1"/>
  <c r="D295" i="31"/>
  <c r="E295" i="31" s="1"/>
  <c r="D294" i="31"/>
  <c r="E294" i="31" s="1"/>
  <c r="D293" i="31"/>
  <c r="E293" i="31" s="1"/>
  <c r="D292" i="31"/>
  <c r="E292" i="31" s="1"/>
  <c r="D291" i="31"/>
  <c r="E291" i="31" s="1"/>
  <c r="D290" i="31"/>
  <c r="E290" i="31" s="1"/>
  <c r="D289" i="31"/>
  <c r="E289" i="31" s="1"/>
  <c r="D288" i="31"/>
  <c r="E288" i="31" s="1"/>
  <c r="D287" i="31"/>
  <c r="E287" i="31" s="1"/>
  <c r="D286" i="31"/>
  <c r="E286" i="31" s="1"/>
  <c r="D285" i="31"/>
  <c r="E285" i="31" s="1"/>
  <c r="D284" i="31"/>
  <c r="E284" i="31" s="1"/>
  <c r="D283" i="31"/>
  <c r="E283" i="31" s="1"/>
  <c r="D282" i="31"/>
  <c r="E282" i="31" s="1"/>
  <c r="D281" i="31"/>
  <c r="E281" i="31" s="1"/>
  <c r="D280" i="31"/>
  <c r="E280" i="31" s="1"/>
  <c r="D279" i="31"/>
  <c r="E279" i="31" s="1"/>
  <c r="D278" i="31"/>
  <c r="E278" i="31" s="1"/>
  <c r="D277" i="31"/>
  <c r="E277" i="31" s="1"/>
  <c r="D276" i="31"/>
  <c r="E276" i="31" s="1"/>
  <c r="D275" i="31"/>
  <c r="E275" i="31" s="1"/>
  <c r="D274" i="31"/>
  <c r="E274" i="31" s="1"/>
  <c r="D273" i="31"/>
  <c r="E273" i="31" s="1"/>
  <c r="D272" i="31"/>
  <c r="E272" i="31" s="1"/>
  <c r="D271" i="31"/>
  <c r="E271" i="31" s="1"/>
  <c r="D270" i="31"/>
  <c r="E270" i="31" s="1"/>
  <c r="D269" i="31"/>
  <c r="E269" i="31" s="1"/>
  <c r="D268" i="31"/>
  <c r="E268" i="31" s="1"/>
  <c r="D267" i="31"/>
  <c r="E267" i="31" s="1"/>
  <c r="D266" i="31"/>
  <c r="E266" i="31" s="1"/>
  <c r="D265" i="31"/>
  <c r="E265" i="31" s="1"/>
  <c r="D264" i="31"/>
  <c r="E264" i="31" s="1"/>
  <c r="D263" i="31"/>
  <c r="E263" i="31" s="1"/>
  <c r="D262" i="31"/>
  <c r="E262" i="31" s="1"/>
  <c r="D261" i="31"/>
  <c r="E261" i="31" s="1"/>
  <c r="D260" i="31"/>
  <c r="E260" i="31" s="1"/>
  <c r="D259" i="31"/>
  <c r="E259" i="31" s="1"/>
  <c r="D258" i="31"/>
  <c r="E258" i="31" s="1"/>
  <c r="D257" i="31"/>
  <c r="E257" i="31" s="1"/>
  <c r="D256" i="31"/>
  <c r="E256" i="31" s="1"/>
  <c r="D255" i="31"/>
  <c r="E255" i="31" s="1"/>
  <c r="D254" i="31"/>
  <c r="E254" i="31" s="1"/>
  <c r="D253" i="31"/>
  <c r="E253" i="31" s="1"/>
  <c r="D252" i="31"/>
  <c r="E252" i="31" s="1"/>
  <c r="D251" i="31"/>
  <c r="E251" i="31" s="1"/>
  <c r="D250" i="31"/>
  <c r="E250" i="31" s="1"/>
  <c r="D249" i="31"/>
  <c r="E249" i="31" s="1"/>
  <c r="D248" i="31"/>
  <c r="E248" i="31" s="1"/>
  <c r="D247" i="31"/>
  <c r="E247" i="31" s="1"/>
  <c r="D246" i="31"/>
  <c r="E246" i="31" s="1"/>
  <c r="D245" i="31"/>
  <c r="E245" i="31" s="1"/>
  <c r="D244" i="31"/>
  <c r="E244" i="31" s="1"/>
  <c r="D243" i="31"/>
  <c r="E243" i="31" s="1"/>
  <c r="D242" i="31"/>
  <c r="E242" i="31" s="1"/>
  <c r="D241" i="31"/>
  <c r="E241" i="31" s="1"/>
  <c r="D240" i="31"/>
  <c r="E240" i="31" s="1"/>
  <c r="D239" i="31"/>
  <c r="E239" i="31" s="1"/>
  <c r="D238" i="31"/>
  <c r="E238" i="31" s="1"/>
  <c r="D237" i="31"/>
  <c r="E237" i="31" s="1"/>
  <c r="D236" i="31"/>
  <c r="E236" i="31" s="1"/>
  <c r="D235" i="31"/>
  <c r="E235" i="31" s="1"/>
  <c r="D234" i="31"/>
  <c r="E234" i="31" s="1"/>
  <c r="D233" i="31"/>
  <c r="E233" i="31" s="1"/>
  <c r="D232" i="31"/>
  <c r="E232" i="31" s="1"/>
  <c r="D231" i="31"/>
  <c r="E231" i="31" s="1"/>
  <c r="D230" i="31"/>
  <c r="E230" i="31" s="1"/>
  <c r="D229" i="31"/>
  <c r="E229" i="31" s="1"/>
  <c r="D228" i="31"/>
  <c r="E228" i="31" s="1"/>
  <c r="D227" i="31"/>
  <c r="E227" i="31" s="1"/>
  <c r="D226" i="31"/>
  <c r="E226" i="31" s="1"/>
  <c r="D225" i="31"/>
  <c r="E225" i="31" s="1"/>
  <c r="D224" i="31"/>
  <c r="E224" i="31" s="1"/>
  <c r="D223" i="31"/>
  <c r="E223" i="31" s="1"/>
  <c r="D222" i="31"/>
  <c r="E222" i="31" s="1"/>
  <c r="D221" i="31"/>
  <c r="E221" i="31" s="1"/>
  <c r="D220" i="31"/>
  <c r="E220" i="31" s="1"/>
  <c r="D219" i="31"/>
  <c r="E219" i="31" s="1"/>
  <c r="D218" i="31"/>
  <c r="E218" i="31" s="1"/>
  <c r="D217" i="31"/>
  <c r="E217" i="31" s="1"/>
  <c r="D216" i="31"/>
  <c r="E216" i="31" s="1"/>
  <c r="D215" i="31"/>
  <c r="E215" i="31" s="1"/>
  <c r="D214" i="31"/>
  <c r="E214" i="31" s="1"/>
  <c r="D213" i="31"/>
  <c r="E213" i="31" s="1"/>
  <c r="D212" i="31"/>
  <c r="E212" i="31" s="1"/>
  <c r="D211" i="31"/>
  <c r="E211" i="31" s="1"/>
  <c r="D210" i="31"/>
  <c r="E210" i="31" s="1"/>
  <c r="D209" i="31"/>
  <c r="E209" i="31" s="1"/>
  <c r="D208" i="31"/>
  <c r="E208" i="31" s="1"/>
  <c r="D207" i="31"/>
  <c r="E207" i="31" s="1"/>
  <c r="D206" i="31"/>
  <c r="E206" i="31" s="1"/>
  <c r="D205" i="31"/>
  <c r="E205" i="31" s="1"/>
  <c r="D204" i="31"/>
  <c r="E204" i="31" s="1"/>
  <c r="D203" i="31"/>
  <c r="E203" i="31" s="1"/>
  <c r="D202" i="31"/>
  <c r="E202" i="31" s="1"/>
  <c r="D201" i="31"/>
  <c r="E201" i="31" s="1"/>
  <c r="D200" i="31"/>
  <c r="E200" i="31" s="1"/>
  <c r="D199" i="31"/>
  <c r="E199" i="31" s="1"/>
  <c r="D198" i="31"/>
  <c r="E198" i="31" s="1"/>
  <c r="D197" i="31"/>
  <c r="E197" i="31" s="1"/>
  <c r="D196" i="31"/>
  <c r="E196" i="31" s="1"/>
  <c r="D195" i="31"/>
  <c r="E195" i="31" s="1"/>
  <c r="D194" i="31"/>
  <c r="E194" i="31" s="1"/>
  <c r="D193" i="31"/>
  <c r="E193" i="31" s="1"/>
  <c r="D192" i="31"/>
  <c r="E192" i="31" s="1"/>
  <c r="D191" i="31"/>
  <c r="E191" i="31" s="1"/>
  <c r="D190" i="31"/>
  <c r="E190" i="31" s="1"/>
  <c r="D189" i="31"/>
  <c r="E189" i="31" s="1"/>
  <c r="D188" i="31"/>
  <c r="E188" i="31" s="1"/>
  <c r="D187" i="31"/>
  <c r="E187" i="31" s="1"/>
  <c r="D186" i="31"/>
  <c r="E186" i="31" s="1"/>
  <c r="D185" i="31"/>
  <c r="E185" i="31" s="1"/>
  <c r="D184" i="31"/>
  <c r="E184" i="31" s="1"/>
  <c r="D183" i="31"/>
  <c r="E183" i="31" s="1"/>
  <c r="D182" i="31"/>
  <c r="E182" i="31" s="1"/>
  <c r="D181" i="31"/>
  <c r="E181" i="31" s="1"/>
  <c r="D180" i="31"/>
  <c r="D179" i="31"/>
  <c r="E179" i="31" s="1"/>
  <c r="D178" i="31"/>
  <c r="E178" i="31" s="1"/>
  <c r="D177" i="31"/>
  <c r="E177" i="31" s="1"/>
  <c r="D176" i="31"/>
  <c r="E176" i="31" s="1"/>
  <c r="D175" i="31"/>
  <c r="E175" i="31" s="1"/>
  <c r="D174" i="31"/>
  <c r="E174" i="31" s="1"/>
  <c r="D173" i="31"/>
  <c r="E173" i="31" s="1"/>
  <c r="D172" i="31"/>
  <c r="E172" i="31" s="1"/>
  <c r="D171" i="31"/>
  <c r="E171" i="31" s="1"/>
  <c r="D170" i="31"/>
  <c r="E170" i="31" s="1"/>
  <c r="D169" i="31"/>
  <c r="E169" i="31" s="1"/>
  <c r="D168" i="31"/>
  <c r="E168" i="31" s="1"/>
  <c r="D167" i="31"/>
  <c r="E167" i="31" s="1"/>
  <c r="D166" i="31"/>
  <c r="E166" i="31" s="1"/>
  <c r="D165" i="31"/>
  <c r="E165" i="31" s="1"/>
  <c r="D164" i="31"/>
  <c r="E164" i="31" s="1"/>
  <c r="D163" i="31"/>
  <c r="E163" i="31" s="1"/>
  <c r="D162" i="31"/>
  <c r="E162" i="31" s="1"/>
  <c r="D161" i="31"/>
  <c r="E161" i="31" s="1"/>
  <c r="D160" i="31"/>
  <c r="E160" i="31" s="1"/>
  <c r="D159" i="31"/>
  <c r="E159" i="31" s="1"/>
  <c r="D158" i="31"/>
  <c r="E158" i="31" s="1"/>
  <c r="D157" i="31"/>
  <c r="E157" i="31" s="1"/>
  <c r="D156" i="31"/>
  <c r="E156" i="31" s="1"/>
  <c r="D155" i="31"/>
  <c r="E155" i="31" s="1"/>
  <c r="D154" i="31"/>
  <c r="E154" i="31" s="1"/>
  <c r="D153" i="31"/>
  <c r="E153" i="31" s="1"/>
  <c r="D152" i="31"/>
  <c r="E152" i="31" s="1"/>
  <c r="D151" i="31"/>
  <c r="E151" i="31" s="1"/>
  <c r="D150" i="31"/>
  <c r="E150" i="31" s="1"/>
  <c r="D149" i="31"/>
  <c r="E149" i="31" s="1"/>
  <c r="D148" i="31"/>
  <c r="D147" i="31"/>
  <c r="E147" i="31" s="1"/>
  <c r="D146" i="31"/>
  <c r="E146" i="31" s="1"/>
  <c r="D145" i="31"/>
  <c r="E145" i="31" s="1"/>
  <c r="D144" i="31"/>
  <c r="E144" i="31" s="1"/>
  <c r="D143" i="31"/>
  <c r="E143" i="31" s="1"/>
  <c r="D142" i="31"/>
  <c r="E142" i="31" s="1"/>
  <c r="D141" i="31"/>
  <c r="E141" i="31" s="1"/>
  <c r="D140" i="31"/>
  <c r="E140" i="31" s="1"/>
  <c r="D139" i="31"/>
  <c r="E139" i="31" s="1"/>
  <c r="D138" i="31"/>
  <c r="E138" i="31" s="1"/>
  <c r="D137" i="31"/>
  <c r="E137" i="31" s="1"/>
  <c r="D136" i="31"/>
  <c r="E136" i="31" s="1"/>
  <c r="D135" i="31"/>
  <c r="E135" i="31" s="1"/>
  <c r="D134" i="31"/>
  <c r="E134" i="31" s="1"/>
  <c r="D133" i="31"/>
  <c r="E133" i="31" s="1"/>
  <c r="D132" i="31"/>
  <c r="E132" i="31" s="1"/>
  <c r="D131" i="31"/>
  <c r="E131" i="31" s="1"/>
  <c r="D130" i="31"/>
  <c r="E130" i="31" s="1"/>
  <c r="D129" i="31"/>
  <c r="E129" i="31" s="1"/>
  <c r="D128" i="31"/>
  <c r="E128" i="31" s="1"/>
  <c r="D127" i="31"/>
  <c r="E127" i="31" s="1"/>
  <c r="D126" i="31"/>
  <c r="E126" i="31" s="1"/>
  <c r="D125" i="31"/>
  <c r="E125" i="31" s="1"/>
  <c r="D124" i="31"/>
  <c r="E124" i="31" s="1"/>
  <c r="D123" i="31"/>
  <c r="E123" i="31" s="1"/>
  <c r="D122" i="31"/>
  <c r="E122" i="31" s="1"/>
  <c r="D121" i="31"/>
  <c r="E121" i="31" s="1"/>
  <c r="D120" i="31"/>
  <c r="E120" i="31" s="1"/>
  <c r="D119" i="31"/>
  <c r="E119" i="31" s="1"/>
  <c r="D118" i="31"/>
  <c r="E118" i="31" s="1"/>
  <c r="D117" i="31"/>
  <c r="E117" i="31" s="1"/>
  <c r="D116" i="31"/>
  <c r="D115" i="31"/>
  <c r="E115" i="31" s="1"/>
  <c r="D114" i="31"/>
  <c r="E114" i="31" s="1"/>
  <c r="D113" i="31"/>
  <c r="E113" i="31" s="1"/>
  <c r="D112" i="31"/>
  <c r="E112" i="31" s="1"/>
  <c r="D111" i="31"/>
  <c r="E111" i="31" s="1"/>
  <c r="D110" i="31"/>
  <c r="E110" i="31" s="1"/>
  <c r="D109" i="31"/>
  <c r="E109" i="31" s="1"/>
  <c r="D108" i="31"/>
  <c r="E108" i="31" s="1"/>
  <c r="D107" i="31"/>
  <c r="E107" i="31" s="1"/>
  <c r="D106" i="31"/>
  <c r="E106" i="31" s="1"/>
  <c r="D105" i="31"/>
  <c r="E105" i="31" s="1"/>
  <c r="D104" i="31"/>
  <c r="E104" i="31" s="1"/>
  <c r="D103" i="31"/>
  <c r="E103" i="31" s="1"/>
  <c r="D102" i="31"/>
  <c r="E102" i="31" s="1"/>
  <c r="D101" i="31"/>
  <c r="E101" i="31" s="1"/>
  <c r="D100" i="31"/>
  <c r="E100" i="31" s="1"/>
  <c r="D99" i="31"/>
  <c r="E99" i="31" s="1"/>
  <c r="D98" i="31"/>
  <c r="E98" i="31" s="1"/>
  <c r="D97" i="31"/>
  <c r="E97" i="31" s="1"/>
  <c r="D96" i="31"/>
  <c r="E96" i="31" s="1"/>
  <c r="D95" i="31"/>
  <c r="E95" i="31" s="1"/>
  <c r="D94" i="31"/>
  <c r="E94" i="31" s="1"/>
  <c r="D93" i="31"/>
  <c r="E93" i="31" s="1"/>
  <c r="D92" i="31"/>
  <c r="E92" i="31" s="1"/>
  <c r="D91" i="31"/>
  <c r="E91" i="31" s="1"/>
  <c r="D90" i="31"/>
  <c r="E90" i="31" s="1"/>
  <c r="D89" i="31"/>
  <c r="E89" i="31" s="1"/>
  <c r="D88" i="31"/>
  <c r="E88" i="31" s="1"/>
  <c r="D87" i="31"/>
  <c r="E87" i="31" s="1"/>
  <c r="D86" i="31"/>
  <c r="D85" i="31"/>
  <c r="E85" i="31" s="1"/>
  <c r="D84" i="31"/>
  <c r="E84" i="31" s="1"/>
  <c r="D83" i="31"/>
  <c r="E83" i="31" s="1"/>
  <c r="D82" i="31"/>
  <c r="E82" i="31" s="1"/>
  <c r="D81" i="31"/>
  <c r="E81" i="31" s="1"/>
  <c r="D80" i="31"/>
  <c r="E80" i="31" s="1"/>
  <c r="D79" i="31"/>
  <c r="E79" i="31" s="1"/>
  <c r="D78" i="31"/>
  <c r="E78" i="31" s="1"/>
  <c r="D77" i="31"/>
  <c r="E77" i="31" s="1"/>
  <c r="D76" i="31"/>
  <c r="E76" i="31" s="1"/>
  <c r="D75" i="31"/>
  <c r="E75" i="31" s="1"/>
  <c r="D74" i="31"/>
  <c r="E74" i="31" s="1"/>
  <c r="D73" i="31"/>
  <c r="E73" i="31" s="1"/>
  <c r="D72" i="31"/>
  <c r="E72" i="31" s="1"/>
  <c r="D71" i="31"/>
  <c r="E71" i="31" s="1"/>
  <c r="D70" i="31"/>
  <c r="E70" i="31" s="1"/>
  <c r="D69" i="31"/>
  <c r="E69" i="31" s="1"/>
  <c r="D68" i="31"/>
  <c r="E68" i="31" s="1"/>
  <c r="D67" i="31"/>
  <c r="E67" i="31" s="1"/>
  <c r="D66" i="31"/>
  <c r="E66" i="31" s="1"/>
  <c r="D65" i="31"/>
  <c r="E65" i="31" s="1"/>
  <c r="D64" i="31"/>
  <c r="E64" i="31" s="1"/>
  <c r="D63" i="31"/>
  <c r="E63" i="31" s="1"/>
  <c r="D62" i="31"/>
  <c r="E62" i="31" s="1"/>
  <c r="D61" i="31"/>
  <c r="E61" i="31" s="1"/>
  <c r="D60" i="31"/>
  <c r="E60" i="31" s="1"/>
  <c r="D59" i="31"/>
  <c r="E59" i="31" s="1"/>
  <c r="D58" i="31"/>
  <c r="E58" i="31" s="1"/>
  <c r="D57" i="31"/>
  <c r="E57" i="31" s="1"/>
  <c r="D56" i="31"/>
  <c r="E56" i="31" s="1"/>
  <c r="D55" i="31"/>
  <c r="E55" i="31" s="1"/>
  <c r="D54" i="31"/>
  <c r="E54" i="31" s="1"/>
  <c r="D53" i="31"/>
  <c r="E53" i="31" s="1"/>
  <c r="D52" i="31"/>
  <c r="E52" i="31" s="1"/>
  <c r="D51" i="31"/>
  <c r="E51" i="31" s="1"/>
  <c r="D50" i="31"/>
  <c r="E50" i="31" s="1"/>
  <c r="D49" i="31"/>
  <c r="E49" i="31" s="1"/>
  <c r="D48" i="31"/>
  <c r="E48" i="31" s="1"/>
  <c r="D47" i="31"/>
  <c r="E47" i="31" s="1"/>
  <c r="D46" i="31"/>
  <c r="E46" i="31" s="1"/>
  <c r="D45" i="31"/>
  <c r="E45" i="31" s="1"/>
  <c r="D44" i="31"/>
  <c r="E44" i="31" s="1"/>
  <c r="D43" i="31"/>
  <c r="E43" i="31" s="1"/>
  <c r="D42" i="31"/>
  <c r="E42" i="31" s="1"/>
  <c r="D41" i="31"/>
  <c r="E41" i="31" s="1"/>
  <c r="D40" i="31"/>
  <c r="E40" i="31" s="1"/>
  <c r="D39" i="31"/>
  <c r="E39" i="31" s="1"/>
  <c r="D38" i="31"/>
  <c r="E38" i="31" s="1"/>
  <c r="D37" i="31"/>
  <c r="E37" i="31" s="1"/>
  <c r="D36" i="31"/>
  <c r="E36" i="31" s="1"/>
  <c r="D35" i="31"/>
  <c r="E35" i="31" s="1"/>
  <c r="D34" i="31"/>
  <c r="E34" i="31" s="1"/>
  <c r="D33" i="31"/>
  <c r="E33" i="31" s="1"/>
  <c r="D32" i="31"/>
  <c r="E32" i="31" s="1"/>
  <c r="D31" i="31"/>
  <c r="E31" i="31" s="1"/>
  <c r="D30" i="31"/>
  <c r="E30" i="31" s="1"/>
  <c r="D29" i="31"/>
  <c r="E29" i="31" s="1"/>
  <c r="D28" i="31"/>
  <c r="E28" i="31" s="1"/>
  <c r="D27" i="31"/>
  <c r="E27" i="31" s="1"/>
  <c r="D26" i="31"/>
  <c r="E26" i="31" s="1"/>
  <c r="D25" i="31"/>
  <c r="E25" i="31" s="1"/>
  <c r="D24" i="31"/>
  <c r="E24" i="31" s="1"/>
  <c r="D23" i="31"/>
  <c r="E23" i="31" s="1"/>
  <c r="D22" i="31"/>
  <c r="E22" i="31" s="1"/>
  <c r="D21" i="31"/>
  <c r="E21" i="31" s="1"/>
  <c r="D20" i="31"/>
  <c r="E20" i="31" s="1"/>
  <c r="D19" i="31"/>
  <c r="E19" i="31" s="1"/>
  <c r="D18" i="31"/>
  <c r="E18" i="31" s="1"/>
  <c r="D17" i="31"/>
  <c r="E17" i="31" s="1"/>
  <c r="D16" i="31"/>
  <c r="E16" i="31" s="1"/>
  <c r="D15" i="31"/>
  <c r="E15" i="31" s="1"/>
  <c r="D14" i="31"/>
  <c r="E14" i="31" s="1"/>
  <c r="D13" i="31"/>
  <c r="E13" i="31" s="1"/>
  <c r="D12" i="31"/>
  <c r="E12" i="31" s="1"/>
  <c r="D11" i="31"/>
  <c r="E11" i="31" s="1"/>
  <c r="D10" i="31"/>
  <c r="E10" i="31" s="1"/>
  <c r="D9" i="31"/>
  <c r="E9" i="31" s="1"/>
  <c r="D8" i="31"/>
  <c r="E8" i="31" s="1"/>
  <c r="D7" i="31"/>
  <c r="E7" i="31" s="1"/>
  <c r="D6" i="31"/>
  <c r="E6" i="31" s="1"/>
  <c r="D5" i="31"/>
  <c r="E5" i="31" s="1"/>
  <c r="D4" i="31"/>
  <c r="E4" i="31" s="1"/>
  <c r="D3" i="31"/>
  <c r="E3" i="31" s="1"/>
  <c r="D2" i="31"/>
  <c r="E2" i="31" s="1"/>
  <c r="E1494" i="31"/>
  <c r="E1366" i="31"/>
  <c r="E1268" i="31"/>
  <c r="E1252" i="31"/>
  <c r="E1236" i="31"/>
  <c r="E1199" i="31"/>
  <c r="E1151" i="31"/>
  <c r="E1071" i="31"/>
  <c r="E1023" i="31"/>
  <c r="E981" i="31"/>
  <c r="E969" i="31"/>
  <c r="E959" i="31"/>
  <c r="E949" i="31"/>
  <c r="E937" i="31"/>
  <c r="E927" i="31"/>
  <c r="E917" i="31"/>
  <c r="E905" i="31"/>
  <c r="E877" i="31"/>
  <c r="E861" i="31"/>
  <c r="E845" i="31"/>
  <c r="E836" i="31"/>
  <c r="E724" i="31"/>
  <c r="E604" i="31"/>
  <c r="E540" i="31"/>
  <c r="E436" i="31"/>
  <c r="E372" i="31"/>
  <c r="E308" i="31"/>
  <c r="E180" i="31"/>
  <c r="E148" i="31"/>
  <c r="E116" i="31"/>
  <c r="E86" i="31"/>
  <c r="C123" i="9" l="1"/>
  <c r="C128" i="9"/>
  <c r="C130" i="9" s="1"/>
  <c r="KO19" i="10" s="1"/>
  <c r="C133" i="9"/>
  <c r="KO22" i="10" s="1"/>
  <c r="C138" i="9"/>
  <c r="C124" i="9" l="1"/>
  <c r="KO17" i="10"/>
  <c r="C132" i="9"/>
  <c r="KO21" i="10" s="1"/>
  <c r="C136" i="9"/>
  <c r="C134" i="9"/>
  <c r="KO23" i="10" s="1"/>
  <c r="C126" i="9"/>
  <c r="KO15" i="10" s="1"/>
  <c r="C137" i="9"/>
  <c r="C135" i="9"/>
  <c r="C131" i="9"/>
  <c r="KO20" i="10" s="1"/>
  <c r="C129" i="9"/>
  <c r="KO18" i="10" s="1"/>
  <c r="C127" i="9"/>
  <c r="KO16" i="10" s="1"/>
  <c r="C125" i="9"/>
  <c r="KO14" i="10" s="1"/>
  <c r="B36" i="30"/>
  <c r="A36" i="30"/>
  <c r="B35" i="30"/>
  <c r="A35" i="30"/>
  <c r="B34" i="30"/>
  <c r="A34" i="30"/>
  <c r="B33" i="30"/>
  <c r="A33" i="30"/>
  <c r="B32" i="30"/>
  <c r="A32" i="30"/>
  <c r="B31" i="30"/>
  <c r="A31" i="30"/>
  <c r="B30" i="30"/>
  <c r="A30" i="30"/>
  <c r="B29" i="30"/>
  <c r="A29" i="30"/>
  <c r="B28" i="30"/>
  <c r="A28" i="30"/>
  <c r="B27" i="30"/>
  <c r="A27" i="30"/>
  <c r="B26" i="30"/>
  <c r="A26" i="30"/>
  <c r="B25" i="30"/>
  <c r="A25" i="30"/>
  <c r="B24" i="30"/>
  <c r="A24" i="30"/>
  <c r="B23" i="30"/>
  <c r="A23" i="30"/>
  <c r="B22" i="30"/>
  <c r="A22" i="30"/>
  <c r="B21" i="30"/>
  <c r="A21" i="30"/>
  <c r="B20" i="30"/>
  <c r="A20" i="30"/>
  <c r="B19" i="30"/>
  <c r="A19" i="30"/>
  <c r="B18" i="30"/>
  <c r="A18" i="30"/>
  <c r="B17" i="30"/>
  <c r="A17" i="30"/>
  <c r="B16" i="30"/>
  <c r="A16" i="30"/>
  <c r="B15" i="30"/>
  <c r="A15" i="30"/>
  <c r="B14" i="30"/>
  <c r="A14" i="30"/>
  <c r="B13" i="30"/>
  <c r="A13" i="30"/>
  <c r="B12" i="30"/>
  <c r="A12" i="30"/>
  <c r="B11" i="30"/>
  <c r="A11" i="30"/>
  <c r="B10" i="30"/>
  <c r="A10" i="30"/>
  <c r="B9" i="30"/>
  <c r="A9" i="30"/>
  <c r="B8" i="30"/>
  <c r="A8" i="30"/>
  <c r="B7" i="30"/>
  <c r="A7" i="30"/>
  <c r="O5" i="30"/>
  <c r="N5" i="30"/>
  <c r="M5" i="30"/>
  <c r="L5" i="30"/>
  <c r="K5" i="30"/>
  <c r="J5" i="30"/>
  <c r="I5" i="30"/>
  <c r="H5" i="30"/>
  <c r="G5" i="30"/>
  <c r="F5" i="30"/>
  <c r="E5" i="30"/>
  <c r="D5" i="30"/>
  <c r="C5" i="30"/>
  <c r="B5" i="30"/>
  <c r="B6" i="30" s="1"/>
  <c r="A5" i="30"/>
  <c r="A6" i="30" s="1"/>
  <c r="B36" i="29"/>
  <c r="A36" i="29"/>
  <c r="B35" i="29"/>
  <c r="A35" i="29"/>
  <c r="B34" i="29"/>
  <c r="A34" i="29"/>
  <c r="B33" i="29"/>
  <c r="A33" i="29"/>
  <c r="B32" i="29"/>
  <c r="A32" i="29"/>
  <c r="B31" i="29"/>
  <c r="A31" i="29"/>
  <c r="B30" i="29"/>
  <c r="A30" i="29"/>
  <c r="B29" i="29"/>
  <c r="A29" i="29"/>
  <c r="B28" i="29"/>
  <c r="A28" i="29"/>
  <c r="B27" i="29"/>
  <c r="A27" i="29"/>
  <c r="B26" i="29"/>
  <c r="A26" i="29"/>
  <c r="B25" i="29"/>
  <c r="A25" i="29"/>
  <c r="B24" i="29"/>
  <c r="A24" i="29"/>
  <c r="B23" i="29"/>
  <c r="A23" i="29"/>
  <c r="B22" i="29"/>
  <c r="A22" i="29"/>
  <c r="B21" i="29"/>
  <c r="A21" i="29"/>
  <c r="B20" i="29"/>
  <c r="A20" i="29"/>
  <c r="B19" i="29"/>
  <c r="A19" i="29"/>
  <c r="B18" i="29"/>
  <c r="A18" i="29"/>
  <c r="B17" i="29"/>
  <c r="A17" i="29"/>
  <c r="B16" i="29"/>
  <c r="A16" i="29"/>
  <c r="B15" i="29"/>
  <c r="A15" i="29"/>
  <c r="B14" i="29"/>
  <c r="A14" i="29"/>
  <c r="B13" i="29"/>
  <c r="A13" i="29"/>
  <c r="B12" i="29"/>
  <c r="A12" i="29"/>
  <c r="B11" i="29"/>
  <c r="A11" i="29"/>
  <c r="B10" i="29"/>
  <c r="A10" i="29"/>
  <c r="B9" i="29"/>
  <c r="A9" i="29"/>
  <c r="B8" i="29"/>
  <c r="A8" i="29"/>
  <c r="B7" i="29"/>
  <c r="A7" i="29"/>
  <c r="O5" i="29"/>
  <c r="N5" i="29"/>
  <c r="M5" i="29"/>
  <c r="L5" i="29"/>
  <c r="K5" i="29"/>
  <c r="J5" i="29"/>
  <c r="I5" i="29"/>
  <c r="H5" i="29"/>
  <c r="G5" i="29"/>
  <c r="F5" i="29"/>
  <c r="E5" i="29"/>
  <c r="D5" i="29"/>
  <c r="C5" i="29"/>
  <c r="B5" i="29"/>
  <c r="B6" i="29" s="1"/>
  <c r="A5" i="29"/>
  <c r="A6" i="29" s="1"/>
  <c r="O5" i="28"/>
  <c r="N5" i="28"/>
  <c r="M5" i="28"/>
  <c r="L5" i="28"/>
  <c r="B36" i="28"/>
  <c r="A36" i="28"/>
  <c r="B35" i="28"/>
  <c r="A35" i="28"/>
  <c r="B34" i="28"/>
  <c r="A34" i="28"/>
  <c r="B33" i="28"/>
  <c r="A33" i="28"/>
  <c r="B32" i="28"/>
  <c r="A32" i="28"/>
  <c r="B31" i="28"/>
  <c r="A31" i="28"/>
  <c r="B30" i="28"/>
  <c r="A30" i="28"/>
  <c r="B29" i="28"/>
  <c r="A29" i="28"/>
  <c r="B28" i="28"/>
  <c r="A28" i="28"/>
  <c r="B27" i="28"/>
  <c r="A27" i="28"/>
  <c r="B26" i="28"/>
  <c r="A26" i="28"/>
  <c r="B25" i="28"/>
  <c r="A25" i="28"/>
  <c r="B24" i="28"/>
  <c r="A24" i="28"/>
  <c r="B23" i="28"/>
  <c r="A23" i="28"/>
  <c r="B22" i="28"/>
  <c r="A22" i="28"/>
  <c r="B21" i="28"/>
  <c r="A21" i="28"/>
  <c r="B20" i="28"/>
  <c r="A20" i="28"/>
  <c r="B19" i="28"/>
  <c r="A19" i="28"/>
  <c r="B18" i="28"/>
  <c r="A18" i="28"/>
  <c r="B17" i="28"/>
  <c r="A17" i="28"/>
  <c r="B16" i="28"/>
  <c r="A16" i="28"/>
  <c r="B15" i="28"/>
  <c r="A15" i="28"/>
  <c r="B14" i="28"/>
  <c r="A14" i="28"/>
  <c r="B13" i="28"/>
  <c r="A13" i="28"/>
  <c r="B12" i="28"/>
  <c r="A12" i="28"/>
  <c r="B11" i="28"/>
  <c r="A11" i="28"/>
  <c r="B10" i="28"/>
  <c r="A10" i="28"/>
  <c r="B9" i="28"/>
  <c r="A9" i="28"/>
  <c r="B8" i="28"/>
  <c r="A8" i="28"/>
  <c r="B7" i="28"/>
  <c r="A7" i="28"/>
  <c r="K5" i="28"/>
  <c r="J5" i="28"/>
  <c r="I5" i="28"/>
  <c r="H5" i="28"/>
  <c r="G5" i="28"/>
  <c r="F5" i="28"/>
  <c r="E5" i="28"/>
  <c r="D5" i="28"/>
  <c r="C5" i="28"/>
  <c r="B5" i="28"/>
  <c r="B6" i="28" s="1"/>
  <c r="A5" i="28"/>
  <c r="A6" i="28" s="1"/>
  <c r="B36" i="25"/>
  <c r="A36" i="25"/>
  <c r="B35" i="25"/>
  <c r="A35" i="25"/>
  <c r="B34" i="25"/>
  <c r="A34" i="25"/>
  <c r="B33" i="25"/>
  <c r="A33" i="25"/>
  <c r="B32" i="25"/>
  <c r="A32" i="25"/>
  <c r="B31" i="25"/>
  <c r="A31" i="25"/>
  <c r="B30" i="25"/>
  <c r="A30" i="25"/>
  <c r="B29" i="25"/>
  <c r="A29" i="25"/>
  <c r="B28" i="25"/>
  <c r="A28" i="25"/>
  <c r="B27" i="25"/>
  <c r="A27" i="25"/>
  <c r="B26" i="25"/>
  <c r="A26" i="25"/>
  <c r="B25" i="25"/>
  <c r="A25" i="25"/>
  <c r="B24" i="25"/>
  <c r="A24" i="25"/>
  <c r="B23" i="25"/>
  <c r="A23" i="25"/>
  <c r="B22" i="25"/>
  <c r="A22" i="25"/>
  <c r="B21" i="25"/>
  <c r="A21" i="25"/>
  <c r="B20" i="25"/>
  <c r="A20" i="25"/>
  <c r="B19" i="25"/>
  <c r="A19" i="25"/>
  <c r="B18" i="25"/>
  <c r="A18" i="25"/>
  <c r="B17" i="25"/>
  <c r="A17" i="25"/>
  <c r="B16" i="25"/>
  <c r="A16" i="25"/>
  <c r="B15" i="25"/>
  <c r="A15" i="25"/>
  <c r="B14" i="25"/>
  <c r="A14" i="25"/>
  <c r="B13" i="25"/>
  <c r="A13" i="25"/>
  <c r="B12" i="25"/>
  <c r="A12" i="25"/>
  <c r="B11" i="25"/>
  <c r="A11" i="25"/>
  <c r="B10" i="25"/>
  <c r="A10" i="25"/>
  <c r="B9" i="25"/>
  <c r="A9" i="25"/>
  <c r="B8" i="25"/>
  <c r="A8" i="25"/>
  <c r="B7" i="25"/>
  <c r="A7" i="25"/>
  <c r="Q5" i="25"/>
  <c r="P5" i="25"/>
  <c r="O5" i="25"/>
  <c r="N5" i="25"/>
  <c r="M5" i="25"/>
  <c r="L5" i="25"/>
  <c r="K5" i="25"/>
  <c r="J5" i="25"/>
  <c r="I5" i="25"/>
  <c r="H5" i="25"/>
  <c r="G5" i="25"/>
  <c r="F5" i="25"/>
  <c r="E5" i="25"/>
  <c r="D5" i="25"/>
  <c r="C5" i="25"/>
  <c r="B5" i="25"/>
  <c r="B6" i="25" s="1"/>
  <c r="A5" i="25"/>
  <c r="A6" i="25" s="1"/>
  <c r="F1622" i="31" l="1"/>
  <c r="F422" i="31"/>
  <c r="F362" i="31"/>
  <c r="F302" i="31"/>
  <c r="F242" i="31"/>
  <c r="F182" i="31"/>
  <c r="F122" i="31"/>
  <c r="F62" i="31"/>
  <c r="F2" i="31"/>
  <c r="F392" i="31"/>
  <c r="F332" i="31"/>
  <c r="F272" i="31"/>
  <c r="F212" i="31"/>
  <c r="F152" i="31"/>
  <c r="F92" i="31"/>
  <c r="F32" i="31"/>
  <c r="F1630" i="31"/>
  <c r="F430" i="31"/>
  <c r="F370" i="31"/>
  <c r="F310" i="31"/>
  <c r="F250" i="31"/>
  <c r="F190" i="31"/>
  <c r="F130" i="31"/>
  <c r="F70" i="31"/>
  <c r="F10" i="31"/>
  <c r="F400" i="31"/>
  <c r="F340" i="31"/>
  <c r="F280" i="31"/>
  <c r="F220" i="31"/>
  <c r="F160" i="31"/>
  <c r="F100" i="31"/>
  <c r="F40" i="31"/>
  <c r="F1638" i="31"/>
  <c r="F438" i="31"/>
  <c r="F378" i="31"/>
  <c r="F318" i="31"/>
  <c r="F258" i="31"/>
  <c r="F198" i="31"/>
  <c r="F138" i="31"/>
  <c r="F78" i="31"/>
  <c r="F18" i="31"/>
  <c r="F408" i="31"/>
  <c r="F348" i="31"/>
  <c r="F288" i="31"/>
  <c r="F228" i="31"/>
  <c r="F168" i="31"/>
  <c r="F108" i="31"/>
  <c r="F48" i="31"/>
  <c r="G1652" i="31"/>
  <c r="G812" i="31"/>
  <c r="G782" i="31"/>
  <c r="G722" i="31"/>
  <c r="G662" i="31"/>
  <c r="G602" i="31"/>
  <c r="G542" i="31"/>
  <c r="G512" i="31"/>
  <c r="G692" i="31"/>
  <c r="G572" i="31"/>
  <c r="G482" i="31"/>
  <c r="G632" i="31"/>
  <c r="G752" i="31"/>
  <c r="G452" i="31"/>
  <c r="G1660" i="31"/>
  <c r="G820" i="31"/>
  <c r="G730" i="31"/>
  <c r="G670" i="31"/>
  <c r="G610" i="31"/>
  <c r="G550" i="31"/>
  <c r="G790" i="31"/>
  <c r="G520" i="31"/>
  <c r="G700" i="31"/>
  <c r="G580" i="31"/>
  <c r="G490" i="31"/>
  <c r="G640" i="31"/>
  <c r="G460" i="31"/>
  <c r="G760" i="31"/>
  <c r="G1664" i="31"/>
  <c r="G794" i="31"/>
  <c r="G734" i="31"/>
  <c r="G674" i="31"/>
  <c r="G614" i="31"/>
  <c r="G554" i="31"/>
  <c r="G494" i="31"/>
  <c r="G764" i="31"/>
  <c r="G644" i="31"/>
  <c r="G824" i="31"/>
  <c r="G524" i="31"/>
  <c r="G704" i="31"/>
  <c r="G584" i="31"/>
  <c r="G464" i="31"/>
  <c r="G1670" i="31"/>
  <c r="G770" i="31"/>
  <c r="G710" i="31"/>
  <c r="G650" i="31"/>
  <c r="G590" i="31"/>
  <c r="G830" i="31"/>
  <c r="G680" i="31"/>
  <c r="G560" i="31"/>
  <c r="G740" i="31"/>
  <c r="G620" i="31"/>
  <c r="G530" i="31"/>
  <c r="G470" i="31"/>
  <c r="G500" i="31"/>
  <c r="G800" i="31"/>
  <c r="G1676" i="31"/>
  <c r="G836" i="31"/>
  <c r="G746" i="31"/>
  <c r="G686" i="31"/>
  <c r="G626" i="31"/>
  <c r="G566" i="31"/>
  <c r="G806" i="31"/>
  <c r="G536" i="31"/>
  <c r="G656" i="31"/>
  <c r="G716" i="31"/>
  <c r="G596" i="31"/>
  <c r="G506" i="31"/>
  <c r="G776" i="31"/>
  <c r="G476" i="31"/>
  <c r="G1678" i="31"/>
  <c r="G778" i="31"/>
  <c r="G718" i="31"/>
  <c r="G658" i="31"/>
  <c r="G598" i="31"/>
  <c r="G538" i="31"/>
  <c r="G838" i="31"/>
  <c r="G748" i="31"/>
  <c r="G628" i="31"/>
  <c r="G808" i="31"/>
  <c r="G688" i="31"/>
  <c r="G568" i="31"/>
  <c r="G508" i="31"/>
  <c r="G478" i="31"/>
  <c r="G1680" i="31"/>
  <c r="G810" i="31"/>
  <c r="G750" i="31"/>
  <c r="G690" i="31"/>
  <c r="G630" i="31"/>
  <c r="G570" i="31"/>
  <c r="G540" i="31"/>
  <c r="G480" i="31"/>
  <c r="G720" i="31"/>
  <c r="G600" i="31"/>
  <c r="G510" i="31"/>
  <c r="G780" i="31"/>
  <c r="G660" i="31"/>
  <c r="G840" i="31"/>
  <c r="G1682" i="31"/>
  <c r="G1172" i="31"/>
  <c r="G1112" i="31"/>
  <c r="G1082" i="31"/>
  <c r="G1022" i="31"/>
  <c r="G962" i="31"/>
  <c r="G902" i="31"/>
  <c r="G1142" i="31"/>
  <c r="G1052" i="31"/>
  <c r="G992" i="31"/>
  <c r="G932" i="31"/>
  <c r="G872" i="31"/>
  <c r="G842" i="31"/>
  <c r="G1202" i="31"/>
  <c r="G1688" i="31"/>
  <c r="G1208" i="31"/>
  <c r="G1148" i="31"/>
  <c r="G1058" i="31"/>
  <c r="G998" i="31"/>
  <c r="G938" i="31"/>
  <c r="G878" i="31"/>
  <c r="G1118" i="31"/>
  <c r="G1088" i="31"/>
  <c r="G1028" i="31"/>
  <c r="G968" i="31"/>
  <c r="G908" i="31"/>
  <c r="G1178" i="31"/>
  <c r="G848" i="31"/>
  <c r="G1696" i="31"/>
  <c r="G1216" i="31"/>
  <c r="G1156" i="31"/>
  <c r="G1066" i="31"/>
  <c r="G1006" i="31"/>
  <c r="G946" i="31"/>
  <c r="G886" i="31"/>
  <c r="G1126" i="31"/>
  <c r="G1096" i="31"/>
  <c r="G1036" i="31"/>
  <c r="G976" i="31"/>
  <c r="G916" i="31"/>
  <c r="G1186" i="31"/>
  <c r="G856" i="31"/>
  <c r="G1700" i="31"/>
  <c r="G1220" i="31"/>
  <c r="G1160" i="31"/>
  <c r="G1070" i="31"/>
  <c r="G1010" i="31"/>
  <c r="G950" i="31"/>
  <c r="G890" i="31"/>
  <c r="G1190" i="31"/>
  <c r="G1100" i="31"/>
  <c r="G1040" i="31"/>
  <c r="G980" i="31"/>
  <c r="G920" i="31"/>
  <c r="G860" i="31"/>
  <c r="G1130" i="31"/>
  <c r="G1704" i="31"/>
  <c r="G1224" i="31"/>
  <c r="G1164" i="31"/>
  <c r="G1074" i="31"/>
  <c r="G1014" i="31"/>
  <c r="G954" i="31"/>
  <c r="G894" i="31"/>
  <c r="G1134" i="31"/>
  <c r="G1104" i="31"/>
  <c r="G1044" i="31"/>
  <c r="G984" i="31"/>
  <c r="G924" i="31"/>
  <c r="G1194" i="31"/>
  <c r="G864" i="31"/>
  <c r="G1710" i="31"/>
  <c r="G1230" i="31"/>
  <c r="G1200" i="31"/>
  <c r="G1140" i="31"/>
  <c r="G1110" i="31"/>
  <c r="G1050" i="31"/>
  <c r="G990" i="31"/>
  <c r="G930" i="31"/>
  <c r="G870" i="31"/>
  <c r="G1080" i="31"/>
  <c r="G1020" i="31"/>
  <c r="G960" i="31"/>
  <c r="G900" i="31"/>
  <c r="G1170" i="31"/>
  <c r="G1716" i="31"/>
  <c r="G1566" i="31"/>
  <c r="G1506" i="31"/>
  <c r="G1446" i="31"/>
  <c r="G1386" i="31"/>
  <c r="G1326" i="31"/>
  <c r="G1266" i="31"/>
  <c r="G1596" i="31"/>
  <c r="G1536" i="31"/>
  <c r="G1476" i="31"/>
  <c r="G1416" i="31"/>
  <c r="G1356" i="31"/>
  <c r="G1296" i="31"/>
  <c r="G1236" i="31"/>
  <c r="G1720" i="31"/>
  <c r="G1570" i="31"/>
  <c r="G1510" i="31"/>
  <c r="G1450" i="31"/>
  <c r="G1390" i="31"/>
  <c r="G1330" i="31"/>
  <c r="G1270" i="31"/>
  <c r="G1600" i="31"/>
  <c r="G1540" i="31"/>
  <c r="G1480" i="31"/>
  <c r="G1420" i="31"/>
  <c r="G1360" i="31"/>
  <c r="G1300" i="31"/>
  <c r="G1240" i="31"/>
  <c r="G1724" i="31"/>
  <c r="G1574" i="31"/>
  <c r="G1514" i="31"/>
  <c r="G1454" i="31"/>
  <c r="G1394" i="31"/>
  <c r="G1334" i="31"/>
  <c r="G1274" i="31"/>
  <c r="G1604" i="31"/>
  <c r="G1544" i="31"/>
  <c r="G1484" i="31"/>
  <c r="G1424" i="31"/>
  <c r="G1364" i="31"/>
  <c r="G1304" i="31"/>
  <c r="G1244" i="31"/>
  <c r="G1728" i="31"/>
  <c r="G1578" i="31"/>
  <c r="G1518" i="31"/>
  <c r="G1458" i="31"/>
  <c r="G1398" i="31"/>
  <c r="G1338" i="31"/>
  <c r="G1278" i="31"/>
  <c r="G1608" i="31"/>
  <c r="G1548" i="31"/>
  <c r="G1488" i="31"/>
  <c r="G1428" i="31"/>
  <c r="G1368" i="31"/>
  <c r="G1308" i="31"/>
  <c r="G1248" i="31"/>
  <c r="G1734" i="31"/>
  <c r="G1614" i="31"/>
  <c r="G1554" i="31"/>
  <c r="G1494" i="31"/>
  <c r="G1434" i="31"/>
  <c r="G1374" i="31"/>
  <c r="G1314" i="31"/>
  <c r="G1254" i="31"/>
  <c r="G1584" i="31"/>
  <c r="G1524" i="31"/>
  <c r="G1464" i="31"/>
  <c r="G1404" i="31"/>
  <c r="G1344" i="31"/>
  <c r="G1284" i="31"/>
  <c r="G1738" i="31"/>
  <c r="G1618" i="31"/>
  <c r="G1558" i="31"/>
  <c r="G1498" i="31"/>
  <c r="G1438" i="31"/>
  <c r="G1378" i="31"/>
  <c r="G1318" i="31"/>
  <c r="G1258" i="31"/>
  <c r="G1588" i="31"/>
  <c r="G1528" i="31"/>
  <c r="G1468" i="31"/>
  <c r="G1408" i="31"/>
  <c r="G1348" i="31"/>
  <c r="G1288" i="31"/>
  <c r="G1623" i="31"/>
  <c r="G423" i="31"/>
  <c r="G363" i="31"/>
  <c r="G303" i="31"/>
  <c r="G243" i="31"/>
  <c r="G183" i="31"/>
  <c r="G123" i="31"/>
  <c r="G63" i="31"/>
  <c r="G3" i="31"/>
  <c r="G393" i="31"/>
  <c r="G333" i="31"/>
  <c r="G273" i="31"/>
  <c r="G213" i="31"/>
  <c r="G153" i="31"/>
  <c r="G93" i="31"/>
  <c r="G33" i="31"/>
  <c r="G1625" i="31"/>
  <c r="G395" i="31"/>
  <c r="G335" i="31"/>
  <c r="G275" i="31"/>
  <c r="G215" i="31"/>
  <c r="G155" i="31"/>
  <c r="G95" i="31"/>
  <c r="G35" i="31"/>
  <c r="G425" i="31"/>
  <c r="G365" i="31"/>
  <c r="G305" i="31"/>
  <c r="G245" i="31"/>
  <c r="G185" i="31"/>
  <c r="G125" i="31"/>
  <c r="G65" i="31"/>
  <c r="G5" i="31"/>
  <c r="G1627" i="31"/>
  <c r="G427" i="31"/>
  <c r="G367" i="31"/>
  <c r="G307" i="31"/>
  <c r="G247" i="31"/>
  <c r="G187" i="31"/>
  <c r="G127" i="31"/>
  <c r="G67" i="31"/>
  <c r="G7" i="31"/>
  <c r="G397" i="31"/>
  <c r="G337" i="31"/>
  <c r="G277" i="31"/>
  <c r="G217" i="31"/>
  <c r="G157" i="31"/>
  <c r="G97" i="31"/>
  <c r="G37" i="31"/>
  <c r="G1629" i="31"/>
  <c r="G399" i="31"/>
  <c r="G339" i="31"/>
  <c r="G279" i="31"/>
  <c r="G219" i="31"/>
  <c r="G159" i="31"/>
  <c r="G99" i="31"/>
  <c r="G39" i="31"/>
  <c r="G429" i="31"/>
  <c r="G369" i="31"/>
  <c r="G309" i="31"/>
  <c r="G249" i="31"/>
  <c r="G189" i="31"/>
  <c r="G129" i="31"/>
  <c r="G69" i="31"/>
  <c r="G9" i="31"/>
  <c r="G1631" i="31"/>
  <c r="G431" i="31"/>
  <c r="G371" i="31"/>
  <c r="G311" i="31"/>
  <c r="G251" i="31"/>
  <c r="G191" i="31"/>
  <c r="G131" i="31"/>
  <c r="G71" i="31"/>
  <c r="G11" i="31"/>
  <c r="G401" i="31"/>
  <c r="G341" i="31"/>
  <c r="G281" i="31"/>
  <c r="G221" i="31"/>
  <c r="G161" i="31"/>
  <c r="G101" i="31"/>
  <c r="G41" i="31"/>
  <c r="G1633" i="31"/>
  <c r="G403" i="31"/>
  <c r="G343" i="31"/>
  <c r="G283" i="31"/>
  <c r="G223" i="31"/>
  <c r="G163" i="31"/>
  <c r="G103" i="31"/>
  <c r="G43" i="31"/>
  <c r="G433" i="31"/>
  <c r="G373" i="31"/>
  <c r="G313" i="31"/>
  <c r="G253" i="31"/>
  <c r="G193" i="31"/>
  <c r="G133" i="31"/>
  <c r="G73" i="31"/>
  <c r="G13" i="31"/>
  <c r="G1635" i="31"/>
  <c r="G435" i="31"/>
  <c r="G375" i="31"/>
  <c r="G315" i="31"/>
  <c r="G255" i="31"/>
  <c r="G195" i="31"/>
  <c r="G135" i="31"/>
  <c r="G75" i="31"/>
  <c r="G15" i="31"/>
  <c r="G405" i="31"/>
  <c r="G345" i="31"/>
  <c r="G285" i="31"/>
  <c r="G225" i="31"/>
  <c r="G165" i="31"/>
  <c r="G105" i="31"/>
  <c r="G45" i="31"/>
  <c r="G1637" i="31"/>
  <c r="G407" i="31"/>
  <c r="G347" i="31"/>
  <c r="G287" i="31"/>
  <c r="G227" i="31"/>
  <c r="G167" i="31"/>
  <c r="G107" i="31"/>
  <c r="G47" i="31"/>
  <c r="G437" i="31"/>
  <c r="G377" i="31"/>
  <c r="G317" i="31"/>
  <c r="G257" i="31"/>
  <c r="G197" i="31"/>
  <c r="G137" i="31"/>
  <c r="G77" i="31"/>
  <c r="G17" i="31"/>
  <c r="G1639" i="31"/>
  <c r="G439" i="31"/>
  <c r="G379" i="31"/>
  <c r="G319" i="31"/>
  <c r="G259" i="31"/>
  <c r="G199" i="31"/>
  <c r="G139" i="31"/>
  <c r="G79" i="31"/>
  <c r="G19" i="31"/>
  <c r="G409" i="31"/>
  <c r="G349" i="31"/>
  <c r="G289" i="31"/>
  <c r="G229" i="31"/>
  <c r="G169" i="31"/>
  <c r="G109" i="31"/>
  <c r="G49" i="31"/>
  <c r="G1641" i="31"/>
  <c r="G411" i="31"/>
  <c r="G351" i="31"/>
  <c r="G291" i="31"/>
  <c r="G231" i="31"/>
  <c r="G171" i="31"/>
  <c r="G111" i="31"/>
  <c r="G51" i="31"/>
  <c r="G441" i="31"/>
  <c r="G381" i="31"/>
  <c r="G321" i="31"/>
  <c r="G261" i="31"/>
  <c r="G201" i="31"/>
  <c r="G141" i="31"/>
  <c r="G81" i="31"/>
  <c r="G21" i="31"/>
  <c r="G1643" i="31"/>
  <c r="G443" i="31"/>
  <c r="G383" i="31"/>
  <c r="G323" i="31"/>
  <c r="G263" i="31"/>
  <c r="G203" i="31"/>
  <c r="G143" i="31"/>
  <c r="G83" i="31"/>
  <c r="G23" i="31"/>
  <c r="G413" i="31"/>
  <c r="G353" i="31"/>
  <c r="G293" i="31"/>
  <c r="G233" i="31"/>
  <c r="G173" i="31"/>
  <c r="G113" i="31"/>
  <c r="G53" i="31"/>
  <c r="G1645" i="31"/>
  <c r="G415" i="31"/>
  <c r="G355" i="31"/>
  <c r="G295" i="31"/>
  <c r="G235" i="31"/>
  <c r="G175" i="31"/>
  <c r="G115" i="31"/>
  <c r="G55" i="31"/>
  <c r="G445" i="31"/>
  <c r="G385" i="31"/>
  <c r="G325" i="31"/>
  <c r="G265" i="31"/>
  <c r="G205" i="31"/>
  <c r="G145" i="31"/>
  <c r="G85" i="31"/>
  <c r="G25" i="31"/>
  <c r="G1647" i="31"/>
  <c r="G447" i="31"/>
  <c r="G387" i="31"/>
  <c r="G327" i="31"/>
  <c r="G267" i="31"/>
  <c r="G207" i="31"/>
  <c r="G147" i="31"/>
  <c r="G87" i="31"/>
  <c r="G27" i="31"/>
  <c r="G417" i="31"/>
  <c r="G357" i="31"/>
  <c r="G297" i="31"/>
  <c r="G237" i="31"/>
  <c r="G177" i="31"/>
  <c r="G117" i="31"/>
  <c r="G57" i="31"/>
  <c r="G1649" i="31"/>
  <c r="G419" i="31"/>
  <c r="G359" i="31"/>
  <c r="G299" i="31"/>
  <c r="G239" i="31"/>
  <c r="G179" i="31"/>
  <c r="G119" i="31"/>
  <c r="G59" i="31"/>
  <c r="G449" i="31"/>
  <c r="G389" i="31"/>
  <c r="G329" i="31"/>
  <c r="G269" i="31"/>
  <c r="G209" i="31"/>
  <c r="G149" i="31"/>
  <c r="G89" i="31"/>
  <c r="G29" i="31"/>
  <c r="G1651" i="31"/>
  <c r="G451" i="31"/>
  <c r="G391" i="31"/>
  <c r="G331" i="31"/>
  <c r="G271" i="31"/>
  <c r="G211" i="31"/>
  <c r="G151" i="31"/>
  <c r="G91" i="31"/>
  <c r="G31" i="31"/>
  <c r="G421" i="31"/>
  <c r="G361" i="31"/>
  <c r="G301" i="31"/>
  <c r="G241" i="31"/>
  <c r="G181" i="31"/>
  <c r="G121" i="31"/>
  <c r="G61" i="31"/>
  <c r="F1652" i="31"/>
  <c r="F812" i="31"/>
  <c r="F782" i="31"/>
  <c r="F722" i="31"/>
  <c r="F662" i="31"/>
  <c r="F602" i="31"/>
  <c r="F752" i="31"/>
  <c r="F692" i="31"/>
  <c r="F632" i="31"/>
  <c r="F572" i="31"/>
  <c r="F512" i="31"/>
  <c r="F482" i="31"/>
  <c r="F542" i="31"/>
  <c r="F452" i="31"/>
  <c r="F1654" i="31"/>
  <c r="F754" i="31"/>
  <c r="F694" i="31"/>
  <c r="F634" i="31"/>
  <c r="F574" i="31"/>
  <c r="F814" i="31"/>
  <c r="F784" i="31"/>
  <c r="F724" i="31"/>
  <c r="F664" i="31"/>
  <c r="F604" i="31"/>
  <c r="F544" i="31"/>
  <c r="F484" i="31"/>
  <c r="F514" i="31"/>
  <c r="F454" i="31"/>
  <c r="F1656" i="31"/>
  <c r="F816" i="31"/>
  <c r="F726" i="31"/>
  <c r="F666" i="31"/>
  <c r="F606" i="31"/>
  <c r="F546" i="31"/>
  <c r="F756" i="31"/>
  <c r="F696" i="31"/>
  <c r="F636" i="31"/>
  <c r="F576" i="31"/>
  <c r="F516" i="31"/>
  <c r="F786" i="31"/>
  <c r="F486" i="31"/>
  <c r="F456" i="31"/>
  <c r="F1658" i="31"/>
  <c r="F788" i="31"/>
  <c r="F758" i="31"/>
  <c r="F698" i="31"/>
  <c r="F638" i="31"/>
  <c r="F578" i="31"/>
  <c r="F728" i="31"/>
  <c r="F668" i="31"/>
  <c r="F608" i="31"/>
  <c r="F548" i="31"/>
  <c r="F488" i="31"/>
  <c r="F458" i="31"/>
  <c r="F818" i="31"/>
  <c r="F518" i="31"/>
  <c r="F1660" i="31"/>
  <c r="F820" i="31"/>
  <c r="F730" i="31"/>
  <c r="F670" i="31"/>
  <c r="F610" i="31"/>
  <c r="F550" i="31"/>
  <c r="F790" i="31"/>
  <c r="F760" i="31"/>
  <c r="F700" i="31"/>
  <c r="F640" i="31"/>
  <c r="F580" i="31"/>
  <c r="F520" i="31"/>
  <c r="F490" i="31"/>
  <c r="F460" i="31"/>
  <c r="F1662" i="31"/>
  <c r="F792" i="31"/>
  <c r="F762" i="31"/>
  <c r="F702" i="31"/>
  <c r="F642" i="31"/>
  <c r="F582" i="31"/>
  <c r="F822" i="31"/>
  <c r="F732" i="31"/>
  <c r="F672" i="31"/>
  <c r="F612" i="31"/>
  <c r="F552" i="31"/>
  <c r="F492" i="31"/>
  <c r="F522" i="31"/>
  <c r="F462" i="31"/>
  <c r="F1664" i="31"/>
  <c r="F824" i="31"/>
  <c r="F734" i="31"/>
  <c r="F674" i="31"/>
  <c r="F614" i="31"/>
  <c r="F554" i="31"/>
  <c r="F764" i="31"/>
  <c r="F704" i="31"/>
  <c r="F644" i="31"/>
  <c r="F584" i="31"/>
  <c r="F524" i="31"/>
  <c r="F794" i="31"/>
  <c r="F494" i="31"/>
  <c r="F464" i="31"/>
  <c r="F1666" i="31"/>
  <c r="F796" i="31"/>
  <c r="F766" i="31"/>
  <c r="F706" i="31"/>
  <c r="F646" i="31"/>
  <c r="F586" i="31"/>
  <c r="F736" i="31"/>
  <c r="F676" i="31"/>
  <c r="F616" i="31"/>
  <c r="F556" i="31"/>
  <c r="F496" i="31"/>
  <c r="F466" i="31"/>
  <c r="F826" i="31"/>
  <c r="F526" i="31"/>
  <c r="F1668" i="31"/>
  <c r="F828" i="31"/>
  <c r="F738" i="31"/>
  <c r="F678" i="31"/>
  <c r="F618" i="31"/>
  <c r="F558" i="31"/>
  <c r="F798" i="31"/>
  <c r="F768" i="31"/>
  <c r="F708" i="31"/>
  <c r="F648" i="31"/>
  <c r="F588" i="31"/>
  <c r="F528" i="31"/>
  <c r="F498" i="31"/>
  <c r="F468" i="31"/>
  <c r="F1670" i="31"/>
  <c r="F800" i="31"/>
  <c r="F770" i="31"/>
  <c r="F710" i="31"/>
  <c r="F650" i="31"/>
  <c r="F590" i="31"/>
  <c r="F830" i="31"/>
  <c r="F740" i="31"/>
  <c r="F680" i="31"/>
  <c r="F620" i="31"/>
  <c r="F560" i="31"/>
  <c r="F500" i="31"/>
  <c r="F530" i="31"/>
  <c r="F470" i="31"/>
  <c r="F1672" i="31"/>
  <c r="F832" i="31"/>
  <c r="F742" i="31"/>
  <c r="F682" i="31"/>
  <c r="F622" i="31"/>
  <c r="F562" i="31"/>
  <c r="F772" i="31"/>
  <c r="F712" i="31"/>
  <c r="F652" i="31"/>
  <c r="F592" i="31"/>
  <c r="F532" i="31"/>
  <c r="F802" i="31"/>
  <c r="F502" i="31"/>
  <c r="F472" i="31"/>
  <c r="F1674" i="31"/>
  <c r="F804" i="31"/>
  <c r="F774" i="31"/>
  <c r="F714" i="31"/>
  <c r="F654" i="31"/>
  <c r="F594" i="31"/>
  <c r="F744" i="31"/>
  <c r="F684" i="31"/>
  <c r="F624" i="31"/>
  <c r="F564" i="31"/>
  <c r="F504" i="31"/>
  <c r="F474" i="31"/>
  <c r="F834" i="31"/>
  <c r="F534" i="31"/>
  <c r="F1676" i="31"/>
  <c r="F836" i="31"/>
  <c r="F746" i="31"/>
  <c r="F686" i="31"/>
  <c r="F626" i="31"/>
  <c r="F566" i="31"/>
  <c r="F806" i="31"/>
  <c r="F776" i="31"/>
  <c r="F716" i="31"/>
  <c r="F656" i="31"/>
  <c r="F596" i="31"/>
  <c r="F536" i="31"/>
  <c r="F476" i="31"/>
  <c r="F506" i="31"/>
  <c r="F1678" i="31"/>
  <c r="F808" i="31"/>
  <c r="F778" i="31"/>
  <c r="F718" i="31"/>
  <c r="F658" i="31"/>
  <c r="F598" i="31"/>
  <c r="F838" i="31"/>
  <c r="F748" i="31"/>
  <c r="F688" i="31"/>
  <c r="F628" i="31"/>
  <c r="F568" i="31"/>
  <c r="F508" i="31"/>
  <c r="F538" i="31"/>
  <c r="F478" i="31"/>
  <c r="F1680" i="31"/>
  <c r="F840" i="31"/>
  <c r="F750" i="31"/>
  <c r="F690" i="31"/>
  <c r="F630" i="31"/>
  <c r="F570" i="31"/>
  <c r="F780" i="31"/>
  <c r="F720" i="31"/>
  <c r="F660" i="31"/>
  <c r="F600" i="31"/>
  <c r="F540" i="31"/>
  <c r="F480" i="31"/>
  <c r="F810" i="31"/>
  <c r="F510" i="31"/>
  <c r="F1682" i="31"/>
  <c r="F1142" i="31"/>
  <c r="F1112" i="31"/>
  <c r="F1052" i="31"/>
  <c r="F992" i="31"/>
  <c r="F932" i="31"/>
  <c r="F872" i="31"/>
  <c r="F1202" i="31"/>
  <c r="F1172" i="31"/>
  <c r="F1082" i="31"/>
  <c r="F1022" i="31"/>
  <c r="F902" i="31"/>
  <c r="F962" i="31"/>
  <c r="F842" i="31"/>
  <c r="F1684" i="31"/>
  <c r="F1174" i="31"/>
  <c r="F1144" i="31"/>
  <c r="F1084" i="31"/>
  <c r="F1024" i="31"/>
  <c r="F964" i="31"/>
  <c r="F904" i="31"/>
  <c r="F844" i="31"/>
  <c r="F1114" i="31"/>
  <c r="F1204" i="31"/>
  <c r="F874" i="31"/>
  <c r="F1054" i="31"/>
  <c r="F994" i="31"/>
  <c r="F934" i="31"/>
  <c r="F1686" i="31"/>
  <c r="F1206" i="31"/>
  <c r="F1176" i="31"/>
  <c r="F1056" i="31"/>
  <c r="F996" i="31"/>
  <c r="F936" i="31"/>
  <c r="F876" i="31"/>
  <c r="F1146" i="31"/>
  <c r="F1116" i="31"/>
  <c r="F1026" i="31"/>
  <c r="F846" i="31"/>
  <c r="F906" i="31"/>
  <c r="F1086" i="31"/>
  <c r="F966" i="31"/>
  <c r="F1688" i="31"/>
  <c r="F1118" i="31"/>
  <c r="F1208" i="31"/>
  <c r="F1088" i="31"/>
  <c r="F1028" i="31"/>
  <c r="F968" i="31"/>
  <c r="F908" i="31"/>
  <c r="F848" i="31"/>
  <c r="F1178" i="31"/>
  <c r="F1148" i="31"/>
  <c r="F1058" i="31"/>
  <c r="F938" i="31"/>
  <c r="F878" i="31"/>
  <c r="F998" i="31"/>
  <c r="F1690" i="31"/>
  <c r="F1150" i="31"/>
  <c r="F1120" i="31"/>
  <c r="F1060" i="31"/>
  <c r="F1000" i="31"/>
  <c r="F940" i="31"/>
  <c r="F880" i="31"/>
  <c r="F1210" i="31"/>
  <c r="F1180" i="31"/>
  <c r="F1090" i="31"/>
  <c r="F970" i="31"/>
  <c r="F910" i="31"/>
  <c r="F850" i="31"/>
  <c r="F1030" i="31"/>
  <c r="F1692" i="31"/>
  <c r="F1182" i="31"/>
  <c r="F1152" i="31"/>
  <c r="F1092" i="31"/>
  <c r="F1032" i="31"/>
  <c r="F972" i="31"/>
  <c r="F912" i="31"/>
  <c r="F852" i="31"/>
  <c r="F1122" i="31"/>
  <c r="F1212" i="31"/>
  <c r="F1002" i="31"/>
  <c r="F942" i="31"/>
  <c r="F882" i="31"/>
  <c r="F1062" i="31"/>
  <c r="F1694" i="31"/>
  <c r="F1214" i="31"/>
  <c r="F1184" i="31"/>
  <c r="F1064" i="31"/>
  <c r="F1004" i="31"/>
  <c r="F944" i="31"/>
  <c r="F884" i="31"/>
  <c r="F1154" i="31"/>
  <c r="F1124" i="31"/>
  <c r="F1034" i="31"/>
  <c r="F854" i="31"/>
  <c r="F974" i="31"/>
  <c r="F1094" i="31"/>
  <c r="F914" i="31"/>
  <c r="F1696" i="31"/>
  <c r="F1126" i="31"/>
  <c r="F1216" i="31"/>
  <c r="F1096" i="31"/>
  <c r="F1036" i="31"/>
  <c r="F976" i="31"/>
  <c r="F916" i="31"/>
  <c r="F856" i="31"/>
  <c r="F1186" i="31"/>
  <c r="F1156" i="31"/>
  <c r="F1066" i="31"/>
  <c r="F1006" i="31"/>
  <c r="F946" i="31"/>
  <c r="F886" i="31"/>
  <c r="F1698" i="31"/>
  <c r="F1158" i="31"/>
  <c r="F1128" i="31"/>
  <c r="F1068" i="31"/>
  <c r="F1008" i="31"/>
  <c r="F948" i="31"/>
  <c r="F888" i="31"/>
  <c r="F1218" i="31"/>
  <c r="F1188" i="31"/>
  <c r="F1098" i="31"/>
  <c r="F1038" i="31"/>
  <c r="F918" i="31"/>
  <c r="F978" i="31"/>
  <c r="F858" i="31"/>
  <c r="F1700" i="31"/>
  <c r="F1190" i="31"/>
  <c r="F1160" i="31"/>
  <c r="F1100" i="31"/>
  <c r="F1040" i="31"/>
  <c r="F980" i="31"/>
  <c r="F920" i="31"/>
  <c r="F860" i="31"/>
  <c r="F1130" i="31"/>
  <c r="F1220" i="31"/>
  <c r="F1010" i="31"/>
  <c r="F890" i="31"/>
  <c r="F1070" i="31"/>
  <c r="F950" i="31"/>
  <c r="F1702" i="31"/>
  <c r="F1222" i="31"/>
  <c r="F1192" i="31"/>
  <c r="F1072" i="31"/>
  <c r="F1012" i="31"/>
  <c r="F952" i="31"/>
  <c r="F892" i="31"/>
  <c r="F1162" i="31"/>
  <c r="F1132" i="31"/>
  <c r="F1042" i="31"/>
  <c r="F862" i="31"/>
  <c r="F922" i="31"/>
  <c r="F1102" i="31"/>
  <c r="F982" i="31"/>
  <c r="F1704" i="31"/>
  <c r="F1134" i="31"/>
  <c r="F1224" i="31"/>
  <c r="F1104" i="31"/>
  <c r="F1044" i="31"/>
  <c r="F984" i="31"/>
  <c r="F924" i="31"/>
  <c r="F864" i="31"/>
  <c r="F1194" i="31"/>
  <c r="F1164" i="31"/>
  <c r="F1074" i="31"/>
  <c r="F954" i="31"/>
  <c r="F894" i="31"/>
  <c r="F1014" i="31"/>
  <c r="F1706" i="31"/>
  <c r="F1166" i="31"/>
  <c r="F1136" i="31"/>
  <c r="F1076" i="31"/>
  <c r="F1016" i="31"/>
  <c r="F956" i="31"/>
  <c r="F896" i="31"/>
  <c r="F1226" i="31"/>
  <c r="F1196" i="31"/>
  <c r="F1106" i="31"/>
  <c r="F986" i="31"/>
  <c r="F926" i="31"/>
  <c r="F1046" i="31"/>
  <c r="F866" i="31"/>
  <c r="F1708" i="31"/>
  <c r="F1198" i="31"/>
  <c r="F1168" i="31"/>
  <c r="F1108" i="31"/>
  <c r="F1048" i="31"/>
  <c r="F988" i="31"/>
  <c r="F928" i="31"/>
  <c r="F868" i="31"/>
  <c r="F1138" i="31"/>
  <c r="F1228" i="31"/>
  <c r="F1018" i="31"/>
  <c r="F958" i="31"/>
  <c r="F1078" i="31"/>
  <c r="F898" i="31"/>
  <c r="F1710" i="31"/>
  <c r="F1230" i="31"/>
  <c r="F1200" i="31"/>
  <c r="F1080" i="31"/>
  <c r="F1020" i="31"/>
  <c r="F960" i="31"/>
  <c r="F900" i="31"/>
  <c r="F1170" i="31"/>
  <c r="F1140" i="31"/>
  <c r="F1050" i="31"/>
  <c r="F990" i="31"/>
  <c r="F1110" i="31"/>
  <c r="F870" i="31"/>
  <c r="F930" i="31"/>
  <c r="F1712" i="31"/>
  <c r="F1592" i="31"/>
  <c r="F1532" i="31"/>
  <c r="F1472" i="31"/>
  <c r="F1412" i="31"/>
  <c r="F1352" i="31"/>
  <c r="F1292" i="31"/>
  <c r="F1502" i="31"/>
  <c r="F1382" i="31"/>
  <c r="F1262" i="31"/>
  <c r="F1232" i="31"/>
  <c r="F1562" i="31"/>
  <c r="F1442" i="31"/>
  <c r="F1322" i="31"/>
  <c r="F1714" i="31"/>
  <c r="F1564" i="31"/>
  <c r="F1504" i="31"/>
  <c r="F1444" i="31"/>
  <c r="F1384" i="31"/>
  <c r="F1324" i="31"/>
  <c r="F1264" i="31"/>
  <c r="F1534" i="31"/>
  <c r="F1414" i="31"/>
  <c r="F1294" i="31"/>
  <c r="F1234" i="31"/>
  <c r="F1594" i="31"/>
  <c r="F1474" i="31"/>
  <c r="F1354" i="31"/>
  <c r="F1716" i="31"/>
  <c r="F1596" i="31"/>
  <c r="F1536" i="31"/>
  <c r="F1476" i="31"/>
  <c r="F1416" i="31"/>
  <c r="F1356" i="31"/>
  <c r="F1296" i="31"/>
  <c r="F1566" i="31"/>
  <c r="F1446" i="31"/>
  <c r="F1326" i="31"/>
  <c r="F1236" i="31"/>
  <c r="F1506" i="31"/>
  <c r="F1386" i="31"/>
  <c r="F1266" i="31"/>
  <c r="F1718" i="31"/>
  <c r="F1568" i="31"/>
  <c r="F1508" i="31"/>
  <c r="F1448" i="31"/>
  <c r="F1388" i="31"/>
  <c r="F1328" i="31"/>
  <c r="F1268" i="31"/>
  <c r="F1598" i="31"/>
  <c r="F1478" i="31"/>
  <c r="F1358" i="31"/>
  <c r="F1238" i="31"/>
  <c r="F1538" i="31"/>
  <c r="F1418" i="31"/>
  <c r="F1298" i="31"/>
  <c r="F1720" i="31"/>
  <c r="F1600" i="31"/>
  <c r="F1540" i="31"/>
  <c r="F1480" i="31"/>
  <c r="F1420" i="31"/>
  <c r="F1360" i="31"/>
  <c r="F1300" i="31"/>
  <c r="F1510" i="31"/>
  <c r="F1390" i="31"/>
  <c r="F1270" i="31"/>
  <c r="F1240" i="31"/>
  <c r="F1570" i="31"/>
  <c r="F1450" i="31"/>
  <c r="F1330" i="31"/>
  <c r="F1722" i="31"/>
  <c r="F1572" i="31"/>
  <c r="F1512" i="31"/>
  <c r="F1452" i="31"/>
  <c r="F1392" i="31"/>
  <c r="F1332" i="31"/>
  <c r="F1272" i="31"/>
  <c r="F1542" i="31"/>
  <c r="F1422" i="31"/>
  <c r="F1302" i="31"/>
  <c r="F1242" i="31"/>
  <c r="F1602" i="31"/>
  <c r="F1482" i="31"/>
  <c r="F1362" i="31"/>
  <c r="F1724" i="31"/>
  <c r="F1604" i="31"/>
  <c r="F1544" i="31"/>
  <c r="F1484" i="31"/>
  <c r="F1424" i="31"/>
  <c r="F1364" i="31"/>
  <c r="F1304" i="31"/>
  <c r="F1574" i="31"/>
  <c r="F1454" i="31"/>
  <c r="F1334" i="31"/>
  <c r="F1244" i="31"/>
  <c r="F1514" i="31"/>
  <c r="F1394" i="31"/>
  <c r="F1274" i="31"/>
  <c r="F1726" i="31"/>
  <c r="F1576" i="31"/>
  <c r="F1516" i="31"/>
  <c r="F1456" i="31"/>
  <c r="F1396" i="31"/>
  <c r="F1336" i="31"/>
  <c r="F1276" i="31"/>
  <c r="F1606" i="31"/>
  <c r="F1486" i="31"/>
  <c r="F1366" i="31"/>
  <c r="F1246" i="31"/>
  <c r="F1546" i="31"/>
  <c r="F1426" i="31"/>
  <c r="F1306" i="31"/>
  <c r="F1728" i="31"/>
  <c r="F1608" i="31"/>
  <c r="F1548" i="31"/>
  <c r="F1488" i="31"/>
  <c r="F1428" i="31"/>
  <c r="F1368" i="31"/>
  <c r="F1308" i="31"/>
  <c r="F1518" i="31"/>
  <c r="F1398" i="31"/>
  <c r="F1278" i="31"/>
  <c r="F1248" i="31"/>
  <c r="F1578" i="31"/>
  <c r="F1458" i="31"/>
  <c r="F1338" i="31"/>
  <c r="F1730" i="31"/>
  <c r="F1580" i="31"/>
  <c r="F1520" i="31"/>
  <c r="F1460" i="31"/>
  <c r="F1400" i="31"/>
  <c r="F1340" i="31"/>
  <c r="F1280" i="31"/>
  <c r="F1550" i="31"/>
  <c r="F1430" i="31"/>
  <c r="F1310" i="31"/>
  <c r="F1250" i="31"/>
  <c r="F1610" i="31"/>
  <c r="F1490" i="31"/>
  <c r="F1370" i="31"/>
  <c r="F1732" i="31"/>
  <c r="F1612" i="31"/>
  <c r="F1552" i="31"/>
  <c r="F1492" i="31"/>
  <c r="F1432" i="31"/>
  <c r="F1372" i="31"/>
  <c r="F1312" i="31"/>
  <c r="F1582" i="31"/>
  <c r="F1462" i="31"/>
  <c r="F1342" i="31"/>
  <c r="F1252" i="31"/>
  <c r="F1522" i="31"/>
  <c r="F1402" i="31"/>
  <c r="F1282" i="31"/>
  <c r="F1734" i="31"/>
  <c r="F1584" i="31"/>
  <c r="F1524" i="31"/>
  <c r="F1464" i="31"/>
  <c r="F1404" i="31"/>
  <c r="F1344" i="31"/>
  <c r="F1284" i="31"/>
  <c r="F1614" i="31"/>
  <c r="F1494" i="31"/>
  <c r="F1374" i="31"/>
  <c r="F1254" i="31"/>
  <c r="F1554" i="31"/>
  <c r="F1434" i="31"/>
  <c r="F1314" i="31"/>
  <c r="F1736" i="31"/>
  <c r="F1616" i="31"/>
  <c r="F1556" i="31"/>
  <c r="F1496" i="31"/>
  <c r="F1436" i="31"/>
  <c r="F1376" i="31"/>
  <c r="F1316" i="31"/>
  <c r="F1256" i="31"/>
  <c r="F1526" i="31"/>
  <c r="F1406" i="31"/>
  <c r="F1286" i="31"/>
  <c r="F1586" i="31"/>
  <c r="F1466" i="31"/>
  <c r="F1346" i="31"/>
  <c r="F1738" i="31"/>
  <c r="F1588" i="31"/>
  <c r="F1528" i="31"/>
  <c r="F1468" i="31"/>
  <c r="F1408" i="31"/>
  <c r="F1348" i="31"/>
  <c r="F1288" i="31"/>
  <c r="F1558" i="31"/>
  <c r="F1438" i="31"/>
  <c r="F1318" i="31"/>
  <c r="F1618" i="31"/>
  <c r="F1498" i="31"/>
  <c r="F1378" i="31"/>
  <c r="F1258" i="31"/>
  <c r="F1740" i="31"/>
  <c r="F1620" i="31"/>
  <c r="F1560" i="31"/>
  <c r="F1500" i="31"/>
  <c r="F1440" i="31"/>
  <c r="F1380" i="31"/>
  <c r="F1320" i="31"/>
  <c r="F1260" i="31"/>
  <c r="F1590" i="31"/>
  <c r="F1470" i="31"/>
  <c r="F1350" i="31"/>
  <c r="F1530" i="31"/>
  <c r="F1410" i="31"/>
  <c r="F1290" i="31"/>
  <c r="F1626" i="31"/>
  <c r="F426" i="31"/>
  <c r="F366" i="31"/>
  <c r="F306" i="31"/>
  <c r="F246" i="31"/>
  <c r="F186" i="31"/>
  <c r="F126" i="31"/>
  <c r="F66" i="31"/>
  <c r="F6" i="31"/>
  <c r="F396" i="31"/>
  <c r="F336" i="31"/>
  <c r="F276" i="31"/>
  <c r="F216" i="31"/>
  <c r="F156" i="31"/>
  <c r="F96" i="31"/>
  <c r="F36" i="31"/>
  <c r="F1634" i="31"/>
  <c r="F434" i="31"/>
  <c r="F374" i="31"/>
  <c r="F314" i="31"/>
  <c r="F254" i="31"/>
  <c r="F194" i="31"/>
  <c r="F134" i="31"/>
  <c r="F74" i="31"/>
  <c r="F14" i="31"/>
  <c r="F404" i="31"/>
  <c r="F344" i="31"/>
  <c r="F284" i="31"/>
  <c r="F224" i="31"/>
  <c r="F164" i="31"/>
  <c r="F104" i="31"/>
  <c r="F44" i="31"/>
  <c r="F1642" i="31"/>
  <c r="F442" i="31"/>
  <c r="F382" i="31"/>
  <c r="F322" i="31"/>
  <c r="F262" i="31"/>
  <c r="F202" i="31"/>
  <c r="F142" i="31"/>
  <c r="F82" i="31"/>
  <c r="F22" i="31"/>
  <c r="F412" i="31"/>
  <c r="F352" i="31"/>
  <c r="F292" i="31"/>
  <c r="F232" i="31"/>
  <c r="F172" i="31"/>
  <c r="F112" i="31"/>
  <c r="F52" i="31"/>
  <c r="F1648" i="31"/>
  <c r="F418" i="31"/>
  <c r="F358" i="31"/>
  <c r="F298" i="31"/>
  <c r="F238" i="31"/>
  <c r="F178" i="31"/>
  <c r="F118" i="31"/>
  <c r="F58" i="31"/>
  <c r="F448" i="31"/>
  <c r="F388" i="31"/>
  <c r="F328" i="31"/>
  <c r="F268" i="31"/>
  <c r="F208" i="31"/>
  <c r="F148" i="31"/>
  <c r="F88" i="31"/>
  <c r="F28" i="31"/>
  <c r="G1656" i="31"/>
  <c r="G786" i="31"/>
  <c r="G726" i="31"/>
  <c r="G666" i="31"/>
  <c r="G606" i="31"/>
  <c r="G546" i="31"/>
  <c r="G486" i="31"/>
  <c r="G456" i="31"/>
  <c r="G756" i="31"/>
  <c r="G636" i="31"/>
  <c r="G696" i="31"/>
  <c r="G516" i="31"/>
  <c r="G816" i="31"/>
  <c r="G576" i="31"/>
  <c r="G1662" i="31"/>
  <c r="G762" i="31"/>
  <c r="G702" i="31"/>
  <c r="G642" i="31"/>
  <c r="G582" i="31"/>
  <c r="G822" i="31"/>
  <c r="G672" i="31"/>
  <c r="G732" i="31"/>
  <c r="G612" i="31"/>
  <c r="G522" i="31"/>
  <c r="G462" i="31"/>
  <c r="G552" i="31"/>
  <c r="G492" i="31"/>
  <c r="G792" i="31"/>
  <c r="G1668" i="31"/>
  <c r="G828" i="31"/>
  <c r="G738" i="31"/>
  <c r="G678" i="31"/>
  <c r="G618" i="31"/>
  <c r="G558" i="31"/>
  <c r="G798" i="31"/>
  <c r="G528" i="31"/>
  <c r="G648" i="31"/>
  <c r="G708" i="31"/>
  <c r="G588" i="31"/>
  <c r="G498" i="31"/>
  <c r="G768" i="31"/>
  <c r="G468" i="31"/>
  <c r="G1672" i="31"/>
  <c r="G802" i="31"/>
  <c r="G742" i="31"/>
  <c r="G682" i="31"/>
  <c r="G622" i="31"/>
  <c r="G562" i="31"/>
  <c r="G712" i="31"/>
  <c r="G592" i="31"/>
  <c r="G502" i="31"/>
  <c r="G472" i="31"/>
  <c r="G772" i="31"/>
  <c r="G652" i="31"/>
  <c r="G532" i="31"/>
  <c r="G832" i="31"/>
  <c r="G1684" i="31"/>
  <c r="G1204" i="31"/>
  <c r="G1144" i="31"/>
  <c r="G1054" i="31"/>
  <c r="G994" i="31"/>
  <c r="G934" i="31"/>
  <c r="G874" i="31"/>
  <c r="G1174" i="31"/>
  <c r="G1084" i="31"/>
  <c r="G1024" i="31"/>
  <c r="G964" i="31"/>
  <c r="G904" i="31"/>
  <c r="G844" i="31"/>
  <c r="G1114" i="31"/>
  <c r="G1690" i="31"/>
  <c r="G1180" i="31"/>
  <c r="G1120" i="31"/>
  <c r="G1090" i="31"/>
  <c r="G1030" i="31"/>
  <c r="G970" i="31"/>
  <c r="G910" i="31"/>
  <c r="G1150" i="31"/>
  <c r="G1060" i="31"/>
  <c r="G1000" i="31"/>
  <c r="G940" i="31"/>
  <c r="G880" i="31"/>
  <c r="G850" i="31"/>
  <c r="G1210" i="31"/>
  <c r="G1694" i="31"/>
  <c r="G1184" i="31"/>
  <c r="G1124" i="31"/>
  <c r="G1094" i="31"/>
  <c r="G1034" i="31"/>
  <c r="G974" i="31"/>
  <c r="G914" i="31"/>
  <c r="G1214" i="31"/>
  <c r="G1064" i="31"/>
  <c r="G1004" i="31"/>
  <c r="G944" i="31"/>
  <c r="G884" i="31"/>
  <c r="G1154" i="31"/>
  <c r="G854" i="31"/>
  <c r="G1698" i="31"/>
  <c r="G1188" i="31"/>
  <c r="G1128" i="31"/>
  <c r="G1098" i="31"/>
  <c r="G1038" i="31"/>
  <c r="G978" i="31"/>
  <c r="G918" i="31"/>
  <c r="G1158" i="31"/>
  <c r="G1068" i="31"/>
  <c r="G1008" i="31"/>
  <c r="G948" i="31"/>
  <c r="G888" i="31"/>
  <c r="G858" i="31"/>
  <c r="G1218" i="31"/>
  <c r="G1702" i="31"/>
  <c r="G1192" i="31"/>
  <c r="G1132" i="31"/>
  <c r="G1102" i="31"/>
  <c r="G1042" i="31"/>
  <c r="G982" i="31"/>
  <c r="G922" i="31"/>
  <c r="G1222" i="31"/>
  <c r="G1072" i="31"/>
  <c r="G1012" i="31"/>
  <c r="G952" i="31"/>
  <c r="G892" i="31"/>
  <c r="G1162" i="31"/>
  <c r="G862" i="31"/>
  <c r="G1708" i="31"/>
  <c r="G1228" i="31"/>
  <c r="G1168" i="31"/>
  <c r="G1078" i="31"/>
  <c r="G1018" i="31"/>
  <c r="G958" i="31"/>
  <c r="G898" i="31"/>
  <c r="G1198" i="31"/>
  <c r="G1108" i="31"/>
  <c r="G1048" i="31"/>
  <c r="G988" i="31"/>
  <c r="G928" i="31"/>
  <c r="G868" i="31"/>
  <c r="G1138" i="31"/>
  <c r="G1712" i="31"/>
  <c r="G1562" i="31"/>
  <c r="G1502" i="31"/>
  <c r="G1442" i="31"/>
  <c r="G1382" i="31"/>
  <c r="G1322" i="31"/>
  <c r="G1262" i="31"/>
  <c r="G1592" i="31"/>
  <c r="G1532" i="31"/>
  <c r="G1472" i="31"/>
  <c r="G1412" i="31"/>
  <c r="G1352" i="31"/>
  <c r="G1292" i="31"/>
  <c r="G1232" i="31"/>
  <c r="G1714" i="31"/>
  <c r="G1594" i="31"/>
  <c r="G1534" i="31"/>
  <c r="G1474" i="31"/>
  <c r="G1414" i="31"/>
  <c r="G1354" i="31"/>
  <c r="G1294" i="31"/>
  <c r="G1234" i="31"/>
  <c r="G1564" i="31"/>
  <c r="G1504" i="31"/>
  <c r="G1444" i="31"/>
  <c r="G1384" i="31"/>
  <c r="G1324" i="31"/>
  <c r="G1264" i="31"/>
  <c r="G1718" i="31"/>
  <c r="G1598" i="31"/>
  <c r="G1538" i="31"/>
  <c r="G1478" i="31"/>
  <c r="G1418" i="31"/>
  <c r="G1358" i="31"/>
  <c r="G1298" i="31"/>
  <c r="G1238" i="31"/>
  <c r="G1568" i="31"/>
  <c r="G1508" i="31"/>
  <c r="G1448" i="31"/>
  <c r="G1388" i="31"/>
  <c r="G1328" i="31"/>
  <c r="G1268" i="31"/>
  <c r="G1722" i="31"/>
  <c r="G1602" i="31"/>
  <c r="G1542" i="31"/>
  <c r="G1482" i="31"/>
  <c r="G1422" i="31"/>
  <c r="G1362" i="31"/>
  <c r="G1302" i="31"/>
  <c r="G1242" i="31"/>
  <c r="G1572" i="31"/>
  <c r="G1512" i="31"/>
  <c r="G1452" i="31"/>
  <c r="G1392" i="31"/>
  <c r="G1332" i="31"/>
  <c r="G1272" i="31"/>
  <c r="G1726" i="31"/>
  <c r="G1606" i="31"/>
  <c r="G1546" i="31"/>
  <c r="G1486" i="31"/>
  <c r="G1426" i="31"/>
  <c r="G1366" i="31"/>
  <c r="G1306" i="31"/>
  <c r="G1246" i="31"/>
  <c r="G1576" i="31"/>
  <c r="G1516" i="31"/>
  <c r="G1456" i="31"/>
  <c r="G1396" i="31"/>
  <c r="G1336" i="31"/>
  <c r="G1276" i="31"/>
  <c r="G1730" i="31"/>
  <c r="G1610" i="31"/>
  <c r="G1550" i="31"/>
  <c r="G1490" i="31"/>
  <c r="G1430" i="31"/>
  <c r="G1370" i="31"/>
  <c r="G1310" i="31"/>
  <c r="G1250" i="31"/>
  <c r="G1580" i="31"/>
  <c r="G1520" i="31"/>
  <c r="G1460" i="31"/>
  <c r="G1400" i="31"/>
  <c r="G1340" i="31"/>
  <c r="G1280" i="31"/>
  <c r="G1732" i="31"/>
  <c r="G1582" i="31"/>
  <c r="G1522" i="31"/>
  <c r="G1462" i="31"/>
  <c r="G1402" i="31"/>
  <c r="G1342" i="31"/>
  <c r="G1282" i="31"/>
  <c r="G1612" i="31"/>
  <c r="G1552" i="31"/>
  <c r="G1492" i="31"/>
  <c r="G1432" i="31"/>
  <c r="G1372" i="31"/>
  <c r="G1312" i="31"/>
  <c r="G1252" i="31"/>
  <c r="G1736" i="31"/>
  <c r="G1586" i="31"/>
  <c r="G1526" i="31"/>
  <c r="G1466" i="31"/>
  <c r="G1406" i="31"/>
  <c r="G1346" i="31"/>
  <c r="G1286" i="31"/>
  <c r="G1616" i="31"/>
  <c r="G1556" i="31"/>
  <c r="G1496" i="31"/>
  <c r="G1436" i="31"/>
  <c r="G1376" i="31"/>
  <c r="G1316" i="31"/>
  <c r="G1256" i="31"/>
  <c r="G1740" i="31"/>
  <c r="G1590" i="31"/>
  <c r="G1530" i="31"/>
  <c r="G1470" i="31"/>
  <c r="G1410" i="31"/>
  <c r="G1350" i="31"/>
  <c r="G1290" i="31"/>
  <c r="G1620" i="31"/>
  <c r="G1560" i="31"/>
  <c r="G1500" i="31"/>
  <c r="G1440" i="31"/>
  <c r="G1380" i="31"/>
  <c r="G1320" i="31"/>
  <c r="G1260" i="31"/>
  <c r="F1623" i="31"/>
  <c r="F363" i="31"/>
  <c r="F63" i="31"/>
  <c r="F3" i="31"/>
  <c r="F393" i="31"/>
  <c r="F333" i="31"/>
  <c r="F273" i="31"/>
  <c r="F213" i="31"/>
  <c r="F153" i="31"/>
  <c r="F93" i="31"/>
  <c r="F33" i="31"/>
  <c r="F423" i="31"/>
  <c r="F243" i="31"/>
  <c r="F123" i="31"/>
  <c r="F303" i="31"/>
  <c r="F183" i="31"/>
  <c r="F1625" i="31"/>
  <c r="F335" i="31"/>
  <c r="F215" i="31"/>
  <c r="F95" i="31"/>
  <c r="F425" i="31"/>
  <c r="F365" i="31"/>
  <c r="F305" i="31"/>
  <c r="F245" i="31"/>
  <c r="F185" i="31"/>
  <c r="F125" i="31"/>
  <c r="F65" i="31"/>
  <c r="F5" i="31"/>
  <c r="F395" i="31"/>
  <c r="F35" i="31"/>
  <c r="F275" i="31"/>
  <c r="F155" i="31"/>
  <c r="F1627" i="31"/>
  <c r="F367" i="31"/>
  <c r="F247" i="31"/>
  <c r="F127" i="31"/>
  <c r="F397" i="31"/>
  <c r="F337" i="31"/>
  <c r="F277" i="31"/>
  <c r="F217" i="31"/>
  <c r="F157" i="31"/>
  <c r="F97" i="31"/>
  <c r="F37" i="31"/>
  <c r="F427" i="31"/>
  <c r="F67" i="31"/>
  <c r="F7" i="31"/>
  <c r="F307" i="31"/>
  <c r="F187" i="31"/>
  <c r="F1629" i="31"/>
  <c r="F399" i="31"/>
  <c r="F159" i="31"/>
  <c r="F99" i="31"/>
  <c r="F429" i="31"/>
  <c r="F369" i="31"/>
  <c r="F309" i="31"/>
  <c r="F249" i="31"/>
  <c r="F189" i="31"/>
  <c r="F129" i="31"/>
  <c r="F69" i="31"/>
  <c r="F9" i="31"/>
  <c r="F219" i="31"/>
  <c r="F39" i="31"/>
  <c r="F339" i="31"/>
  <c r="F279" i="31"/>
  <c r="F1631" i="31"/>
  <c r="F251" i="31"/>
  <c r="F191" i="31"/>
  <c r="F131" i="31"/>
  <c r="F401" i="31"/>
  <c r="F341" i="31"/>
  <c r="F281" i="31"/>
  <c r="F221" i="31"/>
  <c r="F161" i="31"/>
  <c r="F101" i="31"/>
  <c r="F41" i="31"/>
  <c r="F431" i="31"/>
  <c r="F71" i="31"/>
  <c r="F11" i="31"/>
  <c r="F371" i="31"/>
  <c r="F311" i="31"/>
  <c r="F1633" i="31"/>
  <c r="F403" i="31"/>
  <c r="F343" i="31"/>
  <c r="F163" i="31"/>
  <c r="F43" i="31"/>
  <c r="F433" i="31"/>
  <c r="F373" i="31"/>
  <c r="F313" i="31"/>
  <c r="F253" i="31"/>
  <c r="F193" i="31"/>
  <c r="F133" i="31"/>
  <c r="F73" i="31"/>
  <c r="F13" i="31"/>
  <c r="F283" i="31"/>
  <c r="F223" i="31"/>
  <c r="F103" i="31"/>
  <c r="F1635" i="31"/>
  <c r="F435" i="31"/>
  <c r="F315" i="31"/>
  <c r="F405" i="31"/>
  <c r="F345" i="31"/>
  <c r="F285" i="31"/>
  <c r="F225" i="31"/>
  <c r="F165" i="31"/>
  <c r="F105" i="31"/>
  <c r="F45" i="31"/>
  <c r="F135" i="31"/>
  <c r="F75" i="31"/>
  <c r="F15" i="31"/>
  <c r="F375" i="31"/>
  <c r="F255" i="31"/>
  <c r="F195" i="31"/>
  <c r="F1637" i="31"/>
  <c r="F167" i="31"/>
  <c r="F107" i="31"/>
  <c r="F437" i="31"/>
  <c r="F377" i="31"/>
  <c r="F317" i="31"/>
  <c r="F257" i="31"/>
  <c r="F197" i="31"/>
  <c r="F137" i="31"/>
  <c r="F77" i="31"/>
  <c r="F17" i="31"/>
  <c r="F407" i="31"/>
  <c r="F287" i="31"/>
  <c r="F347" i="31"/>
  <c r="F227" i="31"/>
  <c r="F47" i="31"/>
  <c r="F1639" i="31"/>
  <c r="F439" i="31"/>
  <c r="F259" i="31"/>
  <c r="F409" i="31"/>
  <c r="F349" i="31"/>
  <c r="F289" i="31"/>
  <c r="F229" i="31"/>
  <c r="F169" i="31"/>
  <c r="F109" i="31"/>
  <c r="F49" i="31"/>
  <c r="F139" i="31"/>
  <c r="F79" i="31"/>
  <c r="F379" i="31"/>
  <c r="F319" i="31"/>
  <c r="F199" i="31"/>
  <c r="F19" i="31"/>
  <c r="F1641" i="31"/>
  <c r="F111" i="31"/>
  <c r="F441" i="31"/>
  <c r="F381" i="31"/>
  <c r="F321" i="31"/>
  <c r="F261" i="31"/>
  <c r="F201" i="31"/>
  <c r="F141" i="31"/>
  <c r="F81" i="31"/>
  <c r="F21" i="31"/>
  <c r="F411" i="31"/>
  <c r="F351" i="31"/>
  <c r="F291" i="31"/>
  <c r="F231" i="31"/>
  <c r="F171" i="31"/>
  <c r="F51" i="31"/>
  <c r="F1643" i="31"/>
  <c r="F263" i="31"/>
  <c r="F203" i="31"/>
  <c r="F413" i="31"/>
  <c r="F353" i="31"/>
  <c r="F293" i="31"/>
  <c r="F233" i="31"/>
  <c r="F173" i="31"/>
  <c r="F113" i="31"/>
  <c r="F53" i="31"/>
  <c r="F443" i="31"/>
  <c r="F143" i="31"/>
  <c r="F383" i="31"/>
  <c r="F323" i="31"/>
  <c r="F83" i="31"/>
  <c r="F23" i="31"/>
  <c r="F1645" i="31"/>
  <c r="F295" i="31"/>
  <c r="F175" i="31"/>
  <c r="F445" i="31"/>
  <c r="F385" i="31"/>
  <c r="F325" i="31"/>
  <c r="F265" i="31"/>
  <c r="F205" i="31"/>
  <c r="F145" i="31"/>
  <c r="F85" i="31"/>
  <c r="F25" i="31"/>
  <c r="F415" i="31"/>
  <c r="F235" i="31"/>
  <c r="F355" i="31"/>
  <c r="F115" i="31"/>
  <c r="F55" i="31"/>
  <c r="F1647" i="31"/>
  <c r="F207" i="31"/>
  <c r="F147" i="31"/>
  <c r="F417" i="31"/>
  <c r="F357" i="31"/>
  <c r="F297" i="31"/>
  <c r="F237" i="31"/>
  <c r="F177" i="31"/>
  <c r="F117" i="31"/>
  <c r="F57" i="31"/>
  <c r="F447" i="31"/>
  <c r="F387" i="31"/>
  <c r="F27" i="31"/>
  <c r="F327" i="31"/>
  <c r="F267" i="31"/>
  <c r="F87" i="31"/>
  <c r="F1649" i="31"/>
  <c r="F419" i="31"/>
  <c r="F359" i="31"/>
  <c r="F299" i="31"/>
  <c r="F119" i="31"/>
  <c r="F449" i="31"/>
  <c r="F389" i="31"/>
  <c r="F329" i="31"/>
  <c r="F269" i="31"/>
  <c r="F209" i="31"/>
  <c r="F149" i="31"/>
  <c r="F89" i="31"/>
  <c r="F29" i="31"/>
  <c r="F239" i="31"/>
  <c r="F59" i="31"/>
  <c r="F179" i="31"/>
  <c r="F1651" i="31"/>
  <c r="F331" i="31"/>
  <c r="F421" i="31"/>
  <c r="F361" i="31"/>
  <c r="F301" i="31"/>
  <c r="F241" i="31"/>
  <c r="F181" i="31"/>
  <c r="F121" i="31"/>
  <c r="F61" i="31"/>
  <c r="F451" i="31"/>
  <c r="F391" i="31"/>
  <c r="F31" i="31"/>
  <c r="F271" i="31"/>
  <c r="F211" i="31"/>
  <c r="F151" i="31"/>
  <c r="F91" i="31"/>
  <c r="G1653" i="31"/>
  <c r="G813" i="31"/>
  <c r="G783" i="31"/>
  <c r="G723" i="31"/>
  <c r="G663" i="31"/>
  <c r="G603" i="31"/>
  <c r="G543" i="31"/>
  <c r="G753" i="31"/>
  <c r="G693" i="31"/>
  <c r="G633" i="31"/>
  <c r="G573" i="31"/>
  <c r="G513" i="31"/>
  <c r="G483" i="31"/>
  <c r="G453" i="31"/>
  <c r="G1655" i="31"/>
  <c r="G785" i="31"/>
  <c r="G755" i="31"/>
  <c r="G695" i="31"/>
  <c r="G635" i="31"/>
  <c r="G575" i="31"/>
  <c r="G815" i="31"/>
  <c r="G725" i="31"/>
  <c r="G665" i="31"/>
  <c r="G605" i="31"/>
  <c r="G545" i="31"/>
  <c r="G485" i="31"/>
  <c r="G515" i="31"/>
  <c r="G455" i="31"/>
  <c r="G1657" i="31"/>
  <c r="G817" i="31"/>
  <c r="G727" i="31"/>
  <c r="G667" i="31"/>
  <c r="G607" i="31"/>
  <c r="G547" i="31"/>
  <c r="G757" i="31"/>
  <c r="G697" i="31"/>
  <c r="G637" i="31"/>
  <c r="G577" i="31"/>
  <c r="G517" i="31"/>
  <c r="G787" i="31"/>
  <c r="G487" i="31"/>
  <c r="G457" i="31"/>
  <c r="G1659" i="31"/>
  <c r="G789" i="31"/>
  <c r="G759" i="31"/>
  <c r="G699" i="31"/>
  <c r="G639" i="31"/>
  <c r="G579" i="31"/>
  <c r="G729" i="31"/>
  <c r="G669" i="31"/>
  <c r="G609" i="31"/>
  <c r="G549" i="31"/>
  <c r="G489" i="31"/>
  <c r="G819" i="31"/>
  <c r="G459" i="31"/>
  <c r="G519" i="31"/>
  <c r="G1661" i="31"/>
  <c r="G821" i="31"/>
  <c r="G731" i="31"/>
  <c r="G671" i="31"/>
  <c r="G611" i="31"/>
  <c r="G551" i="31"/>
  <c r="G791" i="31"/>
  <c r="G761" i="31"/>
  <c r="G701" i="31"/>
  <c r="G641" i="31"/>
  <c r="G581" i="31"/>
  <c r="G521" i="31"/>
  <c r="G491" i="31"/>
  <c r="G461" i="31"/>
  <c r="G1663" i="31"/>
  <c r="G793" i="31"/>
  <c r="G763" i="31"/>
  <c r="G703" i="31"/>
  <c r="G643" i="31"/>
  <c r="G583" i="31"/>
  <c r="G823" i="31"/>
  <c r="G733" i="31"/>
  <c r="G673" i="31"/>
  <c r="G613" i="31"/>
  <c r="G553" i="31"/>
  <c r="G493" i="31"/>
  <c r="G523" i="31"/>
  <c r="G463" i="31"/>
  <c r="G1665" i="31"/>
  <c r="G825" i="31"/>
  <c r="G735" i="31"/>
  <c r="G675" i="31"/>
  <c r="G615" i="31"/>
  <c r="G555" i="31"/>
  <c r="G765" i="31"/>
  <c r="G705" i="31"/>
  <c r="G645" i="31"/>
  <c r="G585" i="31"/>
  <c r="G525" i="31"/>
  <c r="G795" i="31"/>
  <c r="G495" i="31"/>
  <c r="G465" i="31"/>
  <c r="G1667" i="31"/>
  <c r="G797" i="31"/>
  <c r="G767" i="31"/>
  <c r="G707" i="31"/>
  <c r="G647" i="31"/>
  <c r="G587" i="31"/>
  <c r="G737" i="31"/>
  <c r="G677" i="31"/>
  <c r="G617" i="31"/>
  <c r="G557" i="31"/>
  <c r="G497" i="31"/>
  <c r="G827" i="31"/>
  <c r="G467" i="31"/>
  <c r="G527" i="31"/>
  <c r="G1669" i="31"/>
  <c r="G829" i="31"/>
  <c r="G739" i="31"/>
  <c r="G679" i="31"/>
  <c r="G619" i="31"/>
  <c r="G559" i="31"/>
  <c r="G799" i="31"/>
  <c r="G769" i="31"/>
  <c r="G709" i="31"/>
  <c r="G649" i="31"/>
  <c r="G589" i="31"/>
  <c r="G529" i="31"/>
  <c r="G499" i="31"/>
  <c r="G469" i="31"/>
  <c r="G1671" i="31"/>
  <c r="G801" i="31"/>
  <c r="G771" i="31"/>
  <c r="G711" i="31"/>
  <c r="G651" i="31"/>
  <c r="G591" i="31"/>
  <c r="G831" i="31"/>
  <c r="G741" i="31"/>
  <c r="G681" i="31"/>
  <c r="G621" i="31"/>
  <c r="G561" i="31"/>
  <c r="G501" i="31"/>
  <c r="G531" i="31"/>
  <c r="G471" i="31"/>
  <c r="G1673" i="31"/>
  <c r="G833" i="31"/>
  <c r="G743" i="31"/>
  <c r="G683" i="31"/>
  <c r="G623" i="31"/>
  <c r="G563" i="31"/>
  <c r="G773" i="31"/>
  <c r="G713" i="31"/>
  <c r="G653" i="31"/>
  <c r="G593" i="31"/>
  <c r="G533" i="31"/>
  <c r="G803" i="31"/>
  <c r="G503" i="31"/>
  <c r="G473" i="31"/>
  <c r="G1675" i="31"/>
  <c r="G805" i="31"/>
  <c r="G775" i="31"/>
  <c r="G715" i="31"/>
  <c r="G655" i="31"/>
  <c r="G595" i="31"/>
  <c r="G745" i="31"/>
  <c r="G685" i="31"/>
  <c r="G625" i="31"/>
  <c r="G565" i="31"/>
  <c r="G505" i="31"/>
  <c r="G835" i="31"/>
  <c r="G475" i="31"/>
  <c r="G535" i="31"/>
  <c r="G1677" i="31"/>
  <c r="G837" i="31"/>
  <c r="G747" i="31"/>
  <c r="G687" i="31"/>
  <c r="G627" i="31"/>
  <c r="G567" i="31"/>
  <c r="G807" i="31"/>
  <c r="G777" i="31"/>
  <c r="G717" i="31"/>
  <c r="G657" i="31"/>
  <c r="G597" i="31"/>
  <c r="G537" i="31"/>
  <c r="G477" i="31"/>
  <c r="G507" i="31"/>
  <c r="G1679" i="31"/>
  <c r="G809" i="31"/>
  <c r="G779" i="31"/>
  <c r="G719" i="31"/>
  <c r="G659" i="31"/>
  <c r="G599" i="31"/>
  <c r="G839" i="31"/>
  <c r="G749" i="31"/>
  <c r="G689" i="31"/>
  <c r="G629" i="31"/>
  <c r="G569" i="31"/>
  <c r="G509" i="31"/>
  <c r="G539" i="31"/>
  <c r="G479" i="31"/>
  <c r="G1681" i="31"/>
  <c r="G841" i="31"/>
  <c r="G751" i="31"/>
  <c r="G691" i="31"/>
  <c r="G631" i="31"/>
  <c r="G571" i="31"/>
  <c r="G781" i="31"/>
  <c r="G721" i="31"/>
  <c r="G661" i="31"/>
  <c r="G601" i="31"/>
  <c r="G541" i="31"/>
  <c r="G481" i="31"/>
  <c r="G811" i="31"/>
  <c r="G511" i="31"/>
  <c r="G1683" i="31"/>
  <c r="G1113" i="31"/>
  <c r="G1203" i="31"/>
  <c r="G1053" i="31"/>
  <c r="G993" i="31"/>
  <c r="G933" i="31"/>
  <c r="G873" i="31"/>
  <c r="G1173" i="31"/>
  <c r="G1143" i="31"/>
  <c r="G1023" i="31"/>
  <c r="G963" i="31"/>
  <c r="G903" i="31"/>
  <c r="G843" i="31"/>
  <c r="G1083" i="31"/>
  <c r="G1685" i="31"/>
  <c r="G1145" i="31"/>
  <c r="G1115" i="31"/>
  <c r="G1085" i="31"/>
  <c r="G1025" i="31"/>
  <c r="G965" i="31"/>
  <c r="G905" i="31"/>
  <c r="G845" i="31"/>
  <c r="G1205" i="31"/>
  <c r="G1175" i="31"/>
  <c r="G1055" i="31"/>
  <c r="G995" i="31"/>
  <c r="G935" i="31"/>
  <c r="G875" i="31"/>
  <c r="G1687" i="31"/>
  <c r="G1177" i="31"/>
  <c r="G1147" i="31"/>
  <c r="G1057" i="31"/>
  <c r="G997" i="31"/>
  <c r="G937" i="31"/>
  <c r="G877" i="31"/>
  <c r="G1117" i="31"/>
  <c r="G1207" i="31"/>
  <c r="G1087" i="31"/>
  <c r="G847" i="31"/>
  <c r="G967" i="31"/>
  <c r="G907" i="31"/>
  <c r="G1027" i="31"/>
  <c r="G1689" i="31"/>
  <c r="G1209" i="31"/>
  <c r="G1179" i="31"/>
  <c r="G1089" i="31"/>
  <c r="G1029" i="31"/>
  <c r="G969" i="31"/>
  <c r="G909" i="31"/>
  <c r="G849" i="31"/>
  <c r="G1149" i="31"/>
  <c r="G1119" i="31"/>
  <c r="G999" i="31"/>
  <c r="G939" i="31"/>
  <c r="G879" i="31"/>
  <c r="G1059" i="31"/>
  <c r="G1691" i="31"/>
  <c r="G1121" i="31"/>
  <c r="G1211" i="31"/>
  <c r="G1061" i="31"/>
  <c r="G1001" i="31"/>
  <c r="G941" i="31"/>
  <c r="G881" i="31"/>
  <c r="G1181" i="31"/>
  <c r="G1151" i="31"/>
  <c r="G1031" i="31"/>
  <c r="G971" i="31"/>
  <c r="G911" i="31"/>
  <c r="G851" i="31"/>
  <c r="G1091" i="31"/>
  <c r="G1693" i="31"/>
  <c r="G1153" i="31"/>
  <c r="G1123" i="31"/>
  <c r="G1093" i="31"/>
  <c r="G1033" i="31"/>
  <c r="G973" i="31"/>
  <c r="G913" i="31"/>
  <c r="G853" i="31"/>
  <c r="G1213" i="31"/>
  <c r="G1183" i="31"/>
  <c r="G1063" i="31"/>
  <c r="G943" i="31"/>
  <c r="G883" i="31"/>
  <c r="G1003" i="31"/>
  <c r="G1695" i="31"/>
  <c r="G1185" i="31"/>
  <c r="G1155" i="31"/>
  <c r="G1065" i="31"/>
  <c r="G1005" i="31"/>
  <c r="G945" i="31"/>
  <c r="G885" i="31"/>
  <c r="G1125" i="31"/>
  <c r="G1215" i="31"/>
  <c r="G1095" i="31"/>
  <c r="G855" i="31"/>
  <c r="G975" i="31"/>
  <c r="G915" i="31"/>
  <c r="G1035" i="31"/>
  <c r="G1697" i="31"/>
  <c r="G1217" i="31"/>
  <c r="G1187" i="31"/>
  <c r="G1097" i="31"/>
  <c r="G1037" i="31"/>
  <c r="G977" i="31"/>
  <c r="G917" i="31"/>
  <c r="G857" i="31"/>
  <c r="G1157" i="31"/>
  <c r="G1127" i="31"/>
  <c r="G1007" i="31"/>
  <c r="G947" i="31"/>
  <c r="G887" i="31"/>
  <c r="G1067" i="31"/>
  <c r="G1699" i="31"/>
  <c r="G1129" i="31"/>
  <c r="G1219" i="31"/>
  <c r="G1069" i="31"/>
  <c r="G1009" i="31"/>
  <c r="G949" i="31"/>
  <c r="G889" i="31"/>
  <c r="G1189" i="31"/>
  <c r="G1159" i="31"/>
  <c r="G1039" i="31"/>
  <c r="G979" i="31"/>
  <c r="G919" i="31"/>
  <c r="G859" i="31"/>
  <c r="G1099" i="31"/>
  <c r="G1701" i="31"/>
  <c r="G1161" i="31"/>
  <c r="G1131" i="31"/>
  <c r="G1101" i="31"/>
  <c r="G1041" i="31"/>
  <c r="G981" i="31"/>
  <c r="G921" i="31"/>
  <c r="G861" i="31"/>
  <c r="G1221" i="31"/>
  <c r="G1191" i="31"/>
  <c r="G1071" i="31"/>
  <c r="G951" i="31"/>
  <c r="G891" i="31"/>
  <c r="G1011" i="31"/>
  <c r="G1703" i="31"/>
  <c r="G1193" i="31"/>
  <c r="G1163" i="31"/>
  <c r="G1073" i="31"/>
  <c r="G1013" i="31"/>
  <c r="G953" i="31"/>
  <c r="G893" i="31"/>
  <c r="G1133" i="31"/>
  <c r="G1223" i="31"/>
  <c r="G1103" i="31"/>
  <c r="G863" i="31"/>
  <c r="G983" i="31"/>
  <c r="G923" i="31"/>
  <c r="G1043" i="31"/>
  <c r="G1705" i="31"/>
  <c r="G1225" i="31"/>
  <c r="G1195" i="31"/>
  <c r="G1105" i="31"/>
  <c r="G1045" i="31"/>
  <c r="G985" i="31"/>
  <c r="G925" i="31"/>
  <c r="G865" i="31"/>
  <c r="G1165" i="31"/>
  <c r="G1135" i="31"/>
  <c r="G1015" i="31"/>
  <c r="G955" i="31"/>
  <c r="G895" i="31"/>
  <c r="G1075" i="31"/>
  <c r="G1707" i="31"/>
  <c r="G1137" i="31"/>
  <c r="G1227" i="31"/>
  <c r="G1077" i="31"/>
  <c r="G1017" i="31"/>
  <c r="G957" i="31"/>
  <c r="G897" i="31"/>
  <c r="G1197" i="31"/>
  <c r="G1167" i="31"/>
  <c r="G1047" i="31"/>
  <c r="G987" i="31"/>
  <c r="G927" i="31"/>
  <c r="G867" i="31"/>
  <c r="G1107" i="31"/>
  <c r="G1709" i="31"/>
  <c r="G1169" i="31"/>
  <c r="G1139" i="31"/>
  <c r="G1109" i="31"/>
  <c r="G1049" i="31"/>
  <c r="G989" i="31"/>
  <c r="G929" i="31"/>
  <c r="G869" i="31"/>
  <c r="G1229" i="31"/>
  <c r="G1199" i="31"/>
  <c r="G1079" i="31"/>
  <c r="G959" i="31"/>
  <c r="G899" i="31"/>
  <c r="G1019" i="31"/>
  <c r="G1711" i="31"/>
  <c r="G1201" i="31"/>
  <c r="G1171" i="31"/>
  <c r="G1081" i="31"/>
  <c r="G1021" i="31"/>
  <c r="G961" i="31"/>
  <c r="G901" i="31"/>
  <c r="G1231" i="31"/>
  <c r="G1141" i="31"/>
  <c r="G1111" i="31"/>
  <c r="G991" i="31"/>
  <c r="G931" i="31"/>
  <c r="G871" i="31"/>
  <c r="G1051" i="31"/>
  <c r="G1713" i="31"/>
  <c r="G1593" i="31"/>
  <c r="G1533" i="31"/>
  <c r="G1473" i="31"/>
  <c r="G1413" i="31"/>
  <c r="G1353" i="31"/>
  <c r="G1293" i="31"/>
  <c r="G1563" i="31"/>
  <c r="G1443" i="31"/>
  <c r="G1323" i="31"/>
  <c r="G1503" i="31"/>
  <c r="G1383" i="31"/>
  <c r="G1263" i="31"/>
  <c r="G1233" i="31"/>
  <c r="G1715" i="31"/>
  <c r="G1565" i="31"/>
  <c r="G1505" i="31"/>
  <c r="G1445" i="31"/>
  <c r="G1385" i="31"/>
  <c r="G1325" i="31"/>
  <c r="G1265" i="31"/>
  <c r="G1595" i="31"/>
  <c r="G1475" i="31"/>
  <c r="G1355" i="31"/>
  <c r="G1535" i="31"/>
  <c r="G1415" i="31"/>
  <c r="G1295" i="31"/>
  <c r="G1235" i="31"/>
  <c r="G1717" i="31"/>
  <c r="G1597" i="31"/>
  <c r="G1537" i="31"/>
  <c r="G1477" i="31"/>
  <c r="G1417" i="31"/>
  <c r="G1357" i="31"/>
  <c r="G1297" i="31"/>
  <c r="G1507" i="31"/>
  <c r="G1387" i="31"/>
  <c r="G1267" i="31"/>
  <c r="G1567" i="31"/>
  <c r="G1447" i="31"/>
  <c r="G1327" i="31"/>
  <c r="G1237" i="31"/>
  <c r="G1719" i="31"/>
  <c r="G1569" i="31"/>
  <c r="G1509" i="31"/>
  <c r="G1449" i="31"/>
  <c r="G1389" i="31"/>
  <c r="G1329" i="31"/>
  <c r="G1269" i="31"/>
  <c r="G1539" i="31"/>
  <c r="G1419" i="31"/>
  <c r="G1299" i="31"/>
  <c r="G1599" i="31"/>
  <c r="G1479" i="31"/>
  <c r="G1359" i="31"/>
  <c r="G1239" i="31"/>
  <c r="G1721" i="31"/>
  <c r="G1601" i="31"/>
  <c r="G1541" i="31"/>
  <c r="G1481" i="31"/>
  <c r="G1421" i="31"/>
  <c r="G1361" i="31"/>
  <c r="G1301" i="31"/>
  <c r="G1571" i="31"/>
  <c r="G1451" i="31"/>
  <c r="G1331" i="31"/>
  <c r="G1511" i="31"/>
  <c r="G1391" i="31"/>
  <c r="G1271" i="31"/>
  <c r="G1241" i="31"/>
  <c r="G1723" i="31"/>
  <c r="G1573" i="31"/>
  <c r="G1513" i="31"/>
  <c r="G1453" i="31"/>
  <c r="G1393" i="31"/>
  <c r="G1333" i="31"/>
  <c r="G1273" i="31"/>
  <c r="G1603" i="31"/>
  <c r="G1483" i="31"/>
  <c r="G1363" i="31"/>
  <c r="G1543" i="31"/>
  <c r="G1423" i="31"/>
  <c r="G1303" i="31"/>
  <c r="G1243" i="31"/>
  <c r="G1725" i="31"/>
  <c r="G1605" i="31"/>
  <c r="G1545" i="31"/>
  <c r="G1485" i="31"/>
  <c r="G1425" i="31"/>
  <c r="G1365" i="31"/>
  <c r="G1305" i="31"/>
  <c r="G1515" i="31"/>
  <c r="G1395" i="31"/>
  <c r="G1275" i="31"/>
  <c r="G1575" i="31"/>
  <c r="G1455" i="31"/>
  <c r="G1335" i="31"/>
  <c r="G1245" i="31"/>
  <c r="G1727" i="31"/>
  <c r="G1577" i="31"/>
  <c r="G1517" i="31"/>
  <c r="G1457" i="31"/>
  <c r="G1397" i="31"/>
  <c r="G1337" i="31"/>
  <c r="G1277" i="31"/>
  <c r="G1547" i="31"/>
  <c r="G1427" i="31"/>
  <c r="G1307" i="31"/>
  <c r="G1607" i="31"/>
  <c r="G1487" i="31"/>
  <c r="G1367" i="31"/>
  <c r="G1247" i="31"/>
  <c r="G1729" i="31"/>
  <c r="G1609" i="31"/>
  <c r="G1549" i="31"/>
  <c r="G1489" i="31"/>
  <c r="G1429" i="31"/>
  <c r="G1369" i="31"/>
  <c r="G1309" i="31"/>
  <c r="G1579" i="31"/>
  <c r="G1459" i="31"/>
  <c r="G1339" i="31"/>
  <c r="G1519" i="31"/>
  <c r="G1399" i="31"/>
  <c r="G1279" i="31"/>
  <c r="G1249" i="31"/>
  <c r="G1731" i="31"/>
  <c r="G1581" i="31"/>
  <c r="G1521" i="31"/>
  <c r="G1461" i="31"/>
  <c r="G1401" i="31"/>
  <c r="G1341" i="31"/>
  <c r="G1281" i="31"/>
  <c r="G1611" i="31"/>
  <c r="G1491" i="31"/>
  <c r="G1371" i="31"/>
  <c r="G1551" i="31"/>
  <c r="G1431" i="31"/>
  <c r="G1311" i="31"/>
  <c r="G1251" i="31"/>
  <c r="G1733" i="31"/>
  <c r="G1613" i="31"/>
  <c r="G1553" i="31"/>
  <c r="G1493" i="31"/>
  <c r="G1433" i="31"/>
  <c r="G1373" i="31"/>
  <c r="G1313" i="31"/>
  <c r="G1523" i="31"/>
  <c r="G1403" i="31"/>
  <c r="G1283" i="31"/>
  <c r="G1583" i="31"/>
  <c r="G1463" i="31"/>
  <c r="G1343" i="31"/>
  <c r="G1253" i="31"/>
  <c r="G1735" i="31"/>
  <c r="G1585" i="31"/>
  <c r="G1525" i="31"/>
  <c r="G1465" i="31"/>
  <c r="G1405" i="31"/>
  <c r="G1345" i="31"/>
  <c r="G1285" i="31"/>
  <c r="G1555" i="31"/>
  <c r="G1435" i="31"/>
  <c r="G1315" i="31"/>
  <c r="G1615" i="31"/>
  <c r="G1495" i="31"/>
  <c r="G1375" i="31"/>
  <c r="G1255" i="31"/>
  <c r="G1737" i="31"/>
  <c r="G1617" i="31"/>
  <c r="G1557" i="31"/>
  <c r="G1497" i="31"/>
  <c r="G1437" i="31"/>
  <c r="G1377" i="31"/>
  <c r="G1317" i="31"/>
  <c r="G1257" i="31"/>
  <c r="G1587" i="31"/>
  <c r="G1467" i="31"/>
  <c r="G1347" i="31"/>
  <c r="G1527" i="31"/>
  <c r="G1407" i="31"/>
  <c r="G1287" i="31"/>
  <c r="G1739" i="31"/>
  <c r="G1589" i="31"/>
  <c r="G1529" i="31"/>
  <c r="G1469" i="31"/>
  <c r="G1409" i="31"/>
  <c r="G1349" i="31"/>
  <c r="G1289" i="31"/>
  <c r="G1619" i="31"/>
  <c r="G1499" i="31"/>
  <c r="G1379" i="31"/>
  <c r="G1259" i="31"/>
  <c r="G1559" i="31"/>
  <c r="G1439" i="31"/>
  <c r="G1319" i="31"/>
  <c r="G1741" i="31"/>
  <c r="G1621" i="31"/>
  <c r="G1561" i="31"/>
  <c r="G1501" i="31"/>
  <c r="G1441" i="31"/>
  <c r="G1381" i="31"/>
  <c r="G1321" i="31"/>
  <c r="G1261" i="31"/>
  <c r="G1531" i="31"/>
  <c r="G1411" i="31"/>
  <c r="G1291" i="31"/>
  <c r="G1591" i="31"/>
  <c r="G1471" i="31"/>
  <c r="G1351" i="31"/>
  <c r="F1624" i="31"/>
  <c r="F394" i="31"/>
  <c r="F334" i="31"/>
  <c r="F274" i="31"/>
  <c r="F214" i="31"/>
  <c r="F154" i="31"/>
  <c r="F94" i="31"/>
  <c r="F34" i="31"/>
  <c r="F424" i="31"/>
  <c r="F364" i="31"/>
  <c r="F304" i="31"/>
  <c r="F244" i="31"/>
  <c r="F184" i="31"/>
  <c r="F124" i="31"/>
  <c r="F64" i="31"/>
  <c r="F4" i="31"/>
  <c r="F1628" i="31"/>
  <c r="F398" i="31"/>
  <c r="F338" i="31"/>
  <c r="F278" i="31"/>
  <c r="F218" i="31"/>
  <c r="F158" i="31"/>
  <c r="F98" i="31"/>
  <c r="F38" i="31"/>
  <c r="F428" i="31"/>
  <c r="F368" i="31"/>
  <c r="F308" i="31"/>
  <c r="F248" i="31"/>
  <c r="F188" i="31"/>
  <c r="F128" i="31"/>
  <c r="F68" i="31"/>
  <c r="F8" i="31"/>
  <c r="F1632" i="31"/>
  <c r="F402" i="31"/>
  <c r="F342" i="31"/>
  <c r="F282" i="31"/>
  <c r="F222" i="31"/>
  <c r="F162" i="31"/>
  <c r="F102" i="31"/>
  <c r="F42" i="31"/>
  <c r="F432" i="31"/>
  <c r="F372" i="31"/>
  <c r="F312" i="31"/>
  <c r="F252" i="31"/>
  <c r="F192" i="31"/>
  <c r="F132" i="31"/>
  <c r="F72" i="31"/>
  <c r="F12" i="31"/>
  <c r="F1636" i="31"/>
  <c r="F406" i="31"/>
  <c r="F346" i="31"/>
  <c r="F286" i="31"/>
  <c r="F226" i="31"/>
  <c r="F166" i="31"/>
  <c r="F106" i="31"/>
  <c r="F46" i="31"/>
  <c r="F436" i="31"/>
  <c r="F376" i="31"/>
  <c r="F316" i="31"/>
  <c r="F256" i="31"/>
  <c r="F196" i="31"/>
  <c r="F136" i="31"/>
  <c r="F76" i="31"/>
  <c r="F16" i="31"/>
  <c r="F1640" i="31"/>
  <c r="F410" i="31"/>
  <c r="F350" i="31"/>
  <c r="F290" i="31"/>
  <c r="F230" i="31"/>
  <c r="F170" i="31"/>
  <c r="F110" i="31"/>
  <c r="F50" i="31"/>
  <c r="F440" i="31"/>
  <c r="F380" i="31"/>
  <c r="F320" i="31"/>
  <c r="F260" i="31"/>
  <c r="F200" i="31"/>
  <c r="F140" i="31"/>
  <c r="F80" i="31"/>
  <c r="F20" i="31"/>
  <c r="F1644" i="31"/>
  <c r="F414" i="31"/>
  <c r="F354" i="31"/>
  <c r="F294" i="31"/>
  <c r="F234" i="31"/>
  <c r="F174" i="31"/>
  <c r="F114" i="31"/>
  <c r="F54" i="31"/>
  <c r="F444" i="31"/>
  <c r="F384" i="31"/>
  <c r="F324" i="31"/>
  <c r="F264" i="31"/>
  <c r="F204" i="31"/>
  <c r="F144" i="31"/>
  <c r="F84" i="31"/>
  <c r="F24" i="31"/>
  <c r="F1646" i="31"/>
  <c r="F446" i="31"/>
  <c r="F386" i="31"/>
  <c r="F326" i="31"/>
  <c r="F266" i="31"/>
  <c r="F206" i="31"/>
  <c r="F146" i="31"/>
  <c r="F86" i="31"/>
  <c r="F26" i="31"/>
  <c r="F416" i="31"/>
  <c r="F356" i="31"/>
  <c r="F296" i="31"/>
  <c r="F236" i="31"/>
  <c r="F176" i="31"/>
  <c r="F116" i="31"/>
  <c r="F56" i="31"/>
  <c r="F1650" i="31"/>
  <c r="F450" i="31"/>
  <c r="F390" i="31"/>
  <c r="F330" i="31"/>
  <c r="F270" i="31"/>
  <c r="F210" i="31"/>
  <c r="F150" i="31"/>
  <c r="F90" i="31"/>
  <c r="F30" i="31"/>
  <c r="F420" i="31"/>
  <c r="F360" i="31"/>
  <c r="F300" i="31"/>
  <c r="F240" i="31"/>
  <c r="F180" i="31"/>
  <c r="F120" i="31"/>
  <c r="F60" i="31"/>
  <c r="G1654" i="31"/>
  <c r="G754" i="31"/>
  <c r="G694" i="31"/>
  <c r="G634" i="31"/>
  <c r="G574" i="31"/>
  <c r="G814" i="31"/>
  <c r="G544" i="31"/>
  <c r="G724" i="31"/>
  <c r="G604" i="31"/>
  <c r="G514" i="31"/>
  <c r="G454" i="31"/>
  <c r="G784" i="31"/>
  <c r="G664" i="31"/>
  <c r="G484" i="31"/>
  <c r="G1658" i="31"/>
  <c r="G818" i="31"/>
  <c r="G788" i="31"/>
  <c r="G758" i="31"/>
  <c r="G698" i="31"/>
  <c r="G638" i="31"/>
  <c r="G578" i="31"/>
  <c r="G488" i="31"/>
  <c r="G668" i="31"/>
  <c r="G548" i="31"/>
  <c r="G458" i="31"/>
  <c r="G518" i="31"/>
  <c r="G728" i="31"/>
  <c r="G608" i="31"/>
  <c r="G1666" i="31"/>
  <c r="G826" i="31"/>
  <c r="G796" i="31"/>
  <c r="G766" i="31"/>
  <c r="G706" i="31"/>
  <c r="G646" i="31"/>
  <c r="G586" i="31"/>
  <c r="G496" i="31"/>
  <c r="G736" i="31"/>
  <c r="G616" i="31"/>
  <c r="G676" i="31"/>
  <c r="G556" i="31"/>
  <c r="G466" i="31"/>
  <c r="G526" i="31"/>
  <c r="G1674" i="31"/>
  <c r="G834" i="31"/>
  <c r="G804" i="31"/>
  <c r="G774" i="31"/>
  <c r="G714" i="31"/>
  <c r="G654" i="31"/>
  <c r="G594" i="31"/>
  <c r="G504" i="31"/>
  <c r="G744" i="31"/>
  <c r="G534" i="31"/>
  <c r="G684" i="31"/>
  <c r="G564" i="31"/>
  <c r="G474" i="31"/>
  <c r="G624" i="31"/>
  <c r="G1686" i="31"/>
  <c r="G1176" i="31"/>
  <c r="G1116" i="31"/>
  <c r="G1086" i="31"/>
  <c r="G1026" i="31"/>
  <c r="G966" i="31"/>
  <c r="G906" i="31"/>
  <c r="G1206" i="31"/>
  <c r="G1056" i="31"/>
  <c r="G996" i="31"/>
  <c r="G936" i="31"/>
  <c r="G876" i="31"/>
  <c r="G1146" i="31"/>
  <c r="G846" i="31"/>
  <c r="G1692" i="31"/>
  <c r="G1212" i="31"/>
  <c r="G1152" i="31"/>
  <c r="G1062" i="31"/>
  <c r="G1002" i="31"/>
  <c r="G942" i="31"/>
  <c r="G882" i="31"/>
  <c r="G1182" i="31"/>
  <c r="G1092" i="31"/>
  <c r="G1032" i="31"/>
  <c r="G972" i="31"/>
  <c r="G912" i="31"/>
  <c r="G852" i="31"/>
  <c r="G1122" i="31"/>
  <c r="G1706" i="31"/>
  <c r="G1196" i="31"/>
  <c r="G1136" i="31"/>
  <c r="G1106" i="31"/>
  <c r="G1046" i="31"/>
  <c r="G986" i="31"/>
  <c r="G926" i="31"/>
  <c r="G866" i="31"/>
  <c r="G1166" i="31"/>
  <c r="G1076" i="31"/>
  <c r="G1016" i="31"/>
  <c r="G956" i="31"/>
  <c r="G896" i="31"/>
  <c r="G1226" i="31"/>
  <c r="G1622" i="31"/>
  <c r="G2" i="31"/>
  <c r="G332" i="31"/>
  <c r="G422" i="31"/>
  <c r="G362" i="31"/>
  <c r="G302" i="31"/>
  <c r="G242" i="31"/>
  <c r="G182" i="31"/>
  <c r="G122" i="31"/>
  <c r="G62" i="31"/>
  <c r="G392" i="31"/>
  <c r="G92" i="31"/>
  <c r="G272" i="31"/>
  <c r="G212" i="31"/>
  <c r="G152" i="31"/>
  <c r="G32" i="31"/>
  <c r="G1624" i="31"/>
  <c r="G364" i="31"/>
  <c r="G394" i="31"/>
  <c r="G334" i="31"/>
  <c r="G274" i="31"/>
  <c r="G214" i="31"/>
  <c r="G154" i="31"/>
  <c r="G94" i="31"/>
  <c r="G34" i="31"/>
  <c r="G424" i="31"/>
  <c r="G184" i="31"/>
  <c r="G124" i="31"/>
  <c r="G4" i="31"/>
  <c r="G304" i="31"/>
  <c r="G244" i="31"/>
  <c r="G64" i="31"/>
  <c r="G1626" i="31"/>
  <c r="G426" i="31"/>
  <c r="G366" i="31"/>
  <c r="G306" i="31"/>
  <c r="G246" i="31"/>
  <c r="G186" i="31"/>
  <c r="G126" i="31"/>
  <c r="G66" i="31"/>
  <c r="G6" i="31"/>
  <c r="G396" i="31"/>
  <c r="G156" i="31"/>
  <c r="G96" i="31"/>
  <c r="G336" i="31"/>
  <c r="G276" i="31"/>
  <c r="G216" i="31"/>
  <c r="G36" i="31"/>
  <c r="G1628" i="31"/>
  <c r="G428" i="31"/>
  <c r="G308" i="31"/>
  <c r="G248" i="31"/>
  <c r="G128" i="31"/>
  <c r="G398" i="31"/>
  <c r="G338" i="31"/>
  <c r="G278" i="31"/>
  <c r="G218" i="31"/>
  <c r="G158" i="31"/>
  <c r="G98" i="31"/>
  <c r="G38" i="31"/>
  <c r="G368" i="31"/>
  <c r="G188" i="31"/>
  <c r="G68" i="31"/>
  <c r="G8" i="31"/>
  <c r="G1630" i="31"/>
  <c r="G400" i="31"/>
  <c r="G280" i="31"/>
  <c r="G40" i="31"/>
  <c r="G430" i="31"/>
  <c r="G370" i="31"/>
  <c r="G310" i="31"/>
  <c r="G250" i="31"/>
  <c r="G190" i="31"/>
  <c r="G130" i="31"/>
  <c r="G70" i="31"/>
  <c r="G10" i="31"/>
  <c r="G340" i="31"/>
  <c r="G220" i="31"/>
  <c r="G160" i="31"/>
  <c r="G100" i="31"/>
  <c r="G1632" i="31"/>
  <c r="G192" i="31"/>
  <c r="G402" i="31"/>
  <c r="G342" i="31"/>
  <c r="G282" i="31"/>
  <c r="G222" i="31"/>
  <c r="G162" i="31"/>
  <c r="G102" i="31"/>
  <c r="G42" i="31"/>
  <c r="G432" i="31"/>
  <c r="G312" i="31"/>
  <c r="G252" i="31"/>
  <c r="G372" i="31"/>
  <c r="G132" i="31"/>
  <c r="G72" i="31"/>
  <c r="G12" i="31"/>
  <c r="G1634" i="31"/>
  <c r="G344" i="31"/>
  <c r="G164" i="31"/>
  <c r="G104" i="31"/>
  <c r="G434" i="31"/>
  <c r="G374" i="31"/>
  <c r="G314" i="31"/>
  <c r="G254" i="31"/>
  <c r="G194" i="31"/>
  <c r="G134" i="31"/>
  <c r="G74" i="31"/>
  <c r="G14" i="31"/>
  <c r="G284" i="31"/>
  <c r="G224" i="31"/>
  <c r="G404" i="31"/>
  <c r="G44" i="31"/>
  <c r="G1636" i="31"/>
  <c r="G436" i="31"/>
  <c r="G316" i="31"/>
  <c r="G196" i="31"/>
  <c r="G406" i="31"/>
  <c r="G346" i="31"/>
  <c r="G286" i="31"/>
  <c r="G226" i="31"/>
  <c r="G166" i="31"/>
  <c r="G106" i="31"/>
  <c r="G46" i="31"/>
  <c r="G136" i="31"/>
  <c r="G376" i="31"/>
  <c r="G256" i="31"/>
  <c r="G76" i="31"/>
  <c r="G16" i="31"/>
  <c r="G1638" i="31"/>
  <c r="G288" i="31"/>
  <c r="G108" i="31"/>
  <c r="G438" i="31"/>
  <c r="G378" i="31"/>
  <c r="G318" i="31"/>
  <c r="G258" i="31"/>
  <c r="G198" i="31"/>
  <c r="G138" i="31"/>
  <c r="G78" i="31"/>
  <c r="G18" i="31"/>
  <c r="G408" i="31"/>
  <c r="G48" i="31"/>
  <c r="G348" i="31"/>
  <c r="G228" i="31"/>
  <c r="G168" i="31"/>
  <c r="G1640" i="31"/>
  <c r="G260" i="31"/>
  <c r="G140" i="31"/>
  <c r="G80" i="31"/>
  <c r="G20" i="31"/>
  <c r="G410" i="31"/>
  <c r="G350" i="31"/>
  <c r="G290" i="31"/>
  <c r="G230" i="31"/>
  <c r="G170" i="31"/>
  <c r="G110" i="31"/>
  <c r="G50" i="31"/>
  <c r="G200" i="31"/>
  <c r="G440" i="31"/>
  <c r="G380" i="31"/>
  <c r="G320" i="31"/>
  <c r="G1642" i="31"/>
  <c r="G232" i="31"/>
  <c r="G442" i="31"/>
  <c r="G382" i="31"/>
  <c r="G322" i="31"/>
  <c r="G262" i="31"/>
  <c r="G202" i="31"/>
  <c r="G142" i="31"/>
  <c r="G82" i="31"/>
  <c r="G22" i="31"/>
  <c r="G412" i="31"/>
  <c r="G352" i="31"/>
  <c r="G172" i="31"/>
  <c r="G112" i="31"/>
  <c r="G52" i="31"/>
  <c r="G292" i="31"/>
  <c r="G1644" i="31"/>
  <c r="G384" i="31"/>
  <c r="G204" i="31"/>
  <c r="G84" i="31"/>
  <c r="G414" i="31"/>
  <c r="G354" i="31"/>
  <c r="G294" i="31"/>
  <c r="G234" i="31"/>
  <c r="G174" i="31"/>
  <c r="G114" i="31"/>
  <c r="G54" i="31"/>
  <c r="G444" i="31"/>
  <c r="G324" i="31"/>
  <c r="G264" i="31"/>
  <c r="G144" i="31"/>
  <c r="G24" i="31"/>
  <c r="G1646" i="31"/>
  <c r="G296" i="31"/>
  <c r="G176" i="31"/>
  <c r="G446" i="31"/>
  <c r="G386" i="31"/>
  <c r="G326" i="31"/>
  <c r="G266" i="31"/>
  <c r="G206" i="31"/>
  <c r="G146" i="31"/>
  <c r="G86" i="31"/>
  <c r="G26" i="31"/>
  <c r="G356" i="31"/>
  <c r="G236" i="31"/>
  <c r="G56" i="31"/>
  <c r="G416" i="31"/>
  <c r="G116" i="31"/>
  <c r="G1648" i="31"/>
  <c r="G448" i="31"/>
  <c r="G148" i="31"/>
  <c r="G28" i="31"/>
  <c r="G418" i="31"/>
  <c r="G358" i="31"/>
  <c r="G298" i="31"/>
  <c r="G238" i="31"/>
  <c r="G178" i="31"/>
  <c r="G118" i="31"/>
  <c r="G58" i="31"/>
  <c r="G388" i="31"/>
  <c r="G328" i="31"/>
  <c r="G88" i="31"/>
  <c r="G268" i="31"/>
  <c r="G208" i="31"/>
  <c r="G1650" i="31"/>
  <c r="G360" i="31"/>
  <c r="G240" i="31"/>
  <c r="G60" i="31"/>
  <c r="G450" i="31"/>
  <c r="G390" i="31"/>
  <c r="G330" i="31"/>
  <c r="G270" i="31"/>
  <c r="G210" i="31"/>
  <c r="G150" i="31"/>
  <c r="G90" i="31"/>
  <c r="G30" i="31"/>
  <c r="G300" i="31"/>
  <c r="G420" i="31"/>
  <c r="G180" i="31"/>
  <c r="G120" i="31"/>
  <c r="F1653" i="31"/>
  <c r="F753" i="31"/>
  <c r="F693" i="31"/>
  <c r="F633" i="31"/>
  <c r="F573" i="31"/>
  <c r="F723" i="31"/>
  <c r="F483" i="31"/>
  <c r="F783" i="31"/>
  <c r="F663" i="31"/>
  <c r="F543" i="31"/>
  <c r="F453" i="31"/>
  <c r="F813" i="31"/>
  <c r="F603" i="31"/>
  <c r="F513" i="31"/>
  <c r="F1655" i="31"/>
  <c r="F815" i="31"/>
  <c r="F785" i="31"/>
  <c r="F725" i="31"/>
  <c r="F665" i="31"/>
  <c r="F605" i="31"/>
  <c r="F545" i="31"/>
  <c r="F485" i="31"/>
  <c r="F455" i="31"/>
  <c r="F695" i="31"/>
  <c r="F575" i="31"/>
  <c r="F515" i="31"/>
  <c r="F755" i="31"/>
  <c r="F635" i="31"/>
  <c r="F1657" i="31"/>
  <c r="F817" i="31"/>
  <c r="F757" i="31"/>
  <c r="F697" i="31"/>
  <c r="F637" i="31"/>
  <c r="F577" i="31"/>
  <c r="F787" i="31"/>
  <c r="F517" i="31"/>
  <c r="F727" i="31"/>
  <c r="F607" i="31"/>
  <c r="F487" i="31"/>
  <c r="F457" i="31"/>
  <c r="F667" i="31"/>
  <c r="F547" i="31"/>
  <c r="F1659" i="31"/>
  <c r="F729" i="31"/>
  <c r="F669" i="31"/>
  <c r="F609" i="31"/>
  <c r="F549" i="31"/>
  <c r="F819" i="31"/>
  <c r="F699" i="31"/>
  <c r="F759" i="31"/>
  <c r="F639" i="31"/>
  <c r="F519" i="31"/>
  <c r="F789" i="31"/>
  <c r="F579" i="31"/>
  <c r="F459" i="31"/>
  <c r="F489" i="31"/>
  <c r="F1661" i="31"/>
  <c r="F791" i="31"/>
  <c r="F761" i="31"/>
  <c r="F701" i="31"/>
  <c r="F641" i="31"/>
  <c r="F581" i="31"/>
  <c r="F671" i="31"/>
  <c r="F551" i="31"/>
  <c r="F461" i="31"/>
  <c r="F521" i="31"/>
  <c r="F821" i="31"/>
  <c r="F731" i="31"/>
  <c r="F611" i="31"/>
  <c r="F491" i="31"/>
  <c r="F1663" i="31"/>
  <c r="F823" i="31"/>
  <c r="F793" i="31"/>
  <c r="F733" i="31"/>
  <c r="F673" i="31"/>
  <c r="F613" i="31"/>
  <c r="F553" i="31"/>
  <c r="F493" i="31"/>
  <c r="F523" i="31"/>
  <c r="F703" i="31"/>
  <c r="F583" i="31"/>
  <c r="F763" i="31"/>
  <c r="F643" i="31"/>
  <c r="F463" i="31"/>
  <c r="F1665" i="31"/>
  <c r="F825" i="31"/>
  <c r="F765" i="31"/>
  <c r="F705" i="31"/>
  <c r="F645" i="31"/>
  <c r="F585" i="31"/>
  <c r="F795" i="31"/>
  <c r="F525" i="31"/>
  <c r="F675" i="31"/>
  <c r="F735" i="31"/>
  <c r="F615" i="31"/>
  <c r="F495" i="31"/>
  <c r="F465" i="31"/>
  <c r="F555" i="31"/>
  <c r="F1667" i="31"/>
  <c r="F737" i="31"/>
  <c r="F677" i="31"/>
  <c r="F617" i="31"/>
  <c r="F557" i="31"/>
  <c r="F827" i="31"/>
  <c r="F767" i="31"/>
  <c r="F647" i="31"/>
  <c r="F527" i="31"/>
  <c r="F797" i="31"/>
  <c r="F467" i="31"/>
  <c r="F497" i="31"/>
  <c r="F707" i="31"/>
  <c r="F587" i="31"/>
  <c r="F1669" i="31"/>
  <c r="F799" i="31"/>
  <c r="F769" i="31"/>
  <c r="F709" i="31"/>
  <c r="F649" i="31"/>
  <c r="F589" i="31"/>
  <c r="F739" i="31"/>
  <c r="F619" i="31"/>
  <c r="F499" i="31"/>
  <c r="F679" i="31"/>
  <c r="F559" i="31"/>
  <c r="F469" i="31"/>
  <c r="F829" i="31"/>
  <c r="F529" i="31"/>
  <c r="F1671" i="31"/>
  <c r="F831" i="31"/>
  <c r="F801" i="31"/>
  <c r="F741" i="31"/>
  <c r="F681" i="31"/>
  <c r="F621" i="31"/>
  <c r="F561" i="31"/>
  <c r="F501" i="31"/>
  <c r="F771" i="31"/>
  <c r="F651" i="31"/>
  <c r="F471" i="31"/>
  <c r="F711" i="31"/>
  <c r="F591" i="31"/>
  <c r="F531" i="31"/>
  <c r="F1673" i="31"/>
  <c r="F833" i="31"/>
  <c r="F773" i="31"/>
  <c r="F713" i="31"/>
  <c r="F653" i="31"/>
  <c r="F593" i="31"/>
  <c r="F803" i="31"/>
  <c r="F533" i="31"/>
  <c r="F563" i="31"/>
  <c r="F743" i="31"/>
  <c r="F623" i="31"/>
  <c r="F503" i="31"/>
  <c r="F473" i="31"/>
  <c r="F683" i="31"/>
  <c r="F1675" i="31"/>
  <c r="F745" i="31"/>
  <c r="F685" i="31"/>
  <c r="F625" i="31"/>
  <c r="F565" i="31"/>
  <c r="F835" i="31"/>
  <c r="F715" i="31"/>
  <c r="F595" i="31"/>
  <c r="F475" i="31"/>
  <c r="F775" i="31"/>
  <c r="F655" i="31"/>
  <c r="F535" i="31"/>
  <c r="F505" i="31"/>
  <c r="F805" i="31"/>
  <c r="F1677" i="31"/>
  <c r="F807" i="31"/>
  <c r="F777" i="31"/>
  <c r="F717" i="31"/>
  <c r="F657" i="31"/>
  <c r="F597" i="31"/>
  <c r="F537" i="31"/>
  <c r="F477" i="31"/>
  <c r="F747" i="31"/>
  <c r="F687" i="31"/>
  <c r="F567" i="31"/>
  <c r="F837" i="31"/>
  <c r="F627" i="31"/>
  <c r="F507" i="31"/>
  <c r="F1679" i="31"/>
  <c r="F839" i="31"/>
  <c r="F809" i="31"/>
  <c r="F749" i="31"/>
  <c r="F689" i="31"/>
  <c r="F629" i="31"/>
  <c r="F569" i="31"/>
  <c r="F509" i="31"/>
  <c r="F719" i="31"/>
  <c r="F599" i="31"/>
  <c r="F539" i="31"/>
  <c r="F479" i="31"/>
  <c r="F779" i="31"/>
  <c r="F659" i="31"/>
  <c r="F1681" i="31"/>
  <c r="F841" i="31"/>
  <c r="F781" i="31"/>
  <c r="F721" i="31"/>
  <c r="F661" i="31"/>
  <c r="F601" i="31"/>
  <c r="F541" i="31"/>
  <c r="F811" i="31"/>
  <c r="F751" i="31"/>
  <c r="F631" i="31"/>
  <c r="F511" i="31"/>
  <c r="F691" i="31"/>
  <c r="F571" i="31"/>
  <c r="F481" i="31"/>
  <c r="F1683" i="31"/>
  <c r="F1203" i="31"/>
  <c r="F1143" i="31"/>
  <c r="F1053" i="31"/>
  <c r="F993" i="31"/>
  <c r="F933" i="31"/>
  <c r="F873" i="31"/>
  <c r="F1173" i="31"/>
  <c r="F1083" i="31"/>
  <c r="F1023" i="31"/>
  <c r="F1113" i="31"/>
  <c r="F963" i="31"/>
  <c r="F903" i="31"/>
  <c r="F843" i="31"/>
  <c r="F1685" i="31"/>
  <c r="F1175" i="31"/>
  <c r="F1115" i="31"/>
  <c r="F1085" i="31"/>
  <c r="F1025" i="31"/>
  <c r="F965" i="31"/>
  <c r="F905" i="31"/>
  <c r="F1205" i="31"/>
  <c r="F1055" i="31"/>
  <c r="F1145" i="31"/>
  <c r="F995" i="31"/>
  <c r="F935" i="31"/>
  <c r="F875" i="31"/>
  <c r="F845" i="31"/>
  <c r="F1687" i="31"/>
  <c r="F1207" i="31"/>
  <c r="F1147" i="31"/>
  <c r="F1057" i="31"/>
  <c r="F997" i="31"/>
  <c r="F937" i="31"/>
  <c r="F877" i="31"/>
  <c r="F1117" i="31"/>
  <c r="F1087" i="31"/>
  <c r="F1027" i="31"/>
  <c r="F1177" i="31"/>
  <c r="F847" i="31"/>
  <c r="F967" i="31"/>
  <c r="F907" i="31"/>
  <c r="F1689" i="31"/>
  <c r="F1179" i="31"/>
  <c r="F1119" i="31"/>
  <c r="F1089" i="31"/>
  <c r="F1029" i="31"/>
  <c r="F969" i="31"/>
  <c r="F909" i="31"/>
  <c r="F1149" i="31"/>
  <c r="F1059" i="31"/>
  <c r="F999" i="31"/>
  <c r="F1209" i="31"/>
  <c r="F939" i="31"/>
  <c r="F879" i="31"/>
  <c r="F849" i="31"/>
  <c r="F1691" i="31"/>
  <c r="F1211" i="31"/>
  <c r="F1151" i="31"/>
  <c r="F1061" i="31"/>
  <c r="F1001" i="31"/>
  <c r="F941" i="31"/>
  <c r="F881" i="31"/>
  <c r="F1181" i="31"/>
  <c r="F1091" i="31"/>
  <c r="F1031" i="31"/>
  <c r="F1121" i="31"/>
  <c r="F971" i="31"/>
  <c r="F911" i="31"/>
  <c r="F851" i="31"/>
  <c r="F1693" i="31"/>
  <c r="F1183" i="31"/>
  <c r="F1123" i="31"/>
  <c r="F1093" i="31"/>
  <c r="F1033" i="31"/>
  <c r="F973" i="31"/>
  <c r="F913" i="31"/>
  <c r="F1213" i="31"/>
  <c r="F1063" i="31"/>
  <c r="F1003" i="31"/>
  <c r="F1153" i="31"/>
  <c r="F943" i="31"/>
  <c r="F883" i="31"/>
  <c r="F853" i="31"/>
  <c r="F1695" i="31"/>
  <c r="F1215" i="31"/>
  <c r="F1155" i="31"/>
  <c r="F1065" i="31"/>
  <c r="F1005" i="31"/>
  <c r="F945" i="31"/>
  <c r="F885" i="31"/>
  <c r="F1125" i="31"/>
  <c r="F1095" i="31"/>
  <c r="F1035" i="31"/>
  <c r="F1185" i="31"/>
  <c r="F855" i="31"/>
  <c r="F975" i="31"/>
  <c r="F915" i="31"/>
  <c r="F1697" i="31"/>
  <c r="F1187" i="31"/>
  <c r="F1127" i="31"/>
  <c r="F1097" i="31"/>
  <c r="F1037" i="31"/>
  <c r="F977" i="31"/>
  <c r="F917" i="31"/>
  <c r="F1157" i="31"/>
  <c r="F1067" i="31"/>
  <c r="F1007" i="31"/>
  <c r="F1217" i="31"/>
  <c r="F947" i="31"/>
  <c r="F887" i="31"/>
  <c r="F857" i="31"/>
  <c r="F1699" i="31"/>
  <c r="F1219" i="31"/>
  <c r="F1159" i="31"/>
  <c r="F1069" i="31"/>
  <c r="F1009" i="31"/>
  <c r="F949" i="31"/>
  <c r="F889" i="31"/>
  <c r="F1189" i="31"/>
  <c r="F1099" i="31"/>
  <c r="F1039" i="31"/>
  <c r="F1129" i="31"/>
  <c r="F979" i="31"/>
  <c r="F919" i="31"/>
  <c r="F859" i="31"/>
  <c r="F1701" i="31"/>
  <c r="F1191" i="31"/>
  <c r="F1131" i="31"/>
  <c r="F1101" i="31"/>
  <c r="F1041" i="31"/>
  <c r="F981" i="31"/>
  <c r="F921" i="31"/>
  <c r="F1221" i="31"/>
  <c r="F1071" i="31"/>
  <c r="F1011" i="31"/>
  <c r="F1161" i="31"/>
  <c r="F951" i="31"/>
  <c r="F891" i="31"/>
  <c r="F861" i="31"/>
  <c r="F1703" i="31"/>
  <c r="F1223" i="31"/>
  <c r="F1163" i="31"/>
  <c r="F1073" i="31"/>
  <c r="F1013" i="31"/>
  <c r="F953" i="31"/>
  <c r="F893" i="31"/>
  <c r="F1133" i="31"/>
  <c r="F1103" i="31"/>
  <c r="F1043" i="31"/>
  <c r="F1193" i="31"/>
  <c r="F863" i="31"/>
  <c r="F983" i="31"/>
  <c r="F923" i="31"/>
  <c r="F1705" i="31"/>
  <c r="F1195" i="31"/>
  <c r="F1135" i="31"/>
  <c r="F1105" i="31"/>
  <c r="F1045" i="31"/>
  <c r="F985" i="31"/>
  <c r="F925" i="31"/>
  <c r="F1165" i="31"/>
  <c r="F1075" i="31"/>
  <c r="F1015" i="31"/>
  <c r="F1225" i="31"/>
  <c r="F955" i="31"/>
  <c r="F895" i="31"/>
  <c r="F865" i="31"/>
  <c r="F1707" i="31"/>
  <c r="F1227" i="31"/>
  <c r="F1167" i="31"/>
  <c r="F1077" i="31"/>
  <c r="F1017" i="31"/>
  <c r="F957" i="31"/>
  <c r="F897" i="31"/>
  <c r="F1197" i="31"/>
  <c r="F1107" i="31"/>
  <c r="F1047" i="31"/>
  <c r="F1137" i="31"/>
  <c r="F987" i="31"/>
  <c r="F927" i="31"/>
  <c r="F867" i="31"/>
  <c r="F1709" i="31"/>
  <c r="F1199" i="31"/>
  <c r="F1139" i="31"/>
  <c r="F1109" i="31"/>
  <c r="F1049" i="31"/>
  <c r="F989" i="31"/>
  <c r="F929" i="31"/>
  <c r="F869" i="31"/>
  <c r="F1229" i="31"/>
  <c r="F1079" i="31"/>
  <c r="F1019" i="31"/>
  <c r="F1169" i="31"/>
  <c r="F959" i="31"/>
  <c r="F899" i="31"/>
  <c r="F1711" i="31"/>
  <c r="F1231" i="31"/>
  <c r="F1171" i="31"/>
  <c r="F1081" i="31"/>
  <c r="F1021" i="31"/>
  <c r="F961" i="31"/>
  <c r="F901" i="31"/>
  <c r="F1141" i="31"/>
  <c r="F1111" i="31"/>
  <c r="F1051" i="31"/>
  <c r="F1201" i="31"/>
  <c r="F991" i="31"/>
  <c r="F931" i="31"/>
  <c r="F871" i="31"/>
  <c r="F1713" i="31"/>
  <c r="F1593" i="31"/>
  <c r="F1533" i="31"/>
  <c r="F1473" i="31"/>
  <c r="F1413" i="31"/>
  <c r="F1353" i="31"/>
  <c r="F1293" i="31"/>
  <c r="F1233" i="31"/>
  <c r="F1563" i="31"/>
  <c r="F1503" i="31"/>
  <c r="F1443" i="31"/>
  <c r="F1383" i="31"/>
  <c r="F1323" i="31"/>
  <c r="F1263" i="31"/>
  <c r="F1715" i="31"/>
  <c r="F1565" i="31"/>
  <c r="F1505" i="31"/>
  <c r="F1445" i="31"/>
  <c r="F1385" i="31"/>
  <c r="F1325" i="31"/>
  <c r="F1265" i="31"/>
  <c r="F1595" i="31"/>
  <c r="F1535" i="31"/>
  <c r="F1475" i="31"/>
  <c r="F1415" i="31"/>
  <c r="F1355" i="31"/>
  <c r="F1295" i="31"/>
  <c r="F1235" i="31"/>
  <c r="F1717" i="31"/>
  <c r="F1597" i="31"/>
  <c r="F1537" i="31"/>
  <c r="F1477" i="31"/>
  <c r="F1417" i="31"/>
  <c r="F1357" i="31"/>
  <c r="F1297" i="31"/>
  <c r="F1237" i="31"/>
  <c r="F1567" i="31"/>
  <c r="F1507" i="31"/>
  <c r="F1447" i="31"/>
  <c r="F1387" i="31"/>
  <c r="F1327" i="31"/>
  <c r="F1267" i="31"/>
  <c r="F1719" i="31"/>
  <c r="F1569" i="31"/>
  <c r="F1509" i="31"/>
  <c r="F1449" i="31"/>
  <c r="F1389" i="31"/>
  <c r="F1329" i="31"/>
  <c r="F1269" i="31"/>
  <c r="F1599" i="31"/>
  <c r="F1539" i="31"/>
  <c r="F1479" i="31"/>
  <c r="F1419" i="31"/>
  <c r="F1359" i="31"/>
  <c r="F1299" i="31"/>
  <c r="F1239" i="31"/>
  <c r="F1721" i="31"/>
  <c r="F1601" i="31"/>
  <c r="F1541" i="31"/>
  <c r="F1481" i="31"/>
  <c r="F1421" i="31"/>
  <c r="F1361" i="31"/>
  <c r="F1301" i="31"/>
  <c r="F1241" i="31"/>
  <c r="F1571" i="31"/>
  <c r="F1511" i="31"/>
  <c r="F1451" i="31"/>
  <c r="F1391" i="31"/>
  <c r="F1331" i="31"/>
  <c r="F1271" i="31"/>
  <c r="F1723" i="31"/>
  <c r="F1573" i="31"/>
  <c r="F1513" i="31"/>
  <c r="F1453" i="31"/>
  <c r="F1393" i="31"/>
  <c r="F1333" i="31"/>
  <c r="F1273" i="31"/>
  <c r="F1603" i="31"/>
  <c r="F1543" i="31"/>
  <c r="F1483" i="31"/>
  <c r="F1423" i="31"/>
  <c r="F1363" i="31"/>
  <c r="F1303" i="31"/>
  <c r="F1243" i="31"/>
  <c r="F1725" i="31"/>
  <c r="F1605" i="31"/>
  <c r="F1545" i="31"/>
  <c r="F1485" i="31"/>
  <c r="F1425" i="31"/>
  <c r="F1365" i="31"/>
  <c r="F1305" i="31"/>
  <c r="F1245" i="31"/>
  <c r="F1575" i="31"/>
  <c r="F1515" i="31"/>
  <c r="F1455" i="31"/>
  <c r="F1395" i="31"/>
  <c r="F1335" i="31"/>
  <c r="F1275" i="31"/>
  <c r="F1727" i="31"/>
  <c r="F1577" i="31"/>
  <c r="F1517" i="31"/>
  <c r="F1457" i="31"/>
  <c r="F1397" i="31"/>
  <c r="F1337" i="31"/>
  <c r="F1277" i="31"/>
  <c r="F1607" i="31"/>
  <c r="F1547" i="31"/>
  <c r="F1487" i="31"/>
  <c r="F1427" i="31"/>
  <c r="F1367" i="31"/>
  <c r="F1307" i="31"/>
  <c r="F1247" i="31"/>
  <c r="F1729" i="31"/>
  <c r="F1609" i="31"/>
  <c r="F1549" i="31"/>
  <c r="F1489" i="31"/>
  <c r="F1429" i="31"/>
  <c r="F1369" i="31"/>
  <c r="F1309" i="31"/>
  <c r="F1249" i="31"/>
  <c r="F1579" i="31"/>
  <c r="F1519" i="31"/>
  <c r="F1459" i="31"/>
  <c r="F1399" i="31"/>
  <c r="F1339" i="31"/>
  <c r="F1279" i="31"/>
  <c r="F1731" i="31"/>
  <c r="F1581" i="31"/>
  <c r="F1521" i="31"/>
  <c r="F1461" i="31"/>
  <c r="F1401" i="31"/>
  <c r="F1341" i="31"/>
  <c r="F1281" i="31"/>
  <c r="F1611" i="31"/>
  <c r="F1551" i="31"/>
  <c r="F1491" i="31"/>
  <c r="F1431" i="31"/>
  <c r="F1371" i="31"/>
  <c r="F1311" i="31"/>
  <c r="F1251" i="31"/>
  <c r="F1733" i="31"/>
  <c r="F1613" i="31"/>
  <c r="F1553" i="31"/>
  <c r="F1493" i="31"/>
  <c r="F1433" i="31"/>
  <c r="F1373" i="31"/>
  <c r="F1313" i="31"/>
  <c r="F1253" i="31"/>
  <c r="F1583" i="31"/>
  <c r="F1523" i="31"/>
  <c r="F1463" i="31"/>
  <c r="F1403" i="31"/>
  <c r="F1343" i="31"/>
  <c r="F1283" i="31"/>
  <c r="F1735" i="31"/>
  <c r="F1585" i="31"/>
  <c r="F1525" i="31"/>
  <c r="F1465" i="31"/>
  <c r="F1405" i="31"/>
  <c r="F1345" i="31"/>
  <c r="F1285" i="31"/>
  <c r="F1615" i="31"/>
  <c r="F1555" i="31"/>
  <c r="F1495" i="31"/>
  <c r="F1435" i="31"/>
  <c r="F1375" i="31"/>
  <c r="F1315" i="31"/>
  <c r="F1255" i="31"/>
  <c r="F1737" i="31"/>
  <c r="F1617" i="31"/>
  <c r="F1557" i="31"/>
  <c r="F1497" i="31"/>
  <c r="F1437" i="31"/>
  <c r="F1377" i="31"/>
  <c r="F1317" i="31"/>
  <c r="F1257" i="31"/>
  <c r="F1587" i="31"/>
  <c r="F1527" i="31"/>
  <c r="F1467" i="31"/>
  <c r="F1407" i="31"/>
  <c r="F1347" i="31"/>
  <c r="F1287" i="31"/>
  <c r="F1739" i="31"/>
  <c r="F1589" i="31"/>
  <c r="F1529" i="31"/>
  <c r="F1469" i="31"/>
  <c r="F1409" i="31"/>
  <c r="F1349" i="31"/>
  <c r="F1289" i="31"/>
  <c r="F1619" i="31"/>
  <c r="F1559" i="31"/>
  <c r="F1499" i="31"/>
  <c r="F1439" i="31"/>
  <c r="F1379" i="31"/>
  <c r="F1319" i="31"/>
  <c r="F1259" i="31"/>
  <c r="F1741" i="31"/>
  <c r="F1621" i="31"/>
  <c r="F1561" i="31"/>
  <c r="F1501" i="31"/>
  <c r="F1441" i="31"/>
  <c r="F1381" i="31"/>
  <c r="F1321" i="31"/>
  <c r="F1261" i="31"/>
  <c r="F1591" i="31"/>
  <c r="F1531" i="31"/>
  <c r="F1471" i="31"/>
  <c r="F1411" i="31"/>
  <c r="F1351" i="31"/>
  <c r="F1291" i="31"/>
  <c r="V3" i="31" l="1"/>
  <c r="V4" i="31"/>
  <c r="V5" i="31"/>
  <c r="V6" i="31"/>
  <c r="V7" i="31"/>
  <c r="V8" i="31"/>
  <c r="V9" i="31"/>
  <c r="V10" i="31"/>
  <c r="V11" i="31"/>
  <c r="V12" i="31"/>
  <c r="V13" i="31"/>
  <c r="V14" i="31"/>
  <c r="V15" i="31"/>
  <c r="V16" i="31"/>
  <c r="V17" i="31"/>
  <c r="V18" i="31"/>
  <c r="V19" i="31"/>
  <c r="V20" i="31"/>
  <c r="V21" i="31"/>
  <c r="V22" i="31"/>
  <c r="V23" i="31"/>
  <c r="V24" i="31"/>
  <c r="V25" i="31"/>
  <c r="V26" i="31"/>
  <c r="V27" i="31"/>
  <c r="V28" i="31"/>
  <c r="V29" i="31"/>
  <c r="V30" i="31"/>
  <c r="V31" i="31"/>
  <c r="V32" i="31"/>
  <c r="V33"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0" i="31"/>
  <c r="V111" i="31"/>
  <c r="V112" i="31"/>
  <c r="V113" i="3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50" i="31"/>
  <c r="V154" i="31"/>
  <c r="V158" i="31"/>
  <c r="V162" i="31"/>
  <c r="V166" i="31"/>
  <c r="V170" i="31"/>
  <c r="V174" i="31"/>
  <c r="V178" i="31"/>
  <c r="V182" i="31"/>
  <c r="V186" i="31"/>
  <c r="V190" i="31"/>
  <c r="V194" i="31"/>
  <c r="V198" i="31"/>
  <c r="V202" i="31"/>
  <c r="V206" i="31"/>
  <c r="V210" i="31"/>
  <c r="V214" i="31"/>
  <c r="V218" i="31"/>
  <c r="V222" i="31"/>
  <c r="V149" i="31"/>
  <c r="V153" i="31"/>
  <c r="V157" i="31"/>
  <c r="V161" i="31"/>
  <c r="V165" i="31"/>
  <c r="V169" i="31"/>
  <c r="V173" i="31"/>
  <c r="V177" i="31"/>
  <c r="V181" i="31"/>
  <c r="V185" i="31"/>
  <c r="V189" i="31"/>
  <c r="V193" i="31"/>
  <c r="V197" i="31"/>
  <c r="V201" i="31"/>
  <c r="V205" i="31"/>
  <c r="V209" i="31"/>
  <c r="V213" i="31"/>
  <c r="V217" i="31"/>
  <c r="V221" i="31"/>
  <c r="V225" i="31"/>
  <c r="V152" i="31"/>
  <c r="V156" i="31"/>
  <c r="V160" i="31"/>
  <c r="V164" i="31"/>
  <c r="V168" i="31"/>
  <c r="V172" i="31"/>
  <c r="V176" i="31"/>
  <c r="V180" i="31"/>
  <c r="V184" i="31"/>
  <c r="V188" i="31"/>
  <c r="V192" i="31"/>
  <c r="V196" i="31"/>
  <c r="V200" i="31"/>
  <c r="V204" i="31"/>
  <c r="V208" i="31"/>
  <c r="V212" i="31"/>
  <c r="V151" i="31"/>
  <c r="V155" i="31"/>
  <c r="V159" i="31"/>
  <c r="V163" i="31"/>
  <c r="V167" i="31"/>
  <c r="V171" i="31"/>
  <c r="V175" i="31"/>
  <c r="V179" i="31"/>
  <c r="V183" i="31"/>
  <c r="V187" i="31"/>
  <c r="V191" i="31"/>
  <c r="V195" i="31"/>
  <c r="V199" i="31"/>
  <c r="V203" i="31"/>
  <c r="V207" i="31"/>
  <c r="V211" i="31"/>
  <c r="V215" i="31"/>
  <c r="V219" i="31"/>
  <c r="V223" i="31"/>
  <c r="V220" i="31"/>
  <c r="V231" i="31"/>
  <c r="V235" i="31"/>
  <c r="V239" i="31"/>
  <c r="V243" i="31"/>
  <c r="V247" i="31"/>
  <c r="V251"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296" i="31"/>
  <c r="V297" i="31"/>
  <c r="V298" i="31"/>
  <c r="V299" i="31"/>
  <c r="V300" i="31"/>
  <c r="V301" i="31"/>
  <c r="V302" i="31"/>
  <c r="V303" i="31"/>
  <c r="V304" i="31"/>
  <c r="V305" i="31"/>
  <c r="V306" i="31"/>
  <c r="V307" i="31"/>
  <c r="V308" i="31"/>
  <c r="V309" i="31"/>
  <c r="V310" i="31"/>
  <c r="V311" i="31"/>
  <c r="V312" i="31"/>
  <c r="V313" i="31"/>
  <c r="V314" i="31"/>
  <c r="V315" i="31"/>
  <c r="V316" i="31"/>
  <c r="V317" i="31"/>
  <c r="V318" i="31"/>
  <c r="V319" i="31"/>
  <c r="V320" i="31"/>
  <c r="V321" i="31"/>
  <c r="V322" i="31"/>
  <c r="V323" i="31"/>
  <c r="V324" i="31"/>
  <c r="V325" i="31"/>
  <c r="V326" i="31"/>
  <c r="V327" i="31"/>
  <c r="V328" i="31"/>
  <c r="V329" i="31"/>
  <c r="V330" i="31"/>
  <c r="V331" i="31"/>
  <c r="V216" i="31"/>
  <c r="V227" i="31"/>
  <c r="V230" i="31"/>
  <c r="V234" i="31"/>
  <c r="V238" i="31"/>
  <c r="V242" i="31"/>
  <c r="V246" i="31"/>
  <c r="V250" i="31"/>
  <c r="V254" i="31"/>
  <c r="V229" i="31"/>
  <c r="V233" i="31"/>
  <c r="V237" i="31"/>
  <c r="V241" i="31"/>
  <c r="V245" i="31"/>
  <c r="V249" i="31"/>
  <c r="V253" i="31"/>
  <c r="V240" i="31"/>
  <c r="V226" i="31"/>
  <c r="V232" i="31"/>
  <c r="V248" i="31"/>
  <c r="V228" i="31"/>
  <c r="V244" i="31"/>
  <c r="V224" i="31"/>
  <c r="V332" i="31"/>
  <c r="V334" i="31"/>
  <c r="V336" i="31"/>
  <c r="V338" i="31"/>
  <c r="V340" i="31"/>
  <c r="V342" i="31"/>
  <c r="V344" i="31"/>
  <c r="V346" i="31"/>
  <c r="V348" i="31"/>
  <c r="V350" i="31"/>
  <c r="V352" i="31"/>
  <c r="V354" i="31"/>
  <c r="V356" i="31"/>
  <c r="V358" i="31"/>
  <c r="V360" i="31"/>
  <c r="V362" i="31"/>
  <c r="V364" i="31"/>
  <c r="V366" i="31"/>
  <c r="V368" i="31"/>
  <c r="V370" i="31"/>
  <c r="V372" i="31"/>
  <c r="V374" i="31"/>
  <c r="V376" i="31"/>
  <c r="V378" i="31"/>
  <c r="V380" i="31"/>
  <c r="V382" i="31"/>
  <c r="V384" i="31"/>
  <c r="V386" i="31"/>
  <c r="V388" i="31"/>
  <c r="V390" i="31"/>
  <c r="V392" i="31"/>
  <c r="V394" i="31"/>
  <c r="V396" i="31"/>
  <c r="V398" i="31"/>
  <c r="V400" i="31"/>
  <c r="V402" i="31"/>
  <c r="V404" i="31"/>
  <c r="V406" i="31"/>
  <c r="V408" i="31"/>
  <c r="V410" i="31"/>
  <c r="V412" i="31"/>
  <c r="V414" i="31"/>
  <c r="V416" i="31"/>
  <c r="V418" i="31"/>
  <c r="V420" i="31"/>
  <c r="V422" i="31"/>
  <c r="V424" i="31"/>
  <c r="V426" i="31"/>
  <c r="V428" i="31"/>
  <c r="V430" i="31"/>
  <c r="V432" i="31"/>
  <c r="V434" i="31"/>
  <c r="V436" i="31"/>
  <c r="V438" i="31"/>
  <c r="V440" i="31"/>
  <c r="V442" i="31"/>
  <c r="V444" i="31"/>
  <c r="V446" i="31"/>
  <c r="V448" i="31"/>
  <c r="V450" i="31"/>
  <c r="V452" i="31"/>
  <c r="V454" i="31"/>
  <c r="V456" i="31"/>
  <c r="V458" i="31"/>
  <c r="V460" i="31"/>
  <c r="V462" i="31"/>
  <c r="V464" i="31"/>
  <c r="V466" i="31"/>
  <c r="V468" i="31"/>
  <c r="V470" i="31"/>
  <c r="V472" i="31"/>
  <c r="V561" i="31"/>
  <c r="V565" i="31"/>
  <c r="V569" i="31"/>
  <c r="V573" i="31"/>
  <c r="V577" i="31"/>
  <c r="V581" i="31"/>
  <c r="V585" i="31"/>
  <c r="V589" i="31"/>
  <c r="V593" i="31"/>
  <c r="V597" i="31"/>
  <c r="V601" i="31"/>
  <c r="V605" i="31"/>
  <c r="V252" i="31"/>
  <c r="V563" i="31"/>
  <c r="V567" i="31"/>
  <c r="V571" i="31"/>
  <c r="V575" i="31"/>
  <c r="V579" i="31"/>
  <c r="V583" i="31"/>
  <c r="V587" i="31"/>
  <c r="V591" i="31"/>
  <c r="V595" i="31"/>
  <c r="V599" i="31"/>
  <c r="V603" i="31"/>
  <c r="V607" i="31"/>
  <c r="V333" i="31"/>
  <c r="V337" i="31"/>
  <c r="V341" i="31"/>
  <c r="V345" i="31"/>
  <c r="V349" i="31"/>
  <c r="V353" i="31"/>
  <c r="V357" i="31"/>
  <c r="V361" i="31"/>
  <c r="V365" i="31"/>
  <c r="V369" i="31"/>
  <c r="V373" i="31"/>
  <c r="V377" i="31"/>
  <c r="V381" i="31"/>
  <c r="V385" i="31"/>
  <c r="V389" i="31"/>
  <c r="V393" i="31"/>
  <c r="V397" i="31"/>
  <c r="V401" i="31"/>
  <c r="V405" i="31"/>
  <c r="V409" i="31"/>
  <c r="V413" i="31"/>
  <c r="V417" i="31"/>
  <c r="V421" i="31"/>
  <c r="V425" i="31"/>
  <c r="V429" i="31"/>
  <c r="V433" i="31"/>
  <c r="V437" i="31"/>
  <c r="V441" i="31"/>
  <c r="V445" i="31"/>
  <c r="V449" i="31"/>
  <c r="V453" i="31"/>
  <c r="V457" i="31"/>
  <c r="V461" i="31"/>
  <c r="V465" i="31"/>
  <c r="V469" i="31"/>
  <c r="V473" i="31"/>
  <c r="V475" i="31"/>
  <c r="V477" i="31"/>
  <c r="V479" i="31"/>
  <c r="V481" i="31"/>
  <c r="V483" i="31"/>
  <c r="V485" i="31"/>
  <c r="V487" i="31"/>
  <c r="V489" i="31"/>
  <c r="V491" i="31"/>
  <c r="V493" i="31"/>
  <c r="V495" i="31"/>
  <c r="V497" i="31"/>
  <c r="V499" i="31"/>
  <c r="V501" i="31"/>
  <c r="V503" i="31"/>
  <c r="V505" i="31"/>
  <c r="V507" i="31"/>
  <c r="V509" i="31"/>
  <c r="V511" i="31"/>
  <c r="V513" i="31"/>
  <c r="V515" i="31"/>
  <c r="V517" i="31"/>
  <c r="V519" i="31"/>
  <c r="V521" i="31"/>
  <c r="V523" i="31"/>
  <c r="V525" i="31"/>
  <c r="V527" i="31"/>
  <c r="V529" i="31"/>
  <c r="V531" i="31"/>
  <c r="V533" i="31"/>
  <c r="V535" i="31"/>
  <c r="V537" i="31"/>
  <c r="V539" i="31"/>
  <c r="V541" i="31"/>
  <c r="V543" i="31"/>
  <c r="V545" i="31"/>
  <c r="V547" i="31"/>
  <c r="V549" i="31"/>
  <c r="V551" i="31"/>
  <c r="V553" i="31"/>
  <c r="V555" i="31"/>
  <c r="V557" i="31"/>
  <c r="V559" i="31"/>
  <c r="V562" i="31"/>
  <c r="V566" i="31"/>
  <c r="V570" i="31"/>
  <c r="V574" i="31"/>
  <c r="V578" i="31"/>
  <c r="V582" i="31"/>
  <c r="V586" i="31"/>
  <c r="V590" i="31"/>
  <c r="V594" i="31"/>
  <c r="V598" i="31"/>
  <c r="V602" i="31"/>
  <c r="V606" i="31"/>
  <c r="V236" i="31"/>
  <c r="V339" i="31"/>
  <c r="V355" i="31"/>
  <c r="V371" i="31"/>
  <c r="V387" i="31"/>
  <c r="V403" i="31"/>
  <c r="V419" i="31"/>
  <c r="V435" i="31"/>
  <c r="V451" i="31"/>
  <c r="V467" i="31"/>
  <c r="V478" i="31"/>
  <c r="V486" i="31"/>
  <c r="V494" i="31"/>
  <c r="V502" i="31"/>
  <c r="V510" i="31"/>
  <c r="V518" i="31"/>
  <c r="V526" i="31"/>
  <c r="V534" i="31"/>
  <c r="V542" i="31"/>
  <c r="V550" i="31"/>
  <c r="V558" i="31"/>
  <c r="V564" i="31"/>
  <c r="V580" i="31"/>
  <c r="V596" i="31"/>
  <c r="V611" i="31"/>
  <c r="V615" i="31"/>
  <c r="V619" i="31"/>
  <c r="V623" i="31"/>
  <c r="V627" i="31"/>
  <c r="V631" i="31"/>
  <c r="V635" i="31"/>
  <c r="V639" i="31"/>
  <c r="V643" i="31"/>
  <c r="V647" i="31"/>
  <c r="V651" i="31"/>
  <c r="V655" i="31"/>
  <c r="V659" i="31"/>
  <c r="V663" i="31"/>
  <c r="V667" i="31"/>
  <c r="V671" i="31"/>
  <c r="V675" i="31"/>
  <c r="V679" i="31"/>
  <c r="V683" i="31"/>
  <c r="V687" i="31"/>
  <c r="V691" i="31"/>
  <c r="V695" i="31"/>
  <c r="V699" i="31"/>
  <c r="V703" i="31"/>
  <c r="V707" i="31"/>
  <c r="V711" i="31"/>
  <c r="V715" i="31"/>
  <c r="V719" i="31"/>
  <c r="V723" i="31"/>
  <c r="V727" i="31"/>
  <c r="V731" i="31"/>
  <c r="V735" i="31"/>
  <c r="V739" i="31"/>
  <c r="V743" i="31"/>
  <c r="V747" i="31"/>
  <c r="V751" i="31"/>
  <c r="V755" i="31"/>
  <c r="V758" i="31"/>
  <c r="V760" i="31"/>
  <c r="V762" i="31"/>
  <c r="V764" i="31"/>
  <c r="V766" i="31"/>
  <c r="V768" i="31"/>
  <c r="V770" i="31"/>
  <c r="V772" i="31"/>
  <c r="V774" i="31"/>
  <c r="V776" i="31"/>
  <c r="V778" i="31"/>
  <c r="V780" i="31"/>
  <c r="V782" i="31"/>
  <c r="V784" i="31"/>
  <c r="V786" i="31"/>
  <c r="V788" i="31"/>
  <c r="V790" i="31"/>
  <c r="V792" i="31"/>
  <c r="V794" i="31"/>
  <c r="V796" i="31"/>
  <c r="V798" i="31"/>
  <c r="V800" i="31"/>
  <c r="V802" i="31"/>
  <c r="V804" i="31"/>
  <c r="V806" i="31"/>
  <c r="V808" i="31"/>
  <c r="V810" i="31"/>
  <c r="V812" i="31"/>
  <c r="V816" i="31"/>
  <c r="V820" i="31"/>
  <c r="V824" i="31"/>
  <c r="V347" i="31"/>
  <c r="V363" i="31"/>
  <c r="V379" i="31"/>
  <c r="V395" i="31"/>
  <c r="V411" i="31"/>
  <c r="V427" i="31"/>
  <c r="V443" i="31"/>
  <c r="V459" i="31"/>
  <c r="V474" i="31"/>
  <c r="V482" i="31"/>
  <c r="V490" i="31"/>
  <c r="V498" i="31"/>
  <c r="V506" i="31"/>
  <c r="V514" i="31"/>
  <c r="V522" i="31"/>
  <c r="V530" i="31"/>
  <c r="V538" i="31"/>
  <c r="V546" i="31"/>
  <c r="V554" i="31"/>
  <c r="V572" i="31"/>
  <c r="V588" i="31"/>
  <c r="V604" i="31"/>
  <c r="V609" i="31"/>
  <c r="V613" i="31"/>
  <c r="V617" i="31"/>
  <c r="V621" i="31"/>
  <c r="V625" i="31"/>
  <c r="V629" i="31"/>
  <c r="V633" i="31"/>
  <c r="V637" i="31"/>
  <c r="V641" i="31"/>
  <c r="V645" i="31"/>
  <c r="V649" i="31"/>
  <c r="V653" i="31"/>
  <c r="V657" i="31"/>
  <c r="V661" i="31"/>
  <c r="V665" i="31"/>
  <c r="V669" i="31"/>
  <c r="V673" i="31"/>
  <c r="V677" i="31"/>
  <c r="V681" i="31"/>
  <c r="V685" i="31"/>
  <c r="V689" i="31"/>
  <c r="V693" i="31"/>
  <c r="V697" i="31"/>
  <c r="V701" i="31"/>
  <c r="V705" i="31"/>
  <c r="V709" i="31"/>
  <c r="V713" i="31"/>
  <c r="V717" i="31"/>
  <c r="V721" i="31"/>
  <c r="V725" i="31"/>
  <c r="V729" i="31"/>
  <c r="V733" i="31"/>
  <c r="V737" i="31"/>
  <c r="V741" i="31"/>
  <c r="V745" i="31"/>
  <c r="V749" i="31"/>
  <c r="V753" i="31"/>
  <c r="V757" i="31"/>
  <c r="V759" i="31"/>
  <c r="V761" i="31"/>
  <c r="V763" i="31"/>
  <c r="V765" i="31"/>
  <c r="V767" i="31"/>
  <c r="V769" i="31"/>
  <c r="V771" i="31"/>
  <c r="V773" i="31"/>
  <c r="V775" i="31"/>
  <c r="V777" i="31"/>
  <c r="V779" i="31"/>
  <c r="V781" i="31"/>
  <c r="V783" i="31"/>
  <c r="V785" i="31"/>
  <c r="V787" i="31"/>
  <c r="V789" i="31"/>
  <c r="V791" i="31"/>
  <c r="V793" i="31"/>
  <c r="V795" i="31"/>
  <c r="V797" i="31"/>
  <c r="V799" i="31"/>
  <c r="V801" i="31"/>
  <c r="V803" i="31"/>
  <c r="V805" i="31"/>
  <c r="V807" i="31"/>
  <c r="V809" i="31"/>
  <c r="V811" i="31"/>
  <c r="V814" i="31"/>
  <c r="V818" i="31"/>
  <c r="V822" i="31"/>
  <c r="V826" i="31"/>
  <c r="V335" i="31"/>
  <c r="V351" i="31"/>
  <c r="V367" i="31"/>
  <c r="V383" i="31"/>
  <c r="V399" i="31"/>
  <c r="V415" i="31"/>
  <c r="V431" i="31"/>
  <c r="V447" i="31"/>
  <c r="V463" i="31"/>
  <c r="V476" i="31"/>
  <c r="V484" i="31"/>
  <c r="V492" i="31"/>
  <c r="V500" i="31"/>
  <c r="V508" i="31"/>
  <c r="V516" i="31"/>
  <c r="V524" i="31"/>
  <c r="V532" i="31"/>
  <c r="V540" i="31"/>
  <c r="V548" i="31"/>
  <c r="V556" i="31"/>
  <c r="V568" i="31"/>
  <c r="V584" i="31"/>
  <c r="V600" i="31"/>
  <c r="V610" i="31"/>
  <c r="V614" i="31"/>
  <c r="V618" i="31"/>
  <c r="V622" i="31"/>
  <c r="V626" i="31"/>
  <c r="V630" i="31"/>
  <c r="V634" i="31"/>
  <c r="V638" i="31"/>
  <c r="V642" i="31"/>
  <c r="V646" i="31"/>
  <c r="V650" i="31"/>
  <c r="V654" i="31"/>
  <c r="V658" i="31"/>
  <c r="V662" i="31"/>
  <c r="V666" i="31"/>
  <c r="V670" i="31"/>
  <c r="V674" i="31"/>
  <c r="V678" i="31"/>
  <c r="V682" i="31"/>
  <c r="V686" i="31"/>
  <c r="V690" i="31"/>
  <c r="V694" i="31"/>
  <c r="V698" i="31"/>
  <c r="V702" i="31"/>
  <c r="V706" i="31"/>
  <c r="V710" i="31"/>
  <c r="V714" i="31"/>
  <c r="V718" i="31"/>
  <c r="V722" i="31"/>
  <c r="V726" i="31"/>
  <c r="V730" i="31"/>
  <c r="V734" i="31"/>
  <c r="V738" i="31"/>
  <c r="V742" i="31"/>
  <c r="V746" i="31"/>
  <c r="V750" i="31"/>
  <c r="V754" i="31"/>
  <c r="V813" i="31"/>
  <c r="V817" i="31"/>
  <c r="V821" i="31"/>
  <c r="V825" i="31"/>
  <c r="V375" i="31"/>
  <c r="V439" i="31"/>
  <c r="V488" i="31"/>
  <c r="V520" i="31"/>
  <c r="V552" i="31"/>
  <c r="V576" i="31"/>
  <c r="V616" i="31"/>
  <c r="V632" i="31"/>
  <c r="V648" i="31"/>
  <c r="V664" i="31"/>
  <c r="V680" i="31"/>
  <c r="V696" i="31"/>
  <c r="V712" i="31"/>
  <c r="V728" i="31"/>
  <c r="V744" i="31"/>
  <c r="V819" i="31"/>
  <c r="V829" i="31"/>
  <c r="V833" i="31"/>
  <c r="V837" i="31"/>
  <c r="V841" i="31"/>
  <c r="V845" i="31"/>
  <c r="V849" i="31"/>
  <c r="V853" i="31"/>
  <c r="V857" i="31"/>
  <c r="V861" i="31"/>
  <c r="V865" i="31"/>
  <c r="V869" i="31"/>
  <c r="V873" i="31"/>
  <c r="V877" i="31"/>
  <c r="V881" i="31"/>
  <c r="V885" i="31"/>
  <c r="V889" i="31"/>
  <c r="V893" i="31"/>
  <c r="V897" i="31"/>
  <c r="V901" i="31"/>
  <c r="V905" i="31"/>
  <c r="V909" i="31"/>
  <c r="V913" i="31"/>
  <c r="V917" i="31"/>
  <c r="V921" i="31"/>
  <c r="V925" i="31"/>
  <c r="V929" i="31"/>
  <c r="V933" i="31"/>
  <c r="V937" i="31"/>
  <c r="V941" i="31"/>
  <c r="V945" i="31"/>
  <c r="V949" i="31"/>
  <c r="V953" i="31"/>
  <c r="V957" i="31"/>
  <c r="V961" i="31"/>
  <c r="V965" i="31"/>
  <c r="V969" i="31"/>
  <c r="V973" i="31"/>
  <c r="V977" i="31"/>
  <c r="V981" i="31"/>
  <c r="V985" i="31"/>
  <c r="V989" i="31"/>
  <c r="V993" i="31"/>
  <c r="V997" i="31"/>
  <c r="V1001" i="31"/>
  <c r="V1005" i="31"/>
  <c r="V1009" i="31"/>
  <c r="V1013" i="31"/>
  <c r="V1017" i="31"/>
  <c r="V1021" i="31"/>
  <c r="V1024" i="31"/>
  <c r="V1026" i="31"/>
  <c r="V1028" i="31"/>
  <c r="V1030" i="31"/>
  <c r="V1032" i="31"/>
  <c r="V1034" i="31"/>
  <c r="V1036" i="31"/>
  <c r="V1038" i="31"/>
  <c r="V1040" i="31"/>
  <c r="V1042" i="31"/>
  <c r="V1044" i="31"/>
  <c r="V1046" i="31"/>
  <c r="V1048" i="31"/>
  <c r="V1050" i="31"/>
  <c r="V1052" i="31"/>
  <c r="V1054" i="31"/>
  <c r="V1056" i="31"/>
  <c r="V1058" i="31"/>
  <c r="V1060" i="31"/>
  <c r="V1062" i="31"/>
  <c r="V1066" i="31"/>
  <c r="V1070" i="31"/>
  <c r="V1074" i="31"/>
  <c r="V1078" i="31"/>
  <c r="V1082" i="31"/>
  <c r="V1086" i="31"/>
  <c r="V1090" i="31"/>
  <c r="V1094" i="31"/>
  <c r="V343" i="31"/>
  <c r="V407" i="31"/>
  <c r="V471" i="31"/>
  <c r="V504" i="31"/>
  <c r="V536" i="31"/>
  <c r="V608" i="31"/>
  <c r="V624" i="31"/>
  <c r="V640" i="31"/>
  <c r="V656" i="31"/>
  <c r="V672" i="31"/>
  <c r="V688" i="31"/>
  <c r="V704" i="31"/>
  <c r="V720" i="31"/>
  <c r="V736" i="31"/>
  <c r="V752" i="31"/>
  <c r="V827" i="31"/>
  <c r="V831" i="31"/>
  <c r="V835" i="31"/>
  <c r="V839" i="31"/>
  <c r="V843" i="31"/>
  <c r="V847" i="31"/>
  <c r="V851" i="31"/>
  <c r="V855" i="31"/>
  <c r="V859" i="31"/>
  <c r="V863" i="31"/>
  <c r="V867" i="31"/>
  <c r="V871" i="31"/>
  <c r="V875" i="31"/>
  <c r="V879" i="31"/>
  <c r="V883" i="31"/>
  <c r="V887" i="31"/>
  <c r="V891" i="31"/>
  <c r="V895" i="31"/>
  <c r="V899" i="31"/>
  <c r="V903" i="31"/>
  <c r="V907" i="31"/>
  <c r="V911" i="31"/>
  <c r="V915" i="31"/>
  <c r="V919" i="31"/>
  <c r="V923" i="31"/>
  <c r="V927" i="31"/>
  <c r="V931" i="31"/>
  <c r="V935" i="31"/>
  <c r="V939" i="31"/>
  <c r="V943" i="31"/>
  <c r="V947" i="31"/>
  <c r="V951" i="31"/>
  <c r="V955" i="31"/>
  <c r="V959" i="31"/>
  <c r="V963" i="31"/>
  <c r="V967" i="31"/>
  <c r="V971" i="31"/>
  <c r="V975" i="31"/>
  <c r="V979" i="31"/>
  <c r="V983" i="31"/>
  <c r="V987" i="31"/>
  <c r="V991" i="31"/>
  <c r="V995" i="31"/>
  <c r="V999" i="31"/>
  <c r="V1003" i="31"/>
  <c r="V1007" i="31"/>
  <c r="V1011" i="31"/>
  <c r="V1015" i="31"/>
  <c r="V1019" i="31"/>
  <c r="V1023" i="31"/>
  <c r="V1025" i="31"/>
  <c r="V1027" i="31"/>
  <c r="V1029" i="31"/>
  <c r="V1031" i="31"/>
  <c r="V1033" i="31"/>
  <c r="V1035" i="31"/>
  <c r="V1037" i="31"/>
  <c r="V1039" i="31"/>
  <c r="V1041" i="31"/>
  <c r="V1043" i="31"/>
  <c r="V1045" i="31"/>
  <c r="V1047" i="31"/>
  <c r="V1049" i="31"/>
  <c r="V1051" i="31"/>
  <c r="V1053" i="31"/>
  <c r="V1055" i="31"/>
  <c r="V1057" i="31"/>
  <c r="V1059" i="31"/>
  <c r="V1061" i="31"/>
  <c r="V1064" i="31"/>
  <c r="V1068" i="31"/>
  <c r="V1072" i="31"/>
  <c r="V1076" i="31"/>
  <c r="V1080" i="31"/>
  <c r="V1084" i="31"/>
  <c r="V1088" i="31"/>
  <c r="V1092" i="31"/>
  <c r="V1096" i="31"/>
  <c r="V1097" i="31"/>
  <c r="V1098" i="31"/>
  <c r="V1099" i="31"/>
  <c r="V1100" i="31"/>
  <c r="V1101" i="31"/>
  <c r="V1102" i="31"/>
  <c r="V1103" i="31"/>
  <c r="V1104" i="31"/>
  <c r="V1105" i="31"/>
  <c r="V1106" i="31"/>
  <c r="V1107" i="31"/>
  <c r="V1108" i="31"/>
  <c r="V1109" i="31"/>
  <c r="V1110" i="31"/>
  <c r="V1111" i="31"/>
  <c r="V1112" i="31"/>
  <c r="V1113" i="31"/>
  <c r="V1114" i="31"/>
  <c r="V1115" i="31"/>
  <c r="V1116" i="31"/>
  <c r="V1117" i="31"/>
  <c r="V1118" i="31"/>
  <c r="V1119" i="31"/>
  <c r="V1120" i="31"/>
  <c r="V1121" i="31"/>
  <c r="V1122" i="31"/>
  <c r="V1123" i="31"/>
  <c r="V1124" i="31"/>
  <c r="V1125" i="31"/>
  <c r="V1126" i="31"/>
  <c r="V1127" i="31"/>
  <c r="V1128" i="31"/>
  <c r="V1129" i="31"/>
  <c r="V1130" i="31"/>
  <c r="V1131" i="31"/>
  <c r="V1132" i="31"/>
  <c r="V1133" i="31"/>
  <c r="V1134" i="31"/>
  <c r="V1135" i="31"/>
  <c r="V1136" i="31"/>
  <c r="V1137" i="31"/>
  <c r="V1138" i="31"/>
  <c r="V1139" i="31"/>
  <c r="V1140" i="31"/>
  <c r="V1141" i="31"/>
  <c r="V1142" i="31"/>
  <c r="V1143" i="31"/>
  <c r="V1144" i="31"/>
  <c r="V1145" i="31"/>
  <c r="V1146" i="31"/>
  <c r="V1147" i="31"/>
  <c r="V1148" i="31"/>
  <c r="V1149" i="31"/>
  <c r="V1150" i="31"/>
  <c r="V1151" i="31"/>
  <c r="V1152" i="31"/>
  <c r="V1153" i="31"/>
  <c r="V1154" i="31"/>
  <c r="V1155" i="31"/>
  <c r="V1156" i="31"/>
  <c r="V1157" i="31"/>
  <c r="V1158" i="31"/>
  <c r="V1159" i="31"/>
  <c r="V1160" i="31"/>
  <c r="V1161" i="31"/>
  <c r="V1162" i="31"/>
  <c r="V1163" i="31"/>
  <c r="V1164" i="31"/>
  <c r="V1165" i="31"/>
  <c r="V1166" i="31"/>
  <c r="V1167" i="31"/>
  <c r="V1168" i="31"/>
  <c r="V1169" i="31"/>
  <c r="V1170" i="31"/>
  <c r="V1171" i="31"/>
  <c r="V1172" i="31"/>
  <c r="V1173" i="31"/>
  <c r="V1174" i="31"/>
  <c r="V1175" i="31"/>
  <c r="V1176" i="31"/>
  <c r="V1177" i="31"/>
  <c r="V1178" i="31"/>
  <c r="V1179" i="31"/>
  <c r="V1180" i="31"/>
  <c r="V1181" i="31"/>
  <c r="V1182" i="31"/>
  <c r="V1183" i="31"/>
  <c r="V1184" i="31"/>
  <c r="V1185" i="31"/>
  <c r="V1186" i="31"/>
  <c r="V1187" i="31"/>
  <c r="V1188" i="31"/>
  <c r="V1189" i="31"/>
  <c r="V1190" i="31"/>
  <c r="V1191" i="31"/>
  <c r="V1192" i="31"/>
  <c r="V1193" i="31"/>
  <c r="V1194" i="31"/>
  <c r="V1195" i="31"/>
  <c r="V1196" i="31"/>
  <c r="V1197" i="31"/>
  <c r="V1198" i="31"/>
  <c r="V1199" i="31"/>
  <c r="V1200" i="31"/>
  <c r="V1201" i="31"/>
  <c r="V1202" i="31"/>
  <c r="V1203" i="31"/>
  <c r="V1204" i="31"/>
  <c r="V1205" i="31"/>
  <c r="V1206" i="31"/>
  <c r="V1207" i="31"/>
  <c r="V1208" i="31"/>
  <c r="V1209" i="31"/>
  <c r="V1210" i="31"/>
  <c r="V1211" i="31"/>
  <c r="V1212" i="31"/>
  <c r="V1213" i="31"/>
  <c r="V1214" i="31"/>
  <c r="V1215" i="31"/>
  <c r="V1216" i="31"/>
  <c r="V1217" i="31"/>
  <c r="V1218" i="31"/>
  <c r="V1219" i="31"/>
  <c r="V1220" i="31"/>
  <c r="V1221" i="31"/>
  <c r="V1222" i="31"/>
  <c r="V1223" i="31"/>
  <c r="V1224" i="31"/>
  <c r="V1225" i="31"/>
  <c r="V1226" i="31"/>
  <c r="V1227" i="31"/>
  <c r="V1228" i="31"/>
  <c r="V1229" i="31"/>
  <c r="V1230" i="31"/>
  <c r="V1231" i="31"/>
  <c r="V1232" i="31"/>
  <c r="V1233" i="31"/>
  <c r="V1234" i="31"/>
  <c r="V1235" i="31"/>
  <c r="V1236" i="31"/>
  <c r="V1237" i="31"/>
  <c r="V1238" i="31"/>
  <c r="V1239" i="31"/>
  <c r="V1240" i="31"/>
  <c r="V1241" i="31"/>
  <c r="V1242" i="31"/>
  <c r="V1243" i="31"/>
  <c r="V1244" i="31"/>
  <c r="V1245" i="31"/>
  <c r="V1246" i="31"/>
  <c r="V1247" i="31"/>
  <c r="V1248" i="31"/>
  <c r="V1249" i="31"/>
  <c r="V1250" i="31"/>
  <c r="V1251" i="31"/>
  <c r="V1252" i="31"/>
  <c r="V1253" i="31"/>
  <c r="V1254" i="31"/>
  <c r="V1255" i="31"/>
  <c r="V1256" i="31"/>
  <c r="V1257" i="31"/>
  <c r="V1258" i="31"/>
  <c r="V1259" i="31"/>
  <c r="V1260" i="31"/>
  <c r="V1261" i="31"/>
  <c r="V1262" i="31"/>
  <c r="V1263" i="31"/>
  <c r="V1264" i="31"/>
  <c r="V1265" i="31"/>
  <c r="V1266" i="31"/>
  <c r="V1267" i="31"/>
  <c r="V1268" i="31"/>
  <c r="V1269" i="31"/>
  <c r="V1270" i="31"/>
  <c r="V1271" i="31"/>
  <c r="V1272" i="31"/>
  <c r="V1273" i="31"/>
  <c r="V1274" i="31"/>
  <c r="V1275" i="31"/>
  <c r="V1276" i="31"/>
  <c r="V1277" i="31"/>
  <c r="V1278" i="31"/>
  <c r="V1279" i="31"/>
  <c r="V1280" i="31"/>
  <c r="V1281" i="31"/>
  <c r="V1282" i="31"/>
  <c r="V1283" i="31"/>
  <c r="V1284" i="31"/>
  <c r="V1285" i="31"/>
  <c r="V1286" i="31"/>
  <c r="V1287" i="31"/>
  <c r="V1288" i="31"/>
  <c r="V1289" i="31"/>
  <c r="V1290" i="31"/>
  <c r="V1291" i="31"/>
  <c r="V1292" i="31"/>
  <c r="V1293" i="31"/>
  <c r="V1294" i="31"/>
  <c r="V1295" i="31"/>
  <c r="V1296" i="31"/>
  <c r="V1297" i="31"/>
  <c r="V1298" i="31"/>
  <c r="V1299" i="31"/>
  <c r="V1300" i="31"/>
  <c r="V1301" i="31"/>
  <c r="V1302" i="31"/>
  <c r="V1303" i="31"/>
  <c r="V1304" i="31"/>
  <c r="V1305" i="31"/>
  <c r="V1306" i="31"/>
  <c r="V1307" i="31"/>
  <c r="V1308" i="31"/>
  <c r="V1309" i="31"/>
  <c r="V1310" i="31"/>
  <c r="V1311" i="31"/>
  <c r="V1312" i="31"/>
  <c r="V1313" i="31"/>
  <c r="V1314" i="31"/>
  <c r="V1315" i="31"/>
  <c r="V1316" i="31"/>
  <c r="V359" i="31"/>
  <c r="V423" i="31"/>
  <c r="V480" i="31"/>
  <c r="V512" i="31"/>
  <c r="V544" i="31"/>
  <c r="V592" i="31"/>
  <c r="V612" i="31"/>
  <c r="V628" i="31"/>
  <c r="V644" i="31"/>
  <c r="V660" i="31"/>
  <c r="V676" i="31"/>
  <c r="V692" i="31"/>
  <c r="V708" i="31"/>
  <c r="V724" i="31"/>
  <c r="V740" i="31"/>
  <c r="V756" i="31"/>
  <c r="V823" i="31"/>
  <c r="V828" i="31"/>
  <c r="V832" i="31"/>
  <c r="V836" i="31"/>
  <c r="V840" i="31"/>
  <c r="V844" i="31"/>
  <c r="V848" i="31"/>
  <c r="V852" i="31"/>
  <c r="V856" i="31"/>
  <c r="V860" i="31"/>
  <c r="V864" i="31"/>
  <c r="V868" i="31"/>
  <c r="V872" i="31"/>
  <c r="V876" i="31"/>
  <c r="V880" i="31"/>
  <c r="V884" i="31"/>
  <c r="V888" i="31"/>
  <c r="V892" i="31"/>
  <c r="V896" i="31"/>
  <c r="V900" i="31"/>
  <c r="V904" i="31"/>
  <c r="V908" i="31"/>
  <c r="V912" i="31"/>
  <c r="V916" i="31"/>
  <c r="V920" i="31"/>
  <c r="V924" i="31"/>
  <c r="V928" i="31"/>
  <c r="V932" i="31"/>
  <c r="V936" i="31"/>
  <c r="V940" i="31"/>
  <c r="V944" i="31"/>
  <c r="V948" i="31"/>
  <c r="V952" i="31"/>
  <c r="V956" i="31"/>
  <c r="V960" i="31"/>
  <c r="V964" i="31"/>
  <c r="V968" i="31"/>
  <c r="V972" i="31"/>
  <c r="V976" i="31"/>
  <c r="V980" i="31"/>
  <c r="V984" i="31"/>
  <c r="V988" i="31"/>
  <c r="V992" i="31"/>
  <c r="V996" i="31"/>
  <c r="V1000" i="31"/>
  <c r="V1004" i="31"/>
  <c r="V1008" i="31"/>
  <c r="V1012" i="31"/>
  <c r="V1016" i="31"/>
  <c r="V1020" i="31"/>
  <c r="V1063" i="31"/>
  <c r="V1067" i="31"/>
  <c r="V1071" i="31"/>
  <c r="V1075" i="31"/>
  <c r="V1079" i="31"/>
  <c r="V1083" i="31"/>
  <c r="V1087" i="31"/>
  <c r="V1091" i="31"/>
  <c r="V1095" i="31"/>
  <c r="V528" i="31"/>
  <c r="V620" i="31"/>
  <c r="V684" i="31"/>
  <c r="V748" i="31"/>
  <c r="V815" i="31"/>
  <c r="V834" i="31"/>
  <c r="V850" i="31"/>
  <c r="V866" i="31"/>
  <c r="V882" i="31"/>
  <c r="V898" i="31"/>
  <c r="V914" i="31"/>
  <c r="V930" i="31"/>
  <c r="V946" i="31"/>
  <c r="V962" i="31"/>
  <c r="V978" i="31"/>
  <c r="V994" i="31"/>
  <c r="V1010" i="31"/>
  <c r="V1069" i="31"/>
  <c r="V1085" i="31"/>
  <c r="V1318" i="31"/>
  <c r="V1320" i="31"/>
  <c r="V1322" i="31"/>
  <c r="V1324" i="31"/>
  <c r="V1326" i="31"/>
  <c r="V1328" i="31"/>
  <c r="V1330" i="31"/>
  <c r="V1332" i="31"/>
  <c r="V1334" i="31"/>
  <c r="V1336" i="31"/>
  <c r="V1338" i="31"/>
  <c r="V1340" i="31"/>
  <c r="V1342" i="31"/>
  <c r="V1344" i="31"/>
  <c r="V1346" i="31"/>
  <c r="V1348" i="31"/>
  <c r="V1350" i="31"/>
  <c r="V1352" i="31"/>
  <c r="V1354" i="31"/>
  <c r="V1356" i="31"/>
  <c r="V1358" i="31"/>
  <c r="V1360" i="31"/>
  <c r="V1362" i="31"/>
  <c r="V1364" i="31"/>
  <c r="V1366" i="31"/>
  <c r="V1368" i="31"/>
  <c r="V1370" i="31"/>
  <c r="V1372" i="31"/>
  <c r="V1374" i="31"/>
  <c r="V1376" i="31"/>
  <c r="V1378" i="31"/>
  <c r="V1380" i="31"/>
  <c r="V1382" i="31"/>
  <c r="V1384" i="31"/>
  <c r="V1386" i="31"/>
  <c r="V1388" i="31"/>
  <c r="V1390" i="31"/>
  <c r="V1392" i="31"/>
  <c r="V1394" i="31"/>
  <c r="V1396" i="31"/>
  <c r="V1398" i="31"/>
  <c r="V1400" i="31"/>
  <c r="V1402" i="31"/>
  <c r="V1404" i="31"/>
  <c r="V1406" i="31"/>
  <c r="V1408" i="31"/>
  <c r="V1410" i="31"/>
  <c r="V1412" i="31"/>
  <c r="V1414" i="31"/>
  <c r="V1416" i="31"/>
  <c r="V1418" i="31"/>
  <c r="V1420" i="31"/>
  <c r="V1422" i="31"/>
  <c r="V1424" i="31"/>
  <c r="V1426" i="31"/>
  <c r="V1428" i="31"/>
  <c r="V1430" i="31"/>
  <c r="V1432" i="31"/>
  <c r="V1434" i="31"/>
  <c r="V1436" i="31"/>
  <c r="V1438" i="31"/>
  <c r="V1440" i="31"/>
  <c r="V1442" i="31"/>
  <c r="V1444" i="31"/>
  <c r="V1446" i="31"/>
  <c r="V1448" i="31"/>
  <c r="V1450" i="31"/>
  <c r="V1452" i="31"/>
  <c r="V2" i="31"/>
  <c r="V560" i="31"/>
  <c r="V636" i="31"/>
  <c r="V838" i="31"/>
  <c r="V918" i="31"/>
  <c r="V982" i="31"/>
  <c r="V1457" i="31"/>
  <c r="V1458" i="31"/>
  <c r="V1460" i="31"/>
  <c r="V1461" i="31"/>
  <c r="V1463" i="31"/>
  <c r="V1465" i="31"/>
  <c r="V1467" i="31"/>
  <c r="V1469" i="31"/>
  <c r="V1470" i="31"/>
  <c r="V1473" i="31"/>
  <c r="V1476" i="31"/>
  <c r="V1478" i="31"/>
  <c r="V1480" i="31"/>
  <c r="V1482" i="31"/>
  <c r="V1484" i="31"/>
  <c r="V1486" i="31"/>
  <c r="V1489" i="31"/>
  <c r="V1490" i="31"/>
  <c r="V1492" i="31"/>
  <c r="V1494" i="31"/>
  <c r="V1497" i="31"/>
  <c r="V1500" i="31"/>
  <c r="V1502" i="31"/>
  <c r="V1503" i="31"/>
  <c r="V1505" i="31"/>
  <c r="V1508" i="31"/>
  <c r="V1511" i="31"/>
  <c r="V1512" i="31"/>
  <c r="V1515" i="31"/>
  <c r="V1516" i="31"/>
  <c r="V1517" i="31"/>
  <c r="V1518" i="31"/>
  <c r="V1520" i="31"/>
  <c r="V1524" i="31"/>
  <c r="V1526" i="31"/>
  <c r="V1527" i="31"/>
  <c r="V1529" i="31"/>
  <c r="V1532" i="31"/>
  <c r="V1534" i="31"/>
  <c r="V1536" i="31"/>
  <c r="V1539" i="31"/>
  <c r="V1543" i="31"/>
  <c r="V1545" i="31"/>
  <c r="V1548" i="31"/>
  <c r="V1550" i="31"/>
  <c r="V1553" i="31"/>
  <c r="V1556" i="31"/>
  <c r="V1559" i="31"/>
  <c r="V1562" i="31"/>
  <c r="V1564" i="31"/>
  <c r="V1565" i="31"/>
  <c r="V1567" i="31"/>
  <c r="V1569" i="31"/>
  <c r="V1571" i="31"/>
  <c r="V1573" i="31"/>
  <c r="V1575" i="31"/>
  <c r="V1577" i="31"/>
  <c r="V1581" i="31"/>
  <c r="V1583" i="31"/>
  <c r="V1587" i="31"/>
  <c r="V1590" i="31"/>
  <c r="V1593" i="31"/>
  <c r="V1597" i="31"/>
  <c r="V1598" i="31"/>
  <c r="V1600" i="31"/>
  <c r="V1602" i="31"/>
  <c r="V1603" i="31"/>
  <c r="V1605" i="31"/>
  <c r="V1607" i="31"/>
  <c r="V1609" i="31"/>
  <c r="V1610" i="31"/>
  <c r="V1612" i="31"/>
  <c r="V1615" i="31"/>
  <c r="V1617" i="31"/>
  <c r="V1620" i="31"/>
  <c r="V1623" i="31"/>
  <c r="V1627" i="31"/>
  <c r="V1629" i="31"/>
  <c r="V1631" i="31"/>
  <c r="V1634" i="31"/>
  <c r="V1637" i="31"/>
  <c r="V1640" i="31"/>
  <c r="V1644" i="31"/>
  <c r="V1645" i="31"/>
  <c r="V1647" i="31"/>
  <c r="V1648" i="31"/>
  <c r="V1651" i="31"/>
  <c r="V1653" i="31"/>
  <c r="V1656" i="31"/>
  <c r="V1658" i="31"/>
  <c r="V1660" i="31"/>
  <c r="V1663" i="31"/>
  <c r="V1665" i="31"/>
  <c r="V1667" i="31"/>
  <c r="V1670" i="31"/>
  <c r="V1673" i="31"/>
  <c r="V1674" i="31"/>
  <c r="V1676" i="31"/>
  <c r="V1679" i="31"/>
  <c r="V1681" i="31"/>
  <c r="V1684" i="31"/>
  <c r="V1687" i="31"/>
  <c r="V1690" i="31"/>
  <c r="V1693" i="31"/>
  <c r="V1695" i="31"/>
  <c r="V1697" i="31"/>
  <c r="V1698" i="31"/>
  <c r="V1701" i="31"/>
  <c r="V1703" i="31"/>
  <c r="V1706" i="31"/>
  <c r="V1710" i="31"/>
  <c r="V1712" i="31"/>
  <c r="V1713" i="31"/>
  <c r="V1715" i="31"/>
  <c r="V1718" i="31"/>
  <c r="V1722" i="31"/>
  <c r="V1724" i="31"/>
  <c r="V1726" i="31"/>
  <c r="V1728" i="31"/>
  <c r="V1730" i="31"/>
  <c r="V1734" i="31"/>
  <c r="V1737" i="31"/>
  <c r="V1739" i="31"/>
  <c r="V1741" i="31"/>
  <c r="V455" i="31"/>
  <c r="V652" i="31"/>
  <c r="V716" i="31"/>
  <c r="V842" i="31"/>
  <c r="V858" i="31"/>
  <c r="V874" i="31"/>
  <c r="V890" i="31"/>
  <c r="V906" i="31"/>
  <c r="V922" i="31"/>
  <c r="V938" i="31"/>
  <c r="V954" i="31"/>
  <c r="V970" i="31"/>
  <c r="V986" i="31"/>
  <c r="V1002" i="31"/>
  <c r="V1018" i="31"/>
  <c r="V1077" i="31"/>
  <c r="V1093" i="31"/>
  <c r="V1317" i="31"/>
  <c r="V1319" i="31"/>
  <c r="V1321" i="31"/>
  <c r="V1323" i="31"/>
  <c r="V1325" i="31"/>
  <c r="V1327" i="31"/>
  <c r="V1329" i="31"/>
  <c r="V1331" i="31"/>
  <c r="V1333" i="31"/>
  <c r="V1335" i="31"/>
  <c r="V1337" i="31"/>
  <c r="V1339" i="31"/>
  <c r="V1341" i="31"/>
  <c r="V1343" i="31"/>
  <c r="V1345" i="31"/>
  <c r="V1347" i="31"/>
  <c r="V1349" i="31"/>
  <c r="V1351" i="31"/>
  <c r="V1353" i="31"/>
  <c r="V1355" i="31"/>
  <c r="V1357" i="31"/>
  <c r="V1359" i="31"/>
  <c r="V1361" i="31"/>
  <c r="V1363" i="31"/>
  <c r="V1365" i="31"/>
  <c r="V1367" i="31"/>
  <c r="V1369" i="31"/>
  <c r="V1371" i="31"/>
  <c r="V1373" i="31"/>
  <c r="V1375" i="31"/>
  <c r="V1377" i="31"/>
  <c r="V1379" i="31"/>
  <c r="V1381" i="31"/>
  <c r="V1383" i="31"/>
  <c r="V1385" i="31"/>
  <c r="V1387" i="31"/>
  <c r="V1389" i="31"/>
  <c r="V1391" i="31"/>
  <c r="V1393" i="31"/>
  <c r="V1395" i="31"/>
  <c r="V1397" i="31"/>
  <c r="V1399" i="31"/>
  <c r="V1401" i="31"/>
  <c r="V1403" i="31"/>
  <c r="V1405" i="31"/>
  <c r="V1407" i="31"/>
  <c r="V1409" i="31"/>
  <c r="V1411" i="31"/>
  <c r="V1413" i="31"/>
  <c r="V1415" i="31"/>
  <c r="V1417" i="31"/>
  <c r="V1419" i="31"/>
  <c r="V1421" i="31"/>
  <c r="V1423" i="31"/>
  <c r="V1425" i="31"/>
  <c r="V1427" i="31"/>
  <c r="V1429" i="31"/>
  <c r="V1431" i="31"/>
  <c r="V1433" i="31"/>
  <c r="V1435" i="31"/>
  <c r="V1437" i="31"/>
  <c r="V1439" i="31"/>
  <c r="V1441" i="31"/>
  <c r="V1443" i="31"/>
  <c r="V1445" i="31"/>
  <c r="V1447" i="31"/>
  <c r="V1449" i="31"/>
  <c r="V1451" i="31"/>
  <c r="V1453" i="31"/>
  <c r="V700" i="31"/>
  <c r="V870" i="31"/>
  <c r="V886" i="31"/>
  <c r="V902" i="31"/>
  <c r="V966" i="31"/>
  <c r="V1014" i="31"/>
  <c r="V1065" i="31"/>
  <c r="V1455" i="31"/>
  <c r="V1456" i="31"/>
  <c r="V1462" i="31"/>
  <c r="V1466" i="31"/>
  <c r="V1472" i="31"/>
  <c r="V1475" i="31"/>
  <c r="V1479" i="31"/>
  <c r="V1485" i="31"/>
  <c r="V1488" i="31"/>
  <c r="V1493" i="31"/>
  <c r="V1498" i="31"/>
  <c r="V1501" i="31"/>
  <c r="V1506" i="31"/>
  <c r="V1509" i="31"/>
  <c r="V1513" i="31"/>
  <c r="V1521" i="31"/>
  <c r="V1525" i="31"/>
  <c r="V1530" i="31"/>
  <c r="V1533" i="31"/>
  <c r="V1537" i="31"/>
  <c r="V1540" i="31"/>
  <c r="V1542" i="31"/>
  <c r="V1546" i="31"/>
  <c r="V1551" i="31"/>
  <c r="V1554" i="31"/>
  <c r="V1557" i="31"/>
  <c r="V1560" i="31"/>
  <c r="V1563" i="31"/>
  <c r="V1568" i="31"/>
  <c r="V1572" i="31"/>
  <c r="V1576" i="31"/>
  <c r="V1578" i="31"/>
  <c r="V1579" i="31"/>
  <c r="V1582" i="31"/>
  <c r="V1584" i="31"/>
  <c r="V1585" i="31"/>
  <c r="V1588" i="31"/>
  <c r="V1589" i="31"/>
  <c r="V1591" i="31"/>
  <c r="V1594" i="31"/>
  <c r="V1596" i="31"/>
  <c r="V1601" i="31"/>
  <c r="V1606" i="31"/>
  <c r="V1611" i="31"/>
  <c r="V1614" i="31"/>
  <c r="V1618" i="31"/>
  <c r="V1621" i="31"/>
  <c r="V1624" i="31"/>
  <c r="V1628" i="31"/>
  <c r="V1632" i="31"/>
  <c r="V1635" i="31"/>
  <c r="V1638" i="31"/>
  <c r="V1641" i="31"/>
  <c r="V1643" i="31"/>
  <c r="V1649" i="31"/>
  <c r="V1654" i="31"/>
  <c r="V1657" i="31"/>
  <c r="V1661" i="31"/>
  <c r="V1664" i="31"/>
  <c r="V1668" i="31"/>
  <c r="V1671" i="31"/>
  <c r="V1672" i="31"/>
  <c r="V1678" i="31"/>
  <c r="V1682" i="31"/>
  <c r="V1685" i="31"/>
  <c r="V1688" i="31"/>
  <c r="V1691" i="31"/>
  <c r="V1694" i="31"/>
  <c r="V1699" i="31"/>
  <c r="V1704" i="31"/>
  <c r="V1707" i="31"/>
  <c r="V1709" i="31"/>
  <c r="V1716" i="31"/>
  <c r="V1719" i="31"/>
  <c r="V1721" i="31"/>
  <c r="V1727" i="31"/>
  <c r="V1731" i="31"/>
  <c r="V1735" i="31"/>
  <c r="V1740" i="31"/>
  <c r="V496" i="31"/>
  <c r="V668" i="31"/>
  <c r="V732" i="31"/>
  <c r="V830" i="31"/>
  <c r="V846" i="31"/>
  <c r="V862" i="31"/>
  <c r="V878" i="31"/>
  <c r="V894" i="31"/>
  <c r="V910" i="31"/>
  <c r="V926" i="31"/>
  <c r="V942" i="31"/>
  <c r="V958" i="31"/>
  <c r="V974" i="31"/>
  <c r="V990" i="31"/>
  <c r="V1006" i="31"/>
  <c r="V1022" i="31"/>
  <c r="V1073" i="31"/>
  <c r="V1089" i="31"/>
  <c r="V391" i="31"/>
  <c r="V854" i="31"/>
  <c r="V934" i="31"/>
  <c r="V950" i="31"/>
  <c r="V998" i="31"/>
  <c r="V1081" i="31"/>
  <c r="V1454" i="31"/>
  <c r="V1459" i="31"/>
  <c r="V1464" i="31"/>
  <c r="V1468" i="31"/>
  <c r="V1471" i="31"/>
  <c r="V1474" i="31"/>
  <c r="V1477" i="31"/>
  <c r="V1481" i="31"/>
  <c r="V1483" i="31"/>
  <c r="V1487" i="31"/>
  <c r="V1491" i="31"/>
  <c r="V1495" i="31"/>
  <c r="V1496" i="31"/>
  <c r="V1499" i="31"/>
  <c r="V1504" i="31"/>
  <c r="V1507" i="31"/>
  <c r="V1510" i="31"/>
  <c r="V1514" i="31"/>
  <c r="V1519" i="31"/>
  <c r="V1522" i="31"/>
  <c r="V1523" i="31"/>
  <c r="V1528" i="31"/>
  <c r="V1531" i="31"/>
  <c r="V1535" i="31"/>
  <c r="V1538" i="31"/>
  <c r="V1541" i="31"/>
  <c r="V1544" i="31"/>
  <c r="V1547" i="31"/>
  <c r="V1549" i="31"/>
  <c r="V1552" i="31"/>
  <c r="V1555" i="31"/>
  <c r="V1558" i="31"/>
  <c r="V1561" i="31"/>
  <c r="V1566" i="31"/>
  <c r="V1570" i="31"/>
  <c r="V1574" i="31"/>
  <c r="V1580" i="31"/>
  <c r="V1586" i="31"/>
  <c r="V1592" i="31"/>
  <c r="V1595" i="31"/>
  <c r="V1599" i="31"/>
  <c r="V1604" i="31"/>
  <c r="V1608" i="31"/>
  <c r="V1613" i="31"/>
  <c r="V1616" i="31"/>
  <c r="V1619" i="31"/>
  <c r="V1622" i="31"/>
  <c r="V1625" i="31"/>
  <c r="V1626" i="31"/>
  <c r="V1630" i="31"/>
  <c r="V1633" i="31"/>
  <c r="V1636" i="31"/>
  <c r="V1639" i="31"/>
  <c r="V1642" i="31"/>
  <c r="V1646" i="31"/>
  <c r="V1650" i="31"/>
  <c r="V1652" i="31"/>
  <c r="V1655" i="31"/>
  <c r="V1659" i="31"/>
  <c r="V1662" i="31"/>
  <c r="V1666" i="31"/>
  <c r="V1669" i="31"/>
  <c r="V1675" i="31"/>
  <c r="V1677" i="31"/>
  <c r="V1680" i="31"/>
  <c r="V1683" i="31"/>
  <c r="V1686" i="31"/>
  <c r="V1689" i="31"/>
  <c r="V1692" i="31"/>
  <c r="V1696" i="31"/>
  <c r="V1700" i="31"/>
  <c r="V1702" i="31"/>
  <c r="V1705" i="31"/>
  <c r="V1708" i="31"/>
  <c r="V1711" i="31"/>
  <c r="V1714" i="31"/>
  <c r="V1717" i="31"/>
  <c r="V1720" i="31"/>
  <c r="V1723" i="31"/>
  <c r="V1725" i="31"/>
  <c r="V1729" i="31"/>
  <c r="V1732" i="31"/>
  <c r="V1733" i="31"/>
  <c r="V1736" i="31"/>
  <c r="V1738" i="31"/>
  <c r="W3" i="31"/>
  <c r="W7" i="31"/>
  <c r="W11" i="31"/>
  <c r="W15" i="31"/>
  <c r="W19" i="31"/>
  <c r="W23" i="31"/>
  <c r="W27" i="31"/>
  <c r="W31" i="31"/>
  <c r="W35" i="31"/>
  <c r="W39" i="31"/>
  <c r="W43" i="31"/>
  <c r="W47" i="31"/>
  <c r="W51" i="31"/>
  <c r="W55" i="31"/>
  <c r="W59" i="31"/>
  <c r="W63" i="31"/>
  <c r="W67" i="31"/>
  <c r="W71" i="31"/>
  <c r="W75" i="31"/>
  <c r="W78" i="31"/>
  <c r="W80" i="31"/>
  <c r="W82" i="31"/>
  <c r="W84" i="31"/>
  <c r="W86" i="31"/>
  <c r="W4" i="31"/>
  <c r="W9" i="31"/>
  <c r="W14" i="31"/>
  <c r="W20" i="31"/>
  <c r="W25" i="31"/>
  <c r="W30" i="31"/>
  <c r="W36" i="31"/>
  <c r="W41" i="31"/>
  <c r="W46" i="31"/>
  <c r="W52" i="31"/>
  <c r="W57" i="31"/>
  <c r="W62" i="31"/>
  <c r="W68" i="31"/>
  <c r="W73" i="31"/>
  <c r="W83" i="31"/>
  <c r="W88" i="31"/>
  <c r="W92" i="31"/>
  <c r="W96" i="31"/>
  <c r="W100" i="31"/>
  <c r="W104" i="31"/>
  <c r="W108" i="31"/>
  <c r="W112" i="31"/>
  <c r="W116" i="31"/>
  <c r="W120" i="31"/>
  <c r="W124" i="31"/>
  <c r="W128" i="31"/>
  <c r="W132" i="31"/>
  <c r="W136" i="31"/>
  <c r="W140" i="31"/>
  <c r="W144" i="31"/>
  <c r="W148" i="31"/>
  <c r="W149" i="31"/>
  <c r="W150" i="31"/>
  <c r="W151" i="31"/>
  <c r="W152" i="31"/>
  <c r="W153" i="31"/>
  <c r="W154" i="31"/>
  <c r="W155" i="31"/>
  <c r="W156" i="31"/>
  <c r="W157" i="31"/>
  <c r="W158" i="31"/>
  <c r="W159" i="31"/>
  <c r="W160" i="31"/>
  <c r="W161" i="31"/>
  <c r="W162" i="31"/>
  <c r="W163" i="31"/>
  <c r="W164" i="31"/>
  <c r="W165" i="31"/>
  <c r="W166" i="31"/>
  <c r="W167" i="31"/>
  <c r="W168" i="31"/>
  <c r="W169" i="31"/>
  <c r="W170" i="31"/>
  <c r="W171" i="31"/>
  <c r="W172" i="31"/>
  <c r="W173" i="31"/>
  <c r="W174" i="31"/>
  <c r="W175" i="31"/>
  <c r="W176" i="31"/>
  <c r="W177" i="31"/>
  <c r="W178" i="31"/>
  <c r="W179" i="31"/>
  <c r="W180" i="31"/>
  <c r="W181" i="31"/>
  <c r="W182" i="31"/>
  <c r="W183" i="31"/>
  <c r="W184" i="31"/>
  <c r="W185" i="31"/>
  <c r="W186" i="31"/>
  <c r="W187" i="31"/>
  <c r="W188" i="31"/>
  <c r="W189" i="31"/>
  <c r="W190" i="31"/>
  <c r="W191" i="31"/>
  <c r="W192" i="31"/>
  <c r="W193" i="31"/>
  <c r="W194" i="31"/>
  <c r="W195" i="31"/>
  <c r="W196" i="31"/>
  <c r="W197" i="31"/>
  <c r="W198" i="31"/>
  <c r="W199" i="31"/>
  <c r="W200" i="31"/>
  <c r="W201" i="31"/>
  <c r="W202" i="31"/>
  <c r="W203" i="31"/>
  <c r="W204" i="31"/>
  <c r="W205" i="31"/>
  <c r="W206" i="31"/>
  <c r="W207" i="31"/>
  <c r="W208" i="31"/>
  <c r="W209" i="31"/>
  <c r="W210" i="31"/>
  <c r="W211" i="31"/>
  <c r="W212" i="31"/>
  <c r="W213" i="31"/>
  <c r="W214" i="31"/>
  <c r="W215" i="31"/>
  <c r="W216" i="31"/>
  <c r="W217" i="31"/>
  <c r="W218" i="31"/>
  <c r="W219" i="31"/>
  <c r="W220" i="31"/>
  <c r="W221" i="31"/>
  <c r="W222" i="31"/>
  <c r="W223" i="31"/>
  <c r="W224" i="31"/>
  <c r="W225" i="31"/>
  <c r="W226" i="31"/>
  <c r="W227" i="31"/>
  <c r="W228" i="31"/>
  <c r="W229" i="31"/>
  <c r="W230" i="31"/>
  <c r="W231" i="31"/>
  <c r="W232" i="31"/>
  <c r="W233" i="31"/>
  <c r="W234" i="31"/>
  <c r="W235" i="31"/>
  <c r="W236" i="31"/>
  <c r="W237" i="31"/>
  <c r="W238" i="31"/>
  <c r="W239" i="31"/>
  <c r="W240" i="31"/>
  <c r="W241" i="31"/>
  <c r="W242" i="31"/>
  <c r="W243" i="31"/>
  <c r="W244" i="31"/>
  <c r="W245" i="31"/>
  <c r="W246" i="31"/>
  <c r="W247" i="31"/>
  <c r="W248" i="31"/>
  <c r="W249" i="31"/>
  <c r="W250" i="31"/>
  <c r="W251" i="31"/>
  <c r="W252" i="31"/>
  <c r="W253" i="31"/>
  <c r="W254" i="31"/>
  <c r="W5" i="31"/>
  <c r="W10" i="31"/>
  <c r="W16" i="31"/>
  <c r="W21" i="31"/>
  <c r="W26" i="31"/>
  <c r="W32" i="31"/>
  <c r="W37" i="31"/>
  <c r="W42" i="31"/>
  <c r="W48" i="31"/>
  <c r="W53" i="31"/>
  <c r="W58" i="31"/>
  <c r="W64" i="31"/>
  <c r="W69" i="31"/>
  <c r="W74" i="31"/>
  <c r="W81" i="31"/>
  <c r="W91" i="31"/>
  <c r="W95" i="31"/>
  <c r="W99" i="31"/>
  <c r="W103" i="31"/>
  <c r="W107" i="31"/>
  <c r="W111" i="31"/>
  <c r="W6" i="31"/>
  <c r="W12" i="31"/>
  <c r="W17" i="31"/>
  <c r="W22" i="31"/>
  <c r="W8" i="31"/>
  <c r="W13" i="31"/>
  <c r="W18" i="31"/>
  <c r="W24" i="31"/>
  <c r="W29" i="31"/>
  <c r="W34" i="31"/>
  <c r="W40" i="31"/>
  <c r="W45" i="31"/>
  <c r="W50" i="31"/>
  <c r="W56" i="31"/>
  <c r="W61" i="31"/>
  <c r="W66" i="31"/>
  <c r="W72" i="31"/>
  <c r="W77" i="31"/>
  <c r="W85" i="31"/>
  <c r="W89" i="31"/>
  <c r="W93" i="31"/>
  <c r="W97" i="31"/>
  <c r="W101" i="31"/>
  <c r="W105" i="31"/>
  <c r="W109" i="31"/>
  <c r="W113" i="31"/>
  <c r="W28" i="31"/>
  <c r="W49" i="31"/>
  <c r="W70" i="31"/>
  <c r="W102" i="31"/>
  <c r="W115" i="31"/>
  <c r="W122" i="31"/>
  <c r="W129" i="31"/>
  <c r="W131" i="31"/>
  <c r="W138" i="31"/>
  <c r="W145" i="31"/>
  <c r="W147" i="31"/>
  <c r="W33" i="31"/>
  <c r="W54" i="31"/>
  <c r="W76" i="31"/>
  <c r="W87" i="31"/>
  <c r="W98" i="31"/>
  <c r="W117" i="31"/>
  <c r="W119" i="31"/>
  <c r="W126" i="31"/>
  <c r="W133" i="31"/>
  <c r="W135" i="31"/>
  <c r="W142" i="31"/>
  <c r="W38" i="31"/>
  <c r="W60" i="31"/>
  <c r="W79" i="31"/>
  <c r="W94" i="31"/>
  <c r="W110" i="31"/>
  <c r="W114" i="31"/>
  <c r="W121" i="31"/>
  <c r="W123" i="31"/>
  <c r="W130" i="31"/>
  <c r="W137" i="31"/>
  <c r="W139" i="31"/>
  <c r="W146" i="31"/>
  <c r="W44" i="31"/>
  <c r="W65" i="31"/>
  <c r="W90" i="31"/>
  <c r="W106" i="31"/>
  <c r="W118" i="31"/>
  <c r="W125" i="31"/>
  <c r="W127" i="31"/>
  <c r="W134" i="31"/>
  <c r="W141" i="31"/>
  <c r="W143" i="31"/>
  <c r="W255" i="31"/>
  <c r="W256" i="31"/>
  <c r="W257" i="31"/>
  <c r="W258" i="31"/>
  <c r="W259" i="31"/>
  <c r="W260" i="31"/>
  <c r="W261" i="31"/>
  <c r="W262" i="31"/>
  <c r="W263" i="31"/>
  <c r="W264" i="31"/>
  <c r="W265" i="31"/>
  <c r="W266" i="31"/>
  <c r="W267" i="31"/>
  <c r="W268" i="31"/>
  <c r="W269" i="31"/>
  <c r="W270" i="31"/>
  <c r="W271" i="31"/>
  <c r="W272" i="31"/>
  <c r="W273" i="31"/>
  <c r="W274" i="31"/>
  <c r="W275" i="31"/>
  <c r="W276" i="31"/>
  <c r="W277" i="31"/>
  <c r="W278" i="31"/>
  <c r="W279" i="31"/>
  <c r="W280" i="31"/>
  <c r="W281" i="31"/>
  <c r="W282" i="31"/>
  <c r="W283" i="31"/>
  <c r="W284" i="31"/>
  <c r="W285" i="31"/>
  <c r="W286" i="31"/>
  <c r="W287" i="31"/>
  <c r="W288" i="31"/>
  <c r="W289" i="31"/>
  <c r="W290" i="31"/>
  <c r="W291" i="31"/>
  <c r="W292" i="31"/>
  <c r="W293" i="31"/>
  <c r="W294" i="31"/>
  <c r="W295" i="31"/>
  <c r="W296" i="31"/>
  <c r="W297" i="31"/>
  <c r="W298" i="31"/>
  <c r="W299" i="31"/>
  <c r="W300" i="31"/>
  <c r="W301" i="31"/>
  <c r="W302" i="31"/>
  <c r="W303" i="31"/>
  <c r="W304" i="31"/>
  <c r="W305" i="31"/>
  <c r="W306" i="31"/>
  <c r="W307" i="31"/>
  <c r="W308" i="31"/>
  <c r="W309" i="31"/>
  <c r="W310" i="31"/>
  <c r="W311" i="31"/>
  <c r="W312" i="31"/>
  <c r="W313" i="31"/>
  <c r="W314" i="31"/>
  <c r="W315" i="31"/>
  <c r="W316" i="31"/>
  <c r="W317" i="31"/>
  <c r="W318" i="31"/>
  <c r="W319" i="31"/>
  <c r="W320" i="31"/>
  <c r="W321" i="31"/>
  <c r="W322" i="31"/>
  <c r="W323" i="31"/>
  <c r="W324" i="31"/>
  <c r="W325" i="31"/>
  <c r="W326" i="31"/>
  <c r="W327" i="31"/>
  <c r="W328" i="31"/>
  <c r="W329" i="31"/>
  <c r="W330" i="31"/>
  <c r="W331" i="31"/>
  <c r="W332" i="31"/>
  <c r="W333" i="31"/>
  <c r="W334" i="31"/>
  <c r="W335" i="31"/>
  <c r="W336" i="31"/>
  <c r="W337" i="31"/>
  <c r="W338" i="31"/>
  <c r="W339" i="31"/>
  <c r="W340" i="31"/>
  <c r="W341" i="31"/>
  <c r="W342" i="31"/>
  <c r="W343" i="31"/>
  <c r="W344" i="31"/>
  <c r="W345" i="31"/>
  <c r="W346" i="31"/>
  <c r="W347" i="31"/>
  <c r="W348" i="31"/>
  <c r="W349" i="31"/>
  <c r="W350" i="31"/>
  <c r="W351" i="31"/>
  <c r="W352" i="31"/>
  <c r="W353" i="31"/>
  <c r="W354" i="31"/>
  <c r="W355" i="31"/>
  <c r="W356" i="31"/>
  <c r="W357" i="31"/>
  <c r="W358" i="31"/>
  <c r="W359" i="31"/>
  <c r="W360" i="31"/>
  <c r="W361" i="31"/>
  <c r="W362" i="31"/>
  <c r="W363" i="31"/>
  <c r="W364" i="31"/>
  <c r="W365" i="31"/>
  <c r="W366" i="31"/>
  <c r="W367" i="31"/>
  <c r="W368" i="31"/>
  <c r="W369" i="31"/>
  <c r="W370" i="31"/>
  <c r="W371" i="31"/>
  <c r="W372" i="31"/>
  <c r="W373" i="31"/>
  <c r="W374" i="31"/>
  <c r="W375" i="31"/>
  <c r="W376" i="31"/>
  <c r="W377" i="31"/>
  <c r="W378" i="31"/>
  <c r="W379" i="31"/>
  <c r="W380" i="31"/>
  <c r="W381" i="31"/>
  <c r="W382" i="31"/>
  <c r="W383" i="31"/>
  <c r="W384" i="31"/>
  <c r="W385" i="31"/>
  <c r="W386" i="31"/>
  <c r="W387" i="31"/>
  <c r="W388" i="31"/>
  <c r="W389" i="31"/>
  <c r="W390" i="31"/>
  <c r="W391" i="31"/>
  <c r="W392" i="31"/>
  <c r="W393" i="31"/>
  <c r="W394" i="31"/>
  <c r="W395" i="31"/>
  <c r="W396" i="31"/>
  <c r="W397" i="31"/>
  <c r="W398" i="31"/>
  <c r="W399" i="31"/>
  <c r="W400" i="31"/>
  <c r="W401" i="31"/>
  <c r="W402" i="31"/>
  <c r="W403" i="31"/>
  <c r="W404" i="31"/>
  <c r="W405" i="31"/>
  <c r="W406" i="31"/>
  <c r="W407" i="31"/>
  <c r="W408" i="31"/>
  <c r="W409" i="31"/>
  <c r="W410" i="31"/>
  <c r="W411" i="31"/>
  <c r="W412" i="31"/>
  <c r="W413" i="31"/>
  <c r="W414" i="31"/>
  <c r="W415" i="31"/>
  <c r="W416" i="31"/>
  <c r="W417" i="31"/>
  <c r="W418" i="31"/>
  <c r="W419" i="31"/>
  <c r="W420" i="31"/>
  <c r="W421" i="31"/>
  <c r="W422" i="31"/>
  <c r="W423" i="31"/>
  <c r="W424" i="31"/>
  <c r="W425" i="31"/>
  <c r="W426" i="31"/>
  <c r="W427" i="31"/>
  <c r="W428" i="31"/>
  <c r="W429" i="31"/>
  <c r="W430" i="31"/>
  <c r="W431" i="31"/>
  <c r="W432" i="31"/>
  <c r="W433" i="31"/>
  <c r="W434" i="31"/>
  <c r="W435" i="31"/>
  <c r="W436" i="31"/>
  <c r="W437" i="31"/>
  <c r="W438" i="31"/>
  <c r="W439" i="31"/>
  <c r="W440" i="31"/>
  <c r="W441" i="31"/>
  <c r="W442" i="31"/>
  <c r="W443" i="31"/>
  <c r="W444" i="31"/>
  <c r="W445" i="31"/>
  <c r="W446" i="31"/>
  <c r="W447" i="31"/>
  <c r="W448" i="31"/>
  <c r="W449" i="31"/>
  <c r="W450" i="31"/>
  <c r="W451" i="31"/>
  <c r="W452" i="31"/>
  <c r="W453" i="31"/>
  <c r="W454" i="31"/>
  <c r="W455" i="31"/>
  <c r="W456" i="31"/>
  <c r="W457" i="31"/>
  <c r="W458" i="31"/>
  <c r="W459" i="31"/>
  <c r="W460" i="31"/>
  <c r="W461" i="31"/>
  <c r="W462" i="31"/>
  <c r="W463" i="31"/>
  <c r="W464" i="31"/>
  <c r="W465" i="31"/>
  <c r="W466" i="31"/>
  <c r="W467" i="31"/>
  <c r="W468" i="31"/>
  <c r="W469" i="31"/>
  <c r="W470" i="31"/>
  <c r="W471" i="31"/>
  <c r="W472" i="31"/>
  <c r="W473" i="31"/>
  <c r="W474" i="31"/>
  <c r="W475" i="31"/>
  <c r="W476" i="31"/>
  <c r="W477" i="31"/>
  <c r="W478" i="31"/>
  <c r="W479" i="31"/>
  <c r="W480" i="31"/>
  <c r="W481" i="31"/>
  <c r="W482" i="31"/>
  <c r="W483" i="31"/>
  <c r="W484" i="31"/>
  <c r="W485" i="31"/>
  <c r="W486" i="31"/>
  <c r="W487" i="31"/>
  <c r="W488" i="31"/>
  <c r="W489" i="31"/>
  <c r="W490" i="31"/>
  <c r="W491" i="31"/>
  <c r="W492" i="31"/>
  <c r="W493" i="31"/>
  <c r="W494" i="31"/>
  <c r="W495" i="31"/>
  <c r="W496" i="31"/>
  <c r="W497" i="31"/>
  <c r="W498" i="31"/>
  <c r="W499" i="31"/>
  <c r="W500" i="31"/>
  <c r="W501" i="31"/>
  <c r="W502" i="31"/>
  <c r="W503" i="31"/>
  <c r="W504" i="31"/>
  <c r="W505" i="31"/>
  <c r="W506" i="31"/>
  <c r="W507" i="31"/>
  <c r="W508" i="31"/>
  <c r="W509" i="31"/>
  <c r="W510" i="31"/>
  <c r="W511" i="31"/>
  <c r="W512" i="31"/>
  <c r="W513" i="31"/>
  <c r="W514" i="31"/>
  <c r="W515" i="31"/>
  <c r="W516" i="31"/>
  <c r="W517" i="31"/>
  <c r="W518" i="31"/>
  <c r="W519" i="31"/>
  <c r="W520" i="31"/>
  <c r="W521" i="31"/>
  <c r="W522" i="31"/>
  <c r="W523" i="31"/>
  <c r="W524" i="31"/>
  <c r="W525" i="31"/>
  <c r="W526" i="31"/>
  <c r="W527" i="31"/>
  <c r="W528" i="31"/>
  <c r="W529" i="31"/>
  <c r="W530" i="31"/>
  <c r="W531" i="31"/>
  <c r="W532" i="31"/>
  <c r="W533" i="31"/>
  <c r="W534" i="31"/>
  <c r="W535" i="31"/>
  <c r="W536" i="31"/>
  <c r="W537" i="31"/>
  <c r="W538" i="31"/>
  <c r="W539" i="31"/>
  <c r="W540" i="31"/>
  <c r="W541" i="31"/>
  <c r="W542" i="31"/>
  <c r="W543" i="31"/>
  <c r="W544" i="31"/>
  <c r="W545" i="31"/>
  <c r="W546" i="31"/>
  <c r="W547" i="31"/>
  <c r="W548" i="31"/>
  <c r="W549" i="31"/>
  <c r="W550" i="31"/>
  <c r="W551" i="31"/>
  <c r="W552" i="31"/>
  <c r="W553" i="31"/>
  <c r="W554" i="31"/>
  <c r="W555" i="31"/>
  <c r="W556" i="31"/>
  <c r="W557" i="31"/>
  <c r="W558" i="31"/>
  <c r="W559" i="31"/>
  <c r="W562" i="31"/>
  <c r="W566" i="31"/>
  <c r="W570" i="31"/>
  <c r="W574" i="31"/>
  <c r="W578" i="31"/>
  <c r="W582" i="31"/>
  <c r="W586" i="31"/>
  <c r="W590" i="31"/>
  <c r="W594" i="31"/>
  <c r="W598" i="31"/>
  <c r="W602" i="31"/>
  <c r="W606" i="31"/>
  <c r="W560" i="31"/>
  <c r="W564" i="31"/>
  <c r="W568" i="31"/>
  <c r="W572" i="31"/>
  <c r="W576" i="31"/>
  <c r="W580" i="31"/>
  <c r="W584" i="31"/>
  <c r="W588" i="31"/>
  <c r="W592" i="31"/>
  <c r="W596" i="31"/>
  <c r="W600" i="31"/>
  <c r="W604" i="31"/>
  <c r="W608" i="31"/>
  <c r="W609" i="31"/>
  <c r="W610" i="31"/>
  <c r="W611" i="31"/>
  <c r="W612" i="31"/>
  <c r="W613" i="31"/>
  <c r="W614" i="31"/>
  <c r="W615" i="31"/>
  <c r="W616" i="31"/>
  <c r="W617" i="31"/>
  <c r="W618" i="31"/>
  <c r="W619" i="31"/>
  <c r="W620" i="31"/>
  <c r="W621" i="31"/>
  <c r="W622" i="31"/>
  <c r="W623" i="31"/>
  <c r="W624" i="31"/>
  <c r="W625" i="31"/>
  <c r="W626" i="31"/>
  <c r="W627" i="31"/>
  <c r="W628" i="31"/>
  <c r="W629" i="31"/>
  <c r="W630" i="31"/>
  <c r="W631" i="31"/>
  <c r="W632" i="31"/>
  <c r="W633" i="31"/>
  <c r="W634" i="31"/>
  <c r="W635" i="31"/>
  <c r="W636" i="31"/>
  <c r="W637" i="31"/>
  <c r="W638" i="31"/>
  <c r="W639" i="31"/>
  <c r="W640" i="31"/>
  <c r="W641" i="31"/>
  <c r="W642" i="31"/>
  <c r="W643" i="31"/>
  <c r="W644" i="31"/>
  <c r="W645" i="31"/>
  <c r="W646" i="31"/>
  <c r="W647" i="31"/>
  <c r="W648" i="31"/>
  <c r="W649" i="31"/>
  <c r="W650" i="31"/>
  <c r="W651" i="31"/>
  <c r="W652" i="31"/>
  <c r="W653" i="31"/>
  <c r="W654" i="31"/>
  <c r="W655" i="31"/>
  <c r="W656" i="31"/>
  <c r="W657" i="31"/>
  <c r="W658" i="31"/>
  <c r="W659" i="31"/>
  <c r="W660" i="31"/>
  <c r="W661" i="31"/>
  <c r="W662" i="31"/>
  <c r="W663" i="31"/>
  <c r="W664" i="31"/>
  <c r="W665" i="31"/>
  <c r="W666" i="31"/>
  <c r="W667" i="31"/>
  <c r="W668" i="31"/>
  <c r="W669" i="31"/>
  <c r="W670" i="31"/>
  <c r="W671" i="31"/>
  <c r="W672" i="31"/>
  <c r="W673" i="31"/>
  <c r="W674" i="31"/>
  <c r="W675" i="31"/>
  <c r="W676" i="31"/>
  <c r="W677" i="31"/>
  <c r="W678" i="31"/>
  <c r="W679" i="31"/>
  <c r="W680" i="31"/>
  <c r="W681" i="31"/>
  <c r="W682" i="31"/>
  <c r="W683" i="31"/>
  <c r="W684" i="31"/>
  <c r="W685" i="31"/>
  <c r="W686" i="31"/>
  <c r="W687" i="31"/>
  <c r="W688" i="31"/>
  <c r="W689" i="31"/>
  <c r="W690" i="31"/>
  <c r="W691" i="31"/>
  <c r="W692" i="31"/>
  <c r="W693" i="31"/>
  <c r="W694" i="31"/>
  <c r="W695" i="31"/>
  <c r="W696" i="31"/>
  <c r="W697" i="31"/>
  <c r="W698" i="31"/>
  <c r="W699" i="31"/>
  <c r="W700" i="31"/>
  <c r="W701" i="31"/>
  <c r="W702" i="31"/>
  <c r="W703" i="31"/>
  <c r="W704" i="31"/>
  <c r="W705" i="31"/>
  <c r="W706" i="31"/>
  <c r="W707" i="31"/>
  <c r="W708" i="31"/>
  <c r="W709" i="31"/>
  <c r="W710" i="31"/>
  <c r="W711" i="31"/>
  <c r="W712" i="31"/>
  <c r="W713" i="31"/>
  <c r="W714" i="31"/>
  <c r="W715" i="31"/>
  <c r="W716" i="31"/>
  <c r="W717" i="31"/>
  <c r="W718" i="31"/>
  <c r="W719" i="31"/>
  <c r="W720" i="31"/>
  <c r="W721" i="31"/>
  <c r="W722" i="31"/>
  <c r="W723" i="31"/>
  <c r="W724" i="31"/>
  <c r="W725" i="31"/>
  <c r="W726" i="31"/>
  <c r="W727" i="31"/>
  <c r="W728" i="31"/>
  <c r="W729" i="31"/>
  <c r="W730" i="31"/>
  <c r="W731" i="31"/>
  <c r="W732" i="31"/>
  <c r="W733" i="31"/>
  <c r="W734" i="31"/>
  <c r="W735" i="31"/>
  <c r="W736" i="31"/>
  <c r="W737" i="31"/>
  <c r="W738" i="31"/>
  <c r="W739" i="31"/>
  <c r="W740" i="31"/>
  <c r="W741" i="31"/>
  <c r="W742" i="31"/>
  <c r="W743" i="31"/>
  <c r="W744" i="31"/>
  <c r="W745" i="31"/>
  <c r="W746" i="31"/>
  <c r="W747" i="31"/>
  <c r="W748" i="31"/>
  <c r="W749" i="31"/>
  <c r="W750" i="31"/>
  <c r="W751" i="31"/>
  <c r="W752" i="31"/>
  <c r="W753" i="31"/>
  <c r="W754" i="31"/>
  <c r="W755" i="31"/>
  <c r="W756" i="31"/>
  <c r="W563" i="31"/>
  <c r="W567" i="31"/>
  <c r="W571" i="31"/>
  <c r="W575" i="31"/>
  <c r="W579" i="31"/>
  <c r="W583" i="31"/>
  <c r="W587" i="31"/>
  <c r="W591" i="31"/>
  <c r="W595" i="31"/>
  <c r="W599" i="31"/>
  <c r="W603" i="31"/>
  <c r="W607" i="31"/>
  <c r="W569" i="31"/>
  <c r="W585" i="31"/>
  <c r="W601" i="31"/>
  <c r="W813" i="31"/>
  <c r="W817" i="31"/>
  <c r="W821" i="31"/>
  <c r="W825" i="31"/>
  <c r="W561" i="31"/>
  <c r="W577" i="31"/>
  <c r="W593" i="31"/>
  <c r="W815" i="31"/>
  <c r="W819" i="31"/>
  <c r="W823" i="31"/>
  <c r="W827" i="31"/>
  <c r="W828" i="31"/>
  <c r="W829" i="31"/>
  <c r="W830" i="31"/>
  <c r="W831" i="31"/>
  <c r="W832" i="31"/>
  <c r="W833" i="31"/>
  <c r="W834" i="31"/>
  <c r="W835" i="31"/>
  <c r="W836" i="31"/>
  <c r="W837" i="31"/>
  <c r="W838" i="31"/>
  <c r="W839" i="31"/>
  <c r="W840" i="31"/>
  <c r="W841" i="31"/>
  <c r="W842" i="31"/>
  <c r="W843" i="31"/>
  <c r="W844" i="31"/>
  <c r="W845" i="31"/>
  <c r="W846" i="31"/>
  <c r="W847" i="31"/>
  <c r="W848" i="31"/>
  <c r="W849" i="31"/>
  <c r="W850" i="31"/>
  <c r="W851" i="31"/>
  <c r="W852" i="31"/>
  <c r="W853" i="31"/>
  <c r="W854" i="31"/>
  <c r="W855" i="31"/>
  <c r="W856" i="31"/>
  <c r="W857" i="31"/>
  <c r="W858" i="31"/>
  <c r="W859" i="31"/>
  <c r="W860" i="31"/>
  <c r="W861" i="31"/>
  <c r="W862" i="31"/>
  <c r="W863" i="31"/>
  <c r="W864" i="31"/>
  <c r="W865" i="31"/>
  <c r="W866" i="31"/>
  <c r="W867" i="31"/>
  <c r="W868" i="31"/>
  <c r="W869" i="31"/>
  <c r="W870" i="31"/>
  <c r="W871" i="31"/>
  <c r="W872" i="31"/>
  <c r="W873" i="31"/>
  <c r="W874" i="31"/>
  <c r="W875" i="31"/>
  <c r="W876" i="31"/>
  <c r="W877" i="31"/>
  <c r="W878" i="31"/>
  <c r="W879" i="31"/>
  <c r="W880" i="31"/>
  <c r="W881" i="31"/>
  <c r="W882" i="31"/>
  <c r="W883" i="31"/>
  <c r="W884" i="31"/>
  <c r="W885" i="31"/>
  <c r="W886" i="31"/>
  <c r="W887" i="31"/>
  <c r="W888" i="31"/>
  <c r="W889" i="31"/>
  <c r="W890" i="31"/>
  <c r="W891" i="31"/>
  <c r="W892" i="31"/>
  <c r="W893" i="31"/>
  <c r="W894" i="31"/>
  <c r="W895" i="31"/>
  <c r="W896" i="31"/>
  <c r="W897" i="31"/>
  <c r="W898" i="31"/>
  <c r="W899" i="31"/>
  <c r="W900" i="31"/>
  <c r="W901" i="31"/>
  <c r="W902" i="31"/>
  <c r="W903" i="31"/>
  <c r="W904" i="31"/>
  <c r="W905" i="31"/>
  <c r="W906" i="31"/>
  <c r="W907" i="31"/>
  <c r="W908" i="31"/>
  <c r="W909" i="31"/>
  <c r="W910" i="31"/>
  <c r="W911" i="31"/>
  <c r="W912" i="31"/>
  <c r="W913" i="31"/>
  <c r="W914" i="31"/>
  <c r="W915" i="31"/>
  <c r="W916" i="31"/>
  <c r="W917" i="31"/>
  <c r="W918" i="31"/>
  <c r="W919" i="31"/>
  <c r="W920" i="31"/>
  <c r="W921" i="31"/>
  <c r="W922" i="31"/>
  <c r="W923" i="31"/>
  <c r="W924" i="31"/>
  <c r="W925" i="31"/>
  <c r="W926" i="31"/>
  <c r="W927" i="31"/>
  <c r="W928" i="31"/>
  <c r="W929" i="31"/>
  <c r="W930" i="31"/>
  <c r="W931" i="31"/>
  <c r="W932" i="31"/>
  <c r="W933" i="31"/>
  <c r="W934" i="31"/>
  <c r="W935" i="31"/>
  <c r="W936" i="31"/>
  <c r="W937" i="31"/>
  <c r="W938" i="31"/>
  <c r="W939" i="31"/>
  <c r="W940" i="31"/>
  <c r="W941" i="31"/>
  <c r="W942" i="31"/>
  <c r="W943" i="31"/>
  <c r="W944" i="31"/>
  <c r="W945" i="31"/>
  <c r="W946" i="31"/>
  <c r="W947" i="31"/>
  <c r="W948" i="31"/>
  <c r="W949" i="31"/>
  <c r="W950" i="31"/>
  <c r="W951" i="31"/>
  <c r="W952" i="31"/>
  <c r="W953" i="31"/>
  <c r="W954" i="31"/>
  <c r="W955" i="31"/>
  <c r="W956" i="31"/>
  <c r="W957" i="31"/>
  <c r="W958" i="31"/>
  <c r="W959" i="31"/>
  <c r="W960" i="31"/>
  <c r="W961" i="31"/>
  <c r="W962" i="31"/>
  <c r="W963" i="31"/>
  <c r="W964" i="31"/>
  <c r="W965" i="31"/>
  <c r="W966" i="31"/>
  <c r="W967" i="31"/>
  <c r="W968" i="31"/>
  <c r="W969" i="31"/>
  <c r="W970" i="31"/>
  <c r="W971" i="31"/>
  <c r="W972" i="31"/>
  <c r="W973" i="31"/>
  <c r="W974" i="31"/>
  <c r="W975" i="31"/>
  <c r="W976" i="31"/>
  <c r="W977" i="31"/>
  <c r="W978" i="31"/>
  <c r="W979" i="31"/>
  <c r="W980" i="31"/>
  <c r="W981" i="31"/>
  <c r="W982" i="31"/>
  <c r="W983" i="31"/>
  <c r="W984" i="31"/>
  <c r="W985" i="31"/>
  <c r="W986" i="31"/>
  <c r="W987" i="31"/>
  <c r="W988" i="31"/>
  <c r="W989" i="31"/>
  <c r="W990" i="31"/>
  <c r="W991" i="31"/>
  <c r="W992" i="31"/>
  <c r="W993" i="31"/>
  <c r="W994" i="31"/>
  <c r="W995" i="31"/>
  <c r="W996" i="31"/>
  <c r="W997" i="31"/>
  <c r="W998" i="31"/>
  <c r="W999" i="31"/>
  <c r="W1000" i="31"/>
  <c r="W1001" i="31"/>
  <c r="W1002" i="31"/>
  <c r="W1003" i="31"/>
  <c r="W1004" i="31"/>
  <c r="W1005" i="31"/>
  <c r="W1006" i="31"/>
  <c r="W1007" i="31"/>
  <c r="W1008" i="31"/>
  <c r="W1009" i="31"/>
  <c r="W1010" i="31"/>
  <c r="W1011" i="31"/>
  <c r="W1012" i="31"/>
  <c r="W1013" i="31"/>
  <c r="W1014" i="31"/>
  <c r="W1015" i="31"/>
  <c r="W1016" i="31"/>
  <c r="W1017" i="31"/>
  <c r="W1018" i="31"/>
  <c r="W1019" i="31"/>
  <c r="W1020" i="31"/>
  <c r="W1021" i="31"/>
  <c r="W1022" i="31"/>
  <c r="W573" i="31"/>
  <c r="W589" i="31"/>
  <c r="W605" i="31"/>
  <c r="W757" i="31"/>
  <c r="W759" i="31"/>
  <c r="W761" i="31"/>
  <c r="W763" i="31"/>
  <c r="W765" i="31"/>
  <c r="W767" i="31"/>
  <c r="W769" i="31"/>
  <c r="W771" i="31"/>
  <c r="W773" i="31"/>
  <c r="W775" i="31"/>
  <c r="W777" i="31"/>
  <c r="W779" i="31"/>
  <c r="W781" i="31"/>
  <c r="W783" i="31"/>
  <c r="W785" i="31"/>
  <c r="W787" i="31"/>
  <c r="W789" i="31"/>
  <c r="W791" i="31"/>
  <c r="W793" i="31"/>
  <c r="W795" i="31"/>
  <c r="W797" i="31"/>
  <c r="W799" i="31"/>
  <c r="W801" i="31"/>
  <c r="W803" i="31"/>
  <c r="W805" i="31"/>
  <c r="W807" i="31"/>
  <c r="W809" i="31"/>
  <c r="W811" i="31"/>
  <c r="W814" i="31"/>
  <c r="W818" i="31"/>
  <c r="W822" i="31"/>
  <c r="W826" i="31"/>
  <c r="W597" i="31"/>
  <c r="W758" i="31"/>
  <c r="W766" i="31"/>
  <c r="W774" i="31"/>
  <c r="W782" i="31"/>
  <c r="W790" i="31"/>
  <c r="W798" i="31"/>
  <c r="W806" i="31"/>
  <c r="W824" i="31"/>
  <c r="W1063" i="31"/>
  <c r="W1067" i="31"/>
  <c r="W1071" i="31"/>
  <c r="W1075" i="31"/>
  <c r="W1079" i="31"/>
  <c r="W1083" i="31"/>
  <c r="W1087" i="31"/>
  <c r="W1091" i="31"/>
  <c r="W1095" i="31"/>
  <c r="W565" i="31"/>
  <c r="W762" i="31"/>
  <c r="W770" i="31"/>
  <c r="W778" i="31"/>
  <c r="W786" i="31"/>
  <c r="W794" i="31"/>
  <c r="W802" i="31"/>
  <c r="W810" i="31"/>
  <c r="W816" i="31"/>
  <c r="W1065" i="31"/>
  <c r="W1069" i="31"/>
  <c r="W1073" i="31"/>
  <c r="W1077" i="31"/>
  <c r="W1081" i="31"/>
  <c r="W1085" i="31"/>
  <c r="W1089" i="31"/>
  <c r="W1093" i="31"/>
  <c r="W764" i="31"/>
  <c r="W772" i="31"/>
  <c r="W780" i="31"/>
  <c r="W788" i="31"/>
  <c r="W796" i="31"/>
  <c r="W804" i="31"/>
  <c r="W812" i="31"/>
  <c r="W1023" i="31"/>
  <c r="W1025" i="31"/>
  <c r="W1027" i="31"/>
  <c r="W1029" i="31"/>
  <c r="W1031" i="31"/>
  <c r="W1033" i="31"/>
  <c r="W1035" i="31"/>
  <c r="W1037" i="31"/>
  <c r="W1039" i="31"/>
  <c r="W1041" i="31"/>
  <c r="W1043" i="31"/>
  <c r="W1045" i="31"/>
  <c r="W1047" i="31"/>
  <c r="W1049" i="31"/>
  <c r="W1051" i="31"/>
  <c r="W1053" i="31"/>
  <c r="W1055" i="31"/>
  <c r="W1057" i="31"/>
  <c r="W1059" i="31"/>
  <c r="W1061" i="31"/>
  <c r="W1064" i="31"/>
  <c r="W1068" i="31"/>
  <c r="W1072" i="31"/>
  <c r="W1076" i="31"/>
  <c r="W1080" i="31"/>
  <c r="W1084" i="31"/>
  <c r="W1088" i="31"/>
  <c r="W1092" i="31"/>
  <c r="W1096" i="31"/>
  <c r="W1097" i="31"/>
  <c r="W1098" i="31"/>
  <c r="W1099" i="31"/>
  <c r="W1100" i="31"/>
  <c r="W1101" i="31"/>
  <c r="W1102" i="31"/>
  <c r="W1103" i="31"/>
  <c r="W1104" i="31"/>
  <c r="W1105" i="31"/>
  <c r="W1106" i="31"/>
  <c r="W1107" i="31"/>
  <c r="W1108" i="31"/>
  <c r="W1109" i="31"/>
  <c r="W1110" i="31"/>
  <c r="W1111" i="31"/>
  <c r="W1112" i="31"/>
  <c r="W1113" i="31"/>
  <c r="W1114" i="31"/>
  <c r="W1115" i="31"/>
  <c r="W1116" i="31"/>
  <c r="W1117" i="31"/>
  <c r="W1118" i="31"/>
  <c r="W1119" i="31"/>
  <c r="W1120" i="31"/>
  <c r="W1121" i="31"/>
  <c r="W1122" i="31"/>
  <c r="W1123" i="31"/>
  <c r="W1124" i="31"/>
  <c r="W1125" i="31"/>
  <c r="W1126" i="31"/>
  <c r="W1127" i="31"/>
  <c r="W1128" i="31"/>
  <c r="W1129" i="31"/>
  <c r="W1130" i="31"/>
  <c r="W1131" i="31"/>
  <c r="W1132" i="31"/>
  <c r="W1133" i="31"/>
  <c r="W1134" i="31"/>
  <c r="W1135" i="31"/>
  <c r="W1136" i="31"/>
  <c r="W1137" i="31"/>
  <c r="W1138" i="31"/>
  <c r="W1139" i="31"/>
  <c r="W1140" i="31"/>
  <c r="W1141" i="31"/>
  <c r="W1142" i="31"/>
  <c r="W1143" i="31"/>
  <c r="W1144" i="31"/>
  <c r="W1145" i="31"/>
  <c r="W1146" i="31"/>
  <c r="W1147" i="31"/>
  <c r="W1148" i="31"/>
  <c r="W1149" i="31"/>
  <c r="W1150" i="31"/>
  <c r="W1151" i="31"/>
  <c r="W1152" i="31"/>
  <c r="W1153" i="31"/>
  <c r="W1154" i="31"/>
  <c r="W1155" i="31"/>
  <c r="W1156" i="31"/>
  <c r="W1157" i="31"/>
  <c r="W1158" i="31"/>
  <c r="W1159" i="31"/>
  <c r="W1160" i="31"/>
  <c r="W1161" i="31"/>
  <c r="W1162" i="31"/>
  <c r="W1163" i="31"/>
  <c r="W1164" i="31"/>
  <c r="W1165" i="31"/>
  <c r="W1166" i="31"/>
  <c r="W1167" i="31"/>
  <c r="W1168" i="31"/>
  <c r="W1169" i="31"/>
  <c r="W1170" i="31"/>
  <c r="W1171" i="31"/>
  <c r="W1172" i="31"/>
  <c r="W1173" i="31"/>
  <c r="W1174" i="31"/>
  <c r="W1175" i="31"/>
  <c r="W1176" i="31"/>
  <c r="W1177" i="31"/>
  <c r="W1178" i="31"/>
  <c r="W1179" i="31"/>
  <c r="W1180" i="31"/>
  <c r="W1181" i="31"/>
  <c r="W1182" i="31"/>
  <c r="W1183" i="31"/>
  <c r="W1184" i="31"/>
  <c r="W1185" i="31"/>
  <c r="W1186" i="31"/>
  <c r="W1187" i="31"/>
  <c r="W1188" i="31"/>
  <c r="W1189" i="31"/>
  <c r="W1190" i="31"/>
  <c r="W1191" i="31"/>
  <c r="W1192" i="31"/>
  <c r="W1193" i="31"/>
  <c r="W1194" i="31"/>
  <c r="W1195" i="31"/>
  <c r="W1196" i="31"/>
  <c r="W1197" i="31"/>
  <c r="W1198" i="31"/>
  <c r="W1199" i="31"/>
  <c r="W1200" i="31"/>
  <c r="W1201" i="31"/>
  <c r="W1202" i="31"/>
  <c r="W1203" i="31"/>
  <c r="W1204" i="31"/>
  <c r="W1205" i="31"/>
  <c r="W1206" i="31"/>
  <c r="W1207" i="31"/>
  <c r="W1208" i="31"/>
  <c r="W1209" i="31"/>
  <c r="W1210" i="31"/>
  <c r="W1211" i="31"/>
  <c r="W1212" i="31"/>
  <c r="W1213" i="31"/>
  <c r="W1214" i="31"/>
  <c r="W1215" i="31"/>
  <c r="W1216" i="31"/>
  <c r="W1217" i="31"/>
  <c r="W1218" i="31"/>
  <c r="W1219" i="31"/>
  <c r="W1220" i="31"/>
  <c r="W1221" i="31"/>
  <c r="W1222" i="31"/>
  <c r="W1223" i="31"/>
  <c r="W1224" i="31"/>
  <c r="W1225" i="31"/>
  <c r="W1226" i="31"/>
  <c r="W1227" i="31"/>
  <c r="W1228" i="31"/>
  <c r="W1229" i="31"/>
  <c r="W1230" i="31"/>
  <c r="W1231" i="31"/>
  <c r="W1232" i="31"/>
  <c r="W1233" i="31"/>
  <c r="W1234" i="31"/>
  <c r="W1235" i="31"/>
  <c r="W1236" i="31"/>
  <c r="W1237" i="31"/>
  <c r="W1238" i="31"/>
  <c r="W1239" i="31"/>
  <c r="W1240" i="31"/>
  <c r="W1241" i="31"/>
  <c r="W1242" i="31"/>
  <c r="W1243" i="31"/>
  <c r="W1244" i="31"/>
  <c r="W1245" i="31"/>
  <c r="W1246" i="31"/>
  <c r="W1247" i="31"/>
  <c r="W1248" i="31"/>
  <c r="W1249" i="31"/>
  <c r="W1250" i="31"/>
  <c r="W1251" i="31"/>
  <c r="W1252" i="31"/>
  <c r="W1253" i="31"/>
  <c r="W1254" i="31"/>
  <c r="W1255" i="31"/>
  <c r="W1256" i="31"/>
  <c r="W1257" i="31"/>
  <c r="W1258" i="31"/>
  <c r="W1259" i="31"/>
  <c r="W1260" i="31"/>
  <c r="W1261" i="31"/>
  <c r="W1262" i="31"/>
  <c r="W1263" i="31"/>
  <c r="W1264" i="31"/>
  <c r="W1265" i="31"/>
  <c r="W1266" i="31"/>
  <c r="W1267" i="31"/>
  <c r="W1268" i="31"/>
  <c r="W1269" i="31"/>
  <c r="W1270" i="31"/>
  <c r="W1271" i="31"/>
  <c r="W1272" i="31"/>
  <c r="W1273" i="31"/>
  <c r="W1274" i="31"/>
  <c r="W1275" i="31"/>
  <c r="W1276" i="31"/>
  <c r="W1277" i="31"/>
  <c r="W1278" i="31"/>
  <c r="W1279" i="31"/>
  <c r="W1280" i="31"/>
  <c r="W1281" i="31"/>
  <c r="W1282" i="31"/>
  <c r="W1283" i="31"/>
  <c r="W1284" i="31"/>
  <c r="W1285" i="31"/>
  <c r="W1286" i="31"/>
  <c r="W1287" i="31"/>
  <c r="W1288" i="31"/>
  <c r="W1289" i="31"/>
  <c r="W1290" i="31"/>
  <c r="W1291" i="31"/>
  <c r="W1292" i="31"/>
  <c r="W1293" i="31"/>
  <c r="W1294" i="31"/>
  <c r="W1295" i="31"/>
  <c r="W1296" i="31"/>
  <c r="W1297" i="31"/>
  <c r="W1298" i="31"/>
  <c r="W1299" i="31"/>
  <c r="W1300" i="31"/>
  <c r="W1301" i="31"/>
  <c r="W1302" i="31"/>
  <c r="W1303" i="31"/>
  <c r="W1304" i="31"/>
  <c r="W1305" i="31"/>
  <c r="W1306" i="31"/>
  <c r="W1307" i="31"/>
  <c r="W1308" i="31"/>
  <c r="W1309" i="31"/>
  <c r="W1310" i="31"/>
  <c r="W1311" i="31"/>
  <c r="W1312" i="31"/>
  <c r="W1313" i="31"/>
  <c r="W1314" i="31"/>
  <c r="W1315" i="31"/>
  <c r="W1316" i="31"/>
  <c r="W1317" i="31"/>
  <c r="W1318" i="31"/>
  <c r="W1319" i="31"/>
  <c r="W1320" i="31"/>
  <c r="W1321" i="31"/>
  <c r="W1322" i="31"/>
  <c r="W1323" i="31"/>
  <c r="W1324" i="31"/>
  <c r="W1325" i="31"/>
  <c r="W1326" i="31"/>
  <c r="W1327" i="31"/>
  <c r="W1328" i="31"/>
  <c r="W1329" i="31"/>
  <c r="W1330" i="31"/>
  <c r="W1331" i="31"/>
  <c r="W1332" i="31"/>
  <c r="W1333" i="31"/>
  <c r="W1334" i="31"/>
  <c r="W1335" i="31"/>
  <c r="W1336" i="31"/>
  <c r="W1337" i="31"/>
  <c r="W1338" i="31"/>
  <c r="W1339" i="31"/>
  <c r="W1340" i="31"/>
  <c r="W1341" i="31"/>
  <c r="W1342" i="31"/>
  <c r="W1343" i="31"/>
  <c r="W1344" i="31"/>
  <c r="W1345" i="31"/>
  <c r="W1346" i="31"/>
  <c r="W1347" i="31"/>
  <c r="W1348" i="31"/>
  <c r="W1349" i="31"/>
  <c r="W1350" i="31"/>
  <c r="W1351" i="31"/>
  <c r="W1352" i="31"/>
  <c r="W1353" i="31"/>
  <c r="W1354" i="31"/>
  <c r="W1355" i="31"/>
  <c r="W1356" i="31"/>
  <c r="W1357" i="31"/>
  <c r="W1358" i="31"/>
  <c r="W1359" i="31"/>
  <c r="W1360" i="31"/>
  <c r="W1361" i="31"/>
  <c r="W1362" i="31"/>
  <c r="W1363" i="31"/>
  <c r="W1364" i="31"/>
  <c r="W1365" i="31"/>
  <c r="W1366" i="31"/>
  <c r="W1367" i="31"/>
  <c r="W1368" i="31"/>
  <c r="W1369" i="31"/>
  <c r="W1370" i="31"/>
  <c r="W1371" i="31"/>
  <c r="W1372" i="31"/>
  <c r="W1373" i="31"/>
  <c r="W1374" i="31"/>
  <c r="W1375" i="31"/>
  <c r="W1376" i="31"/>
  <c r="W1377" i="31"/>
  <c r="W1378" i="31"/>
  <c r="W1379" i="31"/>
  <c r="W1380" i="31"/>
  <c r="W1381" i="31"/>
  <c r="W1382" i="31"/>
  <c r="W1383" i="31"/>
  <c r="W1384" i="31"/>
  <c r="W1385" i="31"/>
  <c r="W1386" i="31"/>
  <c r="W1387" i="31"/>
  <c r="W1388" i="31"/>
  <c r="W1389" i="31"/>
  <c r="W1390" i="31"/>
  <c r="W1391" i="31"/>
  <c r="W1392" i="31"/>
  <c r="W1393" i="31"/>
  <c r="W1394" i="31"/>
  <c r="W1395" i="31"/>
  <c r="W1396" i="31"/>
  <c r="W1397" i="31"/>
  <c r="W1398" i="31"/>
  <c r="W1399" i="31"/>
  <c r="W1400" i="31"/>
  <c r="W1401" i="31"/>
  <c r="W1402" i="31"/>
  <c r="W1403" i="31"/>
  <c r="W1404" i="31"/>
  <c r="W1405" i="31"/>
  <c r="W1406" i="31"/>
  <c r="W1407" i="31"/>
  <c r="W1408" i="31"/>
  <c r="W1409" i="31"/>
  <c r="W1410" i="31"/>
  <c r="W1411" i="31"/>
  <c r="W1412" i="31"/>
  <c r="W1413" i="31"/>
  <c r="W1414" i="31"/>
  <c r="W1415" i="31"/>
  <c r="W1416" i="31"/>
  <c r="W1417" i="31"/>
  <c r="W1418" i="31"/>
  <c r="W1419" i="31"/>
  <c r="W1420" i="31"/>
  <c r="W1421" i="31"/>
  <c r="W1422" i="31"/>
  <c r="W1423" i="31"/>
  <c r="W1424" i="31"/>
  <c r="W1425" i="31"/>
  <c r="W1426" i="31"/>
  <c r="W1427" i="31"/>
  <c r="W1428" i="31"/>
  <c r="W1429" i="31"/>
  <c r="W1430" i="31"/>
  <c r="W1431" i="31"/>
  <c r="W1432" i="31"/>
  <c r="W1433" i="31"/>
  <c r="W1434" i="31"/>
  <c r="W1435" i="31"/>
  <c r="W1436" i="31"/>
  <c r="W1437" i="31"/>
  <c r="W1438" i="31"/>
  <c r="W1439" i="31"/>
  <c r="W1440" i="31"/>
  <c r="W1441" i="31"/>
  <c r="W1442" i="31"/>
  <c r="W1443" i="31"/>
  <c r="W1444" i="31"/>
  <c r="W1445" i="31"/>
  <c r="W1446" i="31"/>
  <c r="W1447" i="31"/>
  <c r="W1448" i="31"/>
  <c r="W1449" i="31"/>
  <c r="W1450" i="31"/>
  <c r="W1451" i="31"/>
  <c r="W1452" i="31"/>
  <c r="W784" i="31"/>
  <c r="W1024" i="31"/>
  <c r="W1032" i="31"/>
  <c r="W1040" i="31"/>
  <c r="W1048" i="31"/>
  <c r="W1056" i="31"/>
  <c r="W1074" i="31"/>
  <c r="W1090" i="31"/>
  <c r="W581" i="31"/>
  <c r="W768" i="31"/>
  <c r="W800" i="31"/>
  <c r="W1028" i="31"/>
  <c r="W1036" i="31"/>
  <c r="W1044" i="31"/>
  <c r="W1052" i="31"/>
  <c r="W1060" i="31"/>
  <c r="W1066" i="31"/>
  <c r="W1082" i="31"/>
  <c r="W1454" i="31"/>
  <c r="W1455" i="31"/>
  <c r="W1456" i="31"/>
  <c r="W1457" i="31"/>
  <c r="W1458" i="31"/>
  <c r="W1459" i="31"/>
  <c r="W1460" i="31"/>
  <c r="W1461" i="31"/>
  <c r="W1462" i="31"/>
  <c r="W1463" i="31"/>
  <c r="W1464" i="31"/>
  <c r="W1465" i="31"/>
  <c r="W1466" i="31"/>
  <c r="W1467" i="31"/>
  <c r="W1468" i="31"/>
  <c r="W1469" i="31"/>
  <c r="W1470" i="31"/>
  <c r="W1471" i="31"/>
  <c r="W1472" i="31"/>
  <c r="W1473" i="31"/>
  <c r="W1474" i="31"/>
  <c r="W1475" i="31"/>
  <c r="W1476" i="31"/>
  <c r="W1477" i="31"/>
  <c r="W1478" i="31"/>
  <c r="W1479" i="31"/>
  <c r="W1480" i="31"/>
  <c r="W1481" i="31"/>
  <c r="W1482" i="31"/>
  <c r="W1483" i="31"/>
  <c r="W1484" i="31"/>
  <c r="W1485" i="31"/>
  <c r="W1486" i="31"/>
  <c r="W1487" i="31"/>
  <c r="W1488" i="31"/>
  <c r="W1489" i="31"/>
  <c r="W1490" i="31"/>
  <c r="W1491" i="31"/>
  <c r="W1492" i="31"/>
  <c r="W1493" i="31"/>
  <c r="W1494" i="31"/>
  <c r="W1495" i="31"/>
  <c r="W1496" i="31"/>
  <c r="W1497" i="31"/>
  <c r="W1498" i="31"/>
  <c r="W1499" i="31"/>
  <c r="W1500" i="31"/>
  <c r="W1501" i="31"/>
  <c r="W1502" i="31"/>
  <c r="W1503" i="31"/>
  <c r="W1504" i="31"/>
  <c r="W1505" i="31"/>
  <c r="W1506" i="31"/>
  <c r="W1507" i="31"/>
  <c r="W1508" i="31"/>
  <c r="W1509" i="31"/>
  <c r="W1510" i="31"/>
  <c r="W1511" i="31"/>
  <c r="W1512" i="31"/>
  <c r="W1513" i="31"/>
  <c r="W1514" i="31"/>
  <c r="W1515" i="31"/>
  <c r="W1516" i="31"/>
  <c r="W1517" i="31"/>
  <c r="W1518" i="31"/>
  <c r="W1519" i="31"/>
  <c r="W1520" i="31"/>
  <c r="W1521" i="31"/>
  <c r="W1522" i="31"/>
  <c r="W1523" i="31"/>
  <c r="W1524" i="31"/>
  <c r="W1525" i="31"/>
  <c r="W1526" i="31"/>
  <c r="W1527" i="31"/>
  <c r="W1528" i="31"/>
  <c r="W1529" i="31"/>
  <c r="W1530" i="31"/>
  <c r="W1531" i="31"/>
  <c r="W1532" i="31"/>
  <c r="W1533" i="31"/>
  <c r="W1534" i="31"/>
  <c r="W1535" i="31"/>
  <c r="W1536" i="31"/>
  <c r="W1537" i="31"/>
  <c r="W1538" i="31"/>
  <c r="W1539" i="31"/>
  <c r="W1540" i="31"/>
  <c r="W1541" i="31"/>
  <c r="W1542" i="31"/>
  <c r="W1543" i="31"/>
  <c r="W1544" i="31"/>
  <c r="W1545" i="31"/>
  <c r="W1546" i="31"/>
  <c r="W1547" i="31"/>
  <c r="W1548" i="31"/>
  <c r="W1549" i="31"/>
  <c r="W1550" i="31"/>
  <c r="W1551" i="31"/>
  <c r="W1552" i="31"/>
  <c r="W1553" i="31"/>
  <c r="W1554" i="31"/>
  <c r="W1555" i="31"/>
  <c r="W1556" i="31"/>
  <c r="W1557" i="31"/>
  <c r="W1558" i="31"/>
  <c r="W1559" i="31"/>
  <c r="W1560" i="31"/>
  <c r="W1561" i="31"/>
  <c r="W1562" i="31"/>
  <c r="W1563" i="31"/>
  <c r="W1564" i="31"/>
  <c r="W1565" i="31"/>
  <c r="W1566" i="31"/>
  <c r="W1567" i="31"/>
  <c r="W1568" i="31"/>
  <c r="W1569" i="31"/>
  <c r="W1570" i="31"/>
  <c r="W1571" i="31"/>
  <c r="W1572" i="31"/>
  <c r="W1573" i="31"/>
  <c r="W1574" i="31"/>
  <c r="W1575" i="31"/>
  <c r="W1576" i="31"/>
  <c r="W1577" i="31"/>
  <c r="W1578" i="31"/>
  <c r="W1579" i="31"/>
  <c r="W1580" i="31"/>
  <c r="W1581" i="31"/>
  <c r="W1582" i="31"/>
  <c r="W1583" i="31"/>
  <c r="W1584" i="31"/>
  <c r="W1585" i="31"/>
  <c r="W1586" i="31"/>
  <c r="W1587" i="31"/>
  <c r="W1588" i="31"/>
  <c r="W1589" i="31"/>
  <c r="W1590" i="31"/>
  <c r="W1591" i="31"/>
  <c r="W1592" i="31"/>
  <c r="W1593" i="31"/>
  <c r="W1594" i="31"/>
  <c r="W1595" i="31"/>
  <c r="W1596" i="31"/>
  <c r="W1597" i="31"/>
  <c r="W1598" i="31"/>
  <c r="W1599" i="31"/>
  <c r="W1600" i="31"/>
  <c r="W1601" i="31"/>
  <c r="W1602" i="31"/>
  <c r="W1603" i="31"/>
  <c r="W1604" i="31"/>
  <c r="W1605" i="31"/>
  <c r="W1606" i="31"/>
  <c r="W1607" i="31"/>
  <c r="W1608" i="31"/>
  <c r="W1609" i="31"/>
  <c r="W1610" i="31"/>
  <c r="W1611" i="31"/>
  <c r="W1612" i="31"/>
  <c r="W1613" i="31"/>
  <c r="W1614" i="31"/>
  <c r="W1615" i="31"/>
  <c r="W1616" i="31"/>
  <c r="W1617" i="31"/>
  <c r="W1618" i="31"/>
  <c r="W1619" i="31"/>
  <c r="W1620" i="31"/>
  <c r="W1621" i="31"/>
  <c r="W1622" i="31"/>
  <c r="W1623" i="31"/>
  <c r="W1624" i="31"/>
  <c r="W1625" i="31"/>
  <c r="W1626" i="31"/>
  <c r="W1627" i="31"/>
  <c r="W1628" i="31"/>
  <c r="W1629" i="31"/>
  <c r="W1630" i="31"/>
  <c r="W1631" i="31"/>
  <c r="W1632" i="31"/>
  <c r="W1633" i="31"/>
  <c r="W1634" i="31"/>
  <c r="W1635" i="31"/>
  <c r="W1636" i="31"/>
  <c r="W1637" i="31"/>
  <c r="W1638" i="31"/>
  <c r="W1639" i="31"/>
  <c r="W1640" i="31"/>
  <c r="W1641" i="31"/>
  <c r="W1642" i="31"/>
  <c r="W1643" i="31"/>
  <c r="W1644" i="31"/>
  <c r="W1645" i="31"/>
  <c r="W1646" i="31"/>
  <c r="W1647" i="31"/>
  <c r="W1648" i="31"/>
  <c r="W1649" i="31"/>
  <c r="W1650" i="31"/>
  <c r="W1651" i="31"/>
  <c r="W1652" i="31"/>
  <c r="W1653" i="31"/>
  <c r="W1654" i="31"/>
  <c r="W1655" i="31"/>
  <c r="W1656" i="31"/>
  <c r="W1657" i="31"/>
  <c r="W1658" i="31"/>
  <c r="W1659" i="31"/>
  <c r="W1660" i="31"/>
  <c r="W1661" i="31"/>
  <c r="W1662" i="31"/>
  <c r="W1663" i="31"/>
  <c r="W1664" i="31"/>
  <c r="W1665" i="31"/>
  <c r="W1666" i="31"/>
  <c r="W1667" i="31"/>
  <c r="W1668" i="31"/>
  <c r="W1669" i="31"/>
  <c r="W1670" i="31"/>
  <c r="W1671" i="31"/>
  <c r="W1672" i="31"/>
  <c r="W1673" i="31"/>
  <c r="W1674" i="31"/>
  <c r="W1675" i="31"/>
  <c r="W1676" i="31"/>
  <c r="W1677" i="31"/>
  <c r="W1678" i="31"/>
  <c r="W1679" i="31"/>
  <c r="W1680" i="31"/>
  <c r="W1681" i="31"/>
  <c r="W1682" i="31"/>
  <c r="W1683" i="31"/>
  <c r="W1684" i="31"/>
  <c r="W1685" i="31"/>
  <c r="W1686" i="31"/>
  <c r="W1687" i="31"/>
  <c r="W1688" i="31"/>
  <c r="W1689" i="31"/>
  <c r="W1690" i="31"/>
  <c r="W1691" i="31"/>
  <c r="W1692" i="31"/>
  <c r="W1693" i="31"/>
  <c r="W1694" i="31"/>
  <c r="W1695" i="31"/>
  <c r="W1696" i="31"/>
  <c r="W1697" i="31"/>
  <c r="W1698" i="31"/>
  <c r="W1699" i="31"/>
  <c r="W1700" i="31"/>
  <c r="W1701" i="31"/>
  <c r="W1702" i="31"/>
  <c r="W1703" i="31"/>
  <c r="W1704" i="31"/>
  <c r="W1705" i="31"/>
  <c r="W1706" i="31"/>
  <c r="W1707" i="31"/>
  <c r="W1708" i="31"/>
  <c r="W1709" i="31"/>
  <c r="W1710" i="31"/>
  <c r="W1711" i="31"/>
  <c r="W1712" i="31"/>
  <c r="W1713" i="31"/>
  <c r="W1714" i="31"/>
  <c r="W1715" i="31"/>
  <c r="W1716" i="31"/>
  <c r="W1717" i="31"/>
  <c r="W1718" i="31"/>
  <c r="W1719" i="31"/>
  <c r="W1720" i="31"/>
  <c r="W1721" i="31"/>
  <c r="W1722" i="31"/>
  <c r="W1723" i="31"/>
  <c r="W1724" i="31"/>
  <c r="W1725" i="31"/>
  <c r="W1726" i="31"/>
  <c r="W1727" i="31"/>
  <c r="W1728" i="31"/>
  <c r="W1729" i="31"/>
  <c r="W1730" i="31"/>
  <c r="W1731" i="31"/>
  <c r="W1732" i="31"/>
  <c r="W1733" i="31"/>
  <c r="W1734" i="31"/>
  <c r="W1735" i="31"/>
  <c r="W1736" i="31"/>
  <c r="W1737" i="31"/>
  <c r="W1738" i="31"/>
  <c r="W1739" i="31"/>
  <c r="W1740" i="31"/>
  <c r="W1741" i="31"/>
  <c r="W2" i="31"/>
  <c r="W760" i="31"/>
  <c r="W792" i="31"/>
  <c r="W820" i="31"/>
  <c r="W1034" i="31"/>
  <c r="W1042" i="31"/>
  <c r="W1050" i="31"/>
  <c r="W1058" i="31"/>
  <c r="W776" i="31"/>
  <c r="W808" i="31"/>
  <c r="W1030" i="31"/>
  <c r="W1038" i="31"/>
  <c r="W1046" i="31"/>
  <c r="W1054" i="31"/>
  <c r="W1062" i="31"/>
  <c r="W1078" i="31"/>
  <c r="W1094" i="31"/>
  <c r="W1453" i="31"/>
  <c r="W1026" i="31"/>
  <c r="W1070" i="31"/>
  <c r="W1086" i="31"/>
  <c r="U3" i="31"/>
  <c r="U4" i="31"/>
  <c r="U5" i="31"/>
  <c r="U6" i="31"/>
  <c r="U7" i="31"/>
  <c r="U8" i="31"/>
  <c r="U9" i="31"/>
  <c r="U10" i="31"/>
  <c r="U11" i="31"/>
  <c r="U12" i="31"/>
  <c r="U13" i="31"/>
  <c r="U14" i="31"/>
  <c r="U15" i="31"/>
  <c r="U16" i="31"/>
  <c r="U17" i="31"/>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81" i="31"/>
  <c r="U86" i="31"/>
  <c r="U91" i="31"/>
  <c r="U95" i="31"/>
  <c r="U99" i="31"/>
  <c r="U103" i="31"/>
  <c r="U107" i="31"/>
  <c r="U111" i="31"/>
  <c r="U115" i="31"/>
  <c r="U119" i="31"/>
  <c r="U123" i="31"/>
  <c r="U127" i="31"/>
  <c r="U131" i="31"/>
  <c r="U135" i="31"/>
  <c r="U139" i="31"/>
  <c r="U143" i="31"/>
  <c r="U147" i="31"/>
  <c r="U79" i="31"/>
  <c r="U84" i="31"/>
  <c r="U87" i="31"/>
  <c r="U90" i="31"/>
  <c r="U94" i="31"/>
  <c r="U98" i="31"/>
  <c r="U102" i="31"/>
  <c r="U106" i="31"/>
  <c r="U110" i="31"/>
  <c r="U80" i="31"/>
  <c r="U83" i="31"/>
  <c r="U88" i="31"/>
  <c r="U92" i="31"/>
  <c r="U96" i="31"/>
  <c r="U100" i="31"/>
  <c r="U104" i="31"/>
  <c r="U108" i="31"/>
  <c r="U112" i="31"/>
  <c r="U85" i="31"/>
  <c r="U97" i="31"/>
  <c r="U113" i="31"/>
  <c r="U117" i="31"/>
  <c r="U124" i="31"/>
  <c r="U126" i="31"/>
  <c r="U133" i="31"/>
  <c r="U140" i="31"/>
  <c r="U142" i="31"/>
  <c r="U149" i="31"/>
  <c r="U153" i="31"/>
  <c r="U157" i="31"/>
  <c r="U161" i="31"/>
  <c r="U165" i="31"/>
  <c r="U169" i="31"/>
  <c r="U173" i="31"/>
  <c r="U177" i="31"/>
  <c r="U181" i="31"/>
  <c r="U185" i="31"/>
  <c r="U189" i="31"/>
  <c r="U193" i="31"/>
  <c r="U197" i="31"/>
  <c r="U201" i="31"/>
  <c r="U205" i="31"/>
  <c r="U209" i="31"/>
  <c r="U213" i="31"/>
  <c r="U217" i="31"/>
  <c r="U221" i="31"/>
  <c r="U93" i="31"/>
  <c r="U109" i="31"/>
  <c r="U114" i="31"/>
  <c r="U121" i="31"/>
  <c r="U128" i="31"/>
  <c r="U130" i="31"/>
  <c r="U137" i="31"/>
  <c r="U144" i="31"/>
  <c r="U146" i="31"/>
  <c r="U152" i="31"/>
  <c r="U156" i="31"/>
  <c r="U160" i="31"/>
  <c r="U164" i="31"/>
  <c r="U168" i="31"/>
  <c r="U172" i="31"/>
  <c r="U176" i="31"/>
  <c r="U180" i="31"/>
  <c r="U184" i="31"/>
  <c r="U188" i="31"/>
  <c r="U192" i="31"/>
  <c r="U196" i="31"/>
  <c r="U200" i="31"/>
  <c r="U204" i="31"/>
  <c r="U208" i="31"/>
  <c r="U212" i="31"/>
  <c r="U216" i="31"/>
  <c r="U220" i="31"/>
  <c r="U224" i="31"/>
  <c r="U228" i="31"/>
  <c r="U89" i="31"/>
  <c r="U105" i="31"/>
  <c r="U116" i="31"/>
  <c r="U118" i="31"/>
  <c r="U125" i="31"/>
  <c r="U132" i="31"/>
  <c r="U134" i="31"/>
  <c r="U141" i="31"/>
  <c r="U148" i="31"/>
  <c r="U151" i="31"/>
  <c r="U155" i="31"/>
  <c r="U159" i="31"/>
  <c r="U163" i="31"/>
  <c r="U167" i="31"/>
  <c r="U171" i="31"/>
  <c r="U175" i="31"/>
  <c r="U179" i="31"/>
  <c r="U183" i="31"/>
  <c r="U187" i="31"/>
  <c r="U191" i="31"/>
  <c r="U195" i="31"/>
  <c r="U199" i="31"/>
  <c r="U203" i="31"/>
  <c r="U207" i="31"/>
  <c r="U211" i="31"/>
  <c r="U82" i="31"/>
  <c r="U101" i="31"/>
  <c r="U120" i="31"/>
  <c r="U122" i="31"/>
  <c r="U129" i="31"/>
  <c r="U136" i="31"/>
  <c r="U138" i="31"/>
  <c r="U145" i="31"/>
  <c r="U150" i="31"/>
  <c r="U154" i="31"/>
  <c r="U158" i="31"/>
  <c r="U162" i="31"/>
  <c r="U166" i="31"/>
  <c r="U170" i="31"/>
  <c r="U174" i="31"/>
  <c r="U178" i="31"/>
  <c r="U182" i="31"/>
  <c r="U186" i="31"/>
  <c r="U190" i="31"/>
  <c r="U194" i="31"/>
  <c r="U198" i="31"/>
  <c r="U202" i="31"/>
  <c r="U206" i="31"/>
  <c r="U210" i="31"/>
  <c r="U214" i="31"/>
  <c r="U218" i="31"/>
  <c r="U222" i="31"/>
  <c r="U215" i="31"/>
  <c r="U225" i="31"/>
  <c r="U227" i="31"/>
  <c r="U230" i="31"/>
  <c r="U234" i="31"/>
  <c r="U238" i="31"/>
  <c r="U242" i="31"/>
  <c r="U246" i="31"/>
  <c r="U250" i="31"/>
  <c r="U254" i="31"/>
  <c r="U229" i="31"/>
  <c r="U233" i="31"/>
  <c r="U237" i="31"/>
  <c r="U241" i="31"/>
  <c r="U245" i="31"/>
  <c r="U249" i="31"/>
  <c r="U253" i="31"/>
  <c r="U223" i="31"/>
  <c r="U226" i="31"/>
  <c r="U232" i="31"/>
  <c r="U236" i="31"/>
  <c r="U240" i="31"/>
  <c r="U244" i="31"/>
  <c r="U248" i="31"/>
  <c r="U252" i="31"/>
  <c r="U219" i="31"/>
  <c r="U235" i="31"/>
  <c r="U251" i="31"/>
  <c r="U256" i="31"/>
  <c r="U260" i="31"/>
  <c r="U264" i="31"/>
  <c r="U268" i="31"/>
  <c r="U272" i="31"/>
  <c r="U276" i="31"/>
  <c r="U280" i="31"/>
  <c r="U284" i="31"/>
  <c r="U288" i="31"/>
  <c r="U292" i="31"/>
  <c r="U296" i="31"/>
  <c r="U300" i="31"/>
  <c r="U304" i="31"/>
  <c r="U308" i="31"/>
  <c r="U312" i="31"/>
  <c r="U316" i="31"/>
  <c r="U318" i="31"/>
  <c r="U320" i="31"/>
  <c r="U322" i="31"/>
  <c r="U324" i="31"/>
  <c r="U326" i="31"/>
  <c r="U328" i="31"/>
  <c r="U330" i="31"/>
  <c r="U332" i="31"/>
  <c r="U333" i="31"/>
  <c r="U334" i="31"/>
  <c r="U335" i="31"/>
  <c r="U336" i="31"/>
  <c r="U337" i="31"/>
  <c r="U338" i="31"/>
  <c r="U339" i="31"/>
  <c r="U340" i="31"/>
  <c r="U341" i="31"/>
  <c r="U342" i="31"/>
  <c r="U343" i="31"/>
  <c r="U344" i="31"/>
  <c r="U345" i="31"/>
  <c r="U346" i="31"/>
  <c r="U347" i="31"/>
  <c r="U348" i="31"/>
  <c r="U349" i="31"/>
  <c r="U350" i="31"/>
  <c r="U351" i="31"/>
  <c r="U352" i="31"/>
  <c r="U353" i="31"/>
  <c r="U354" i="31"/>
  <c r="U355" i="31"/>
  <c r="U356" i="3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384" i="31"/>
  <c r="U385" i="31"/>
  <c r="U386" i="31"/>
  <c r="U387" i="31"/>
  <c r="U388" i="31"/>
  <c r="U389" i="31"/>
  <c r="U390" i="31"/>
  <c r="U391" i="31"/>
  <c r="U392" i="31"/>
  <c r="U393" i="31"/>
  <c r="U394" i="31"/>
  <c r="U395" i="31"/>
  <c r="U396" i="31"/>
  <c r="U397" i="31"/>
  <c r="U398" i="31"/>
  <c r="U399" i="31"/>
  <c r="U400" i="31"/>
  <c r="U401" i="31"/>
  <c r="U402" i="31"/>
  <c r="U403" i="31"/>
  <c r="U404" i="31"/>
  <c r="U405" i="31"/>
  <c r="U406" i="31"/>
  <c r="U407" i="31"/>
  <c r="U408" i="31"/>
  <c r="U409" i="31"/>
  <c r="U410" i="31"/>
  <c r="U411" i="31"/>
  <c r="U412" i="31"/>
  <c r="U413" i="31"/>
  <c r="U414" i="31"/>
  <c r="U415" i="31"/>
  <c r="U416" i="31"/>
  <c r="U417" i="31"/>
  <c r="U418" i="31"/>
  <c r="U419" i="31"/>
  <c r="U420" i="31"/>
  <c r="U421" i="31"/>
  <c r="U422" i="31"/>
  <c r="U423" i="31"/>
  <c r="U424" i="31"/>
  <c r="U425" i="31"/>
  <c r="U426" i="31"/>
  <c r="U427" i="31"/>
  <c r="U428" i="31"/>
  <c r="U429" i="31"/>
  <c r="U430" i="31"/>
  <c r="U431" i="31"/>
  <c r="U432" i="31"/>
  <c r="U433" i="31"/>
  <c r="U434" i="31"/>
  <c r="U435" i="31"/>
  <c r="U436" i="31"/>
  <c r="U437" i="31"/>
  <c r="U438" i="31"/>
  <c r="U439" i="31"/>
  <c r="U440" i="31"/>
  <c r="U441" i="31"/>
  <c r="U442" i="31"/>
  <c r="U443" i="31"/>
  <c r="U444" i="31"/>
  <c r="U445" i="31"/>
  <c r="U446" i="31"/>
  <c r="U447" i="31"/>
  <c r="U448" i="31"/>
  <c r="U449" i="31"/>
  <c r="U450" i="31"/>
  <c r="U451" i="31"/>
  <c r="U452" i="31"/>
  <c r="U453" i="31"/>
  <c r="U454" i="31"/>
  <c r="U455" i="31"/>
  <c r="U456" i="31"/>
  <c r="U457" i="31"/>
  <c r="U458" i="31"/>
  <c r="U459" i="31"/>
  <c r="U460" i="31"/>
  <c r="U461" i="31"/>
  <c r="U462" i="31"/>
  <c r="U463" i="31"/>
  <c r="U464" i="31"/>
  <c r="U465" i="31"/>
  <c r="U466" i="31"/>
  <c r="U467" i="31"/>
  <c r="U468" i="31"/>
  <c r="U469" i="31"/>
  <c r="U470" i="31"/>
  <c r="U471" i="31"/>
  <c r="U472" i="31"/>
  <c r="U473" i="31"/>
  <c r="U243" i="31"/>
  <c r="U258" i="31"/>
  <c r="U262" i="31"/>
  <c r="U266" i="31"/>
  <c r="U270" i="31"/>
  <c r="U274" i="31"/>
  <c r="U278" i="31"/>
  <c r="U282" i="31"/>
  <c r="U286" i="31"/>
  <c r="U290" i="31"/>
  <c r="U294" i="31"/>
  <c r="U298" i="31"/>
  <c r="U302" i="31"/>
  <c r="U306" i="31"/>
  <c r="U310" i="31"/>
  <c r="U314" i="31"/>
  <c r="U317" i="31"/>
  <c r="U319" i="31"/>
  <c r="U321" i="31"/>
  <c r="U323" i="31"/>
  <c r="U325" i="31"/>
  <c r="U327" i="31"/>
  <c r="U329" i="31"/>
  <c r="U331" i="31"/>
  <c r="U239" i="31"/>
  <c r="U255" i="31"/>
  <c r="U247" i="31"/>
  <c r="U261" i="31"/>
  <c r="U269" i="31"/>
  <c r="U277" i="31"/>
  <c r="U285" i="31"/>
  <c r="U293" i="31"/>
  <c r="U301" i="31"/>
  <c r="U309" i="31"/>
  <c r="U259" i="31"/>
  <c r="U267" i="31"/>
  <c r="U275" i="31"/>
  <c r="U283" i="31"/>
  <c r="U291" i="31"/>
  <c r="U299" i="31"/>
  <c r="U307" i="31"/>
  <c r="U315" i="31"/>
  <c r="U231" i="31"/>
  <c r="U263" i="31"/>
  <c r="U279" i="31"/>
  <c r="U295" i="31"/>
  <c r="U311" i="31"/>
  <c r="U474" i="31"/>
  <c r="U476" i="31"/>
  <c r="U478" i="31"/>
  <c r="U480" i="31"/>
  <c r="U482" i="31"/>
  <c r="U484" i="31"/>
  <c r="U486" i="31"/>
  <c r="U488" i="31"/>
  <c r="U490" i="31"/>
  <c r="U492" i="31"/>
  <c r="U494" i="31"/>
  <c r="U496" i="31"/>
  <c r="U498" i="31"/>
  <c r="U500" i="31"/>
  <c r="U502" i="31"/>
  <c r="U504" i="31"/>
  <c r="U506" i="31"/>
  <c r="U508" i="31"/>
  <c r="U510" i="31"/>
  <c r="U512" i="31"/>
  <c r="U514" i="31"/>
  <c r="U516" i="31"/>
  <c r="U518" i="31"/>
  <c r="U520" i="31"/>
  <c r="U522" i="31"/>
  <c r="U524" i="31"/>
  <c r="U526" i="31"/>
  <c r="U528" i="31"/>
  <c r="U530" i="31"/>
  <c r="U532" i="31"/>
  <c r="U534" i="31"/>
  <c r="U536" i="31"/>
  <c r="U538" i="31"/>
  <c r="U540" i="31"/>
  <c r="U542" i="31"/>
  <c r="U544" i="31"/>
  <c r="U546" i="31"/>
  <c r="U548" i="31"/>
  <c r="U550" i="31"/>
  <c r="U552" i="31"/>
  <c r="U554" i="31"/>
  <c r="U556" i="31"/>
  <c r="U558" i="31"/>
  <c r="U560" i="31"/>
  <c r="U564" i="31"/>
  <c r="U568" i="31"/>
  <c r="U572" i="31"/>
  <c r="U576" i="31"/>
  <c r="U580" i="31"/>
  <c r="U584" i="31"/>
  <c r="U588" i="31"/>
  <c r="U592" i="31"/>
  <c r="U596" i="31"/>
  <c r="U600" i="31"/>
  <c r="U604" i="31"/>
  <c r="U608" i="31"/>
  <c r="U609" i="31"/>
  <c r="U610" i="31"/>
  <c r="U611" i="31"/>
  <c r="U612" i="31"/>
  <c r="U613" i="31"/>
  <c r="U614" i="31"/>
  <c r="U615" i="31"/>
  <c r="U616" i="31"/>
  <c r="U617" i="31"/>
  <c r="U618" i="31"/>
  <c r="U619" i="31"/>
  <c r="U620" i="31"/>
  <c r="U621" i="31"/>
  <c r="U622" i="31"/>
  <c r="U623" i="31"/>
  <c r="U624" i="31"/>
  <c r="U625" i="31"/>
  <c r="U626" i="31"/>
  <c r="U627" i="31"/>
  <c r="U628" i="31"/>
  <c r="U629" i="31"/>
  <c r="U630" i="31"/>
  <c r="U631" i="31"/>
  <c r="U632" i="31"/>
  <c r="U633" i="31"/>
  <c r="U634" i="31"/>
  <c r="U635" i="31"/>
  <c r="U636" i="31"/>
  <c r="U637" i="31"/>
  <c r="U638" i="31"/>
  <c r="U639" i="31"/>
  <c r="U640" i="31"/>
  <c r="U641" i="31"/>
  <c r="U642" i="31"/>
  <c r="U643" i="31"/>
  <c r="U644" i="31"/>
  <c r="U645" i="31"/>
  <c r="U646" i="31"/>
  <c r="U647" i="31"/>
  <c r="U648" i="31"/>
  <c r="U649" i="31"/>
  <c r="U650" i="31"/>
  <c r="U651" i="31"/>
  <c r="U652" i="31"/>
  <c r="U653" i="31"/>
  <c r="U654" i="31"/>
  <c r="U655" i="31"/>
  <c r="U656" i="31"/>
  <c r="U657" i="31"/>
  <c r="U658" i="31"/>
  <c r="U659" i="31"/>
  <c r="U660" i="31"/>
  <c r="U661" i="31"/>
  <c r="U662" i="31"/>
  <c r="U663" i="31"/>
  <c r="U664" i="31"/>
  <c r="U665" i="31"/>
  <c r="U666" i="31"/>
  <c r="U667" i="31"/>
  <c r="U668" i="31"/>
  <c r="U669" i="31"/>
  <c r="U670" i="31"/>
  <c r="U671" i="31"/>
  <c r="U672" i="31"/>
  <c r="U673" i="31"/>
  <c r="U674" i="31"/>
  <c r="U675" i="31"/>
  <c r="U676" i="31"/>
  <c r="U677" i="31"/>
  <c r="U678" i="31"/>
  <c r="U679" i="31"/>
  <c r="U680" i="31"/>
  <c r="U681" i="31"/>
  <c r="U682" i="31"/>
  <c r="U683" i="31"/>
  <c r="U684" i="31"/>
  <c r="U685" i="31"/>
  <c r="U686" i="31"/>
  <c r="U687" i="31"/>
  <c r="U688" i="31"/>
  <c r="U689" i="31"/>
  <c r="U690" i="31"/>
  <c r="U691" i="31"/>
  <c r="U692" i="31"/>
  <c r="U693" i="31"/>
  <c r="U694" i="31"/>
  <c r="U695" i="31"/>
  <c r="U696" i="31"/>
  <c r="U697" i="31"/>
  <c r="U698" i="31"/>
  <c r="U699" i="31"/>
  <c r="U700" i="31"/>
  <c r="U701" i="31"/>
  <c r="U702" i="31"/>
  <c r="U703" i="31"/>
  <c r="U704" i="31"/>
  <c r="U705" i="31"/>
  <c r="U706" i="31"/>
  <c r="U707" i="31"/>
  <c r="U708" i="31"/>
  <c r="U709" i="31"/>
  <c r="U710" i="31"/>
  <c r="U711" i="31"/>
  <c r="U712" i="31"/>
  <c r="U713" i="31"/>
  <c r="U714" i="31"/>
  <c r="U715" i="31"/>
  <c r="U716" i="31"/>
  <c r="U717" i="31"/>
  <c r="U718" i="31"/>
  <c r="U719" i="31"/>
  <c r="U720" i="31"/>
  <c r="U721" i="31"/>
  <c r="U722" i="31"/>
  <c r="U723" i="31"/>
  <c r="U724" i="31"/>
  <c r="U725" i="31"/>
  <c r="U726" i="31"/>
  <c r="U727" i="31"/>
  <c r="U728" i="31"/>
  <c r="U729" i="31"/>
  <c r="U730" i="31"/>
  <c r="U731" i="31"/>
  <c r="U732" i="31"/>
  <c r="U733" i="31"/>
  <c r="U734" i="31"/>
  <c r="U735" i="31"/>
  <c r="U736" i="31"/>
  <c r="U737" i="31"/>
  <c r="U738" i="31"/>
  <c r="U739" i="31"/>
  <c r="U740" i="31"/>
  <c r="U741" i="31"/>
  <c r="U742" i="31"/>
  <c r="U743" i="31"/>
  <c r="U744" i="31"/>
  <c r="U745" i="31"/>
  <c r="U746" i="31"/>
  <c r="U747" i="31"/>
  <c r="U748" i="31"/>
  <c r="U749" i="31"/>
  <c r="U750" i="31"/>
  <c r="U751" i="31"/>
  <c r="U752" i="31"/>
  <c r="U753" i="31"/>
  <c r="U754" i="31"/>
  <c r="U755" i="31"/>
  <c r="U756" i="31"/>
  <c r="U757" i="31"/>
  <c r="U758" i="31"/>
  <c r="U759" i="31"/>
  <c r="U760" i="31"/>
  <c r="U761" i="31"/>
  <c r="U762" i="31"/>
  <c r="U763" i="31"/>
  <c r="U764" i="31"/>
  <c r="U765" i="31"/>
  <c r="U766" i="31"/>
  <c r="U767" i="31"/>
  <c r="U768" i="31"/>
  <c r="U769" i="31"/>
  <c r="U770" i="31"/>
  <c r="U771" i="31"/>
  <c r="U772" i="31"/>
  <c r="U773" i="31"/>
  <c r="U774" i="31"/>
  <c r="U775" i="31"/>
  <c r="U776" i="31"/>
  <c r="U777" i="31"/>
  <c r="U778" i="31"/>
  <c r="U779" i="31"/>
  <c r="U780" i="31"/>
  <c r="U781" i="31"/>
  <c r="U782" i="31"/>
  <c r="U783" i="31"/>
  <c r="U784" i="31"/>
  <c r="U785" i="31"/>
  <c r="U786" i="31"/>
  <c r="U787" i="31"/>
  <c r="U788" i="31"/>
  <c r="U789" i="31"/>
  <c r="U790" i="31"/>
  <c r="U791" i="31"/>
  <c r="U792" i="31"/>
  <c r="U793" i="31"/>
  <c r="U794" i="31"/>
  <c r="U795" i="31"/>
  <c r="U796" i="31"/>
  <c r="U797" i="31"/>
  <c r="U798" i="31"/>
  <c r="U799" i="31"/>
  <c r="U800" i="31"/>
  <c r="U801" i="31"/>
  <c r="U802" i="31"/>
  <c r="U803" i="31"/>
  <c r="U804" i="31"/>
  <c r="U805" i="31"/>
  <c r="U806" i="31"/>
  <c r="U807" i="31"/>
  <c r="U808" i="31"/>
  <c r="U809" i="31"/>
  <c r="U810" i="31"/>
  <c r="U811" i="31"/>
  <c r="U812" i="31"/>
  <c r="U813" i="31"/>
  <c r="U814" i="31"/>
  <c r="U815" i="31"/>
  <c r="U816" i="31"/>
  <c r="U817" i="31"/>
  <c r="U818" i="31"/>
  <c r="U819" i="31"/>
  <c r="U820" i="31"/>
  <c r="U821" i="31"/>
  <c r="U822" i="31"/>
  <c r="U823" i="31"/>
  <c r="U824" i="31"/>
  <c r="U825" i="31"/>
  <c r="U826" i="31"/>
  <c r="U827" i="31"/>
  <c r="U271" i="31"/>
  <c r="U287" i="31"/>
  <c r="U303" i="31"/>
  <c r="U475" i="31"/>
  <c r="U477" i="31"/>
  <c r="U479" i="31"/>
  <c r="U481" i="31"/>
  <c r="U483" i="31"/>
  <c r="U485" i="31"/>
  <c r="U487" i="31"/>
  <c r="U489" i="31"/>
  <c r="U491" i="31"/>
  <c r="U493" i="31"/>
  <c r="U495" i="31"/>
  <c r="U497" i="31"/>
  <c r="U499" i="31"/>
  <c r="U501" i="31"/>
  <c r="U503" i="31"/>
  <c r="U505" i="31"/>
  <c r="U507" i="31"/>
  <c r="U509" i="31"/>
  <c r="U511" i="31"/>
  <c r="U513" i="31"/>
  <c r="U515" i="31"/>
  <c r="U517" i="31"/>
  <c r="U519" i="31"/>
  <c r="U521" i="31"/>
  <c r="U523" i="31"/>
  <c r="U525" i="31"/>
  <c r="U527" i="31"/>
  <c r="U529" i="31"/>
  <c r="U531" i="31"/>
  <c r="U533" i="31"/>
  <c r="U535" i="31"/>
  <c r="U537" i="31"/>
  <c r="U539" i="31"/>
  <c r="U541" i="31"/>
  <c r="U543" i="31"/>
  <c r="U545" i="31"/>
  <c r="U547" i="31"/>
  <c r="U549" i="31"/>
  <c r="U551" i="31"/>
  <c r="U553" i="31"/>
  <c r="U555" i="31"/>
  <c r="U557" i="31"/>
  <c r="U559" i="31"/>
  <c r="U562" i="31"/>
  <c r="U566" i="31"/>
  <c r="U570" i="31"/>
  <c r="U574" i="31"/>
  <c r="U578" i="31"/>
  <c r="U582" i="31"/>
  <c r="U586" i="31"/>
  <c r="U590" i="31"/>
  <c r="U594" i="31"/>
  <c r="U598" i="31"/>
  <c r="U602" i="31"/>
  <c r="U606" i="31"/>
  <c r="U257" i="31"/>
  <c r="U273" i="31"/>
  <c r="U289" i="31"/>
  <c r="U305" i="31"/>
  <c r="U561" i="31"/>
  <c r="U565" i="31"/>
  <c r="U569" i="31"/>
  <c r="U573" i="31"/>
  <c r="U577" i="31"/>
  <c r="U581" i="31"/>
  <c r="U585" i="31"/>
  <c r="U589" i="31"/>
  <c r="U593" i="31"/>
  <c r="U597" i="31"/>
  <c r="U601" i="31"/>
  <c r="U605" i="31"/>
  <c r="U313" i="31"/>
  <c r="U575" i="31"/>
  <c r="U591" i="31"/>
  <c r="U607" i="31"/>
  <c r="U828" i="31"/>
  <c r="U829" i="31"/>
  <c r="U830" i="31"/>
  <c r="U831" i="31"/>
  <c r="U832" i="31"/>
  <c r="U833" i="31"/>
  <c r="U834" i="31"/>
  <c r="U835" i="31"/>
  <c r="U836" i="31"/>
  <c r="U837" i="31"/>
  <c r="U838" i="31"/>
  <c r="U839" i="31"/>
  <c r="U840" i="31"/>
  <c r="U841" i="31"/>
  <c r="U842" i="31"/>
  <c r="U843" i="31"/>
  <c r="U844" i="31"/>
  <c r="U845" i="31"/>
  <c r="U846" i="31"/>
  <c r="U847" i="31"/>
  <c r="U848" i="31"/>
  <c r="U849" i="31"/>
  <c r="U850" i="31"/>
  <c r="U851" i="31"/>
  <c r="U852" i="31"/>
  <c r="U853" i="31"/>
  <c r="U854" i="31"/>
  <c r="U855" i="31"/>
  <c r="U856" i="31"/>
  <c r="U857" i="31"/>
  <c r="U858" i="31"/>
  <c r="U859" i="31"/>
  <c r="U860" i="31"/>
  <c r="U861" i="31"/>
  <c r="U862" i="31"/>
  <c r="U863" i="31"/>
  <c r="U864" i="31"/>
  <c r="U865" i="31"/>
  <c r="U866" i="31"/>
  <c r="U867" i="31"/>
  <c r="U868" i="31"/>
  <c r="U869" i="31"/>
  <c r="U870" i="31"/>
  <c r="U871" i="31"/>
  <c r="U872" i="31"/>
  <c r="U873" i="31"/>
  <c r="U874" i="31"/>
  <c r="U875" i="31"/>
  <c r="U876" i="31"/>
  <c r="U877" i="31"/>
  <c r="U878" i="31"/>
  <c r="U879" i="31"/>
  <c r="U880" i="31"/>
  <c r="U881" i="31"/>
  <c r="U882" i="31"/>
  <c r="U883" i="31"/>
  <c r="U884" i="31"/>
  <c r="U885" i="31"/>
  <c r="U886" i="31"/>
  <c r="U887" i="31"/>
  <c r="U888" i="31"/>
  <c r="U889" i="31"/>
  <c r="U890" i="31"/>
  <c r="U891" i="31"/>
  <c r="U892" i="31"/>
  <c r="U893" i="31"/>
  <c r="U894" i="31"/>
  <c r="U895" i="31"/>
  <c r="U896" i="31"/>
  <c r="U897" i="31"/>
  <c r="U898" i="31"/>
  <c r="U899" i="31"/>
  <c r="U900" i="31"/>
  <c r="U901" i="31"/>
  <c r="U902" i="31"/>
  <c r="U903" i="31"/>
  <c r="U904" i="31"/>
  <c r="U905" i="31"/>
  <c r="U906" i="31"/>
  <c r="U907" i="31"/>
  <c r="U908" i="31"/>
  <c r="U909" i="31"/>
  <c r="U910" i="31"/>
  <c r="U911" i="31"/>
  <c r="U912" i="31"/>
  <c r="U913" i="31"/>
  <c r="U914" i="31"/>
  <c r="U915" i="31"/>
  <c r="U916" i="31"/>
  <c r="U917" i="31"/>
  <c r="U918" i="31"/>
  <c r="U919" i="31"/>
  <c r="U920" i="31"/>
  <c r="U921" i="31"/>
  <c r="U922" i="31"/>
  <c r="U923" i="31"/>
  <c r="U924" i="31"/>
  <c r="U925" i="31"/>
  <c r="U926" i="31"/>
  <c r="U927" i="31"/>
  <c r="U928" i="31"/>
  <c r="U929" i="31"/>
  <c r="U930" i="31"/>
  <c r="U931" i="31"/>
  <c r="U932" i="31"/>
  <c r="U933" i="31"/>
  <c r="U934" i="31"/>
  <c r="U935" i="31"/>
  <c r="U936" i="31"/>
  <c r="U937" i="31"/>
  <c r="U938" i="31"/>
  <c r="U939" i="31"/>
  <c r="U940" i="31"/>
  <c r="U941" i="31"/>
  <c r="U942" i="31"/>
  <c r="U943" i="31"/>
  <c r="U944" i="31"/>
  <c r="U945" i="31"/>
  <c r="U946" i="31"/>
  <c r="U947" i="31"/>
  <c r="U948" i="31"/>
  <c r="U949" i="31"/>
  <c r="U950" i="31"/>
  <c r="U951" i="31"/>
  <c r="U952" i="31"/>
  <c r="U953" i="31"/>
  <c r="U954" i="31"/>
  <c r="U955" i="31"/>
  <c r="U956" i="31"/>
  <c r="U957" i="31"/>
  <c r="U958" i="31"/>
  <c r="U959" i="31"/>
  <c r="U960" i="31"/>
  <c r="U961" i="31"/>
  <c r="U962" i="31"/>
  <c r="U963" i="31"/>
  <c r="U964" i="31"/>
  <c r="U965" i="31"/>
  <c r="U966" i="31"/>
  <c r="U967" i="31"/>
  <c r="U968" i="31"/>
  <c r="U969" i="31"/>
  <c r="U970" i="31"/>
  <c r="U971" i="31"/>
  <c r="U972" i="31"/>
  <c r="U973" i="31"/>
  <c r="U974" i="31"/>
  <c r="U975" i="31"/>
  <c r="U976" i="31"/>
  <c r="U977" i="31"/>
  <c r="U978" i="31"/>
  <c r="U979" i="31"/>
  <c r="U980" i="31"/>
  <c r="U981" i="31"/>
  <c r="U982" i="31"/>
  <c r="U983" i="31"/>
  <c r="U984" i="31"/>
  <c r="U985" i="31"/>
  <c r="U986" i="31"/>
  <c r="U987" i="31"/>
  <c r="U988" i="31"/>
  <c r="U989" i="31"/>
  <c r="U990" i="31"/>
  <c r="U991" i="31"/>
  <c r="U992" i="31"/>
  <c r="U993" i="31"/>
  <c r="U994" i="31"/>
  <c r="U995" i="31"/>
  <c r="U996" i="31"/>
  <c r="U997" i="31"/>
  <c r="U998" i="31"/>
  <c r="U999" i="31"/>
  <c r="U1000" i="31"/>
  <c r="U1001" i="31"/>
  <c r="U1002" i="31"/>
  <c r="U1003" i="31"/>
  <c r="U1004" i="31"/>
  <c r="U1005" i="31"/>
  <c r="U1006" i="31"/>
  <c r="U1007" i="31"/>
  <c r="U1008" i="31"/>
  <c r="U1009" i="31"/>
  <c r="U1010" i="31"/>
  <c r="U1011" i="31"/>
  <c r="U1012" i="31"/>
  <c r="U1013" i="31"/>
  <c r="U1014" i="31"/>
  <c r="U1015" i="31"/>
  <c r="U1016" i="31"/>
  <c r="U1017" i="31"/>
  <c r="U1018" i="31"/>
  <c r="U1019" i="31"/>
  <c r="U1020" i="31"/>
  <c r="U1021" i="31"/>
  <c r="U1022" i="31"/>
  <c r="U1023" i="31"/>
  <c r="U1024" i="31"/>
  <c r="U1025" i="31"/>
  <c r="U1026" i="31"/>
  <c r="U1027" i="31"/>
  <c r="U1028" i="31"/>
  <c r="U1029" i="31"/>
  <c r="U1030" i="31"/>
  <c r="U1031" i="31"/>
  <c r="U1032" i="31"/>
  <c r="U1033" i="31"/>
  <c r="U1034" i="31"/>
  <c r="U1035" i="31"/>
  <c r="U1036" i="31"/>
  <c r="U1037" i="31"/>
  <c r="U1038" i="31"/>
  <c r="U1039" i="31"/>
  <c r="U1040" i="31"/>
  <c r="U1041" i="31"/>
  <c r="U1042" i="31"/>
  <c r="U1043" i="31"/>
  <c r="U1044" i="31"/>
  <c r="U1045" i="31"/>
  <c r="U1046" i="31"/>
  <c r="U1047" i="31"/>
  <c r="U1048" i="31"/>
  <c r="U1049" i="31"/>
  <c r="U1050" i="31"/>
  <c r="U1051" i="31"/>
  <c r="U1052" i="31"/>
  <c r="U1053" i="31"/>
  <c r="U1054" i="31"/>
  <c r="U1055" i="31"/>
  <c r="U1056" i="31"/>
  <c r="U1057" i="31"/>
  <c r="U1058" i="31"/>
  <c r="U1059" i="31"/>
  <c r="U1060" i="31"/>
  <c r="U1061" i="31"/>
  <c r="U1062" i="31"/>
  <c r="U1063" i="31"/>
  <c r="U1064" i="31"/>
  <c r="U1065" i="31"/>
  <c r="U1066" i="31"/>
  <c r="U1067" i="31"/>
  <c r="U1068" i="31"/>
  <c r="U1069" i="31"/>
  <c r="U1070" i="31"/>
  <c r="U1071" i="31"/>
  <c r="U1072" i="31"/>
  <c r="U1073" i="31"/>
  <c r="U1074" i="31"/>
  <c r="U1075" i="31"/>
  <c r="U1076" i="31"/>
  <c r="U1077" i="31"/>
  <c r="U1078" i="31"/>
  <c r="U1079" i="31"/>
  <c r="U1080" i="31"/>
  <c r="U1081" i="31"/>
  <c r="U1082" i="31"/>
  <c r="U1083" i="31"/>
  <c r="U1084" i="31"/>
  <c r="U1085" i="31"/>
  <c r="U1086" i="31"/>
  <c r="U1087" i="31"/>
  <c r="U1088" i="31"/>
  <c r="U1089" i="31"/>
  <c r="U1090" i="31"/>
  <c r="U1091" i="31"/>
  <c r="U1092" i="31"/>
  <c r="U1093" i="31"/>
  <c r="U1094" i="31"/>
  <c r="U1095" i="31"/>
  <c r="U1096" i="31"/>
  <c r="U281" i="31"/>
  <c r="U567" i="31"/>
  <c r="U583" i="31"/>
  <c r="U599" i="31"/>
  <c r="U297" i="31"/>
  <c r="U563" i="31"/>
  <c r="U579" i="31"/>
  <c r="U595" i="31"/>
  <c r="U265" i="31"/>
  <c r="U587" i="31"/>
  <c r="U571" i="31"/>
  <c r="U1100" i="31"/>
  <c r="U1104" i="31"/>
  <c r="U1108" i="31"/>
  <c r="U1112" i="31"/>
  <c r="U1116" i="31"/>
  <c r="U1120" i="31"/>
  <c r="U1124" i="31"/>
  <c r="U1128" i="31"/>
  <c r="U1132" i="31"/>
  <c r="U1136" i="31"/>
  <c r="U1140" i="31"/>
  <c r="U1144" i="31"/>
  <c r="U1148" i="31"/>
  <c r="U1152" i="31"/>
  <c r="U1156" i="31"/>
  <c r="U1160" i="31"/>
  <c r="U1164" i="31"/>
  <c r="U1168" i="31"/>
  <c r="U1172" i="31"/>
  <c r="U1176" i="31"/>
  <c r="U1180" i="31"/>
  <c r="U1184" i="31"/>
  <c r="U1188" i="31"/>
  <c r="U1192" i="31"/>
  <c r="U1196" i="31"/>
  <c r="U1200" i="31"/>
  <c r="U1204" i="31"/>
  <c r="U1208" i="31"/>
  <c r="U1212" i="31"/>
  <c r="U1216" i="31"/>
  <c r="U1220" i="31"/>
  <c r="U1224" i="31"/>
  <c r="U1228" i="31"/>
  <c r="U1232" i="31"/>
  <c r="U1236" i="31"/>
  <c r="U1240" i="31"/>
  <c r="U1244" i="31"/>
  <c r="U1248" i="31"/>
  <c r="U1252" i="31"/>
  <c r="U1256" i="31"/>
  <c r="U1260" i="31"/>
  <c r="U1264" i="31"/>
  <c r="U1268" i="31"/>
  <c r="U1272" i="31"/>
  <c r="U1276" i="31"/>
  <c r="U1280" i="31"/>
  <c r="U1284" i="31"/>
  <c r="U1288" i="31"/>
  <c r="U1292" i="31"/>
  <c r="U1296" i="31"/>
  <c r="U1300" i="31"/>
  <c r="U1304" i="31"/>
  <c r="U1308" i="31"/>
  <c r="U1312" i="31"/>
  <c r="U1316" i="31"/>
  <c r="U1454" i="31"/>
  <c r="U1455" i="31"/>
  <c r="U1456" i="31"/>
  <c r="U1457" i="31"/>
  <c r="U1458" i="31"/>
  <c r="U1459" i="31"/>
  <c r="U1460" i="31"/>
  <c r="U1461" i="31"/>
  <c r="U1462" i="31"/>
  <c r="U1463" i="31"/>
  <c r="U1464" i="31"/>
  <c r="U1465" i="31"/>
  <c r="U1466" i="31"/>
  <c r="U1467" i="31"/>
  <c r="U1468" i="31"/>
  <c r="U1469" i="31"/>
  <c r="U1470" i="31"/>
  <c r="U1471" i="31"/>
  <c r="U1472" i="31"/>
  <c r="U1473" i="31"/>
  <c r="U1474" i="31"/>
  <c r="U1475" i="31"/>
  <c r="U1476" i="31"/>
  <c r="U1477" i="31"/>
  <c r="U1478" i="31"/>
  <c r="U1479" i="31"/>
  <c r="U1480" i="31"/>
  <c r="U1481" i="31"/>
  <c r="U1482" i="31"/>
  <c r="U1483" i="31"/>
  <c r="U1484" i="31"/>
  <c r="U1485" i="31"/>
  <c r="U1486" i="31"/>
  <c r="U1487" i="31"/>
  <c r="U1488" i="31"/>
  <c r="U1489" i="31"/>
  <c r="U1490" i="31"/>
  <c r="U1491" i="31"/>
  <c r="U1492" i="31"/>
  <c r="U1493" i="31"/>
  <c r="U1494" i="31"/>
  <c r="U1495" i="31"/>
  <c r="U1496" i="31"/>
  <c r="U1497" i="31"/>
  <c r="U1498" i="31"/>
  <c r="U1499" i="31"/>
  <c r="U1500" i="31"/>
  <c r="U1501" i="31"/>
  <c r="U1502" i="31"/>
  <c r="U1503" i="31"/>
  <c r="U1504" i="31"/>
  <c r="U1505" i="31"/>
  <c r="U1506" i="31"/>
  <c r="U1507" i="31"/>
  <c r="U1508" i="31"/>
  <c r="U1509" i="31"/>
  <c r="U1510" i="31"/>
  <c r="U1511" i="31"/>
  <c r="U1512" i="31"/>
  <c r="U1513" i="31"/>
  <c r="U1514" i="31"/>
  <c r="U1515" i="31"/>
  <c r="U1516" i="31"/>
  <c r="U1517" i="31"/>
  <c r="U1518" i="31"/>
  <c r="U1519" i="31"/>
  <c r="U1520" i="31"/>
  <c r="U1521" i="31"/>
  <c r="U1522" i="31"/>
  <c r="U1523" i="31"/>
  <c r="U1524" i="31"/>
  <c r="U1525" i="31"/>
  <c r="U1526" i="31"/>
  <c r="U1527" i="31"/>
  <c r="U1528" i="31"/>
  <c r="U1529" i="31"/>
  <c r="U1530" i="31"/>
  <c r="U1531" i="31"/>
  <c r="U1532" i="31"/>
  <c r="U1533" i="31"/>
  <c r="U1534" i="31"/>
  <c r="U1535" i="31"/>
  <c r="U1536" i="31"/>
  <c r="U1537" i="31"/>
  <c r="U1538" i="31"/>
  <c r="U1539" i="31"/>
  <c r="U1540" i="31"/>
  <c r="U1541" i="31"/>
  <c r="U1542" i="31"/>
  <c r="U1543" i="31"/>
  <c r="U1544" i="31"/>
  <c r="U1545" i="31"/>
  <c r="U1546" i="31"/>
  <c r="U1547" i="31"/>
  <c r="U1548" i="31"/>
  <c r="U1549" i="31"/>
  <c r="U1550" i="31"/>
  <c r="U1551" i="31"/>
  <c r="U1552" i="31"/>
  <c r="U1553" i="31"/>
  <c r="U1554" i="31"/>
  <c r="U1555" i="31"/>
  <c r="U1556" i="31"/>
  <c r="U1557" i="31"/>
  <c r="U1558" i="31"/>
  <c r="U1559" i="31"/>
  <c r="U1560" i="31"/>
  <c r="U1561" i="31"/>
  <c r="U1562" i="31"/>
  <c r="U1563" i="31"/>
  <c r="U1564" i="31"/>
  <c r="U1565" i="31"/>
  <c r="U1566" i="31"/>
  <c r="U1567" i="31"/>
  <c r="U1568" i="31"/>
  <c r="U1569" i="31"/>
  <c r="U1570" i="31"/>
  <c r="U1571" i="31"/>
  <c r="U1572" i="31"/>
  <c r="U1573" i="31"/>
  <c r="U1574" i="31"/>
  <c r="U1575" i="31"/>
  <c r="U1576" i="31"/>
  <c r="U1577" i="31"/>
  <c r="U1578" i="31"/>
  <c r="U1579" i="31"/>
  <c r="U1580" i="31"/>
  <c r="U1581" i="31"/>
  <c r="U1582" i="31"/>
  <c r="U1583" i="31"/>
  <c r="U1584" i="31"/>
  <c r="U1585" i="31"/>
  <c r="U1586" i="31"/>
  <c r="U1587" i="31"/>
  <c r="U1588" i="31"/>
  <c r="U1589" i="31"/>
  <c r="U1590" i="31"/>
  <c r="U1591" i="31"/>
  <c r="U1592" i="31"/>
  <c r="U1593" i="31"/>
  <c r="U1594" i="31"/>
  <c r="U1595" i="31"/>
  <c r="U1596" i="31"/>
  <c r="U1597" i="31"/>
  <c r="U1598" i="31"/>
  <c r="U1599" i="31"/>
  <c r="U1600" i="31"/>
  <c r="U1601" i="31"/>
  <c r="U1602" i="31"/>
  <c r="U1603" i="31"/>
  <c r="U1604" i="31"/>
  <c r="U1605" i="31"/>
  <c r="U1606" i="31"/>
  <c r="U1607" i="31"/>
  <c r="U1608" i="31"/>
  <c r="U1609" i="31"/>
  <c r="U1610" i="31"/>
  <c r="U1611" i="31"/>
  <c r="U1612" i="31"/>
  <c r="U1613" i="31"/>
  <c r="U1614" i="31"/>
  <c r="U1615" i="31"/>
  <c r="U1616" i="31"/>
  <c r="U1617" i="31"/>
  <c r="U1618" i="31"/>
  <c r="U1619" i="31"/>
  <c r="U1620" i="31"/>
  <c r="U1621" i="31"/>
  <c r="U1622" i="31"/>
  <c r="U1623" i="31"/>
  <c r="U1624" i="31"/>
  <c r="U1625" i="31"/>
  <c r="U1626" i="31"/>
  <c r="U1627" i="31"/>
  <c r="U1628" i="31"/>
  <c r="U1629" i="31"/>
  <c r="U1630" i="31"/>
  <c r="U1631" i="31"/>
  <c r="U1632" i="31"/>
  <c r="U1633" i="31"/>
  <c r="U1634" i="31"/>
  <c r="U1635" i="31"/>
  <c r="U1636" i="31"/>
  <c r="U1637" i="31"/>
  <c r="U1638" i="31"/>
  <c r="U1639" i="31"/>
  <c r="U1640" i="31"/>
  <c r="U1641" i="31"/>
  <c r="U1642" i="31"/>
  <c r="U1643" i="31"/>
  <c r="U1644" i="31"/>
  <c r="U1645" i="31"/>
  <c r="U1646" i="31"/>
  <c r="U1647" i="31"/>
  <c r="U1648" i="31"/>
  <c r="U1649" i="31"/>
  <c r="U1650" i="31"/>
  <c r="U1651" i="31"/>
  <c r="U1652" i="31"/>
  <c r="U1653" i="31"/>
  <c r="U1654" i="31"/>
  <c r="U1655" i="31"/>
  <c r="U1656" i="31"/>
  <c r="U1657" i="31"/>
  <c r="U1658" i="31"/>
  <c r="U1659" i="31"/>
  <c r="U1660" i="31"/>
  <c r="U1661" i="31"/>
  <c r="U1662" i="31"/>
  <c r="U1663" i="31"/>
  <c r="U1664" i="31"/>
  <c r="U1665" i="31"/>
  <c r="U1666" i="31"/>
  <c r="U1667" i="31"/>
  <c r="U1668" i="31"/>
  <c r="U1669" i="31"/>
  <c r="U1670" i="31"/>
  <c r="U1671" i="31"/>
  <c r="U1672" i="31"/>
  <c r="U1673" i="31"/>
  <c r="U1674" i="31"/>
  <c r="U1675" i="31"/>
  <c r="U1676" i="31"/>
  <c r="U1677" i="31"/>
  <c r="U1678" i="31"/>
  <c r="U1679" i="31"/>
  <c r="U1680" i="31"/>
  <c r="U1681" i="31"/>
  <c r="U1682" i="31"/>
  <c r="U1683" i="31"/>
  <c r="U1684" i="31"/>
  <c r="U1685" i="31"/>
  <c r="U1686" i="31"/>
  <c r="U1687" i="31"/>
  <c r="U1688" i="31"/>
  <c r="U1689" i="31"/>
  <c r="U1690" i="31"/>
  <c r="U1691" i="31"/>
  <c r="U1692" i="31"/>
  <c r="U1693" i="31"/>
  <c r="U1694" i="31"/>
  <c r="U1695" i="31"/>
  <c r="U1696" i="31"/>
  <c r="U1697" i="31"/>
  <c r="U1698" i="31"/>
  <c r="U1699" i="31"/>
  <c r="U1700" i="31"/>
  <c r="U1701" i="31"/>
  <c r="U1702" i="31"/>
  <c r="U1703" i="31"/>
  <c r="U1704" i="31"/>
  <c r="U1705" i="31"/>
  <c r="U1706" i="31"/>
  <c r="U1707" i="31"/>
  <c r="U1708" i="31"/>
  <c r="U1709" i="31"/>
  <c r="U1710" i="31"/>
  <c r="U1711" i="31"/>
  <c r="U1712" i="31"/>
  <c r="U1713" i="31"/>
  <c r="U1714" i="31"/>
  <c r="U1715" i="31"/>
  <c r="U1716" i="31"/>
  <c r="U1717" i="31"/>
  <c r="U1718" i="31"/>
  <c r="U1719" i="31"/>
  <c r="U1720" i="31"/>
  <c r="U1721" i="31"/>
  <c r="U1722" i="31"/>
  <c r="U1723" i="31"/>
  <c r="U1724" i="31"/>
  <c r="U1725" i="31"/>
  <c r="U1726" i="31"/>
  <c r="U1727" i="31"/>
  <c r="U1728" i="31"/>
  <c r="U1729" i="31"/>
  <c r="U1730" i="31"/>
  <c r="U1731" i="31"/>
  <c r="U1732" i="31"/>
  <c r="U1733" i="31"/>
  <c r="U1734" i="31"/>
  <c r="U1735" i="31"/>
  <c r="U1736" i="31"/>
  <c r="U1737" i="31"/>
  <c r="U1738" i="31"/>
  <c r="U1739" i="31"/>
  <c r="U1740" i="31"/>
  <c r="U1741" i="31"/>
  <c r="U1097" i="31"/>
  <c r="U1101" i="31"/>
  <c r="U1109" i="31"/>
  <c r="U1113" i="31"/>
  <c r="U1125" i="31"/>
  <c r="U1133" i="31"/>
  <c r="U1137" i="31"/>
  <c r="U1141" i="31"/>
  <c r="U1149" i="31"/>
  <c r="U1153" i="31"/>
  <c r="U1157" i="31"/>
  <c r="U1165" i="31"/>
  <c r="U1173" i="31"/>
  <c r="U1177" i="31"/>
  <c r="U1181" i="31"/>
  <c r="U1189" i="31"/>
  <c r="U1209" i="31"/>
  <c r="U1213" i="31"/>
  <c r="U1217" i="31"/>
  <c r="U1221" i="31"/>
  <c r="U1233" i="31"/>
  <c r="U1237" i="31"/>
  <c r="U1241" i="31"/>
  <c r="U1245" i="31"/>
  <c r="U1249" i="31"/>
  <c r="U1265" i="31"/>
  <c r="U1269" i="31"/>
  <c r="U1277" i="31"/>
  <c r="U1281" i="31"/>
  <c r="U1289" i="31"/>
  <c r="U1293" i="31"/>
  <c r="U1297" i="31"/>
  <c r="U1309" i="31"/>
  <c r="U1313" i="31"/>
  <c r="U1319" i="31"/>
  <c r="U1323" i="31"/>
  <c r="U1325" i="31"/>
  <c r="U1331" i="31"/>
  <c r="U1335" i="31"/>
  <c r="U1337" i="31"/>
  <c r="U1341" i="31"/>
  <c r="U1345" i="31"/>
  <c r="U1347" i="31"/>
  <c r="U1349" i="31"/>
  <c r="U1351" i="31"/>
  <c r="U1353" i="31"/>
  <c r="U1357" i="31"/>
  <c r="U1361" i="31"/>
  <c r="U1365" i="31"/>
  <c r="U1367" i="31"/>
  <c r="U1369" i="31"/>
  <c r="U1373" i="31"/>
  <c r="U1379" i="31"/>
  <c r="U1385" i="31"/>
  <c r="U1389" i="31"/>
  <c r="U1391" i="31"/>
  <c r="U1395" i="31"/>
  <c r="U1401" i="31"/>
  <c r="U1407" i="31"/>
  <c r="U1409" i="31"/>
  <c r="U1413" i="31"/>
  <c r="U1419" i="31"/>
  <c r="U1425" i="31"/>
  <c r="U1429" i="31"/>
  <c r="U1433" i="31"/>
  <c r="U1435" i="31"/>
  <c r="U1439" i="31"/>
  <c r="U1445" i="31"/>
  <c r="U1449" i="31"/>
  <c r="U1453" i="31"/>
  <c r="U1098" i="31"/>
  <c r="U1102" i="31"/>
  <c r="U1106" i="31"/>
  <c r="U1110" i="31"/>
  <c r="U1114" i="31"/>
  <c r="U1118" i="31"/>
  <c r="U1122" i="31"/>
  <c r="U1126" i="31"/>
  <c r="U1130" i="31"/>
  <c r="U1134" i="31"/>
  <c r="U1138" i="31"/>
  <c r="U1142" i="31"/>
  <c r="U1146" i="31"/>
  <c r="U1150" i="31"/>
  <c r="U1154" i="31"/>
  <c r="U1158" i="31"/>
  <c r="U1162" i="31"/>
  <c r="U1166" i="31"/>
  <c r="U1170" i="31"/>
  <c r="U1174" i="31"/>
  <c r="U1178" i="31"/>
  <c r="U1182" i="31"/>
  <c r="U1186" i="31"/>
  <c r="U1190" i="31"/>
  <c r="U1194" i="31"/>
  <c r="U1198" i="31"/>
  <c r="U1202" i="31"/>
  <c r="U1206" i="31"/>
  <c r="U1210" i="31"/>
  <c r="U1214" i="31"/>
  <c r="U1218" i="31"/>
  <c r="U1222" i="31"/>
  <c r="U1226" i="31"/>
  <c r="U1230" i="31"/>
  <c r="U1234" i="31"/>
  <c r="U1238" i="31"/>
  <c r="U1242" i="31"/>
  <c r="U1246" i="31"/>
  <c r="U1250" i="31"/>
  <c r="U1254" i="31"/>
  <c r="U1258" i="31"/>
  <c r="U1262" i="31"/>
  <c r="U1266" i="31"/>
  <c r="U1270" i="31"/>
  <c r="U1274" i="31"/>
  <c r="U1278" i="31"/>
  <c r="U1282" i="31"/>
  <c r="U1286" i="31"/>
  <c r="U1290" i="31"/>
  <c r="U1294" i="31"/>
  <c r="U1298" i="31"/>
  <c r="U1302" i="31"/>
  <c r="U1306" i="31"/>
  <c r="U1310" i="31"/>
  <c r="U1314" i="31"/>
  <c r="U2" i="31"/>
  <c r="U1121" i="31"/>
  <c r="U1193" i="31"/>
  <c r="U1201" i="31"/>
  <c r="U1225" i="31"/>
  <c r="U1253" i="31"/>
  <c r="U1257" i="31"/>
  <c r="U1261" i="31"/>
  <c r="U1301" i="31"/>
  <c r="U1321" i="31"/>
  <c r="U1327" i="31"/>
  <c r="U1343" i="31"/>
  <c r="U1359" i="31"/>
  <c r="U1375" i="31"/>
  <c r="U1383" i="31"/>
  <c r="U1387" i="31"/>
  <c r="U1397" i="31"/>
  <c r="U1403" i="31"/>
  <c r="U1415" i="31"/>
  <c r="U1423" i="31"/>
  <c r="U1427" i="31"/>
  <c r="U1443" i="31"/>
  <c r="U1451" i="31"/>
  <c r="U603" i="31"/>
  <c r="U1099" i="31"/>
  <c r="U1103" i="31"/>
  <c r="U1107" i="31"/>
  <c r="U1111" i="31"/>
  <c r="U1115" i="31"/>
  <c r="U1119" i="31"/>
  <c r="U1123" i="31"/>
  <c r="U1127" i="31"/>
  <c r="U1131" i="31"/>
  <c r="U1135" i="31"/>
  <c r="U1139" i="31"/>
  <c r="U1143" i="31"/>
  <c r="U1147" i="31"/>
  <c r="U1151" i="31"/>
  <c r="U1155" i="31"/>
  <c r="U1159" i="31"/>
  <c r="U1163" i="31"/>
  <c r="U1167" i="31"/>
  <c r="U1171" i="31"/>
  <c r="U1175" i="31"/>
  <c r="U1179" i="31"/>
  <c r="U1183" i="31"/>
  <c r="U1187" i="31"/>
  <c r="U1191" i="31"/>
  <c r="U1195" i="31"/>
  <c r="U1199" i="31"/>
  <c r="U1203" i="31"/>
  <c r="U1207" i="31"/>
  <c r="U1211" i="31"/>
  <c r="U1215" i="31"/>
  <c r="U1219" i="31"/>
  <c r="U1223" i="31"/>
  <c r="U1227" i="31"/>
  <c r="U1231" i="31"/>
  <c r="U1235" i="31"/>
  <c r="U1239" i="31"/>
  <c r="U1243" i="31"/>
  <c r="U1247" i="31"/>
  <c r="U1251" i="31"/>
  <c r="U1255" i="31"/>
  <c r="U1259" i="31"/>
  <c r="U1263" i="31"/>
  <c r="U1267" i="31"/>
  <c r="U1271" i="31"/>
  <c r="U1275" i="31"/>
  <c r="U1279" i="31"/>
  <c r="U1283" i="31"/>
  <c r="U1287" i="31"/>
  <c r="U1291" i="31"/>
  <c r="U1295" i="31"/>
  <c r="U1299" i="31"/>
  <c r="U1303" i="31"/>
  <c r="U1307" i="31"/>
  <c r="U1311" i="31"/>
  <c r="U1315" i="31"/>
  <c r="U1318" i="31"/>
  <c r="U1320" i="31"/>
  <c r="U1322" i="31"/>
  <c r="U1324" i="31"/>
  <c r="U1326" i="31"/>
  <c r="U1328" i="31"/>
  <c r="U1330" i="31"/>
  <c r="U1332" i="31"/>
  <c r="U1334" i="31"/>
  <c r="U1336" i="31"/>
  <c r="U1338" i="31"/>
  <c r="U1340" i="31"/>
  <c r="U1342" i="31"/>
  <c r="U1344" i="31"/>
  <c r="U1346" i="31"/>
  <c r="U1348" i="31"/>
  <c r="U1350" i="31"/>
  <c r="U1352" i="31"/>
  <c r="U1354" i="31"/>
  <c r="U1356" i="31"/>
  <c r="U1358" i="31"/>
  <c r="U1360" i="31"/>
  <c r="U1362" i="31"/>
  <c r="U1364" i="31"/>
  <c r="U1366" i="31"/>
  <c r="U1368" i="31"/>
  <c r="U1370" i="31"/>
  <c r="U1372" i="31"/>
  <c r="U1374" i="31"/>
  <c r="U1376" i="31"/>
  <c r="U1378" i="31"/>
  <c r="U1380" i="31"/>
  <c r="U1382" i="31"/>
  <c r="U1384" i="31"/>
  <c r="U1386" i="31"/>
  <c r="U1388" i="31"/>
  <c r="U1390" i="31"/>
  <c r="U1392" i="31"/>
  <c r="U1394" i="31"/>
  <c r="U1396" i="31"/>
  <c r="U1398" i="31"/>
  <c r="U1400" i="31"/>
  <c r="U1402" i="31"/>
  <c r="U1404" i="31"/>
  <c r="U1406" i="31"/>
  <c r="U1408" i="31"/>
  <c r="U1410" i="31"/>
  <c r="U1412" i="31"/>
  <c r="U1414" i="31"/>
  <c r="U1416" i="31"/>
  <c r="U1418" i="31"/>
  <c r="U1420" i="31"/>
  <c r="U1422" i="31"/>
  <c r="U1424" i="31"/>
  <c r="U1426" i="31"/>
  <c r="U1428" i="31"/>
  <c r="U1430" i="31"/>
  <c r="U1432" i="31"/>
  <c r="U1434" i="31"/>
  <c r="U1436" i="31"/>
  <c r="U1438" i="31"/>
  <c r="U1440" i="31"/>
  <c r="U1442" i="31"/>
  <c r="U1444" i="31"/>
  <c r="U1446" i="31"/>
  <c r="U1448" i="31"/>
  <c r="U1450" i="31"/>
  <c r="U1452" i="31"/>
  <c r="U1105" i="31"/>
  <c r="U1117" i="31"/>
  <c r="U1129" i="31"/>
  <c r="U1145" i="31"/>
  <c r="U1161" i="31"/>
  <c r="U1169" i="31"/>
  <c r="U1185" i="31"/>
  <c r="U1197" i="31"/>
  <c r="U1205" i="31"/>
  <c r="U1229" i="31"/>
  <c r="U1273" i="31"/>
  <c r="U1285" i="31"/>
  <c r="U1305" i="31"/>
  <c r="U1317" i="31"/>
  <c r="U1329" i="31"/>
  <c r="U1333" i="31"/>
  <c r="U1339" i="31"/>
  <c r="U1355" i="31"/>
  <c r="U1363" i="31"/>
  <c r="U1371" i="31"/>
  <c r="U1377" i="31"/>
  <c r="U1381" i="31"/>
  <c r="U1393" i="31"/>
  <c r="U1399" i="31"/>
  <c r="U1405" i="31"/>
  <c r="U1411" i="31"/>
  <c r="U1417" i="31"/>
  <c r="U1421" i="31"/>
  <c r="U1431" i="31"/>
  <c r="U1437" i="31"/>
  <c r="U1441" i="31"/>
  <c r="U1447" i="31"/>
  <c r="X3" i="31"/>
  <c r="X4" i="31"/>
  <c r="X5" i="31"/>
  <c r="X6" i="31"/>
  <c r="X7" i="31"/>
  <c r="X8" i="31"/>
  <c r="X9" i="31"/>
  <c r="X10" i="31"/>
  <c r="X11" i="31"/>
  <c r="X12" i="31"/>
  <c r="X13" i="31"/>
  <c r="X14" i="31"/>
  <c r="X15" i="31"/>
  <c r="X16" i="31"/>
  <c r="X17" i="31"/>
  <c r="X18" i="31"/>
  <c r="X19" i="31"/>
  <c r="X20" i="31"/>
  <c r="X21" i="31"/>
  <c r="X22" i="31"/>
  <c r="X23" i="31"/>
  <c r="X24" i="31"/>
  <c r="X25" i="31"/>
  <c r="X26" i="31"/>
  <c r="X27" i="31"/>
  <c r="X28" i="31"/>
  <c r="X29"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9" i="31"/>
  <c r="X93" i="31"/>
  <c r="X97" i="31"/>
  <c r="X101" i="31"/>
  <c r="X105" i="31"/>
  <c r="X109" i="31"/>
  <c r="X113" i="31"/>
  <c r="X117" i="31"/>
  <c r="X121" i="31"/>
  <c r="X125" i="31"/>
  <c r="X129" i="31"/>
  <c r="X133" i="31"/>
  <c r="X137" i="31"/>
  <c r="X141" i="31"/>
  <c r="X145" i="31"/>
  <c r="X88" i="31"/>
  <c r="X92" i="31"/>
  <c r="X96" i="31"/>
  <c r="X100" i="31"/>
  <c r="X104" i="31"/>
  <c r="X108" i="31"/>
  <c r="X112" i="31"/>
  <c r="X90" i="31"/>
  <c r="X94" i="31"/>
  <c r="X98" i="31"/>
  <c r="X102" i="31"/>
  <c r="X106" i="31"/>
  <c r="X110" i="31"/>
  <c r="X91" i="31"/>
  <c r="X107" i="31"/>
  <c r="X118" i="31"/>
  <c r="X120" i="31"/>
  <c r="X127" i="31"/>
  <c r="X134" i="31"/>
  <c r="X136" i="31"/>
  <c r="X143" i="31"/>
  <c r="X151" i="31"/>
  <c r="X155" i="31"/>
  <c r="X159" i="31"/>
  <c r="X163" i="31"/>
  <c r="X167" i="31"/>
  <c r="X171" i="31"/>
  <c r="X175" i="31"/>
  <c r="X179" i="31"/>
  <c r="X183" i="31"/>
  <c r="X187" i="31"/>
  <c r="X191" i="31"/>
  <c r="X195" i="31"/>
  <c r="X199" i="31"/>
  <c r="X203" i="31"/>
  <c r="X207" i="31"/>
  <c r="X211" i="31"/>
  <c r="X215" i="31"/>
  <c r="X219" i="31"/>
  <c r="X223" i="31"/>
  <c r="X103" i="31"/>
  <c r="X115" i="31"/>
  <c r="X122" i="31"/>
  <c r="X124" i="31"/>
  <c r="X131" i="31"/>
  <c r="X138" i="31"/>
  <c r="X140" i="31"/>
  <c r="X147" i="31"/>
  <c r="X150" i="31"/>
  <c r="X154" i="31"/>
  <c r="X158" i="31"/>
  <c r="X162" i="31"/>
  <c r="X166" i="31"/>
  <c r="X170" i="31"/>
  <c r="X174" i="31"/>
  <c r="X178" i="31"/>
  <c r="X182" i="31"/>
  <c r="X186" i="31"/>
  <c r="X190" i="31"/>
  <c r="X194" i="31"/>
  <c r="X198" i="31"/>
  <c r="X202" i="31"/>
  <c r="X206" i="31"/>
  <c r="X210" i="31"/>
  <c r="X214" i="31"/>
  <c r="X218" i="31"/>
  <c r="X222" i="31"/>
  <c r="X226" i="31"/>
  <c r="X99" i="31"/>
  <c r="X119" i="31"/>
  <c r="X126" i="31"/>
  <c r="X128" i="31"/>
  <c r="X135" i="31"/>
  <c r="X142" i="31"/>
  <c r="X144" i="31"/>
  <c r="X149" i="31"/>
  <c r="X153" i="31"/>
  <c r="X157" i="31"/>
  <c r="X161" i="31"/>
  <c r="X165" i="31"/>
  <c r="X169" i="31"/>
  <c r="X173" i="31"/>
  <c r="X177" i="31"/>
  <c r="X181" i="31"/>
  <c r="X185" i="31"/>
  <c r="X189" i="31"/>
  <c r="X193" i="31"/>
  <c r="X197" i="31"/>
  <c r="X201" i="31"/>
  <c r="X205" i="31"/>
  <c r="X209" i="31"/>
  <c r="X213" i="31"/>
  <c r="X95" i="31"/>
  <c r="X111" i="31"/>
  <c r="X114" i="31"/>
  <c r="X116" i="31"/>
  <c r="X123" i="31"/>
  <c r="X130" i="31"/>
  <c r="X132" i="31"/>
  <c r="X139" i="31"/>
  <c r="X146" i="31"/>
  <c r="X148" i="31"/>
  <c r="X152" i="31"/>
  <c r="X156" i="31"/>
  <c r="X160" i="31"/>
  <c r="X164" i="31"/>
  <c r="X168" i="31"/>
  <c r="X172" i="31"/>
  <c r="X176" i="31"/>
  <c r="X180" i="31"/>
  <c r="X184" i="31"/>
  <c r="X188" i="31"/>
  <c r="X192" i="31"/>
  <c r="X196" i="31"/>
  <c r="X200" i="31"/>
  <c r="X204" i="31"/>
  <c r="X208" i="31"/>
  <c r="X212" i="31"/>
  <c r="X216" i="31"/>
  <c r="X220" i="31"/>
  <c r="X224" i="31"/>
  <c r="X228" i="31"/>
  <c r="X232" i="31"/>
  <c r="X236" i="31"/>
  <c r="X240" i="31"/>
  <c r="X244" i="31"/>
  <c r="X248" i="31"/>
  <c r="X252" i="31"/>
  <c r="X221" i="31"/>
  <c r="X225" i="31"/>
  <c r="X231" i="31"/>
  <c r="X235" i="31"/>
  <c r="X239" i="31"/>
  <c r="X243" i="31"/>
  <c r="X247" i="31"/>
  <c r="X251" i="31"/>
  <c r="X217" i="31"/>
  <c r="X227" i="31"/>
  <c r="X230" i="31"/>
  <c r="X234" i="31"/>
  <c r="X238" i="31"/>
  <c r="X242" i="31"/>
  <c r="X246" i="31"/>
  <c r="X250" i="31"/>
  <c r="X254" i="31"/>
  <c r="X255" i="31"/>
  <c r="X256" i="31"/>
  <c r="X257" i="31"/>
  <c r="X258" i="31"/>
  <c r="X259" i="31"/>
  <c r="X260" i="31"/>
  <c r="X261" i="31"/>
  <c r="X262" i="31"/>
  <c r="X263" i="31"/>
  <c r="X264" i="31"/>
  <c r="X265" i="31"/>
  <c r="X266" i="31"/>
  <c r="X267" i="31"/>
  <c r="X268" i="31"/>
  <c r="X269" i="31"/>
  <c r="X270" i="3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229" i="31"/>
  <c r="X245" i="31"/>
  <c r="X237" i="31"/>
  <c r="X253" i="31"/>
  <c r="X233" i="31"/>
  <c r="X249" i="31"/>
  <c r="X316" i="31"/>
  <c r="X320" i="31"/>
  <c r="X324" i="31"/>
  <c r="X328" i="31"/>
  <c r="X473" i="31"/>
  <c r="X474" i="31"/>
  <c r="X475" i="31"/>
  <c r="X476" i="31"/>
  <c r="X477" i="31"/>
  <c r="X478" i="31"/>
  <c r="X479" i="31"/>
  <c r="X480" i="31"/>
  <c r="X481" i="31"/>
  <c r="X482" i="31"/>
  <c r="X483" i="31"/>
  <c r="X484" i="31"/>
  <c r="X485" i="31"/>
  <c r="X486" i="31"/>
  <c r="X487" i="31"/>
  <c r="X488" i="31"/>
  <c r="X489" i="31"/>
  <c r="X490" i="31"/>
  <c r="X491" i="31"/>
  <c r="X492" i="31"/>
  <c r="X493" i="31"/>
  <c r="X494" i="31"/>
  <c r="X495" i="31"/>
  <c r="X496" i="31"/>
  <c r="X497" i="31"/>
  <c r="X498" i="31"/>
  <c r="X499" i="31"/>
  <c r="X500" i="31"/>
  <c r="X501" i="31"/>
  <c r="X502" i="31"/>
  <c r="X503" i="31"/>
  <c r="X504" i="31"/>
  <c r="X505" i="31"/>
  <c r="X506" i="31"/>
  <c r="X507" i="31"/>
  <c r="X508" i="31"/>
  <c r="X509" i="31"/>
  <c r="X510" i="31"/>
  <c r="X511" i="31"/>
  <c r="X512" i="31"/>
  <c r="X513" i="31"/>
  <c r="X514" i="31"/>
  <c r="X515" i="31"/>
  <c r="X516" i="31"/>
  <c r="X517" i="31"/>
  <c r="X518" i="31"/>
  <c r="X519" i="31"/>
  <c r="X520" i="31"/>
  <c r="X521" i="31"/>
  <c r="X522" i="31"/>
  <c r="X523" i="31"/>
  <c r="X524" i="31"/>
  <c r="X525" i="31"/>
  <c r="X526" i="31"/>
  <c r="X527" i="31"/>
  <c r="X528" i="31"/>
  <c r="X529" i="31"/>
  <c r="X530" i="31"/>
  <c r="X531" i="31"/>
  <c r="X532" i="31"/>
  <c r="X533" i="31"/>
  <c r="X534" i="31"/>
  <c r="X535" i="31"/>
  <c r="X536" i="31"/>
  <c r="X537" i="31"/>
  <c r="X538" i="31"/>
  <c r="X539" i="31"/>
  <c r="X540" i="31"/>
  <c r="X541" i="31"/>
  <c r="X542" i="31"/>
  <c r="X543" i="31"/>
  <c r="X544" i="31"/>
  <c r="X545" i="31"/>
  <c r="X546" i="31"/>
  <c r="X547" i="31"/>
  <c r="X548" i="31"/>
  <c r="X549" i="31"/>
  <c r="X550" i="31"/>
  <c r="X551" i="31"/>
  <c r="X552" i="31"/>
  <c r="X553" i="31"/>
  <c r="X554" i="31"/>
  <c r="X555" i="31"/>
  <c r="X556" i="31"/>
  <c r="X557" i="31"/>
  <c r="X558" i="31"/>
  <c r="X559" i="31"/>
  <c r="X560" i="31"/>
  <c r="X561" i="31"/>
  <c r="X562" i="31"/>
  <c r="X563" i="31"/>
  <c r="X564" i="31"/>
  <c r="X565" i="31"/>
  <c r="X566" i="31"/>
  <c r="X567" i="31"/>
  <c r="X568" i="31"/>
  <c r="X569" i="31"/>
  <c r="X570" i="31"/>
  <c r="X571" i="31"/>
  <c r="X572" i="31"/>
  <c r="X573" i="31"/>
  <c r="X574" i="31"/>
  <c r="X575" i="31"/>
  <c r="X576" i="31"/>
  <c r="X577" i="31"/>
  <c r="X578" i="31"/>
  <c r="X579" i="31"/>
  <c r="X580" i="31"/>
  <c r="X581" i="31"/>
  <c r="X582" i="31"/>
  <c r="X583" i="31"/>
  <c r="X584" i="31"/>
  <c r="X585" i="31"/>
  <c r="X586" i="31"/>
  <c r="X587" i="31"/>
  <c r="X588" i="31"/>
  <c r="X589" i="31"/>
  <c r="X590" i="31"/>
  <c r="X591" i="31"/>
  <c r="X592" i="31"/>
  <c r="X593" i="31"/>
  <c r="X594" i="31"/>
  <c r="X595" i="31"/>
  <c r="X596" i="31"/>
  <c r="X597" i="31"/>
  <c r="X598" i="31"/>
  <c r="X599" i="31"/>
  <c r="X600" i="31"/>
  <c r="X601" i="31"/>
  <c r="X602" i="31"/>
  <c r="X603" i="31"/>
  <c r="X604" i="31"/>
  <c r="X605" i="31"/>
  <c r="X606" i="31"/>
  <c r="X607" i="31"/>
  <c r="X241" i="31"/>
  <c r="X319" i="31"/>
  <c r="X323" i="31"/>
  <c r="X327" i="31"/>
  <c r="X331" i="31"/>
  <c r="X333" i="31"/>
  <c r="X335" i="31"/>
  <c r="X337" i="31"/>
  <c r="X339" i="31"/>
  <c r="X341" i="31"/>
  <c r="X343" i="31"/>
  <c r="X345" i="31"/>
  <c r="X347" i="31"/>
  <c r="X349" i="31"/>
  <c r="X351" i="31"/>
  <c r="X353" i="31"/>
  <c r="X355" i="31"/>
  <c r="X357" i="31"/>
  <c r="X359" i="31"/>
  <c r="X361" i="31"/>
  <c r="X363" i="31"/>
  <c r="X365" i="31"/>
  <c r="X367" i="31"/>
  <c r="X369" i="31"/>
  <c r="X371" i="31"/>
  <c r="X373" i="31"/>
  <c r="X375" i="31"/>
  <c r="X377" i="31"/>
  <c r="X379" i="31"/>
  <c r="X381" i="31"/>
  <c r="X383" i="31"/>
  <c r="X385" i="31"/>
  <c r="X387" i="31"/>
  <c r="X389" i="31"/>
  <c r="X391" i="31"/>
  <c r="X393" i="31"/>
  <c r="X395" i="31"/>
  <c r="X397" i="31"/>
  <c r="X399" i="31"/>
  <c r="X401" i="31"/>
  <c r="X403" i="31"/>
  <c r="X405" i="31"/>
  <c r="X407" i="31"/>
  <c r="X409" i="31"/>
  <c r="X411" i="31"/>
  <c r="X413" i="31"/>
  <c r="X415" i="31"/>
  <c r="X417" i="31"/>
  <c r="X419" i="31"/>
  <c r="X421" i="31"/>
  <c r="X423" i="31"/>
  <c r="X425" i="31"/>
  <c r="X427" i="31"/>
  <c r="X429" i="31"/>
  <c r="X431" i="31"/>
  <c r="X433" i="31"/>
  <c r="X435" i="31"/>
  <c r="X437" i="31"/>
  <c r="X439" i="31"/>
  <c r="X441" i="31"/>
  <c r="X443" i="31"/>
  <c r="X445" i="31"/>
  <c r="X447" i="31"/>
  <c r="X449" i="31"/>
  <c r="X451" i="31"/>
  <c r="X453" i="31"/>
  <c r="X455" i="31"/>
  <c r="X457" i="31"/>
  <c r="X459" i="31"/>
  <c r="X461" i="31"/>
  <c r="X463" i="31"/>
  <c r="X465" i="31"/>
  <c r="X467" i="31"/>
  <c r="X469" i="31"/>
  <c r="X471" i="31"/>
  <c r="X321" i="31"/>
  <c r="X329" i="31"/>
  <c r="X334" i="31"/>
  <c r="X338" i="31"/>
  <c r="X342" i="31"/>
  <c r="X346" i="31"/>
  <c r="X350" i="31"/>
  <c r="X354" i="31"/>
  <c r="X358" i="31"/>
  <c r="X362" i="31"/>
  <c r="X366" i="31"/>
  <c r="X370" i="31"/>
  <c r="X374" i="31"/>
  <c r="X378" i="31"/>
  <c r="X382" i="31"/>
  <c r="X386" i="31"/>
  <c r="X390" i="31"/>
  <c r="X394" i="31"/>
  <c r="X398" i="31"/>
  <c r="X402" i="31"/>
  <c r="X406" i="31"/>
  <c r="X410" i="31"/>
  <c r="X414" i="31"/>
  <c r="X418" i="31"/>
  <c r="X422" i="31"/>
  <c r="X426" i="31"/>
  <c r="X430" i="31"/>
  <c r="X434" i="31"/>
  <c r="X438" i="31"/>
  <c r="X442" i="31"/>
  <c r="X446" i="31"/>
  <c r="X450" i="31"/>
  <c r="X454" i="31"/>
  <c r="X458" i="31"/>
  <c r="X462" i="31"/>
  <c r="X466" i="31"/>
  <c r="X470" i="31"/>
  <c r="X317" i="31"/>
  <c r="X325" i="31"/>
  <c r="X332" i="31"/>
  <c r="X336" i="31"/>
  <c r="X340" i="31"/>
  <c r="X344" i="31"/>
  <c r="X348" i="31"/>
  <c r="X352" i="31"/>
  <c r="X356" i="31"/>
  <c r="X360" i="31"/>
  <c r="X364" i="31"/>
  <c r="X368" i="31"/>
  <c r="X372" i="31"/>
  <c r="X376" i="31"/>
  <c r="X380" i="31"/>
  <c r="X384" i="31"/>
  <c r="X388" i="31"/>
  <c r="X392" i="31"/>
  <c r="X396" i="31"/>
  <c r="X400" i="31"/>
  <c r="X404" i="31"/>
  <c r="X408" i="31"/>
  <c r="X412" i="31"/>
  <c r="X416" i="31"/>
  <c r="X420" i="31"/>
  <c r="X424" i="31"/>
  <c r="X428" i="31"/>
  <c r="X432" i="31"/>
  <c r="X436" i="31"/>
  <c r="X440" i="31"/>
  <c r="X444" i="31"/>
  <c r="X448" i="31"/>
  <c r="X452" i="31"/>
  <c r="X456" i="31"/>
  <c r="X460" i="31"/>
  <c r="X464" i="31"/>
  <c r="X468" i="31"/>
  <c r="X472" i="31"/>
  <c r="X318" i="31"/>
  <c r="X326" i="31"/>
  <c r="X608" i="31"/>
  <c r="X609" i="31"/>
  <c r="X610" i="31"/>
  <c r="X611" i="31"/>
  <c r="X612" i="31"/>
  <c r="X613" i="31"/>
  <c r="X614" i="31"/>
  <c r="X615" i="31"/>
  <c r="X616" i="31"/>
  <c r="X617" i="31"/>
  <c r="X618" i="31"/>
  <c r="X619" i="31"/>
  <c r="X620" i="31"/>
  <c r="X621" i="31"/>
  <c r="X622" i="31"/>
  <c r="X623" i="31"/>
  <c r="X624" i="31"/>
  <c r="X625" i="31"/>
  <c r="X626" i="31"/>
  <c r="X627" i="31"/>
  <c r="X628" i="31"/>
  <c r="X629" i="31"/>
  <c r="X630" i="31"/>
  <c r="X631" i="31"/>
  <c r="X632" i="31"/>
  <c r="X633" i="31"/>
  <c r="X634" i="31"/>
  <c r="X635" i="31"/>
  <c r="X636" i="31"/>
  <c r="X637" i="31"/>
  <c r="X638" i="31"/>
  <c r="X639" i="31"/>
  <c r="X640" i="31"/>
  <c r="X641" i="31"/>
  <c r="X642" i="31"/>
  <c r="X643" i="31"/>
  <c r="X644" i="31"/>
  <c r="X645" i="31"/>
  <c r="X646" i="31"/>
  <c r="X647" i="31"/>
  <c r="X648" i="31"/>
  <c r="X649" i="31"/>
  <c r="X650" i="31"/>
  <c r="X651" i="31"/>
  <c r="X652" i="31"/>
  <c r="X653" i="31"/>
  <c r="X654" i="31"/>
  <c r="X655" i="31"/>
  <c r="X656" i="31"/>
  <c r="X657" i="31"/>
  <c r="X658" i="31"/>
  <c r="X659" i="31"/>
  <c r="X660" i="31"/>
  <c r="X661" i="31"/>
  <c r="X662" i="31"/>
  <c r="X663" i="31"/>
  <c r="X664" i="31"/>
  <c r="X665" i="31"/>
  <c r="X666" i="31"/>
  <c r="X667" i="31"/>
  <c r="X668" i="31"/>
  <c r="X669" i="31"/>
  <c r="X670" i="31"/>
  <c r="X671" i="31"/>
  <c r="X672" i="31"/>
  <c r="X673" i="31"/>
  <c r="X674" i="31"/>
  <c r="X675" i="31"/>
  <c r="X676" i="31"/>
  <c r="X677" i="31"/>
  <c r="X678" i="31"/>
  <c r="X679" i="31"/>
  <c r="X680" i="31"/>
  <c r="X681" i="31"/>
  <c r="X682" i="31"/>
  <c r="X683" i="31"/>
  <c r="X684" i="31"/>
  <c r="X685" i="31"/>
  <c r="X686" i="31"/>
  <c r="X687" i="31"/>
  <c r="X688" i="31"/>
  <c r="X689" i="31"/>
  <c r="X690" i="31"/>
  <c r="X691" i="31"/>
  <c r="X692" i="31"/>
  <c r="X693" i="31"/>
  <c r="X694" i="31"/>
  <c r="X695" i="31"/>
  <c r="X696" i="31"/>
  <c r="X697" i="31"/>
  <c r="X698" i="31"/>
  <c r="X699" i="31"/>
  <c r="X700" i="31"/>
  <c r="X701" i="31"/>
  <c r="X702" i="31"/>
  <c r="X703" i="31"/>
  <c r="X704" i="31"/>
  <c r="X705" i="31"/>
  <c r="X706" i="31"/>
  <c r="X707" i="31"/>
  <c r="X708" i="31"/>
  <c r="X709" i="31"/>
  <c r="X710" i="31"/>
  <c r="X711" i="31"/>
  <c r="X712" i="31"/>
  <c r="X713" i="31"/>
  <c r="X714" i="31"/>
  <c r="X715" i="31"/>
  <c r="X716" i="31"/>
  <c r="X717" i="31"/>
  <c r="X718" i="31"/>
  <c r="X719" i="31"/>
  <c r="X720" i="31"/>
  <c r="X721" i="31"/>
  <c r="X722" i="31"/>
  <c r="X723" i="31"/>
  <c r="X724" i="31"/>
  <c r="X725" i="31"/>
  <c r="X726" i="31"/>
  <c r="X727" i="31"/>
  <c r="X728" i="31"/>
  <c r="X729" i="31"/>
  <c r="X730" i="31"/>
  <c r="X731" i="31"/>
  <c r="X732" i="31"/>
  <c r="X733" i="31"/>
  <c r="X734" i="31"/>
  <c r="X735" i="31"/>
  <c r="X736" i="31"/>
  <c r="X737" i="31"/>
  <c r="X738" i="31"/>
  <c r="X739" i="31"/>
  <c r="X740" i="31"/>
  <c r="X741" i="31"/>
  <c r="X742" i="31"/>
  <c r="X743" i="31"/>
  <c r="X744" i="31"/>
  <c r="X745" i="31"/>
  <c r="X746" i="31"/>
  <c r="X747" i="31"/>
  <c r="X748" i="31"/>
  <c r="X749" i="31"/>
  <c r="X750" i="31"/>
  <c r="X751" i="31"/>
  <c r="X752" i="31"/>
  <c r="X753" i="31"/>
  <c r="X754" i="31"/>
  <c r="X755" i="31"/>
  <c r="X756" i="31"/>
  <c r="X757" i="31"/>
  <c r="X758" i="31"/>
  <c r="X759" i="31"/>
  <c r="X760" i="31"/>
  <c r="X761" i="31"/>
  <c r="X762" i="31"/>
  <c r="X763" i="31"/>
  <c r="X764" i="31"/>
  <c r="X765" i="31"/>
  <c r="X766" i="31"/>
  <c r="X767" i="31"/>
  <c r="X768" i="31"/>
  <c r="X769" i="31"/>
  <c r="X770" i="31"/>
  <c r="X771" i="31"/>
  <c r="X772" i="31"/>
  <c r="X773" i="31"/>
  <c r="X774" i="31"/>
  <c r="X775" i="31"/>
  <c r="X776" i="31"/>
  <c r="X777" i="31"/>
  <c r="X778" i="31"/>
  <c r="X779" i="31"/>
  <c r="X780" i="31"/>
  <c r="X781" i="31"/>
  <c r="X782" i="31"/>
  <c r="X783" i="31"/>
  <c r="X784" i="31"/>
  <c r="X785" i="31"/>
  <c r="X786" i="31"/>
  <c r="X787" i="31"/>
  <c r="X788" i="31"/>
  <c r="X789" i="31"/>
  <c r="X790" i="31"/>
  <c r="X791" i="31"/>
  <c r="X792" i="31"/>
  <c r="X793" i="31"/>
  <c r="X794" i="31"/>
  <c r="X795" i="31"/>
  <c r="X796" i="31"/>
  <c r="X797" i="31"/>
  <c r="X798" i="31"/>
  <c r="X799" i="31"/>
  <c r="X800" i="31"/>
  <c r="X801" i="31"/>
  <c r="X802" i="31"/>
  <c r="X803" i="31"/>
  <c r="X804" i="31"/>
  <c r="X805" i="31"/>
  <c r="X806" i="31"/>
  <c r="X807" i="31"/>
  <c r="X808" i="31"/>
  <c r="X809" i="31"/>
  <c r="X810" i="31"/>
  <c r="X811" i="31"/>
  <c r="X814" i="31"/>
  <c r="X818" i="31"/>
  <c r="X822" i="31"/>
  <c r="X826" i="31"/>
  <c r="X330" i="31"/>
  <c r="X812" i="31"/>
  <c r="X816" i="31"/>
  <c r="X820" i="31"/>
  <c r="X824" i="31"/>
  <c r="X815" i="31"/>
  <c r="X819" i="31"/>
  <c r="X823" i="31"/>
  <c r="X827" i="31"/>
  <c r="X828" i="31"/>
  <c r="X829" i="31"/>
  <c r="X830" i="31"/>
  <c r="X831" i="31"/>
  <c r="X832" i="31"/>
  <c r="X833" i="31"/>
  <c r="X834" i="31"/>
  <c r="X835" i="31"/>
  <c r="X836" i="31"/>
  <c r="X837" i="31"/>
  <c r="X838" i="31"/>
  <c r="X839" i="31"/>
  <c r="X840" i="31"/>
  <c r="X841" i="31"/>
  <c r="X842" i="31"/>
  <c r="X843" i="31"/>
  <c r="X844" i="31"/>
  <c r="X845" i="31"/>
  <c r="X846" i="31"/>
  <c r="X847" i="31"/>
  <c r="X848" i="31"/>
  <c r="X849" i="31"/>
  <c r="X850" i="31"/>
  <c r="X851" i="31"/>
  <c r="X852" i="31"/>
  <c r="X853" i="31"/>
  <c r="X854" i="31"/>
  <c r="X855" i="31"/>
  <c r="X856" i="31"/>
  <c r="X857" i="31"/>
  <c r="X858" i="31"/>
  <c r="X859" i="31"/>
  <c r="X860" i="31"/>
  <c r="X861" i="31"/>
  <c r="X862" i="31"/>
  <c r="X863" i="31"/>
  <c r="X864" i="31"/>
  <c r="X865" i="31"/>
  <c r="X866" i="31"/>
  <c r="X867" i="31"/>
  <c r="X868" i="31"/>
  <c r="X869" i="31"/>
  <c r="X870" i="31"/>
  <c r="X871" i="31"/>
  <c r="X872" i="31"/>
  <c r="X873" i="31"/>
  <c r="X874" i="31"/>
  <c r="X875" i="31"/>
  <c r="X876" i="31"/>
  <c r="X877" i="31"/>
  <c r="X878" i="31"/>
  <c r="X879" i="31"/>
  <c r="X880" i="31"/>
  <c r="X881" i="31"/>
  <c r="X882" i="31"/>
  <c r="X883" i="31"/>
  <c r="X884" i="31"/>
  <c r="X885" i="31"/>
  <c r="X886" i="31"/>
  <c r="X887" i="31"/>
  <c r="X888" i="31"/>
  <c r="X889" i="31"/>
  <c r="X890" i="31"/>
  <c r="X891" i="31"/>
  <c r="X892" i="31"/>
  <c r="X893" i="31"/>
  <c r="X894" i="31"/>
  <c r="X895" i="31"/>
  <c r="X896" i="31"/>
  <c r="X897" i="31"/>
  <c r="X898" i="31"/>
  <c r="X899" i="31"/>
  <c r="X900" i="31"/>
  <c r="X901" i="31"/>
  <c r="X902" i="31"/>
  <c r="X903" i="31"/>
  <c r="X904" i="31"/>
  <c r="X905" i="31"/>
  <c r="X906" i="31"/>
  <c r="X907" i="31"/>
  <c r="X908" i="31"/>
  <c r="X909" i="31"/>
  <c r="X910" i="31"/>
  <c r="X911" i="31"/>
  <c r="X912" i="31"/>
  <c r="X913" i="31"/>
  <c r="X914" i="31"/>
  <c r="X915" i="31"/>
  <c r="X916" i="31"/>
  <c r="X917" i="31"/>
  <c r="X918" i="31"/>
  <c r="X919" i="31"/>
  <c r="X920" i="31"/>
  <c r="X921" i="31"/>
  <c r="X922" i="31"/>
  <c r="X923" i="31"/>
  <c r="X924" i="31"/>
  <c r="X925" i="31"/>
  <c r="X926" i="31"/>
  <c r="X927" i="31"/>
  <c r="X928" i="31"/>
  <c r="X929" i="31"/>
  <c r="X930" i="31"/>
  <c r="X931" i="31"/>
  <c r="X932" i="31"/>
  <c r="X933" i="31"/>
  <c r="X934" i="31"/>
  <c r="X935" i="31"/>
  <c r="X936" i="31"/>
  <c r="X937" i="31"/>
  <c r="X938" i="31"/>
  <c r="X939" i="31"/>
  <c r="X940" i="31"/>
  <c r="X941" i="31"/>
  <c r="X942" i="31"/>
  <c r="X943" i="31"/>
  <c r="X944" i="31"/>
  <c r="X945" i="31"/>
  <c r="X946" i="31"/>
  <c r="X947" i="31"/>
  <c r="X948" i="31"/>
  <c r="X949" i="31"/>
  <c r="X950" i="31"/>
  <c r="X951" i="31"/>
  <c r="X952" i="31"/>
  <c r="X953" i="31"/>
  <c r="X954" i="31"/>
  <c r="X955" i="31"/>
  <c r="X956" i="31"/>
  <c r="X957" i="31"/>
  <c r="X958" i="31"/>
  <c r="X959" i="31"/>
  <c r="X960" i="31"/>
  <c r="X961" i="31"/>
  <c r="X962" i="31"/>
  <c r="X963" i="31"/>
  <c r="X964" i="31"/>
  <c r="X965" i="31"/>
  <c r="X966" i="31"/>
  <c r="X967" i="31"/>
  <c r="X968" i="31"/>
  <c r="X969" i="31"/>
  <c r="X970" i="31"/>
  <c r="X971" i="31"/>
  <c r="X972" i="31"/>
  <c r="X973" i="31"/>
  <c r="X974" i="31"/>
  <c r="X975" i="31"/>
  <c r="X976" i="31"/>
  <c r="X977" i="31"/>
  <c r="X978" i="31"/>
  <c r="X979" i="31"/>
  <c r="X980" i="31"/>
  <c r="X981" i="31"/>
  <c r="X982" i="31"/>
  <c r="X983" i="31"/>
  <c r="X984" i="31"/>
  <c r="X985" i="31"/>
  <c r="X986" i="31"/>
  <c r="X987" i="31"/>
  <c r="X988" i="31"/>
  <c r="X989" i="31"/>
  <c r="X990" i="31"/>
  <c r="X991" i="31"/>
  <c r="X992" i="31"/>
  <c r="X993" i="31"/>
  <c r="X994" i="31"/>
  <c r="X995" i="31"/>
  <c r="X996" i="31"/>
  <c r="X997" i="31"/>
  <c r="X998" i="31"/>
  <c r="X999" i="31"/>
  <c r="X1000" i="31"/>
  <c r="X1001" i="31"/>
  <c r="X1002" i="31"/>
  <c r="X1003" i="31"/>
  <c r="X1004" i="31"/>
  <c r="X1005" i="31"/>
  <c r="X1006" i="31"/>
  <c r="X1007" i="31"/>
  <c r="X1008" i="31"/>
  <c r="X1009" i="31"/>
  <c r="X1010" i="31"/>
  <c r="X1011" i="31"/>
  <c r="X1012" i="31"/>
  <c r="X1013" i="31"/>
  <c r="X1014" i="31"/>
  <c r="X1015" i="31"/>
  <c r="X1016" i="31"/>
  <c r="X1017" i="31"/>
  <c r="X1018" i="31"/>
  <c r="X1019" i="31"/>
  <c r="X1020" i="31"/>
  <c r="X1021" i="31"/>
  <c r="X1022" i="31"/>
  <c r="X1023" i="31"/>
  <c r="X1024" i="31"/>
  <c r="X1025" i="31"/>
  <c r="X1026" i="31"/>
  <c r="X1027" i="31"/>
  <c r="X1028" i="31"/>
  <c r="X1029" i="31"/>
  <c r="X1030" i="31"/>
  <c r="X1031" i="31"/>
  <c r="X1032" i="31"/>
  <c r="X1033" i="31"/>
  <c r="X1034" i="31"/>
  <c r="X1035" i="31"/>
  <c r="X1036" i="31"/>
  <c r="X1037" i="31"/>
  <c r="X1038" i="31"/>
  <c r="X1039" i="31"/>
  <c r="X1040" i="31"/>
  <c r="X1041" i="31"/>
  <c r="X1042" i="31"/>
  <c r="X1043" i="31"/>
  <c r="X1044" i="31"/>
  <c r="X1045" i="31"/>
  <c r="X1046" i="31"/>
  <c r="X1047" i="31"/>
  <c r="X1048" i="31"/>
  <c r="X1049" i="31"/>
  <c r="X1050" i="31"/>
  <c r="X1051" i="31"/>
  <c r="X1052" i="31"/>
  <c r="X1053" i="31"/>
  <c r="X1054" i="31"/>
  <c r="X1055" i="31"/>
  <c r="X1056" i="31"/>
  <c r="X1057" i="31"/>
  <c r="X1058" i="31"/>
  <c r="X1059" i="31"/>
  <c r="X1060" i="31"/>
  <c r="X1061" i="31"/>
  <c r="X813" i="31"/>
  <c r="X1064" i="31"/>
  <c r="X1068" i="31"/>
  <c r="X1072" i="31"/>
  <c r="X1076" i="31"/>
  <c r="X1080" i="31"/>
  <c r="X1084" i="31"/>
  <c r="X1088" i="31"/>
  <c r="X1092" i="31"/>
  <c r="X1096" i="31"/>
  <c r="X1097" i="31"/>
  <c r="X1098" i="31"/>
  <c r="X1099" i="31"/>
  <c r="X1100" i="31"/>
  <c r="X1101" i="31"/>
  <c r="X1102" i="31"/>
  <c r="X1103" i="31"/>
  <c r="X1104" i="31"/>
  <c r="X1105" i="31"/>
  <c r="X1106" i="31"/>
  <c r="X1107" i="31"/>
  <c r="X1108" i="31"/>
  <c r="X1109" i="31"/>
  <c r="X1110" i="31"/>
  <c r="X1111" i="31"/>
  <c r="X1112" i="31"/>
  <c r="X1113" i="31"/>
  <c r="X1114" i="31"/>
  <c r="X1115" i="31"/>
  <c r="X1116" i="31"/>
  <c r="X1117" i="31"/>
  <c r="X1118" i="31"/>
  <c r="X1119" i="31"/>
  <c r="X1120" i="31"/>
  <c r="X1121" i="31"/>
  <c r="X1122" i="31"/>
  <c r="X1123" i="31"/>
  <c r="X1124" i="31"/>
  <c r="X1125" i="31"/>
  <c r="X1126" i="31"/>
  <c r="X1127" i="31"/>
  <c r="X1128" i="31"/>
  <c r="X1129" i="31"/>
  <c r="X1130" i="31"/>
  <c r="X1131" i="31"/>
  <c r="X1132" i="31"/>
  <c r="X1133" i="31"/>
  <c r="X1134" i="31"/>
  <c r="X1135" i="31"/>
  <c r="X1136" i="31"/>
  <c r="X1137" i="31"/>
  <c r="X1138" i="31"/>
  <c r="X1139" i="31"/>
  <c r="X1140" i="31"/>
  <c r="X1141" i="31"/>
  <c r="X1142" i="31"/>
  <c r="X1143" i="31"/>
  <c r="X1144" i="31"/>
  <c r="X1145" i="31"/>
  <c r="X1146" i="31"/>
  <c r="X1147" i="31"/>
  <c r="X1148" i="31"/>
  <c r="X1149" i="31"/>
  <c r="X1150" i="31"/>
  <c r="X1151" i="31"/>
  <c r="X1152" i="31"/>
  <c r="X1153" i="31"/>
  <c r="X1154" i="31"/>
  <c r="X1155" i="31"/>
  <c r="X1156" i="31"/>
  <c r="X1157" i="31"/>
  <c r="X1158" i="31"/>
  <c r="X1159" i="31"/>
  <c r="X1160" i="31"/>
  <c r="X1161" i="31"/>
  <c r="X1162" i="31"/>
  <c r="X1163" i="31"/>
  <c r="X1164" i="31"/>
  <c r="X1165" i="31"/>
  <c r="X1166" i="31"/>
  <c r="X1167" i="31"/>
  <c r="X1168" i="31"/>
  <c r="X1169" i="31"/>
  <c r="X1170" i="31"/>
  <c r="X1171" i="31"/>
  <c r="X1172" i="31"/>
  <c r="X1173" i="31"/>
  <c r="X1174" i="31"/>
  <c r="X1175" i="31"/>
  <c r="X1176" i="31"/>
  <c r="X1177" i="31"/>
  <c r="X1178" i="31"/>
  <c r="X1179" i="31"/>
  <c r="X1180" i="31"/>
  <c r="X1181" i="31"/>
  <c r="X1182" i="31"/>
  <c r="X1183" i="31"/>
  <c r="X1184" i="31"/>
  <c r="X1185" i="31"/>
  <c r="X1186" i="31"/>
  <c r="X1187" i="31"/>
  <c r="X1188" i="31"/>
  <c r="X1189" i="31"/>
  <c r="X1190" i="31"/>
  <c r="X1191" i="31"/>
  <c r="X1192" i="31"/>
  <c r="X1193" i="31"/>
  <c r="X1194" i="31"/>
  <c r="X1195" i="31"/>
  <c r="X1196" i="31"/>
  <c r="X1197" i="31"/>
  <c r="X1198" i="31"/>
  <c r="X1199" i="31"/>
  <c r="X1200" i="31"/>
  <c r="X1201" i="31"/>
  <c r="X1202" i="31"/>
  <c r="X1203" i="31"/>
  <c r="X1204" i="31"/>
  <c r="X1205" i="31"/>
  <c r="X1206" i="31"/>
  <c r="X1207" i="31"/>
  <c r="X1208" i="31"/>
  <c r="X1209" i="31"/>
  <c r="X1210" i="31"/>
  <c r="X1211" i="31"/>
  <c r="X1212" i="31"/>
  <c r="X1213" i="31"/>
  <c r="X1214" i="31"/>
  <c r="X1215" i="31"/>
  <c r="X1216" i="31"/>
  <c r="X1217" i="31"/>
  <c r="X1218" i="31"/>
  <c r="X1219" i="31"/>
  <c r="X1220" i="31"/>
  <c r="X1221" i="31"/>
  <c r="X1222" i="31"/>
  <c r="X1223" i="31"/>
  <c r="X1224" i="31"/>
  <c r="X1225" i="31"/>
  <c r="X1226" i="31"/>
  <c r="X1227" i="31"/>
  <c r="X1228" i="31"/>
  <c r="X1229" i="31"/>
  <c r="X1230" i="31"/>
  <c r="X1231" i="31"/>
  <c r="X1232" i="31"/>
  <c r="X1233" i="31"/>
  <c r="X1234" i="31"/>
  <c r="X1235" i="31"/>
  <c r="X1236" i="31"/>
  <c r="X1237" i="31"/>
  <c r="X1238" i="31"/>
  <c r="X1239" i="31"/>
  <c r="X1240" i="31"/>
  <c r="X1241" i="31"/>
  <c r="X1242" i="31"/>
  <c r="X1243" i="31"/>
  <c r="X1244" i="31"/>
  <c r="X1245" i="31"/>
  <c r="X1246" i="31"/>
  <c r="X1247" i="31"/>
  <c r="X1248" i="31"/>
  <c r="X1249" i="31"/>
  <c r="X1250" i="31"/>
  <c r="X1251" i="31"/>
  <c r="X1252" i="31"/>
  <c r="X1253" i="31"/>
  <c r="X1254" i="31"/>
  <c r="X1255" i="31"/>
  <c r="X1256" i="31"/>
  <c r="X1257" i="31"/>
  <c r="X1258" i="31"/>
  <c r="X1259" i="31"/>
  <c r="X1260" i="31"/>
  <c r="X1261" i="31"/>
  <c r="X1262" i="31"/>
  <c r="X1263" i="31"/>
  <c r="X1264" i="31"/>
  <c r="X1265" i="31"/>
  <c r="X1266" i="31"/>
  <c r="X1267" i="31"/>
  <c r="X1268" i="31"/>
  <c r="X1269" i="31"/>
  <c r="X1270" i="31"/>
  <c r="X1271" i="31"/>
  <c r="X1272" i="31"/>
  <c r="X1273" i="31"/>
  <c r="X1274" i="31"/>
  <c r="X1275" i="31"/>
  <c r="X1276" i="31"/>
  <c r="X1277" i="31"/>
  <c r="X1278" i="31"/>
  <c r="X1279" i="31"/>
  <c r="X1280" i="31"/>
  <c r="X1281" i="31"/>
  <c r="X1282" i="31"/>
  <c r="X1283" i="31"/>
  <c r="X1284" i="31"/>
  <c r="X1285" i="31"/>
  <c r="X1286" i="31"/>
  <c r="X1287" i="31"/>
  <c r="X1288" i="31"/>
  <c r="X1289" i="31"/>
  <c r="X1290" i="31"/>
  <c r="X1291" i="31"/>
  <c r="X1292" i="31"/>
  <c r="X1293" i="31"/>
  <c r="X1294" i="31"/>
  <c r="X1295" i="31"/>
  <c r="X1296" i="31"/>
  <c r="X1297" i="31"/>
  <c r="X1298" i="31"/>
  <c r="X1299" i="31"/>
  <c r="X1300" i="31"/>
  <c r="X1301" i="31"/>
  <c r="X1302" i="31"/>
  <c r="X1303" i="31"/>
  <c r="X1304" i="31"/>
  <c r="X1305" i="31"/>
  <c r="X1306" i="31"/>
  <c r="X1307" i="31"/>
  <c r="X1308" i="31"/>
  <c r="X1309" i="31"/>
  <c r="X1310" i="31"/>
  <c r="X1311" i="31"/>
  <c r="X1312" i="31"/>
  <c r="X1313" i="31"/>
  <c r="X1314" i="31"/>
  <c r="X1315" i="31"/>
  <c r="X1316" i="31"/>
  <c r="X1317" i="31"/>
  <c r="X1318" i="31"/>
  <c r="X1319" i="31"/>
  <c r="X1320" i="31"/>
  <c r="X1321" i="31"/>
  <c r="X1322" i="31"/>
  <c r="X1323" i="31"/>
  <c r="X1324" i="31"/>
  <c r="X1325" i="31"/>
  <c r="X1326" i="31"/>
  <c r="X1327" i="31"/>
  <c r="X1328" i="31"/>
  <c r="X1329" i="31"/>
  <c r="X1330" i="31"/>
  <c r="X1331" i="31"/>
  <c r="X1332" i="31"/>
  <c r="X1333" i="31"/>
  <c r="X1334" i="31"/>
  <c r="X1335" i="31"/>
  <c r="X1336" i="31"/>
  <c r="X1337" i="31"/>
  <c r="X1338" i="31"/>
  <c r="X1339" i="31"/>
  <c r="X1340" i="31"/>
  <c r="X1341" i="31"/>
  <c r="X1342" i="31"/>
  <c r="X1343" i="31"/>
  <c r="X1344" i="31"/>
  <c r="X1345" i="31"/>
  <c r="X1346" i="31"/>
  <c r="X1347" i="31"/>
  <c r="X1348" i="31"/>
  <c r="X1349" i="31"/>
  <c r="X1350" i="31"/>
  <c r="X1351" i="31"/>
  <c r="X1352" i="31"/>
  <c r="X1353" i="31"/>
  <c r="X1354" i="31"/>
  <c r="X1355" i="31"/>
  <c r="X1356" i="31"/>
  <c r="X1357" i="31"/>
  <c r="X1358" i="31"/>
  <c r="X1359" i="31"/>
  <c r="X1360" i="31"/>
  <c r="X1361" i="31"/>
  <c r="X1362" i="31"/>
  <c r="X1363" i="31"/>
  <c r="X1364" i="31"/>
  <c r="X1365" i="31"/>
  <c r="X1366" i="31"/>
  <c r="X1367" i="31"/>
  <c r="X1368" i="31"/>
  <c r="X1369" i="31"/>
  <c r="X1370" i="31"/>
  <c r="X1371" i="31"/>
  <c r="X1372" i="31"/>
  <c r="X1373" i="31"/>
  <c r="X1374" i="31"/>
  <c r="X1375" i="31"/>
  <c r="X1376" i="31"/>
  <c r="X1377" i="31"/>
  <c r="X1378" i="31"/>
  <c r="X1379" i="31"/>
  <c r="X1380" i="31"/>
  <c r="X1381" i="31"/>
  <c r="X1382" i="31"/>
  <c r="X1383" i="31"/>
  <c r="X1384" i="31"/>
  <c r="X1385" i="31"/>
  <c r="X1386" i="31"/>
  <c r="X1387" i="31"/>
  <c r="X1388" i="31"/>
  <c r="X1389" i="31"/>
  <c r="X1390" i="31"/>
  <c r="X1391" i="31"/>
  <c r="X1392" i="31"/>
  <c r="X1393" i="31"/>
  <c r="X1394" i="31"/>
  <c r="X1395" i="31"/>
  <c r="X1396" i="31"/>
  <c r="X1397" i="31"/>
  <c r="X1398" i="31"/>
  <c r="X1399" i="31"/>
  <c r="X1400" i="31"/>
  <c r="X1401" i="31"/>
  <c r="X1402" i="31"/>
  <c r="X1403" i="31"/>
  <c r="X1404" i="31"/>
  <c r="X1405" i="31"/>
  <c r="X1406" i="31"/>
  <c r="X1407" i="31"/>
  <c r="X1408" i="31"/>
  <c r="X1409" i="31"/>
  <c r="X1410" i="31"/>
  <c r="X1411" i="31"/>
  <c r="X1412" i="31"/>
  <c r="X1413" i="31"/>
  <c r="X1414" i="31"/>
  <c r="X1415" i="31"/>
  <c r="X1416" i="31"/>
  <c r="X1417" i="31"/>
  <c r="X1418" i="31"/>
  <c r="X1419" i="31"/>
  <c r="X1420" i="31"/>
  <c r="X1421" i="31"/>
  <c r="X1422" i="31"/>
  <c r="X1423" i="31"/>
  <c r="X1424" i="31"/>
  <c r="X1425" i="31"/>
  <c r="X1426" i="31"/>
  <c r="X1427" i="31"/>
  <c r="X1428" i="31"/>
  <c r="X1429" i="31"/>
  <c r="X1430" i="31"/>
  <c r="X1431" i="31"/>
  <c r="X1432" i="31"/>
  <c r="X1433" i="31"/>
  <c r="X1434" i="31"/>
  <c r="X1435" i="31"/>
  <c r="X1436" i="31"/>
  <c r="X1437" i="31"/>
  <c r="X1438" i="31"/>
  <c r="X1439" i="31"/>
  <c r="X1440" i="31"/>
  <c r="X1441" i="31"/>
  <c r="X1442" i="31"/>
  <c r="X1443" i="31"/>
  <c r="X1444" i="31"/>
  <c r="X1445" i="31"/>
  <c r="X1446" i="31"/>
  <c r="X1447" i="31"/>
  <c r="X1448" i="31"/>
  <c r="X1449" i="31"/>
  <c r="X1450" i="31"/>
  <c r="X1451" i="31"/>
  <c r="X1452" i="31"/>
  <c r="X1453" i="31"/>
  <c r="X821" i="31"/>
  <c r="X1062" i="31"/>
  <c r="X1066" i="31"/>
  <c r="X1070" i="31"/>
  <c r="X1074" i="31"/>
  <c r="X1078" i="31"/>
  <c r="X1082" i="31"/>
  <c r="X1086" i="31"/>
  <c r="X1090" i="31"/>
  <c r="X1094" i="31"/>
  <c r="X817" i="31"/>
  <c r="X1065" i="31"/>
  <c r="X1069" i="31"/>
  <c r="X1073" i="31"/>
  <c r="X1077" i="31"/>
  <c r="X1081" i="31"/>
  <c r="X1085" i="31"/>
  <c r="X1089" i="31"/>
  <c r="X1093" i="31"/>
  <c r="X322" i="31"/>
  <c r="X1063" i="31"/>
  <c r="X1079" i="31"/>
  <c r="X1095" i="31"/>
  <c r="X2" i="31"/>
  <c r="X825" i="31"/>
  <c r="X1071" i="31"/>
  <c r="X1087" i="31"/>
  <c r="X1075" i="31"/>
  <c r="X1091" i="31"/>
  <c r="X1067" i="31"/>
  <c r="X1083" i="31"/>
  <c r="X1454" i="31"/>
  <c r="X1455" i="31"/>
  <c r="X1456" i="31"/>
  <c r="X1457" i="31"/>
  <c r="X1458" i="31"/>
  <c r="X1459" i="31"/>
  <c r="X1460" i="31"/>
  <c r="X1461" i="31"/>
  <c r="X1462" i="31"/>
  <c r="X1463" i="31"/>
  <c r="X1464" i="31"/>
  <c r="X1465" i="31"/>
  <c r="X1466" i="31"/>
  <c r="X1467" i="31"/>
  <c r="X1468" i="31"/>
  <c r="X1469" i="31"/>
  <c r="X1470" i="31"/>
  <c r="X1471" i="31"/>
  <c r="X1472" i="31"/>
  <c r="X1473" i="31"/>
  <c r="X1474" i="31"/>
  <c r="X1475" i="31"/>
  <c r="X1476" i="31"/>
  <c r="X1477" i="31"/>
  <c r="X1478" i="31"/>
  <c r="X1479" i="31"/>
  <c r="X1480" i="31"/>
  <c r="X1481" i="31"/>
  <c r="X1482" i="31"/>
  <c r="X1483" i="31"/>
  <c r="X1484" i="31"/>
  <c r="X1485" i="31"/>
  <c r="X1486" i="31"/>
  <c r="X1487" i="31"/>
  <c r="X1488" i="31"/>
  <c r="X1489" i="31"/>
  <c r="X1490" i="31"/>
  <c r="X1491" i="31"/>
  <c r="X1492" i="31"/>
  <c r="X1493" i="31"/>
  <c r="X1494" i="31"/>
  <c r="X1495" i="31"/>
  <c r="X1496" i="31"/>
  <c r="X1497" i="31"/>
  <c r="X1498" i="31"/>
  <c r="X1499" i="31"/>
  <c r="X1500" i="31"/>
  <c r="X1501" i="31"/>
  <c r="X1502" i="31"/>
  <c r="X1503" i="31"/>
  <c r="X1504" i="31"/>
  <c r="X1505" i="31"/>
  <c r="X1506" i="31"/>
  <c r="X1507" i="31"/>
  <c r="X1508" i="31"/>
  <c r="X1509" i="31"/>
  <c r="X1510" i="31"/>
  <c r="X1511" i="31"/>
  <c r="X1512" i="31"/>
  <c r="X1513" i="31"/>
  <c r="X1514" i="31"/>
  <c r="X1515" i="31"/>
  <c r="X1516" i="31"/>
  <c r="X1517" i="31"/>
  <c r="X1518" i="31"/>
  <c r="X1519" i="31"/>
  <c r="X1520" i="31"/>
  <c r="X1521" i="31"/>
  <c r="X1522" i="31"/>
  <c r="X1523" i="31"/>
  <c r="X1524" i="31"/>
  <c r="X1525" i="31"/>
  <c r="X1526" i="31"/>
  <c r="X1527" i="31"/>
  <c r="X1528" i="31"/>
  <c r="X1529" i="31"/>
  <c r="X1530" i="31"/>
  <c r="X1531" i="31"/>
  <c r="X1532" i="31"/>
  <c r="X1533" i="31"/>
  <c r="X1534" i="31"/>
  <c r="X1535" i="31"/>
  <c r="X1536" i="31"/>
  <c r="X1537" i="31"/>
  <c r="X1538" i="31"/>
  <c r="X1539" i="31"/>
  <c r="X1540" i="31"/>
  <c r="X1541" i="31"/>
  <c r="X1542" i="31"/>
  <c r="X1543" i="31"/>
  <c r="X1544" i="31"/>
  <c r="X1545" i="31"/>
  <c r="X1546" i="31"/>
  <c r="X1547" i="31"/>
  <c r="X1548" i="31"/>
  <c r="X1549" i="31"/>
  <c r="X1550" i="31"/>
  <c r="X1551" i="31"/>
  <c r="X1552" i="31"/>
  <c r="X1553" i="31"/>
  <c r="X1554" i="31"/>
  <c r="X1555" i="31"/>
  <c r="X1556" i="31"/>
  <c r="X1557" i="31"/>
  <c r="X1558" i="31"/>
  <c r="X1559" i="31"/>
  <c r="X1560" i="31"/>
  <c r="X1561" i="31"/>
  <c r="X1562" i="31"/>
  <c r="X1563" i="31"/>
  <c r="X1564" i="31"/>
  <c r="X1565" i="31"/>
  <c r="X1566" i="31"/>
  <c r="X1567" i="31"/>
  <c r="X1568" i="31"/>
  <c r="X1569" i="31"/>
  <c r="X1570" i="31"/>
  <c r="X1571" i="31"/>
  <c r="X1572" i="31"/>
  <c r="X1573" i="31"/>
  <c r="X1574" i="31"/>
  <c r="X1575" i="31"/>
  <c r="X1576" i="31"/>
  <c r="X1577" i="31"/>
  <c r="X1578" i="31"/>
  <c r="X1579" i="31"/>
  <c r="X1580" i="31"/>
  <c r="X1581" i="31"/>
  <c r="X1582" i="31"/>
  <c r="X1583" i="31"/>
  <c r="X1584" i="31"/>
  <c r="X1585" i="31"/>
  <c r="X1586" i="31"/>
  <c r="X1587" i="31"/>
  <c r="X1588" i="31"/>
  <c r="X1589" i="31"/>
  <c r="X1590" i="31"/>
  <c r="X1591" i="31"/>
  <c r="X1592" i="31"/>
  <c r="X1593" i="31"/>
  <c r="X1594" i="31"/>
  <c r="X1595" i="31"/>
  <c r="X1596" i="31"/>
  <c r="X1597" i="31"/>
  <c r="X1598" i="31"/>
  <c r="X1599" i="31"/>
  <c r="X1600" i="31"/>
  <c r="X1601" i="31"/>
  <c r="X1602" i="31"/>
  <c r="X1603" i="31"/>
  <c r="X1604" i="31"/>
  <c r="X1605" i="31"/>
  <c r="X1606" i="31"/>
  <c r="X1607" i="31"/>
  <c r="X1608" i="31"/>
  <c r="X1609" i="31"/>
  <c r="X1610" i="31"/>
  <c r="X1611" i="31"/>
  <c r="X1612" i="31"/>
  <c r="X1613" i="31"/>
  <c r="X1614" i="31"/>
  <c r="X1615" i="31"/>
  <c r="X1616" i="31"/>
  <c r="X1617" i="31"/>
  <c r="X1618" i="31"/>
  <c r="X1619" i="31"/>
  <c r="X1620" i="31"/>
  <c r="X1621" i="31"/>
  <c r="X1622" i="31"/>
  <c r="X1623" i="31"/>
  <c r="X1624" i="31"/>
  <c r="X1625" i="31"/>
  <c r="X1626" i="31"/>
  <c r="X1627" i="31"/>
  <c r="X1628" i="31"/>
  <c r="X1629" i="31"/>
  <c r="X1630" i="31"/>
  <c r="X1631" i="31"/>
  <c r="X1632" i="31"/>
  <c r="X1633" i="31"/>
  <c r="X1634" i="31"/>
  <c r="X1635" i="31"/>
  <c r="X1636" i="31"/>
  <c r="X1637" i="31"/>
  <c r="X1638" i="31"/>
  <c r="X1639" i="31"/>
  <c r="X1640" i="31"/>
  <c r="X1641" i="31"/>
  <c r="X1642" i="31"/>
  <c r="X1643" i="31"/>
  <c r="X1644" i="31"/>
  <c r="X1645" i="31"/>
  <c r="X1646" i="31"/>
  <c r="X1647" i="31"/>
  <c r="X1648" i="31"/>
  <c r="X1649" i="31"/>
  <c r="X1650" i="31"/>
  <c r="X1651" i="31"/>
  <c r="X1652" i="31"/>
  <c r="X1653" i="31"/>
  <c r="X1654" i="31"/>
  <c r="X1655" i="31"/>
  <c r="X1656" i="31"/>
  <c r="X1657" i="31"/>
  <c r="X1658" i="31"/>
  <c r="X1659" i="31"/>
  <c r="X1660" i="31"/>
  <c r="X1661" i="31"/>
  <c r="X1662" i="31"/>
  <c r="X1663" i="31"/>
  <c r="X1664" i="31"/>
  <c r="X1665" i="31"/>
  <c r="X1666" i="31"/>
  <c r="X1667" i="31"/>
  <c r="X1668" i="31"/>
  <c r="X1669" i="31"/>
  <c r="X1670" i="31"/>
  <c r="X1671" i="31"/>
  <c r="X1672" i="31"/>
  <c r="X1673" i="31"/>
  <c r="X1674" i="31"/>
  <c r="X1675" i="31"/>
  <c r="X1676" i="31"/>
  <c r="X1677" i="31"/>
  <c r="X1678" i="31"/>
  <c r="X1679" i="31"/>
  <c r="X1680" i="31"/>
  <c r="X1681" i="31"/>
  <c r="X1682" i="31"/>
  <c r="X1683" i="31"/>
  <c r="X1684" i="31"/>
  <c r="X1685" i="31"/>
  <c r="X1686" i="31"/>
  <c r="X1687" i="31"/>
  <c r="X1688" i="31"/>
  <c r="X1689" i="31"/>
  <c r="X1690" i="31"/>
  <c r="X1691" i="31"/>
  <c r="X1692" i="31"/>
  <c r="X1693" i="31"/>
  <c r="X1694" i="31"/>
  <c r="X1695" i="31"/>
  <c r="X1696" i="31"/>
  <c r="X1697" i="31"/>
  <c r="X1698" i="31"/>
  <c r="X1699" i="31"/>
  <c r="X1700" i="31"/>
  <c r="X1701" i="31"/>
  <c r="X1702" i="31"/>
  <c r="X1703" i="31"/>
  <c r="X1704" i="31"/>
  <c r="X1705" i="31"/>
  <c r="X1706" i="31"/>
  <c r="X1707" i="31"/>
  <c r="X1708" i="31"/>
  <c r="X1709" i="31"/>
  <c r="X1710" i="31"/>
  <c r="X1711" i="31"/>
  <c r="X1712" i="31"/>
  <c r="X1713" i="31"/>
  <c r="X1714" i="31"/>
  <c r="X1715" i="31"/>
  <c r="X1716" i="31"/>
  <c r="X1717" i="31"/>
  <c r="X1718" i="31"/>
  <c r="X1719" i="31"/>
  <c r="X1720" i="31"/>
  <c r="X1721" i="31"/>
  <c r="X1722" i="31"/>
  <c r="X1723" i="31"/>
  <c r="X1724" i="31"/>
  <c r="X1725" i="31"/>
  <c r="X1726" i="31"/>
  <c r="X1727" i="31"/>
  <c r="X1728" i="31"/>
  <c r="X1729" i="31"/>
  <c r="X1730" i="31"/>
  <c r="X1731" i="31"/>
  <c r="X1732" i="31"/>
  <c r="X1733" i="31"/>
  <c r="X1734" i="31"/>
  <c r="X1735" i="31"/>
  <c r="X1736" i="31"/>
  <c r="X1737" i="31"/>
  <c r="X1738" i="31"/>
  <c r="X1739" i="31"/>
  <c r="X1740" i="31"/>
  <c r="X1741" i="31"/>
  <c r="LB36" i="10"/>
  <c r="LB35" i="10"/>
  <c r="LB34" i="10"/>
  <c r="LB33" i="10"/>
  <c r="LB32" i="10"/>
  <c r="LB31" i="10"/>
  <c r="LB30" i="10"/>
  <c r="LB29" i="10"/>
  <c r="LB28" i="10"/>
  <c r="LB27" i="10"/>
  <c r="LB26" i="10"/>
  <c r="LB25" i="10"/>
  <c r="LB24" i="10"/>
  <c r="LB10" i="10"/>
  <c r="LB9" i="10"/>
  <c r="LB8" i="10"/>
  <c r="LB7" i="10"/>
  <c r="KV10" i="10"/>
  <c r="KV9" i="10"/>
  <c r="KV8" i="10"/>
  <c r="KV7" i="10"/>
  <c r="KR7" i="10"/>
  <c r="KR8" i="10" s="1"/>
  <c r="KR9" i="10" s="1"/>
  <c r="KR10" i="10" s="1"/>
  <c r="KR11" i="10" s="1"/>
  <c r="KR12" i="10" s="1"/>
  <c r="KR13" i="10" s="1"/>
  <c r="KR14" i="10" s="1"/>
  <c r="KR15" i="10" s="1"/>
  <c r="KR16" i="10" s="1"/>
  <c r="KR17" i="10" s="1"/>
  <c r="KR18" i="10" s="1"/>
  <c r="KR19" i="10" s="1"/>
  <c r="KR20" i="10" s="1"/>
  <c r="KR21" i="10" s="1"/>
  <c r="KR22" i="10" s="1"/>
  <c r="KR23" i="10" s="1"/>
  <c r="KR24" i="10" s="1"/>
  <c r="KR25" i="10" s="1"/>
  <c r="KR26" i="10" s="1"/>
  <c r="KR27" i="10" s="1"/>
  <c r="KR28" i="10" s="1"/>
  <c r="KR29" i="10" s="1"/>
  <c r="KR30" i="10" s="1"/>
  <c r="KR31" i="10" s="1"/>
  <c r="KR32" i="10" s="1"/>
  <c r="KR33" i="10" s="1"/>
  <c r="KR34" i="10" s="1"/>
  <c r="KR35" i="10" s="1"/>
  <c r="KR36" i="10" s="1"/>
  <c r="KO11" i="10"/>
  <c r="KO12" i="10" s="1"/>
  <c r="KT11" i="10"/>
  <c r="KT12" i="10"/>
  <c r="KT13" i="10"/>
  <c r="KT14" i="10"/>
  <c r="KT15" i="10"/>
  <c r="KT16" i="10"/>
  <c r="KT17" i="10"/>
  <c r="KT18" i="10"/>
  <c r="KT19" i="10"/>
  <c r="KT20" i="10"/>
  <c r="KT21" i="10"/>
  <c r="KT22" i="10"/>
  <c r="KT23" i="10"/>
  <c r="KS7" i="10"/>
  <c r="KS8" i="10"/>
  <c r="KS9" i="10"/>
  <c r="KS10" i="10"/>
  <c r="KT25" i="10"/>
  <c r="KT26" i="10"/>
  <c r="KT27" i="10"/>
  <c r="KT28" i="10"/>
  <c r="KT29" i="10"/>
  <c r="KT30" i="10"/>
  <c r="KT31" i="10"/>
  <c r="KT32" i="10"/>
  <c r="KT33" i="10"/>
  <c r="KT34" i="10"/>
  <c r="KT35" i="10"/>
  <c r="KT36" i="10"/>
  <c r="KT24" i="10"/>
  <c r="I127" i="9"/>
  <c r="J127" i="9" s="1"/>
  <c r="KS16" i="10"/>
  <c r="KS17" i="10"/>
  <c r="KQ18" i="10"/>
  <c r="KQ19" i="10"/>
  <c r="KQ20" i="10"/>
  <c r="KS21" i="10"/>
  <c r="KQ22" i="10"/>
  <c r="KQ23" i="10"/>
  <c r="KS15" i="10"/>
  <c r="KQ14" i="10"/>
  <c r="I126" i="9"/>
  <c r="J126" i="9" s="1"/>
  <c r="G126" i="9"/>
  <c r="G127" i="9"/>
  <c r="G128" i="9"/>
  <c r="G129" i="9"/>
  <c r="G130" i="9"/>
  <c r="G131" i="9"/>
  <c r="G132" i="9"/>
  <c r="G133" i="9"/>
  <c r="G125" i="9"/>
  <c r="LF15" i="10" l="1"/>
  <c r="LG15" i="10" s="1"/>
  <c r="LF8" i="10"/>
  <c r="LG8" i="10" s="1"/>
  <c r="LF21" i="10"/>
  <c r="LG21" i="10" s="1"/>
  <c r="LF17" i="10"/>
  <c r="LG17" i="10" s="1"/>
  <c r="LF10" i="10"/>
  <c r="LG10" i="10" s="1"/>
  <c r="LF16" i="10"/>
  <c r="LG16" i="10" s="1"/>
  <c r="LF9" i="10"/>
  <c r="LG9" i="10" s="1"/>
  <c r="LF7" i="10"/>
  <c r="LI15" i="10"/>
  <c r="LC15" i="10"/>
  <c r="LJ15" i="10" s="1"/>
  <c r="LD15" i="10" s="1"/>
  <c r="LE15" i="10" s="1"/>
  <c r="LC16" i="10"/>
  <c r="LJ16" i="10" s="1"/>
  <c r="LD16" i="10" s="1"/>
  <c r="LE16" i="10" s="1"/>
  <c r="LI16" i="10"/>
  <c r="LI9" i="10"/>
  <c r="LC9" i="10"/>
  <c r="LJ9" i="10" s="1"/>
  <c r="LD9" i="10" s="1"/>
  <c r="LE9" i="10" s="1"/>
  <c r="LC8" i="10"/>
  <c r="LJ8" i="10" s="1"/>
  <c r="LD8" i="10" s="1"/>
  <c r="LE8" i="10" s="1"/>
  <c r="LI8" i="10"/>
  <c r="LI21" i="10"/>
  <c r="LC21" i="10"/>
  <c r="LJ21" i="10" s="1"/>
  <c r="LD21" i="10" s="1"/>
  <c r="LE21" i="10" s="1"/>
  <c r="LI17" i="10"/>
  <c r="LC17" i="10"/>
  <c r="LJ17" i="10" s="1"/>
  <c r="LD17" i="10" s="1"/>
  <c r="LE17" i="10" s="1"/>
  <c r="LI10" i="10"/>
  <c r="LC10" i="10"/>
  <c r="LJ10" i="10" s="1"/>
  <c r="LD10" i="10" s="1"/>
  <c r="LE10" i="10" s="1"/>
  <c r="LI7" i="10"/>
  <c r="LC7" i="10"/>
  <c r="LJ7" i="10" s="1"/>
  <c r="LD7" i="10" s="1"/>
  <c r="LE7" i="10" s="1"/>
  <c r="KS20" i="10"/>
  <c r="KQ16" i="10"/>
  <c r="KQ21" i="10"/>
  <c r="KQ15" i="10"/>
  <c r="KQ17" i="10"/>
  <c r="KS14" i="10"/>
  <c r="KS23" i="10"/>
  <c r="KS19" i="10"/>
  <c r="KS22" i="10"/>
  <c r="KS18" i="10"/>
  <c r="KO13" i="10"/>
  <c r="KQ13" i="10" s="1"/>
  <c r="KQ12" i="10"/>
  <c r="KS12" i="10"/>
  <c r="KS11" i="10"/>
  <c r="KQ11" i="10"/>
  <c r="LH9" i="10" l="1"/>
  <c r="LH10" i="10"/>
  <c r="LH21" i="10"/>
  <c r="LK21" i="10" s="1"/>
  <c r="LF22" i="10"/>
  <c r="LG22" i="10" s="1"/>
  <c r="LF23" i="10"/>
  <c r="LG23" i="10" s="1"/>
  <c r="LG7" i="10"/>
  <c r="LH7" i="10" s="1"/>
  <c r="LH16" i="10"/>
  <c r="LF12" i="10"/>
  <c r="LG12" i="10" s="1"/>
  <c r="LF20" i="10"/>
  <c r="LG20" i="10" s="1"/>
  <c r="LF19" i="10"/>
  <c r="LG19" i="10" s="1"/>
  <c r="LF11" i="10"/>
  <c r="LG11" i="10" s="1"/>
  <c r="LF18" i="10"/>
  <c r="LG18" i="10" s="1"/>
  <c r="LF14" i="10"/>
  <c r="LG14" i="10" s="1"/>
  <c r="LH15" i="10"/>
  <c r="LH17" i="10"/>
  <c r="LH8" i="10"/>
  <c r="LC11" i="10"/>
  <c r="LJ11" i="10" s="1"/>
  <c r="LD11" i="10" s="1"/>
  <c r="LE11" i="10" s="1"/>
  <c r="LI11" i="10"/>
  <c r="LI18" i="10"/>
  <c r="LC18" i="10"/>
  <c r="LJ18" i="10" s="1"/>
  <c r="LD18" i="10" s="1"/>
  <c r="LE18" i="10" s="1"/>
  <c r="LC14" i="10"/>
  <c r="LJ14" i="10" s="1"/>
  <c r="LD14" i="10" s="1"/>
  <c r="LE14" i="10" s="1"/>
  <c r="LI14" i="10"/>
  <c r="LC22" i="10"/>
  <c r="LJ22" i="10" s="1"/>
  <c r="LD22" i="10" s="1"/>
  <c r="LE22" i="10" s="1"/>
  <c r="LI22" i="10"/>
  <c r="LI12" i="10"/>
  <c r="LC12" i="10"/>
  <c r="LJ12" i="10" s="1"/>
  <c r="LD12" i="10" s="1"/>
  <c r="LE12" i="10" s="1"/>
  <c r="LI20" i="10"/>
  <c r="LC20" i="10"/>
  <c r="LJ20" i="10" s="1"/>
  <c r="LD20" i="10" s="1"/>
  <c r="LE20" i="10" s="1"/>
  <c r="LC19" i="10"/>
  <c r="LJ19" i="10" s="1"/>
  <c r="LD19" i="10" s="1"/>
  <c r="LE19" i="10" s="1"/>
  <c r="LI19" i="10"/>
  <c r="LI23" i="10"/>
  <c r="LC23" i="10"/>
  <c r="LJ23" i="10" s="1"/>
  <c r="LD23" i="10" s="1"/>
  <c r="LE23" i="10" s="1"/>
  <c r="KS13" i="10"/>
  <c r="CW13" i="10"/>
  <c r="CM13" i="10"/>
  <c r="CC13" i="10"/>
  <c r="CW12" i="10"/>
  <c r="CM12" i="10"/>
  <c r="CC12" i="10"/>
  <c r="CW11" i="10"/>
  <c r="CM11" i="10"/>
  <c r="CC11" i="10"/>
  <c r="EC10" i="10"/>
  <c r="DR10" i="10"/>
  <c r="DG10" i="10"/>
  <c r="CW10" i="10"/>
  <c r="CM10" i="10"/>
  <c r="CC10" i="10"/>
  <c r="EC9" i="10"/>
  <c r="DR9" i="10"/>
  <c r="DG9" i="10"/>
  <c r="CW9" i="10"/>
  <c r="CM9" i="10"/>
  <c r="CC9" i="10"/>
  <c r="EC8" i="10"/>
  <c r="DR8" i="10"/>
  <c r="DG8" i="10"/>
  <c r="CW8" i="10"/>
  <c r="CM8" i="10"/>
  <c r="CC8" i="10"/>
  <c r="EC7" i="10"/>
  <c r="DR7" i="10"/>
  <c r="DG7" i="10"/>
  <c r="CW7" i="10"/>
  <c r="CM7" i="10"/>
  <c r="CC7" i="10"/>
  <c r="BB36" i="10"/>
  <c r="BB35" i="10"/>
  <c r="BB34" i="10"/>
  <c r="BB33" i="10"/>
  <c r="BB32" i="10"/>
  <c r="BB31" i="10"/>
  <c r="BB30" i="10"/>
  <c r="BB29" i="10"/>
  <c r="BB28" i="10"/>
  <c r="BB27" i="10"/>
  <c r="BB26" i="10"/>
  <c r="BB25" i="10"/>
  <c r="BB24" i="10"/>
  <c r="BB23" i="10"/>
  <c r="BB22" i="10"/>
  <c r="BB21" i="10"/>
  <c r="BB20" i="10"/>
  <c r="BB19" i="10"/>
  <c r="BB18" i="10"/>
  <c r="BB17" i="10"/>
  <c r="BB16" i="10"/>
  <c r="BB15" i="10"/>
  <c r="BB14" i="10"/>
  <c r="BI13" i="10"/>
  <c r="BB13" i="10"/>
  <c r="BI12" i="10"/>
  <c r="BB12" i="10"/>
  <c r="BI11" i="10"/>
  <c r="BB11" i="10"/>
  <c r="BI10" i="10"/>
  <c r="BA10" i="10"/>
  <c r="BI9" i="10"/>
  <c r="BA9" i="10"/>
  <c r="BI8" i="10"/>
  <c r="BA8" i="10"/>
  <c r="BI7" i="10"/>
  <c r="BA7" i="10"/>
  <c r="BD10" i="10"/>
  <c r="BD9" i="10"/>
  <c r="BD8" i="10"/>
  <c r="BD7" i="10"/>
  <c r="BE7" i="10" s="1"/>
  <c r="AZ7" i="10"/>
  <c r="AZ8" i="10" s="1"/>
  <c r="AZ9" i="10" s="1"/>
  <c r="AZ10" i="10" s="1"/>
  <c r="AZ11" i="10" s="1"/>
  <c r="AZ12" i="10" s="1"/>
  <c r="AZ13" i="10" s="1"/>
  <c r="AZ14" i="10" s="1"/>
  <c r="AZ15" i="10" s="1"/>
  <c r="AZ16" i="10" s="1"/>
  <c r="AZ17" i="10" s="1"/>
  <c r="AZ18" i="10" s="1"/>
  <c r="AZ19" i="10" s="1"/>
  <c r="AZ20" i="10" s="1"/>
  <c r="AZ21" i="10" s="1"/>
  <c r="AZ22" i="10" s="1"/>
  <c r="AZ23" i="10" s="1"/>
  <c r="AZ24" i="10" s="1"/>
  <c r="AZ25" i="10" s="1"/>
  <c r="AZ26" i="10" s="1"/>
  <c r="AZ27" i="10" s="1"/>
  <c r="AZ28" i="10" s="1"/>
  <c r="AZ29" i="10" s="1"/>
  <c r="AZ30" i="10" s="1"/>
  <c r="AZ31" i="10" s="1"/>
  <c r="AZ32" i="10" s="1"/>
  <c r="AZ33" i="10" s="1"/>
  <c r="AZ34" i="10" s="1"/>
  <c r="AZ35" i="10" s="1"/>
  <c r="AZ36" i="10" s="1"/>
  <c r="CW15" i="18"/>
  <c r="CM15" i="18"/>
  <c r="CC15" i="18"/>
  <c r="CW14" i="18"/>
  <c r="CM14" i="18"/>
  <c r="CC14" i="18"/>
  <c r="CW13" i="18"/>
  <c r="CM13" i="18"/>
  <c r="CC13" i="18"/>
  <c r="CW12" i="18"/>
  <c r="CM12" i="18"/>
  <c r="CC12" i="18"/>
  <c r="CW11" i="18"/>
  <c r="CM11" i="18"/>
  <c r="CC11" i="18"/>
  <c r="EC10" i="18"/>
  <c r="DR10" i="18"/>
  <c r="DG10" i="18"/>
  <c r="CW10" i="18"/>
  <c r="CM10" i="18"/>
  <c r="CC10" i="18"/>
  <c r="EC9" i="18"/>
  <c r="DR9" i="18"/>
  <c r="DG9" i="18"/>
  <c r="CW9" i="18"/>
  <c r="CM9" i="18"/>
  <c r="CC9" i="18"/>
  <c r="EC8" i="18"/>
  <c r="DR8" i="18"/>
  <c r="DG8" i="18"/>
  <c r="CW8" i="18"/>
  <c r="CM8" i="18"/>
  <c r="CC8" i="18"/>
  <c r="EC7" i="18"/>
  <c r="DR7" i="18"/>
  <c r="DG7" i="18"/>
  <c r="CW7" i="18"/>
  <c r="CM7" i="18"/>
  <c r="CC7" i="18"/>
  <c r="BB36" i="18"/>
  <c r="BB35" i="18"/>
  <c r="BB34" i="18"/>
  <c r="BB33" i="18"/>
  <c r="BB32" i="18"/>
  <c r="BB31" i="18"/>
  <c r="BB30" i="18"/>
  <c r="BB29" i="18"/>
  <c r="BB28" i="18"/>
  <c r="BB27" i="18"/>
  <c r="BB26" i="18"/>
  <c r="BB25" i="18"/>
  <c r="BB24" i="18"/>
  <c r="BB23" i="18"/>
  <c r="BB22" i="18"/>
  <c r="BB21" i="18"/>
  <c r="BB20" i="18"/>
  <c r="BB19" i="18"/>
  <c r="BB18" i="18"/>
  <c r="BB17" i="18"/>
  <c r="BB16" i="18"/>
  <c r="BI15" i="18"/>
  <c r="BB15" i="18"/>
  <c r="BI14" i="18"/>
  <c r="BB14" i="18"/>
  <c r="BI13" i="18"/>
  <c r="BB13" i="18"/>
  <c r="BI12" i="18"/>
  <c r="BB12" i="18"/>
  <c r="BI11" i="18"/>
  <c r="BB11" i="18"/>
  <c r="BI10" i="18"/>
  <c r="BA10" i="18"/>
  <c r="BI9" i="18"/>
  <c r="BA9" i="18"/>
  <c r="BI8" i="18"/>
  <c r="BA8" i="18"/>
  <c r="BI7" i="18"/>
  <c r="BA7" i="18"/>
  <c r="BD10" i="18"/>
  <c r="BD9" i="18"/>
  <c r="BD8" i="18"/>
  <c r="BD7" i="18"/>
  <c r="BE7" i="18" s="1"/>
  <c r="AZ7" i="18"/>
  <c r="AZ8" i="18" s="1"/>
  <c r="AZ9" i="18" s="1"/>
  <c r="AZ10" i="18" s="1"/>
  <c r="AZ11" i="18" s="1"/>
  <c r="AZ12" i="18" s="1"/>
  <c r="AZ13" i="18" s="1"/>
  <c r="AZ14" i="18" s="1"/>
  <c r="AZ15" i="18" s="1"/>
  <c r="AZ16" i="18" s="1"/>
  <c r="AZ17" i="18" s="1"/>
  <c r="AZ18" i="18" s="1"/>
  <c r="AZ19" i="18" s="1"/>
  <c r="AZ20" i="18" s="1"/>
  <c r="AZ21" i="18" s="1"/>
  <c r="AZ22" i="18" s="1"/>
  <c r="AZ23" i="18" s="1"/>
  <c r="AZ24" i="18" s="1"/>
  <c r="AZ25" i="18" s="1"/>
  <c r="AZ26" i="18" s="1"/>
  <c r="AZ27" i="18" s="1"/>
  <c r="AZ28" i="18" s="1"/>
  <c r="AZ29" i="18" s="1"/>
  <c r="AZ30" i="18" s="1"/>
  <c r="AZ31" i="18" s="1"/>
  <c r="AZ32" i="18" s="1"/>
  <c r="AZ33" i="18" s="1"/>
  <c r="AZ34" i="18" s="1"/>
  <c r="AZ35" i="18" s="1"/>
  <c r="AZ36" i="18" s="1"/>
  <c r="CW15" i="21"/>
  <c r="CW14" i="21"/>
  <c r="CM14" i="21"/>
  <c r="CC14" i="21"/>
  <c r="CW13" i="21"/>
  <c r="CM13" i="21"/>
  <c r="CC13" i="21"/>
  <c r="CW12" i="21"/>
  <c r="CM12" i="21"/>
  <c r="CC12" i="21"/>
  <c r="CW11" i="21"/>
  <c r="CM11" i="21"/>
  <c r="CC11" i="21"/>
  <c r="EC10" i="21"/>
  <c r="DR10" i="21"/>
  <c r="DG10" i="21"/>
  <c r="CW10" i="21"/>
  <c r="CM10" i="21"/>
  <c r="CC10" i="21"/>
  <c r="EC9" i="21"/>
  <c r="DR9" i="21"/>
  <c r="DG9" i="21"/>
  <c r="CW9" i="21"/>
  <c r="CM9" i="21"/>
  <c r="CC9" i="21"/>
  <c r="EC8" i="21"/>
  <c r="DR8" i="21"/>
  <c r="DG8" i="21"/>
  <c r="CW8" i="21"/>
  <c r="CM8" i="21"/>
  <c r="CC8" i="21"/>
  <c r="EC7" i="21"/>
  <c r="DR7" i="21"/>
  <c r="DG7" i="21"/>
  <c r="CW7" i="21"/>
  <c r="CM7" i="21"/>
  <c r="CC7" i="21"/>
  <c r="BB36" i="21"/>
  <c r="BB35" i="21"/>
  <c r="BB34" i="21"/>
  <c r="BB33" i="21"/>
  <c r="BB32" i="21"/>
  <c r="BB31" i="21"/>
  <c r="BB30" i="21"/>
  <c r="BB29" i="21"/>
  <c r="BB28" i="21"/>
  <c r="BB27" i="21"/>
  <c r="BB26" i="21"/>
  <c r="BB25" i="21"/>
  <c r="BB24" i="21"/>
  <c r="BB23" i="21"/>
  <c r="BB22" i="21"/>
  <c r="BB21" i="21"/>
  <c r="BB20" i="21"/>
  <c r="BB19" i="21"/>
  <c r="BB18" i="21"/>
  <c r="BB17" i="21"/>
  <c r="BB16" i="21"/>
  <c r="BI15" i="21"/>
  <c r="BB15" i="21"/>
  <c r="BI14" i="21"/>
  <c r="BB14" i="21"/>
  <c r="BI13" i="21"/>
  <c r="BB13" i="21"/>
  <c r="BI12" i="21"/>
  <c r="BB12" i="21"/>
  <c r="BI11" i="21"/>
  <c r="BB11" i="21"/>
  <c r="BI10" i="21"/>
  <c r="BA10" i="21"/>
  <c r="BI9" i="21"/>
  <c r="BA9" i="21"/>
  <c r="BI8" i="21"/>
  <c r="BA8" i="21"/>
  <c r="BI7" i="21"/>
  <c r="BA7" i="21"/>
  <c r="BD10" i="21"/>
  <c r="BD9" i="21"/>
  <c r="BD8" i="21"/>
  <c r="BD7" i="21"/>
  <c r="BE7" i="21" s="1"/>
  <c r="BY7" i="21" s="1"/>
  <c r="AZ7" i="21"/>
  <c r="AZ8" i="21" s="1"/>
  <c r="AZ9" i="21" s="1"/>
  <c r="AZ10" i="21" s="1"/>
  <c r="AZ11" i="21" s="1"/>
  <c r="AZ12" i="21" s="1"/>
  <c r="AZ13" i="21" s="1"/>
  <c r="AZ14" i="21" s="1"/>
  <c r="AZ15" i="21" s="1"/>
  <c r="AZ16" i="21" s="1"/>
  <c r="AZ17" i="21" s="1"/>
  <c r="AZ18" i="21" s="1"/>
  <c r="AZ19" i="21" s="1"/>
  <c r="AZ20" i="21" s="1"/>
  <c r="AZ21" i="21" s="1"/>
  <c r="AZ22" i="21" s="1"/>
  <c r="AZ23" i="21" s="1"/>
  <c r="AZ24" i="21" s="1"/>
  <c r="AZ25" i="21" s="1"/>
  <c r="AZ26" i="21" s="1"/>
  <c r="AZ27" i="21" s="1"/>
  <c r="AZ28" i="21" s="1"/>
  <c r="AZ29" i="21" s="1"/>
  <c r="AZ30" i="21" s="1"/>
  <c r="AZ31" i="21" s="1"/>
  <c r="AZ32" i="21" s="1"/>
  <c r="AZ33" i="21" s="1"/>
  <c r="AZ34" i="21" s="1"/>
  <c r="AZ35" i="21" s="1"/>
  <c r="AZ36" i="21" s="1"/>
  <c r="EI7" i="20"/>
  <c r="EJ7" i="20" s="1"/>
  <c r="FA7" i="20" s="1"/>
  <c r="EM7" i="20"/>
  <c r="EM8" i="20" s="1"/>
  <c r="EM9" i="20" s="1"/>
  <c r="EM10" i="20" s="1"/>
  <c r="EM11" i="20" s="1"/>
  <c r="EM12" i="20" s="1"/>
  <c r="EM13" i="20" s="1"/>
  <c r="EM14" i="20" s="1"/>
  <c r="EM15" i="20" s="1"/>
  <c r="EM16" i="20" s="1"/>
  <c r="EM17" i="20" s="1"/>
  <c r="EM18" i="20" s="1"/>
  <c r="EM19" i="20" s="1"/>
  <c r="EM20" i="20" s="1"/>
  <c r="EM21" i="20" s="1"/>
  <c r="EM22" i="20" s="1"/>
  <c r="EM23" i="20" s="1"/>
  <c r="EM24" i="20" s="1"/>
  <c r="EM25" i="20" s="1"/>
  <c r="EM26" i="20" s="1"/>
  <c r="EM27" i="20" s="1"/>
  <c r="EM28" i="20" s="1"/>
  <c r="EM29" i="20" s="1"/>
  <c r="EM30" i="20" s="1"/>
  <c r="EM31" i="20" s="1"/>
  <c r="EM32" i="20" s="1"/>
  <c r="EM33" i="20" s="1"/>
  <c r="EM34" i="20" s="1"/>
  <c r="EM35" i="20" s="1"/>
  <c r="EM36" i="20" s="1"/>
  <c r="EO7" i="20"/>
  <c r="EV7" i="20"/>
  <c r="FE7" i="20"/>
  <c r="FN7" i="20"/>
  <c r="FW7" i="20"/>
  <c r="EO8" i="20"/>
  <c r="EV8" i="20"/>
  <c r="FE8" i="20"/>
  <c r="FN8" i="20"/>
  <c r="FW8" i="20"/>
  <c r="EO9" i="20"/>
  <c r="EV9" i="20"/>
  <c r="FE9" i="20"/>
  <c r="FN9" i="20"/>
  <c r="FW9" i="20"/>
  <c r="EO10" i="20"/>
  <c r="EV10" i="20"/>
  <c r="FE10" i="20"/>
  <c r="FN10" i="20"/>
  <c r="FW10" i="20"/>
  <c r="EP11" i="20"/>
  <c r="EV11" i="20"/>
  <c r="FE11" i="20"/>
  <c r="FN11" i="20"/>
  <c r="FW11" i="20"/>
  <c r="EP12" i="20"/>
  <c r="EV12" i="20"/>
  <c r="FE12" i="20"/>
  <c r="FN12" i="20"/>
  <c r="FW12" i="20"/>
  <c r="EP13" i="20"/>
  <c r="EV13" i="20"/>
  <c r="FE13" i="20"/>
  <c r="FN13" i="20"/>
  <c r="FW13" i="20"/>
  <c r="EP14" i="20"/>
  <c r="EV14" i="20"/>
  <c r="FE14" i="20"/>
  <c r="FN14" i="20"/>
  <c r="FW14" i="20"/>
  <c r="EP15" i="20"/>
  <c r="EP16" i="20"/>
  <c r="EP17" i="20"/>
  <c r="EP18" i="20"/>
  <c r="EP19" i="20"/>
  <c r="EP20" i="20"/>
  <c r="EP21" i="20"/>
  <c r="EP22" i="20"/>
  <c r="EP23" i="20"/>
  <c r="EP24" i="20"/>
  <c r="EP25" i="20"/>
  <c r="EP26" i="20"/>
  <c r="EP27" i="20"/>
  <c r="EP28" i="20"/>
  <c r="EP29" i="20"/>
  <c r="EP30" i="20"/>
  <c r="EP31" i="20"/>
  <c r="EP32" i="20"/>
  <c r="EP33" i="20"/>
  <c r="EP34" i="20"/>
  <c r="EP35" i="20"/>
  <c r="EP36" i="20"/>
  <c r="JV36" i="10"/>
  <c r="JV35" i="10"/>
  <c r="JV34" i="10"/>
  <c r="JV33" i="10"/>
  <c r="JV32" i="10"/>
  <c r="JV31" i="10"/>
  <c r="JV30" i="10"/>
  <c r="JV29" i="10"/>
  <c r="JV28" i="10"/>
  <c r="JV27" i="10"/>
  <c r="JV26" i="10"/>
  <c r="JV25" i="10"/>
  <c r="JV24" i="10"/>
  <c r="JV23" i="10"/>
  <c r="JV22" i="10"/>
  <c r="JV21" i="10"/>
  <c r="JV20" i="10"/>
  <c r="JV19" i="10"/>
  <c r="JV18" i="10"/>
  <c r="JV17" i="10"/>
  <c r="JV16" i="10"/>
  <c r="JV15" i="10"/>
  <c r="JV14" i="10"/>
  <c r="JR14" i="10"/>
  <c r="JU14" i="10" s="1"/>
  <c r="JV13" i="10"/>
  <c r="JV12" i="10"/>
  <c r="JV11" i="10"/>
  <c r="JR11" i="10"/>
  <c r="JV10" i="10"/>
  <c r="JR10" i="10"/>
  <c r="JT10" i="10" s="1"/>
  <c r="JV9" i="10"/>
  <c r="JR9" i="10"/>
  <c r="JU9" i="10" s="1"/>
  <c r="JV8" i="10"/>
  <c r="JR8" i="10"/>
  <c r="JU8" i="10" s="1"/>
  <c r="JV7" i="10"/>
  <c r="JR7" i="10"/>
  <c r="LL21" i="10" l="1"/>
  <c r="LH22" i="10"/>
  <c r="LK22" i="10" s="1"/>
  <c r="BM10" i="21"/>
  <c r="BN10" i="21" s="1"/>
  <c r="BM8" i="21"/>
  <c r="BN8" i="21" s="1"/>
  <c r="BM7" i="21"/>
  <c r="BN7" i="21" s="1"/>
  <c r="BM9" i="21"/>
  <c r="BN9" i="21" s="1"/>
  <c r="BM7" i="18"/>
  <c r="BN7" i="18" s="1"/>
  <c r="BM9" i="18"/>
  <c r="BN9" i="18" s="1"/>
  <c r="BM8" i="18"/>
  <c r="BN8" i="18" s="1"/>
  <c r="BM10" i="18"/>
  <c r="BN10" i="18" s="1"/>
  <c r="LH14" i="10"/>
  <c r="LK14" i="10" s="1"/>
  <c r="LH11" i="10"/>
  <c r="LH23" i="10"/>
  <c r="LK23" i="10" s="1"/>
  <c r="LH18" i="10"/>
  <c r="LK18" i="10" s="1"/>
  <c r="LL14" i="10"/>
  <c r="LH20" i="10"/>
  <c r="LK17" i="10"/>
  <c r="LL17" i="10"/>
  <c r="LK15" i="10"/>
  <c r="LL15" i="10"/>
  <c r="LH12" i="10"/>
  <c r="LK16" i="10"/>
  <c r="LL16" i="10"/>
  <c r="LF13" i="10"/>
  <c r="LG13" i="10" s="1"/>
  <c r="LH19" i="10"/>
  <c r="JZ9" i="10"/>
  <c r="KA9" i="10" s="1"/>
  <c r="JZ14" i="10"/>
  <c r="KA14" i="10" s="1"/>
  <c r="JZ8" i="10"/>
  <c r="KA8" i="10" s="1"/>
  <c r="BM7" i="10"/>
  <c r="BN7" i="10" s="1"/>
  <c r="BM9" i="10"/>
  <c r="BN9" i="10" s="1"/>
  <c r="BM8" i="10"/>
  <c r="BN8" i="10" s="1"/>
  <c r="BM10" i="10"/>
  <c r="BN10" i="10" s="1"/>
  <c r="BP7" i="21"/>
  <c r="BJ7" i="21"/>
  <c r="BQ7" i="21" s="1"/>
  <c r="BK7" i="21" s="1"/>
  <c r="BL7" i="21" s="1"/>
  <c r="BP8" i="21"/>
  <c r="BJ8" i="21"/>
  <c r="BQ8" i="21" s="1"/>
  <c r="BK8" i="21" s="1"/>
  <c r="BL8" i="21" s="1"/>
  <c r="BP10" i="21"/>
  <c r="BJ10" i="21"/>
  <c r="BQ10" i="21" s="1"/>
  <c r="BK10" i="21" s="1"/>
  <c r="BL10" i="21" s="1"/>
  <c r="BP9" i="21"/>
  <c r="BJ9" i="21"/>
  <c r="BQ9" i="21" s="1"/>
  <c r="BK9" i="21" s="1"/>
  <c r="BL9" i="21" s="1"/>
  <c r="BP8" i="18"/>
  <c r="BJ8" i="18"/>
  <c r="BQ8" i="18" s="1"/>
  <c r="BK8" i="18" s="1"/>
  <c r="BL8" i="18" s="1"/>
  <c r="BJ10" i="18"/>
  <c r="BQ10" i="18" s="1"/>
  <c r="BK10" i="18" s="1"/>
  <c r="BL10" i="18" s="1"/>
  <c r="BP10" i="18"/>
  <c r="BP7" i="18"/>
  <c r="BJ7" i="18"/>
  <c r="BQ7" i="18" s="1"/>
  <c r="BK7" i="18" s="1"/>
  <c r="BL7" i="18" s="1"/>
  <c r="BP9" i="18"/>
  <c r="BJ9" i="18"/>
  <c r="BQ9" i="18" s="1"/>
  <c r="BK9" i="18" s="1"/>
  <c r="BL9" i="18" s="1"/>
  <c r="LI13" i="10"/>
  <c r="LC13" i="10"/>
  <c r="LJ13" i="10" s="1"/>
  <c r="LD13" i="10" s="1"/>
  <c r="LE13" i="10" s="1"/>
  <c r="KC9" i="10"/>
  <c r="JW9" i="10"/>
  <c r="KD9" i="10" s="1"/>
  <c r="JX9" i="10" s="1"/>
  <c r="JY9" i="10" s="1"/>
  <c r="KC14" i="10"/>
  <c r="JW14" i="10"/>
  <c r="KD14" i="10" s="1"/>
  <c r="JX14" i="10" s="1"/>
  <c r="JY14" i="10" s="1"/>
  <c r="KC8" i="10"/>
  <c r="JW8" i="10"/>
  <c r="KD8" i="10" s="1"/>
  <c r="JX8" i="10" s="1"/>
  <c r="JY8" i="10" s="1"/>
  <c r="BP7" i="10"/>
  <c r="BJ7" i="10"/>
  <c r="BQ7" i="10" s="1"/>
  <c r="BK7" i="10" s="1"/>
  <c r="BL7" i="10" s="1"/>
  <c r="BP9" i="10"/>
  <c r="BJ9" i="10"/>
  <c r="BQ9" i="10" s="1"/>
  <c r="BK9" i="10" s="1"/>
  <c r="BL9" i="10" s="1"/>
  <c r="BP8" i="10"/>
  <c r="BJ8" i="10"/>
  <c r="BQ8" i="10" s="1"/>
  <c r="BK8" i="10" s="1"/>
  <c r="BL8" i="10" s="1"/>
  <c r="BP10" i="10"/>
  <c r="BJ10" i="10"/>
  <c r="BQ10" i="10" s="1"/>
  <c r="BK10" i="10" s="1"/>
  <c r="BL10" i="10" s="1"/>
  <c r="CI7" i="21"/>
  <c r="DX7" i="21"/>
  <c r="FS7" i="20"/>
  <c r="CS7" i="21"/>
  <c r="CS7" i="10"/>
  <c r="KW7" i="10"/>
  <c r="DC7" i="10"/>
  <c r="BY7" i="10"/>
  <c r="DM7" i="10"/>
  <c r="CI7" i="10"/>
  <c r="DX7" i="10"/>
  <c r="DX7" i="18"/>
  <c r="DM7" i="18"/>
  <c r="DC7" i="18"/>
  <c r="CS7" i="18"/>
  <c r="CI7" i="18"/>
  <c r="BY7" i="18"/>
  <c r="DC7" i="21"/>
  <c r="DM7" i="21"/>
  <c r="BE8" i="10"/>
  <c r="KW8" i="10" s="1"/>
  <c r="BF7" i="10"/>
  <c r="KX7" i="10" s="1"/>
  <c r="BE8" i="18"/>
  <c r="BF7" i="18"/>
  <c r="CM15" i="21"/>
  <c r="BF7" i="21"/>
  <c r="BE8" i="21"/>
  <c r="FJ7" i="20"/>
  <c r="EK7" i="20"/>
  <c r="EI8" i="20"/>
  <c r="EI9" i="20" s="1"/>
  <c r="EI10" i="20" s="1"/>
  <c r="JR23" i="10"/>
  <c r="JU23" i="10" s="1"/>
  <c r="JR34" i="10"/>
  <c r="JR30" i="10"/>
  <c r="JU30" i="10" s="1"/>
  <c r="JR26" i="10"/>
  <c r="JU26" i="10" s="1"/>
  <c r="JR22" i="10"/>
  <c r="JT22" i="10" s="1"/>
  <c r="JR18" i="10"/>
  <c r="JU18" i="10" s="1"/>
  <c r="JR15" i="10"/>
  <c r="JT15" i="10" s="1"/>
  <c r="JR33" i="10"/>
  <c r="JR29" i="10"/>
  <c r="JU29" i="10" s="1"/>
  <c r="JR25" i="10"/>
  <c r="JU25" i="10" s="1"/>
  <c r="JR21" i="10"/>
  <c r="JR17" i="10"/>
  <c r="JR35" i="10"/>
  <c r="JU35" i="10" s="1"/>
  <c r="JR31" i="10"/>
  <c r="JT31" i="10" s="1"/>
  <c r="JR27" i="10"/>
  <c r="JU27" i="10" s="1"/>
  <c r="JR19" i="10"/>
  <c r="JU19" i="10" s="1"/>
  <c r="JR36" i="10"/>
  <c r="JU36" i="10" s="1"/>
  <c r="JR32" i="10"/>
  <c r="JU32" i="10" s="1"/>
  <c r="JR28" i="10"/>
  <c r="JU28" i="10" s="1"/>
  <c r="JR24" i="10"/>
  <c r="JU24" i="10" s="1"/>
  <c r="JR20" i="10"/>
  <c r="JT20" i="10" s="1"/>
  <c r="JR16" i="10"/>
  <c r="JU16" i="10" s="1"/>
  <c r="JT9" i="10"/>
  <c r="JU10" i="10"/>
  <c r="JT14" i="10"/>
  <c r="JR12" i="10"/>
  <c r="JU11" i="10"/>
  <c r="JT11" i="10"/>
  <c r="JT7" i="10"/>
  <c r="JU7" i="10"/>
  <c r="JT8" i="10"/>
  <c r="EC10" i="20"/>
  <c r="EC9" i="20"/>
  <c r="EC8" i="20"/>
  <c r="EC7" i="20"/>
  <c r="DG10" i="20"/>
  <c r="DG9" i="20"/>
  <c r="DG8" i="20"/>
  <c r="DG7" i="20"/>
  <c r="DR10" i="20"/>
  <c r="DR9" i="20"/>
  <c r="DR8" i="20"/>
  <c r="DR7" i="20"/>
  <c r="CW14" i="20"/>
  <c r="CW13" i="20"/>
  <c r="CW12" i="20"/>
  <c r="CW11" i="20"/>
  <c r="CW10" i="20"/>
  <c r="CW9" i="20"/>
  <c r="CW8" i="20"/>
  <c r="CW7" i="20"/>
  <c r="CM14" i="20"/>
  <c r="CM13" i="20"/>
  <c r="CM12" i="20"/>
  <c r="CM11" i="20"/>
  <c r="CM10" i="20"/>
  <c r="CM9" i="20"/>
  <c r="CM8" i="20"/>
  <c r="CM7" i="20"/>
  <c r="CC8" i="20"/>
  <c r="CC9" i="20"/>
  <c r="CC10" i="20"/>
  <c r="CC11" i="20"/>
  <c r="CC12" i="20"/>
  <c r="CC13" i="20"/>
  <c r="CC14" i="20"/>
  <c r="CC7" i="20"/>
  <c r="BD10" i="20"/>
  <c r="BD9" i="20"/>
  <c r="BD8" i="20"/>
  <c r="BD7" i="20"/>
  <c r="BA9" i="20"/>
  <c r="BA10" i="20"/>
  <c r="BB11" i="20"/>
  <c r="BB12" i="20"/>
  <c r="BB13" i="20"/>
  <c r="BB14" i="20"/>
  <c r="BB15" i="20"/>
  <c r="BB16" i="20"/>
  <c r="BB17" i="20"/>
  <c r="BB18" i="20"/>
  <c r="BB19" i="20"/>
  <c r="IT19" i="20" s="1"/>
  <c r="BB20" i="20"/>
  <c r="IT20" i="20" s="1"/>
  <c r="BB21" i="20"/>
  <c r="IT21" i="20" s="1"/>
  <c r="BB22" i="20"/>
  <c r="BB23" i="20"/>
  <c r="BB24" i="20"/>
  <c r="BB25" i="20"/>
  <c r="BB26" i="20"/>
  <c r="BB27" i="20"/>
  <c r="BB28" i="20"/>
  <c r="BB29" i="20"/>
  <c r="BB30" i="20"/>
  <c r="BB31" i="20"/>
  <c r="BB32" i="20"/>
  <c r="BB33" i="20"/>
  <c r="BB34" i="20"/>
  <c r="BB35" i="20"/>
  <c r="BB36" i="20"/>
  <c r="BA7" i="20"/>
  <c r="BA8" i="20"/>
  <c r="BI8" i="20"/>
  <c r="BI9" i="20"/>
  <c r="BI10" i="20"/>
  <c r="BI11" i="20"/>
  <c r="BI12" i="20"/>
  <c r="BI13" i="20"/>
  <c r="BI14" i="20"/>
  <c r="BI7" i="20"/>
  <c r="AZ7" i="20"/>
  <c r="AZ8" i="20" s="1"/>
  <c r="AZ9" i="20" s="1"/>
  <c r="AZ10" i="20" s="1"/>
  <c r="AZ11" i="20" s="1"/>
  <c r="AZ12" i="20" s="1"/>
  <c r="AZ13" i="20" s="1"/>
  <c r="AZ14" i="20" s="1"/>
  <c r="AZ15" i="20" s="1"/>
  <c r="AZ16" i="20" s="1"/>
  <c r="AZ17" i="20" s="1"/>
  <c r="AZ18" i="20" s="1"/>
  <c r="AZ19" i="20" s="1"/>
  <c r="AZ20" i="20" s="1"/>
  <c r="AZ21" i="20" s="1"/>
  <c r="AZ22" i="20" s="1"/>
  <c r="AZ23" i="20" s="1"/>
  <c r="AZ24" i="20" s="1"/>
  <c r="AZ25" i="20" s="1"/>
  <c r="AZ26" i="20" s="1"/>
  <c r="AZ27" i="20" s="1"/>
  <c r="AZ28" i="20" s="1"/>
  <c r="AZ29" i="20" s="1"/>
  <c r="AZ30" i="20" s="1"/>
  <c r="AZ31" i="20" s="1"/>
  <c r="AZ32" i="20" s="1"/>
  <c r="AZ33" i="20" s="1"/>
  <c r="AZ34" i="20" s="1"/>
  <c r="AZ35" i="20" s="1"/>
  <c r="AZ36" i="20" s="1"/>
  <c r="IT32" i="20" l="1"/>
  <c r="HY32" i="20"/>
  <c r="HY35" i="20"/>
  <c r="IT35" i="20"/>
  <c r="HY27" i="20"/>
  <c r="IT27" i="20"/>
  <c r="HY23" i="20"/>
  <c r="IT23" i="20"/>
  <c r="IT30" i="20"/>
  <c r="HY30" i="20"/>
  <c r="HY22" i="20"/>
  <c r="IT22" i="20"/>
  <c r="IT36" i="20"/>
  <c r="HY36" i="20"/>
  <c r="IT28" i="20"/>
  <c r="HY28" i="20"/>
  <c r="IT24" i="20"/>
  <c r="HY24" i="20"/>
  <c r="HY31" i="20"/>
  <c r="IT31" i="20"/>
  <c r="IT34" i="20"/>
  <c r="HY34" i="20"/>
  <c r="IT26" i="20"/>
  <c r="HY26" i="20"/>
  <c r="HY33" i="20"/>
  <c r="IT33" i="20"/>
  <c r="HY29" i="20"/>
  <c r="IT29" i="20"/>
  <c r="HY25" i="20"/>
  <c r="IT25" i="20"/>
  <c r="LL22" i="10"/>
  <c r="LH13" i="10"/>
  <c r="LK13" i="10" s="1"/>
  <c r="BM7" i="20"/>
  <c r="BN7" i="20" s="1"/>
  <c r="BM9" i="20"/>
  <c r="BN9" i="20" s="1"/>
  <c r="BM8" i="20"/>
  <c r="BN8" i="20" s="1"/>
  <c r="BM10" i="20"/>
  <c r="BN10" i="20" s="1"/>
  <c r="BO9" i="21"/>
  <c r="BO7" i="21"/>
  <c r="BO10" i="21"/>
  <c r="BO8" i="21"/>
  <c r="BO10" i="18"/>
  <c r="BO8" i="18"/>
  <c r="BO7" i="18"/>
  <c r="BO9" i="18"/>
  <c r="LL18" i="10"/>
  <c r="LK11" i="10"/>
  <c r="LL11" i="10"/>
  <c r="LL23" i="10"/>
  <c r="LK12" i="10"/>
  <c r="LL12" i="10"/>
  <c r="LK19" i="10"/>
  <c r="LL19" i="10"/>
  <c r="LK20" i="10"/>
  <c r="LL20" i="10"/>
  <c r="KB14" i="10"/>
  <c r="KG14" i="10" s="1"/>
  <c r="KH14" i="10" s="1"/>
  <c r="JZ28" i="10"/>
  <c r="KA28" i="10" s="1"/>
  <c r="KB8" i="10"/>
  <c r="JZ7" i="10"/>
  <c r="KA7" i="10" s="1"/>
  <c r="JZ16" i="10"/>
  <c r="KA16" i="10" s="1"/>
  <c r="JZ32" i="10"/>
  <c r="KA32" i="10" s="1"/>
  <c r="JZ25" i="10"/>
  <c r="KA25" i="10" s="1"/>
  <c r="JZ18" i="10"/>
  <c r="KA18" i="10" s="1"/>
  <c r="JZ11" i="10"/>
  <c r="KA11" i="10" s="1"/>
  <c r="JZ35" i="10"/>
  <c r="KA35" i="10" s="1"/>
  <c r="JZ23" i="10"/>
  <c r="KA23" i="10" s="1"/>
  <c r="KB9" i="10"/>
  <c r="JZ27" i="10"/>
  <c r="KA27" i="10"/>
  <c r="JZ30" i="10"/>
  <c r="KA30" i="10" s="1"/>
  <c r="JZ36" i="10"/>
  <c r="KA36" i="10" s="1"/>
  <c r="JZ29" i="10"/>
  <c r="KA29" i="10" s="1"/>
  <c r="JZ10" i="10"/>
  <c r="KA10" i="10" s="1"/>
  <c r="JZ24" i="10"/>
  <c r="KA24" i="10" s="1"/>
  <c r="JZ19" i="10"/>
  <c r="KA19" i="10" s="1"/>
  <c r="JZ26" i="10"/>
  <c r="KA26" i="10" s="1"/>
  <c r="BO10" i="10"/>
  <c r="BO8" i="10"/>
  <c r="BO9" i="10"/>
  <c r="BO7" i="10"/>
  <c r="BP8" i="20"/>
  <c r="BJ8" i="20"/>
  <c r="BQ8" i="20" s="1"/>
  <c r="BK8" i="20" s="1"/>
  <c r="BL8" i="20" s="1"/>
  <c r="BP10" i="20"/>
  <c r="BJ10" i="20"/>
  <c r="BQ10" i="20" s="1"/>
  <c r="BK10" i="20" s="1"/>
  <c r="BL10" i="20" s="1"/>
  <c r="BP7" i="20"/>
  <c r="BJ7" i="20"/>
  <c r="BQ7" i="20" s="1"/>
  <c r="BK7" i="20" s="1"/>
  <c r="BL7" i="20" s="1"/>
  <c r="BJ9" i="20"/>
  <c r="BQ9" i="20" s="1"/>
  <c r="BK9" i="20" s="1"/>
  <c r="BL9" i="20" s="1"/>
  <c r="BP9" i="20"/>
  <c r="JW7" i="10"/>
  <c r="KD7" i="10" s="1"/>
  <c r="JX7" i="10" s="1"/>
  <c r="JY7" i="10" s="1"/>
  <c r="KC7" i="10"/>
  <c r="KC28" i="10"/>
  <c r="JW28" i="10"/>
  <c r="KD28" i="10" s="1"/>
  <c r="JX28" i="10" s="1"/>
  <c r="JY28" i="10" s="1"/>
  <c r="JW27" i="10"/>
  <c r="KD27" i="10" s="1"/>
  <c r="JX27" i="10" s="1"/>
  <c r="JY27" i="10" s="1"/>
  <c r="KC27" i="10"/>
  <c r="KC30" i="10"/>
  <c r="JW30" i="10"/>
  <c r="KD30" i="10" s="1"/>
  <c r="JX30" i="10" s="1"/>
  <c r="JY30" i="10" s="1"/>
  <c r="KC10" i="10"/>
  <c r="JW10" i="10"/>
  <c r="KD10" i="10" s="1"/>
  <c r="JX10" i="10" s="1"/>
  <c r="JY10" i="10" s="1"/>
  <c r="KC16" i="10"/>
  <c r="JW16" i="10"/>
  <c r="KD16" i="10" s="1"/>
  <c r="JX16" i="10" s="1"/>
  <c r="JY16" i="10" s="1"/>
  <c r="KC32" i="10"/>
  <c r="JW32" i="10"/>
  <c r="KD32" i="10" s="1"/>
  <c r="JX32" i="10" s="1"/>
  <c r="JY32" i="10" s="1"/>
  <c r="KC25" i="10"/>
  <c r="JW25" i="10"/>
  <c r="KD25" i="10" s="1"/>
  <c r="JX25" i="10" s="1"/>
  <c r="JY25" i="10" s="1"/>
  <c r="KC18" i="10"/>
  <c r="JW18" i="10"/>
  <c r="KD18" i="10" s="1"/>
  <c r="JX18" i="10" s="1"/>
  <c r="JY18" i="10" s="1"/>
  <c r="KC36" i="10"/>
  <c r="JW36" i="10"/>
  <c r="KD36" i="10" s="1"/>
  <c r="JX36" i="10" s="1"/>
  <c r="JY36" i="10" s="1"/>
  <c r="JW35" i="10"/>
  <c r="KD35" i="10" s="1"/>
  <c r="JX35" i="10" s="1"/>
  <c r="JY35" i="10" s="1"/>
  <c r="KC35" i="10"/>
  <c r="KC29" i="10"/>
  <c r="JW29" i="10"/>
  <c r="KD29" i="10" s="1"/>
  <c r="JX29" i="10" s="1"/>
  <c r="JY29" i="10" s="1"/>
  <c r="JW23" i="10"/>
  <c r="KD23" i="10" s="1"/>
  <c r="JX23" i="10" s="1"/>
  <c r="JY23" i="10" s="1"/>
  <c r="KC23" i="10"/>
  <c r="JW11" i="10"/>
  <c r="KD11" i="10" s="1"/>
  <c r="JX11" i="10" s="1"/>
  <c r="JY11" i="10" s="1"/>
  <c r="KC11" i="10"/>
  <c r="KC24" i="10"/>
  <c r="JW24" i="10"/>
  <c r="KD24" i="10" s="1"/>
  <c r="JX24" i="10" s="1"/>
  <c r="JY24" i="10" s="1"/>
  <c r="JW19" i="10"/>
  <c r="KD19" i="10" s="1"/>
  <c r="JX19" i="10" s="1"/>
  <c r="JY19" i="10" s="1"/>
  <c r="KC19" i="10"/>
  <c r="KC26" i="10"/>
  <c r="JW26" i="10"/>
  <c r="KD26" i="10" s="1"/>
  <c r="JX26" i="10" s="1"/>
  <c r="JY26" i="10" s="1"/>
  <c r="EJ8" i="20"/>
  <c r="EJ9" i="20" s="1"/>
  <c r="KY7" i="10"/>
  <c r="KP7" i="10"/>
  <c r="DX8" i="18"/>
  <c r="CS8" i="18"/>
  <c r="CI8" i="18"/>
  <c r="DM8" i="18"/>
  <c r="DC8" i="18"/>
  <c r="BY8" i="18"/>
  <c r="DY7" i="10"/>
  <c r="DZ7" i="10" s="1"/>
  <c r="DN7" i="10"/>
  <c r="DO7" i="10" s="1"/>
  <c r="DD7" i="10"/>
  <c r="CT7" i="10"/>
  <c r="CJ7" i="10"/>
  <c r="BZ7" i="10"/>
  <c r="BF8" i="21"/>
  <c r="CS8" i="21"/>
  <c r="CI8" i="21"/>
  <c r="DX8" i="21"/>
  <c r="DC8" i="21"/>
  <c r="BY8" i="21"/>
  <c r="DM8" i="21"/>
  <c r="CS8" i="10"/>
  <c r="DX8" i="10"/>
  <c r="CI8" i="10"/>
  <c r="DM8" i="10"/>
  <c r="BY8" i="10"/>
  <c r="DC8" i="10"/>
  <c r="BH7" i="21"/>
  <c r="CT7" i="21"/>
  <c r="CJ7" i="21"/>
  <c r="DY7" i="21"/>
  <c r="DZ7" i="21" s="1"/>
  <c r="DN7" i="21"/>
  <c r="DO7" i="21" s="1"/>
  <c r="DD7" i="21"/>
  <c r="BZ7" i="21"/>
  <c r="BH7" i="18"/>
  <c r="DY7" i="18"/>
  <c r="DZ7" i="18" s="1"/>
  <c r="DD7" i="18"/>
  <c r="CJ7" i="18"/>
  <c r="DN7" i="18"/>
  <c r="DO7" i="18" s="1"/>
  <c r="CT7" i="18"/>
  <c r="BZ7" i="18"/>
  <c r="BH7" i="10"/>
  <c r="LA7" i="10" s="1"/>
  <c r="AX7" i="10"/>
  <c r="BB7" i="10" s="1"/>
  <c r="BE9" i="10"/>
  <c r="KW9" i="10" s="1"/>
  <c r="BF8" i="10"/>
  <c r="KX8" i="10" s="1"/>
  <c r="JT18" i="10"/>
  <c r="JT29" i="10"/>
  <c r="JU22" i="10"/>
  <c r="JT36" i="10"/>
  <c r="JT23" i="10"/>
  <c r="JU20" i="10"/>
  <c r="JU31" i="10"/>
  <c r="JT19" i="10"/>
  <c r="AX7" i="18"/>
  <c r="BE9" i="18"/>
  <c r="BF8" i="18"/>
  <c r="AX7" i="21"/>
  <c r="BB7" i="21" s="1"/>
  <c r="BE9" i="21"/>
  <c r="FK7" i="20"/>
  <c r="FB7" i="20"/>
  <c r="FT7" i="20"/>
  <c r="EL7" i="20"/>
  <c r="JT27" i="10"/>
  <c r="JU21" i="10"/>
  <c r="JT21" i="10"/>
  <c r="JT28" i="10"/>
  <c r="JT25" i="10"/>
  <c r="JT33" i="10"/>
  <c r="JU33" i="10"/>
  <c r="JT16" i="10"/>
  <c r="JU15" i="10"/>
  <c r="JT24" i="10"/>
  <c r="JT35" i="10"/>
  <c r="JT30" i="10"/>
  <c r="JT17" i="10"/>
  <c r="JU17" i="10"/>
  <c r="JT32" i="10"/>
  <c r="JT26" i="10"/>
  <c r="JT34" i="10"/>
  <c r="JU34" i="10"/>
  <c r="JU12" i="10"/>
  <c r="JR13" i="10"/>
  <c r="JT12" i="10"/>
  <c r="BE7" i="20"/>
  <c r="GD33" i="20"/>
  <c r="GD32" i="20"/>
  <c r="GD31" i="20"/>
  <c r="GY31" i="21"/>
  <c r="GY31" i="18"/>
  <c r="HC31" i="10"/>
  <c r="HC32" i="10"/>
  <c r="HC33" i="10"/>
  <c r="GD31" i="10"/>
  <c r="GD32" i="10"/>
  <c r="LL13" i="10" l="1"/>
  <c r="BS7" i="21"/>
  <c r="BO8" i="20"/>
  <c r="BO10" i="20"/>
  <c r="BO7" i="20"/>
  <c r="BO9" i="20"/>
  <c r="BR7" i="21"/>
  <c r="KE14" i="10"/>
  <c r="KB10" i="10"/>
  <c r="KF10" i="10" s="1"/>
  <c r="KB7" i="10"/>
  <c r="KG7" i="10" s="1"/>
  <c r="KH7" i="10" s="1"/>
  <c r="KI7" i="10" s="1"/>
  <c r="P7" i="25" s="1"/>
  <c r="H392" i="31" s="1"/>
  <c r="KF14" i="10"/>
  <c r="KB11" i="10"/>
  <c r="KG11" i="10" s="1"/>
  <c r="KH11" i="10" s="1"/>
  <c r="KB30" i="10"/>
  <c r="KE30" i="10" s="1"/>
  <c r="KB18" i="10"/>
  <c r="KF18" i="10" s="1"/>
  <c r="KB26" i="10"/>
  <c r="KE26" i="10" s="1"/>
  <c r="JZ34" i="10"/>
  <c r="KA34" i="10" s="1"/>
  <c r="JZ17" i="10"/>
  <c r="KA17" i="10" s="1"/>
  <c r="JZ21" i="10"/>
  <c r="KA21" i="10" s="1"/>
  <c r="KB32" i="10"/>
  <c r="KE8" i="10"/>
  <c r="KF8" i="10"/>
  <c r="KG8" i="10"/>
  <c r="KH8" i="10" s="1"/>
  <c r="JZ33" i="10"/>
  <c r="KA33" i="10" s="1"/>
  <c r="JZ20" i="10"/>
  <c r="KA20" i="10" s="1"/>
  <c r="KB28" i="10"/>
  <c r="JZ15" i="10"/>
  <c r="KA15" i="10" s="1"/>
  <c r="KB23" i="10"/>
  <c r="KB35" i="10"/>
  <c r="KE9" i="10"/>
  <c r="KF9" i="10"/>
  <c r="KG9" i="10"/>
  <c r="KH9" i="10" s="1"/>
  <c r="JZ12" i="10"/>
  <c r="KA12" i="10" s="1"/>
  <c r="KB24" i="10"/>
  <c r="JZ31" i="10"/>
  <c r="KA31" i="10" s="1"/>
  <c r="JZ22" i="10"/>
  <c r="KA22" i="10" s="1"/>
  <c r="KB19" i="10"/>
  <c r="KB36" i="10"/>
  <c r="KB16" i="10"/>
  <c r="KB27" i="10"/>
  <c r="KB29" i="10"/>
  <c r="KB25" i="10"/>
  <c r="BS7" i="10"/>
  <c r="BR7" i="10"/>
  <c r="FA8" i="20"/>
  <c r="KC34" i="10"/>
  <c r="JW34" i="10"/>
  <c r="KD34" i="10" s="1"/>
  <c r="JX34" i="10" s="1"/>
  <c r="JY34" i="10" s="1"/>
  <c r="JW15" i="10"/>
  <c r="KD15" i="10" s="1"/>
  <c r="JX15" i="10" s="1"/>
  <c r="JY15" i="10" s="1"/>
  <c r="KC15" i="10"/>
  <c r="KC20" i="10"/>
  <c r="JW20" i="10"/>
  <c r="KD20" i="10" s="1"/>
  <c r="JX20" i="10" s="1"/>
  <c r="JY20" i="10" s="1"/>
  <c r="KC12" i="10"/>
  <c r="JW12" i="10"/>
  <c r="KD12" i="10" s="1"/>
  <c r="JX12" i="10" s="1"/>
  <c r="JY12" i="10" s="1"/>
  <c r="KC33" i="10"/>
  <c r="JW33" i="10"/>
  <c r="KD33" i="10" s="1"/>
  <c r="JX33" i="10" s="1"/>
  <c r="JY33" i="10" s="1"/>
  <c r="KC21" i="10"/>
  <c r="JW21" i="10"/>
  <c r="KD21" i="10" s="1"/>
  <c r="JX21" i="10" s="1"/>
  <c r="JY21" i="10" s="1"/>
  <c r="JW31" i="10"/>
  <c r="KD31" i="10" s="1"/>
  <c r="JX31" i="10" s="1"/>
  <c r="JY31" i="10" s="1"/>
  <c r="KC31" i="10"/>
  <c r="KC17" i="10"/>
  <c r="JW17" i="10"/>
  <c r="KD17" i="10" s="1"/>
  <c r="JX17" i="10" s="1"/>
  <c r="JY17" i="10" s="1"/>
  <c r="KC22" i="10"/>
  <c r="JW22" i="10"/>
  <c r="KD22" i="10" s="1"/>
  <c r="JX22" i="10" s="1"/>
  <c r="JY22" i="10" s="1"/>
  <c r="FS8" i="20"/>
  <c r="EK8" i="20"/>
  <c r="FB8" i="20" s="1"/>
  <c r="FJ8" i="20"/>
  <c r="BH8" i="21"/>
  <c r="EB8" i="21" s="1"/>
  <c r="KY8" i="10"/>
  <c r="KP8" i="10"/>
  <c r="KQ7" i="10"/>
  <c r="KT7" i="10"/>
  <c r="BE10" i="21"/>
  <c r="BF10" i="21" s="1"/>
  <c r="DC9" i="21"/>
  <c r="CS9" i="21"/>
  <c r="CI9" i="21"/>
  <c r="BY9" i="21"/>
  <c r="DM9" i="21"/>
  <c r="DX9" i="21"/>
  <c r="EB7" i="10"/>
  <c r="DQ7" i="10"/>
  <c r="DF7" i="10"/>
  <c r="CV7" i="10"/>
  <c r="CL7" i="10"/>
  <c r="CB7" i="10"/>
  <c r="AX8" i="10"/>
  <c r="BB8" i="10" s="1"/>
  <c r="BS8" i="10" s="1"/>
  <c r="DY8" i="10"/>
  <c r="DZ8" i="10" s="1"/>
  <c r="DN8" i="10"/>
  <c r="DO8" i="10" s="1"/>
  <c r="DD8" i="10"/>
  <c r="CT8" i="10"/>
  <c r="CJ8" i="10"/>
  <c r="BZ8" i="10"/>
  <c r="BZ8" i="18"/>
  <c r="DN8" i="18"/>
  <c r="DO8" i="18" s="1"/>
  <c r="DD8" i="18"/>
  <c r="CJ8" i="18"/>
  <c r="DY8" i="18"/>
  <c r="DZ8" i="18" s="1"/>
  <c r="CT8" i="18"/>
  <c r="DX9" i="10"/>
  <c r="DC9" i="10"/>
  <c r="CI9" i="10"/>
  <c r="DM9" i="10"/>
  <c r="CS9" i="10"/>
  <c r="BY9" i="10"/>
  <c r="DQ7" i="18"/>
  <c r="DF7" i="18"/>
  <c r="CV7" i="18"/>
  <c r="CL7" i="18"/>
  <c r="CB7" i="18"/>
  <c r="EB7" i="18"/>
  <c r="DQ7" i="21"/>
  <c r="DF7" i="21"/>
  <c r="CB7" i="21"/>
  <c r="CL7" i="21"/>
  <c r="EB7" i="21"/>
  <c r="CV7" i="21"/>
  <c r="BY9" i="18"/>
  <c r="DX9" i="18"/>
  <c r="DM9" i="18"/>
  <c r="CS9" i="18"/>
  <c r="DC9" i="18"/>
  <c r="CI9" i="18"/>
  <c r="AX8" i="21"/>
  <c r="BB8" i="21" s="1"/>
  <c r="BS8" i="21" s="1"/>
  <c r="DN8" i="21"/>
  <c r="DO8" i="21" s="1"/>
  <c r="DD8" i="21"/>
  <c r="BZ8" i="21"/>
  <c r="DY8" i="21"/>
  <c r="DZ8" i="21" s="1"/>
  <c r="CJ8" i="21"/>
  <c r="CT8" i="21"/>
  <c r="BH8" i="10"/>
  <c r="LA8" i="10" s="1"/>
  <c r="BF9" i="10"/>
  <c r="KX9" i="10" s="1"/>
  <c r="BE10" i="10"/>
  <c r="KW10" i="10" s="1"/>
  <c r="BH8" i="18"/>
  <c r="AX8" i="18"/>
  <c r="BE10" i="18"/>
  <c r="BF9" i="18"/>
  <c r="CC15" i="21"/>
  <c r="BF9" i="21"/>
  <c r="EK9" i="20"/>
  <c r="FS9" i="20"/>
  <c r="EJ10" i="20"/>
  <c r="FJ9" i="20"/>
  <c r="FA9" i="20"/>
  <c r="FU7" i="20"/>
  <c r="FL7" i="20"/>
  <c r="FC7" i="20"/>
  <c r="JT13" i="10"/>
  <c r="JU13" i="10"/>
  <c r="DC7" i="20"/>
  <c r="DX7" i="20"/>
  <c r="CS7" i="20"/>
  <c r="DM7" i="20"/>
  <c r="BY7" i="20"/>
  <c r="CI7" i="20"/>
  <c r="BF7" i="20"/>
  <c r="BE8" i="20"/>
  <c r="KG26" i="10" l="1"/>
  <c r="KH26" i="10" s="1"/>
  <c r="KG30" i="10"/>
  <c r="KH30" i="10" s="1"/>
  <c r="KF11" i="10"/>
  <c r="KE7" i="10"/>
  <c r="KF7" i="10"/>
  <c r="KG10" i="10"/>
  <c r="KH10" i="10" s="1"/>
  <c r="KF30" i="10"/>
  <c r="KE18" i="10"/>
  <c r="KE10" i="10"/>
  <c r="BR8" i="21"/>
  <c r="KE11" i="10"/>
  <c r="LL7" i="10"/>
  <c r="LM7" i="10" s="1"/>
  <c r="LN7" i="10" s="1"/>
  <c r="LO7" i="10" s="1"/>
  <c r="Q7" i="25" s="1"/>
  <c r="H422" i="31" s="1"/>
  <c r="LK7" i="10"/>
  <c r="KB22" i="10"/>
  <c r="KF22" i="10" s="1"/>
  <c r="KF26" i="10"/>
  <c r="KB17" i="10"/>
  <c r="KF17" i="10" s="1"/>
  <c r="KG18" i="10"/>
  <c r="KH18" i="10" s="1"/>
  <c r="KB34" i="10"/>
  <c r="KE34" i="10" s="1"/>
  <c r="KB15" i="10"/>
  <c r="KB33" i="10"/>
  <c r="KF32" i="10"/>
  <c r="KE32" i="10"/>
  <c r="KG32" i="10"/>
  <c r="KH32" i="10" s="1"/>
  <c r="KB20" i="10"/>
  <c r="KE27" i="10"/>
  <c r="KF27" i="10"/>
  <c r="KG27" i="10"/>
  <c r="KH27" i="10" s="1"/>
  <c r="KF24" i="10"/>
  <c r="KE24" i="10"/>
  <c r="KG24" i="10"/>
  <c r="KH24" i="10" s="1"/>
  <c r="KE23" i="10"/>
  <c r="KF23" i="10"/>
  <c r="KG23" i="10"/>
  <c r="KH23" i="10" s="1"/>
  <c r="KE29" i="10"/>
  <c r="KF29" i="10"/>
  <c r="KG29" i="10"/>
  <c r="KH29" i="10" s="1"/>
  <c r="KE35" i="10"/>
  <c r="KF35" i="10"/>
  <c r="KG35" i="10"/>
  <c r="KH35" i="10" s="1"/>
  <c r="KE17" i="10"/>
  <c r="KB12" i="10"/>
  <c r="KF16" i="10"/>
  <c r="KE16" i="10"/>
  <c r="KG16" i="10"/>
  <c r="KH16" i="10" s="1"/>
  <c r="KE19" i="10"/>
  <c r="KF19" i="10"/>
  <c r="KG19" i="10"/>
  <c r="KH19" i="10" s="1"/>
  <c r="KB21" i="10"/>
  <c r="KB31" i="10"/>
  <c r="JZ13" i="10"/>
  <c r="KA13" i="10" s="1"/>
  <c r="KE25" i="10"/>
  <c r="KF25" i="10"/>
  <c r="KG25" i="10"/>
  <c r="KH25" i="10" s="1"/>
  <c r="KE36" i="10"/>
  <c r="KF36" i="10"/>
  <c r="KG36" i="10"/>
  <c r="KH36" i="10" s="1"/>
  <c r="KF28" i="10"/>
  <c r="KE28" i="10"/>
  <c r="KG28" i="10"/>
  <c r="KH28" i="10" s="1"/>
  <c r="BR8" i="10"/>
  <c r="KI8" i="10"/>
  <c r="P8" i="25" s="1"/>
  <c r="H393" i="31" s="1"/>
  <c r="KC13" i="10"/>
  <c r="JW13" i="10"/>
  <c r="KD13" i="10" s="1"/>
  <c r="JX13" i="10" s="1"/>
  <c r="JY13" i="10" s="1"/>
  <c r="CB8" i="21"/>
  <c r="CL8" i="21"/>
  <c r="CV8" i="21"/>
  <c r="FT8" i="20"/>
  <c r="DF8" i="21"/>
  <c r="FK8" i="20"/>
  <c r="EL8" i="20"/>
  <c r="FU8" i="20" s="1"/>
  <c r="BE11" i="21"/>
  <c r="CS11" i="21" s="1"/>
  <c r="DQ8" i="21"/>
  <c r="KY9" i="10"/>
  <c r="KP9" i="10"/>
  <c r="KW11" i="10"/>
  <c r="KT8" i="10"/>
  <c r="KQ8" i="10"/>
  <c r="BT7" i="21"/>
  <c r="BU7" i="21" s="1"/>
  <c r="BV7" i="21" s="1"/>
  <c r="E7" i="29" s="1"/>
  <c r="H902" i="31" s="1"/>
  <c r="ED7" i="21"/>
  <c r="EE7" i="21" s="1"/>
  <c r="EF7" i="21" s="1"/>
  <c r="K7" i="29" s="1"/>
  <c r="H1082" i="31" s="1"/>
  <c r="CN7" i="21"/>
  <c r="CO7" i="21" s="1"/>
  <c r="CP7" i="21" s="1"/>
  <c r="G7" i="29" s="1"/>
  <c r="H962" i="31" s="1"/>
  <c r="DH7" i="21"/>
  <c r="DI7" i="21" s="1"/>
  <c r="DJ7" i="21" s="1"/>
  <c r="I7" i="29" s="1"/>
  <c r="H1022" i="31" s="1"/>
  <c r="CD7" i="21"/>
  <c r="CE7" i="21" s="1"/>
  <c r="CF7" i="21" s="1"/>
  <c r="F7" i="29" s="1"/>
  <c r="H932" i="31" s="1"/>
  <c r="DS7" i="21"/>
  <c r="DT7" i="21" s="1"/>
  <c r="DU7" i="21" s="1"/>
  <c r="J7" i="29" s="1"/>
  <c r="H1052" i="31" s="1"/>
  <c r="CX7" i="21"/>
  <c r="CY7" i="21" s="1"/>
  <c r="CZ7" i="21" s="1"/>
  <c r="H7" i="29" s="1"/>
  <c r="H992" i="31" s="1"/>
  <c r="AX9" i="18"/>
  <c r="DD9" i="18"/>
  <c r="CT9" i="18"/>
  <c r="CJ9" i="18"/>
  <c r="BZ9" i="18"/>
  <c r="DN9" i="18"/>
  <c r="DO9" i="18" s="1"/>
  <c r="DY9" i="18"/>
  <c r="DZ9" i="18" s="1"/>
  <c r="CS10" i="10"/>
  <c r="CI10" i="10"/>
  <c r="BY10" i="10"/>
  <c r="DX10" i="10"/>
  <c r="DM10" i="10"/>
  <c r="DC10" i="10"/>
  <c r="AX9" i="21"/>
  <c r="BB9" i="21" s="1"/>
  <c r="DY9" i="21"/>
  <c r="DZ9" i="21" s="1"/>
  <c r="DN9" i="21"/>
  <c r="DO9" i="21" s="1"/>
  <c r="DD9" i="21"/>
  <c r="CJ9" i="21"/>
  <c r="CT9" i="21"/>
  <c r="BZ9" i="21"/>
  <c r="CS10" i="18"/>
  <c r="CI10" i="18"/>
  <c r="DX10" i="18"/>
  <c r="DX11" i="18" s="1"/>
  <c r="DM10" i="18"/>
  <c r="DC10" i="18"/>
  <c r="BY10" i="18"/>
  <c r="AX9" i="10"/>
  <c r="BB9" i="10" s="1"/>
  <c r="BZ9" i="10"/>
  <c r="DN9" i="10"/>
  <c r="DO9" i="10" s="1"/>
  <c r="DD9" i="10"/>
  <c r="CT9" i="10"/>
  <c r="DY9" i="10"/>
  <c r="DZ9" i="10" s="1"/>
  <c r="CJ9" i="10"/>
  <c r="BT8" i="10"/>
  <c r="BU8" i="10" s="1"/>
  <c r="DS8" i="10"/>
  <c r="DT8" i="10" s="1"/>
  <c r="CX8" i="10"/>
  <c r="CY8" i="10" s="1"/>
  <c r="CD8" i="10"/>
  <c r="CE8" i="10" s="1"/>
  <c r="ED8" i="10"/>
  <c r="EE8" i="10" s="1"/>
  <c r="DH8" i="10"/>
  <c r="DI8" i="10" s="1"/>
  <c r="CN8" i="10"/>
  <c r="CO8" i="10" s="1"/>
  <c r="EB8" i="10"/>
  <c r="DQ8" i="10"/>
  <c r="DF8" i="10"/>
  <c r="CV8" i="10"/>
  <c r="CL8" i="10"/>
  <c r="CB8" i="10"/>
  <c r="AX10" i="21"/>
  <c r="BB10" i="21" s="1"/>
  <c r="BZ10" i="21"/>
  <c r="CJ10" i="21"/>
  <c r="DN10" i="21"/>
  <c r="CT10" i="21"/>
  <c r="DY10" i="21"/>
  <c r="DD10" i="21"/>
  <c r="CV8" i="18"/>
  <c r="CL8" i="18"/>
  <c r="EB8" i="18"/>
  <c r="DF8" i="18"/>
  <c r="CB8" i="18"/>
  <c r="DQ8" i="18"/>
  <c r="BT7" i="10"/>
  <c r="BU7" i="10" s="1"/>
  <c r="BV7" i="10" s="1"/>
  <c r="E7" i="25" s="1"/>
  <c r="H62" i="31" s="1"/>
  <c r="DS7" i="10"/>
  <c r="DT7" i="10" s="1"/>
  <c r="DU7" i="10" s="1"/>
  <c r="J7" i="25" s="1"/>
  <c r="H212" i="31" s="1"/>
  <c r="CX7" i="10"/>
  <c r="CY7" i="10" s="1"/>
  <c r="CZ7" i="10" s="1"/>
  <c r="H7" i="25" s="1"/>
  <c r="H152" i="31" s="1"/>
  <c r="CD7" i="10"/>
  <c r="CE7" i="10" s="1"/>
  <c r="CF7" i="10" s="1"/>
  <c r="F7" i="25" s="1"/>
  <c r="H92" i="31" s="1"/>
  <c r="ED7" i="10"/>
  <c r="EE7" i="10" s="1"/>
  <c r="EF7" i="10" s="1"/>
  <c r="K7" i="25" s="1"/>
  <c r="H242" i="31" s="1"/>
  <c r="DH7" i="10"/>
  <c r="DI7" i="10" s="1"/>
  <c r="DJ7" i="10" s="1"/>
  <c r="I7" i="25" s="1"/>
  <c r="H182" i="31" s="1"/>
  <c r="CN7" i="10"/>
  <c r="CO7" i="10" s="1"/>
  <c r="CP7" i="10" s="1"/>
  <c r="G7" i="25" s="1"/>
  <c r="H122" i="31" s="1"/>
  <c r="DX10" i="21"/>
  <c r="DM10" i="21"/>
  <c r="DC10" i="21"/>
  <c r="CS10" i="21"/>
  <c r="CI10" i="21"/>
  <c r="BY10" i="21"/>
  <c r="BH9" i="10"/>
  <c r="LA9" i="10" s="1"/>
  <c r="BF10" i="10"/>
  <c r="KX10" i="10" s="1"/>
  <c r="KP10" i="10" s="1"/>
  <c r="BE11" i="10"/>
  <c r="BH9" i="18"/>
  <c r="BF10" i="18"/>
  <c r="BE11" i="18"/>
  <c r="BH9" i="21"/>
  <c r="FT9" i="20"/>
  <c r="FK9" i="20"/>
  <c r="FB9" i="20"/>
  <c r="EJ11" i="20"/>
  <c r="EK10" i="20"/>
  <c r="FS10" i="20"/>
  <c r="EJ12" i="20"/>
  <c r="FJ10" i="20"/>
  <c r="FA10" i="20"/>
  <c r="EJ13" i="20"/>
  <c r="EJ14" i="20"/>
  <c r="DD7" i="20"/>
  <c r="DY7" i="20"/>
  <c r="DZ7" i="20" s="1"/>
  <c r="DC8" i="20"/>
  <c r="DX8" i="20"/>
  <c r="CS8" i="20"/>
  <c r="DM8" i="20"/>
  <c r="CT7" i="20"/>
  <c r="DN7" i="20"/>
  <c r="DO7" i="20" s="1"/>
  <c r="BY8" i="20"/>
  <c r="CI8" i="20"/>
  <c r="CJ7" i="20"/>
  <c r="BZ7" i="20"/>
  <c r="BH7" i="20"/>
  <c r="AX7" i="20"/>
  <c r="EP7" i="20" s="1"/>
  <c r="EU7" i="20" s="1"/>
  <c r="BE9" i="20"/>
  <c r="BF8" i="20"/>
  <c r="K16" i="24"/>
  <c r="K17" i="24"/>
  <c r="K19" i="24"/>
  <c r="K20" i="24"/>
  <c r="F20" i="24"/>
  <c r="F16" i="24"/>
  <c r="F17" i="24"/>
  <c r="F19" i="24"/>
  <c r="F84" i="24"/>
  <c r="E84" i="24"/>
  <c r="D84" i="24"/>
  <c r="E81" i="24"/>
  <c r="D81" i="24"/>
  <c r="C81" i="24"/>
  <c r="KG17" i="10" l="1"/>
  <c r="KH17" i="10" s="1"/>
  <c r="BS9" i="21"/>
  <c r="ED9" i="21" s="1"/>
  <c r="EE9" i="21" s="1"/>
  <c r="BR9" i="21"/>
  <c r="BS10" i="21"/>
  <c r="CN10" i="21" s="1"/>
  <c r="CO10" i="21" s="1"/>
  <c r="BR10" i="21"/>
  <c r="KF34" i="10"/>
  <c r="KE22" i="10"/>
  <c r="KG22" i="10"/>
  <c r="KH22" i="10" s="1"/>
  <c r="LL8" i="10"/>
  <c r="LM8" i="10" s="1"/>
  <c r="LN8" i="10" s="1"/>
  <c r="LO8" i="10" s="1"/>
  <c r="LK8" i="10"/>
  <c r="KG34" i="10"/>
  <c r="KH34" i="10" s="1"/>
  <c r="KB13" i="10"/>
  <c r="KG13" i="10" s="1"/>
  <c r="KH13" i="10" s="1"/>
  <c r="KE15" i="10"/>
  <c r="KF15" i="10"/>
  <c r="KG15" i="10"/>
  <c r="KH15" i="10" s="1"/>
  <c r="KE33" i="10"/>
  <c r="KF33" i="10"/>
  <c r="KG33" i="10"/>
  <c r="KH33" i="10" s="1"/>
  <c r="KE31" i="10"/>
  <c r="KF31" i="10"/>
  <c r="KG31" i="10"/>
  <c r="KH31" i="10" s="1"/>
  <c r="KE12" i="10"/>
  <c r="KF12" i="10"/>
  <c r="KG12" i="10"/>
  <c r="KH12" i="10" s="1"/>
  <c r="KF20" i="10"/>
  <c r="KE20" i="10"/>
  <c r="KG20" i="10"/>
  <c r="KH20" i="10" s="1"/>
  <c r="KE21" i="10"/>
  <c r="KF21" i="10"/>
  <c r="KG21" i="10"/>
  <c r="KH21" i="10" s="1"/>
  <c r="BS9" i="10"/>
  <c r="DH9" i="10" s="1"/>
  <c r="DI9" i="10" s="1"/>
  <c r="BR9" i="10"/>
  <c r="KI9" i="10"/>
  <c r="P9" i="25" s="1"/>
  <c r="H394" i="31" s="1"/>
  <c r="EL9" i="20"/>
  <c r="FU9" i="20" s="1"/>
  <c r="CI11" i="21"/>
  <c r="FC8" i="20"/>
  <c r="BY11" i="21"/>
  <c r="FL8" i="20"/>
  <c r="DO10" i="21"/>
  <c r="DZ10" i="21"/>
  <c r="KY10" i="10"/>
  <c r="KQ10" i="10"/>
  <c r="KT10" i="10"/>
  <c r="KQ9" i="10"/>
  <c r="KT9" i="10"/>
  <c r="EF8" i="10"/>
  <c r="K8" i="25" s="1"/>
  <c r="H243" i="31" s="1"/>
  <c r="CF8" i="10"/>
  <c r="F8" i="25" s="1"/>
  <c r="H93" i="31" s="1"/>
  <c r="BV8" i="10"/>
  <c r="E8" i="25" s="1"/>
  <c r="H63" i="31" s="1"/>
  <c r="CP8" i="10"/>
  <c r="G8" i="25" s="1"/>
  <c r="H123" i="31" s="1"/>
  <c r="CZ8" i="10"/>
  <c r="H8" i="25" s="1"/>
  <c r="H153" i="31" s="1"/>
  <c r="DJ8" i="10"/>
  <c r="I8" i="25" s="1"/>
  <c r="H183" i="31" s="1"/>
  <c r="DU8" i="10"/>
  <c r="J8" i="25" s="1"/>
  <c r="H213" i="31" s="1"/>
  <c r="EB9" i="18"/>
  <c r="DQ9" i="18"/>
  <c r="CB9" i="18"/>
  <c r="CV9" i="18"/>
  <c r="DF9" i="18"/>
  <c r="CL9" i="18"/>
  <c r="AX10" i="10"/>
  <c r="BB10" i="10" s="1"/>
  <c r="DY10" i="10"/>
  <c r="DZ10" i="10" s="1"/>
  <c r="DN10" i="10"/>
  <c r="DO10" i="10" s="1"/>
  <c r="DD10" i="10"/>
  <c r="CJ10" i="10"/>
  <c r="CT10" i="10"/>
  <c r="BZ10" i="10"/>
  <c r="DX11" i="21"/>
  <c r="CB9" i="10"/>
  <c r="EB9" i="10"/>
  <c r="DQ9" i="10"/>
  <c r="DF9" i="10"/>
  <c r="CV9" i="10"/>
  <c r="CL9" i="10"/>
  <c r="DC11" i="10"/>
  <c r="BT9" i="21"/>
  <c r="BU9" i="21" s="1"/>
  <c r="CI11" i="18"/>
  <c r="CS11" i="18"/>
  <c r="BY11" i="18"/>
  <c r="DC11" i="21"/>
  <c r="BT8" i="21"/>
  <c r="BU8" i="21" s="1"/>
  <c r="BV8" i="21" s="1"/>
  <c r="E8" i="29" s="1"/>
  <c r="H903" i="31" s="1"/>
  <c r="DH8" i="21"/>
  <c r="DI8" i="21" s="1"/>
  <c r="DJ8" i="21" s="1"/>
  <c r="CN8" i="21"/>
  <c r="CO8" i="21" s="1"/>
  <c r="CP8" i="21" s="1"/>
  <c r="ED8" i="21"/>
  <c r="EE8" i="21" s="1"/>
  <c r="EF8" i="21" s="1"/>
  <c r="DS8" i="21"/>
  <c r="DT8" i="21" s="1"/>
  <c r="DU8" i="21" s="1"/>
  <c r="CX8" i="21"/>
  <c r="CY8" i="21" s="1"/>
  <c r="CZ8" i="21" s="1"/>
  <c r="CD8" i="21"/>
  <c r="CE8" i="21" s="1"/>
  <c r="CF8" i="21" s="1"/>
  <c r="F8" i="29" s="1"/>
  <c r="H933" i="31" s="1"/>
  <c r="DC11" i="18"/>
  <c r="DM11" i="10"/>
  <c r="BH10" i="21"/>
  <c r="BE12" i="21" s="1"/>
  <c r="DF9" i="21"/>
  <c r="CV9" i="21"/>
  <c r="CL9" i="21"/>
  <c r="CB9" i="21"/>
  <c r="EB9" i="21"/>
  <c r="DQ9" i="21"/>
  <c r="AX10" i="18"/>
  <c r="DY10" i="18"/>
  <c r="DZ10" i="18" s="1"/>
  <c r="DN10" i="18"/>
  <c r="DO10" i="18" s="1"/>
  <c r="DD10" i="18"/>
  <c r="BZ10" i="18"/>
  <c r="CJ10" i="18"/>
  <c r="CT10" i="18"/>
  <c r="CI11" i="10"/>
  <c r="BY11" i="10"/>
  <c r="CS11" i="10"/>
  <c r="DM11" i="21"/>
  <c r="DM11" i="18"/>
  <c r="DX11" i="10"/>
  <c r="BH10" i="10"/>
  <c r="LA10" i="10" s="1"/>
  <c r="KX11" i="10" s="1"/>
  <c r="BH10" i="18"/>
  <c r="FF7" i="20"/>
  <c r="FG7" i="20" s="1"/>
  <c r="FH7" i="20" s="1"/>
  <c r="EW7" i="20"/>
  <c r="EX7" i="20" s="1"/>
  <c r="EY7" i="20" s="1"/>
  <c r="FX7" i="20"/>
  <c r="FY7" i="20" s="1"/>
  <c r="FZ7" i="20" s="1"/>
  <c r="FO7" i="20"/>
  <c r="FP7" i="20" s="1"/>
  <c r="FQ7" i="20" s="1"/>
  <c r="FB10" i="20"/>
  <c r="FK10" i="20"/>
  <c r="FT10" i="20"/>
  <c r="FA11" i="20"/>
  <c r="EK11" i="20"/>
  <c r="FS11" i="20"/>
  <c r="FJ11" i="20"/>
  <c r="EK14" i="20"/>
  <c r="FB14" i="20" s="1"/>
  <c r="FS14" i="20"/>
  <c r="FT14" i="20" s="1"/>
  <c r="FJ14" i="20"/>
  <c r="FK14" i="20" s="1"/>
  <c r="FA14" i="20"/>
  <c r="FJ12" i="20"/>
  <c r="FA12" i="20"/>
  <c r="FS12" i="20"/>
  <c r="EK12" i="20"/>
  <c r="FS13" i="20"/>
  <c r="FJ13" i="20"/>
  <c r="EK13" i="20"/>
  <c r="FA13" i="20"/>
  <c r="DF7" i="20"/>
  <c r="EB7" i="20"/>
  <c r="DD8" i="20"/>
  <c r="DY8" i="20"/>
  <c r="DZ8" i="20" s="1"/>
  <c r="DC9" i="20"/>
  <c r="DX9" i="20"/>
  <c r="CV7" i="20"/>
  <c r="DQ7" i="20"/>
  <c r="CT8" i="20"/>
  <c r="DN8" i="20"/>
  <c r="DO8" i="20" s="1"/>
  <c r="CS9" i="20"/>
  <c r="DM9" i="20"/>
  <c r="CL7" i="20"/>
  <c r="CB7" i="20"/>
  <c r="BY9" i="20"/>
  <c r="CI9" i="20"/>
  <c r="BZ8" i="20"/>
  <c r="CJ8" i="20"/>
  <c r="BH8" i="20"/>
  <c r="AX8" i="20"/>
  <c r="EP8" i="20" s="1"/>
  <c r="EU8" i="20" s="1"/>
  <c r="BE10" i="20"/>
  <c r="BF9" i="20"/>
  <c r="L58" i="9"/>
  <c r="L59" i="9"/>
  <c r="L60" i="9"/>
  <c r="L61" i="9"/>
  <c r="L57" i="9"/>
  <c r="M58" i="9"/>
  <c r="M59" i="9"/>
  <c r="M60" i="9"/>
  <c r="M61" i="9"/>
  <c r="M57" i="9"/>
  <c r="N58" i="9"/>
  <c r="N59" i="9"/>
  <c r="N60" i="9"/>
  <c r="N61" i="9"/>
  <c r="N57" i="9"/>
  <c r="O57" i="9"/>
  <c r="O58" i="9"/>
  <c r="O59" i="9"/>
  <c r="O60" i="9"/>
  <c r="O61" i="9"/>
  <c r="Q57" i="9"/>
  <c r="Q58" i="9"/>
  <c r="Q59" i="9"/>
  <c r="Q60" i="9"/>
  <c r="Q61" i="9"/>
  <c r="P57" i="9"/>
  <c r="P58" i="9"/>
  <c r="P59" i="9"/>
  <c r="P60" i="9"/>
  <c r="P61" i="9"/>
  <c r="CD9" i="21" l="1"/>
  <c r="CE9" i="21" s="1"/>
  <c r="CF9" i="21" s="1"/>
  <c r="CX9" i="21"/>
  <c r="CY9" i="21" s="1"/>
  <c r="DH9" i="21"/>
  <c r="DI9" i="21" s="1"/>
  <c r="DS9" i="21"/>
  <c r="DT9" i="21" s="1"/>
  <c r="DU9" i="21" s="1"/>
  <c r="CN9" i="21"/>
  <c r="CO9" i="21" s="1"/>
  <c r="KE13" i="10"/>
  <c r="KF13" i="10"/>
  <c r="LL9" i="10"/>
  <c r="LM9" i="10" s="1"/>
  <c r="LN9" i="10" s="1"/>
  <c r="LO9" i="10" s="1"/>
  <c r="Q9" i="25" s="1"/>
  <c r="H424" i="31" s="1"/>
  <c r="LK9" i="10"/>
  <c r="LL10" i="10"/>
  <c r="LM10" i="10" s="1"/>
  <c r="LN10" i="10" s="1"/>
  <c r="LK10" i="10"/>
  <c r="KI10" i="10"/>
  <c r="P10" i="25" s="1"/>
  <c r="H395" i="31" s="1"/>
  <c r="BS10" i="10"/>
  <c r="BT10" i="10" s="1"/>
  <c r="BU10" i="10" s="1"/>
  <c r="BR10" i="10"/>
  <c r="EL10" i="20"/>
  <c r="FU10" i="20" s="1"/>
  <c r="FC9" i="20"/>
  <c r="FL9" i="20"/>
  <c r="CN9" i="10"/>
  <c r="CO9" i="10" s="1"/>
  <c r="CP9" i="10" s="1"/>
  <c r="G9" i="25" s="1"/>
  <c r="H124" i="31" s="1"/>
  <c r="ED9" i="10"/>
  <c r="EE9" i="10" s="1"/>
  <c r="EF9" i="10" s="1"/>
  <c r="K9" i="25" s="1"/>
  <c r="H244" i="31" s="1"/>
  <c r="BT9" i="10"/>
  <c r="BU9" i="10" s="1"/>
  <c r="BV9" i="10" s="1"/>
  <c r="E9" i="25" s="1"/>
  <c r="H64" i="31" s="1"/>
  <c r="DS9" i="10"/>
  <c r="DT9" i="10" s="1"/>
  <c r="DU9" i="10" s="1"/>
  <c r="J9" i="25" s="1"/>
  <c r="H214" i="31" s="1"/>
  <c r="CX9" i="10"/>
  <c r="CY9" i="10" s="1"/>
  <c r="CZ9" i="10" s="1"/>
  <c r="H9" i="25" s="1"/>
  <c r="H154" i="31" s="1"/>
  <c r="DS10" i="21"/>
  <c r="DT10" i="21" s="1"/>
  <c r="ED10" i="21"/>
  <c r="EE10" i="21" s="1"/>
  <c r="DH10" i="21"/>
  <c r="DI10" i="21" s="1"/>
  <c r="CD9" i="10"/>
  <c r="CE9" i="10" s="1"/>
  <c r="CF9" i="10" s="1"/>
  <c r="F9" i="25" s="1"/>
  <c r="H94" i="31" s="1"/>
  <c r="CX10" i="21"/>
  <c r="CY10" i="21" s="1"/>
  <c r="BT10" i="21"/>
  <c r="BU10" i="21" s="1"/>
  <c r="CD10" i="21"/>
  <c r="CE10" i="21" s="1"/>
  <c r="CZ9" i="21"/>
  <c r="H8" i="29"/>
  <c r="H993" i="31" s="1"/>
  <c r="Q8" i="25"/>
  <c r="H423" i="31" s="1"/>
  <c r="CP9" i="21"/>
  <c r="G9" i="29" s="1"/>
  <c r="H964" i="31" s="1"/>
  <c r="G8" i="29"/>
  <c r="H963" i="31" s="1"/>
  <c r="DJ9" i="21"/>
  <c r="I9" i="29" s="1"/>
  <c r="H1024" i="31" s="1"/>
  <c r="I8" i="29"/>
  <c r="H1023" i="31" s="1"/>
  <c r="J8" i="29"/>
  <c r="H1053" i="31" s="1"/>
  <c r="EF9" i="21"/>
  <c r="K9" i="29" s="1"/>
  <c r="H1084" i="31" s="1"/>
  <c r="K8" i="29"/>
  <c r="H1083" i="31" s="1"/>
  <c r="DJ9" i="10"/>
  <c r="I9" i="25" s="1"/>
  <c r="H184" i="31" s="1"/>
  <c r="BE15" i="21"/>
  <c r="CS12" i="21"/>
  <c r="CI12" i="21"/>
  <c r="BY12" i="21"/>
  <c r="BF11" i="10"/>
  <c r="EB10" i="10"/>
  <c r="DF10" i="10"/>
  <c r="DQ10" i="10"/>
  <c r="CV10" i="10"/>
  <c r="CL10" i="10"/>
  <c r="CB10" i="10"/>
  <c r="BF11" i="21"/>
  <c r="EB10" i="21"/>
  <c r="DQ10" i="21"/>
  <c r="DF10" i="21"/>
  <c r="CV10" i="21"/>
  <c r="CL10" i="21"/>
  <c r="CB10" i="21"/>
  <c r="BF11" i="18"/>
  <c r="CV10" i="18"/>
  <c r="CL10" i="18"/>
  <c r="DQ10" i="18"/>
  <c r="DF10" i="18"/>
  <c r="CB10" i="18"/>
  <c r="EB10" i="18"/>
  <c r="BV9" i="21"/>
  <c r="BE12" i="10"/>
  <c r="BE12" i="18"/>
  <c r="BE14" i="21"/>
  <c r="BF12" i="21"/>
  <c r="BE13" i="21"/>
  <c r="FK11" i="20"/>
  <c r="FB11" i="20"/>
  <c r="FT11" i="20"/>
  <c r="FO8" i="20"/>
  <c r="FP8" i="20" s="1"/>
  <c r="FQ8" i="20" s="1"/>
  <c r="FF8" i="20"/>
  <c r="FG8" i="20" s="1"/>
  <c r="FH8" i="20" s="1"/>
  <c r="EW8" i="20"/>
  <c r="EX8" i="20" s="1"/>
  <c r="EY8" i="20" s="1"/>
  <c r="FX8" i="20"/>
  <c r="FY8" i="20" s="1"/>
  <c r="FZ8" i="20" s="1"/>
  <c r="FT12" i="20"/>
  <c r="FK12" i="20"/>
  <c r="FB12" i="20"/>
  <c r="FT13" i="20"/>
  <c r="FK13" i="20"/>
  <c r="FB13" i="20"/>
  <c r="DF8" i="20"/>
  <c r="EB8" i="20"/>
  <c r="DD9" i="20"/>
  <c r="DY9" i="20"/>
  <c r="DZ9" i="20" s="1"/>
  <c r="DC10" i="20"/>
  <c r="DC11" i="20" s="1"/>
  <c r="DX10" i="20"/>
  <c r="CV8" i="20"/>
  <c r="DQ8" i="20"/>
  <c r="CT9" i="20"/>
  <c r="DN9" i="20"/>
  <c r="DO9" i="20" s="1"/>
  <c r="CS10" i="20"/>
  <c r="DM10" i="20"/>
  <c r="CL8" i="20"/>
  <c r="CB8" i="20"/>
  <c r="BZ9" i="20"/>
  <c r="CJ9" i="20"/>
  <c r="BY10" i="20"/>
  <c r="CI10" i="20"/>
  <c r="BF10" i="20"/>
  <c r="BE11" i="20"/>
  <c r="CS11" i="20" s="1"/>
  <c r="BH9" i="20"/>
  <c r="AX9" i="20"/>
  <c r="EP9" i="20" s="1"/>
  <c r="EU9" i="20" s="1"/>
  <c r="D34" i="24"/>
  <c r="C38" i="24"/>
  <c r="C37" i="24"/>
  <c r="C35" i="24"/>
  <c r="C34" i="24"/>
  <c r="ED10" i="10" l="1"/>
  <c r="EE10" i="10" s="1"/>
  <c r="KI11" i="10"/>
  <c r="P11" i="25" s="1"/>
  <c r="H396" i="31" s="1"/>
  <c r="CX10" i="10"/>
  <c r="CY10" i="10" s="1"/>
  <c r="CZ10" i="10" s="1"/>
  <c r="H10" i="25" s="1"/>
  <c r="H155" i="31" s="1"/>
  <c r="CD10" i="10"/>
  <c r="CE10" i="10" s="1"/>
  <c r="CF10" i="10" s="1"/>
  <c r="F10" i="25" s="1"/>
  <c r="H95" i="31" s="1"/>
  <c r="DH10" i="10"/>
  <c r="DI10" i="10" s="1"/>
  <c r="DJ10" i="10" s="1"/>
  <c r="I10" i="25" s="1"/>
  <c r="H185" i="31" s="1"/>
  <c r="CN10" i="10"/>
  <c r="CO10" i="10" s="1"/>
  <c r="CP10" i="10" s="1"/>
  <c r="G10" i="25" s="1"/>
  <c r="H125" i="31" s="1"/>
  <c r="DS10" i="10"/>
  <c r="DT10" i="10" s="1"/>
  <c r="DU10" i="10" s="1"/>
  <c r="J10" i="25" s="1"/>
  <c r="H215" i="31" s="1"/>
  <c r="FC10" i="20"/>
  <c r="FL10" i="20"/>
  <c r="EL11" i="20"/>
  <c r="FC11" i="20" s="1"/>
  <c r="CP10" i="21"/>
  <c r="G10" i="29" s="1"/>
  <c r="H965" i="31" s="1"/>
  <c r="EF10" i="21"/>
  <c r="K10" i="29" s="1"/>
  <c r="H1085" i="31" s="1"/>
  <c r="EF10" i="10"/>
  <c r="K10" i="25" s="1"/>
  <c r="H245" i="31" s="1"/>
  <c r="DU10" i="21"/>
  <c r="J10" i="29" s="1"/>
  <c r="H1055" i="31" s="1"/>
  <c r="J9" i="29"/>
  <c r="H1054" i="31" s="1"/>
  <c r="DJ10" i="21"/>
  <c r="I10" i="29" s="1"/>
  <c r="H1025" i="31" s="1"/>
  <c r="BV10" i="21"/>
  <c r="E10" i="29" s="1"/>
  <c r="H905" i="31" s="1"/>
  <c r="E9" i="29"/>
  <c r="H904" i="31" s="1"/>
  <c r="LO10" i="10"/>
  <c r="Q10" i="25" s="1"/>
  <c r="H425" i="31" s="1"/>
  <c r="CF10" i="21"/>
  <c r="F10" i="29" s="1"/>
  <c r="H935" i="31" s="1"/>
  <c r="F9" i="29"/>
  <c r="H934" i="31" s="1"/>
  <c r="CZ10" i="21"/>
  <c r="H10" i="29" s="1"/>
  <c r="H995" i="31" s="1"/>
  <c r="H9" i="29"/>
  <c r="H994" i="31" s="1"/>
  <c r="BV10" i="10"/>
  <c r="E10" i="25" s="1"/>
  <c r="H65" i="31" s="1"/>
  <c r="BF14" i="21"/>
  <c r="BY14" i="21"/>
  <c r="CS14" i="21"/>
  <c r="CI14" i="21"/>
  <c r="DY11" i="21"/>
  <c r="DC2" i="10"/>
  <c r="DD11" i="10"/>
  <c r="DC2" i="18"/>
  <c r="DD11" i="18"/>
  <c r="BH11" i="18"/>
  <c r="CT11" i="18"/>
  <c r="BZ11" i="18"/>
  <c r="CJ11" i="18"/>
  <c r="CT11" i="21"/>
  <c r="CJ11" i="21"/>
  <c r="BZ11" i="21"/>
  <c r="BH11" i="21"/>
  <c r="BH12" i="21" s="1"/>
  <c r="DY11" i="10"/>
  <c r="BF13" i="21"/>
  <c r="CS13" i="21"/>
  <c r="BY13" i="21"/>
  <c r="CI13" i="21"/>
  <c r="BF12" i="18"/>
  <c r="CS12" i="18"/>
  <c r="CI12" i="18"/>
  <c r="BY12" i="18"/>
  <c r="BE13" i="10"/>
  <c r="CS12" i="10"/>
  <c r="CI12" i="10"/>
  <c r="BY12" i="10"/>
  <c r="DN11" i="18"/>
  <c r="DC2" i="21"/>
  <c r="DD11" i="21"/>
  <c r="BH11" i="10"/>
  <c r="CJ11" i="10"/>
  <c r="BZ11" i="10"/>
  <c r="CT11" i="10"/>
  <c r="CJ12" i="21"/>
  <c r="BZ12" i="21"/>
  <c r="CT12" i="21"/>
  <c r="DY11" i="18"/>
  <c r="DN11" i="21"/>
  <c r="DN11" i="10"/>
  <c r="CS15" i="21"/>
  <c r="BY15" i="21"/>
  <c r="CI15" i="21"/>
  <c r="BF12" i="10"/>
  <c r="BE15" i="18"/>
  <c r="BE14" i="18"/>
  <c r="BE13" i="18"/>
  <c r="BF15" i="21"/>
  <c r="FX9" i="20"/>
  <c r="FY9" i="20" s="1"/>
  <c r="FZ9" i="20" s="1"/>
  <c r="FO9" i="20"/>
  <c r="FP9" i="20" s="1"/>
  <c r="FQ9" i="20" s="1"/>
  <c r="EW9" i="20"/>
  <c r="EX9" i="20" s="1"/>
  <c r="EY9" i="20" s="1"/>
  <c r="FF9" i="20"/>
  <c r="FG9" i="20" s="1"/>
  <c r="FH9" i="20" s="1"/>
  <c r="DF9" i="20"/>
  <c r="EB9" i="20"/>
  <c r="DX11" i="20"/>
  <c r="DD10" i="20"/>
  <c r="DY10" i="20"/>
  <c r="DZ10" i="20" s="1"/>
  <c r="DM11" i="20"/>
  <c r="CV9" i="20"/>
  <c r="DQ9" i="20"/>
  <c r="CT10" i="20"/>
  <c r="DN10" i="20"/>
  <c r="DO10" i="20" s="1"/>
  <c r="BZ10" i="20"/>
  <c r="CJ10" i="20"/>
  <c r="CB9" i="20"/>
  <c r="CL9" i="20"/>
  <c r="BY11" i="20"/>
  <c r="CI11" i="20"/>
  <c r="AX10" i="20"/>
  <c r="EP10" i="20" s="1"/>
  <c r="EU10" i="20" s="1"/>
  <c r="BH10" i="20"/>
  <c r="H17" i="24"/>
  <c r="I17" i="24"/>
  <c r="J17" i="24"/>
  <c r="H19" i="24"/>
  <c r="I19" i="24"/>
  <c r="J19" i="24"/>
  <c r="H20" i="24"/>
  <c r="I20" i="24"/>
  <c r="J20" i="24"/>
  <c r="I16" i="24"/>
  <c r="J16" i="24"/>
  <c r="H16" i="24"/>
  <c r="C17" i="24"/>
  <c r="C26" i="24" s="1"/>
  <c r="D17" i="24"/>
  <c r="I26" i="24" s="1"/>
  <c r="E17" i="24"/>
  <c r="C19" i="24"/>
  <c r="D19" i="24"/>
  <c r="E19" i="24"/>
  <c r="C20" i="24"/>
  <c r="C29" i="24" s="1"/>
  <c r="D20" i="24"/>
  <c r="I29" i="24" s="1"/>
  <c r="E20" i="24"/>
  <c r="D16" i="24"/>
  <c r="E16" i="24"/>
  <c r="C16" i="24"/>
  <c r="E25" i="24" s="1"/>
  <c r="AB36" i="20"/>
  <c r="AB35" i="20"/>
  <c r="AB34" i="20"/>
  <c r="AB33" i="20"/>
  <c r="AB32" i="20"/>
  <c r="AB31" i="20"/>
  <c r="F36" i="20"/>
  <c r="F35" i="20"/>
  <c r="F34" i="20"/>
  <c r="F33" i="20"/>
  <c r="F32" i="20"/>
  <c r="F31" i="20"/>
  <c r="F30" i="20"/>
  <c r="AB30" i="20" s="1"/>
  <c r="F29" i="20"/>
  <c r="AB29" i="20" s="1"/>
  <c r="F28" i="20"/>
  <c r="AB28" i="20" s="1"/>
  <c r="F27" i="20"/>
  <c r="AB27" i="20" s="1"/>
  <c r="F26" i="20"/>
  <c r="AB26" i="20" s="1"/>
  <c r="F25" i="20"/>
  <c r="AB25" i="20" s="1"/>
  <c r="F24" i="20"/>
  <c r="AB24" i="20" s="1"/>
  <c r="F23" i="20"/>
  <c r="AB23" i="20" s="1"/>
  <c r="F22" i="20"/>
  <c r="AB22" i="20" s="1"/>
  <c r="F21" i="20"/>
  <c r="AB21" i="20" s="1"/>
  <c r="F20" i="20"/>
  <c r="AB20" i="20" s="1"/>
  <c r="F19" i="20"/>
  <c r="AB19" i="20" s="1"/>
  <c r="F18" i="20"/>
  <c r="AB18" i="20" s="1"/>
  <c r="F17" i="20"/>
  <c r="AB17" i="20" s="1"/>
  <c r="F16" i="20"/>
  <c r="AB16" i="20" s="1"/>
  <c r="F15" i="20"/>
  <c r="AB15" i="20" s="1"/>
  <c r="F14" i="20"/>
  <c r="AB14" i="20" s="1"/>
  <c r="F13" i="20"/>
  <c r="AB13" i="20" s="1"/>
  <c r="F12" i="20"/>
  <c r="AB12" i="20" s="1"/>
  <c r="F11" i="20"/>
  <c r="AB11" i="20" s="1"/>
  <c r="F10" i="20"/>
  <c r="F9" i="20"/>
  <c r="F8" i="20"/>
  <c r="F7" i="20"/>
  <c r="AB36" i="21"/>
  <c r="AB35" i="21"/>
  <c r="AB34" i="21"/>
  <c r="AB33" i="21"/>
  <c r="AB32" i="21"/>
  <c r="AB31" i="21"/>
  <c r="F36" i="21"/>
  <c r="F35" i="21"/>
  <c r="F34" i="21"/>
  <c r="F33" i="21"/>
  <c r="F32" i="21"/>
  <c r="F31" i="21"/>
  <c r="F30" i="21"/>
  <c r="AB30" i="21" s="1"/>
  <c r="F29" i="21"/>
  <c r="AB29" i="21" s="1"/>
  <c r="F28" i="21"/>
  <c r="AB28" i="21" s="1"/>
  <c r="F27" i="21"/>
  <c r="AB27" i="21" s="1"/>
  <c r="F26" i="21"/>
  <c r="AB26" i="21" s="1"/>
  <c r="F25" i="21"/>
  <c r="AB25" i="21" s="1"/>
  <c r="F24" i="21"/>
  <c r="AB24" i="21" s="1"/>
  <c r="F23" i="21"/>
  <c r="AB23" i="21" s="1"/>
  <c r="F22" i="21"/>
  <c r="AB22" i="21" s="1"/>
  <c r="F21" i="21"/>
  <c r="AB21" i="21" s="1"/>
  <c r="F20" i="21"/>
  <c r="AB20" i="21" s="1"/>
  <c r="F19" i="21"/>
  <c r="AB19" i="21" s="1"/>
  <c r="F18" i="21"/>
  <c r="AB18" i="21" s="1"/>
  <c r="F17" i="21"/>
  <c r="AB17" i="21" s="1"/>
  <c r="F16" i="21"/>
  <c r="AB16" i="21" s="1"/>
  <c r="F15" i="21"/>
  <c r="AB15" i="21" s="1"/>
  <c r="F14" i="21"/>
  <c r="AB14" i="21" s="1"/>
  <c r="F13" i="21"/>
  <c r="AB13" i="21" s="1"/>
  <c r="F12" i="21"/>
  <c r="AB12" i="21" s="1"/>
  <c r="F11" i="21"/>
  <c r="AB11" i="21" s="1"/>
  <c r="F10" i="21"/>
  <c r="F9" i="21"/>
  <c r="F8" i="21"/>
  <c r="F7" i="21"/>
  <c r="AB36" i="18"/>
  <c r="AB35" i="18"/>
  <c r="AB34" i="18"/>
  <c r="AB33" i="18"/>
  <c r="AB32" i="18"/>
  <c r="AB31" i="18"/>
  <c r="F36" i="18"/>
  <c r="F35" i="18"/>
  <c r="F34" i="18"/>
  <c r="F33" i="18"/>
  <c r="F32" i="18"/>
  <c r="F31" i="18"/>
  <c r="F30" i="18"/>
  <c r="AB30" i="18" s="1"/>
  <c r="F29" i="18"/>
  <c r="AB29" i="18" s="1"/>
  <c r="F28" i="18"/>
  <c r="AB28" i="18" s="1"/>
  <c r="F27" i="18"/>
  <c r="AB27" i="18" s="1"/>
  <c r="F26" i="18"/>
  <c r="AB26" i="18" s="1"/>
  <c r="F25" i="18"/>
  <c r="AB25" i="18" s="1"/>
  <c r="F24" i="18"/>
  <c r="AB24" i="18" s="1"/>
  <c r="F23" i="18"/>
  <c r="AB23" i="18" s="1"/>
  <c r="F22" i="18"/>
  <c r="AB22" i="18" s="1"/>
  <c r="F21" i="18"/>
  <c r="AB21" i="18" s="1"/>
  <c r="F20" i="18"/>
  <c r="AB20" i="18" s="1"/>
  <c r="F19" i="18"/>
  <c r="AB19" i="18" s="1"/>
  <c r="F18" i="18"/>
  <c r="AB18" i="18" s="1"/>
  <c r="F17" i="18"/>
  <c r="AB17" i="18" s="1"/>
  <c r="F16" i="18"/>
  <c r="AB16" i="18" s="1"/>
  <c r="F15" i="18"/>
  <c r="AB15" i="18" s="1"/>
  <c r="F14" i="18"/>
  <c r="AB14" i="18" s="1"/>
  <c r="F13" i="18"/>
  <c r="AB13" i="18" s="1"/>
  <c r="F12" i="18"/>
  <c r="AB12" i="18" s="1"/>
  <c r="F11" i="18"/>
  <c r="AB11" i="18" s="1"/>
  <c r="F10" i="18"/>
  <c r="F9" i="18"/>
  <c r="F8" i="18"/>
  <c r="F7" i="18"/>
  <c r="AB36" i="10"/>
  <c r="AB35" i="10"/>
  <c r="AB34" i="10"/>
  <c r="AB33" i="10"/>
  <c r="AB32" i="10"/>
  <c r="AB31" i="10"/>
  <c r="F36" i="10"/>
  <c r="F35" i="10"/>
  <c r="F34" i="10"/>
  <c r="F33" i="10"/>
  <c r="F32" i="10"/>
  <c r="F31" i="10"/>
  <c r="F30" i="10"/>
  <c r="F29" i="10"/>
  <c r="F28" i="10"/>
  <c r="F27" i="10"/>
  <c r="AB27" i="10" s="1"/>
  <c r="F26" i="10"/>
  <c r="AB26" i="10" s="1"/>
  <c r="F25" i="10"/>
  <c r="AB25" i="10" s="1"/>
  <c r="F24" i="10"/>
  <c r="AB24" i="10" s="1"/>
  <c r="F23" i="10"/>
  <c r="AB23" i="10" s="1"/>
  <c r="F22" i="10"/>
  <c r="AB22" i="10" s="1"/>
  <c r="F21" i="10"/>
  <c r="AB21" i="10" s="1"/>
  <c r="F20" i="10"/>
  <c r="AB20" i="10" s="1"/>
  <c r="F19" i="10"/>
  <c r="AB19" i="10" s="1"/>
  <c r="F18" i="10"/>
  <c r="AB18" i="10" s="1"/>
  <c r="F17" i="10"/>
  <c r="AB17" i="10" s="1"/>
  <c r="F16" i="10"/>
  <c r="AB16" i="10" s="1"/>
  <c r="F15" i="10"/>
  <c r="AB15" i="10" s="1"/>
  <c r="F14" i="10"/>
  <c r="AB14" i="10" s="1"/>
  <c r="F13" i="10"/>
  <c r="AB13" i="10" s="1"/>
  <c r="F12" i="10"/>
  <c r="AB12" i="10" s="1"/>
  <c r="F11" i="10"/>
  <c r="AB11" i="10" s="1"/>
  <c r="F8" i="10"/>
  <c r="F9" i="10"/>
  <c r="F10" i="10"/>
  <c r="F7" i="10"/>
  <c r="KI12" i="10" l="1"/>
  <c r="P12" i="25" s="1"/>
  <c r="H397" i="31" s="1"/>
  <c r="FL11" i="20"/>
  <c r="FU11" i="20"/>
  <c r="EL12" i="20"/>
  <c r="FL12" i="20" s="1"/>
  <c r="BH13" i="21"/>
  <c r="CV13" i="21" s="1"/>
  <c r="BF14" i="18"/>
  <c r="CS14" i="18"/>
  <c r="CI14" i="18"/>
  <c r="BY14" i="18"/>
  <c r="CL11" i="21"/>
  <c r="CV11" i="21"/>
  <c r="CB11" i="21"/>
  <c r="DY2" i="10"/>
  <c r="DD2" i="10"/>
  <c r="BF15" i="18"/>
  <c r="CI15" i="18"/>
  <c r="BY15" i="18"/>
  <c r="CS15" i="18"/>
  <c r="BF13" i="10"/>
  <c r="CS13" i="10"/>
  <c r="CI13" i="10"/>
  <c r="BY13" i="10"/>
  <c r="BH12" i="18"/>
  <c r="CJ12" i="18"/>
  <c r="BZ12" i="18"/>
  <c r="CT12" i="18"/>
  <c r="CJ13" i="21"/>
  <c r="BZ13" i="21"/>
  <c r="CT13" i="21"/>
  <c r="CV12" i="21"/>
  <c r="CL12" i="21"/>
  <c r="CB12" i="21"/>
  <c r="DD2" i="18"/>
  <c r="DE11" i="18" s="1"/>
  <c r="DY2" i="18"/>
  <c r="CJ15" i="21"/>
  <c r="BZ15" i="21"/>
  <c r="CT15" i="21"/>
  <c r="BF13" i="18"/>
  <c r="BY13" i="18"/>
  <c r="CS13" i="18"/>
  <c r="CI13" i="18"/>
  <c r="BH12" i="10"/>
  <c r="CT12" i="10"/>
  <c r="CJ12" i="10"/>
  <c r="BZ12" i="10"/>
  <c r="CV11" i="10"/>
  <c r="CL11" i="10"/>
  <c r="CB11" i="10"/>
  <c r="DY2" i="21"/>
  <c r="DD2" i="21"/>
  <c r="DE11" i="21" s="1"/>
  <c r="CL11" i="18"/>
  <c r="CV11" i="18"/>
  <c r="CB11" i="18"/>
  <c r="CT14" i="21"/>
  <c r="CJ14" i="21"/>
  <c r="BZ14" i="21"/>
  <c r="EW10" i="20"/>
  <c r="EX10" i="20" s="1"/>
  <c r="EY10" i="20" s="1"/>
  <c r="FX10" i="20"/>
  <c r="FY10" i="20" s="1"/>
  <c r="FZ10" i="20" s="1"/>
  <c r="FF10" i="20"/>
  <c r="FG10" i="20" s="1"/>
  <c r="FH10" i="20" s="1"/>
  <c r="FO10" i="20"/>
  <c r="FP10" i="20" s="1"/>
  <c r="FQ10" i="20" s="1"/>
  <c r="DF10" i="20"/>
  <c r="DC2" i="20" s="1"/>
  <c r="EB10" i="20"/>
  <c r="CV10" i="20"/>
  <c r="DQ10" i="20"/>
  <c r="CL10" i="20"/>
  <c r="CB10" i="20"/>
  <c r="BE12" i="20"/>
  <c r="CS12" i="20" s="1"/>
  <c r="BF11" i="20"/>
  <c r="CT11" i="20" s="1"/>
  <c r="F51" i="24"/>
  <c r="AB28" i="10"/>
  <c r="C51" i="24"/>
  <c r="AB29" i="10"/>
  <c r="D51" i="24"/>
  <c r="AB30" i="10"/>
  <c r="E51" i="24"/>
  <c r="AW15" i="20"/>
  <c r="JJ15" i="20" s="1"/>
  <c r="AC36" i="20"/>
  <c r="AC35" i="20"/>
  <c r="G36" i="20"/>
  <c r="G35" i="20"/>
  <c r="H35" i="20"/>
  <c r="H36" i="20"/>
  <c r="G22" i="20"/>
  <c r="AC22" i="20" s="1"/>
  <c r="G23" i="20"/>
  <c r="AC23" i="20" s="1"/>
  <c r="G24" i="20"/>
  <c r="G16" i="20"/>
  <c r="G17" i="20"/>
  <c r="G13" i="20"/>
  <c r="G12" i="20"/>
  <c r="G14" i="20"/>
  <c r="G7" i="10"/>
  <c r="G7" i="18"/>
  <c r="G7" i="21"/>
  <c r="G7" i="20"/>
  <c r="KI13" i="10" l="1"/>
  <c r="P13" i="25" s="1"/>
  <c r="H398" i="31" s="1"/>
  <c r="FC12" i="20"/>
  <c r="EL13" i="20"/>
  <c r="EL14" i="20" s="1"/>
  <c r="FU12" i="20"/>
  <c r="CL13" i="21"/>
  <c r="CB13" i="21"/>
  <c r="BH14" i="21"/>
  <c r="BH15" i="21" s="1"/>
  <c r="CB15" i="21" s="1"/>
  <c r="JL15" i="20"/>
  <c r="JN15" i="20"/>
  <c r="JZ15" i="20" s="1"/>
  <c r="KA15" i="20" s="1"/>
  <c r="DE11" i="10"/>
  <c r="DF11" i="10" s="1"/>
  <c r="DC12" i="10" s="1"/>
  <c r="KZ11" i="10"/>
  <c r="LB11" i="10" s="1"/>
  <c r="LM11" i="10" s="1"/>
  <c r="DG11" i="18"/>
  <c r="DF11" i="18"/>
  <c r="DG11" i="21"/>
  <c r="DF11" i="21"/>
  <c r="BH13" i="10"/>
  <c r="CV12" i="10"/>
  <c r="CL12" i="10"/>
  <c r="CB12" i="10"/>
  <c r="BH13" i="18"/>
  <c r="CT13" i="18"/>
  <c r="CJ13" i="18"/>
  <c r="BZ13" i="18"/>
  <c r="BZ14" i="18"/>
  <c r="CJ14" i="18"/>
  <c r="CT14" i="18"/>
  <c r="CB14" i="21"/>
  <c r="CV12" i="18"/>
  <c r="CB12" i="18"/>
  <c r="CL12" i="18"/>
  <c r="BZ13" i="10"/>
  <c r="CT13" i="10"/>
  <c r="CJ13" i="10"/>
  <c r="BZ15" i="18"/>
  <c r="CT15" i="18"/>
  <c r="CJ15" i="18"/>
  <c r="EO15" i="20"/>
  <c r="FC13" i="20"/>
  <c r="DD11" i="20"/>
  <c r="DY11" i="20"/>
  <c r="DD2" i="20"/>
  <c r="DE11" i="20" s="1"/>
  <c r="DG11" i="20" s="1"/>
  <c r="DY2" i="20"/>
  <c r="DN11" i="20"/>
  <c r="BY12" i="20"/>
  <c r="CI12" i="20"/>
  <c r="CJ11" i="20"/>
  <c r="BZ11" i="20"/>
  <c r="BH11" i="20"/>
  <c r="BE14" i="20"/>
  <c r="BE13" i="20"/>
  <c r="BF12" i="20"/>
  <c r="CT12" i="20" s="1"/>
  <c r="BA15" i="20"/>
  <c r="AW30" i="20"/>
  <c r="AW17" i="20"/>
  <c r="JJ17" i="20" s="1"/>
  <c r="AW19" i="20"/>
  <c r="AW23" i="20"/>
  <c r="AW27" i="20"/>
  <c r="AW31" i="20"/>
  <c r="AW35" i="20"/>
  <c r="AW18" i="20"/>
  <c r="JJ18" i="20" s="1"/>
  <c r="AW20" i="20"/>
  <c r="AW24" i="20"/>
  <c r="AW28" i="20"/>
  <c r="AW32" i="20"/>
  <c r="AW36" i="20"/>
  <c r="AW21" i="20"/>
  <c r="AW25" i="20"/>
  <c r="AW29" i="20"/>
  <c r="AW33" i="20"/>
  <c r="AW16" i="20"/>
  <c r="JJ16" i="20" s="1"/>
  <c r="AW22" i="20"/>
  <c r="AW26" i="20"/>
  <c r="AW34" i="20"/>
  <c r="AW16" i="21"/>
  <c r="AC36" i="21"/>
  <c r="AC35" i="21"/>
  <c r="H36" i="21"/>
  <c r="H35" i="21"/>
  <c r="G36" i="21"/>
  <c r="G35" i="21"/>
  <c r="G23" i="21"/>
  <c r="AC23" i="21" s="1"/>
  <c r="G15" i="21"/>
  <c r="G14" i="21"/>
  <c r="G13" i="21"/>
  <c r="G12" i="21"/>
  <c r="KI14" i="10" l="1"/>
  <c r="P14" i="25" s="1"/>
  <c r="H399" i="31" s="1"/>
  <c r="JJ29" i="20"/>
  <c r="JN29" i="20" s="1"/>
  <c r="JZ29" i="20" s="1"/>
  <c r="KA29" i="20" s="1"/>
  <c r="HU29" i="20"/>
  <c r="IP29" i="20"/>
  <c r="JJ22" i="20"/>
  <c r="JN22" i="20" s="1"/>
  <c r="HU22" i="20"/>
  <c r="IP22" i="20"/>
  <c r="JJ25" i="20"/>
  <c r="JN25" i="20" s="1"/>
  <c r="JZ25" i="20" s="1"/>
  <c r="KA25" i="20" s="1"/>
  <c r="HU25" i="20"/>
  <c r="IP25" i="20"/>
  <c r="JJ28" i="20"/>
  <c r="JL28" i="20" s="1"/>
  <c r="IP28" i="20"/>
  <c r="HU28" i="20"/>
  <c r="JJ35" i="20"/>
  <c r="JL35" i="20" s="1"/>
  <c r="HC35" i="20"/>
  <c r="GH35" i="20"/>
  <c r="HU35" i="20"/>
  <c r="IP35" i="20"/>
  <c r="JJ19" i="20"/>
  <c r="JL19" i="20" s="1"/>
  <c r="IP19" i="20"/>
  <c r="JJ26" i="20"/>
  <c r="JL26" i="20" s="1"/>
  <c r="IP26" i="20"/>
  <c r="HU26" i="20"/>
  <c r="JJ32" i="20"/>
  <c r="JN32" i="20" s="1"/>
  <c r="JZ32" i="20" s="1"/>
  <c r="KA32" i="20" s="1"/>
  <c r="IP32" i="20"/>
  <c r="HC32" i="20"/>
  <c r="HU32" i="20"/>
  <c r="JJ23" i="20"/>
  <c r="JN23" i="20" s="1"/>
  <c r="HU23" i="20"/>
  <c r="IP23" i="20"/>
  <c r="JJ21" i="20"/>
  <c r="JL21" i="20" s="1"/>
  <c r="IP21" i="20"/>
  <c r="JJ24" i="20"/>
  <c r="JL24" i="20" s="1"/>
  <c r="IP24" i="20"/>
  <c r="HU24" i="20"/>
  <c r="JJ31" i="20"/>
  <c r="JL31" i="20" s="1"/>
  <c r="HU31" i="20"/>
  <c r="HC31" i="20"/>
  <c r="IP31" i="20"/>
  <c r="JJ34" i="20"/>
  <c r="JL34" i="20" s="1"/>
  <c r="IP34" i="20"/>
  <c r="HC34" i="20"/>
  <c r="HU34" i="20"/>
  <c r="GH34" i="20"/>
  <c r="JJ33" i="20"/>
  <c r="JL33" i="20" s="1"/>
  <c r="HU33" i="20"/>
  <c r="HC33" i="20"/>
  <c r="IP33" i="20"/>
  <c r="JJ36" i="20"/>
  <c r="JN36" i="20" s="1"/>
  <c r="JZ36" i="20" s="1"/>
  <c r="KA36" i="20" s="1"/>
  <c r="IP36" i="20"/>
  <c r="HU36" i="20"/>
  <c r="HC36" i="20"/>
  <c r="GH36" i="20"/>
  <c r="JJ20" i="20"/>
  <c r="JL20" i="20" s="1"/>
  <c r="IP20" i="20"/>
  <c r="JJ27" i="20"/>
  <c r="JN27" i="20" s="1"/>
  <c r="HU27" i="20"/>
  <c r="IP27" i="20"/>
  <c r="JJ30" i="20"/>
  <c r="JN30" i="20" s="1"/>
  <c r="IP30" i="20"/>
  <c r="HU30" i="20"/>
  <c r="BM15" i="20"/>
  <c r="BN15" i="20" s="1"/>
  <c r="FL13" i="20"/>
  <c r="FL14" i="20" s="1"/>
  <c r="FJ15" i="20" s="1"/>
  <c r="FK15" i="20" s="1"/>
  <c r="FU13" i="20"/>
  <c r="FU14" i="20" s="1"/>
  <c r="FS15" i="20" s="1"/>
  <c r="JW15" i="20"/>
  <c r="KD15" i="20" s="1"/>
  <c r="JX15" i="20" s="1"/>
  <c r="JY15" i="20" s="1"/>
  <c r="KB15" i="20" s="1"/>
  <c r="KC15" i="20"/>
  <c r="BP15" i="20"/>
  <c r="BJ15" i="20"/>
  <c r="BQ15" i="20" s="1"/>
  <c r="BK15" i="20" s="1"/>
  <c r="BL15" i="20" s="1"/>
  <c r="CV14" i="21"/>
  <c r="CL15" i="21"/>
  <c r="CI16" i="21" s="1"/>
  <c r="CJ16" i="21" s="1"/>
  <c r="CV15" i="21"/>
  <c r="CS16" i="21" s="1"/>
  <c r="CT16" i="21" s="1"/>
  <c r="BE16" i="21"/>
  <c r="BF16" i="21" s="1"/>
  <c r="BG16" i="21" s="1"/>
  <c r="CL14" i="21"/>
  <c r="JN17" i="20"/>
  <c r="JZ17" i="20" s="1"/>
  <c r="KA17" i="20" s="1"/>
  <c r="JL17" i="20"/>
  <c r="JL25" i="20"/>
  <c r="JN35" i="20"/>
  <c r="JN19" i="20"/>
  <c r="JZ19" i="20" s="1"/>
  <c r="KA19" i="20" s="1"/>
  <c r="JL16" i="20"/>
  <c r="JN16" i="20"/>
  <c r="JZ16" i="20" s="1"/>
  <c r="KA16" i="20" s="1"/>
  <c r="JL29" i="20"/>
  <c r="JN18" i="20"/>
  <c r="JL18" i="20"/>
  <c r="BA16" i="21"/>
  <c r="JJ16" i="21"/>
  <c r="DG11" i="10"/>
  <c r="DC12" i="18"/>
  <c r="DD12" i="18" s="1"/>
  <c r="DE12" i="18" s="1"/>
  <c r="DD12" i="10"/>
  <c r="DE12" i="10" s="1"/>
  <c r="KI15" i="10"/>
  <c r="P15" i="25" s="1"/>
  <c r="H400" i="31" s="1"/>
  <c r="BH14" i="18"/>
  <c r="CB13" i="18"/>
  <c r="CV13" i="18"/>
  <c r="CL13" i="18"/>
  <c r="BE14" i="10"/>
  <c r="CB13" i="10"/>
  <c r="CV13" i="10"/>
  <c r="CL13" i="10"/>
  <c r="DC12" i="21"/>
  <c r="BY16" i="21"/>
  <c r="EO21" i="20"/>
  <c r="EO31" i="20"/>
  <c r="EO34" i="20"/>
  <c r="EO36" i="20"/>
  <c r="EO20" i="20"/>
  <c r="EO27" i="20"/>
  <c r="EO26" i="20"/>
  <c r="EO29" i="20"/>
  <c r="EO32" i="20"/>
  <c r="EO18" i="20"/>
  <c r="EO23" i="20"/>
  <c r="FC14" i="20"/>
  <c r="EJ15" i="20"/>
  <c r="EO22" i="20"/>
  <c r="EO25" i="20"/>
  <c r="EO28" i="20"/>
  <c r="EO35" i="20"/>
  <c r="EO19" i="20"/>
  <c r="EU15" i="20"/>
  <c r="ET15" i="20"/>
  <c r="EO16" i="20"/>
  <c r="EO24" i="20"/>
  <c r="EO17" i="20"/>
  <c r="EO33" i="20"/>
  <c r="EO30" i="20"/>
  <c r="BA16" i="20"/>
  <c r="DF11" i="20"/>
  <c r="DC12" i="20" s="1"/>
  <c r="DD12" i="20" s="1"/>
  <c r="DE12" i="20" s="1"/>
  <c r="DG12" i="20" s="1"/>
  <c r="CV11" i="20"/>
  <c r="CI14" i="20"/>
  <c r="CS14" i="20"/>
  <c r="CI13" i="20"/>
  <c r="CS13" i="20"/>
  <c r="CL11" i="20"/>
  <c r="CB11" i="20"/>
  <c r="BZ12" i="20"/>
  <c r="CJ12" i="20"/>
  <c r="BH12" i="20"/>
  <c r="CV12" i="20" s="1"/>
  <c r="BF14" i="20"/>
  <c r="CT14" i="20" s="1"/>
  <c r="BY14" i="20"/>
  <c r="BF13" i="20"/>
  <c r="CT13" i="20" s="1"/>
  <c r="BY13" i="20"/>
  <c r="AW16" i="18"/>
  <c r="AC36" i="18"/>
  <c r="AC35" i="18"/>
  <c r="H36" i="18"/>
  <c r="H35" i="18"/>
  <c r="G36" i="18"/>
  <c r="G35" i="18"/>
  <c r="G23" i="18"/>
  <c r="AC23" i="18" s="1"/>
  <c r="G15" i="18"/>
  <c r="G14" i="18"/>
  <c r="G13" i="18"/>
  <c r="G12" i="18"/>
  <c r="AC36" i="10"/>
  <c r="AC35" i="10"/>
  <c r="H36" i="10"/>
  <c r="H35" i="10"/>
  <c r="G36" i="10"/>
  <c r="G35" i="10"/>
  <c r="G13" i="10"/>
  <c r="G12" i="10"/>
  <c r="JN20" i="20" l="1"/>
  <c r="JZ20" i="20" s="1"/>
  <c r="KA20" i="20" s="1"/>
  <c r="JN24" i="20"/>
  <c r="JZ24" i="20" s="1"/>
  <c r="KA24" i="20" s="1"/>
  <c r="JN31" i="20"/>
  <c r="KC31" i="20" s="1"/>
  <c r="JL30" i="20"/>
  <c r="JN28" i="20"/>
  <c r="JZ28" i="20" s="1"/>
  <c r="KA28" i="20" s="1"/>
  <c r="JN21" i="20"/>
  <c r="JZ21" i="20" s="1"/>
  <c r="KA21" i="20" s="1"/>
  <c r="JL32" i="20"/>
  <c r="JL23" i="20"/>
  <c r="JL27" i="20"/>
  <c r="JN34" i="20"/>
  <c r="JW34" i="20" s="1"/>
  <c r="KD34" i="20" s="1"/>
  <c r="JX34" i="20" s="1"/>
  <c r="JY34" i="20" s="1"/>
  <c r="JN33" i="20"/>
  <c r="JZ33" i="20" s="1"/>
  <c r="KA33" i="20" s="1"/>
  <c r="JN26" i="20"/>
  <c r="JW26" i="20" s="1"/>
  <c r="KD26" i="20" s="1"/>
  <c r="JX26" i="20" s="1"/>
  <c r="JY26" i="20" s="1"/>
  <c r="JL22" i="20"/>
  <c r="JL36" i="20"/>
  <c r="JZ30" i="20"/>
  <c r="KA30" i="20" s="1"/>
  <c r="JZ26" i="20"/>
  <c r="KA26" i="20" s="1"/>
  <c r="JZ23" i="20"/>
  <c r="KA23" i="20" s="1"/>
  <c r="JZ35" i="20"/>
  <c r="KA35" i="20" s="1"/>
  <c r="JZ27" i="20"/>
  <c r="KA27" i="20" s="1"/>
  <c r="JZ18" i="20"/>
  <c r="KA18" i="20" s="1"/>
  <c r="JZ31" i="20"/>
  <c r="KA31" i="20" s="1"/>
  <c r="JZ22" i="20"/>
  <c r="KA22" i="20" s="1"/>
  <c r="KE15" i="20"/>
  <c r="KF15" i="20"/>
  <c r="BO15" i="20"/>
  <c r="BR15" i="20" s="1"/>
  <c r="BM16" i="20"/>
  <c r="BN16" i="20" s="1"/>
  <c r="BM16" i="21"/>
  <c r="BN16" i="21" s="1"/>
  <c r="JT16" i="21"/>
  <c r="JV16" i="21" s="1"/>
  <c r="JW22" i="20"/>
  <c r="KD22" i="20" s="1"/>
  <c r="JX22" i="20" s="1"/>
  <c r="JY22" i="20" s="1"/>
  <c r="KC22" i="20"/>
  <c r="JW35" i="20"/>
  <c r="KD35" i="20" s="1"/>
  <c r="JX35" i="20" s="1"/>
  <c r="JY35" i="20" s="1"/>
  <c r="KC35" i="20"/>
  <c r="JW27" i="20"/>
  <c r="KD27" i="20" s="1"/>
  <c r="JX27" i="20" s="1"/>
  <c r="JY27" i="20" s="1"/>
  <c r="KC27" i="20"/>
  <c r="JW30" i="20"/>
  <c r="KD30" i="20" s="1"/>
  <c r="JX30" i="20" s="1"/>
  <c r="JY30" i="20" s="1"/>
  <c r="KC30" i="20"/>
  <c r="JW20" i="20"/>
  <c r="KD20" i="20" s="1"/>
  <c r="JX20" i="20" s="1"/>
  <c r="JY20" i="20" s="1"/>
  <c r="KB20" i="20" s="1"/>
  <c r="KC20" i="20"/>
  <c r="KC33" i="20"/>
  <c r="JW23" i="20"/>
  <c r="KD23" i="20" s="1"/>
  <c r="JX23" i="20" s="1"/>
  <c r="JY23" i="20" s="1"/>
  <c r="KC23" i="20"/>
  <c r="JW32" i="20"/>
  <c r="KD32" i="20" s="1"/>
  <c r="JX32" i="20" s="1"/>
  <c r="JY32" i="20" s="1"/>
  <c r="KB32" i="20" s="1"/>
  <c r="KC32" i="20"/>
  <c r="JW16" i="20"/>
  <c r="KD16" i="20" s="1"/>
  <c r="JX16" i="20" s="1"/>
  <c r="JY16" i="20" s="1"/>
  <c r="KB16" i="20" s="1"/>
  <c r="KC16" i="20"/>
  <c r="JW19" i="20"/>
  <c r="KD19" i="20" s="1"/>
  <c r="JX19" i="20" s="1"/>
  <c r="JY19" i="20" s="1"/>
  <c r="KB19" i="20" s="1"/>
  <c r="KC19" i="20"/>
  <c r="JW29" i="20"/>
  <c r="KD29" i="20" s="1"/>
  <c r="JX29" i="20" s="1"/>
  <c r="JY29" i="20" s="1"/>
  <c r="KB29" i="20" s="1"/>
  <c r="KC29" i="20"/>
  <c r="JW25" i="20"/>
  <c r="KD25" i="20" s="1"/>
  <c r="JX25" i="20" s="1"/>
  <c r="JY25" i="20" s="1"/>
  <c r="KB25" i="20" s="1"/>
  <c r="KC25" i="20"/>
  <c r="JW36" i="20"/>
  <c r="KD36" i="20" s="1"/>
  <c r="JX36" i="20" s="1"/>
  <c r="JY36" i="20" s="1"/>
  <c r="KB36" i="20" s="1"/>
  <c r="KC36" i="20"/>
  <c r="JW18" i="20"/>
  <c r="KD18" i="20" s="1"/>
  <c r="JX18" i="20" s="1"/>
  <c r="JY18" i="20" s="1"/>
  <c r="KC18" i="20"/>
  <c r="JW17" i="20"/>
  <c r="KD17" i="20" s="1"/>
  <c r="JX17" i="20" s="1"/>
  <c r="JY17" i="20" s="1"/>
  <c r="KB17" i="20" s="1"/>
  <c r="KC17" i="20"/>
  <c r="BP16" i="20"/>
  <c r="BJ16" i="20"/>
  <c r="BQ16" i="20" s="1"/>
  <c r="BK16" i="20" s="1"/>
  <c r="BL16" i="20" s="1"/>
  <c r="BP16" i="21"/>
  <c r="BJ16" i="21"/>
  <c r="BQ16" i="21" s="1"/>
  <c r="BK16" i="21" s="1"/>
  <c r="BL16" i="21" s="1"/>
  <c r="MB14" i="10"/>
  <c r="BA16" i="18"/>
  <c r="JJ16" i="18"/>
  <c r="JL16" i="21"/>
  <c r="JN16" i="21"/>
  <c r="JZ16" i="21" s="1"/>
  <c r="KA16" i="21" s="1"/>
  <c r="DF12" i="18"/>
  <c r="BZ16" i="21"/>
  <c r="CA16" i="21" s="1"/>
  <c r="CC16" i="21" s="1"/>
  <c r="DD12" i="21"/>
  <c r="DE12" i="21" s="1"/>
  <c r="BY14" i="10"/>
  <c r="DG12" i="10"/>
  <c r="BF14" i="10"/>
  <c r="BG14" i="10" s="1"/>
  <c r="BH15" i="18"/>
  <c r="CV14" i="18"/>
  <c r="CL14" i="18"/>
  <c r="CL15" i="18" s="1"/>
  <c r="CB14" i="18"/>
  <c r="CB15" i="18" s="1"/>
  <c r="DF12" i="10"/>
  <c r="CI14" i="10"/>
  <c r="CJ14" i="10" s="1"/>
  <c r="DC13" i="18"/>
  <c r="CS14" i="10"/>
  <c r="CT14" i="10" s="1"/>
  <c r="KI16" i="10"/>
  <c r="P16" i="25" s="1"/>
  <c r="H401" i="31" s="1"/>
  <c r="DG12" i="18"/>
  <c r="BI16" i="21"/>
  <c r="BH16" i="21"/>
  <c r="ET19" i="20"/>
  <c r="EU19" i="20"/>
  <c r="ET30" i="20"/>
  <c r="EU30" i="20"/>
  <c r="FA15" i="20"/>
  <c r="FB15" i="20" s="1"/>
  <c r="ET34" i="20"/>
  <c r="EU34" i="20"/>
  <c r="EU33" i="20"/>
  <c r="ET33" i="20"/>
  <c r="ET17" i="20"/>
  <c r="EU17" i="20"/>
  <c r="ET28" i="20"/>
  <c r="EU28" i="20"/>
  <c r="EU25" i="20"/>
  <c r="ET25" i="20"/>
  <c r="EU23" i="20"/>
  <c r="ET23" i="20"/>
  <c r="ET32" i="20"/>
  <c r="EU32" i="20"/>
  <c r="FT15" i="20"/>
  <c r="ET20" i="20"/>
  <c r="EU20" i="20"/>
  <c r="ET21" i="20"/>
  <c r="EU21" i="20"/>
  <c r="EU16" i="20"/>
  <c r="ET16" i="20"/>
  <c r="ET35" i="20"/>
  <c r="EU35" i="20"/>
  <c r="EK15" i="20"/>
  <c r="FM15" i="20"/>
  <c r="FN15" i="20" s="1"/>
  <c r="FO15" i="20" s="1"/>
  <c r="FP15" i="20" s="1"/>
  <c r="ET29" i="20"/>
  <c r="EU29" i="20"/>
  <c r="EU27" i="20"/>
  <c r="ET27" i="20"/>
  <c r="ET36" i="20"/>
  <c r="EU36" i="20"/>
  <c r="ET31" i="20"/>
  <c r="EU31" i="20"/>
  <c r="EU26" i="20"/>
  <c r="ET26" i="20"/>
  <c r="ET24" i="20"/>
  <c r="EU24" i="20"/>
  <c r="EU18" i="20"/>
  <c r="ET18" i="20"/>
  <c r="EU22" i="20"/>
  <c r="ET22" i="20"/>
  <c r="DF12" i="20"/>
  <c r="DC13" i="20" s="1"/>
  <c r="CJ14" i="20"/>
  <c r="BZ14" i="20"/>
  <c r="CB12" i="20"/>
  <c r="CL12" i="20"/>
  <c r="CJ13" i="20"/>
  <c r="BZ13" i="20"/>
  <c r="BH13" i="20"/>
  <c r="CV13" i="20" s="1"/>
  <c r="HT22" i="21"/>
  <c r="HS22" i="21"/>
  <c r="HT21" i="21"/>
  <c r="HS21" i="21"/>
  <c r="HT20" i="21"/>
  <c r="HS20" i="21"/>
  <c r="IO19" i="21"/>
  <c r="IN19" i="21"/>
  <c r="HT19" i="21"/>
  <c r="HS19" i="21"/>
  <c r="IO18" i="21"/>
  <c r="IN18" i="21"/>
  <c r="HT18" i="21"/>
  <c r="HS18" i="21"/>
  <c r="IO17" i="21"/>
  <c r="IN17" i="21"/>
  <c r="HT17" i="21"/>
  <c r="HS17" i="21"/>
  <c r="IO16" i="21"/>
  <c r="IN16" i="21"/>
  <c r="HT16" i="21"/>
  <c r="HS16" i="21"/>
  <c r="IO15" i="21"/>
  <c r="IN15" i="21"/>
  <c r="HU15" i="21"/>
  <c r="HT15" i="21"/>
  <c r="HS15" i="21"/>
  <c r="IO14" i="21"/>
  <c r="IN14" i="21"/>
  <c r="HU14" i="21"/>
  <c r="HT14" i="21"/>
  <c r="HS14" i="21"/>
  <c r="IO13" i="21"/>
  <c r="IN13" i="21"/>
  <c r="HU13" i="21"/>
  <c r="HT13" i="21"/>
  <c r="HS13" i="21"/>
  <c r="IO12" i="21"/>
  <c r="IN12" i="21"/>
  <c r="HU12" i="21"/>
  <c r="HT12" i="21"/>
  <c r="HS12" i="21"/>
  <c r="IO11" i="21"/>
  <c r="IN11" i="21"/>
  <c r="HT11" i="21"/>
  <c r="HS11" i="21"/>
  <c r="IQ10" i="21"/>
  <c r="IO10" i="21"/>
  <c r="IN10" i="21"/>
  <c r="HT10" i="21"/>
  <c r="HS10" i="21"/>
  <c r="IQ9" i="21"/>
  <c r="IO9" i="21"/>
  <c r="IN9" i="21"/>
  <c r="HT9" i="21"/>
  <c r="HS9" i="21"/>
  <c r="IQ8" i="21"/>
  <c r="IO8" i="21"/>
  <c r="IN8" i="21"/>
  <c r="HT8" i="21"/>
  <c r="HS8" i="21"/>
  <c r="IQ7" i="21"/>
  <c r="IO7" i="21"/>
  <c r="IN7" i="21"/>
  <c r="HU7" i="21"/>
  <c r="HT7" i="21"/>
  <c r="HS7" i="21"/>
  <c r="HT21" i="20"/>
  <c r="HS21" i="20"/>
  <c r="HT20" i="20"/>
  <c r="HS20" i="20"/>
  <c r="HT19" i="20"/>
  <c r="HS19" i="20"/>
  <c r="IO18" i="20"/>
  <c r="IN18" i="20"/>
  <c r="HT18" i="20"/>
  <c r="HS18" i="20"/>
  <c r="IO17" i="20"/>
  <c r="IN17" i="20"/>
  <c r="HU17" i="20"/>
  <c r="HT17" i="20"/>
  <c r="HS17" i="20"/>
  <c r="IO16" i="20"/>
  <c r="IN16" i="20"/>
  <c r="HU16" i="20"/>
  <c r="HT16" i="20"/>
  <c r="HS16" i="20"/>
  <c r="IO15" i="20"/>
  <c r="IN15" i="20"/>
  <c r="HT15" i="20"/>
  <c r="HS15" i="20"/>
  <c r="IO14" i="20"/>
  <c r="IN14" i="20"/>
  <c r="HU14" i="20"/>
  <c r="HT14" i="20"/>
  <c r="HS14" i="20"/>
  <c r="IO13" i="20"/>
  <c r="IN13" i="20"/>
  <c r="HU13" i="20"/>
  <c r="HT13" i="20"/>
  <c r="HS13" i="20"/>
  <c r="IO12" i="20"/>
  <c r="IN12" i="20"/>
  <c r="HU12" i="20"/>
  <c r="HT12" i="20"/>
  <c r="HS12" i="20"/>
  <c r="IO11" i="20"/>
  <c r="IN11" i="20"/>
  <c r="HT11" i="20"/>
  <c r="HS11" i="20"/>
  <c r="IQ10" i="20"/>
  <c r="IO10" i="20"/>
  <c r="IN10" i="20"/>
  <c r="HT10" i="20"/>
  <c r="HS10" i="20"/>
  <c r="IQ9" i="20"/>
  <c r="IO9" i="20"/>
  <c r="IN9" i="20"/>
  <c r="HT9" i="20"/>
  <c r="HS9" i="20"/>
  <c r="IQ8" i="20"/>
  <c r="IO8" i="20"/>
  <c r="IN8" i="20"/>
  <c r="HT8" i="20"/>
  <c r="HS8" i="20"/>
  <c r="IQ7" i="20"/>
  <c r="IO7" i="20"/>
  <c r="IN7" i="20"/>
  <c r="HU7" i="20"/>
  <c r="HT7" i="20"/>
  <c r="HS7" i="20"/>
  <c r="IO7" i="18"/>
  <c r="IQ7" i="18"/>
  <c r="IO8" i="18"/>
  <c r="IQ8" i="18"/>
  <c r="IO9" i="18"/>
  <c r="IQ9" i="18"/>
  <c r="IO10" i="18"/>
  <c r="IQ10" i="18"/>
  <c r="IO11" i="18"/>
  <c r="IO12" i="18"/>
  <c r="IO13" i="18"/>
  <c r="IO14" i="18"/>
  <c r="IO15" i="18"/>
  <c r="IO16" i="18"/>
  <c r="IO17" i="18"/>
  <c r="IO18" i="18"/>
  <c r="IO19" i="18"/>
  <c r="IN8" i="18"/>
  <c r="IN9" i="18"/>
  <c r="IN10" i="18"/>
  <c r="IN11" i="18"/>
  <c r="IN12" i="18"/>
  <c r="IN13" i="18"/>
  <c r="IN14" i="18"/>
  <c r="IN15" i="18"/>
  <c r="IN16" i="18"/>
  <c r="IN17" i="18"/>
  <c r="IN18" i="18"/>
  <c r="IN19" i="18"/>
  <c r="IN7" i="18"/>
  <c r="HS8" i="18"/>
  <c r="HT8" i="18"/>
  <c r="HS9" i="18"/>
  <c r="HT9" i="18"/>
  <c r="HS10" i="18"/>
  <c r="HT10" i="18"/>
  <c r="HS11" i="18"/>
  <c r="HT11" i="18"/>
  <c r="HS12" i="18"/>
  <c r="HT12" i="18"/>
  <c r="HU12" i="18"/>
  <c r="HS13" i="18"/>
  <c r="HT13" i="18"/>
  <c r="HU13" i="18"/>
  <c r="HS14" i="18"/>
  <c r="HT14" i="18"/>
  <c r="HU14" i="18"/>
  <c r="HS15" i="18"/>
  <c r="HT15" i="18"/>
  <c r="HU15" i="18"/>
  <c r="HS16" i="18"/>
  <c r="HT16" i="18"/>
  <c r="HS17" i="18"/>
  <c r="HT17" i="18"/>
  <c r="HS18" i="18"/>
  <c r="HT18" i="18"/>
  <c r="HS19" i="18"/>
  <c r="HT19" i="18"/>
  <c r="HS20" i="18"/>
  <c r="HT20" i="18"/>
  <c r="HS21" i="18"/>
  <c r="HT21" i="18"/>
  <c r="HS22" i="18"/>
  <c r="HT22" i="18"/>
  <c r="HT7" i="18"/>
  <c r="HU7" i="18"/>
  <c r="HS7" i="18"/>
  <c r="IY7" i="10"/>
  <c r="IY8" i="10"/>
  <c r="IY9" i="10"/>
  <c r="IY10" i="10"/>
  <c r="IW7" i="10"/>
  <c r="IW8" i="10"/>
  <c r="IW9" i="10"/>
  <c r="IW10" i="10"/>
  <c r="IW11" i="10"/>
  <c r="IW12" i="10"/>
  <c r="IW13" i="10"/>
  <c r="IW14" i="10"/>
  <c r="IW15" i="10"/>
  <c r="IW16" i="10"/>
  <c r="IW17" i="10"/>
  <c r="IV8" i="10"/>
  <c r="IV9" i="10"/>
  <c r="IV10" i="10"/>
  <c r="IV11" i="10"/>
  <c r="IV12" i="10"/>
  <c r="IV13" i="10"/>
  <c r="IV14" i="10"/>
  <c r="IV15" i="10"/>
  <c r="IV16" i="10"/>
  <c r="IV17" i="10"/>
  <c r="IV7" i="10"/>
  <c r="IC7" i="10"/>
  <c r="IC12" i="10"/>
  <c r="IC13" i="10"/>
  <c r="IA18" i="10"/>
  <c r="IB18" i="10"/>
  <c r="IA19" i="10"/>
  <c r="IB19" i="10"/>
  <c r="IA20" i="10"/>
  <c r="IB20" i="10"/>
  <c r="IA16" i="10"/>
  <c r="IB16" i="10"/>
  <c r="IA17" i="10"/>
  <c r="IB17" i="10"/>
  <c r="IA8" i="10"/>
  <c r="IB8" i="10"/>
  <c r="IA9" i="10"/>
  <c r="IB9" i="10"/>
  <c r="IA10" i="10"/>
  <c r="IB10" i="10"/>
  <c r="IA11" i="10"/>
  <c r="IB11" i="10"/>
  <c r="IA12" i="10"/>
  <c r="IB12" i="10"/>
  <c r="IA13" i="10"/>
  <c r="IB13" i="10"/>
  <c r="IA14" i="10"/>
  <c r="IB14" i="10"/>
  <c r="IA15" i="10"/>
  <c r="IB15" i="10"/>
  <c r="IB7" i="10"/>
  <c r="IA7" i="10"/>
  <c r="JW24" i="20" l="1"/>
  <c r="KD24" i="20" s="1"/>
  <c r="JX24" i="20" s="1"/>
  <c r="JY24" i="20" s="1"/>
  <c r="KB24" i="20" s="1"/>
  <c r="KC24" i="20"/>
  <c r="KE24" i="20" s="1"/>
  <c r="JW31" i="20"/>
  <c r="KD31" i="20" s="1"/>
  <c r="JX31" i="20" s="1"/>
  <c r="JY31" i="20" s="1"/>
  <c r="KB31" i="20" s="1"/>
  <c r="KE31" i="20" s="1"/>
  <c r="KC28" i="20"/>
  <c r="KC21" i="20"/>
  <c r="JW21" i="20"/>
  <c r="KD21" i="20" s="1"/>
  <c r="JX21" i="20" s="1"/>
  <c r="JY21" i="20" s="1"/>
  <c r="KB21" i="20" s="1"/>
  <c r="JW28" i="20"/>
  <c r="KD28" i="20" s="1"/>
  <c r="JX28" i="20" s="1"/>
  <c r="JY28" i="20" s="1"/>
  <c r="KB28" i="20" s="1"/>
  <c r="KC34" i="20"/>
  <c r="JZ34" i="20"/>
  <c r="KA34" i="20" s="1"/>
  <c r="KB34" i="20" s="1"/>
  <c r="KC26" i="20"/>
  <c r="JW33" i="20"/>
  <c r="KD33" i="20" s="1"/>
  <c r="JX33" i="20" s="1"/>
  <c r="JY33" i="20" s="1"/>
  <c r="KB33" i="20" s="1"/>
  <c r="KF33" i="20" s="1"/>
  <c r="KB27" i="20"/>
  <c r="KE27" i="20" s="1"/>
  <c r="KB18" i="20"/>
  <c r="KE18" i="20" s="1"/>
  <c r="KB26" i="20"/>
  <c r="KB23" i="20"/>
  <c r="KF23" i="20" s="1"/>
  <c r="KB30" i="20"/>
  <c r="KE30" i="20" s="1"/>
  <c r="KB35" i="20"/>
  <c r="KE35" i="20" s="1"/>
  <c r="KB22" i="20"/>
  <c r="KE22" i="20" s="1"/>
  <c r="KE19" i="20"/>
  <c r="KF19" i="20"/>
  <c r="KE17" i="20"/>
  <c r="KF17" i="20"/>
  <c r="KE25" i="20"/>
  <c r="KF25" i="20"/>
  <c r="KF36" i="20"/>
  <c r="KE36" i="20"/>
  <c r="KE29" i="20"/>
  <c r="KF29" i="20"/>
  <c r="KE16" i="20"/>
  <c r="KF16" i="20"/>
  <c r="KE32" i="20"/>
  <c r="KF32" i="20"/>
  <c r="KF24" i="20"/>
  <c r="KE20" i="20"/>
  <c r="KF20" i="20"/>
  <c r="BS15" i="20"/>
  <c r="BO16" i="20"/>
  <c r="BO16" i="21"/>
  <c r="BM16" i="18"/>
  <c r="BN16" i="18" s="1"/>
  <c r="JU16" i="21"/>
  <c r="JR17" i="21" s="1"/>
  <c r="JW16" i="21"/>
  <c r="KD16" i="21" s="1"/>
  <c r="JX16" i="21" s="1"/>
  <c r="JY16" i="21" s="1"/>
  <c r="KB16" i="21" s="1"/>
  <c r="KC16" i="21"/>
  <c r="BP16" i="18"/>
  <c r="BJ16" i="18"/>
  <c r="BQ16" i="18" s="1"/>
  <c r="BK16" i="18" s="1"/>
  <c r="BL16" i="18" s="1"/>
  <c r="JL16" i="18"/>
  <c r="JN16" i="18"/>
  <c r="JZ16" i="18" s="1"/>
  <c r="KA16" i="18" s="1"/>
  <c r="MD14" i="10"/>
  <c r="MC14" i="10"/>
  <c r="KI17" i="10"/>
  <c r="P17" i="25" s="1"/>
  <c r="H402" i="31" s="1"/>
  <c r="DD13" i="18"/>
  <c r="DC13" i="10"/>
  <c r="CV15" i="18"/>
  <c r="BE16" i="18"/>
  <c r="DG12" i="21"/>
  <c r="FL15" i="20"/>
  <c r="FJ16" i="20" s="1"/>
  <c r="BY16" i="18"/>
  <c r="BZ16" i="18" s="1"/>
  <c r="CA16" i="18" s="1"/>
  <c r="CC16" i="18" s="1"/>
  <c r="BZ14" i="10"/>
  <c r="CI16" i="18"/>
  <c r="CJ16" i="18" s="1"/>
  <c r="CB16" i="21"/>
  <c r="FD15" i="20"/>
  <c r="DF12" i="21"/>
  <c r="BE17" i="21"/>
  <c r="DD13" i="20"/>
  <c r="BH14" i="20"/>
  <c r="CB13" i="20"/>
  <c r="CL13" i="20"/>
  <c r="AW14" i="10"/>
  <c r="LR14" i="10" s="1"/>
  <c r="D112" i="9"/>
  <c r="KF31" i="20" l="1"/>
  <c r="KE28" i="20"/>
  <c r="KF21" i="20"/>
  <c r="KE21" i="20"/>
  <c r="KF28" i="20"/>
  <c r="KF27" i="20"/>
  <c r="KF30" i="20"/>
  <c r="KE34" i="20"/>
  <c r="KF34" i="20"/>
  <c r="KF26" i="20"/>
  <c r="KF35" i="20"/>
  <c r="KE33" i="20"/>
  <c r="KF18" i="20"/>
  <c r="KF22" i="20"/>
  <c r="KE26" i="20"/>
  <c r="KE23" i="20"/>
  <c r="KF16" i="21"/>
  <c r="KG16" i="21" s="1"/>
  <c r="KH16" i="21" s="1"/>
  <c r="KE16" i="21"/>
  <c r="BR16" i="20"/>
  <c r="BS16" i="20"/>
  <c r="BR16" i="21"/>
  <c r="BS16" i="21"/>
  <c r="CD16" i="21" s="1"/>
  <c r="CE16" i="21" s="1"/>
  <c r="BO16" i="18"/>
  <c r="JW16" i="18"/>
  <c r="KD16" i="18" s="1"/>
  <c r="JX16" i="18" s="1"/>
  <c r="JY16" i="18" s="1"/>
  <c r="KB16" i="18" s="1"/>
  <c r="KC16" i="18"/>
  <c r="BF16" i="18"/>
  <c r="BG16" i="18" s="1"/>
  <c r="BI16" i="18" s="1"/>
  <c r="JT16" i="18"/>
  <c r="LZ15" i="10"/>
  <c r="MA15" i="10" s="1"/>
  <c r="MB15" i="10" s="1"/>
  <c r="MD15" i="10" s="1"/>
  <c r="LT14" i="10"/>
  <c r="LV14" i="10"/>
  <c r="JS17" i="21"/>
  <c r="JT17" i="21" s="1"/>
  <c r="JV17" i="21" s="1"/>
  <c r="DC13" i="21"/>
  <c r="FE15" i="20"/>
  <c r="FF15" i="20" s="1"/>
  <c r="FG15" i="20" s="1"/>
  <c r="EN15" i="20"/>
  <c r="CS16" i="18"/>
  <c r="CT16" i="18" s="1"/>
  <c r="FV15" i="20"/>
  <c r="BY17" i="21"/>
  <c r="BZ17" i="21" s="1"/>
  <c r="CA17" i="21" s="1"/>
  <c r="CC17" i="21" s="1"/>
  <c r="CB16" i="18"/>
  <c r="DD13" i="10"/>
  <c r="DE13" i="10" s="1"/>
  <c r="KI18" i="10"/>
  <c r="P18" i="25" s="1"/>
  <c r="H403" i="31" s="1"/>
  <c r="FC15" i="20"/>
  <c r="FA16" i="20" s="1"/>
  <c r="FB16" i="20" s="1"/>
  <c r="FD16" i="20" s="1"/>
  <c r="FE16" i="20" s="1"/>
  <c r="FF16" i="20" s="1"/>
  <c r="FG16" i="20" s="1"/>
  <c r="CA14" i="10"/>
  <c r="CC14" i="10" s="1"/>
  <c r="DE13" i="18"/>
  <c r="AW16" i="10"/>
  <c r="BA14" i="10"/>
  <c r="BF17" i="21"/>
  <c r="BG17" i="21" s="1"/>
  <c r="FK16" i="20"/>
  <c r="FM16" i="20" s="1"/>
  <c r="FN16" i="20" s="1"/>
  <c r="FO16" i="20" s="1"/>
  <c r="FP16" i="20" s="1"/>
  <c r="DE13" i="20"/>
  <c r="DG13" i="20" s="1"/>
  <c r="BE15" i="20"/>
  <c r="CV14" i="20"/>
  <c r="CS15" i="20" s="1"/>
  <c r="CT15" i="20" s="1"/>
  <c r="CB14" i="20"/>
  <c r="BY15" i="20" s="1"/>
  <c r="BZ15" i="20" s="1"/>
  <c r="CA15" i="20" s="1"/>
  <c r="CC15" i="20" s="1"/>
  <c r="CD15" i="20" s="1"/>
  <c r="CE15" i="20" s="1"/>
  <c r="CL14" i="20"/>
  <c r="AW33" i="10"/>
  <c r="AW29" i="10"/>
  <c r="AW25" i="10"/>
  <c r="AW21" i="10"/>
  <c r="AW17" i="10"/>
  <c r="AW35" i="10"/>
  <c r="AW31" i="10"/>
  <c r="AW27" i="10"/>
  <c r="AW23" i="10"/>
  <c r="AW19" i="10"/>
  <c r="AW15" i="10"/>
  <c r="AW34" i="10"/>
  <c r="AW30" i="10"/>
  <c r="AW26" i="10"/>
  <c r="AW22" i="10"/>
  <c r="AW18" i="10"/>
  <c r="AW36" i="10"/>
  <c r="AW32" i="10"/>
  <c r="AW28" i="10"/>
  <c r="AW24" i="10"/>
  <c r="AW20" i="10"/>
  <c r="LR36" i="10" l="1"/>
  <c r="LV36" i="10" s="1"/>
  <c r="GL36" i="10"/>
  <c r="HK36" i="10"/>
  <c r="IX36" i="10"/>
  <c r="KO36" i="10"/>
  <c r="IC36" i="10"/>
  <c r="LR34" i="10"/>
  <c r="LV34" i="10" s="1"/>
  <c r="GL34" i="10"/>
  <c r="HK34" i="10"/>
  <c r="IC34" i="10"/>
  <c r="IX34" i="10"/>
  <c r="KO34" i="10"/>
  <c r="LR30" i="10"/>
  <c r="LT30" i="10" s="1"/>
  <c r="IC30" i="10"/>
  <c r="IX30" i="10"/>
  <c r="KO30" i="10"/>
  <c r="LR24" i="10"/>
  <c r="LV24" i="10" s="1"/>
  <c r="IX24" i="10"/>
  <c r="KO24" i="10"/>
  <c r="IC24" i="10"/>
  <c r="LR27" i="10"/>
  <c r="LV27" i="10" s="1"/>
  <c r="MH27" i="10" s="1"/>
  <c r="MI27" i="10" s="1"/>
  <c r="KO27" i="10"/>
  <c r="IC27" i="10"/>
  <c r="IX27" i="10"/>
  <c r="LR28" i="10"/>
  <c r="LV28" i="10" s="1"/>
  <c r="IX28" i="10"/>
  <c r="KO28" i="10"/>
  <c r="IC28" i="10"/>
  <c r="LR31" i="10"/>
  <c r="LT31" i="10" s="1"/>
  <c r="HD31" i="10"/>
  <c r="KO31" i="10"/>
  <c r="GE31" i="10"/>
  <c r="IC31" i="10"/>
  <c r="IX31" i="10"/>
  <c r="LR25" i="10"/>
  <c r="LT25" i="10" s="1"/>
  <c r="IC25" i="10"/>
  <c r="IX25" i="10"/>
  <c r="KO25" i="10"/>
  <c r="LR20" i="10"/>
  <c r="LT20" i="10" s="1"/>
  <c r="IX20" i="10"/>
  <c r="IC23" i="10"/>
  <c r="IX23" i="10"/>
  <c r="LR33" i="10"/>
  <c r="LV33" i="10" s="1"/>
  <c r="MH33" i="10" s="1"/>
  <c r="MI33" i="10" s="1"/>
  <c r="HD33" i="10"/>
  <c r="GG33" i="10"/>
  <c r="HE33" i="10"/>
  <c r="GF33" i="10"/>
  <c r="GE33" i="10"/>
  <c r="IC33" i="10"/>
  <c r="HF33" i="10"/>
  <c r="IX33" i="10"/>
  <c r="KO33" i="10"/>
  <c r="GL33" i="10"/>
  <c r="LR18" i="10"/>
  <c r="LT18" i="10" s="1"/>
  <c r="IX18" i="10"/>
  <c r="IX21" i="10"/>
  <c r="IC21" i="10"/>
  <c r="IC22" i="10"/>
  <c r="IX22" i="10"/>
  <c r="LR32" i="10"/>
  <c r="LT32" i="10" s="1"/>
  <c r="GF32" i="10"/>
  <c r="GE32" i="10"/>
  <c r="IX32" i="10"/>
  <c r="KO32" i="10"/>
  <c r="HE32" i="10"/>
  <c r="IC32" i="10"/>
  <c r="HD32" i="10"/>
  <c r="LR26" i="10"/>
  <c r="LT26" i="10" s="1"/>
  <c r="IC26" i="10"/>
  <c r="IX26" i="10"/>
  <c r="KO26" i="10"/>
  <c r="LR19" i="10"/>
  <c r="LV19" i="10" s="1"/>
  <c r="MH19" i="10" s="1"/>
  <c r="MI19" i="10" s="1"/>
  <c r="IX19" i="10"/>
  <c r="LR35" i="10"/>
  <c r="LT35" i="10" s="1"/>
  <c r="HK35" i="10"/>
  <c r="KO35" i="10"/>
  <c r="GL35" i="10"/>
  <c r="IC35" i="10"/>
  <c r="IX35" i="10"/>
  <c r="LR29" i="10"/>
  <c r="LV29" i="10" s="1"/>
  <c r="MH29" i="10" s="1"/>
  <c r="MI29" i="10" s="1"/>
  <c r="IC29" i="10"/>
  <c r="IX29" i="10"/>
  <c r="KO29" i="10"/>
  <c r="MH14" i="10"/>
  <c r="MI14" i="10" s="1"/>
  <c r="KE16" i="18"/>
  <c r="KF16" i="18"/>
  <c r="BT16" i="21"/>
  <c r="BU16" i="21" s="1"/>
  <c r="BR16" i="18"/>
  <c r="BS16" i="18"/>
  <c r="CD16" i="18" s="1"/>
  <c r="CE16" i="18" s="1"/>
  <c r="BM14" i="10"/>
  <c r="BN14" i="10" s="1"/>
  <c r="ME14" i="10"/>
  <c r="ML14" i="10" s="1"/>
  <c r="MF14" i="10" s="1"/>
  <c r="MG14" i="10" s="1"/>
  <c r="MK14" i="10"/>
  <c r="BT16" i="18"/>
  <c r="BU16" i="18" s="1"/>
  <c r="BJ14" i="10"/>
  <c r="BQ14" i="10" s="1"/>
  <c r="BK14" i="10" s="1"/>
  <c r="BL14" i="10" s="1"/>
  <c r="BP14" i="10"/>
  <c r="LT19" i="10"/>
  <c r="BA15" i="10"/>
  <c r="LR15" i="10"/>
  <c r="LV25" i="10"/>
  <c r="MH25" i="10" s="1"/>
  <c r="MI25" i="10" s="1"/>
  <c r="JV16" i="18"/>
  <c r="JU16" i="18"/>
  <c r="LV31" i="10"/>
  <c r="MH31" i="10" s="1"/>
  <c r="MI31" i="10" s="1"/>
  <c r="LT27" i="10"/>
  <c r="BA21" i="10"/>
  <c r="LR21" i="10"/>
  <c r="BH16" i="18"/>
  <c r="JU17" i="21"/>
  <c r="MC15" i="10"/>
  <c r="BA22" i="10"/>
  <c r="LR22" i="10"/>
  <c r="LT36" i="10"/>
  <c r="BA23" i="10"/>
  <c r="LR23" i="10"/>
  <c r="BA17" i="10"/>
  <c r="LR17" i="10"/>
  <c r="LT33" i="10"/>
  <c r="BF15" i="20"/>
  <c r="BG15" i="20" s="1"/>
  <c r="BI15" i="20" s="1"/>
  <c r="BT15" i="20" s="1"/>
  <c r="BU15" i="20" s="1"/>
  <c r="JT15" i="20"/>
  <c r="BA16" i="10"/>
  <c r="LR16" i="10"/>
  <c r="CB17" i="21"/>
  <c r="BY18" i="21" s="1"/>
  <c r="BZ18" i="21" s="1"/>
  <c r="CA18" i="21" s="1"/>
  <c r="CC18" i="21" s="1"/>
  <c r="BA32" i="10"/>
  <c r="BA26" i="10"/>
  <c r="BA35" i="10"/>
  <c r="BA29" i="10"/>
  <c r="BA36" i="10"/>
  <c r="BA30" i="10"/>
  <c r="BA33" i="10"/>
  <c r="BA24" i="10"/>
  <c r="BA34" i="10"/>
  <c r="BA27" i="10"/>
  <c r="BA28" i="10"/>
  <c r="BA31" i="10"/>
  <c r="BA25" i="10"/>
  <c r="DG13" i="10"/>
  <c r="DF13" i="10"/>
  <c r="DC14" i="10" s="1"/>
  <c r="FW15" i="20"/>
  <c r="FX15" i="20" s="1"/>
  <c r="FY15" i="20" s="1"/>
  <c r="FU15" i="20"/>
  <c r="FS16" i="20" s="1"/>
  <c r="FT16" i="20" s="1"/>
  <c r="FV16" i="20" s="1"/>
  <c r="FW16" i="20" s="1"/>
  <c r="FX16" i="20" s="1"/>
  <c r="FY16" i="20" s="1"/>
  <c r="CB14" i="10"/>
  <c r="DD13" i="21"/>
  <c r="DE13" i="21" s="1"/>
  <c r="DG13" i="18"/>
  <c r="KI19" i="10"/>
  <c r="P19" i="25" s="1"/>
  <c r="H404" i="31" s="1"/>
  <c r="BY17" i="18"/>
  <c r="BZ17" i="18" s="1"/>
  <c r="CA17" i="18" s="1"/>
  <c r="CC17" i="18" s="1"/>
  <c r="DF13" i="18"/>
  <c r="EV15" i="20"/>
  <c r="EW15" i="20" s="1"/>
  <c r="EX15" i="20" s="1"/>
  <c r="EJ16" i="20"/>
  <c r="EL15" i="20"/>
  <c r="BA20" i="10"/>
  <c r="BA18" i="10"/>
  <c r="BA19" i="10"/>
  <c r="BI17" i="21"/>
  <c r="BH17" i="21"/>
  <c r="FC16" i="20"/>
  <c r="FL16" i="20"/>
  <c r="DF13" i="20"/>
  <c r="CI15" i="20"/>
  <c r="CJ15" i="20" s="1"/>
  <c r="CB15" i="20"/>
  <c r="AF35" i="21"/>
  <c r="AC34" i="21"/>
  <c r="AF34" i="21" s="1"/>
  <c r="AC33" i="21"/>
  <c r="AF33" i="21" s="1"/>
  <c r="AC32" i="21"/>
  <c r="AC31" i="21"/>
  <c r="AF31" i="21" s="1"/>
  <c r="G34" i="21"/>
  <c r="G33" i="21"/>
  <c r="G32" i="21"/>
  <c r="J32" i="21" s="1"/>
  <c r="G31" i="21"/>
  <c r="J31" i="21" s="1"/>
  <c r="G30" i="21"/>
  <c r="J30" i="21" s="1"/>
  <c r="G29" i="21"/>
  <c r="GE29" i="21" s="1"/>
  <c r="G28" i="21"/>
  <c r="GE28" i="21" s="1"/>
  <c r="G27" i="21"/>
  <c r="G26" i="21"/>
  <c r="GE26" i="21" s="1"/>
  <c r="G25" i="21"/>
  <c r="G24" i="21"/>
  <c r="GE24" i="21" s="1"/>
  <c r="J36" i="21"/>
  <c r="AW17" i="21"/>
  <c r="G2" i="21"/>
  <c r="EP36" i="21"/>
  <c r="AF36" i="21"/>
  <c r="AD36" i="21"/>
  <c r="AG36" i="21" s="1"/>
  <c r="I36" i="21"/>
  <c r="K36" i="21"/>
  <c r="EP35" i="21"/>
  <c r="J35" i="21"/>
  <c r="EP34" i="21"/>
  <c r="H34" i="21"/>
  <c r="AD34" i="21" s="1"/>
  <c r="EP33" i="21"/>
  <c r="H33" i="21"/>
  <c r="K33" i="21" s="1"/>
  <c r="EP32" i="21"/>
  <c r="H32" i="21"/>
  <c r="AD32" i="21" s="1"/>
  <c r="AG32" i="21" s="1"/>
  <c r="EP31" i="21"/>
  <c r="H31" i="21"/>
  <c r="AD31" i="21" s="1"/>
  <c r="HA31" i="21" s="1"/>
  <c r="GY30" i="21"/>
  <c r="GX30" i="21"/>
  <c r="GD30" i="21"/>
  <c r="GC30" i="21"/>
  <c r="EP30" i="21"/>
  <c r="H30" i="21"/>
  <c r="GF30" i="21" s="1"/>
  <c r="GY29" i="21"/>
  <c r="GX29" i="21"/>
  <c r="GD29" i="21"/>
  <c r="GC29" i="21"/>
  <c r="EP29" i="21"/>
  <c r="H29" i="21"/>
  <c r="K29" i="21" s="1"/>
  <c r="GI29" i="21" s="1"/>
  <c r="GY28" i="21"/>
  <c r="GX28" i="21"/>
  <c r="GD28" i="21"/>
  <c r="GC28" i="21"/>
  <c r="EP28" i="21"/>
  <c r="H28" i="21"/>
  <c r="K28" i="21" s="1"/>
  <c r="GY27" i="21"/>
  <c r="GX27" i="21"/>
  <c r="GD27" i="21"/>
  <c r="GC27" i="21"/>
  <c r="EP27" i="21"/>
  <c r="H27" i="21"/>
  <c r="K27" i="21" s="1"/>
  <c r="GI27" i="21" s="1"/>
  <c r="GY26" i="21"/>
  <c r="GX26" i="21"/>
  <c r="GD26" i="21"/>
  <c r="GC26" i="21"/>
  <c r="EP26" i="21"/>
  <c r="H26" i="21"/>
  <c r="GY25" i="21"/>
  <c r="GX25" i="21"/>
  <c r="GD25" i="21"/>
  <c r="GC25" i="21"/>
  <c r="EP25" i="21"/>
  <c r="H25" i="21"/>
  <c r="AD25" i="21" s="1"/>
  <c r="HA25" i="21" s="1"/>
  <c r="GY24" i="21"/>
  <c r="GX24" i="21"/>
  <c r="GD24" i="21"/>
  <c r="GC24" i="21"/>
  <c r="EP24" i="21"/>
  <c r="H24" i="21"/>
  <c r="AD24" i="21" s="1"/>
  <c r="HA24" i="21" s="1"/>
  <c r="GY23" i="21"/>
  <c r="GX23" i="21"/>
  <c r="GD23" i="21"/>
  <c r="GC23" i="21"/>
  <c r="EP23" i="21"/>
  <c r="H23" i="21"/>
  <c r="GF23" i="21" s="1"/>
  <c r="GY22" i="21"/>
  <c r="GX22" i="21"/>
  <c r="GD22" i="21"/>
  <c r="GC22" i="21"/>
  <c r="EP22" i="21"/>
  <c r="IT22" i="21" s="1"/>
  <c r="H22" i="21"/>
  <c r="G22" i="21"/>
  <c r="HU22" i="21" s="1"/>
  <c r="GY21" i="21"/>
  <c r="GX21" i="21"/>
  <c r="GD21" i="21"/>
  <c r="GC21" i="21"/>
  <c r="EP21" i="21"/>
  <c r="IT21" i="21" s="1"/>
  <c r="H21" i="21"/>
  <c r="HV21" i="21" s="1"/>
  <c r="G21" i="21"/>
  <c r="HU21" i="21" s="1"/>
  <c r="GY20" i="21"/>
  <c r="GX20" i="21"/>
  <c r="GD20" i="21"/>
  <c r="GC20" i="21"/>
  <c r="EP20" i="21"/>
  <c r="IT20" i="21" s="1"/>
  <c r="H20" i="21"/>
  <c r="G20" i="21"/>
  <c r="GY19" i="21"/>
  <c r="GX19" i="21"/>
  <c r="GD19" i="21"/>
  <c r="GC19" i="21"/>
  <c r="EP19" i="21"/>
  <c r="H19" i="21"/>
  <c r="HV19" i="21" s="1"/>
  <c r="G19" i="21"/>
  <c r="J19" i="21" s="1"/>
  <c r="GY18" i="21"/>
  <c r="GX18" i="21"/>
  <c r="GD18" i="21"/>
  <c r="GC18" i="21"/>
  <c r="EP18" i="21"/>
  <c r="H18" i="21"/>
  <c r="K18" i="21" s="1"/>
  <c r="G18" i="21"/>
  <c r="HU18" i="21" s="1"/>
  <c r="GY17" i="21"/>
  <c r="GX17" i="21"/>
  <c r="GD17" i="21"/>
  <c r="GC17" i="21"/>
  <c r="EP17" i="21"/>
  <c r="H17" i="21"/>
  <c r="HV17" i="21" s="1"/>
  <c r="G17" i="21"/>
  <c r="HU17" i="21" s="1"/>
  <c r="GY16" i="21"/>
  <c r="GX16" i="21"/>
  <c r="GD16" i="21"/>
  <c r="GC16" i="21"/>
  <c r="EP16" i="21"/>
  <c r="H16" i="21"/>
  <c r="AD16" i="21" s="1"/>
  <c r="G16" i="21"/>
  <c r="J16" i="21" s="1"/>
  <c r="GY15" i="21"/>
  <c r="GX15" i="21"/>
  <c r="GD15" i="21"/>
  <c r="GC15" i="21"/>
  <c r="FW15" i="21"/>
  <c r="FN15" i="21"/>
  <c r="FE15" i="21"/>
  <c r="EV15" i="21"/>
  <c r="EP15" i="21"/>
  <c r="H15" i="21"/>
  <c r="J15" i="21"/>
  <c r="GY14" i="21"/>
  <c r="GX14" i="21"/>
  <c r="GE14" i="21"/>
  <c r="GD14" i="21"/>
  <c r="GC14" i="21"/>
  <c r="FW14" i="21"/>
  <c r="FN14" i="21"/>
  <c r="FE14" i="21"/>
  <c r="EV14" i="21"/>
  <c r="EP14" i="21"/>
  <c r="H14" i="21"/>
  <c r="HV14" i="21" s="1"/>
  <c r="J14" i="21"/>
  <c r="GY13" i="21"/>
  <c r="GX13" i="21"/>
  <c r="GE13" i="21"/>
  <c r="GD13" i="21"/>
  <c r="GC13" i="21"/>
  <c r="FW13" i="21"/>
  <c r="FN13" i="21"/>
  <c r="FE13" i="21"/>
  <c r="EV13" i="21"/>
  <c r="EP13" i="21"/>
  <c r="AC13" i="21"/>
  <c r="J13" i="21"/>
  <c r="H13" i="21"/>
  <c r="GY12" i="21"/>
  <c r="GX12" i="21"/>
  <c r="GD12" i="21"/>
  <c r="GC12" i="21"/>
  <c r="FW12" i="21"/>
  <c r="FN12" i="21"/>
  <c r="FE12" i="21"/>
  <c r="EV12" i="21"/>
  <c r="EP12" i="21"/>
  <c r="AC12" i="21"/>
  <c r="IP12" i="21" s="1"/>
  <c r="H12" i="21"/>
  <c r="K12" i="21" s="1"/>
  <c r="GY11" i="21"/>
  <c r="GX11" i="21"/>
  <c r="GD11" i="21"/>
  <c r="GC11" i="21"/>
  <c r="FW11" i="21"/>
  <c r="FN11" i="21"/>
  <c r="FE11" i="21"/>
  <c r="EV11" i="21"/>
  <c r="EP11" i="21"/>
  <c r="AW11" i="21"/>
  <c r="JJ11" i="21" s="1"/>
  <c r="H11" i="21"/>
  <c r="G11" i="21"/>
  <c r="J11" i="21" s="1"/>
  <c r="HA10" i="21"/>
  <c r="GY10" i="21"/>
  <c r="GX10" i="21"/>
  <c r="GD10" i="21"/>
  <c r="GC10" i="21"/>
  <c r="FW10" i="21"/>
  <c r="FN10" i="21"/>
  <c r="FE10" i="21"/>
  <c r="EV10" i="21"/>
  <c r="EO10" i="21"/>
  <c r="AG10" i="21"/>
  <c r="IT10" i="21" s="1"/>
  <c r="H10" i="21"/>
  <c r="G10" i="21"/>
  <c r="J10" i="21" s="1"/>
  <c r="HA9" i="21"/>
  <c r="GY9" i="21"/>
  <c r="GX9" i="21"/>
  <c r="GD9" i="21"/>
  <c r="GC9" i="21"/>
  <c r="FW9" i="21"/>
  <c r="FN9" i="21"/>
  <c r="FE9" i="21"/>
  <c r="EV9" i="21"/>
  <c r="EO9" i="21"/>
  <c r="AG9" i="21"/>
  <c r="IT9" i="21" s="1"/>
  <c r="H9" i="21"/>
  <c r="G9" i="21"/>
  <c r="J9" i="21" s="1"/>
  <c r="HA8" i="21"/>
  <c r="GY8" i="21"/>
  <c r="GX8" i="21"/>
  <c r="GD8" i="21"/>
  <c r="GC8" i="21"/>
  <c r="FW8" i="21"/>
  <c r="FN8" i="21"/>
  <c r="FE8" i="21"/>
  <c r="EV8" i="21"/>
  <c r="EO8" i="21"/>
  <c r="AG8" i="21"/>
  <c r="IT8" i="21" s="1"/>
  <c r="H8" i="21"/>
  <c r="GF8" i="21" s="1"/>
  <c r="G8" i="21"/>
  <c r="J8" i="21" s="1"/>
  <c r="HA7" i="21"/>
  <c r="GY7" i="21"/>
  <c r="GX7" i="21"/>
  <c r="GD7" i="21"/>
  <c r="GC7" i="21"/>
  <c r="FW7" i="21"/>
  <c r="FN7" i="21"/>
  <c r="FE7" i="21"/>
  <c r="EV7" i="21"/>
  <c r="EO7" i="21"/>
  <c r="EM7" i="21"/>
  <c r="EM8" i="21" s="1"/>
  <c r="EM9" i="21" s="1"/>
  <c r="EM10" i="21" s="1"/>
  <c r="EM11" i="21" s="1"/>
  <c r="EM12" i="21" s="1"/>
  <c r="EM13" i="21" s="1"/>
  <c r="EM14" i="21" s="1"/>
  <c r="EM15" i="21" s="1"/>
  <c r="EM16" i="21" s="1"/>
  <c r="EI7" i="21"/>
  <c r="AG7" i="21"/>
  <c r="J7" i="21"/>
  <c r="H7" i="21"/>
  <c r="GE7" i="21"/>
  <c r="G2" i="18"/>
  <c r="G2" i="20"/>
  <c r="AC34" i="20"/>
  <c r="AC33" i="20"/>
  <c r="AF33" i="20" s="1"/>
  <c r="AC32" i="20"/>
  <c r="AC31" i="20"/>
  <c r="J36" i="20"/>
  <c r="G34" i="20"/>
  <c r="J34" i="20" s="1"/>
  <c r="G33" i="20"/>
  <c r="J33" i="20" s="1"/>
  <c r="G32" i="20"/>
  <c r="G31" i="20"/>
  <c r="J31" i="20" s="1"/>
  <c r="G30" i="20"/>
  <c r="J30" i="20" s="1"/>
  <c r="G29" i="20"/>
  <c r="J29" i="20" s="1"/>
  <c r="G28" i="20"/>
  <c r="GE28" i="20" s="1"/>
  <c r="G27" i="20"/>
  <c r="J27" i="20" s="1"/>
  <c r="G25" i="20"/>
  <c r="J25" i="20" s="1"/>
  <c r="G26" i="20"/>
  <c r="AC26" i="20" s="1"/>
  <c r="AC24" i="20"/>
  <c r="AD36" i="20"/>
  <c r="AG36" i="20" s="1"/>
  <c r="K36" i="20"/>
  <c r="I36" i="20"/>
  <c r="AF35" i="20"/>
  <c r="J35" i="20"/>
  <c r="H34" i="20"/>
  <c r="AD34" i="20" s="1"/>
  <c r="AG34" i="20" s="1"/>
  <c r="H33" i="20"/>
  <c r="H32" i="20"/>
  <c r="AD32" i="20" s="1"/>
  <c r="AG32" i="20" s="1"/>
  <c r="H31" i="20"/>
  <c r="GY30" i="20"/>
  <c r="GX30" i="20"/>
  <c r="GD30" i="20"/>
  <c r="GC30" i="20"/>
  <c r="H30" i="20"/>
  <c r="GF30" i="20" s="1"/>
  <c r="GY29" i="20"/>
  <c r="GX29" i="20"/>
  <c r="GD29" i="20"/>
  <c r="GC29" i="20"/>
  <c r="H29" i="20"/>
  <c r="AD29" i="20" s="1"/>
  <c r="GY28" i="20"/>
  <c r="GX28" i="20"/>
  <c r="GD28" i="20"/>
  <c r="GC28" i="20"/>
  <c r="H28" i="20"/>
  <c r="AD28" i="20" s="1"/>
  <c r="AG28" i="20" s="1"/>
  <c r="HD28" i="20" s="1"/>
  <c r="GY27" i="20"/>
  <c r="GX27" i="20"/>
  <c r="GD27" i="20"/>
  <c r="GC27" i="20"/>
  <c r="H27" i="20"/>
  <c r="K27" i="20" s="1"/>
  <c r="GI27" i="20" s="1"/>
  <c r="GY26" i="20"/>
  <c r="GX26" i="20"/>
  <c r="GD26" i="20"/>
  <c r="GC26" i="20"/>
  <c r="H26" i="20"/>
  <c r="K26" i="20" s="1"/>
  <c r="GI26" i="20" s="1"/>
  <c r="GY25" i="20"/>
  <c r="GX25" i="20"/>
  <c r="GD25" i="20"/>
  <c r="GC25" i="20"/>
  <c r="H25" i="20"/>
  <c r="GY24" i="20"/>
  <c r="GX24" i="20"/>
  <c r="GD24" i="20"/>
  <c r="GC24" i="20"/>
  <c r="H24" i="20"/>
  <c r="AD24" i="20" s="1"/>
  <c r="HA24" i="20" s="1"/>
  <c r="GY23" i="20"/>
  <c r="GX23" i="20"/>
  <c r="GE23" i="20"/>
  <c r="GD23" i="20"/>
  <c r="GC23" i="20"/>
  <c r="J23" i="20"/>
  <c r="H23" i="20"/>
  <c r="K23" i="20" s="1"/>
  <c r="GY22" i="20"/>
  <c r="GX22" i="20"/>
  <c r="GD22" i="20"/>
  <c r="GC22" i="20"/>
  <c r="J22" i="20"/>
  <c r="H22" i="20"/>
  <c r="AD22" i="20" s="1"/>
  <c r="GE22" i="20"/>
  <c r="GY21" i="20"/>
  <c r="GX21" i="20"/>
  <c r="GD21" i="20"/>
  <c r="GC21" i="20"/>
  <c r="H21" i="20"/>
  <c r="HV21" i="20" s="1"/>
  <c r="G21" i="20"/>
  <c r="GY20" i="20"/>
  <c r="GX20" i="20"/>
  <c r="GD20" i="20"/>
  <c r="GC20" i="20"/>
  <c r="H20" i="20"/>
  <c r="G20" i="20"/>
  <c r="GY19" i="20"/>
  <c r="GX19" i="20"/>
  <c r="GD19" i="20"/>
  <c r="GC19" i="20"/>
  <c r="H19" i="20"/>
  <c r="AD19" i="20" s="1"/>
  <c r="AG19" i="20" s="1"/>
  <c r="HD19" i="20" s="1"/>
  <c r="G19" i="20"/>
  <c r="GE19" i="20" s="1"/>
  <c r="GY18" i="20"/>
  <c r="GX18" i="20"/>
  <c r="GD18" i="20"/>
  <c r="GC18" i="20"/>
  <c r="H18" i="20"/>
  <c r="HV18" i="20" s="1"/>
  <c r="G18" i="20"/>
  <c r="GE18" i="20" s="1"/>
  <c r="GY17" i="20"/>
  <c r="GX17" i="20"/>
  <c r="GE17" i="20"/>
  <c r="GD17" i="20"/>
  <c r="GC17" i="20"/>
  <c r="AC17" i="20"/>
  <c r="IP17" i="20" s="1"/>
  <c r="J17" i="20"/>
  <c r="H17" i="20"/>
  <c r="GF17" i="20" s="1"/>
  <c r="GY16" i="20"/>
  <c r="GX16" i="20"/>
  <c r="GD16" i="20"/>
  <c r="GC16" i="20"/>
  <c r="J16" i="20"/>
  <c r="H16" i="20"/>
  <c r="GE16" i="20"/>
  <c r="GY15" i="20"/>
  <c r="GX15" i="20"/>
  <c r="GD15" i="20"/>
  <c r="GC15" i="20"/>
  <c r="H15" i="20"/>
  <c r="HV15" i="20" s="1"/>
  <c r="G15" i="20"/>
  <c r="GY14" i="20"/>
  <c r="GX14" i="20"/>
  <c r="GD14" i="20"/>
  <c r="GC14" i="20"/>
  <c r="J14" i="20"/>
  <c r="H14" i="20"/>
  <c r="GE14" i="20"/>
  <c r="GY13" i="20"/>
  <c r="GX13" i="20"/>
  <c r="GD13" i="20"/>
  <c r="GC13" i="20"/>
  <c r="H13" i="20"/>
  <c r="GY12" i="20"/>
  <c r="GX12" i="20"/>
  <c r="GE12" i="20"/>
  <c r="GD12" i="20"/>
  <c r="GC12" i="20"/>
  <c r="AC12" i="20"/>
  <c r="IP12" i="20" s="1"/>
  <c r="J12" i="20"/>
  <c r="H12" i="20"/>
  <c r="GY11" i="20"/>
  <c r="GX11" i="20"/>
  <c r="GD11" i="20"/>
  <c r="GC11" i="20"/>
  <c r="AW11" i="20"/>
  <c r="H11" i="20"/>
  <c r="G11" i="20"/>
  <c r="J11" i="20" s="1"/>
  <c r="HA10" i="20"/>
  <c r="GY10" i="20"/>
  <c r="GX10" i="20"/>
  <c r="GD10" i="20"/>
  <c r="GC10" i="20"/>
  <c r="AG10" i="20"/>
  <c r="IT10" i="20" s="1"/>
  <c r="H10" i="20"/>
  <c r="K10" i="20" s="1"/>
  <c r="HY10" i="20" s="1"/>
  <c r="G10" i="20"/>
  <c r="HU10" i="20" s="1"/>
  <c r="HA9" i="20"/>
  <c r="GY9" i="20"/>
  <c r="GX9" i="20"/>
  <c r="GD9" i="20"/>
  <c r="GC9" i="20"/>
  <c r="AG9" i="20"/>
  <c r="IT9" i="20" s="1"/>
  <c r="H9" i="20"/>
  <c r="K9" i="20" s="1"/>
  <c r="G9" i="20"/>
  <c r="HU9" i="20" s="1"/>
  <c r="HA8" i="20"/>
  <c r="GY8" i="20"/>
  <c r="GX8" i="20"/>
  <c r="GD8" i="20"/>
  <c r="GC8" i="20"/>
  <c r="AG8" i="20"/>
  <c r="IT8" i="20" s="1"/>
  <c r="H8" i="20"/>
  <c r="K8" i="20" s="1"/>
  <c r="G8" i="20"/>
  <c r="HA7" i="20"/>
  <c r="GY7" i="20"/>
  <c r="GX7" i="20"/>
  <c r="GE7" i="20"/>
  <c r="GD7" i="20"/>
  <c r="GC7" i="20"/>
  <c r="AG7" i="20"/>
  <c r="IT7" i="20" s="1"/>
  <c r="J7" i="20"/>
  <c r="H7" i="20"/>
  <c r="LV30" i="10" l="1"/>
  <c r="LT24" i="10"/>
  <c r="LT28" i="10"/>
  <c r="LV20" i="10"/>
  <c r="MH20" i="10" s="1"/>
  <c r="MI20" i="10" s="1"/>
  <c r="LV18" i="10"/>
  <c r="HY23" i="21"/>
  <c r="IT23" i="21"/>
  <c r="IT25" i="21"/>
  <c r="HY25" i="21"/>
  <c r="IT27" i="21"/>
  <c r="HY27" i="21"/>
  <c r="IT29" i="21"/>
  <c r="HY29" i="21"/>
  <c r="IT31" i="21"/>
  <c r="HY31" i="21"/>
  <c r="IT33" i="21"/>
  <c r="HY33" i="21"/>
  <c r="IT35" i="21"/>
  <c r="HY35" i="21"/>
  <c r="LV35" i="10"/>
  <c r="MH35" i="10" s="1"/>
  <c r="MI35" i="10" s="1"/>
  <c r="IT36" i="21"/>
  <c r="HY36" i="21"/>
  <c r="IT24" i="21"/>
  <c r="HY24" i="21"/>
  <c r="IT26" i="21"/>
  <c r="HY26" i="21"/>
  <c r="IT28" i="21"/>
  <c r="HY28" i="21"/>
  <c r="IT30" i="21"/>
  <c r="HY30" i="21"/>
  <c r="IT32" i="21"/>
  <c r="HY32" i="21"/>
  <c r="IT34" i="21"/>
  <c r="HY34" i="21"/>
  <c r="KG16" i="18"/>
  <c r="KH16" i="18" s="1"/>
  <c r="LT34" i="10"/>
  <c r="LT29" i="10"/>
  <c r="LV32" i="10"/>
  <c r="MK32" i="10" s="1"/>
  <c r="LV26" i="10"/>
  <c r="MH26" i="10" s="1"/>
  <c r="MI26" i="10" s="1"/>
  <c r="MH36" i="10"/>
  <c r="MI36" i="10" s="1"/>
  <c r="MH30" i="10"/>
  <c r="MI30" i="10" s="1"/>
  <c r="MH34" i="10"/>
  <c r="MI34" i="10" s="1"/>
  <c r="MH24" i="10"/>
  <c r="MI24" i="10" s="1"/>
  <c r="MH28" i="10"/>
  <c r="MI28" i="10" s="1"/>
  <c r="MH18" i="10"/>
  <c r="MI18" i="10" s="1"/>
  <c r="MJ14" i="10"/>
  <c r="MM14" i="10" s="1"/>
  <c r="AK35" i="20"/>
  <c r="AL35" i="20" s="1"/>
  <c r="AK33" i="20"/>
  <c r="AL33" i="20" s="1"/>
  <c r="O27" i="20"/>
  <c r="P27" i="20" s="1"/>
  <c r="O14" i="20"/>
  <c r="P14" i="20" s="1"/>
  <c r="O22" i="20"/>
  <c r="P22" i="20" s="1"/>
  <c r="O17" i="20"/>
  <c r="P17" i="20" s="1"/>
  <c r="O36" i="20"/>
  <c r="P36" i="20" s="1"/>
  <c r="O16" i="20"/>
  <c r="P16" i="20" s="1"/>
  <c r="O29" i="20"/>
  <c r="P29" i="20" s="1"/>
  <c r="O33" i="20"/>
  <c r="P33" i="20" s="1"/>
  <c r="O35" i="20"/>
  <c r="P35" i="20" s="1"/>
  <c r="O31" i="20"/>
  <c r="P31" i="20" s="1"/>
  <c r="O7" i="20"/>
  <c r="P7" i="20" s="1"/>
  <c r="O11" i="20"/>
  <c r="P11" i="20" s="1"/>
  <c r="O12" i="20"/>
  <c r="P12" i="20" s="1"/>
  <c r="O23" i="20"/>
  <c r="P23" i="20" s="1"/>
  <c r="O25" i="20"/>
  <c r="P25" i="20" s="1"/>
  <c r="O30" i="20"/>
  <c r="P30" i="20" s="1"/>
  <c r="O34" i="20"/>
  <c r="P34" i="20" s="1"/>
  <c r="AK36" i="21"/>
  <c r="AL36" i="21" s="1"/>
  <c r="AK31" i="21"/>
  <c r="AL31" i="21" s="1"/>
  <c r="AK33" i="21"/>
  <c r="AL33" i="21" s="1"/>
  <c r="AK35" i="21"/>
  <c r="AL35" i="21" s="1"/>
  <c r="AK34" i="21"/>
  <c r="AL34" i="21" s="1"/>
  <c r="O8" i="21"/>
  <c r="P8" i="21" s="1"/>
  <c r="O31" i="21"/>
  <c r="P31" i="21" s="1"/>
  <c r="O9" i="21"/>
  <c r="P9" i="21" s="1"/>
  <c r="O32" i="21"/>
  <c r="P32" i="21" s="1"/>
  <c r="O36" i="21"/>
  <c r="P36" i="21" s="1"/>
  <c r="O7" i="21"/>
  <c r="P7" i="21" s="1"/>
  <c r="O10" i="21"/>
  <c r="P10" i="21" s="1"/>
  <c r="O16" i="21"/>
  <c r="P16" i="21" s="1"/>
  <c r="O11" i="21"/>
  <c r="P11" i="21" s="1"/>
  <c r="O13" i="21"/>
  <c r="P13" i="21" s="1"/>
  <c r="O14" i="21"/>
  <c r="P14" i="21" s="1"/>
  <c r="O15" i="21"/>
  <c r="P15" i="21" s="1"/>
  <c r="O19" i="21"/>
  <c r="P19" i="21" s="1"/>
  <c r="O35" i="21"/>
  <c r="P35" i="21" s="1"/>
  <c r="O30" i="21"/>
  <c r="P30" i="21" s="1"/>
  <c r="HP36" i="10"/>
  <c r="HQ36" i="10" s="1"/>
  <c r="HP35" i="10"/>
  <c r="HQ35" i="10" s="1"/>
  <c r="HP34" i="10"/>
  <c r="HQ34" i="10" s="1"/>
  <c r="GQ34" i="10"/>
  <c r="GR34" i="10" s="1"/>
  <c r="GQ36" i="10"/>
  <c r="GR36" i="10" s="1"/>
  <c r="GQ33" i="10"/>
  <c r="GR33" i="10" s="1"/>
  <c r="GQ35" i="10"/>
  <c r="GR35" i="10" s="1"/>
  <c r="BO14" i="10"/>
  <c r="BR14" i="10" s="1"/>
  <c r="BM25" i="10"/>
  <c r="BN25" i="10" s="1"/>
  <c r="BM34" i="10"/>
  <c r="BN34" i="10" s="1"/>
  <c r="BM35" i="10"/>
  <c r="BN35" i="10" s="1"/>
  <c r="BM21" i="10"/>
  <c r="BN21" i="10" s="1"/>
  <c r="BM18" i="10"/>
  <c r="BN18" i="10" s="1"/>
  <c r="BM31" i="10"/>
  <c r="BN31" i="10" s="1"/>
  <c r="BM27" i="10"/>
  <c r="BN27" i="10" s="1"/>
  <c r="BM24" i="10"/>
  <c r="BN24" i="10" s="1"/>
  <c r="BM30" i="10"/>
  <c r="BN30" i="10" s="1"/>
  <c r="BM29" i="10"/>
  <c r="BN29" i="10" s="1"/>
  <c r="BM26" i="10"/>
  <c r="BN26" i="10" s="1"/>
  <c r="BM15" i="10"/>
  <c r="BN15" i="10" s="1"/>
  <c r="BM19" i="10"/>
  <c r="BN19" i="10" s="1"/>
  <c r="BM28" i="10"/>
  <c r="BN28" i="10" s="1"/>
  <c r="BM36" i="10"/>
  <c r="BN36" i="10" s="1"/>
  <c r="BM32" i="10"/>
  <c r="BN32" i="10" s="1"/>
  <c r="BM16" i="10"/>
  <c r="BN16" i="10" s="1"/>
  <c r="BM23" i="10"/>
  <c r="BN23" i="10" s="1"/>
  <c r="BM22" i="10"/>
  <c r="BN22" i="10" s="1"/>
  <c r="BM20" i="10"/>
  <c r="BN20" i="10" s="1"/>
  <c r="BM33" i="10"/>
  <c r="BN33" i="10" s="1"/>
  <c r="BM17" i="10"/>
  <c r="BN17" i="10" s="1"/>
  <c r="MK20" i="10"/>
  <c r="ME31" i="10"/>
  <c r="ML31" i="10" s="1"/>
  <c r="MF31" i="10" s="1"/>
  <c r="MG31" i="10" s="1"/>
  <c r="MJ31" i="10" s="1"/>
  <c r="MK31" i="10"/>
  <c r="ME19" i="10"/>
  <c r="ML19" i="10" s="1"/>
  <c r="MF19" i="10" s="1"/>
  <c r="MG19" i="10" s="1"/>
  <c r="MJ19" i="10" s="1"/>
  <c r="MK19" i="10"/>
  <c r="ME33" i="10"/>
  <c r="ML33" i="10" s="1"/>
  <c r="MF33" i="10" s="1"/>
  <c r="MG33" i="10" s="1"/>
  <c r="MJ33" i="10" s="1"/>
  <c r="MK33" i="10"/>
  <c r="ME30" i="10"/>
  <c r="ML30" i="10" s="1"/>
  <c r="MF30" i="10" s="1"/>
  <c r="MG30" i="10" s="1"/>
  <c r="MK30" i="10"/>
  <c r="ME34" i="10"/>
  <c r="ML34" i="10" s="1"/>
  <c r="MF34" i="10" s="1"/>
  <c r="MG34" i="10" s="1"/>
  <c r="MK34" i="10"/>
  <c r="ME24" i="10"/>
  <c r="ML24" i="10" s="1"/>
  <c r="MF24" i="10" s="1"/>
  <c r="MG24" i="10" s="1"/>
  <c r="MK24" i="10"/>
  <c r="ME28" i="10"/>
  <c r="ML28" i="10" s="1"/>
  <c r="MF28" i="10" s="1"/>
  <c r="MG28" i="10" s="1"/>
  <c r="MK28" i="10"/>
  <c r="ME29" i="10"/>
  <c r="ML29" i="10" s="1"/>
  <c r="MF29" i="10" s="1"/>
  <c r="MG29" i="10" s="1"/>
  <c r="MJ29" i="10" s="1"/>
  <c r="MK29" i="10"/>
  <c r="ME18" i="10"/>
  <c r="ML18" i="10" s="1"/>
  <c r="MF18" i="10" s="1"/>
  <c r="MG18" i="10" s="1"/>
  <c r="MK18" i="10"/>
  <c r="ME36" i="10"/>
  <c r="ML36" i="10" s="1"/>
  <c r="MF36" i="10" s="1"/>
  <c r="MG36" i="10" s="1"/>
  <c r="MK36" i="10"/>
  <c r="ME27" i="10"/>
  <c r="ML27" i="10" s="1"/>
  <c r="MF27" i="10" s="1"/>
  <c r="MG27" i="10" s="1"/>
  <c r="MJ27" i="10" s="1"/>
  <c r="MK27" i="10"/>
  <c r="ME25" i="10"/>
  <c r="ML25" i="10" s="1"/>
  <c r="MF25" i="10" s="1"/>
  <c r="MG25" i="10" s="1"/>
  <c r="MJ25" i="10" s="1"/>
  <c r="MK25" i="10"/>
  <c r="AN35" i="20"/>
  <c r="AH35" i="20"/>
  <c r="AO35" i="20" s="1"/>
  <c r="AI35" i="20" s="1"/>
  <c r="AJ35" i="20" s="1"/>
  <c r="AH33" i="20"/>
  <c r="AO33" i="20" s="1"/>
  <c r="AI33" i="20" s="1"/>
  <c r="AJ33" i="20" s="1"/>
  <c r="AN33" i="20"/>
  <c r="L17" i="20"/>
  <c r="S17" i="20" s="1"/>
  <c r="M17" i="20" s="1"/>
  <c r="N17" i="20" s="1"/>
  <c r="R17" i="20"/>
  <c r="R35" i="20"/>
  <c r="L35" i="20"/>
  <c r="S35" i="20" s="1"/>
  <c r="M35" i="20" s="1"/>
  <c r="N35" i="20" s="1"/>
  <c r="R27" i="20"/>
  <c r="L27" i="20"/>
  <c r="S27" i="20" s="1"/>
  <c r="M27" i="20" s="1"/>
  <c r="N27" i="20" s="1"/>
  <c r="HX14" i="20"/>
  <c r="R14" i="20"/>
  <c r="L14" i="20"/>
  <c r="S14" i="20" s="1"/>
  <c r="M14" i="20" s="1"/>
  <c r="N14" i="20" s="1"/>
  <c r="R22" i="20"/>
  <c r="L22" i="20"/>
  <c r="S22" i="20" s="1"/>
  <c r="M22" i="20" s="1"/>
  <c r="N22" i="20" s="1"/>
  <c r="GH31" i="20"/>
  <c r="L31" i="20"/>
  <c r="S31" i="20" s="1"/>
  <c r="M31" i="20" s="1"/>
  <c r="N31" i="20" s="1"/>
  <c r="R31" i="20"/>
  <c r="HX16" i="20"/>
  <c r="R16" i="20"/>
  <c r="L16" i="20"/>
  <c r="S16" i="20" s="1"/>
  <c r="M16" i="20" s="1"/>
  <c r="N16" i="20" s="1"/>
  <c r="R29" i="20"/>
  <c r="L29" i="20"/>
  <c r="S29" i="20" s="1"/>
  <c r="M29" i="20" s="1"/>
  <c r="N29" i="20" s="1"/>
  <c r="GH33" i="20"/>
  <c r="L33" i="20"/>
  <c r="S33" i="20" s="1"/>
  <c r="M33" i="20" s="1"/>
  <c r="N33" i="20" s="1"/>
  <c r="R33" i="20"/>
  <c r="R36" i="20"/>
  <c r="L36" i="20"/>
  <c r="S36" i="20" s="1"/>
  <c r="M36" i="20" s="1"/>
  <c r="N36" i="20" s="1"/>
  <c r="HX7" i="20"/>
  <c r="R7" i="20"/>
  <c r="L7" i="20"/>
  <c r="S7" i="20" s="1"/>
  <c r="M7" i="20" s="1"/>
  <c r="N7" i="20" s="1"/>
  <c r="HX11" i="20"/>
  <c r="L11" i="20"/>
  <c r="S11" i="20" s="1"/>
  <c r="M11" i="20" s="1"/>
  <c r="N11" i="20" s="1"/>
  <c r="R11" i="20"/>
  <c r="R12" i="20"/>
  <c r="L12" i="20"/>
  <c r="S12" i="20" s="1"/>
  <c r="M12" i="20" s="1"/>
  <c r="N12" i="20" s="1"/>
  <c r="R23" i="20"/>
  <c r="L23" i="20"/>
  <c r="S23" i="20" s="1"/>
  <c r="M23" i="20" s="1"/>
  <c r="N23" i="20" s="1"/>
  <c r="GH25" i="20"/>
  <c r="R25" i="20"/>
  <c r="L25" i="20"/>
  <c r="S25" i="20" s="1"/>
  <c r="M25" i="20" s="1"/>
  <c r="N25" i="20" s="1"/>
  <c r="R30" i="20"/>
  <c r="L30" i="20"/>
  <c r="S30" i="20" s="1"/>
  <c r="M30" i="20" s="1"/>
  <c r="N30" i="20" s="1"/>
  <c r="R34" i="20"/>
  <c r="L34" i="20"/>
  <c r="S34" i="20" s="1"/>
  <c r="M34" i="20" s="1"/>
  <c r="N34" i="20" s="1"/>
  <c r="AH33" i="21"/>
  <c r="AO33" i="21" s="1"/>
  <c r="AI33" i="21" s="1"/>
  <c r="AJ33" i="21" s="1"/>
  <c r="AN33" i="21"/>
  <c r="AN34" i="21"/>
  <c r="AH34" i="21"/>
  <c r="AO34" i="21" s="1"/>
  <c r="AI34" i="21" s="1"/>
  <c r="AJ34" i="21" s="1"/>
  <c r="AN36" i="21"/>
  <c r="AH36" i="21"/>
  <c r="AO36" i="21" s="1"/>
  <c r="AI36" i="21" s="1"/>
  <c r="AJ36" i="21" s="1"/>
  <c r="HC31" i="21"/>
  <c r="AH31" i="21"/>
  <c r="AO31" i="21" s="1"/>
  <c r="AI31" i="21" s="1"/>
  <c r="AJ31" i="21" s="1"/>
  <c r="AN31" i="21"/>
  <c r="AN35" i="21"/>
  <c r="AH35" i="21"/>
  <c r="AO35" i="21" s="1"/>
  <c r="AI35" i="21" s="1"/>
  <c r="AJ35" i="21" s="1"/>
  <c r="R9" i="21"/>
  <c r="L9" i="21"/>
  <c r="S9" i="21" s="1"/>
  <c r="M9" i="21" s="1"/>
  <c r="N9" i="21" s="1"/>
  <c r="R32" i="21"/>
  <c r="L32" i="21"/>
  <c r="S32" i="21" s="1"/>
  <c r="M32" i="21" s="1"/>
  <c r="N32" i="21" s="1"/>
  <c r="R16" i="21"/>
  <c r="L16" i="21"/>
  <c r="S16" i="21" s="1"/>
  <c r="M16" i="21" s="1"/>
  <c r="N16" i="21" s="1"/>
  <c r="HX11" i="21"/>
  <c r="R11" i="21"/>
  <c r="L11" i="21"/>
  <c r="S11" i="21" s="1"/>
  <c r="M11" i="21" s="1"/>
  <c r="N11" i="21" s="1"/>
  <c r="R13" i="21"/>
  <c r="L13" i="21"/>
  <c r="S13" i="21" s="1"/>
  <c r="M13" i="21" s="1"/>
  <c r="N13" i="21" s="1"/>
  <c r="HX14" i="21"/>
  <c r="R14" i="21"/>
  <c r="L14" i="21"/>
  <c r="S14" i="21" s="1"/>
  <c r="M14" i="21" s="1"/>
  <c r="N14" i="21" s="1"/>
  <c r="HX15" i="21"/>
  <c r="R15" i="21"/>
  <c r="L15" i="21"/>
  <c r="S15" i="21" s="1"/>
  <c r="M15" i="21" s="1"/>
  <c r="N15" i="21" s="1"/>
  <c r="HX19" i="21"/>
  <c r="R19" i="21"/>
  <c r="L19" i="21"/>
  <c r="S19" i="21" s="1"/>
  <c r="M19" i="21" s="1"/>
  <c r="N19" i="21" s="1"/>
  <c r="R35" i="21"/>
  <c r="L35" i="21"/>
  <c r="S35" i="21" s="1"/>
  <c r="M35" i="21" s="1"/>
  <c r="N35" i="21" s="1"/>
  <c r="R30" i="21"/>
  <c r="L30" i="21"/>
  <c r="S30" i="21" s="1"/>
  <c r="M30" i="21" s="1"/>
  <c r="N30" i="21" s="1"/>
  <c r="HX7" i="21"/>
  <c r="R7" i="21"/>
  <c r="L7" i="21"/>
  <c r="S7" i="21" s="1"/>
  <c r="M7" i="21" s="1"/>
  <c r="N7" i="21" s="1"/>
  <c r="R10" i="21"/>
  <c r="L10" i="21"/>
  <c r="S10" i="21" s="1"/>
  <c r="M10" i="21" s="1"/>
  <c r="N10" i="21" s="1"/>
  <c r="R8" i="21"/>
  <c r="L8" i="21"/>
  <c r="S8" i="21" s="1"/>
  <c r="M8" i="21" s="1"/>
  <c r="N8" i="21" s="1"/>
  <c r="R36" i="21"/>
  <c r="L36" i="21"/>
  <c r="S36" i="21" s="1"/>
  <c r="M36" i="21" s="1"/>
  <c r="N36" i="21" s="1"/>
  <c r="R31" i="21"/>
  <c r="L31" i="21"/>
  <c r="S31" i="21" s="1"/>
  <c r="M31" i="21" s="1"/>
  <c r="N31" i="21" s="1"/>
  <c r="HM36" i="10"/>
  <c r="HT36" i="10" s="1"/>
  <c r="HN36" i="10" s="1"/>
  <c r="HO36" i="10" s="1"/>
  <c r="HS36" i="10"/>
  <c r="HS35" i="10"/>
  <c r="HM35" i="10"/>
  <c r="HT35" i="10" s="1"/>
  <c r="HN35" i="10" s="1"/>
  <c r="HO35" i="10" s="1"/>
  <c r="HM34" i="10"/>
  <c r="HT34" i="10" s="1"/>
  <c r="HN34" i="10" s="1"/>
  <c r="HO34" i="10" s="1"/>
  <c r="HS34" i="10"/>
  <c r="GT34" i="10"/>
  <c r="GN34" i="10"/>
  <c r="GU34" i="10" s="1"/>
  <c r="GO34" i="10" s="1"/>
  <c r="GP34" i="10" s="1"/>
  <c r="GN35" i="10"/>
  <c r="GU35" i="10" s="1"/>
  <c r="GO35" i="10" s="1"/>
  <c r="GP35" i="10" s="1"/>
  <c r="GT35" i="10"/>
  <c r="GT36" i="10"/>
  <c r="GN36" i="10"/>
  <c r="GU36" i="10" s="1"/>
  <c r="GO36" i="10" s="1"/>
  <c r="GP36" i="10" s="1"/>
  <c r="GN33" i="10"/>
  <c r="GU33" i="10" s="1"/>
  <c r="GO33" i="10" s="1"/>
  <c r="GP33" i="10" s="1"/>
  <c r="GT33" i="10"/>
  <c r="BP20" i="10"/>
  <c r="BJ20" i="10"/>
  <c r="BQ20" i="10" s="1"/>
  <c r="BK20" i="10" s="1"/>
  <c r="BL20" i="10" s="1"/>
  <c r="BJ24" i="10"/>
  <c r="BQ24" i="10" s="1"/>
  <c r="BK24" i="10" s="1"/>
  <c r="BL24" i="10" s="1"/>
  <c r="BP24" i="10"/>
  <c r="BJ26" i="10"/>
  <c r="BQ26" i="10" s="1"/>
  <c r="BK26" i="10" s="1"/>
  <c r="BL26" i="10" s="1"/>
  <c r="BP26" i="10"/>
  <c r="BJ16" i="10"/>
  <c r="BQ16" i="10" s="1"/>
  <c r="BK16" i="10" s="1"/>
  <c r="BL16" i="10" s="1"/>
  <c r="BP16" i="10"/>
  <c r="BJ23" i="10"/>
  <c r="BQ23" i="10" s="1"/>
  <c r="BK23" i="10" s="1"/>
  <c r="BL23" i="10" s="1"/>
  <c r="BP23" i="10"/>
  <c r="BP22" i="10"/>
  <c r="BJ22" i="10"/>
  <c r="BQ22" i="10" s="1"/>
  <c r="BK22" i="10" s="1"/>
  <c r="BL22" i="10" s="1"/>
  <c r="BJ31" i="10"/>
  <c r="BQ31" i="10" s="1"/>
  <c r="BK31" i="10" s="1"/>
  <c r="BL31" i="10" s="1"/>
  <c r="BP31" i="10"/>
  <c r="BJ30" i="10"/>
  <c r="BQ30" i="10" s="1"/>
  <c r="BK30" i="10" s="1"/>
  <c r="BL30" i="10" s="1"/>
  <c r="BP30" i="10"/>
  <c r="BP18" i="10"/>
  <c r="BJ18" i="10"/>
  <c r="BQ18" i="10" s="1"/>
  <c r="BK18" i="10" s="1"/>
  <c r="BL18" i="10" s="1"/>
  <c r="BJ25" i="10"/>
  <c r="BQ25" i="10" s="1"/>
  <c r="BK25" i="10" s="1"/>
  <c r="BL25" i="10" s="1"/>
  <c r="BP25" i="10"/>
  <c r="BJ28" i="10"/>
  <c r="BQ28" i="10" s="1"/>
  <c r="BK28" i="10" s="1"/>
  <c r="BL28" i="10" s="1"/>
  <c r="BP28" i="10"/>
  <c r="BP34" i="10"/>
  <c r="BJ34" i="10"/>
  <c r="BQ34" i="10" s="1"/>
  <c r="BK34" i="10" s="1"/>
  <c r="BL34" i="10" s="1"/>
  <c r="BJ33" i="10"/>
  <c r="BQ33" i="10" s="1"/>
  <c r="BK33" i="10" s="1"/>
  <c r="BL33" i="10" s="1"/>
  <c r="BP33" i="10"/>
  <c r="BP36" i="10"/>
  <c r="BJ36" i="10"/>
  <c r="BQ36" i="10" s="1"/>
  <c r="BK36" i="10" s="1"/>
  <c r="BL36" i="10" s="1"/>
  <c r="BJ35" i="10"/>
  <c r="BQ35" i="10" s="1"/>
  <c r="BK35" i="10" s="1"/>
  <c r="BL35" i="10" s="1"/>
  <c r="BP35" i="10"/>
  <c r="BJ32" i="10"/>
  <c r="BQ32" i="10" s="1"/>
  <c r="BK32" i="10" s="1"/>
  <c r="BL32" i="10" s="1"/>
  <c r="BP32" i="10"/>
  <c r="BP21" i="10"/>
  <c r="BJ21" i="10"/>
  <c r="BQ21" i="10" s="1"/>
  <c r="BK21" i="10" s="1"/>
  <c r="BL21" i="10" s="1"/>
  <c r="BJ15" i="10"/>
  <c r="BQ15" i="10" s="1"/>
  <c r="BK15" i="10" s="1"/>
  <c r="BL15" i="10" s="1"/>
  <c r="BP15" i="10"/>
  <c r="BP19" i="10"/>
  <c r="BJ19" i="10"/>
  <c r="BQ19" i="10" s="1"/>
  <c r="BK19" i="10" s="1"/>
  <c r="BL19" i="10" s="1"/>
  <c r="BP27" i="10"/>
  <c r="BJ27" i="10"/>
  <c r="BQ27" i="10" s="1"/>
  <c r="BK27" i="10" s="1"/>
  <c r="BL27" i="10" s="1"/>
  <c r="BP29" i="10"/>
  <c r="BJ29" i="10"/>
  <c r="BQ29" i="10" s="1"/>
  <c r="BK29" i="10" s="1"/>
  <c r="BL29" i="10" s="1"/>
  <c r="BJ17" i="10"/>
  <c r="BQ17" i="10" s="1"/>
  <c r="BK17" i="10" s="1"/>
  <c r="BL17" i="10" s="1"/>
  <c r="BP17" i="10"/>
  <c r="CB18" i="21"/>
  <c r="BY19" i="21" s="1"/>
  <c r="BZ19" i="21" s="1"/>
  <c r="CA19" i="21" s="1"/>
  <c r="JL11" i="21"/>
  <c r="JN11" i="21"/>
  <c r="JZ11" i="21" s="1"/>
  <c r="KA11" i="21" s="1"/>
  <c r="LT23" i="10"/>
  <c r="LV23" i="10"/>
  <c r="MH23" i="10" s="1"/>
  <c r="MI23" i="10" s="1"/>
  <c r="LT22" i="10"/>
  <c r="LV22" i="10"/>
  <c r="BE17" i="18"/>
  <c r="BF17" i="18" s="1"/>
  <c r="BG17" i="18" s="1"/>
  <c r="BI17" i="18" s="1"/>
  <c r="LV16" i="10"/>
  <c r="MH16" i="10" s="1"/>
  <c r="MI16" i="10" s="1"/>
  <c r="LT16" i="10"/>
  <c r="JR18" i="21"/>
  <c r="EO11" i="20"/>
  <c r="ET11" i="20" s="1"/>
  <c r="JJ11" i="20"/>
  <c r="LT21" i="10"/>
  <c r="LV21" i="10"/>
  <c r="MH21" i="10" s="1"/>
  <c r="MI21" i="10" s="1"/>
  <c r="BA17" i="21"/>
  <c r="JJ17" i="21"/>
  <c r="JV15" i="20"/>
  <c r="KG15" i="20" s="1"/>
  <c r="KH15" i="20" s="1"/>
  <c r="JU15" i="20"/>
  <c r="LV17" i="10"/>
  <c r="MH17" i="10" s="1"/>
  <c r="MI17" i="10" s="1"/>
  <c r="LT17" i="10"/>
  <c r="LZ16" i="10"/>
  <c r="MA16" i="10" s="1"/>
  <c r="MB16" i="10" s="1"/>
  <c r="MD16" i="10" s="1"/>
  <c r="JR17" i="18"/>
  <c r="LT15" i="10"/>
  <c r="LV15" i="10"/>
  <c r="MH15" i="10" s="1"/>
  <c r="MI15" i="10" s="1"/>
  <c r="CB17" i="18"/>
  <c r="BY18" i="18" s="1"/>
  <c r="BZ18" i="18" s="1"/>
  <c r="CA18" i="18" s="1"/>
  <c r="CC18" i="18" s="1"/>
  <c r="KS31" i="10"/>
  <c r="KQ31" i="10"/>
  <c r="KS27" i="10"/>
  <c r="KQ27" i="10"/>
  <c r="KS24" i="10"/>
  <c r="KQ24" i="10"/>
  <c r="KQ30" i="10"/>
  <c r="KS30" i="10"/>
  <c r="KQ29" i="10"/>
  <c r="KS29" i="10"/>
  <c r="KQ26" i="10"/>
  <c r="KS26" i="10"/>
  <c r="KS25" i="10"/>
  <c r="KQ25" i="10"/>
  <c r="KQ28" i="10"/>
  <c r="KS28" i="10"/>
  <c r="KQ34" i="10"/>
  <c r="KS34" i="10"/>
  <c r="KS33" i="10"/>
  <c r="KQ33" i="10"/>
  <c r="KQ36" i="10"/>
  <c r="KS36" i="10"/>
  <c r="KS35" i="10"/>
  <c r="KQ35" i="10"/>
  <c r="KQ32" i="10"/>
  <c r="KS32" i="10"/>
  <c r="DG13" i="21"/>
  <c r="DC14" i="18"/>
  <c r="KI20" i="10"/>
  <c r="P20" i="25" s="1"/>
  <c r="H405" i="31" s="1"/>
  <c r="DF13" i="21"/>
  <c r="BY15" i="10"/>
  <c r="DD14" i="10"/>
  <c r="DE14" i="10" s="1"/>
  <c r="EK16" i="20"/>
  <c r="AW12" i="21"/>
  <c r="BA11" i="21"/>
  <c r="BE18" i="21"/>
  <c r="AC26" i="21"/>
  <c r="AF26" i="21" s="1"/>
  <c r="J24" i="21"/>
  <c r="J28" i="21"/>
  <c r="FU16" i="20"/>
  <c r="FJ17" i="20"/>
  <c r="FA17" i="20"/>
  <c r="BH15" i="20"/>
  <c r="BE16" i="20" s="1"/>
  <c r="BF16" i="20" s="1"/>
  <c r="BG16" i="20" s="1"/>
  <c r="BI16" i="20" s="1"/>
  <c r="BT16" i="20" s="1"/>
  <c r="BU16" i="20" s="1"/>
  <c r="BA11" i="20"/>
  <c r="DC14" i="20"/>
  <c r="BY16" i="20"/>
  <c r="BA32" i="20"/>
  <c r="BA17" i="20"/>
  <c r="AC28" i="20"/>
  <c r="AF28" i="20" s="1"/>
  <c r="K31" i="20"/>
  <c r="GF31" i="20"/>
  <c r="AD33" i="20"/>
  <c r="AG33" i="20" s="1"/>
  <c r="GF33" i="20"/>
  <c r="K32" i="20"/>
  <c r="GF32" i="20"/>
  <c r="AC27" i="20"/>
  <c r="AF27" i="20" s="1"/>
  <c r="GE27" i="20"/>
  <c r="HD8" i="21"/>
  <c r="K34" i="20"/>
  <c r="I12" i="21"/>
  <c r="HW12" i="21" s="1"/>
  <c r="K30" i="20"/>
  <c r="GI30" i="20" s="1"/>
  <c r="I17" i="21"/>
  <c r="GG17" i="21" s="1"/>
  <c r="J26" i="21"/>
  <c r="J26" i="20"/>
  <c r="GE9" i="20"/>
  <c r="AD26" i="20"/>
  <c r="HA26" i="20" s="1"/>
  <c r="I9" i="20"/>
  <c r="GG9" i="20" s="1"/>
  <c r="GF22" i="20"/>
  <c r="GE26" i="20"/>
  <c r="GF7" i="20"/>
  <c r="HV7" i="20"/>
  <c r="GI8" i="20"/>
  <c r="HY8" i="20"/>
  <c r="HD9" i="20"/>
  <c r="K12" i="20"/>
  <c r="HY12" i="20" s="1"/>
  <c r="HV12" i="20"/>
  <c r="J15" i="20"/>
  <c r="HU15" i="20"/>
  <c r="GF16" i="20"/>
  <c r="HV16" i="20"/>
  <c r="GF20" i="20"/>
  <c r="HV20" i="20"/>
  <c r="I7" i="20"/>
  <c r="HW7" i="20" s="1"/>
  <c r="HD7" i="20"/>
  <c r="HD8" i="20"/>
  <c r="J9" i="20"/>
  <c r="GI10" i="20"/>
  <c r="HD10" i="20"/>
  <c r="GH11" i="20"/>
  <c r="K14" i="20"/>
  <c r="HV14" i="20"/>
  <c r="K18" i="20"/>
  <c r="AC19" i="20"/>
  <c r="HU19" i="20"/>
  <c r="K20" i="20"/>
  <c r="AD30" i="20"/>
  <c r="HA30" i="20" s="1"/>
  <c r="AD31" i="20"/>
  <c r="AG31" i="20" s="1"/>
  <c r="I8" i="20"/>
  <c r="HU8" i="20"/>
  <c r="GI9" i="20"/>
  <c r="HY9" i="20"/>
  <c r="GF10" i="20"/>
  <c r="HV10" i="20"/>
  <c r="GE11" i="20"/>
  <c r="HU11" i="20"/>
  <c r="AD13" i="20"/>
  <c r="AG13" i="20" s="1"/>
  <c r="HV13" i="20"/>
  <c r="K16" i="20"/>
  <c r="K17" i="20"/>
  <c r="HY17" i="20" s="1"/>
  <c r="HV17" i="20"/>
  <c r="GF19" i="20"/>
  <c r="HV19" i="20"/>
  <c r="K7" i="20"/>
  <c r="GF8" i="20"/>
  <c r="HV8" i="20"/>
  <c r="GF9" i="20"/>
  <c r="HV9" i="20"/>
  <c r="I10" i="20"/>
  <c r="AD11" i="20"/>
  <c r="IQ11" i="20" s="1"/>
  <c r="HV11" i="20"/>
  <c r="GF12" i="20"/>
  <c r="GH16" i="20"/>
  <c r="I17" i="20"/>
  <c r="GG17" i="20" s="1"/>
  <c r="AF17" i="20"/>
  <c r="J18" i="20"/>
  <c r="HU18" i="20"/>
  <c r="J19" i="20"/>
  <c r="AC20" i="20"/>
  <c r="AF20" i="20" s="1"/>
  <c r="HU20" i="20"/>
  <c r="AC21" i="20"/>
  <c r="HU21" i="20"/>
  <c r="K23" i="21"/>
  <c r="GI23" i="21" s="1"/>
  <c r="AD23" i="21"/>
  <c r="HA23" i="21" s="1"/>
  <c r="AE31" i="21"/>
  <c r="AY11" i="21"/>
  <c r="GF12" i="21"/>
  <c r="J21" i="21"/>
  <c r="AG31" i="21"/>
  <c r="GI12" i="21"/>
  <c r="HY12" i="21"/>
  <c r="HX16" i="21"/>
  <c r="GH16" i="21"/>
  <c r="HX8" i="21"/>
  <c r="GH8" i="21"/>
  <c r="HX9" i="21"/>
  <c r="EM17" i="21"/>
  <c r="EM18" i="21" s="1"/>
  <c r="K9" i="21"/>
  <c r="HV9" i="21"/>
  <c r="AC11" i="21"/>
  <c r="GZ11" i="21" s="1"/>
  <c r="HU11" i="21"/>
  <c r="GE11" i="21"/>
  <c r="GF15" i="21"/>
  <c r="HV15" i="21"/>
  <c r="AC19" i="21"/>
  <c r="GZ19" i="21" s="1"/>
  <c r="HU19" i="21"/>
  <c r="GE19" i="21"/>
  <c r="AD20" i="21"/>
  <c r="HA20" i="21" s="1"/>
  <c r="HV20" i="21"/>
  <c r="GE21" i="21"/>
  <c r="GF22" i="21"/>
  <c r="HV22" i="21"/>
  <c r="AD33" i="21"/>
  <c r="AG33" i="21" s="1"/>
  <c r="HD7" i="21"/>
  <c r="IT7" i="21"/>
  <c r="GE10" i="21"/>
  <c r="HU10" i="21"/>
  <c r="AD11" i="21"/>
  <c r="IQ11" i="21" s="1"/>
  <c r="HV11" i="21"/>
  <c r="K13" i="21"/>
  <c r="HV13" i="21"/>
  <c r="HA16" i="21"/>
  <c r="IQ16" i="21"/>
  <c r="AC17" i="21"/>
  <c r="IP17" i="21" s="1"/>
  <c r="GE17" i="21"/>
  <c r="AD18" i="21"/>
  <c r="HV18" i="21"/>
  <c r="AD22" i="21"/>
  <c r="AG22" i="21" s="1"/>
  <c r="HD22" i="21" s="1"/>
  <c r="AW19" i="21"/>
  <c r="JJ19" i="21" s="1"/>
  <c r="GE8" i="21"/>
  <c r="HU8" i="21"/>
  <c r="K10" i="21"/>
  <c r="HV10" i="21"/>
  <c r="GF10" i="21"/>
  <c r="GE16" i="21"/>
  <c r="HU16" i="21"/>
  <c r="GI18" i="21"/>
  <c r="HY18" i="21"/>
  <c r="AC21" i="21"/>
  <c r="K7" i="21"/>
  <c r="HV7" i="21"/>
  <c r="K8" i="21"/>
  <c r="HV8" i="21"/>
  <c r="GE9" i="21"/>
  <c r="HU9" i="21"/>
  <c r="HX10" i="21"/>
  <c r="GH10" i="21"/>
  <c r="HD10" i="21"/>
  <c r="AD12" i="21"/>
  <c r="IQ12" i="21" s="1"/>
  <c r="HV12" i="21"/>
  <c r="K16" i="21"/>
  <c r="HV16" i="21"/>
  <c r="J17" i="21"/>
  <c r="AC20" i="21"/>
  <c r="HU20" i="21"/>
  <c r="AD27" i="21"/>
  <c r="AG27" i="21" s="1"/>
  <c r="HD27" i="21" s="1"/>
  <c r="GF27" i="21"/>
  <c r="K34" i="21"/>
  <c r="AC22" i="21"/>
  <c r="GH23" i="20"/>
  <c r="GH17" i="20"/>
  <c r="HX17" i="20"/>
  <c r="GH12" i="20"/>
  <c r="HX12" i="20"/>
  <c r="GH7" i="20"/>
  <c r="AF13" i="21"/>
  <c r="IP13" i="21"/>
  <c r="GH13" i="21"/>
  <c r="HX13" i="21"/>
  <c r="HA22" i="20"/>
  <c r="AG22" i="20"/>
  <c r="HD22" i="20" s="1"/>
  <c r="GI28" i="21"/>
  <c r="AD27" i="20"/>
  <c r="HA27" i="20" s="1"/>
  <c r="HA28" i="20"/>
  <c r="I25" i="21"/>
  <c r="GG25" i="21" s="1"/>
  <c r="K11" i="20"/>
  <c r="HY11" i="20" s="1"/>
  <c r="GF11" i="20"/>
  <c r="AD16" i="20"/>
  <c r="IQ16" i="20" s="1"/>
  <c r="K22" i="20"/>
  <c r="I23" i="20"/>
  <c r="K24" i="20"/>
  <c r="GI24" i="20" s="1"/>
  <c r="GF26" i="20"/>
  <c r="I27" i="20"/>
  <c r="GG27" i="20" s="1"/>
  <c r="GF27" i="20"/>
  <c r="K28" i="20"/>
  <c r="GI28" i="20" s="1"/>
  <c r="K15" i="21"/>
  <c r="AG16" i="21"/>
  <c r="GF16" i="21"/>
  <c r="GF18" i="21"/>
  <c r="I20" i="21"/>
  <c r="GF20" i="21"/>
  <c r="K25" i="21"/>
  <c r="GI25" i="21" s="1"/>
  <c r="K30" i="21"/>
  <c r="GI30" i="21" s="1"/>
  <c r="I27" i="21"/>
  <c r="GG27" i="21" s="1"/>
  <c r="AD14" i="20"/>
  <c r="IQ14" i="20" s="1"/>
  <c r="GF14" i="20"/>
  <c r="AG24" i="20"/>
  <c r="HD24" i="20" s="1"/>
  <c r="GF24" i="20"/>
  <c r="I13" i="21"/>
  <c r="K20" i="21"/>
  <c r="I23" i="21"/>
  <c r="AG25" i="21"/>
  <c r="HD25" i="21" s="1"/>
  <c r="GF25" i="21"/>
  <c r="AD30" i="21"/>
  <c r="HA30" i="21" s="1"/>
  <c r="K31" i="21"/>
  <c r="I12" i="20"/>
  <c r="K19" i="20"/>
  <c r="AD20" i="20"/>
  <c r="HA20" i="20" s="1"/>
  <c r="I22" i="20"/>
  <c r="K33" i="20"/>
  <c r="I34" i="20"/>
  <c r="I31" i="20"/>
  <c r="GF13" i="21"/>
  <c r="K22" i="21"/>
  <c r="AE36" i="21"/>
  <c r="AY17" i="20"/>
  <c r="BA24" i="20"/>
  <c r="AW20" i="21"/>
  <c r="IP20" i="21" s="1"/>
  <c r="AW22" i="21"/>
  <c r="AY17" i="21"/>
  <c r="AW27" i="21"/>
  <c r="AW18" i="21"/>
  <c r="JJ18" i="21" s="1"/>
  <c r="AW28" i="21"/>
  <c r="AW23" i="21"/>
  <c r="I31" i="21"/>
  <c r="AC24" i="21"/>
  <c r="AF24" i="21" s="1"/>
  <c r="AC25" i="21"/>
  <c r="AE25" i="21" s="1"/>
  <c r="HB25" i="21" s="1"/>
  <c r="EO17" i="21"/>
  <c r="EJ7" i="21"/>
  <c r="AD14" i="21"/>
  <c r="IQ14" i="21" s="1"/>
  <c r="I14" i="21"/>
  <c r="GF14" i="21"/>
  <c r="EK7" i="21"/>
  <c r="EL7" i="21" s="1"/>
  <c r="GH11" i="21"/>
  <c r="K14" i="21"/>
  <c r="HY14" i="21" s="1"/>
  <c r="GE18" i="21"/>
  <c r="J18" i="21"/>
  <c r="AC18" i="21"/>
  <c r="IP18" i="21" s="1"/>
  <c r="I18" i="21"/>
  <c r="I21" i="21"/>
  <c r="GF21" i="21"/>
  <c r="K21" i="21"/>
  <c r="AD21" i="21"/>
  <c r="I22" i="21"/>
  <c r="J22" i="21"/>
  <c r="GE22" i="21"/>
  <c r="GF7" i="21"/>
  <c r="EI8" i="21"/>
  <c r="GF9" i="21"/>
  <c r="HD9" i="21"/>
  <c r="GE12" i="21"/>
  <c r="J12" i="21"/>
  <c r="K11" i="21"/>
  <c r="GF11" i="21"/>
  <c r="GZ12" i="21"/>
  <c r="AF12" i="21"/>
  <c r="GZ13" i="21"/>
  <c r="GH7" i="21"/>
  <c r="GH9" i="21"/>
  <c r="GH15" i="21"/>
  <c r="K19" i="21"/>
  <c r="GF19" i="21"/>
  <c r="AD19" i="21"/>
  <c r="IQ19" i="21" s="1"/>
  <c r="I7" i="21"/>
  <c r="I8" i="21"/>
  <c r="I9" i="21"/>
  <c r="I10" i="21"/>
  <c r="I11" i="21"/>
  <c r="EO11" i="21"/>
  <c r="AC14" i="21"/>
  <c r="IP14" i="21" s="1"/>
  <c r="GH14" i="21"/>
  <c r="I16" i="21"/>
  <c r="J20" i="21"/>
  <c r="GE20" i="21"/>
  <c r="GF24" i="21"/>
  <c r="K24" i="21"/>
  <c r="GI24" i="21" s="1"/>
  <c r="I24" i="21"/>
  <c r="GG24" i="21" s="1"/>
  <c r="GE25" i="21"/>
  <c r="J25" i="21"/>
  <c r="GE23" i="21"/>
  <c r="J23" i="21"/>
  <c r="K26" i="21"/>
  <c r="GF26" i="21"/>
  <c r="AD26" i="21"/>
  <c r="J27" i="21"/>
  <c r="GE27" i="21"/>
  <c r="AD13" i="21"/>
  <c r="AC15" i="21"/>
  <c r="IP15" i="21" s="1"/>
  <c r="I15" i="21"/>
  <c r="AD15" i="21"/>
  <c r="IQ15" i="21" s="1"/>
  <c r="GE15" i="21"/>
  <c r="AC16" i="21"/>
  <c r="IP16" i="21" s="1"/>
  <c r="GF17" i="21"/>
  <c r="K17" i="21"/>
  <c r="HY17" i="21" s="1"/>
  <c r="AD17" i="21"/>
  <c r="IQ17" i="21" s="1"/>
  <c r="GH19" i="21"/>
  <c r="AG24" i="21"/>
  <c r="AC27" i="21"/>
  <c r="GH30" i="21"/>
  <c r="AW36" i="21"/>
  <c r="AW32" i="21"/>
  <c r="AW35" i="21"/>
  <c r="AW34" i="21"/>
  <c r="AW33" i="21"/>
  <c r="AW31" i="21"/>
  <c r="AW26" i="21"/>
  <c r="AW30" i="21"/>
  <c r="AW24" i="21"/>
  <c r="I19" i="21"/>
  <c r="AW21" i="21"/>
  <c r="AD28" i="21"/>
  <c r="I28" i="21"/>
  <c r="GG28" i="21" s="1"/>
  <c r="GF28" i="21"/>
  <c r="AW29" i="21"/>
  <c r="J33" i="21"/>
  <c r="I33" i="21"/>
  <c r="AD35" i="21"/>
  <c r="K35" i="21"/>
  <c r="I35" i="21"/>
  <c r="AW25" i="21"/>
  <c r="J29" i="21"/>
  <c r="AC29" i="21"/>
  <c r="I29" i="21"/>
  <c r="GG29" i="21" s="1"/>
  <c r="AC30" i="21"/>
  <c r="I30" i="21"/>
  <c r="GG30" i="21" s="1"/>
  <c r="GE30" i="21"/>
  <c r="I26" i="21"/>
  <c r="GG26" i="21" s="1"/>
  <c r="AC28" i="21"/>
  <c r="AD29" i="21"/>
  <c r="GF29" i="21"/>
  <c r="AE32" i="21"/>
  <c r="AF32" i="21"/>
  <c r="I34" i="21"/>
  <c r="J34" i="21"/>
  <c r="K32" i="21"/>
  <c r="I32" i="21"/>
  <c r="AG34" i="21"/>
  <c r="AE34" i="21"/>
  <c r="AE24" i="20"/>
  <c r="HB24" i="20" s="1"/>
  <c r="AF24" i="20"/>
  <c r="GZ24" i="20"/>
  <c r="GZ12" i="20"/>
  <c r="AF12" i="20"/>
  <c r="GE10" i="20"/>
  <c r="J10" i="20"/>
  <c r="J8" i="20"/>
  <c r="GE8" i="20"/>
  <c r="K13" i="20"/>
  <c r="GF15" i="20"/>
  <c r="AD15" i="20"/>
  <c r="IQ15" i="20" s="1"/>
  <c r="GF25" i="20"/>
  <c r="AD25" i="20"/>
  <c r="K25" i="20"/>
  <c r="AY32" i="20"/>
  <c r="I11" i="20"/>
  <c r="GE13" i="20"/>
  <c r="J13" i="20"/>
  <c r="AC13" i="20"/>
  <c r="IP13" i="20" s="1"/>
  <c r="K15" i="20"/>
  <c r="HY15" i="20" s="1"/>
  <c r="GZ17" i="20"/>
  <c r="GF13" i="20"/>
  <c r="GH14" i="20"/>
  <c r="GE20" i="20"/>
  <c r="J20" i="20"/>
  <c r="I20" i="20"/>
  <c r="GF21" i="20"/>
  <c r="AD21" i="20"/>
  <c r="K21" i="20"/>
  <c r="AC11" i="20"/>
  <c r="IP11" i="20" s="1"/>
  <c r="AW12" i="20"/>
  <c r="AY11" i="20"/>
  <c r="AD12" i="20"/>
  <c r="IQ12" i="20" s="1"/>
  <c r="I13" i="20"/>
  <c r="AD18" i="20"/>
  <c r="IQ18" i="20" s="1"/>
  <c r="I18" i="20"/>
  <c r="GF18" i="20"/>
  <c r="AF26" i="20"/>
  <c r="GZ26" i="20"/>
  <c r="GH29" i="20"/>
  <c r="I19" i="20"/>
  <c r="HA19" i="20"/>
  <c r="GZ23" i="20"/>
  <c r="AC29" i="20"/>
  <c r="I29" i="20"/>
  <c r="GG29" i="20" s="1"/>
  <c r="GE29" i="20"/>
  <c r="AF31" i="20"/>
  <c r="I14" i="20"/>
  <c r="AC14" i="20"/>
  <c r="IP14" i="20" s="1"/>
  <c r="I16" i="20"/>
  <c r="AC18" i="20"/>
  <c r="IP18" i="20" s="1"/>
  <c r="I21" i="20"/>
  <c r="GE21" i="20"/>
  <c r="J21" i="20"/>
  <c r="AF23" i="20"/>
  <c r="I24" i="20"/>
  <c r="GG24" i="20" s="1"/>
  <c r="AC15" i="20"/>
  <c r="IP15" i="20" s="1"/>
  <c r="I15" i="20"/>
  <c r="GE15" i="20"/>
  <c r="AC16" i="20"/>
  <c r="IP16" i="20" s="1"/>
  <c r="AD17" i="20"/>
  <c r="GH22" i="20"/>
  <c r="J24" i="20"/>
  <c r="GE24" i="20"/>
  <c r="J28" i="20"/>
  <c r="I28" i="20"/>
  <c r="GG28" i="20" s="1"/>
  <c r="AG29" i="20"/>
  <c r="HD29" i="20" s="1"/>
  <c r="HA29" i="20"/>
  <c r="GH30" i="20"/>
  <c r="BA33" i="20"/>
  <c r="BA31" i="20"/>
  <c r="BA27" i="20"/>
  <c r="BA30" i="20"/>
  <c r="BA29" i="20"/>
  <c r="BA28" i="20"/>
  <c r="BA23" i="20"/>
  <c r="BA22" i="20"/>
  <c r="GI23" i="20"/>
  <c r="I26" i="20"/>
  <c r="GG26" i="20" s="1"/>
  <c r="BA26" i="20"/>
  <c r="J32" i="20"/>
  <c r="I32" i="20"/>
  <c r="AD23" i="20"/>
  <c r="GF23" i="20"/>
  <c r="AC25" i="20"/>
  <c r="I25" i="20"/>
  <c r="GG25" i="20" s="1"/>
  <c r="GE25" i="20"/>
  <c r="GH27" i="20"/>
  <c r="K35" i="20"/>
  <c r="I35" i="20"/>
  <c r="AD35" i="20"/>
  <c r="AG35" i="20" s="1"/>
  <c r="AF36" i="20"/>
  <c r="AE36" i="20"/>
  <c r="GF28" i="20"/>
  <c r="GF29" i="20"/>
  <c r="K29" i="20"/>
  <c r="GI29" i="20" s="1"/>
  <c r="AC30" i="20"/>
  <c r="I30" i="20"/>
  <c r="GG30" i="20" s="1"/>
  <c r="GE30" i="20"/>
  <c r="AF32" i="20"/>
  <c r="AE32" i="20"/>
  <c r="AF34" i="20"/>
  <c r="AE34" i="20"/>
  <c r="I33" i="20"/>
  <c r="GD7" i="18"/>
  <c r="GX7" i="18"/>
  <c r="GY7" i="18"/>
  <c r="HA7" i="18"/>
  <c r="GD8" i="18"/>
  <c r="GX8" i="18"/>
  <c r="GY8" i="18"/>
  <c r="HA8" i="18"/>
  <c r="GD9" i="18"/>
  <c r="GX9" i="18"/>
  <c r="GY9" i="18"/>
  <c r="HA9" i="18"/>
  <c r="GD10" i="18"/>
  <c r="GX10" i="18"/>
  <c r="GY10" i="18"/>
  <c r="HA10" i="18"/>
  <c r="GD11" i="18"/>
  <c r="GX11" i="18"/>
  <c r="GY11" i="18"/>
  <c r="GD12" i="18"/>
  <c r="GX12" i="18"/>
  <c r="GY12" i="18"/>
  <c r="GD13" i="18"/>
  <c r="GX13" i="18"/>
  <c r="GY13" i="18"/>
  <c r="GD14" i="18"/>
  <c r="GX14" i="18"/>
  <c r="GY14" i="18"/>
  <c r="GD15" i="18"/>
  <c r="GX15" i="18"/>
  <c r="GY15" i="18"/>
  <c r="GD16" i="18"/>
  <c r="GX16" i="18"/>
  <c r="GY16" i="18"/>
  <c r="GD17" i="18"/>
  <c r="GX17" i="18"/>
  <c r="GY17" i="18"/>
  <c r="GD18" i="18"/>
  <c r="GX18" i="18"/>
  <c r="GY18" i="18"/>
  <c r="GD19" i="18"/>
  <c r="GX19" i="18"/>
  <c r="GY19" i="18"/>
  <c r="GD20" i="18"/>
  <c r="GX20" i="18"/>
  <c r="GY20" i="18"/>
  <c r="GD21" i="18"/>
  <c r="GX21" i="18"/>
  <c r="GY21" i="18"/>
  <c r="GD22" i="18"/>
  <c r="GX22" i="18"/>
  <c r="GY22" i="18"/>
  <c r="GD23" i="18"/>
  <c r="GX23" i="18"/>
  <c r="GY23" i="18"/>
  <c r="GD24" i="18"/>
  <c r="GX24" i="18"/>
  <c r="GY24" i="18"/>
  <c r="GD25" i="18"/>
  <c r="GX25" i="18"/>
  <c r="GY25" i="18"/>
  <c r="GD26" i="18"/>
  <c r="GX26" i="18"/>
  <c r="GY26" i="18"/>
  <c r="GD27" i="18"/>
  <c r="GX27" i="18"/>
  <c r="GY27" i="18"/>
  <c r="GD28" i="18"/>
  <c r="GX28" i="18"/>
  <c r="GY28" i="18"/>
  <c r="GD29" i="18"/>
  <c r="GX29" i="18"/>
  <c r="GY29" i="18"/>
  <c r="GD30" i="18"/>
  <c r="GX30" i="18"/>
  <c r="GY30" i="18"/>
  <c r="GC7" i="18"/>
  <c r="GC8" i="18"/>
  <c r="GC9" i="18"/>
  <c r="GC10" i="18"/>
  <c r="GC11" i="18"/>
  <c r="GC12" i="18"/>
  <c r="GC13" i="18"/>
  <c r="GC14" i="18"/>
  <c r="GC15" i="18"/>
  <c r="GC16" i="18"/>
  <c r="GC17" i="18"/>
  <c r="GC18" i="18"/>
  <c r="GC19" i="18"/>
  <c r="GC20" i="18"/>
  <c r="GC21" i="18"/>
  <c r="GC22" i="18"/>
  <c r="GC23" i="18"/>
  <c r="GC24" i="18"/>
  <c r="GC25" i="18"/>
  <c r="GC26" i="18"/>
  <c r="GC27" i="18"/>
  <c r="GC28" i="18"/>
  <c r="GC29" i="18"/>
  <c r="GC30" i="18"/>
  <c r="HC7" i="10"/>
  <c r="HI7" i="10"/>
  <c r="HC8" i="10"/>
  <c r="HI8" i="10"/>
  <c r="HC9" i="10"/>
  <c r="HI9" i="10"/>
  <c r="HC10" i="10"/>
  <c r="HI10" i="10"/>
  <c r="HC11" i="10"/>
  <c r="HC12" i="10"/>
  <c r="HC13" i="10"/>
  <c r="HC14" i="10"/>
  <c r="HC15" i="10"/>
  <c r="HC16" i="10"/>
  <c r="HC17" i="10"/>
  <c r="HC18" i="10"/>
  <c r="HC19" i="10"/>
  <c r="HC20" i="10"/>
  <c r="HC21" i="10"/>
  <c r="HC22" i="10"/>
  <c r="HC23" i="10"/>
  <c r="HC24" i="10"/>
  <c r="HC25" i="10"/>
  <c r="HC26" i="10"/>
  <c r="HC27" i="10"/>
  <c r="HC28" i="10"/>
  <c r="HC29" i="10"/>
  <c r="HC30" i="10"/>
  <c r="HB7" i="10"/>
  <c r="HB8" i="10"/>
  <c r="HB9" i="10"/>
  <c r="HB10" i="10"/>
  <c r="HB11" i="10"/>
  <c r="HB12" i="10"/>
  <c r="HB13" i="10"/>
  <c r="HB14" i="10"/>
  <c r="HB15" i="10"/>
  <c r="HB16" i="10"/>
  <c r="HB17" i="10"/>
  <c r="HB18" i="10"/>
  <c r="HB19" i="10"/>
  <c r="HB20" i="10"/>
  <c r="HB21" i="10"/>
  <c r="HB22" i="10"/>
  <c r="HB23" i="10"/>
  <c r="HB24" i="10"/>
  <c r="HB25" i="10"/>
  <c r="HB26" i="10"/>
  <c r="HB27" i="10"/>
  <c r="HB28" i="10"/>
  <c r="HB29" i="10"/>
  <c r="HB30" i="10"/>
  <c r="GD7" i="10"/>
  <c r="GD8" i="10"/>
  <c r="GD9" i="10"/>
  <c r="GD10" i="10"/>
  <c r="GD11" i="10"/>
  <c r="GD12" i="10"/>
  <c r="GD13" i="10"/>
  <c r="GD14" i="10"/>
  <c r="GD15" i="10"/>
  <c r="GD16" i="10"/>
  <c r="GD17" i="10"/>
  <c r="GD18" i="10"/>
  <c r="GD19" i="10"/>
  <c r="GD20" i="10"/>
  <c r="GD21" i="10"/>
  <c r="GD22" i="10"/>
  <c r="GD23" i="10"/>
  <c r="GD24" i="10"/>
  <c r="GD25" i="10"/>
  <c r="GD26" i="10"/>
  <c r="GD27" i="10"/>
  <c r="GD28" i="10"/>
  <c r="GD29" i="10"/>
  <c r="GD30" i="10"/>
  <c r="GC7" i="10"/>
  <c r="GC8" i="10"/>
  <c r="GC9" i="10"/>
  <c r="GC10" i="10"/>
  <c r="GC11" i="10"/>
  <c r="GC12" i="10"/>
  <c r="GC13" i="10"/>
  <c r="GC14" i="10"/>
  <c r="GC15" i="10"/>
  <c r="GC16" i="10"/>
  <c r="GC17" i="10"/>
  <c r="GC18" i="10"/>
  <c r="GC19" i="10"/>
  <c r="GC20" i="10"/>
  <c r="GC21" i="10"/>
  <c r="GC22" i="10"/>
  <c r="GC23" i="10"/>
  <c r="GC24" i="10"/>
  <c r="GC25" i="10"/>
  <c r="GC26" i="10"/>
  <c r="GC27" i="10"/>
  <c r="GC28" i="10"/>
  <c r="GC29" i="10"/>
  <c r="GC30" i="10"/>
  <c r="H10" i="18"/>
  <c r="HV10" i="18" s="1"/>
  <c r="H9" i="18"/>
  <c r="H8" i="18"/>
  <c r="H7" i="18"/>
  <c r="H10" i="10"/>
  <c r="ID10" i="10" s="1"/>
  <c r="H9" i="10"/>
  <c r="H8" i="10"/>
  <c r="H7" i="10"/>
  <c r="ME20" i="10" l="1"/>
  <c r="ML20" i="10" s="1"/>
  <c r="MF20" i="10" s="1"/>
  <c r="MG20" i="10" s="1"/>
  <c r="ME35" i="10"/>
  <c r="ML35" i="10" s="1"/>
  <c r="MF35" i="10" s="1"/>
  <c r="MG35" i="10" s="1"/>
  <c r="MJ35" i="10" s="1"/>
  <c r="ME26" i="10"/>
  <c r="ML26" i="10" s="1"/>
  <c r="MF26" i="10" s="1"/>
  <c r="MG26" i="10" s="1"/>
  <c r="MJ26" i="10" s="1"/>
  <c r="MK35" i="10"/>
  <c r="ME32" i="10"/>
  <c r="ML32" i="10" s="1"/>
  <c r="MF32" i="10" s="1"/>
  <c r="MG32" i="10" s="1"/>
  <c r="MN14" i="10"/>
  <c r="MO14" i="10" s="1"/>
  <c r="MP14" i="10" s="1"/>
  <c r="MH32" i="10"/>
  <c r="MI32" i="10" s="1"/>
  <c r="MK26" i="10"/>
  <c r="IP31" i="21"/>
  <c r="HU31" i="21"/>
  <c r="GH31" i="21"/>
  <c r="HX24" i="20"/>
  <c r="IS24" i="20"/>
  <c r="IS22" i="20"/>
  <c r="HX22" i="20"/>
  <c r="HX30" i="20"/>
  <c r="IS30" i="20"/>
  <c r="HU25" i="21"/>
  <c r="IP25" i="21"/>
  <c r="HU24" i="21"/>
  <c r="IP24" i="21"/>
  <c r="JJ33" i="21"/>
  <c r="JN33" i="21" s="1"/>
  <c r="JZ33" i="21" s="1"/>
  <c r="KA33" i="21" s="1"/>
  <c r="HU33" i="21"/>
  <c r="IP33" i="21"/>
  <c r="HC33" i="21"/>
  <c r="GH33" i="21"/>
  <c r="JJ36" i="21"/>
  <c r="JL36" i="21" s="1"/>
  <c r="HC36" i="21"/>
  <c r="GH36" i="21"/>
  <c r="IP36" i="21"/>
  <c r="HU36" i="21"/>
  <c r="JJ23" i="21"/>
  <c r="JL23" i="21" s="1"/>
  <c r="IP23" i="21"/>
  <c r="HU23" i="21"/>
  <c r="IS33" i="20"/>
  <c r="HX33" i="20"/>
  <c r="JJ32" i="21"/>
  <c r="JN32" i="21" s="1"/>
  <c r="JZ32" i="21" s="1"/>
  <c r="KA32" i="21" s="1"/>
  <c r="GH32" i="21"/>
  <c r="HU32" i="21"/>
  <c r="IP32" i="21"/>
  <c r="HC32" i="21"/>
  <c r="IS27" i="20"/>
  <c r="HX27" i="20"/>
  <c r="JJ34" i="21"/>
  <c r="JL34" i="21" s="1"/>
  <c r="GH34" i="21"/>
  <c r="HC34" i="21"/>
  <c r="IP34" i="21"/>
  <c r="HU34" i="21"/>
  <c r="JJ28" i="21"/>
  <c r="JL28" i="21" s="1"/>
  <c r="IP28" i="21"/>
  <c r="HU28" i="21"/>
  <c r="IS29" i="20"/>
  <c r="HX29" i="20"/>
  <c r="JJ27" i="21"/>
  <c r="JL27" i="21" s="1"/>
  <c r="IP27" i="21"/>
  <c r="HU27" i="21"/>
  <c r="HX26" i="20"/>
  <c r="IS26" i="20"/>
  <c r="IS23" i="20"/>
  <c r="HX23" i="20"/>
  <c r="HU30" i="21"/>
  <c r="IP30" i="21"/>
  <c r="JJ22" i="21"/>
  <c r="JN22" i="21" s="1"/>
  <c r="IP22" i="21"/>
  <c r="HX28" i="20"/>
  <c r="IS28" i="20"/>
  <c r="IS31" i="20"/>
  <c r="HX31" i="20"/>
  <c r="IR32" i="20"/>
  <c r="HW32" i="20"/>
  <c r="HU29" i="21"/>
  <c r="IP29" i="21"/>
  <c r="JJ21" i="21"/>
  <c r="JL21" i="21" s="1"/>
  <c r="IP21" i="21"/>
  <c r="IP26" i="21"/>
  <c r="HU26" i="21"/>
  <c r="JJ35" i="21"/>
  <c r="JL35" i="21" s="1"/>
  <c r="IP35" i="21"/>
  <c r="HU35" i="21"/>
  <c r="GH35" i="21"/>
  <c r="HC35" i="21"/>
  <c r="HX32" i="20"/>
  <c r="IS32" i="20"/>
  <c r="MJ30" i="10"/>
  <c r="MM30" i="10" s="1"/>
  <c r="MJ18" i="10"/>
  <c r="MN18" i="10" s="1"/>
  <c r="MJ28" i="10"/>
  <c r="MN28" i="10" s="1"/>
  <c r="MJ34" i="10"/>
  <c r="MM34" i="10" s="1"/>
  <c r="MJ20" i="10"/>
  <c r="MM20" i="10" s="1"/>
  <c r="MH22" i="10"/>
  <c r="MI22" i="10" s="1"/>
  <c r="MJ36" i="10"/>
  <c r="MM36" i="10" s="1"/>
  <c r="MJ24" i="10"/>
  <c r="MM24" i="10" s="1"/>
  <c r="MM27" i="10"/>
  <c r="MN27" i="10"/>
  <c r="MM33" i="10"/>
  <c r="MN33" i="10"/>
  <c r="MM31" i="10"/>
  <c r="MN31" i="10"/>
  <c r="MM25" i="10"/>
  <c r="MN25" i="10"/>
  <c r="MM29" i="10"/>
  <c r="MN29" i="10"/>
  <c r="MM19" i="10"/>
  <c r="MN19" i="10"/>
  <c r="IC12" i="20"/>
  <c r="ID12" i="20" s="1"/>
  <c r="IC7" i="20"/>
  <c r="ID7" i="20" s="1"/>
  <c r="IC11" i="20"/>
  <c r="ID11" i="20" s="1"/>
  <c r="IC17" i="20"/>
  <c r="ID17" i="20" s="1"/>
  <c r="IC16" i="20"/>
  <c r="ID16" i="20" s="1"/>
  <c r="IC14" i="20"/>
  <c r="ID14" i="20" s="1"/>
  <c r="HH32" i="20"/>
  <c r="HI32" i="20" s="1"/>
  <c r="GM22" i="20"/>
  <c r="GN22" i="20" s="1"/>
  <c r="GM7" i="20"/>
  <c r="GN7" i="20" s="1"/>
  <c r="GM30" i="20"/>
  <c r="GN30" i="20" s="1"/>
  <c r="GM23" i="20"/>
  <c r="GN23" i="20" s="1"/>
  <c r="GM27" i="20"/>
  <c r="GN27" i="20" s="1"/>
  <c r="GM29" i="20"/>
  <c r="GN29" i="20" s="1"/>
  <c r="GM12" i="20"/>
  <c r="GN12" i="20" s="1"/>
  <c r="GM33" i="20"/>
  <c r="GN33" i="20" s="1"/>
  <c r="GM31" i="20"/>
  <c r="GN31" i="20" s="1"/>
  <c r="GM17" i="20"/>
  <c r="GN17" i="20" s="1"/>
  <c r="GM16" i="20"/>
  <c r="GN16" i="20" s="1"/>
  <c r="GM11" i="20"/>
  <c r="GN11" i="20" s="1"/>
  <c r="GM14" i="20"/>
  <c r="GN14" i="20" s="1"/>
  <c r="GM25" i="20"/>
  <c r="GN25" i="20" s="1"/>
  <c r="BM29" i="20"/>
  <c r="BN29" i="20" s="1"/>
  <c r="BM24" i="20"/>
  <c r="BN24" i="20" s="1"/>
  <c r="BM30" i="20"/>
  <c r="BN30" i="20" s="1"/>
  <c r="BM26" i="20"/>
  <c r="BN26" i="20" s="1"/>
  <c r="BM23" i="20"/>
  <c r="BN23" i="20" s="1"/>
  <c r="BM27" i="20"/>
  <c r="BN27" i="20" s="1"/>
  <c r="BM33" i="20"/>
  <c r="BN33" i="20" s="1"/>
  <c r="BM32" i="20"/>
  <c r="BN32" i="20" s="1"/>
  <c r="BM22" i="20"/>
  <c r="BN22" i="20" s="1"/>
  <c r="BM28" i="20"/>
  <c r="BN28" i="20" s="1"/>
  <c r="BM31" i="20"/>
  <c r="BN31" i="20" s="1"/>
  <c r="BM17" i="20"/>
  <c r="BN17" i="20" s="1"/>
  <c r="BM11" i="20"/>
  <c r="BN11" i="20" s="1"/>
  <c r="Q30" i="20"/>
  <c r="U30" i="20" s="1"/>
  <c r="Q22" i="20"/>
  <c r="V22" i="20" s="1"/>
  <c r="AK24" i="20"/>
  <c r="AL24" i="20" s="1"/>
  <c r="Q34" i="20"/>
  <c r="U34" i="20" s="1"/>
  <c r="AK32" i="20"/>
  <c r="AL32" i="20" s="1"/>
  <c r="AK36" i="20"/>
  <c r="AL36" i="20" s="1"/>
  <c r="AK20" i="20"/>
  <c r="AL20" i="20" s="1"/>
  <c r="Q16" i="20"/>
  <c r="U16" i="20" s="1"/>
  <c r="Q14" i="20"/>
  <c r="V14" i="20" s="1"/>
  <c r="AK34" i="20"/>
  <c r="AL34" i="20" s="1"/>
  <c r="AK26" i="20"/>
  <c r="AL26" i="20" s="1"/>
  <c r="Q7" i="20"/>
  <c r="V7" i="20" s="1"/>
  <c r="AM33" i="20"/>
  <c r="AK12" i="20"/>
  <c r="AL12" i="20" s="1"/>
  <c r="AK17" i="20"/>
  <c r="AL17" i="20" s="1"/>
  <c r="AK28" i="20"/>
  <c r="AL28" i="20" s="1"/>
  <c r="AK23" i="20"/>
  <c r="AL23" i="20" s="1"/>
  <c r="AK31" i="20"/>
  <c r="AL31" i="20" s="1"/>
  <c r="AK27" i="20"/>
  <c r="AL27" i="20" s="1"/>
  <c r="AM35" i="20"/>
  <c r="T14" i="20"/>
  <c r="O21" i="20"/>
  <c r="P21" i="20" s="1"/>
  <c r="O13" i="20"/>
  <c r="P13" i="20" s="1"/>
  <c r="O10" i="20"/>
  <c r="P10" i="20" s="1"/>
  <c r="O9" i="20"/>
  <c r="P9" i="20" s="1"/>
  <c r="Q23" i="20"/>
  <c r="Q27" i="20"/>
  <c r="O32" i="20"/>
  <c r="P32" i="20" s="1"/>
  <c r="O28" i="20"/>
  <c r="P28" i="20" s="1"/>
  <c r="O20" i="20"/>
  <c r="P20" i="20" s="1"/>
  <c r="O18" i="20"/>
  <c r="P18" i="20" s="1"/>
  <c r="O15" i="20"/>
  <c r="P15" i="20" s="1"/>
  <c r="Q11" i="20"/>
  <c r="V11" i="20" s="1"/>
  <c r="Q31" i="20"/>
  <c r="Q12" i="20"/>
  <c r="Q33" i="20"/>
  <c r="Q17" i="20"/>
  <c r="O26" i="20"/>
  <c r="P26" i="20" s="1"/>
  <c r="Q35" i="20"/>
  <c r="V35" i="20" s="1"/>
  <c r="W35" i="20" s="1"/>
  <c r="T7" i="20"/>
  <c r="O24" i="20"/>
  <c r="P24" i="20" s="1"/>
  <c r="O8" i="20"/>
  <c r="P8" i="20" s="1"/>
  <c r="O19" i="20"/>
  <c r="P19" i="20" s="1"/>
  <c r="Q25" i="20"/>
  <c r="Q29" i="20"/>
  <c r="V29" i="20" s="1"/>
  <c r="Q36" i="20"/>
  <c r="IC9" i="21"/>
  <c r="ID9" i="21" s="1"/>
  <c r="IC16" i="21"/>
  <c r="ID16" i="21" s="1"/>
  <c r="IC7" i="21"/>
  <c r="ID7" i="21" s="1"/>
  <c r="IC14" i="21"/>
  <c r="ID14" i="21" s="1"/>
  <c r="IC8" i="21"/>
  <c r="ID8" i="21" s="1"/>
  <c r="IC15" i="21"/>
  <c r="ID15" i="21" s="1"/>
  <c r="IC11" i="21"/>
  <c r="ID11" i="21" s="1"/>
  <c r="IC10" i="21"/>
  <c r="ID10" i="21" s="1"/>
  <c r="IC13" i="21"/>
  <c r="ID13" i="21" s="1"/>
  <c r="IC19" i="21"/>
  <c r="ID19" i="21" s="1"/>
  <c r="HH31" i="21"/>
  <c r="HI31" i="21" s="1"/>
  <c r="GM30" i="21"/>
  <c r="GN30" i="21" s="1"/>
  <c r="GM14" i="21"/>
  <c r="GN14" i="21" s="1"/>
  <c r="GM9" i="21"/>
  <c r="GN9" i="21" s="1"/>
  <c r="GM8" i="21"/>
  <c r="GN8" i="21" s="1"/>
  <c r="GM19" i="21"/>
  <c r="GN19" i="21" s="1"/>
  <c r="GM15" i="21"/>
  <c r="GN15" i="21" s="1"/>
  <c r="GM13" i="21"/>
  <c r="GN13" i="21" s="1"/>
  <c r="GM7" i="21"/>
  <c r="GN7" i="21" s="1"/>
  <c r="GM11" i="21"/>
  <c r="GN11" i="21" s="1"/>
  <c r="GM10" i="21"/>
  <c r="GN10" i="21" s="1"/>
  <c r="GM16" i="21"/>
  <c r="GN16" i="21" s="1"/>
  <c r="BM17" i="21"/>
  <c r="BN17" i="21" s="1"/>
  <c r="BM11" i="21"/>
  <c r="BN11" i="21" s="1"/>
  <c r="AM34" i="21"/>
  <c r="AR34" i="21" s="1"/>
  <c r="AS34" i="21" s="1"/>
  <c r="AM31" i="21"/>
  <c r="AR31" i="21" s="1"/>
  <c r="AS31" i="21" s="1"/>
  <c r="Q10" i="21"/>
  <c r="U10" i="21" s="1"/>
  <c r="AK32" i="21"/>
  <c r="AL32" i="21" s="1"/>
  <c r="AK12" i="21"/>
  <c r="AL12" i="21" s="1"/>
  <c r="AM33" i="21"/>
  <c r="AK26" i="21"/>
  <c r="AL26" i="21" s="1"/>
  <c r="AM35" i="21"/>
  <c r="AK24" i="21"/>
  <c r="AL24" i="21" s="1"/>
  <c r="AK13" i="21"/>
  <c r="AL13" i="21" s="1"/>
  <c r="Q32" i="21"/>
  <c r="V32" i="21" s="1"/>
  <c r="W32" i="21" s="1"/>
  <c r="AM36" i="21"/>
  <c r="Q7" i="21"/>
  <c r="V7" i="21" s="1"/>
  <c r="O20" i="21"/>
  <c r="P20" i="21" s="1"/>
  <c r="O18" i="21"/>
  <c r="P18" i="21" s="1"/>
  <c r="O28" i="21"/>
  <c r="P28" i="21" s="1"/>
  <c r="Q35" i="21"/>
  <c r="Q13" i="21"/>
  <c r="V13" i="21" s="1"/>
  <c r="W13" i="21" s="1"/>
  <c r="Q9" i="21"/>
  <c r="V9" i="21" s="1"/>
  <c r="O34" i="21"/>
  <c r="P34" i="21" s="1"/>
  <c r="O26" i="21"/>
  <c r="P26" i="21" s="1"/>
  <c r="O29" i="21"/>
  <c r="P29" i="21" s="1"/>
  <c r="O23" i="21"/>
  <c r="P23" i="21" s="1"/>
  <c r="O22" i="21"/>
  <c r="P22" i="21" s="1"/>
  <c r="O12" i="21"/>
  <c r="P12" i="21" s="1"/>
  <c r="O21" i="21"/>
  <c r="P21" i="21" s="1"/>
  <c r="O24" i="21"/>
  <c r="P24" i="21" s="1"/>
  <c r="Q15" i="21"/>
  <c r="Q11" i="21"/>
  <c r="Q36" i="21"/>
  <c r="Q8" i="21"/>
  <c r="V8" i="21" s="1"/>
  <c r="Q31" i="21"/>
  <c r="O27" i="21"/>
  <c r="P27" i="21" s="1"/>
  <c r="O33" i="21"/>
  <c r="P33" i="21" s="1"/>
  <c r="O25" i="21"/>
  <c r="P25" i="21" s="1"/>
  <c r="O17" i="21"/>
  <c r="P17" i="21" s="1"/>
  <c r="Q19" i="21"/>
  <c r="Q30" i="21"/>
  <c r="Q14" i="21"/>
  <c r="Q16" i="21"/>
  <c r="V16" i="21" s="1"/>
  <c r="LF25" i="10"/>
  <c r="LG25" i="10" s="1"/>
  <c r="LF24" i="10"/>
  <c r="LG24" i="10" s="1"/>
  <c r="LF31" i="10"/>
  <c r="LG31" i="10" s="1"/>
  <c r="LF28" i="10"/>
  <c r="LG28" i="10" s="1"/>
  <c r="LF30" i="10"/>
  <c r="LG30" i="10" s="1"/>
  <c r="LF35" i="10"/>
  <c r="LG35" i="10" s="1"/>
  <c r="LF33" i="10"/>
  <c r="LG33" i="10" s="1"/>
  <c r="LF27" i="10"/>
  <c r="LG27" i="10" s="1"/>
  <c r="LF26" i="10"/>
  <c r="LG26" i="10" s="1"/>
  <c r="LF32" i="10"/>
  <c r="LG32" i="10" s="1"/>
  <c r="LF36" i="10"/>
  <c r="LG36" i="10" s="1"/>
  <c r="LF34" i="10"/>
  <c r="LG34" i="10" s="1"/>
  <c r="LF29" i="10"/>
  <c r="LG29" i="10" s="1"/>
  <c r="HR34" i="10"/>
  <c r="HV34" i="10" s="1"/>
  <c r="HR35" i="10"/>
  <c r="HR36" i="10"/>
  <c r="BO33" i="10"/>
  <c r="BR33" i="10" s="1"/>
  <c r="GS35" i="10"/>
  <c r="GX35" i="10" s="1"/>
  <c r="GY35" i="10" s="1"/>
  <c r="GS34" i="10"/>
  <c r="GW34" i="10" s="1"/>
  <c r="BS14" i="10"/>
  <c r="CD14" i="10" s="1"/>
  <c r="CE14" i="10" s="1"/>
  <c r="BO27" i="10"/>
  <c r="BR27" i="10" s="1"/>
  <c r="GS33" i="10"/>
  <c r="GS36" i="10"/>
  <c r="BO23" i="10"/>
  <c r="BS23" i="10" s="1"/>
  <c r="BO29" i="10"/>
  <c r="BS29" i="10" s="1"/>
  <c r="BO35" i="10"/>
  <c r="BR35" i="10" s="1"/>
  <c r="BO19" i="10"/>
  <c r="BR19" i="10" s="1"/>
  <c r="BO31" i="10"/>
  <c r="BS31" i="10" s="1"/>
  <c r="BO15" i="10"/>
  <c r="BS15" i="10" s="1"/>
  <c r="BO25" i="10"/>
  <c r="BR25" i="10" s="1"/>
  <c r="BO17" i="10"/>
  <c r="BR17" i="10" s="1"/>
  <c r="BO36" i="10"/>
  <c r="BR36" i="10" s="1"/>
  <c r="BO21" i="10"/>
  <c r="BR21" i="10" s="1"/>
  <c r="BO24" i="10"/>
  <c r="BO34" i="10"/>
  <c r="BO22" i="10"/>
  <c r="BO32" i="10"/>
  <c r="BO28" i="10"/>
  <c r="BO26" i="10"/>
  <c r="BO30" i="10"/>
  <c r="BO20" i="10"/>
  <c r="BO16" i="10"/>
  <c r="BO18" i="10"/>
  <c r="ME16" i="10"/>
  <c r="ML16" i="10" s="1"/>
  <c r="MF16" i="10" s="1"/>
  <c r="MG16" i="10" s="1"/>
  <c r="MJ16" i="10" s="1"/>
  <c r="MK16" i="10"/>
  <c r="ME22" i="10"/>
  <c r="ML22" i="10" s="1"/>
  <c r="MF22" i="10" s="1"/>
  <c r="MG22" i="10" s="1"/>
  <c r="MK22" i="10"/>
  <c r="ME23" i="10"/>
  <c r="ML23" i="10" s="1"/>
  <c r="MF23" i="10" s="1"/>
  <c r="MG23" i="10" s="1"/>
  <c r="MJ23" i="10" s="1"/>
  <c r="MK23" i="10"/>
  <c r="JW11" i="21"/>
  <c r="KD11" i="21" s="1"/>
  <c r="JX11" i="21" s="1"/>
  <c r="JY11" i="21" s="1"/>
  <c r="KB11" i="21" s="1"/>
  <c r="KC11" i="21"/>
  <c r="ME15" i="10"/>
  <c r="ML15" i="10" s="1"/>
  <c r="MF15" i="10" s="1"/>
  <c r="MG15" i="10" s="1"/>
  <c r="MJ15" i="10" s="1"/>
  <c r="MK15" i="10"/>
  <c r="ME21" i="10"/>
  <c r="ML21" i="10" s="1"/>
  <c r="MF21" i="10" s="1"/>
  <c r="MG21" i="10" s="1"/>
  <c r="MJ21" i="10" s="1"/>
  <c r="MK21" i="10"/>
  <c r="ME17" i="10"/>
  <c r="ML17" i="10" s="1"/>
  <c r="MF17" i="10" s="1"/>
  <c r="MG17" i="10" s="1"/>
  <c r="MJ17" i="10" s="1"/>
  <c r="MK17" i="10"/>
  <c r="HZ11" i="20"/>
  <c r="IG11" i="20" s="1"/>
  <c r="IA11" i="20" s="1"/>
  <c r="IB11" i="20" s="1"/>
  <c r="IF11" i="20"/>
  <c r="IF12" i="20"/>
  <c r="HZ12" i="20"/>
  <c r="IG12" i="20" s="1"/>
  <c r="IA12" i="20" s="1"/>
  <c r="IB12" i="20" s="1"/>
  <c r="IF16" i="20"/>
  <c r="HZ16" i="20"/>
  <c r="IG16" i="20" s="1"/>
  <c r="IA16" i="20" s="1"/>
  <c r="IB16" i="20" s="1"/>
  <c r="IF14" i="20"/>
  <c r="HZ14" i="20"/>
  <c r="IG14" i="20" s="1"/>
  <c r="IA14" i="20" s="1"/>
  <c r="IB14" i="20" s="1"/>
  <c r="HZ17" i="20"/>
  <c r="IG17" i="20" s="1"/>
  <c r="IA17" i="20" s="1"/>
  <c r="IB17" i="20" s="1"/>
  <c r="IF17" i="20"/>
  <c r="HZ7" i="20"/>
  <c r="IG7" i="20" s="1"/>
  <c r="IA7" i="20" s="1"/>
  <c r="IB7" i="20" s="1"/>
  <c r="IF7" i="20"/>
  <c r="HK32" i="20"/>
  <c r="HE32" i="20"/>
  <c r="HL32" i="20" s="1"/>
  <c r="HF32" i="20" s="1"/>
  <c r="HG32" i="20" s="1"/>
  <c r="GP30" i="20"/>
  <c r="GJ30" i="20"/>
  <c r="GQ30" i="20" s="1"/>
  <c r="GK30" i="20" s="1"/>
  <c r="GL30" i="20" s="1"/>
  <c r="GP7" i="20"/>
  <c r="GJ7" i="20"/>
  <c r="GQ7" i="20" s="1"/>
  <c r="GK7" i="20" s="1"/>
  <c r="GL7" i="20" s="1"/>
  <c r="GP17" i="20"/>
  <c r="GJ17" i="20"/>
  <c r="GQ17" i="20" s="1"/>
  <c r="GK17" i="20" s="1"/>
  <c r="GL17" i="20" s="1"/>
  <c r="GP16" i="20"/>
  <c r="GJ16" i="20"/>
  <c r="GQ16" i="20" s="1"/>
  <c r="GK16" i="20" s="1"/>
  <c r="GL16" i="20" s="1"/>
  <c r="GP33" i="20"/>
  <c r="GJ33" i="20"/>
  <c r="GQ33" i="20" s="1"/>
  <c r="GK33" i="20" s="1"/>
  <c r="GL33" i="20" s="1"/>
  <c r="GP31" i="20"/>
  <c r="GJ31" i="20"/>
  <c r="GQ31" i="20" s="1"/>
  <c r="GK31" i="20" s="1"/>
  <c r="GL31" i="20" s="1"/>
  <c r="GP27" i="20"/>
  <c r="GJ27" i="20"/>
  <c r="GQ27" i="20" s="1"/>
  <c r="GK27" i="20" s="1"/>
  <c r="GL27" i="20" s="1"/>
  <c r="GP29" i="20"/>
  <c r="GJ29" i="20"/>
  <c r="GQ29" i="20" s="1"/>
  <c r="GK29" i="20" s="1"/>
  <c r="GL29" i="20" s="1"/>
  <c r="GP23" i="20"/>
  <c r="GJ23" i="20"/>
  <c r="GQ23" i="20" s="1"/>
  <c r="GK23" i="20" s="1"/>
  <c r="GL23" i="20" s="1"/>
  <c r="GP11" i="20"/>
  <c r="GJ11" i="20"/>
  <c r="GQ11" i="20" s="1"/>
  <c r="GK11" i="20" s="1"/>
  <c r="GL11" i="20" s="1"/>
  <c r="GP25" i="20"/>
  <c r="GJ25" i="20"/>
  <c r="GQ25" i="20" s="1"/>
  <c r="GK25" i="20" s="1"/>
  <c r="GL25" i="20" s="1"/>
  <c r="GP14" i="20"/>
  <c r="GJ14" i="20"/>
  <c r="GQ14" i="20" s="1"/>
  <c r="GK14" i="20" s="1"/>
  <c r="GL14" i="20" s="1"/>
  <c r="GP12" i="20"/>
  <c r="GJ12" i="20"/>
  <c r="GQ12" i="20" s="1"/>
  <c r="GK12" i="20" s="1"/>
  <c r="GL12" i="20" s="1"/>
  <c r="GP22" i="20"/>
  <c r="GJ22" i="20"/>
  <c r="GQ22" i="20" s="1"/>
  <c r="GK22" i="20" s="1"/>
  <c r="GL22" i="20" s="1"/>
  <c r="BP22" i="20"/>
  <c r="BJ22" i="20"/>
  <c r="BQ22" i="20" s="1"/>
  <c r="BK22" i="20" s="1"/>
  <c r="BL22" i="20" s="1"/>
  <c r="BP30" i="20"/>
  <c r="BJ30" i="20"/>
  <c r="BQ30" i="20" s="1"/>
  <c r="BK30" i="20" s="1"/>
  <c r="BL30" i="20" s="1"/>
  <c r="BP24" i="20"/>
  <c r="BJ24" i="20"/>
  <c r="BQ24" i="20" s="1"/>
  <c r="BK24" i="20" s="1"/>
  <c r="BL24" i="20" s="1"/>
  <c r="BP32" i="20"/>
  <c r="BJ32" i="20"/>
  <c r="BQ32" i="20" s="1"/>
  <c r="BK32" i="20" s="1"/>
  <c r="BL32" i="20" s="1"/>
  <c r="BP26" i="20"/>
  <c r="BJ26" i="20"/>
  <c r="BQ26" i="20" s="1"/>
  <c r="BK26" i="20" s="1"/>
  <c r="BL26" i="20" s="1"/>
  <c r="BJ23" i="20"/>
  <c r="BQ23" i="20" s="1"/>
  <c r="BK23" i="20" s="1"/>
  <c r="BL23" i="20" s="1"/>
  <c r="BP23" i="20"/>
  <c r="BJ27" i="20"/>
  <c r="BQ27" i="20" s="1"/>
  <c r="BK27" i="20" s="1"/>
  <c r="BL27" i="20" s="1"/>
  <c r="BP27" i="20"/>
  <c r="BP28" i="20"/>
  <c r="BJ28" i="20"/>
  <c r="BQ28" i="20" s="1"/>
  <c r="BK28" i="20" s="1"/>
  <c r="BL28" i="20" s="1"/>
  <c r="BP31" i="20"/>
  <c r="BJ31" i="20"/>
  <c r="BQ31" i="20" s="1"/>
  <c r="BK31" i="20" s="1"/>
  <c r="BL31" i="20" s="1"/>
  <c r="BP29" i="20"/>
  <c r="BJ29" i="20"/>
  <c r="BQ29" i="20" s="1"/>
  <c r="BK29" i="20" s="1"/>
  <c r="BL29" i="20" s="1"/>
  <c r="BJ33" i="20"/>
  <c r="BQ33" i="20" s="1"/>
  <c r="BK33" i="20" s="1"/>
  <c r="BL33" i="20" s="1"/>
  <c r="BP33" i="20"/>
  <c r="BP17" i="20"/>
  <c r="BJ17" i="20"/>
  <c r="BQ17" i="20" s="1"/>
  <c r="BK17" i="20" s="1"/>
  <c r="BL17" i="20" s="1"/>
  <c r="BP11" i="20"/>
  <c r="BJ11" i="20"/>
  <c r="BQ11" i="20" s="1"/>
  <c r="BK11" i="20" s="1"/>
  <c r="BL11" i="20" s="1"/>
  <c r="IS12" i="20"/>
  <c r="AN12" i="20"/>
  <c r="AH12" i="20"/>
  <c r="AO12" i="20" s="1"/>
  <c r="AI12" i="20" s="1"/>
  <c r="AJ12" i="20" s="1"/>
  <c r="AN20" i="20"/>
  <c r="AH20" i="20"/>
  <c r="AO20" i="20" s="1"/>
  <c r="AI20" i="20" s="1"/>
  <c r="AJ20" i="20" s="1"/>
  <c r="HC17" i="20"/>
  <c r="AH17" i="20"/>
  <c r="AO17" i="20" s="1"/>
  <c r="AI17" i="20" s="1"/>
  <c r="AJ17" i="20" s="1"/>
  <c r="AN17" i="20"/>
  <c r="AN28" i="20"/>
  <c r="AH28" i="20"/>
  <c r="AO28" i="20" s="1"/>
  <c r="AI28" i="20" s="1"/>
  <c r="AJ28" i="20" s="1"/>
  <c r="AN34" i="20"/>
  <c r="AH34" i="20"/>
  <c r="AO34" i="20" s="1"/>
  <c r="AI34" i="20" s="1"/>
  <c r="AJ34" i="20" s="1"/>
  <c r="AN26" i="20"/>
  <c r="AH26" i="20"/>
  <c r="AO26" i="20" s="1"/>
  <c r="AI26" i="20" s="1"/>
  <c r="AJ26" i="20" s="1"/>
  <c r="AN24" i="20"/>
  <c r="AH24" i="20"/>
  <c r="AO24" i="20" s="1"/>
  <c r="AI24" i="20" s="1"/>
  <c r="AJ24" i="20" s="1"/>
  <c r="AN32" i="20"/>
  <c r="AH32" i="20"/>
  <c r="AO32" i="20" s="1"/>
  <c r="AI32" i="20" s="1"/>
  <c r="AJ32" i="20" s="1"/>
  <c r="AN36" i="20"/>
  <c r="AH36" i="20"/>
  <c r="AO36" i="20" s="1"/>
  <c r="AI36" i="20" s="1"/>
  <c r="AJ36" i="20" s="1"/>
  <c r="AH23" i="20"/>
  <c r="AO23" i="20" s="1"/>
  <c r="AI23" i="20" s="1"/>
  <c r="AJ23" i="20" s="1"/>
  <c r="AN23" i="20"/>
  <c r="AH31" i="20"/>
  <c r="AO31" i="20" s="1"/>
  <c r="AI31" i="20" s="1"/>
  <c r="AJ31" i="20" s="1"/>
  <c r="AN31" i="20"/>
  <c r="HC27" i="20"/>
  <c r="AH27" i="20"/>
  <c r="AO27" i="20" s="1"/>
  <c r="AI27" i="20" s="1"/>
  <c r="AJ27" i="20" s="1"/>
  <c r="AN27" i="20"/>
  <c r="R28" i="20"/>
  <c r="L28" i="20"/>
  <c r="S28" i="20" s="1"/>
  <c r="M28" i="20" s="1"/>
  <c r="N28" i="20" s="1"/>
  <c r="HX21" i="20"/>
  <c r="L21" i="20"/>
  <c r="S21" i="20" s="1"/>
  <c r="M21" i="20" s="1"/>
  <c r="N21" i="20" s="1"/>
  <c r="R21" i="20"/>
  <c r="HX20" i="20"/>
  <c r="R20" i="20"/>
  <c r="L20" i="20"/>
  <c r="S20" i="20" s="1"/>
  <c r="M20" i="20" s="1"/>
  <c r="N20" i="20" s="1"/>
  <c r="HX10" i="20"/>
  <c r="R10" i="20"/>
  <c r="L10" i="20"/>
  <c r="S10" i="20" s="1"/>
  <c r="M10" i="20" s="1"/>
  <c r="N10" i="20" s="1"/>
  <c r="HX19" i="20"/>
  <c r="R19" i="20"/>
  <c r="L19" i="20"/>
  <c r="S19" i="20" s="1"/>
  <c r="M19" i="20" s="1"/>
  <c r="N19" i="20" s="1"/>
  <c r="GH26" i="20"/>
  <c r="R26" i="20"/>
  <c r="L26" i="20"/>
  <c r="S26" i="20" s="1"/>
  <c r="M26" i="20" s="1"/>
  <c r="N26" i="20" s="1"/>
  <c r="R9" i="20"/>
  <c r="L9" i="20"/>
  <c r="S9" i="20" s="1"/>
  <c r="M9" i="20" s="1"/>
  <c r="N9" i="20" s="1"/>
  <c r="GH32" i="20"/>
  <c r="R32" i="20"/>
  <c r="L32" i="20"/>
  <c r="S32" i="20" s="1"/>
  <c r="M32" i="20" s="1"/>
  <c r="N32" i="20" s="1"/>
  <c r="HX13" i="20"/>
  <c r="L13" i="20"/>
  <c r="S13" i="20" s="1"/>
  <c r="M13" i="20" s="1"/>
  <c r="N13" i="20" s="1"/>
  <c r="R13" i="20"/>
  <c r="R24" i="20"/>
  <c r="L24" i="20"/>
  <c r="S24" i="20" s="1"/>
  <c r="M24" i="20" s="1"/>
  <c r="N24" i="20" s="1"/>
  <c r="HX8" i="20"/>
  <c r="R8" i="20"/>
  <c r="L8" i="20"/>
  <c r="S8" i="20" s="1"/>
  <c r="M8" i="20" s="1"/>
  <c r="N8" i="20" s="1"/>
  <c r="R18" i="20"/>
  <c r="L18" i="20"/>
  <c r="S18" i="20" s="1"/>
  <c r="M18" i="20" s="1"/>
  <c r="N18" i="20" s="1"/>
  <c r="HX15" i="20"/>
  <c r="R15" i="20"/>
  <c r="L15" i="20"/>
  <c r="S15" i="20" s="1"/>
  <c r="M15" i="20" s="1"/>
  <c r="N15" i="20" s="1"/>
  <c r="IF8" i="21"/>
  <c r="HZ8" i="21"/>
  <c r="IG8" i="21" s="1"/>
  <c r="IA8" i="21" s="1"/>
  <c r="IB8" i="21" s="1"/>
  <c r="IF7" i="21"/>
  <c r="HZ7" i="21"/>
  <c r="IG7" i="21" s="1"/>
  <c r="IA7" i="21" s="1"/>
  <c r="IB7" i="21" s="1"/>
  <c r="IF14" i="21"/>
  <c r="HZ14" i="21"/>
  <c r="IG14" i="21" s="1"/>
  <c r="IA14" i="21" s="1"/>
  <c r="IB14" i="21" s="1"/>
  <c r="IF10" i="21"/>
  <c r="HZ10" i="21"/>
  <c r="IG10" i="21" s="1"/>
  <c r="IA10" i="21" s="1"/>
  <c r="IB10" i="21" s="1"/>
  <c r="IF9" i="21"/>
  <c r="HZ9" i="21"/>
  <c r="IG9" i="21" s="1"/>
  <c r="IA9" i="21" s="1"/>
  <c r="IB9" i="21" s="1"/>
  <c r="IF16" i="21"/>
  <c r="HZ16" i="21"/>
  <c r="IG16" i="21" s="1"/>
  <c r="IA16" i="21" s="1"/>
  <c r="IB16" i="21" s="1"/>
  <c r="IF15" i="21"/>
  <c r="HZ15" i="21"/>
  <c r="IG15" i="21" s="1"/>
  <c r="IA15" i="21" s="1"/>
  <c r="IB15" i="21" s="1"/>
  <c r="IF11" i="21"/>
  <c r="HZ11" i="21"/>
  <c r="IG11" i="21" s="1"/>
  <c r="IA11" i="21" s="1"/>
  <c r="IB11" i="21" s="1"/>
  <c r="IF13" i="21"/>
  <c r="HZ13" i="21"/>
  <c r="IG13" i="21" s="1"/>
  <c r="IA13" i="21" s="1"/>
  <c r="IB13" i="21" s="1"/>
  <c r="IF19" i="21"/>
  <c r="HZ19" i="21"/>
  <c r="IG19" i="21" s="1"/>
  <c r="IA19" i="21" s="1"/>
  <c r="IB19" i="21" s="1"/>
  <c r="HE31" i="21"/>
  <c r="HL31" i="21" s="1"/>
  <c r="HF31" i="21" s="1"/>
  <c r="HG31" i="21" s="1"/>
  <c r="HK31" i="21"/>
  <c r="GP11" i="21"/>
  <c r="GJ11" i="21"/>
  <c r="GQ11" i="21" s="1"/>
  <c r="GK11" i="21" s="1"/>
  <c r="GL11" i="21" s="1"/>
  <c r="GP10" i="21"/>
  <c r="GJ10" i="21"/>
  <c r="GQ10" i="21" s="1"/>
  <c r="GK10" i="21" s="1"/>
  <c r="GL10" i="21" s="1"/>
  <c r="GP19" i="21"/>
  <c r="GJ19" i="21"/>
  <c r="GQ19" i="21" s="1"/>
  <c r="GK19" i="21" s="1"/>
  <c r="GL19" i="21" s="1"/>
  <c r="GP15" i="21"/>
  <c r="GJ15" i="21"/>
  <c r="GQ15" i="21" s="1"/>
  <c r="GK15" i="21" s="1"/>
  <c r="GL15" i="21" s="1"/>
  <c r="GP7" i="21"/>
  <c r="GJ7" i="21"/>
  <c r="GQ7" i="21" s="1"/>
  <c r="GK7" i="21" s="1"/>
  <c r="GL7" i="21" s="1"/>
  <c r="GP13" i="21"/>
  <c r="GJ13" i="21"/>
  <c r="GQ13" i="21" s="1"/>
  <c r="GK13" i="21" s="1"/>
  <c r="GL13" i="21" s="1"/>
  <c r="GP16" i="21"/>
  <c r="GJ16" i="21"/>
  <c r="GQ16" i="21" s="1"/>
  <c r="GK16" i="21" s="1"/>
  <c r="GL16" i="21" s="1"/>
  <c r="GP30" i="21"/>
  <c r="GJ30" i="21"/>
  <c r="GQ30" i="21" s="1"/>
  <c r="GK30" i="21" s="1"/>
  <c r="GL30" i="21" s="1"/>
  <c r="GP14" i="21"/>
  <c r="GJ14" i="21"/>
  <c r="GQ14" i="21" s="1"/>
  <c r="GK14" i="21" s="1"/>
  <c r="GL14" i="21" s="1"/>
  <c r="GP9" i="21"/>
  <c r="GJ9" i="21"/>
  <c r="GQ9" i="21" s="1"/>
  <c r="GK9" i="21" s="1"/>
  <c r="GL9" i="21" s="1"/>
  <c r="GP8" i="21"/>
  <c r="GJ8" i="21"/>
  <c r="GQ8" i="21" s="1"/>
  <c r="GK8" i="21" s="1"/>
  <c r="GL8" i="21" s="1"/>
  <c r="BP11" i="21"/>
  <c r="BJ11" i="21"/>
  <c r="BQ11" i="21" s="1"/>
  <c r="BK11" i="21" s="1"/>
  <c r="BL11" i="21" s="1"/>
  <c r="BP17" i="21"/>
  <c r="BJ17" i="21"/>
  <c r="BQ17" i="21" s="1"/>
  <c r="BK17" i="21" s="1"/>
  <c r="BL17" i="21" s="1"/>
  <c r="HC26" i="21"/>
  <c r="AN26" i="21"/>
  <c r="AH26" i="21"/>
  <c r="AO26" i="21" s="1"/>
  <c r="AI26" i="21" s="1"/>
  <c r="AJ26" i="21" s="1"/>
  <c r="IS12" i="21"/>
  <c r="AN12" i="21"/>
  <c r="AH12" i="21"/>
  <c r="AO12" i="21" s="1"/>
  <c r="AI12" i="21" s="1"/>
  <c r="AJ12" i="21" s="1"/>
  <c r="HC24" i="21"/>
  <c r="AN24" i="21"/>
  <c r="AH24" i="21"/>
  <c r="AO24" i="21" s="1"/>
  <c r="AI24" i="21" s="1"/>
  <c r="AJ24" i="21" s="1"/>
  <c r="AN32" i="21"/>
  <c r="AH32" i="21"/>
  <c r="AO32" i="21" s="1"/>
  <c r="AI32" i="21" s="1"/>
  <c r="AJ32" i="21" s="1"/>
  <c r="IS13" i="21"/>
  <c r="AH13" i="21"/>
  <c r="AO13" i="21" s="1"/>
  <c r="AI13" i="21" s="1"/>
  <c r="AJ13" i="21" s="1"/>
  <c r="AN13" i="21"/>
  <c r="HW17" i="21"/>
  <c r="R29" i="21"/>
  <c r="L29" i="21"/>
  <c r="S29" i="21" s="1"/>
  <c r="M29" i="21" s="1"/>
  <c r="N29" i="21" s="1"/>
  <c r="HX22" i="21"/>
  <c r="R22" i="21"/>
  <c r="L22" i="21"/>
  <c r="S22" i="21" s="1"/>
  <c r="M22" i="21" s="1"/>
  <c r="N22" i="21" s="1"/>
  <c r="HX18" i="21"/>
  <c r="R18" i="21"/>
  <c r="L18" i="21"/>
  <c r="S18" i="21" s="1"/>
  <c r="M18" i="21" s="1"/>
  <c r="N18" i="21" s="1"/>
  <c r="R28" i="21"/>
  <c r="L28" i="21"/>
  <c r="S28" i="21" s="1"/>
  <c r="M28" i="21" s="1"/>
  <c r="N28" i="21" s="1"/>
  <c r="R25" i="21"/>
  <c r="L25" i="21"/>
  <c r="S25" i="21" s="1"/>
  <c r="M25" i="21" s="1"/>
  <c r="N25" i="21" s="1"/>
  <c r="R17" i="21"/>
  <c r="L17" i="21"/>
  <c r="S17" i="21" s="1"/>
  <c r="M17" i="21" s="1"/>
  <c r="N17" i="21" s="1"/>
  <c r="HX21" i="21"/>
  <c r="R21" i="21"/>
  <c r="L21" i="21"/>
  <c r="S21" i="21" s="1"/>
  <c r="M21" i="21" s="1"/>
  <c r="N21" i="21" s="1"/>
  <c r="R24" i="21"/>
  <c r="L24" i="21"/>
  <c r="S24" i="21" s="1"/>
  <c r="M24" i="21" s="1"/>
  <c r="N24" i="21" s="1"/>
  <c r="R34" i="21"/>
  <c r="L34" i="21"/>
  <c r="S34" i="21" s="1"/>
  <c r="M34" i="21" s="1"/>
  <c r="N34" i="21" s="1"/>
  <c r="R33" i="21"/>
  <c r="L33" i="21"/>
  <c r="S33" i="21" s="1"/>
  <c r="M33" i="21" s="1"/>
  <c r="N33" i="21" s="1"/>
  <c r="R27" i="21"/>
  <c r="L27" i="21"/>
  <c r="S27" i="21" s="1"/>
  <c r="M27" i="21" s="1"/>
  <c r="N27" i="21" s="1"/>
  <c r="R23" i="21"/>
  <c r="L23" i="21"/>
  <c r="S23" i="21" s="1"/>
  <c r="M23" i="21" s="1"/>
  <c r="N23" i="21" s="1"/>
  <c r="HX20" i="21"/>
  <c r="R20" i="21"/>
  <c r="L20" i="21"/>
  <c r="S20" i="21" s="1"/>
  <c r="M20" i="21" s="1"/>
  <c r="N20" i="21" s="1"/>
  <c r="HX12" i="21"/>
  <c r="R12" i="21"/>
  <c r="L12" i="21"/>
  <c r="S12" i="21" s="1"/>
  <c r="M12" i="21" s="1"/>
  <c r="N12" i="21" s="1"/>
  <c r="R26" i="21"/>
  <c r="L26" i="21"/>
  <c r="S26" i="21" s="1"/>
  <c r="M26" i="21" s="1"/>
  <c r="N26" i="21" s="1"/>
  <c r="LC32" i="10"/>
  <c r="LJ32" i="10" s="1"/>
  <c r="LD32" i="10" s="1"/>
  <c r="LE32" i="10" s="1"/>
  <c r="LI32" i="10"/>
  <c r="LI34" i="10"/>
  <c r="LC34" i="10"/>
  <c r="LJ34" i="10" s="1"/>
  <c r="LD34" i="10" s="1"/>
  <c r="LE34" i="10" s="1"/>
  <c r="LI29" i="10"/>
  <c r="LC29" i="10"/>
  <c r="LJ29" i="10" s="1"/>
  <c r="LD29" i="10" s="1"/>
  <c r="LE29" i="10" s="1"/>
  <c r="LI25" i="10"/>
  <c r="LC25" i="10"/>
  <c r="LJ25" i="10" s="1"/>
  <c r="LD25" i="10" s="1"/>
  <c r="LE25" i="10" s="1"/>
  <c r="LC24" i="10"/>
  <c r="LJ24" i="10" s="1"/>
  <c r="LD24" i="10" s="1"/>
  <c r="LE24" i="10" s="1"/>
  <c r="LI24" i="10"/>
  <c r="LI28" i="10"/>
  <c r="LC28" i="10"/>
  <c r="LJ28" i="10" s="1"/>
  <c r="LD28" i="10" s="1"/>
  <c r="LE28" i="10" s="1"/>
  <c r="LI26" i="10"/>
  <c r="LC26" i="10"/>
  <c r="LJ26" i="10" s="1"/>
  <c r="LD26" i="10" s="1"/>
  <c r="LE26" i="10" s="1"/>
  <c r="LC30" i="10"/>
  <c r="LJ30" i="10" s="1"/>
  <c r="LD30" i="10" s="1"/>
  <c r="LE30" i="10" s="1"/>
  <c r="LI30" i="10"/>
  <c r="LI36" i="10"/>
  <c r="LC36" i="10"/>
  <c r="LJ36" i="10" s="1"/>
  <c r="LD36" i="10" s="1"/>
  <c r="LE36" i="10" s="1"/>
  <c r="LI31" i="10"/>
  <c r="LC31" i="10"/>
  <c r="LJ31" i="10" s="1"/>
  <c r="LD31" i="10" s="1"/>
  <c r="LE31" i="10" s="1"/>
  <c r="LC35" i="10"/>
  <c r="LJ35" i="10" s="1"/>
  <c r="LD35" i="10" s="1"/>
  <c r="LE35" i="10" s="1"/>
  <c r="LI35" i="10"/>
  <c r="LI33" i="10"/>
  <c r="LC33" i="10"/>
  <c r="LJ33" i="10" s="1"/>
  <c r="LD33" i="10" s="1"/>
  <c r="LE33" i="10" s="1"/>
  <c r="LC27" i="10"/>
  <c r="LJ27" i="10" s="1"/>
  <c r="LD27" i="10" s="1"/>
  <c r="LE27" i="10" s="1"/>
  <c r="LI27" i="10"/>
  <c r="EU11" i="20"/>
  <c r="FO11" i="20" s="1"/>
  <c r="FP11" i="20" s="1"/>
  <c r="FQ11" i="20" s="1"/>
  <c r="BA25" i="21"/>
  <c r="JJ25" i="21"/>
  <c r="BA29" i="21"/>
  <c r="JJ29" i="21"/>
  <c r="JN21" i="21"/>
  <c r="JZ21" i="21" s="1"/>
  <c r="KA21" i="21" s="1"/>
  <c r="BA26" i="21"/>
  <c r="JJ26" i="21"/>
  <c r="JN27" i="21"/>
  <c r="JS17" i="18"/>
  <c r="JT17" i="18" s="1"/>
  <c r="JV17" i="18" s="1"/>
  <c r="CB18" i="18"/>
  <c r="BY19" i="18" s="1"/>
  <c r="BZ19" i="18" s="1"/>
  <c r="CA19" i="18" s="1"/>
  <c r="CC19" i="18" s="1"/>
  <c r="BA31" i="21"/>
  <c r="JJ31" i="21"/>
  <c r="BA30" i="21"/>
  <c r="JJ30" i="21"/>
  <c r="JN18" i="21"/>
  <c r="JL18" i="21"/>
  <c r="BA20" i="21"/>
  <c r="JJ20" i="21"/>
  <c r="JL19" i="21"/>
  <c r="JN19" i="21"/>
  <c r="JL17" i="21"/>
  <c r="JN17" i="21"/>
  <c r="JZ17" i="21" s="1"/>
  <c r="KA17" i="21" s="1"/>
  <c r="JN11" i="20"/>
  <c r="JZ11" i="20" s="1"/>
  <c r="KA11" i="20" s="1"/>
  <c r="JL11" i="20"/>
  <c r="MC16" i="10"/>
  <c r="JR16" i="20"/>
  <c r="JS16" i="20" s="1"/>
  <c r="JT16" i="20" s="1"/>
  <c r="JV16" i="20" s="1"/>
  <c r="KG16" i="20" s="1"/>
  <c r="KH16" i="20" s="1"/>
  <c r="EO12" i="20"/>
  <c r="ET12" i="20" s="1"/>
  <c r="JJ12" i="20"/>
  <c r="BA24" i="21"/>
  <c r="JJ24" i="21"/>
  <c r="JL33" i="21"/>
  <c r="BA12" i="21"/>
  <c r="JJ12" i="21"/>
  <c r="JS18" i="21"/>
  <c r="JT18" i="21" s="1"/>
  <c r="JV18" i="21" s="1"/>
  <c r="BH17" i="18"/>
  <c r="BE18" i="18" s="1"/>
  <c r="BF18" i="18" s="1"/>
  <c r="BG18" i="18" s="1"/>
  <c r="BI18" i="18" s="1"/>
  <c r="DC14" i="21"/>
  <c r="DD14" i="18"/>
  <c r="DE14" i="18" s="1"/>
  <c r="BZ15" i="10"/>
  <c r="DG14" i="10"/>
  <c r="KI21" i="10"/>
  <c r="P21" i="25" s="1"/>
  <c r="H406" i="31" s="1"/>
  <c r="DP11" i="21"/>
  <c r="EA11" i="21"/>
  <c r="EN16" i="20"/>
  <c r="DF14" i="10"/>
  <c r="DC15" i="10" s="1"/>
  <c r="DD15" i="10" s="1"/>
  <c r="CC19" i="21"/>
  <c r="CB19" i="21"/>
  <c r="AW13" i="21"/>
  <c r="AY13" i="21" s="1"/>
  <c r="BA34" i="21"/>
  <c r="EO18" i="21"/>
  <c r="ET18" i="21" s="1"/>
  <c r="BA18" i="21"/>
  <c r="BA21" i="21"/>
  <c r="BA35" i="21"/>
  <c r="BA32" i="21"/>
  <c r="EO12" i="21"/>
  <c r="EU12" i="21" s="1"/>
  <c r="EO23" i="21"/>
  <c r="BA23" i="21"/>
  <c r="EO19" i="21"/>
  <c r="ET19" i="21" s="1"/>
  <c r="BA19" i="21"/>
  <c r="AY27" i="21"/>
  <c r="BA27" i="21"/>
  <c r="BA33" i="21"/>
  <c r="BA36" i="21"/>
  <c r="GH24" i="21"/>
  <c r="AY12" i="21"/>
  <c r="EO28" i="21"/>
  <c r="BA28" i="21"/>
  <c r="BA22" i="21"/>
  <c r="GG12" i="21"/>
  <c r="BF18" i="21"/>
  <c r="BG18" i="21" s="1"/>
  <c r="AG30" i="21"/>
  <c r="HD30" i="21" s="1"/>
  <c r="AY19" i="21"/>
  <c r="HC13" i="21"/>
  <c r="AE33" i="21"/>
  <c r="AE26" i="21"/>
  <c r="HB26" i="21" s="1"/>
  <c r="GH28" i="21"/>
  <c r="GZ26" i="21"/>
  <c r="HA27" i="21"/>
  <c r="HA11" i="21"/>
  <c r="AY18" i="21"/>
  <c r="AE21" i="21"/>
  <c r="HB21" i="21" s="1"/>
  <c r="FB17" i="20"/>
  <c r="FD17" i="20" s="1"/>
  <c r="FE17" i="20" s="1"/>
  <c r="FF17" i="20" s="1"/>
  <c r="FG17" i="20" s="1"/>
  <c r="FK17" i="20"/>
  <c r="FS17" i="20"/>
  <c r="BH16" i="20"/>
  <c r="BE17" i="20" s="1"/>
  <c r="BF17" i="20" s="1"/>
  <c r="BG17" i="20" s="1"/>
  <c r="BI17" i="20" s="1"/>
  <c r="BA12" i="20"/>
  <c r="EA11" i="20"/>
  <c r="DZ11" i="20" s="1"/>
  <c r="DP11" i="20"/>
  <c r="DO11" i="20" s="1"/>
  <c r="DD14" i="20"/>
  <c r="BZ16" i="20"/>
  <c r="CA16" i="20" s="1"/>
  <c r="CC16" i="20" s="1"/>
  <c r="CD16" i="20" s="1"/>
  <c r="CE16" i="20" s="1"/>
  <c r="IS17" i="20"/>
  <c r="AE28" i="20"/>
  <c r="HB28" i="20" s="1"/>
  <c r="BA25" i="20"/>
  <c r="BA35" i="20"/>
  <c r="BA18" i="20"/>
  <c r="BA34" i="20"/>
  <c r="BA36" i="20"/>
  <c r="GZ28" i="20"/>
  <c r="BA20" i="20"/>
  <c r="IS20" i="20" s="1"/>
  <c r="BA21" i="20"/>
  <c r="IS21" i="20" s="1"/>
  <c r="BA19" i="20"/>
  <c r="IS19" i="20" s="1"/>
  <c r="GG7" i="20"/>
  <c r="GH9" i="20"/>
  <c r="GI12" i="20"/>
  <c r="AG30" i="20"/>
  <c r="HD30" i="20" s="1"/>
  <c r="GZ27" i="20"/>
  <c r="AE33" i="20"/>
  <c r="AY25" i="20"/>
  <c r="GI17" i="20"/>
  <c r="HA11" i="20"/>
  <c r="HW17" i="20"/>
  <c r="HW9" i="20"/>
  <c r="AE35" i="20"/>
  <c r="GH15" i="20"/>
  <c r="GH19" i="20"/>
  <c r="GZ20" i="20"/>
  <c r="GH26" i="21"/>
  <c r="HA22" i="21"/>
  <c r="AF25" i="21"/>
  <c r="AE27" i="20"/>
  <c r="HB27" i="20" s="1"/>
  <c r="AG27" i="20"/>
  <c r="AE26" i="20"/>
  <c r="HB26" i="20" s="1"/>
  <c r="AG23" i="21"/>
  <c r="HD23" i="21" s="1"/>
  <c r="GH21" i="21"/>
  <c r="AG20" i="21"/>
  <c r="HD20" i="21" s="1"/>
  <c r="AE31" i="20"/>
  <c r="AY20" i="20"/>
  <c r="IR20" i="20" s="1"/>
  <c r="AG26" i="20"/>
  <c r="HD26" i="20" s="1"/>
  <c r="AG11" i="20"/>
  <c r="HD11" i="20" s="1"/>
  <c r="AY21" i="20"/>
  <c r="IR21" i="20" s="1"/>
  <c r="HA14" i="20"/>
  <c r="GG18" i="20"/>
  <c r="HW18" i="20"/>
  <c r="GG20" i="20"/>
  <c r="HW20" i="20"/>
  <c r="HY7" i="20"/>
  <c r="GI7" i="20"/>
  <c r="GG19" i="20"/>
  <c r="HW19" i="20"/>
  <c r="GI21" i="20"/>
  <c r="HY21" i="20"/>
  <c r="GI19" i="20"/>
  <c r="HY19" i="20"/>
  <c r="HA13" i="20"/>
  <c r="IQ13" i="20"/>
  <c r="GG8" i="20"/>
  <c r="HW8" i="20"/>
  <c r="GI18" i="20"/>
  <c r="HY18" i="20"/>
  <c r="GG15" i="20"/>
  <c r="HW15" i="20"/>
  <c r="GG21" i="20"/>
  <c r="HW21" i="20"/>
  <c r="HD13" i="20"/>
  <c r="IT13" i="20"/>
  <c r="GG10" i="20"/>
  <c r="HW10" i="20"/>
  <c r="GI20" i="20"/>
  <c r="HY20" i="20"/>
  <c r="AE17" i="20"/>
  <c r="HB17" i="20" s="1"/>
  <c r="IQ17" i="20"/>
  <c r="AG14" i="20"/>
  <c r="GG11" i="20"/>
  <c r="HW11" i="20"/>
  <c r="GI13" i="20"/>
  <c r="HY13" i="20"/>
  <c r="HX18" i="20"/>
  <c r="GH18" i="20"/>
  <c r="GI16" i="20"/>
  <c r="HY16" i="20"/>
  <c r="GI14" i="20"/>
  <c r="HY14" i="20"/>
  <c r="HX9" i="20"/>
  <c r="AE24" i="21"/>
  <c r="HB24" i="21" s="1"/>
  <c r="EO27" i="21"/>
  <c r="AE17" i="21"/>
  <c r="HB17" i="21" s="1"/>
  <c r="AG12" i="21"/>
  <c r="IT12" i="21" s="1"/>
  <c r="GG19" i="21"/>
  <c r="HW19" i="21"/>
  <c r="GG11" i="21"/>
  <c r="HW11" i="21"/>
  <c r="GI11" i="21"/>
  <c r="HY11" i="21"/>
  <c r="GI21" i="21"/>
  <c r="HY21" i="21"/>
  <c r="GI15" i="21"/>
  <c r="HY15" i="21"/>
  <c r="GZ20" i="21"/>
  <c r="AF20" i="21"/>
  <c r="GI16" i="21"/>
  <c r="HY16" i="21"/>
  <c r="GI7" i="21"/>
  <c r="HY7" i="21"/>
  <c r="GI10" i="21"/>
  <c r="HY10" i="21"/>
  <c r="HA18" i="21"/>
  <c r="IQ18" i="21"/>
  <c r="GZ24" i="21"/>
  <c r="AE13" i="21"/>
  <c r="HB13" i="21" s="1"/>
  <c r="IQ13" i="21"/>
  <c r="GG10" i="21"/>
  <c r="HW10" i="21"/>
  <c r="GZ17" i="21"/>
  <c r="AG11" i="21"/>
  <c r="AY20" i="21"/>
  <c r="IR20" i="21" s="1"/>
  <c r="GI20" i="21"/>
  <c r="HY20" i="21"/>
  <c r="AG18" i="21"/>
  <c r="HA12" i="21"/>
  <c r="GZ21" i="21"/>
  <c r="AF21" i="21"/>
  <c r="IP19" i="21"/>
  <c r="AF19" i="21"/>
  <c r="GG16" i="21"/>
  <c r="HW16" i="21"/>
  <c r="GG9" i="21"/>
  <c r="HW9" i="21"/>
  <c r="GI19" i="21"/>
  <c r="HY19" i="21"/>
  <c r="GG22" i="21"/>
  <c r="HW22" i="21"/>
  <c r="GG21" i="21"/>
  <c r="HW21" i="21"/>
  <c r="GH17" i="21"/>
  <c r="HX17" i="21"/>
  <c r="GI8" i="21"/>
  <c r="HY8" i="21"/>
  <c r="HY13" i="21"/>
  <c r="GI13" i="21"/>
  <c r="AF11" i="21"/>
  <c r="IP11" i="21"/>
  <c r="GI9" i="21"/>
  <c r="HY9" i="21"/>
  <c r="AY28" i="21"/>
  <c r="AE20" i="21"/>
  <c r="HB20" i="21" s="1"/>
  <c r="AE19" i="21"/>
  <c r="GG8" i="21"/>
  <c r="HW8" i="21"/>
  <c r="AE11" i="21"/>
  <c r="GG18" i="21"/>
  <c r="HW18" i="21"/>
  <c r="AF17" i="21"/>
  <c r="AY23" i="21"/>
  <c r="GI22" i="21"/>
  <c r="HY22" i="21"/>
  <c r="AE12" i="21"/>
  <c r="HB12" i="21" s="1"/>
  <c r="GG20" i="21"/>
  <c r="HW20" i="21"/>
  <c r="HD16" i="21"/>
  <c r="IT16" i="21"/>
  <c r="GF10" i="18"/>
  <c r="GF8" i="18"/>
  <c r="HV8" i="18"/>
  <c r="GF9" i="18"/>
  <c r="HV9" i="18"/>
  <c r="GF7" i="18"/>
  <c r="HV7" i="18"/>
  <c r="GJ8" i="10"/>
  <c r="ID8" i="10"/>
  <c r="GJ7" i="10"/>
  <c r="ID7" i="10"/>
  <c r="AC7" i="20"/>
  <c r="AC7" i="21"/>
  <c r="GJ10" i="10"/>
  <c r="GJ9" i="10"/>
  <c r="ID9" i="10"/>
  <c r="GG22" i="20"/>
  <c r="GG23" i="20"/>
  <c r="GG16" i="20"/>
  <c r="HW16" i="20"/>
  <c r="GG14" i="20"/>
  <c r="HW14" i="20"/>
  <c r="GG13" i="20"/>
  <c r="HW13" i="20"/>
  <c r="GG12" i="20"/>
  <c r="HW12" i="20"/>
  <c r="GG7" i="21"/>
  <c r="HW7" i="21"/>
  <c r="GG23" i="21"/>
  <c r="GG15" i="21"/>
  <c r="HW15" i="21"/>
  <c r="GG14" i="21"/>
  <c r="HW14" i="21"/>
  <c r="GG13" i="21"/>
  <c r="HW13" i="21"/>
  <c r="AE20" i="20"/>
  <c r="GI22" i="20"/>
  <c r="AG20" i="20"/>
  <c r="HD20" i="20" s="1"/>
  <c r="HA16" i="20"/>
  <c r="AG16" i="20"/>
  <c r="GI11" i="20"/>
  <c r="AY24" i="20"/>
  <c r="AY18" i="20"/>
  <c r="AY19" i="20"/>
  <c r="IR19" i="20" s="1"/>
  <c r="EO20" i="21"/>
  <c r="IS20" i="21" s="1"/>
  <c r="AY22" i="21"/>
  <c r="IR22" i="21" s="1"/>
  <c r="EO22" i="21"/>
  <c r="IS22" i="21" s="1"/>
  <c r="GZ25" i="21"/>
  <c r="EU17" i="21"/>
  <c r="ET17" i="21"/>
  <c r="FL7" i="21"/>
  <c r="FU7" i="21"/>
  <c r="FC7" i="21"/>
  <c r="EO26" i="21"/>
  <c r="AY26" i="21"/>
  <c r="GH25" i="21"/>
  <c r="GH12" i="21"/>
  <c r="EI9" i="21"/>
  <c r="GH22" i="21"/>
  <c r="AF18" i="21"/>
  <c r="AE18" i="21"/>
  <c r="GZ18" i="21"/>
  <c r="HA14" i="21"/>
  <c r="AG14" i="21"/>
  <c r="EO31" i="21"/>
  <c r="AY31" i="21"/>
  <c r="AF16" i="21"/>
  <c r="GZ16" i="21"/>
  <c r="AE16" i="21"/>
  <c r="AF15" i="21"/>
  <c r="GZ15" i="21"/>
  <c r="AE15" i="21"/>
  <c r="AG26" i="21"/>
  <c r="HA26" i="21"/>
  <c r="AG19" i="21"/>
  <c r="IT19" i="21" s="1"/>
  <c r="HA19" i="21"/>
  <c r="GH18" i="21"/>
  <c r="FJ7" i="21"/>
  <c r="EJ8" i="21"/>
  <c r="FS7" i="21"/>
  <c r="FA7" i="21"/>
  <c r="GZ28" i="21"/>
  <c r="AF28" i="21"/>
  <c r="AE28" i="21"/>
  <c r="HB28" i="21" s="1"/>
  <c r="AG35" i="21"/>
  <c r="AE35" i="21"/>
  <c r="HA28" i="21"/>
  <c r="AG28" i="21"/>
  <c r="HD28" i="21" s="1"/>
  <c r="AY21" i="21"/>
  <c r="IR21" i="21" s="1"/>
  <c r="EO21" i="21"/>
  <c r="IS21" i="21" s="1"/>
  <c r="AY24" i="21"/>
  <c r="EO24" i="21"/>
  <c r="AY33" i="21"/>
  <c r="EO33" i="21"/>
  <c r="AY36" i="21"/>
  <c r="EO36" i="21"/>
  <c r="HA17" i="21"/>
  <c r="AG17" i="21"/>
  <c r="AG13" i="21"/>
  <c r="IT13" i="21" s="1"/>
  <c r="HA13" i="21"/>
  <c r="GH27" i="21"/>
  <c r="GH23" i="21"/>
  <c r="ET11" i="21"/>
  <c r="EU11" i="21"/>
  <c r="GZ22" i="21"/>
  <c r="AE22" i="21"/>
  <c r="HB22" i="21" s="1"/>
  <c r="AF22" i="21"/>
  <c r="GI14" i="21"/>
  <c r="GH29" i="21"/>
  <c r="EO35" i="21"/>
  <c r="AY35" i="21"/>
  <c r="GZ30" i="21"/>
  <c r="AF30" i="21"/>
  <c r="AE30" i="21"/>
  <c r="HB30" i="21" s="1"/>
  <c r="EO32" i="21"/>
  <c r="AY32" i="21"/>
  <c r="HD24" i="21"/>
  <c r="AG29" i="21"/>
  <c r="HD29" i="21" s="1"/>
  <c r="HA29" i="21"/>
  <c r="GZ29" i="21"/>
  <c r="AF29" i="21"/>
  <c r="AE29" i="21"/>
  <c r="HB29" i="21" s="1"/>
  <c r="AY25" i="21"/>
  <c r="EO25" i="21"/>
  <c r="EO29" i="21"/>
  <c r="AY29" i="21"/>
  <c r="AY30" i="21"/>
  <c r="EO30" i="21"/>
  <c r="EO34" i="21"/>
  <c r="AY34" i="21"/>
  <c r="GZ27" i="21"/>
  <c r="AF27" i="21"/>
  <c r="AE27" i="21"/>
  <c r="HB27" i="21" s="1"/>
  <c r="AF23" i="21"/>
  <c r="GZ23" i="21"/>
  <c r="AE23" i="21"/>
  <c r="HB23" i="21" s="1"/>
  <c r="GI17" i="21"/>
  <c r="AG15" i="21"/>
  <c r="HA15" i="21"/>
  <c r="GI26" i="21"/>
  <c r="GH20" i="21"/>
  <c r="AF14" i="21"/>
  <c r="GZ14" i="21"/>
  <c r="AE14" i="21"/>
  <c r="HC12" i="21"/>
  <c r="AG21" i="21"/>
  <c r="HA21" i="21"/>
  <c r="FT7" i="21"/>
  <c r="FB7" i="21"/>
  <c r="FK7" i="21"/>
  <c r="EM19" i="21"/>
  <c r="HC24" i="20"/>
  <c r="GZ25" i="20"/>
  <c r="AF25" i="20"/>
  <c r="AE25" i="20"/>
  <c r="HB25" i="20" s="1"/>
  <c r="AY28" i="20"/>
  <c r="AY31" i="20"/>
  <c r="C45" i="24"/>
  <c r="AY35" i="20"/>
  <c r="GH28" i="20"/>
  <c r="AF16" i="20"/>
  <c r="GZ16" i="20"/>
  <c r="AE16" i="20"/>
  <c r="GH20" i="20"/>
  <c r="GH13" i="20"/>
  <c r="GH10" i="20"/>
  <c r="AY26" i="20"/>
  <c r="AY22" i="20"/>
  <c r="AY29" i="20"/>
  <c r="AY34" i="20"/>
  <c r="GH24" i="20"/>
  <c r="AF21" i="20"/>
  <c r="GZ21" i="20"/>
  <c r="AE21" i="20"/>
  <c r="HB21" i="20" s="1"/>
  <c r="GZ29" i="20"/>
  <c r="AE29" i="20"/>
  <c r="HB29" i="20" s="1"/>
  <c r="AF29" i="20"/>
  <c r="HC26" i="20"/>
  <c r="HA18" i="20"/>
  <c r="AG18" i="20"/>
  <c r="AW13" i="20"/>
  <c r="AY12" i="20"/>
  <c r="AG21" i="20"/>
  <c r="HD21" i="20" s="1"/>
  <c r="HA21" i="20"/>
  <c r="GI25" i="20"/>
  <c r="AG15" i="20"/>
  <c r="HA15" i="20"/>
  <c r="GH8" i="20"/>
  <c r="HA23" i="20"/>
  <c r="AG23" i="20"/>
  <c r="HD23" i="20" s="1"/>
  <c r="AF22" i="20"/>
  <c r="GZ22" i="20"/>
  <c r="AE22" i="20"/>
  <c r="HB22" i="20" s="1"/>
  <c r="AY30" i="20"/>
  <c r="AY36" i="20"/>
  <c r="GH21" i="20"/>
  <c r="AE23" i="20"/>
  <c r="HB23" i="20" s="1"/>
  <c r="GZ19" i="20"/>
  <c r="AE19" i="20"/>
  <c r="AF19" i="20"/>
  <c r="AG12" i="20"/>
  <c r="HA12" i="20"/>
  <c r="AF11" i="20"/>
  <c r="GZ11" i="20"/>
  <c r="AE11" i="20"/>
  <c r="HC28" i="20"/>
  <c r="GI15" i="20"/>
  <c r="AG25" i="20"/>
  <c r="HD25" i="20" s="1"/>
  <c r="HA25" i="20"/>
  <c r="HC20" i="20"/>
  <c r="HC12" i="20"/>
  <c r="AF30" i="20"/>
  <c r="AE30" i="20"/>
  <c r="HB30" i="20" s="1"/>
  <c r="GZ30" i="20"/>
  <c r="AY23" i="20"/>
  <c r="AY27" i="20"/>
  <c r="AY33" i="20"/>
  <c r="AG17" i="20"/>
  <c r="IT17" i="20" s="1"/>
  <c r="HA17" i="20"/>
  <c r="AF15" i="20"/>
  <c r="GZ15" i="20"/>
  <c r="AE15" i="20"/>
  <c r="HC23" i="20"/>
  <c r="AF18" i="20"/>
  <c r="GZ18" i="20"/>
  <c r="AE18" i="20"/>
  <c r="AE14" i="20"/>
  <c r="AF14" i="20"/>
  <c r="GZ14" i="20"/>
  <c r="GZ13" i="20"/>
  <c r="AF13" i="20"/>
  <c r="AE13" i="20"/>
  <c r="AE12" i="20"/>
  <c r="MM35" i="10" l="1"/>
  <c r="MN36" i="10"/>
  <c r="MN35" i="10"/>
  <c r="JN36" i="21"/>
  <c r="JZ36" i="21" s="1"/>
  <c r="KA36" i="21" s="1"/>
  <c r="JN35" i="21"/>
  <c r="JZ35" i="21" s="1"/>
  <c r="KA35" i="21" s="1"/>
  <c r="MN24" i="10"/>
  <c r="MJ32" i="10"/>
  <c r="MM32" i="10" s="1"/>
  <c r="JL22" i="21"/>
  <c r="MM18" i="10"/>
  <c r="MN26" i="10"/>
  <c r="MN20" i="10"/>
  <c r="JN28" i="21"/>
  <c r="JZ28" i="21" s="1"/>
  <c r="KA28" i="21" s="1"/>
  <c r="JL32" i="21"/>
  <c r="MM26" i="10"/>
  <c r="JN23" i="21"/>
  <c r="JZ23" i="21" s="1"/>
  <c r="KA23" i="21" s="1"/>
  <c r="IS29" i="21"/>
  <c r="HX29" i="21"/>
  <c r="IS31" i="21"/>
  <c r="HX31" i="21"/>
  <c r="HW27" i="20"/>
  <c r="IR27" i="20"/>
  <c r="IR22" i="20"/>
  <c r="HW22" i="20"/>
  <c r="IR28" i="20"/>
  <c r="HW28" i="20"/>
  <c r="HX30" i="21"/>
  <c r="IS30" i="21"/>
  <c r="HX25" i="21"/>
  <c r="IS25" i="21"/>
  <c r="IR32" i="21"/>
  <c r="HW32" i="21"/>
  <c r="IS36" i="21"/>
  <c r="HX36" i="21"/>
  <c r="IS24" i="21"/>
  <c r="HX24" i="21"/>
  <c r="HW28" i="21"/>
  <c r="IR28" i="21"/>
  <c r="IS35" i="20"/>
  <c r="HX35" i="20"/>
  <c r="IS28" i="21"/>
  <c r="HX28" i="21"/>
  <c r="HZ28" i="21" s="1"/>
  <c r="IG28" i="21" s="1"/>
  <c r="IA28" i="21" s="1"/>
  <c r="IB28" i="21" s="1"/>
  <c r="JN34" i="21"/>
  <c r="JZ34" i="21" s="1"/>
  <c r="KA34" i="21" s="1"/>
  <c r="MN30" i="10"/>
  <c r="HW33" i="20"/>
  <c r="IR33" i="20"/>
  <c r="HW29" i="20"/>
  <c r="IR29" i="20"/>
  <c r="IR33" i="21"/>
  <c r="HW33" i="21"/>
  <c r="IR23" i="21"/>
  <c r="HW23" i="21"/>
  <c r="IS27" i="21"/>
  <c r="HX27" i="21"/>
  <c r="HZ27" i="21" s="1"/>
  <c r="IG27" i="21" s="1"/>
  <c r="IA27" i="21" s="1"/>
  <c r="IB27" i="21" s="1"/>
  <c r="HW35" i="20"/>
  <c r="IR35" i="20"/>
  <c r="IR25" i="21"/>
  <c r="HW25" i="21"/>
  <c r="HW35" i="21"/>
  <c r="IR35" i="21"/>
  <c r="IS25" i="20"/>
  <c r="HX25" i="20"/>
  <c r="HW31" i="20"/>
  <c r="IR31" i="20"/>
  <c r="HX34" i="21"/>
  <c r="IS34" i="21"/>
  <c r="HW23" i="20"/>
  <c r="IR23" i="20"/>
  <c r="IR36" i="20"/>
  <c r="HW36" i="20"/>
  <c r="IR26" i="20"/>
  <c r="HW26" i="20"/>
  <c r="IR30" i="21"/>
  <c r="HW30" i="21"/>
  <c r="IS32" i="21"/>
  <c r="HX32" i="21"/>
  <c r="HW36" i="21"/>
  <c r="IR36" i="21"/>
  <c r="IR24" i="21"/>
  <c r="HW24" i="21"/>
  <c r="HW26" i="21"/>
  <c r="IR26" i="21"/>
  <c r="HX36" i="20"/>
  <c r="IS36" i="20"/>
  <c r="IR30" i="20"/>
  <c r="HW30" i="20"/>
  <c r="IR34" i="20"/>
  <c r="HW34" i="20"/>
  <c r="HW34" i="21"/>
  <c r="IR34" i="21"/>
  <c r="IR29" i="21"/>
  <c r="HW29" i="21"/>
  <c r="HX35" i="21"/>
  <c r="IS35" i="21"/>
  <c r="HX33" i="21"/>
  <c r="IS33" i="21"/>
  <c r="HW31" i="21"/>
  <c r="IR31" i="21"/>
  <c r="HX26" i="21"/>
  <c r="IS26" i="21"/>
  <c r="IR24" i="20"/>
  <c r="HW24" i="20"/>
  <c r="HW25" i="20"/>
  <c r="IR25" i="20"/>
  <c r="HX34" i="20"/>
  <c r="IS34" i="20"/>
  <c r="HW27" i="21"/>
  <c r="IR27" i="21"/>
  <c r="ET23" i="21"/>
  <c r="IS23" i="21"/>
  <c r="HX23" i="21"/>
  <c r="GV35" i="10"/>
  <c r="MN34" i="10"/>
  <c r="JZ19" i="21"/>
  <c r="KA19" i="21" s="1"/>
  <c r="JZ27" i="21"/>
  <c r="KA27" i="21" s="1"/>
  <c r="JZ22" i="21"/>
  <c r="KA22" i="21" s="1"/>
  <c r="JZ18" i="21"/>
  <c r="KA18" i="21" s="1"/>
  <c r="MM28" i="10"/>
  <c r="LH35" i="10"/>
  <c r="LK35" i="10" s="1"/>
  <c r="MJ22" i="10"/>
  <c r="MM22" i="10" s="1"/>
  <c r="MM21" i="10"/>
  <c r="MN21" i="10"/>
  <c r="KE11" i="21"/>
  <c r="KF11" i="21"/>
  <c r="KG11" i="21" s="1"/>
  <c r="KH11" i="21" s="1"/>
  <c r="KI11" i="21" s="1"/>
  <c r="P11" i="29" s="1"/>
  <c r="H1686" i="31" s="1"/>
  <c r="MM17" i="10"/>
  <c r="MN17" i="10"/>
  <c r="MM15" i="10"/>
  <c r="MN15" i="10"/>
  <c r="MO15" i="10" s="1"/>
  <c r="MP15" i="10" s="1"/>
  <c r="MM23" i="10"/>
  <c r="MN23" i="10"/>
  <c r="MN16" i="10"/>
  <c r="MO16" i="10" s="1"/>
  <c r="MP16" i="10" s="1"/>
  <c r="MM16" i="10"/>
  <c r="IX31" i="20"/>
  <c r="IY31" i="20" s="1"/>
  <c r="IX26" i="20"/>
  <c r="IY26" i="20" s="1"/>
  <c r="IX29" i="20"/>
  <c r="IY29" i="20" s="1"/>
  <c r="IX12" i="20"/>
  <c r="IY12" i="20" s="1"/>
  <c r="IX33" i="20"/>
  <c r="IY33" i="20" s="1"/>
  <c r="IX30" i="20"/>
  <c r="IY30" i="20" s="1"/>
  <c r="IX22" i="20"/>
  <c r="IY22" i="20" s="1"/>
  <c r="IX24" i="20"/>
  <c r="IY24" i="20" s="1"/>
  <c r="IX28" i="20"/>
  <c r="IY28" i="20" s="1"/>
  <c r="IX23" i="20"/>
  <c r="IY23" i="20" s="1"/>
  <c r="IX32" i="20"/>
  <c r="IY32" i="20" s="1"/>
  <c r="IX17" i="20"/>
  <c r="IY17" i="20" s="1"/>
  <c r="IX27" i="20"/>
  <c r="IY27" i="20" s="1"/>
  <c r="IE14" i="20"/>
  <c r="IJ14" i="20" s="1"/>
  <c r="IK14" i="20" s="1"/>
  <c r="IE11" i="20"/>
  <c r="IJ11" i="20" s="1"/>
  <c r="IK11" i="20" s="1"/>
  <c r="IC27" i="20"/>
  <c r="ID27" i="20" s="1"/>
  <c r="IC13" i="20"/>
  <c r="ID13" i="20" s="1"/>
  <c r="IC21" i="20"/>
  <c r="ID21" i="20" s="1"/>
  <c r="IE16" i="20"/>
  <c r="IJ16" i="20" s="1"/>
  <c r="IK16" i="20" s="1"/>
  <c r="IC30" i="20"/>
  <c r="ID30" i="20" s="1"/>
  <c r="IC26" i="20"/>
  <c r="ID26" i="20" s="1"/>
  <c r="IC33" i="20"/>
  <c r="ID33" i="20" s="1"/>
  <c r="IC20" i="20"/>
  <c r="ID20" i="20" s="1"/>
  <c r="IE17" i="20"/>
  <c r="IC31" i="20"/>
  <c r="ID31" i="20" s="1"/>
  <c r="IC22" i="20"/>
  <c r="ID22" i="20" s="1"/>
  <c r="IC8" i="20"/>
  <c r="ID8" i="20" s="1"/>
  <c r="IC19" i="20"/>
  <c r="ID19" i="20" s="1"/>
  <c r="IC9" i="20"/>
  <c r="ID9" i="20" s="1"/>
  <c r="IC18" i="20"/>
  <c r="ID18" i="20" s="1"/>
  <c r="IC24" i="20"/>
  <c r="ID24" i="20" s="1"/>
  <c r="IC28" i="20"/>
  <c r="ID28" i="20" s="1"/>
  <c r="IC29" i="20"/>
  <c r="ID29" i="20" s="1"/>
  <c r="IC23" i="20"/>
  <c r="ID23" i="20" s="1"/>
  <c r="IC32" i="20"/>
  <c r="ID32" i="20" s="1"/>
  <c r="IC15" i="20"/>
  <c r="ID15" i="20" s="1"/>
  <c r="IC10" i="20"/>
  <c r="ID10" i="20" s="1"/>
  <c r="IE12" i="20"/>
  <c r="IE7" i="20"/>
  <c r="T22" i="20"/>
  <c r="GO27" i="20"/>
  <c r="GT27" i="20" s="1"/>
  <c r="GU27" i="20" s="1"/>
  <c r="HH28" i="20"/>
  <c r="HI28" i="20" s="1"/>
  <c r="HH26" i="20"/>
  <c r="HI26" i="20" s="1"/>
  <c r="HH36" i="20"/>
  <c r="HI36" i="20" s="1"/>
  <c r="HH27" i="20"/>
  <c r="HI27" i="20" s="1"/>
  <c r="HH24" i="20"/>
  <c r="HI24" i="20" s="1"/>
  <c r="HH35" i="20"/>
  <c r="HI35" i="20" s="1"/>
  <c r="GO25" i="20"/>
  <c r="GT25" i="20" s="1"/>
  <c r="GU25" i="20" s="1"/>
  <c r="GO16" i="20"/>
  <c r="GT16" i="20" s="1"/>
  <c r="GU16" i="20" s="1"/>
  <c r="GO12" i="20"/>
  <c r="GS12" i="20" s="1"/>
  <c r="GO30" i="20"/>
  <c r="GS30" i="20" s="1"/>
  <c r="HJ32" i="20"/>
  <c r="HH20" i="20"/>
  <c r="HI20" i="20" s="1"/>
  <c r="HH17" i="20"/>
  <c r="HI17" i="20" s="1"/>
  <c r="HH33" i="20"/>
  <c r="HI33" i="20" s="1"/>
  <c r="GO22" i="20"/>
  <c r="GT22" i="20" s="1"/>
  <c r="GU22" i="20" s="1"/>
  <c r="HH23" i="20"/>
  <c r="HI23" i="20" s="1"/>
  <c r="HH12" i="20"/>
  <c r="HI12" i="20" s="1"/>
  <c r="HH31" i="20"/>
  <c r="HI31" i="20" s="1"/>
  <c r="HH34" i="20"/>
  <c r="HI34" i="20" s="1"/>
  <c r="GM24" i="20"/>
  <c r="GN24" i="20" s="1"/>
  <c r="GM34" i="20"/>
  <c r="GN34" i="20" s="1"/>
  <c r="GM10" i="20"/>
  <c r="GN10" i="20" s="1"/>
  <c r="GM26" i="20"/>
  <c r="GN26" i="20" s="1"/>
  <c r="BO28" i="20"/>
  <c r="BR28" i="20" s="1"/>
  <c r="BO27" i="20"/>
  <c r="BR27" i="20" s="1"/>
  <c r="GO11" i="20"/>
  <c r="GO31" i="20"/>
  <c r="GM13" i="20"/>
  <c r="GN13" i="20" s="1"/>
  <c r="GM18" i="20"/>
  <c r="GN18" i="20" s="1"/>
  <c r="GM15" i="20"/>
  <c r="GN15" i="20" s="1"/>
  <c r="GM36" i="20"/>
  <c r="GN36" i="20" s="1"/>
  <c r="BO31" i="20"/>
  <c r="BR31" i="20" s="1"/>
  <c r="GO14" i="20"/>
  <c r="GO17" i="20"/>
  <c r="GO33" i="20"/>
  <c r="GO29" i="20"/>
  <c r="GM9" i="20"/>
  <c r="GN9" i="20" s="1"/>
  <c r="GM32" i="20"/>
  <c r="GN32" i="20" s="1"/>
  <c r="GM21" i="20"/>
  <c r="GN21" i="20" s="1"/>
  <c r="GM8" i="20"/>
  <c r="GN8" i="20" s="1"/>
  <c r="GM20" i="20"/>
  <c r="GN20" i="20" s="1"/>
  <c r="GM28" i="20"/>
  <c r="GN28" i="20" s="1"/>
  <c r="GM19" i="20"/>
  <c r="GN19" i="20" s="1"/>
  <c r="GM35" i="20"/>
  <c r="GN35" i="20" s="1"/>
  <c r="U22" i="20"/>
  <c r="GO23" i="20"/>
  <c r="GO7" i="20"/>
  <c r="BO22" i="20"/>
  <c r="BR22" i="20" s="1"/>
  <c r="BO11" i="20"/>
  <c r="BR11" i="20" s="1"/>
  <c r="T30" i="20"/>
  <c r="U7" i="20"/>
  <c r="V30" i="20"/>
  <c r="W30" i="20" s="1"/>
  <c r="BO23" i="20"/>
  <c r="BS23" i="20" s="1"/>
  <c r="BO29" i="20"/>
  <c r="BO32" i="20"/>
  <c r="BO30" i="20"/>
  <c r="BM25" i="20"/>
  <c r="BN25" i="20" s="1"/>
  <c r="BM36" i="20"/>
  <c r="BN36" i="20" s="1"/>
  <c r="BM18" i="20"/>
  <c r="BN18" i="20" s="1"/>
  <c r="BO24" i="20"/>
  <c r="T16" i="20"/>
  <c r="BO26" i="20"/>
  <c r="BM34" i="20"/>
  <c r="BN34" i="20" s="1"/>
  <c r="BO17" i="20"/>
  <c r="BM21" i="20"/>
  <c r="BN21" i="20" s="1"/>
  <c r="BM19" i="20"/>
  <c r="BN19" i="20" s="1"/>
  <c r="BM20" i="20"/>
  <c r="BN20" i="20" s="1"/>
  <c r="BM35" i="20"/>
  <c r="BN35" i="20" s="1"/>
  <c r="BM12" i="20"/>
  <c r="BN12" i="20" s="1"/>
  <c r="BO33" i="20"/>
  <c r="T34" i="20"/>
  <c r="AM27" i="20"/>
  <c r="AR27" i="20" s="1"/>
  <c r="AS27" i="20" s="1"/>
  <c r="AM17" i="20"/>
  <c r="AP17" i="20" s="1"/>
  <c r="AM34" i="20"/>
  <c r="AR34" i="20" s="1"/>
  <c r="AS34" i="20" s="1"/>
  <c r="AM24" i="20"/>
  <c r="AP24" i="20" s="1"/>
  <c r="U14" i="20"/>
  <c r="AM23" i="20"/>
  <c r="AP23" i="20" s="1"/>
  <c r="AM36" i="20"/>
  <c r="AR36" i="20" s="1"/>
  <c r="AS36" i="20" s="1"/>
  <c r="AK14" i="20"/>
  <c r="AL14" i="20" s="1"/>
  <c r="AK18" i="20"/>
  <c r="AL18" i="20" s="1"/>
  <c r="AK30" i="20"/>
  <c r="AL30" i="20" s="1"/>
  <c r="AK19" i="20"/>
  <c r="AL19" i="20" s="1"/>
  <c r="AK21" i="20"/>
  <c r="AL21" i="20" s="1"/>
  <c r="AP27" i="20"/>
  <c r="AK13" i="20"/>
  <c r="AL13" i="20" s="1"/>
  <c r="AK11" i="20"/>
  <c r="AL11" i="20" s="1"/>
  <c r="AK22" i="20"/>
  <c r="AL22" i="20" s="1"/>
  <c r="Q20" i="20"/>
  <c r="T20" i="20" s="1"/>
  <c r="V34" i="20"/>
  <c r="W34" i="20" s="1"/>
  <c r="AM26" i="20"/>
  <c r="V16" i="20"/>
  <c r="AK25" i="20"/>
  <c r="AL25" i="20" s="1"/>
  <c r="AK29" i="20"/>
  <c r="AL29" i="20" s="1"/>
  <c r="AK16" i="20"/>
  <c r="AL16" i="20" s="1"/>
  <c r="Q9" i="20"/>
  <c r="U9" i="20" s="1"/>
  <c r="Q21" i="20"/>
  <c r="V21" i="20" s="1"/>
  <c r="AM12" i="20"/>
  <c r="AM20" i="20"/>
  <c r="AR20" i="20" s="1"/>
  <c r="AM32" i="20"/>
  <c r="AK15" i="20"/>
  <c r="AL15" i="20" s="1"/>
  <c r="Q18" i="20"/>
  <c r="U18" i="20" s="1"/>
  <c r="AP35" i="20"/>
  <c r="AQ35" i="20"/>
  <c r="AR35" i="20"/>
  <c r="AS35" i="20" s="1"/>
  <c r="AM31" i="20"/>
  <c r="AM28" i="20"/>
  <c r="AQ33" i="20"/>
  <c r="AP33" i="20"/>
  <c r="AR33" i="20"/>
  <c r="AS33" i="20" s="1"/>
  <c r="T31" i="20"/>
  <c r="U31" i="20"/>
  <c r="T27" i="20"/>
  <c r="U27" i="20"/>
  <c r="V27" i="20"/>
  <c r="Q10" i="20"/>
  <c r="U25" i="20"/>
  <c r="T25" i="20"/>
  <c r="Q8" i="20"/>
  <c r="T35" i="20"/>
  <c r="U35" i="20"/>
  <c r="U17" i="20"/>
  <c r="T17" i="20"/>
  <c r="V17" i="20"/>
  <c r="T11" i="20"/>
  <c r="U11" i="20"/>
  <c r="Q32" i="20"/>
  <c r="T23" i="20"/>
  <c r="U23" i="20"/>
  <c r="V23" i="20"/>
  <c r="W23" i="20" s="1"/>
  <c r="V31" i="20"/>
  <c r="W31" i="20" s="1"/>
  <c r="Q15" i="20"/>
  <c r="T36" i="20"/>
  <c r="U36" i="20"/>
  <c r="V36" i="20"/>
  <c r="W36" i="20" s="1"/>
  <c r="Q26" i="20"/>
  <c r="U33" i="20"/>
  <c r="T33" i="20"/>
  <c r="Q19" i="20"/>
  <c r="U29" i="20"/>
  <c r="T29" i="20"/>
  <c r="Q24" i="20"/>
  <c r="T12" i="20"/>
  <c r="U12" i="20"/>
  <c r="Q28" i="20"/>
  <c r="V12" i="20"/>
  <c r="W12" i="20" s="1"/>
  <c r="Q13" i="20"/>
  <c r="V33" i="20"/>
  <c r="W33" i="20" s="1"/>
  <c r="V25" i="20"/>
  <c r="W25" i="20" s="1"/>
  <c r="IX13" i="21"/>
  <c r="IY13" i="21" s="1"/>
  <c r="IX12" i="21"/>
  <c r="IY12" i="21" s="1"/>
  <c r="IX21" i="21"/>
  <c r="IY21" i="21" s="1"/>
  <c r="IX22" i="21"/>
  <c r="IY22" i="21" s="1"/>
  <c r="IE14" i="21"/>
  <c r="IH14" i="21" s="1"/>
  <c r="IE10" i="21"/>
  <c r="II10" i="21" s="1"/>
  <c r="IE11" i="21"/>
  <c r="IJ11" i="21" s="1"/>
  <c r="IK11" i="21" s="1"/>
  <c r="IE15" i="21"/>
  <c r="IJ15" i="21" s="1"/>
  <c r="IK15" i="21" s="1"/>
  <c r="IE19" i="21"/>
  <c r="IE16" i="21"/>
  <c r="IC20" i="21"/>
  <c r="ID20" i="21" s="1"/>
  <c r="IE13" i="21"/>
  <c r="IJ13" i="21" s="1"/>
  <c r="IK13" i="21" s="1"/>
  <c r="IE8" i="21"/>
  <c r="IJ8" i="21" s="1"/>
  <c r="IK8" i="21" s="1"/>
  <c r="IE7" i="21"/>
  <c r="IC18" i="21"/>
  <c r="ID18" i="21" s="1"/>
  <c r="IC17" i="21"/>
  <c r="ID17" i="21" s="1"/>
  <c r="IC12" i="21"/>
  <c r="ID12" i="21" s="1"/>
  <c r="IC21" i="21"/>
  <c r="ID21" i="21" s="1"/>
  <c r="IC22" i="21"/>
  <c r="ID22" i="21" s="1"/>
  <c r="IE9" i="21"/>
  <c r="HH35" i="21"/>
  <c r="HI35" i="21" s="1"/>
  <c r="HH33" i="21"/>
  <c r="HI33" i="21" s="1"/>
  <c r="HH24" i="21"/>
  <c r="HI24" i="21" s="1"/>
  <c r="HH32" i="21"/>
  <c r="HI32" i="21" s="1"/>
  <c r="HH34" i="21"/>
  <c r="HI34" i="21" s="1"/>
  <c r="HH12" i="21"/>
  <c r="HI12" i="21" s="1"/>
  <c r="HH13" i="21"/>
  <c r="HI13" i="21" s="1"/>
  <c r="HH36" i="21"/>
  <c r="HI36" i="21" s="1"/>
  <c r="HH26" i="21"/>
  <c r="HI26" i="21" s="1"/>
  <c r="HJ31" i="21"/>
  <c r="GO11" i="21"/>
  <c r="GS11" i="21" s="1"/>
  <c r="GO15" i="21"/>
  <c r="GS15" i="21" s="1"/>
  <c r="GO13" i="21"/>
  <c r="GT13" i="21" s="1"/>
  <c r="GU13" i="21" s="1"/>
  <c r="GO19" i="21"/>
  <c r="GS19" i="21" s="1"/>
  <c r="GM23" i="21"/>
  <c r="GN23" i="21" s="1"/>
  <c r="GM33" i="21"/>
  <c r="GN33" i="21" s="1"/>
  <c r="GM26" i="21"/>
  <c r="GN26" i="21" s="1"/>
  <c r="GO8" i="21"/>
  <c r="GO16" i="21"/>
  <c r="U32" i="21"/>
  <c r="GO14" i="21"/>
  <c r="GT14" i="21" s="1"/>
  <c r="GU14" i="21" s="1"/>
  <c r="GM21" i="21"/>
  <c r="GN21" i="21" s="1"/>
  <c r="GO9" i="21"/>
  <c r="GM25" i="21"/>
  <c r="GN25" i="21" s="1"/>
  <c r="GM28" i="21"/>
  <c r="GN28" i="21" s="1"/>
  <c r="GM22" i="21"/>
  <c r="GN22" i="21" s="1"/>
  <c r="GM35" i="21"/>
  <c r="GN35" i="21" s="1"/>
  <c r="GM34" i="21"/>
  <c r="GN34" i="21" s="1"/>
  <c r="GM24" i="21"/>
  <c r="GN24" i="21" s="1"/>
  <c r="GM32" i="21"/>
  <c r="GN32" i="21" s="1"/>
  <c r="GO10" i="21"/>
  <c r="GM20" i="21"/>
  <c r="GN20" i="21" s="1"/>
  <c r="GM29" i="21"/>
  <c r="GN29" i="21" s="1"/>
  <c r="GM27" i="21"/>
  <c r="GN27" i="21" s="1"/>
  <c r="GM18" i="21"/>
  <c r="GN18" i="21" s="1"/>
  <c r="GM12" i="21"/>
  <c r="GN12" i="21" s="1"/>
  <c r="GM17" i="21"/>
  <c r="GN17" i="21" s="1"/>
  <c r="GM36" i="21"/>
  <c r="GN36" i="21" s="1"/>
  <c r="GM31" i="21"/>
  <c r="GN31" i="21" s="1"/>
  <c r="GO7" i="21"/>
  <c r="GO30" i="21"/>
  <c r="AR35" i="21"/>
  <c r="AS35" i="21" s="1"/>
  <c r="BO11" i="21"/>
  <c r="BR11" i="21" s="1"/>
  <c r="BM35" i="21"/>
  <c r="BN35" i="21" s="1"/>
  <c r="BM22" i="21"/>
  <c r="BN22" i="21" s="1"/>
  <c r="BM32" i="21"/>
  <c r="BN32" i="21" s="1"/>
  <c r="BM21" i="21"/>
  <c r="BN21" i="21" s="1"/>
  <c r="BM34" i="21"/>
  <c r="BN34" i="21" s="1"/>
  <c r="T32" i="21"/>
  <c r="BM18" i="21"/>
  <c r="BN18" i="21" s="1"/>
  <c r="BM33" i="21"/>
  <c r="BN33" i="21" s="1"/>
  <c r="BM19" i="21"/>
  <c r="BN19" i="21" s="1"/>
  <c r="BM24" i="21"/>
  <c r="BN24" i="21" s="1"/>
  <c r="BM30" i="21"/>
  <c r="BN30" i="21" s="1"/>
  <c r="BM25" i="21"/>
  <c r="BN25" i="21" s="1"/>
  <c r="BM28" i="21"/>
  <c r="BN28" i="21" s="1"/>
  <c r="BM36" i="21"/>
  <c r="BN36" i="21" s="1"/>
  <c r="BM27" i="21"/>
  <c r="BN27" i="21" s="1"/>
  <c r="BM23" i="21"/>
  <c r="BN23" i="21" s="1"/>
  <c r="BM12" i="21"/>
  <c r="BN12" i="21" s="1"/>
  <c r="BM20" i="21"/>
  <c r="BN20" i="21" s="1"/>
  <c r="BM31" i="21"/>
  <c r="BN31" i="21" s="1"/>
  <c r="BM26" i="21"/>
  <c r="BN26" i="21" s="1"/>
  <c r="BM29" i="21"/>
  <c r="BN29" i="21" s="1"/>
  <c r="BO17" i="21"/>
  <c r="V10" i="21"/>
  <c r="AQ34" i="21"/>
  <c r="T10" i="21"/>
  <c r="AM24" i="21"/>
  <c r="AP24" i="21" s="1"/>
  <c r="AQ31" i="21"/>
  <c r="AP31" i="21"/>
  <c r="AP34" i="21"/>
  <c r="AM26" i="21"/>
  <c r="AR26" i="21" s="1"/>
  <c r="AK27" i="21"/>
  <c r="AL27" i="21" s="1"/>
  <c r="AP36" i="21"/>
  <c r="AQ36" i="21"/>
  <c r="AR36" i="21"/>
  <c r="AS36" i="21" s="1"/>
  <c r="AM32" i="21"/>
  <c r="AK22" i="21"/>
  <c r="AL22" i="21" s="1"/>
  <c r="AK28" i="21"/>
  <c r="AL28" i="21" s="1"/>
  <c r="AK16" i="21"/>
  <c r="AL16" i="21" s="1"/>
  <c r="AK19" i="21"/>
  <c r="AL19" i="21" s="1"/>
  <c r="AK25" i="21"/>
  <c r="AL25" i="21" s="1"/>
  <c r="AK20" i="21"/>
  <c r="AL20" i="21" s="1"/>
  <c r="AK17" i="21"/>
  <c r="AL17" i="21" s="1"/>
  <c r="AK11" i="21"/>
  <c r="AL11" i="21" s="1"/>
  <c r="AM13" i="21"/>
  <c r="AR13" i="21" s="1"/>
  <c r="AP35" i="21"/>
  <c r="AQ35" i="21"/>
  <c r="AQ33" i="21"/>
  <c r="AP33" i="21"/>
  <c r="AM12" i="21"/>
  <c r="AK18" i="21"/>
  <c r="AL18" i="21" s="1"/>
  <c r="AK14" i="21"/>
  <c r="AL14" i="21" s="1"/>
  <c r="AK23" i="21"/>
  <c r="AL23" i="21" s="1"/>
  <c r="AK15" i="21"/>
  <c r="AL15" i="21" s="1"/>
  <c r="AK29" i="21"/>
  <c r="AL29" i="21" s="1"/>
  <c r="AK30" i="21"/>
  <c r="AL30" i="21" s="1"/>
  <c r="AK21" i="21"/>
  <c r="AL21" i="21" s="1"/>
  <c r="AR33" i="21"/>
  <c r="AS33" i="21" s="1"/>
  <c r="Q22" i="21"/>
  <c r="U22" i="21" s="1"/>
  <c r="Q26" i="21"/>
  <c r="T26" i="21" s="1"/>
  <c r="T36" i="21"/>
  <c r="U36" i="21"/>
  <c r="V36" i="21"/>
  <c r="W36" i="21" s="1"/>
  <c r="U30" i="21"/>
  <c r="T30" i="21"/>
  <c r="V30" i="21"/>
  <c r="T11" i="21"/>
  <c r="U11" i="21"/>
  <c r="U9" i="21"/>
  <c r="T9" i="21"/>
  <c r="Q28" i="21"/>
  <c r="Q27" i="21"/>
  <c r="Q23" i="21"/>
  <c r="T19" i="21"/>
  <c r="U19" i="21"/>
  <c r="V19" i="21"/>
  <c r="Q25" i="21"/>
  <c r="T31" i="21"/>
  <c r="U31" i="21"/>
  <c r="V31" i="21"/>
  <c r="W31" i="21" s="1"/>
  <c r="T15" i="21"/>
  <c r="U15" i="21"/>
  <c r="Q21" i="21"/>
  <c r="Q34" i="21"/>
  <c r="U13" i="21"/>
  <c r="T13" i="21"/>
  <c r="Q18" i="21"/>
  <c r="Q20" i="21"/>
  <c r="V15" i="21"/>
  <c r="T14" i="21"/>
  <c r="U14" i="21"/>
  <c r="V14" i="21"/>
  <c r="Q12" i="21"/>
  <c r="T16" i="21"/>
  <c r="U16" i="21"/>
  <c r="Q17" i="21"/>
  <c r="Q33" i="21"/>
  <c r="T8" i="21"/>
  <c r="U8" i="21"/>
  <c r="Q24" i="21"/>
  <c r="Q29" i="21"/>
  <c r="T35" i="21"/>
  <c r="U35" i="21"/>
  <c r="U7" i="21"/>
  <c r="T7" i="21"/>
  <c r="V35" i="21"/>
  <c r="W35" i="21" s="1"/>
  <c r="V11" i="21"/>
  <c r="W11" i="21" s="1"/>
  <c r="LH30" i="10"/>
  <c r="LL30" i="10" s="1"/>
  <c r="LM30" i="10" s="1"/>
  <c r="LN30" i="10" s="1"/>
  <c r="LH25" i="10"/>
  <c r="LK25" i="10" s="1"/>
  <c r="LH29" i="10"/>
  <c r="LH26" i="10"/>
  <c r="LH27" i="10"/>
  <c r="LH24" i="10"/>
  <c r="LH36" i="10"/>
  <c r="LH31" i="10"/>
  <c r="LH34" i="10"/>
  <c r="LH32" i="10"/>
  <c r="LH33" i="10"/>
  <c r="LH28" i="10"/>
  <c r="BS33" i="10"/>
  <c r="HW34" i="10"/>
  <c r="HX34" i="10" s="1"/>
  <c r="BS25" i="10"/>
  <c r="HU34" i="10"/>
  <c r="HV35" i="10"/>
  <c r="HU35" i="10"/>
  <c r="HW35" i="10"/>
  <c r="HX35" i="10" s="1"/>
  <c r="BR31" i="10"/>
  <c r="BR23" i="10"/>
  <c r="GW35" i="10"/>
  <c r="GV34" i="10"/>
  <c r="HV36" i="10"/>
  <c r="HU36" i="10"/>
  <c r="HW36" i="10"/>
  <c r="BS17" i="10"/>
  <c r="BS19" i="10"/>
  <c r="GX34" i="10"/>
  <c r="GY34" i="10" s="1"/>
  <c r="DH14" i="10"/>
  <c r="DI14" i="10" s="1"/>
  <c r="BS35" i="10"/>
  <c r="BS27" i="10"/>
  <c r="BS21" i="10"/>
  <c r="BS36" i="10"/>
  <c r="BR15" i="10"/>
  <c r="BR29" i="10"/>
  <c r="GW36" i="10"/>
  <c r="GV36" i="10"/>
  <c r="GX36" i="10"/>
  <c r="GV33" i="10"/>
  <c r="GW33" i="10"/>
  <c r="GX33" i="10"/>
  <c r="GY33" i="10" s="1"/>
  <c r="BR34" i="10"/>
  <c r="BS34" i="10"/>
  <c r="BR18" i="10"/>
  <c r="BS18" i="10"/>
  <c r="BR32" i="10"/>
  <c r="BS32" i="10"/>
  <c r="BR16" i="10"/>
  <c r="BS16" i="10"/>
  <c r="BR30" i="10"/>
  <c r="BS30" i="10"/>
  <c r="BR22" i="10"/>
  <c r="BS22" i="10"/>
  <c r="BR26" i="10"/>
  <c r="BS26" i="10"/>
  <c r="BR20" i="10"/>
  <c r="BS20" i="10"/>
  <c r="BR28" i="10"/>
  <c r="BS28" i="10"/>
  <c r="BR24" i="10"/>
  <c r="BS24" i="10"/>
  <c r="W8" i="21"/>
  <c r="JW33" i="21"/>
  <c r="KD33" i="21" s="1"/>
  <c r="JX33" i="21" s="1"/>
  <c r="JY33" i="21" s="1"/>
  <c r="KB33" i="21" s="1"/>
  <c r="KC33" i="21"/>
  <c r="JW19" i="21"/>
  <c r="KD19" i="21" s="1"/>
  <c r="JX19" i="21" s="1"/>
  <c r="JY19" i="21" s="1"/>
  <c r="KC19" i="21"/>
  <c r="KC35" i="21"/>
  <c r="JW21" i="21"/>
  <c r="KD21" i="21" s="1"/>
  <c r="JX21" i="21" s="1"/>
  <c r="JY21" i="21" s="1"/>
  <c r="KB21" i="21" s="1"/>
  <c r="KC21" i="21"/>
  <c r="JW17" i="21"/>
  <c r="KD17" i="21" s="1"/>
  <c r="JX17" i="21" s="1"/>
  <c r="JY17" i="21" s="1"/>
  <c r="KB17" i="21" s="1"/>
  <c r="KC17" i="21"/>
  <c r="JW22" i="21"/>
  <c r="KD22" i="21" s="1"/>
  <c r="JX22" i="21" s="1"/>
  <c r="JY22" i="21" s="1"/>
  <c r="KC22" i="21"/>
  <c r="JW11" i="20"/>
  <c r="KD11" i="20" s="1"/>
  <c r="JX11" i="20" s="1"/>
  <c r="JY11" i="20" s="1"/>
  <c r="KB11" i="20" s="1"/>
  <c r="KC11" i="20"/>
  <c r="JW27" i="21"/>
  <c r="KD27" i="21" s="1"/>
  <c r="JX27" i="21" s="1"/>
  <c r="JY27" i="21" s="1"/>
  <c r="KC27" i="21"/>
  <c r="JW32" i="21"/>
  <c r="KD32" i="21" s="1"/>
  <c r="JX32" i="21" s="1"/>
  <c r="JY32" i="21" s="1"/>
  <c r="KB32" i="21" s="1"/>
  <c r="KC32" i="21"/>
  <c r="HD12" i="21"/>
  <c r="JW18" i="21"/>
  <c r="KD18" i="21" s="1"/>
  <c r="JX18" i="21" s="1"/>
  <c r="JY18" i="21" s="1"/>
  <c r="KC18" i="21"/>
  <c r="IU27" i="20"/>
  <c r="JB27" i="20" s="1"/>
  <c r="IV27" i="20" s="1"/>
  <c r="IW27" i="20" s="1"/>
  <c r="JA27" i="20"/>
  <c r="IU31" i="20"/>
  <c r="JB31" i="20" s="1"/>
  <c r="IV31" i="20" s="1"/>
  <c r="IW31" i="20" s="1"/>
  <c r="JA31" i="20"/>
  <c r="JA22" i="20"/>
  <c r="IU22" i="20"/>
  <c r="JB22" i="20" s="1"/>
  <c r="IV22" i="20" s="1"/>
  <c r="IW22" i="20" s="1"/>
  <c r="IU17" i="20"/>
  <c r="JB17" i="20" s="1"/>
  <c r="IV17" i="20" s="1"/>
  <c r="IW17" i="20" s="1"/>
  <c r="JA17" i="20"/>
  <c r="JA30" i="20"/>
  <c r="IU30" i="20"/>
  <c r="JB30" i="20" s="1"/>
  <c r="IV30" i="20" s="1"/>
  <c r="IW30" i="20" s="1"/>
  <c r="JA26" i="20"/>
  <c r="IU26" i="20"/>
  <c r="JB26" i="20" s="1"/>
  <c r="IV26" i="20" s="1"/>
  <c r="IW26" i="20" s="1"/>
  <c r="JA24" i="20"/>
  <c r="IU24" i="20"/>
  <c r="JB24" i="20" s="1"/>
  <c r="IV24" i="20" s="1"/>
  <c r="IW24" i="20" s="1"/>
  <c r="JA28" i="20"/>
  <c r="IU28" i="20"/>
  <c r="JB28" i="20" s="1"/>
  <c r="IV28" i="20" s="1"/>
  <c r="IW28" i="20" s="1"/>
  <c r="IU29" i="20"/>
  <c r="JB29" i="20" s="1"/>
  <c r="IV29" i="20" s="1"/>
  <c r="IW29" i="20" s="1"/>
  <c r="JA29" i="20"/>
  <c r="IU23" i="20"/>
  <c r="JB23" i="20" s="1"/>
  <c r="IV23" i="20" s="1"/>
  <c r="IW23" i="20" s="1"/>
  <c r="JA23" i="20"/>
  <c r="JA32" i="20"/>
  <c r="IU32" i="20"/>
  <c r="JB32" i="20" s="1"/>
  <c r="IV32" i="20" s="1"/>
  <c r="IW32" i="20" s="1"/>
  <c r="IU33" i="20"/>
  <c r="JB33" i="20" s="1"/>
  <c r="IV33" i="20" s="1"/>
  <c r="IW33" i="20" s="1"/>
  <c r="JA33" i="20"/>
  <c r="JA12" i="20"/>
  <c r="IU12" i="20"/>
  <c r="JB12" i="20" s="1"/>
  <c r="IV12" i="20" s="1"/>
  <c r="IW12" i="20" s="1"/>
  <c r="IF18" i="20"/>
  <c r="HZ18" i="20"/>
  <c r="IG18" i="20" s="1"/>
  <c r="IA18" i="20" s="1"/>
  <c r="IB18" i="20" s="1"/>
  <c r="HZ31" i="20"/>
  <c r="IG31" i="20" s="1"/>
  <c r="IA31" i="20" s="1"/>
  <c r="IB31" i="20" s="1"/>
  <c r="IF31" i="20"/>
  <c r="IF30" i="20"/>
  <c r="HZ30" i="20"/>
  <c r="IG30" i="20" s="1"/>
  <c r="IA30" i="20" s="1"/>
  <c r="IB30" i="20" s="1"/>
  <c r="IF26" i="20"/>
  <c r="HZ26" i="20"/>
  <c r="IG26" i="20" s="1"/>
  <c r="IA26" i="20" s="1"/>
  <c r="IB26" i="20" s="1"/>
  <c r="IF8" i="20"/>
  <c r="HZ8" i="20"/>
  <c r="IG8" i="20" s="1"/>
  <c r="IA8" i="20" s="1"/>
  <c r="IB8" i="20" s="1"/>
  <c r="IF10" i="20"/>
  <c r="HZ10" i="20"/>
  <c r="IG10" i="20" s="1"/>
  <c r="IA10" i="20" s="1"/>
  <c r="IB10" i="20" s="1"/>
  <c r="HZ27" i="20"/>
  <c r="IG27" i="20" s="1"/>
  <c r="IA27" i="20" s="1"/>
  <c r="IB27" i="20" s="1"/>
  <c r="IF27" i="20"/>
  <c r="HZ13" i="20"/>
  <c r="IG13" i="20" s="1"/>
  <c r="IA13" i="20" s="1"/>
  <c r="IB13" i="20" s="1"/>
  <c r="IF13" i="20"/>
  <c r="IF9" i="20"/>
  <c r="HZ9" i="20"/>
  <c r="IG9" i="20" s="1"/>
  <c r="IA9" i="20" s="1"/>
  <c r="IB9" i="20" s="1"/>
  <c r="HZ33" i="20"/>
  <c r="IG33" i="20" s="1"/>
  <c r="IA33" i="20" s="1"/>
  <c r="IB33" i="20" s="1"/>
  <c r="IF33" i="20"/>
  <c r="IF15" i="20"/>
  <c r="HZ15" i="20"/>
  <c r="IG15" i="20" s="1"/>
  <c r="IA15" i="20" s="1"/>
  <c r="IB15" i="20" s="1"/>
  <c r="HZ21" i="20"/>
  <c r="IG21" i="20" s="1"/>
  <c r="IA21" i="20" s="1"/>
  <c r="IB21" i="20" s="1"/>
  <c r="IF21" i="20"/>
  <c r="IF22" i="20"/>
  <c r="HZ22" i="20"/>
  <c r="IG22" i="20" s="1"/>
  <c r="IA22" i="20" s="1"/>
  <c r="IB22" i="20" s="1"/>
  <c r="IF24" i="20"/>
  <c r="HZ24" i="20"/>
  <c r="IG24" i="20" s="1"/>
  <c r="IA24" i="20" s="1"/>
  <c r="IB24" i="20" s="1"/>
  <c r="IF28" i="20"/>
  <c r="HZ28" i="20"/>
  <c r="IG28" i="20" s="1"/>
  <c r="IA28" i="20" s="1"/>
  <c r="IB28" i="20" s="1"/>
  <c r="IF29" i="20"/>
  <c r="HZ29" i="20"/>
  <c r="IG29" i="20" s="1"/>
  <c r="IA29" i="20" s="1"/>
  <c r="IB29" i="20" s="1"/>
  <c r="HZ23" i="20"/>
  <c r="IG23" i="20" s="1"/>
  <c r="IA23" i="20" s="1"/>
  <c r="IB23" i="20" s="1"/>
  <c r="IF23" i="20"/>
  <c r="IF32" i="20"/>
  <c r="HZ32" i="20"/>
  <c r="IG32" i="20" s="1"/>
  <c r="IA32" i="20" s="1"/>
  <c r="IB32" i="20" s="1"/>
  <c r="IF19" i="20"/>
  <c r="HZ19" i="20"/>
  <c r="IG19" i="20" s="1"/>
  <c r="IA19" i="20" s="1"/>
  <c r="IB19" i="20" s="1"/>
  <c r="IF20" i="20"/>
  <c r="HZ20" i="20"/>
  <c r="IG20" i="20" s="1"/>
  <c r="IA20" i="20" s="1"/>
  <c r="IB20" i="20" s="1"/>
  <c r="HK28" i="20"/>
  <c r="HE28" i="20"/>
  <c r="HL28" i="20" s="1"/>
  <c r="HF28" i="20" s="1"/>
  <c r="HG28" i="20" s="1"/>
  <c r="HK20" i="20"/>
  <c r="HE20" i="20"/>
  <c r="HL20" i="20" s="1"/>
  <c r="HF20" i="20" s="1"/>
  <c r="HG20" i="20" s="1"/>
  <c r="HE31" i="20"/>
  <c r="HL31" i="20" s="1"/>
  <c r="HF31" i="20" s="1"/>
  <c r="HG31" i="20" s="1"/>
  <c r="HK31" i="20"/>
  <c r="HK12" i="20"/>
  <c r="HE12" i="20"/>
  <c r="HL12" i="20" s="1"/>
  <c r="HF12" i="20" s="1"/>
  <c r="HG12" i="20" s="1"/>
  <c r="HK24" i="20"/>
  <c r="HE24" i="20"/>
  <c r="HL24" i="20" s="1"/>
  <c r="HF24" i="20" s="1"/>
  <c r="HG24" i="20" s="1"/>
  <c r="HK34" i="20"/>
  <c r="HE34" i="20"/>
  <c r="HL34" i="20" s="1"/>
  <c r="HF34" i="20" s="1"/>
  <c r="HG34" i="20" s="1"/>
  <c r="HE33" i="20"/>
  <c r="HL33" i="20" s="1"/>
  <c r="HF33" i="20" s="1"/>
  <c r="HG33" i="20" s="1"/>
  <c r="HK33" i="20"/>
  <c r="HK27" i="20"/>
  <c r="HE27" i="20"/>
  <c r="HL27" i="20" s="1"/>
  <c r="HF27" i="20" s="1"/>
  <c r="HG27" i="20" s="1"/>
  <c r="HK17" i="20"/>
  <c r="HE17" i="20"/>
  <c r="HL17" i="20" s="1"/>
  <c r="HF17" i="20" s="1"/>
  <c r="HG17" i="20" s="1"/>
  <c r="HK23" i="20"/>
  <c r="HE23" i="20"/>
  <c r="HL23" i="20" s="1"/>
  <c r="HF23" i="20" s="1"/>
  <c r="HG23" i="20" s="1"/>
  <c r="HK36" i="20"/>
  <c r="HE36" i="20"/>
  <c r="HL36" i="20" s="1"/>
  <c r="HF36" i="20" s="1"/>
  <c r="HG36" i="20" s="1"/>
  <c r="HK26" i="20"/>
  <c r="HE26" i="20"/>
  <c r="HL26" i="20" s="1"/>
  <c r="HF26" i="20" s="1"/>
  <c r="HG26" i="20" s="1"/>
  <c r="HK35" i="20"/>
  <c r="HE35" i="20"/>
  <c r="HL35" i="20" s="1"/>
  <c r="HF35" i="20" s="1"/>
  <c r="HG35" i="20" s="1"/>
  <c r="GP13" i="20"/>
  <c r="GJ13" i="20"/>
  <c r="GQ13" i="20" s="1"/>
  <c r="GK13" i="20" s="1"/>
  <c r="GL13" i="20" s="1"/>
  <c r="GP19" i="20"/>
  <c r="GJ19" i="20"/>
  <c r="GQ19" i="20" s="1"/>
  <c r="GK19" i="20" s="1"/>
  <c r="GL19" i="20" s="1"/>
  <c r="GP9" i="20"/>
  <c r="GJ9" i="20"/>
  <c r="GQ9" i="20" s="1"/>
  <c r="GK9" i="20" s="1"/>
  <c r="GL9" i="20" s="1"/>
  <c r="GP15" i="20"/>
  <c r="GJ15" i="20"/>
  <c r="GQ15" i="20" s="1"/>
  <c r="GK15" i="20" s="1"/>
  <c r="GL15" i="20" s="1"/>
  <c r="GP34" i="20"/>
  <c r="GJ34" i="20"/>
  <c r="GQ34" i="20" s="1"/>
  <c r="GK34" i="20" s="1"/>
  <c r="GL34" i="20" s="1"/>
  <c r="GP35" i="20"/>
  <c r="GJ35" i="20"/>
  <c r="GQ35" i="20" s="1"/>
  <c r="GK35" i="20" s="1"/>
  <c r="GL35" i="20" s="1"/>
  <c r="GP10" i="20"/>
  <c r="GJ10" i="20"/>
  <c r="GQ10" i="20" s="1"/>
  <c r="GK10" i="20" s="1"/>
  <c r="GL10" i="20" s="1"/>
  <c r="GP24" i="20"/>
  <c r="GJ24" i="20"/>
  <c r="GQ24" i="20" s="1"/>
  <c r="GK24" i="20" s="1"/>
  <c r="GL24" i="20" s="1"/>
  <c r="GP21" i="20"/>
  <c r="GJ21" i="20"/>
  <c r="GQ21" i="20" s="1"/>
  <c r="GK21" i="20" s="1"/>
  <c r="GL21" i="20" s="1"/>
  <c r="GP8" i="20"/>
  <c r="GJ8" i="20"/>
  <c r="GQ8" i="20" s="1"/>
  <c r="GK8" i="20" s="1"/>
  <c r="GL8" i="20" s="1"/>
  <c r="GP20" i="20"/>
  <c r="GJ20" i="20"/>
  <c r="GQ20" i="20" s="1"/>
  <c r="GK20" i="20" s="1"/>
  <c r="GL20" i="20" s="1"/>
  <c r="GP28" i="20"/>
  <c r="GJ28" i="20"/>
  <c r="GQ28" i="20" s="1"/>
  <c r="GK28" i="20" s="1"/>
  <c r="GL28" i="20" s="1"/>
  <c r="GP18" i="20"/>
  <c r="GJ18" i="20"/>
  <c r="GQ18" i="20" s="1"/>
  <c r="GK18" i="20" s="1"/>
  <c r="GL18" i="20" s="1"/>
  <c r="GP36" i="20"/>
  <c r="GJ36" i="20"/>
  <c r="GQ36" i="20" s="1"/>
  <c r="GK36" i="20" s="1"/>
  <c r="GL36" i="20" s="1"/>
  <c r="GP32" i="20"/>
  <c r="GJ32" i="20"/>
  <c r="GQ32" i="20" s="1"/>
  <c r="GK32" i="20" s="1"/>
  <c r="GL32" i="20" s="1"/>
  <c r="GP26" i="20"/>
  <c r="GJ26" i="20"/>
  <c r="GQ26" i="20" s="1"/>
  <c r="GK26" i="20" s="1"/>
  <c r="GL26" i="20" s="1"/>
  <c r="BP34" i="20"/>
  <c r="BJ34" i="20"/>
  <c r="BQ34" i="20" s="1"/>
  <c r="BK34" i="20" s="1"/>
  <c r="BL34" i="20" s="1"/>
  <c r="BP35" i="20"/>
  <c r="BJ35" i="20"/>
  <c r="BQ35" i="20" s="1"/>
  <c r="BK35" i="20" s="1"/>
  <c r="BL35" i="20" s="1"/>
  <c r="BP19" i="20"/>
  <c r="BJ19" i="20"/>
  <c r="BQ19" i="20" s="1"/>
  <c r="BK19" i="20" s="1"/>
  <c r="BL19" i="20" s="1"/>
  <c r="BJ21" i="20"/>
  <c r="BQ21" i="20" s="1"/>
  <c r="BK21" i="20" s="1"/>
  <c r="BL21" i="20" s="1"/>
  <c r="BP21" i="20"/>
  <c r="BP20" i="20"/>
  <c r="BJ20" i="20"/>
  <c r="BQ20" i="20" s="1"/>
  <c r="BK20" i="20" s="1"/>
  <c r="BL20" i="20" s="1"/>
  <c r="BP12" i="20"/>
  <c r="BJ12" i="20"/>
  <c r="BQ12" i="20" s="1"/>
  <c r="BK12" i="20" s="1"/>
  <c r="BL12" i="20" s="1"/>
  <c r="BP36" i="20"/>
  <c r="BJ36" i="20"/>
  <c r="BQ36" i="20" s="1"/>
  <c r="BK36" i="20" s="1"/>
  <c r="BL36" i="20" s="1"/>
  <c r="BP18" i="20"/>
  <c r="BJ18" i="20"/>
  <c r="BQ18" i="20" s="1"/>
  <c r="BK18" i="20" s="1"/>
  <c r="BL18" i="20" s="1"/>
  <c r="BP25" i="20"/>
  <c r="BJ25" i="20"/>
  <c r="BQ25" i="20" s="1"/>
  <c r="BK25" i="20" s="1"/>
  <c r="BL25" i="20" s="1"/>
  <c r="IS18" i="20"/>
  <c r="AN18" i="20"/>
  <c r="AH18" i="20"/>
  <c r="AO18" i="20" s="1"/>
  <c r="AI18" i="20" s="1"/>
  <c r="AJ18" i="20" s="1"/>
  <c r="AN21" i="20"/>
  <c r="AH21" i="20"/>
  <c r="AO21" i="20" s="1"/>
  <c r="AI21" i="20" s="1"/>
  <c r="AJ21" i="20" s="1"/>
  <c r="AH25" i="20"/>
  <c r="AO25" i="20" s="1"/>
  <c r="AI25" i="20" s="1"/>
  <c r="AJ25" i="20" s="1"/>
  <c r="AN25" i="20"/>
  <c r="AN22" i="20"/>
  <c r="AH22" i="20"/>
  <c r="AO22" i="20" s="1"/>
  <c r="AI22" i="20" s="1"/>
  <c r="AJ22" i="20" s="1"/>
  <c r="AN29" i="20"/>
  <c r="AH29" i="20"/>
  <c r="AO29" i="20" s="1"/>
  <c r="AI29" i="20" s="1"/>
  <c r="AJ29" i="20" s="1"/>
  <c r="IS14" i="20"/>
  <c r="AN14" i="20"/>
  <c r="AH14" i="20"/>
  <c r="AO14" i="20" s="1"/>
  <c r="AI14" i="20" s="1"/>
  <c r="AJ14" i="20" s="1"/>
  <c r="IS15" i="20"/>
  <c r="AN15" i="20"/>
  <c r="AH15" i="20"/>
  <c r="AO15" i="20" s="1"/>
  <c r="AI15" i="20" s="1"/>
  <c r="AJ15" i="20" s="1"/>
  <c r="IS16" i="20"/>
  <c r="AN16" i="20"/>
  <c r="AH16" i="20"/>
  <c r="AO16" i="20" s="1"/>
  <c r="AI16" i="20" s="1"/>
  <c r="AJ16" i="20" s="1"/>
  <c r="IS13" i="20"/>
  <c r="AH13" i="20"/>
  <c r="AO13" i="20" s="1"/>
  <c r="AI13" i="20" s="1"/>
  <c r="AJ13" i="20" s="1"/>
  <c r="AN13" i="20"/>
  <c r="AN30" i="20"/>
  <c r="AH30" i="20"/>
  <c r="AO30" i="20" s="1"/>
  <c r="AI30" i="20" s="1"/>
  <c r="AJ30" i="20" s="1"/>
  <c r="IS11" i="20"/>
  <c r="AH11" i="20"/>
  <c r="AO11" i="20" s="1"/>
  <c r="AI11" i="20" s="1"/>
  <c r="AJ11" i="20" s="1"/>
  <c r="AN11" i="20"/>
  <c r="AH19" i="20"/>
  <c r="AO19" i="20" s="1"/>
  <c r="AI19" i="20" s="1"/>
  <c r="AJ19" i="20" s="1"/>
  <c r="AN19" i="20"/>
  <c r="JA22" i="21"/>
  <c r="IU22" i="21"/>
  <c r="JB22" i="21" s="1"/>
  <c r="IV22" i="21" s="1"/>
  <c r="IW22" i="21" s="1"/>
  <c r="JA12" i="21"/>
  <c r="IU12" i="21"/>
  <c r="JB12" i="21" s="1"/>
  <c r="IV12" i="21" s="1"/>
  <c r="IW12" i="21" s="1"/>
  <c r="JA13" i="21"/>
  <c r="IU13" i="21"/>
  <c r="JB13" i="21" s="1"/>
  <c r="IV13" i="21" s="1"/>
  <c r="IW13" i="21" s="1"/>
  <c r="IU21" i="21"/>
  <c r="JB21" i="21" s="1"/>
  <c r="IV21" i="21" s="1"/>
  <c r="IW21" i="21" s="1"/>
  <c r="JA21" i="21"/>
  <c r="IF17" i="21"/>
  <c r="HZ17" i="21"/>
  <c r="IG17" i="21" s="1"/>
  <c r="IA17" i="21" s="1"/>
  <c r="IB17" i="21" s="1"/>
  <c r="IF12" i="21"/>
  <c r="HZ12" i="21"/>
  <c r="IG12" i="21" s="1"/>
  <c r="IA12" i="21" s="1"/>
  <c r="IB12" i="21" s="1"/>
  <c r="IF22" i="21"/>
  <c r="HZ22" i="21"/>
  <c r="IG22" i="21" s="1"/>
  <c r="IA22" i="21" s="1"/>
  <c r="IB22" i="21" s="1"/>
  <c r="IF18" i="21"/>
  <c r="HZ18" i="21"/>
  <c r="IG18" i="21" s="1"/>
  <c r="IA18" i="21" s="1"/>
  <c r="IB18" i="21" s="1"/>
  <c r="IF20" i="21"/>
  <c r="HZ20" i="21"/>
  <c r="IG20" i="21" s="1"/>
  <c r="IA20" i="21" s="1"/>
  <c r="IB20" i="21" s="1"/>
  <c r="IF21" i="21"/>
  <c r="HZ21" i="21"/>
  <c r="IG21" i="21" s="1"/>
  <c r="IA21" i="21" s="1"/>
  <c r="IB21" i="21" s="1"/>
  <c r="HK24" i="21"/>
  <c r="HE24" i="21"/>
  <c r="HL24" i="21" s="1"/>
  <c r="HF24" i="21" s="1"/>
  <c r="HG24" i="21" s="1"/>
  <c r="HE13" i="21"/>
  <c r="HL13" i="21" s="1"/>
  <c r="HF13" i="21" s="1"/>
  <c r="HG13" i="21" s="1"/>
  <c r="HK13" i="21"/>
  <c r="HK32" i="21"/>
  <c r="HE32" i="21"/>
  <c r="HL32" i="21" s="1"/>
  <c r="HF32" i="21" s="1"/>
  <c r="HG32" i="21" s="1"/>
  <c r="HK34" i="21"/>
  <c r="HE34" i="21"/>
  <c r="HL34" i="21" s="1"/>
  <c r="HF34" i="21" s="1"/>
  <c r="HG34" i="21" s="1"/>
  <c r="HK36" i="21"/>
  <c r="HE36" i="21"/>
  <c r="HL36" i="21" s="1"/>
  <c r="HF36" i="21" s="1"/>
  <c r="HG36" i="21" s="1"/>
  <c r="HK33" i="21"/>
  <c r="HE33" i="21"/>
  <c r="HL33" i="21" s="1"/>
  <c r="HF33" i="21" s="1"/>
  <c r="HG33" i="21" s="1"/>
  <c r="HK12" i="21"/>
  <c r="HE12" i="21"/>
  <c r="HL12" i="21" s="1"/>
  <c r="HF12" i="21" s="1"/>
  <c r="HG12" i="21" s="1"/>
  <c r="HE35" i="21"/>
  <c r="HL35" i="21" s="1"/>
  <c r="HF35" i="21" s="1"/>
  <c r="HG35" i="21" s="1"/>
  <c r="HK35" i="21"/>
  <c r="HK26" i="21"/>
  <c r="HE26" i="21"/>
  <c r="HL26" i="21" s="1"/>
  <c r="HF26" i="21" s="1"/>
  <c r="HG26" i="21" s="1"/>
  <c r="GP18" i="21"/>
  <c r="GJ18" i="21"/>
  <c r="GQ18" i="21" s="1"/>
  <c r="GK18" i="21" s="1"/>
  <c r="GL18" i="21" s="1"/>
  <c r="GP12" i="21"/>
  <c r="GJ12" i="21"/>
  <c r="GQ12" i="21" s="1"/>
  <c r="GK12" i="21" s="1"/>
  <c r="GL12" i="21" s="1"/>
  <c r="GP17" i="21"/>
  <c r="GJ17" i="21"/>
  <c r="GQ17" i="21" s="1"/>
  <c r="GK17" i="21" s="1"/>
  <c r="GL17" i="21" s="1"/>
  <c r="GP32" i="21"/>
  <c r="GJ32" i="21"/>
  <c r="GQ32" i="21" s="1"/>
  <c r="GK32" i="21" s="1"/>
  <c r="GL32" i="21" s="1"/>
  <c r="GP21" i="21"/>
  <c r="GJ21" i="21"/>
  <c r="GQ21" i="21" s="1"/>
  <c r="GK21" i="21" s="1"/>
  <c r="GL21" i="21" s="1"/>
  <c r="GP31" i="21"/>
  <c r="GJ31" i="21"/>
  <c r="GQ31" i="21" s="1"/>
  <c r="GK31" i="21" s="1"/>
  <c r="GL31" i="21" s="1"/>
  <c r="GP24" i="21"/>
  <c r="GJ24" i="21"/>
  <c r="GQ24" i="21" s="1"/>
  <c r="GK24" i="21" s="1"/>
  <c r="GL24" i="21" s="1"/>
  <c r="GP20" i="21"/>
  <c r="GJ20" i="21"/>
  <c r="GQ20" i="21" s="1"/>
  <c r="GK20" i="21" s="1"/>
  <c r="GL20" i="21" s="1"/>
  <c r="GP29" i="21"/>
  <c r="GJ29" i="21"/>
  <c r="GQ29" i="21" s="1"/>
  <c r="GK29" i="21" s="1"/>
  <c r="GL29" i="21" s="1"/>
  <c r="GP23" i="21"/>
  <c r="GJ23" i="21"/>
  <c r="GQ23" i="21" s="1"/>
  <c r="GK23" i="21" s="1"/>
  <c r="GL23" i="21" s="1"/>
  <c r="GP22" i="21"/>
  <c r="GJ22" i="21"/>
  <c r="GQ22" i="21" s="1"/>
  <c r="GK22" i="21" s="1"/>
  <c r="GL22" i="21" s="1"/>
  <c r="GP25" i="21"/>
  <c r="GJ25" i="21"/>
  <c r="GQ25" i="21" s="1"/>
  <c r="GK25" i="21" s="1"/>
  <c r="GL25" i="21" s="1"/>
  <c r="GP36" i="21"/>
  <c r="GJ36" i="21"/>
  <c r="GQ36" i="21" s="1"/>
  <c r="GK36" i="21" s="1"/>
  <c r="GL36" i="21" s="1"/>
  <c r="GP26" i="21"/>
  <c r="GJ26" i="21"/>
  <c r="GQ26" i="21" s="1"/>
  <c r="GK26" i="21" s="1"/>
  <c r="GL26" i="21" s="1"/>
  <c r="GP35" i="21"/>
  <c r="GJ35" i="21"/>
  <c r="GQ35" i="21" s="1"/>
  <c r="GK35" i="21" s="1"/>
  <c r="GL35" i="21" s="1"/>
  <c r="GP34" i="21"/>
  <c r="GJ34" i="21"/>
  <c r="GQ34" i="21" s="1"/>
  <c r="GK34" i="21" s="1"/>
  <c r="GL34" i="21" s="1"/>
  <c r="GP28" i="21"/>
  <c r="GJ28" i="21"/>
  <c r="GQ28" i="21" s="1"/>
  <c r="GK28" i="21" s="1"/>
  <c r="GL28" i="21" s="1"/>
  <c r="GP27" i="21"/>
  <c r="GJ27" i="21"/>
  <c r="GQ27" i="21" s="1"/>
  <c r="GK27" i="21" s="1"/>
  <c r="GL27" i="21" s="1"/>
  <c r="GP33" i="21"/>
  <c r="GJ33" i="21"/>
  <c r="GQ33" i="21" s="1"/>
  <c r="GK33" i="21" s="1"/>
  <c r="GL33" i="21" s="1"/>
  <c r="BP22" i="21"/>
  <c r="BJ22" i="21"/>
  <c r="BQ22" i="21" s="1"/>
  <c r="BK22" i="21" s="1"/>
  <c r="BL22" i="21" s="1"/>
  <c r="BP33" i="21"/>
  <c r="BJ33" i="21"/>
  <c r="BQ33" i="21" s="1"/>
  <c r="BK33" i="21" s="1"/>
  <c r="BL33" i="21" s="1"/>
  <c r="BP19" i="21"/>
  <c r="BJ19" i="21"/>
  <c r="BQ19" i="21" s="1"/>
  <c r="BK19" i="21" s="1"/>
  <c r="BL19" i="21" s="1"/>
  <c r="BP24" i="21"/>
  <c r="BJ24" i="21"/>
  <c r="BQ24" i="21" s="1"/>
  <c r="BK24" i="21" s="1"/>
  <c r="BL24" i="21" s="1"/>
  <c r="BP20" i="21"/>
  <c r="BJ20" i="21"/>
  <c r="BQ20" i="21" s="1"/>
  <c r="BK20" i="21" s="1"/>
  <c r="BL20" i="21" s="1"/>
  <c r="BP26" i="21"/>
  <c r="BJ26" i="21"/>
  <c r="BQ26" i="21" s="1"/>
  <c r="BK26" i="21" s="1"/>
  <c r="BL26" i="21" s="1"/>
  <c r="BP29" i="21"/>
  <c r="BJ29" i="21"/>
  <c r="BQ29" i="21" s="1"/>
  <c r="BK29" i="21" s="1"/>
  <c r="BL29" i="21" s="1"/>
  <c r="BP32" i="21"/>
  <c r="BJ32" i="21"/>
  <c r="BQ32" i="21" s="1"/>
  <c r="BK32" i="21" s="1"/>
  <c r="BL32" i="21" s="1"/>
  <c r="BP21" i="21"/>
  <c r="BJ21" i="21"/>
  <c r="BQ21" i="21" s="1"/>
  <c r="BK21" i="21" s="1"/>
  <c r="BL21" i="21" s="1"/>
  <c r="BP18" i="21"/>
  <c r="BJ18" i="21"/>
  <c r="BQ18" i="21" s="1"/>
  <c r="BK18" i="21" s="1"/>
  <c r="BL18" i="21" s="1"/>
  <c r="BP28" i="21"/>
  <c r="BJ28" i="21"/>
  <c r="BQ28" i="21" s="1"/>
  <c r="BK28" i="21" s="1"/>
  <c r="BL28" i="21" s="1"/>
  <c r="BP36" i="21"/>
  <c r="BJ36" i="21"/>
  <c r="BQ36" i="21" s="1"/>
  <c r="BK36" i="21" s="1"/>
  <c r="BL36" i="21" s="1"/>
  <c r="BP27" i="21"/>
  <c r="BJ27" i="21"/>
  <c r="BQ27" i="21" s="1"/>
  <c r="BK27" i="21" s="1"/>
  <c r="BL27" i="21" s="1"/>
  <c r="BP23" i="21"/>
  <c r="BJ23" i="21"/>
  <c r="BQ23" i="21" s="1"/>
  <c r="BK23" i="21" s="1"/>
  <c r="BL23" i="21" s="1"/>
  <c r="BP12" i="21"/>
  <c r="BJ12" i="21"/>
  <c r="BQ12" i="21" s="1"/>
  <c r="BK12" i="21" s="1"/>
  <c r="BL12" i="21" s="1"/>
  <c r="BP30" i="21"/>
  <c r="BJ30" i="21"/>
  <c r="BQ30" i="21" s="1"/>
  <c r="BK30" i="21" s="1"/>
  <c r="BL30" i="21" s="1"/>
  <c r="BP31" i="21"/>
  <c r="BJ31" i="21"/>
  <c r="BQ31" i="21" s="1"/>
  <c r="BK31" i="21" s="1"/>
  <c r="BL31" i="21" s="1"/>
  <c r="BP25" i="21"/>
  <c r="BJ25" i="21"/>
  <c r="BQ25" i="21" s="1"/>
  <c r="BK25" i="21" s="1"/>
  <c r="BL25" i="21" s="1"/>
  <c r="BP35" i="21"/>
  <c r="BJ35" i="21"/>
  <c r="BQ35" i="21" s="1"/>
  <c r="BK35" i="21" s="1"/>
  <c r="BL35" i="21" s="1"/>
  <c r="BP34" i="21"/>
  <c r="BJ34" i="21"/>
  <c r="BQ34" i="21" s="1"/>
  <c r="BK34" i="21" s="1"/>
  <c r="BL34" i="21" s="1"/>
  <c r="AH19" i="21"/>
  <c r="AO19" i="21" s="1"/>
  <c r="AI19" i="21" s="1"/>
  <c r="AJ19" i="21" s="1"/>
  <c r="AN19" i="21"/>
  <c r="AN28" i="21"/>
  <c r="AH28" i="21"/>
  <c r="AO28" i="21" s="1"/>
  <c r="AI28" i="21" s="1"/>
  <c r="AJ28" i="21" s="1"/>
  <c r="IS18" i="21"/>
  <c r="AN18" i="21"/>
  <c r="AH18" i="21"/>
  <c r="AO18" i="21" s="1"/>
  <c r="AI18" i="21" s="1"/>
  <c r="AJ18" i="21" s="1"/>
  <c r="IS14" i="21"/>
  <c r="AN14" i="21"/>
  <c r="AH14" i="21"/>
  <c r="AO14" i="21" s="1"/>
  <c r="AI14" i="21" s="1"/>
  <c r="AJ14" i="21" s="1"/>
  <c r="IS17" i="21"/>
  <c r="AN17" i="21"/>
  <c r="AH17" i="21"/>
  <c r="AO17" i="21" s="1"/>
  <c r="AI17" i="21" s="1"/>
  <c r="AJ17" i="21" s="1"/>
  <c r="AN23" i="21"/>
  <c r="AH23" i="21"/>
  <c r="AO23" i="21" s="1"/>
  <c r="AI23" i="21" s="1"/>
  <c r="AJ23" i="21" s="1"/>
  <c r="AN22" i="21"/>
  <c r="AH22" i="21"/>
  <c r="AO22" i="21" s="1"/>
  <c r="AI22" i="21" s="1"/>
  <c r="AJ22" i="21" s="1"/>
  <c r="IS16" i="21"/>
  <c r="AN16" i="21"/>
  <c r="AH16" i="21"/>
  <c r="AO16" i="21" s="1"/>
  <c r="AI16" i="21" s="1"/>
  <c r="AJ16" i="21" s="1"/>
  <c r="AN11" i="21"/>
  <c r="AH11" i="21"/>
  <c r="AO11" i="21" s="1"/>
  <c r="AI11" i="21" s="1"/>
  <c r="AJ11" i="21" s="1"/>
  <c r="AH21" i="21"/>
  <c r="AO21" i="21" s="1"/>
  <c r="AI21" i="21" s="1"/>
  <c r="AJ21" i="21" s="1"/>
  <c r="AN21" i="21"/>
  <c r="AN27" i="21"/>
  <c r="AH27" i="21"/>
  <c r="AO27" i="21" s="1"/>
  <c r="AI27" i="21" s="1"/>
  <c r="AJ27" i="21" s="1"/>
  <c r="AN30" i="21"/>
  <c r="AH30" i="21"/>
  <c r="AO30" i="21" s="1"/>
  <c r="AI30" i="21" s="1"/>
  <c r="AJ30" i="21" s="1"/>
  <c r="HC25" i="21"/>
  <c r="AH25" i="21"/>
  <c r="AO25" i="21" s="1"/>
  <c r="AI25" i="21" s="1"/>
  <c r="AJ25" i="21" s="1"/>
  <c r="AN25" i="21"/>
  <c r="AN29" i="21"/>
  <c r="AH29" i="21"/>
  <c r="AO29" i="21" s="1"/>
  <c r="AI29" i="21" s="1"/>
  <c r="AJ29" i="21" s="1"/>
  <c r="W7" i="21"/>
  <c r="IS15" i="21"/>
  <c r="AN15" i="21"/>
  <c r="AH15" i="21"/>
  <c r="AO15" i="21" s="1"/>
  <c r="AI15" i="21" s="1"/>
  <c r="AJ15" i="21" s="1"/>
  <c r="AN20" i="21"/>
  <c r="AH20" i="21"/>
  <c r="AO20" i="21" s="1"/>
  <c r="AI20" i="21" s="1"/>
  <c r="AJ20" i="21" s="1"/>
  <c r="FX11" i="20"/>
  <c r="FY11" i="20" s="1"/>
  <c r="FZ11" i="20" s="1"/>
  <c r="EW11" i="20"/>
  <c r="EX11" i="20" s="1"/>
  <c r="EY11" i="20" s="1"/>
  <c r="EU12" i="20"/>
  <c r="FO12" i="20" s="1"/>
  <c r="FP12" i="20" s="1"/>
  <c r="FQ12" i="20" s="1"/>
  <c r="FF11" i="20"/>
  <c r="FG11" i="20" s="1"/>
  <c r="FH11" i="20" s="1"/>
  <c r="BH18" i="18"/>
  <c r="BE19" i="18" s="1"/>
  <c r="JU16" i="20"/>
  <c r="JR17" i="20" s="1"/>
  <c r="JL24" i="21"/>
  <c r="JN24" i="21"/>
  <c r="JZ24" i="21" s="1"/>
  <c r="KA24" i="21" s="1"/>
  <c r="LZ17" i="10"/>
  <c r="MA17" i="10" s="1"/>
  <c r="MB17" i="10" s="1"/>
  <c r="MD17" i="10" s="1"/>
  <c r="EO13" i="20"/>
  <c r="EU13" i="20" s="1"/>
  <c r="JJ13" i="20"/>
  <c r="BA13" i="21"/>
  <c r="JJ13" i="21"/>
  <c r="JL30" i="21"/>
  <c r="JN30" i="21"/>
  <c r="JN31" i="21"/>
  <c r="JL31" i="21"/>
  <c r="JL26" i="21"/>
  <c r="JN26" i="21"/>
  <c r="JL29" i="21"/>
  <c r="JN29" i="21"/>
  <c r="JZ29" i="21" s="1"/>
  <c r="KA29" i="21" s="1"/>
  <c r="JL12" i="21"/>
  <c r="JN12" i="21"/>
  <c r="JZ12" i="21" s="1"/>
  <c r="KA12" i="21" s="1"/>
  <c r="JL12" i="20"/>
  <c r="JN12" i="20"/>
  <c r="JZ12" i="20" s="1"/>
  <c r="KA12" i="20" s="1"/>
  <c r="JU17" i="18"/>
  <c r="JL20" i="21"/>
  <c r="JN20" i="21"/>
  <c r="JZ20" i="21" s="1"/>
  <c r="KA20" i="21" s="1"/>
  <c r="JL25" i="21"/>
  <c r="JN25" i="21"/>
  <c r="JZ25" i="21" s="1"/>
  <c r="KA25" i="21" s="1"/>
  <c r="JU18" i="21"/>
  <c r="EV16" i="20"/>
  <c r="EW16" i="20" s="1"/>
  <c r="EX16" i="20" s="1"/>
  <c r="EJ17" i="20"/>
  <c r="DR11" i="21"/>
  <c r="DQ11" i="21"/>
  <c r="DO11" i="21"/>
  <c r="EO13" i="21"/>
  <c r="EU13" i="21" s="1"/>
  <c r="DD14" i="21"/>
  <c r="KI22" i="10"/>
  <c r="P22" i="25" s="1"/>
  <c r="H407" i="31" s="1"/>
  <c r="DG14" i="18"/>
  <c r="EL16" i="20"/>
  <c r="AW14" i="21"/>
  <c r="EC11" i="21"/>
  <c r="EB11" i="21"/>
  <c r="DZ11" i="21"/>
  <c r="CB19" i="18"/>
  <c r="BY20" i="18" s="1"/>
  <c r="CA15" i="10"/>
  <c r="CC15" i="10" s="1"/>
  <c r="CD15" i="10" s="1"/>
  <c r="CE15" i="10" s="1"/>
  <c r="DF14" i="18"/>
  <c r="DE15" i="10"/>
  <c r="BY20" i="21"/>
  <c r="ET12" i="21"/>
  <c r="EU18" i="21"/>
  <c r="EU23" i="21"/>
  <c r="EU19" i="21"/>
  <c r="ET28" i="21"/>
  <c r="EU28" i="21"/>
  <c r="BI18" i="21"/>
  <c r="BH18" i="21"/>
  <c r="W16" i="21"/>
  <c r="W9" i="21"/>
  <c r="IR12" i="21"/>
  <c r="EU27" i="21"/>
  <c r="ET27" i="21"/>
  <c r="FC17" i="20"/>
  <c r="FT17" i="20"/>
  <c r="FM17" i="20"/>
  <c r="FN17" i="20" s="1"/>
  <c r="FO17" i="20" s="1"/>
  <c r="FP17" i="20" s="1"/>
  <c r="BH17" i="20"/>
  <c r="BE18" i="20" s="1"/>
  <c r="BF18" i="20" s="1"/>
  <c r="BG18" i="20" s="1"/>
  <c r="BA13" i="20"/>
  <c r="EC11" i="20"/>
  <c r="EB11" i="20"/>
  <c r="DX12" i="20" s="1"/>
  <c r="DE14" i="20"/>
  <c r="DG14" i="20" s="1"/>
  <c r="DR11" i="20"/>
  <c r="DQ11" i="20"/>
  <c r="DM12" i="20" s="1"/>
  <c r="CB16" i="20"/>
  <c r="W7" i="20"/>
  <c r="W14" i="20"/>
  <c r="W11" i="20"/>
  <c r="H43" i="24"/>
  <c r="C43" i="24"/>
  <c r="IR17" i="21"/>
  <c r="HC17" i="21"/>
  <c r="IR17" i="20"/>
  <c r="IT11" i="20"/>
  <c r="HD27" i="20"/>
  <c r="HB18" i="20"/>
  <c r="IR18" i="20"/>
  <c r="HD15" i="20"/>
  <c r="IT15" i="20"/>
  <c r="HD18" i="20"/>
  <c r="IT18" i="20"/>
  <c r="BB7" i="20"/>
  <c r="HD14" i="20"/>
  <c r="IT14" i="20"/>
  <c r="HD16" i="20"/>
  <c r="IT16" i="20"/>
  <c r="HB15" i="20"/>
  <c r="IR15" i="20"/>
  <c r="HB11" i="20"/>
  <c r="IR11" i="20"/>
  <c r="HD12" i="20"/>
  <c r="IT12" i="20"/>
  <c r="IR13" i="21"/>
  <c r="HB16" i="21"/>
  <c r="IR16" i="21"/>
  <c r="HB18" i="21"/>
  <c r="IR18" i="21"/>
  <c r="HD11" i="21"/>
  <c r="IT11" i="21"/>
  <c r="HD14" i="21"/>
  <c r="IT14" i="21"/>
  <c r="ET20" i="21"/>
  <c r="HB19" i="21"/>
  <c r="IR19" i="21"/>
  <c r="IS11" i="21"/>
  <c r="HC11" i="21"/>
  <c r="HC21" i="21"/>
  <c r="HD17" i="21"/>
  <c r="IT17" i="21"/>
  <c r="HC20" i="21"/>
  <c r="HD15" i="21"/>
  <c r="IT15" i="21"/>
  <c r="HB11" i="21"/>
  <c r="IR11" i="21"/>
  <c r="IS19" i="21"/>
  <c r="HC19" i="21"/>
  <c r="HD18" i="21"/>
  <c r="IT18" i="21"/>
  <c r="AF7" i="20"/>
  <c r="AE7" i="20"/>
  <c r="GZ7" i="20"/>
  <c r="IP7" i="20"/>
  <c r="IP7" i="21"/>
  <c r="GZ7" i="21"/>
  <c r="AF7" i="21"/>
  <c r="AE7" i="21"/>
  <c r="HB19" i="20"/>
  <c r="HB20" i="20"/>
  <c r="HB16" i="20"/>
  <c r="IR16" i="20"/>
  <c r="HB14" i="20"/>
  <c r="IR14" i="20"/>
  <c r="HB13" i="20"/>
  <c r="IR13" i="20"/>
  <c r="HB12" i="20"/>
  <c r="IR12" i="20"/>
  <c r="HB15" i="21"/>
  <c r="IR15" i="21"/>
  <c r="HB14" i="21"/>
  <c r="IR14" i="21"/>
  <c r="W22" i="20"/>
  <c r="EU20" i="21"/>
  <c r="EU22" i="21"/>
  <c r="ET22" i="21"/>
  <c r="ET25" i="21"/>
  <c r="EU25" i="21"/>
  <c r="HC30" i="21"/>
  <c r="HD19" i="21"/>
  <c r="HD26" i="21"/>
  <c r="EM20" i="21"/>
  <c r="HC14" i="21"/>
  <c r="HC27" i="21"/>
  <c r="ET33" i="21"/>
  <c r="EU33" i="21"/>
  <c r="HC18" i="21"/>
  <c r="AY7" i="21"/>
  <c r="EP7" i="21"/>
  <c r="EU7" i="21" s="1"/>
  <c r="HD21" i="21"/>
  <c r="EU34" i="21"/>
  <c r="ET34" i="21"/>
  <c r="EU29" i="21"/>
  <c r="ET29" i="21"/>
  <c r="FX11" i="21"/>
  <c r="FY11" i="21" s="1"/>
  <c r="FF11" i="21"/>
  <c r="FG11" i="21" s="1"/>
  <c r="FO11" i="21"/>
  <c r="FP11" i="21" s="1"/>
  <c r="EW11" i="21"/>
  <c r="EX11" i="21" s="1"/>
  <c r="EU36" i="21"/>
  <c r="ET36" i="21"/>
  <c r="EU24" i="21"/>
  <c r="ET24" i="21"/>
  <c r="HC16" i="21"/>
  <c r="HD13" i="21"/>
  <c r="HC23" i="21"/>
  <c r="EU30" i="21"/>
  <c r="ET30" i="21"/>
  <c r="HC29" i="21"/>
  <c r="EU32" i="21"/>
  <c r="ET32" i="21"/>
  <c r="EU35" i="21"/>
  <c r="ET35" i="21"/>
  <c r="HC22" i="21"/>
  <c r="FO12" i="21"/>
  <c r="FP12" i="21" s="1"/>
  <c r="EW12" i="21"/>
  <c r="EX12" i="21" s="1"/>
  <c r="FF12" i="21"/>
  <c r="FG12" i="21" s="1"/>
  <c r="FX12" i="21"/>
  <c r="FY12" i="21" s="1"/>
  <c r="EU21" i="21"/>
  <c r="ET21" i="21"/>
  <c r="HC28" i="21"/>
  <c r="FJ8" i="21"/>
  <c r="EJ9" i="21"/>
  <c r="EK8" i="21"/>
  <c r="FS8" i="21"/>
  <c r="FA8" i="21"/>
  <c r="HC15" i="21"/>
  <c r="ET31" i="21"/>
  <c r="EU31" i="21"/>
  <c r="EI10" i="21"/>
  <c r="EU26" i="21"/>
  <c r="ET26" i="21"/>
  <c r="HC18" i="20"/>
  <c r="HC22" i="20"/>
  <c r="HC29" i="20"/>
  <c r="HC15" i="20"/>
  <c r="HC14" i="20"/>
  <c r="HC30" i="20"/>
  <c r="AW14" i="20"/>
  <c r="AY13" i="20"/>
  <c r="W29" i="20"/>
  <c r="HC13" i="20"/>
  <c r="HD17" i="20"/>
  <c r="HC11" i="20"/>
  <c r="HC19" i="20"/>
  <c r="HC21" i="20"/>
  <c r="HC16" i="20"/>
  <c r="HC25" i="20"/>
  <c r="FW15" i="18"/>
  <c r="FN15" i="18"/>
  <c r="FE15" i="18"/>
  <c r="FW14" i="18"/>
  <c r="FN14" i="18"/>
  <c r="FE14" i="18"/>
  <c r="FW13" i="18"/>
  <c r="FN13" i="18"/>
  <c r="FE13" i="18"/>
  <c r="FW12" i="18"/>
  <c r="FN12" i="18"/>
  <c r="FE12" i="18"/>
  <c r="FW11" i="18"/>
  <c r="FN11" i="18"/>
  <c r="FE11" i="18"/>
  <c r="FW10" i="18"/>
  <c r="FN10" i="18"/>
  <c r="FE10" i="18"/>
  <c r="FW9" i="18"/>
  <c r="FN9" i="18"/>
  <c r="FE9" i="18"/>
  <c r="FW8" i="18"/>
  <c r="FN8" i="18"/>
  <c r="FE8" i="18"/>
  <c r="FW7" i="18"/>
  <c r="FN7" i="18"/>
  <c r="FE7" i="18"/>
  <c r="FW13" i="10"/>
  <c r="FW12" i="10"/>
  <c r="FW11" i="10"/>
  <c r="FW10" i="10"/>
  <c r="FW9" i="10"/>
  <c r="FW8" i="10"/>
  <c r="FW7" i="10"/>
  <c r="FN13" i="10"/>
  <c r="FN12" i="10"/>
  <c r="FN11" i="10"/>
  <c r="FN10" i="10"/>
  <c r="FN9" i="10"/>
  <c r="FN8" i="10"/>
  <c r="FN7" i="10"/>
  <c r="FE8" i="10"/>
  <c r="FE9" i="10"/>
  <c r="FE10" i="10"/>
  <c r="FE11" i="10"/>
  <c r="FE12" i="10"/>
  <c r="FE13" i="10"/>
  <c r="FE7" i="10"/>
  <c r="KC28" i="21" l="1"/>
  <c r="MN32" i="10"/>
  <c r="JW35" i="21"/>
  <c r="KD35" i="21" s="1"/>
  <c r="JX35" i="21" s="1"/>
  <c r="JY35" i="21" s="1"/>
  <c r="KB35" i="21" s="1"/>
  <c r="KE35" i="21" s="1"/>
  <c r="JW36" i="21"/>
  <c r="KD36" i="21" s="1"/>
  <c r="JX36" i="21" s="1"/>
  <c r="JY36" i="21" s="1"/>
  <c r="KB36" i="21" s="1"/>
  <c r="IF27" i="21"/>
  <c r="IF28" i="21"/>
  <c r="KC36" i="21"/>
  <c r="IC28" i="21"/>
  <c r="ID28" i="21" s="1"/>
  <c r="IE28" i="21" s="1"/>
  <c r="JW28" i="21"/>
  <c r="KD28" i="21" s="1"/>
  <c r="JX28" i="21" s="1"/>
  <c r="JY28" i="21" s="1"/>
  <c r="KB28" i="21" s="1"/>
  <c r="KF28" i="21" s="1"/>
  <c r="IC27" i="21"/>
  <c r="ID27" i="21" s="1"/>
  <c r="GT11" i="21"/>
  <c r="GU11" i="21" s="1"/>
  <c r="MN22" i="10"/>
  <c r="KC23" i="21"/>
  <c r="JW23" i="21"/>
  <c r="KD23" i="21" s="1"/>
  <c r="JX23" i="21" s="1"/>
  <c r="JY23" i="21" s="1"/>
  <c r="KB23" i="21" s="1"/>
  <c r="JW34" i="21"/>
  <c r="KD34" i="21" s="1"/>
  <c r="JX34" i="21" s="1"/>
  <c r="JY34" i="21" s="1"/>
  <c r="KB34" i="21" s="1"/>
  <c r="KC34" i="21"/>
  <c r="LL35" i="10"/>
  <c r="LM35" i="10" s="1"/>
  <c r="LN35" i="10" s="1"/>
  <c r="KB22" i="21"/>
  <c r="KF22" i="21" s="1"/>
  <c r="GS13" i="21"/>
  <c r="KB18" i="21"/>
  <c r="KF18" i="21" s="1"/>
  <c r="KG18" i="21" s="1"/>
  <c r="KH18" i="21" s="1"/>
  <c r="JZ31" i="21"/>
  <c r="KA31" i="21" s="1"/>
  <c r="KB19" i="21"/>
  <c r="KE19" i="21" s="1"/>
  <c r="KB27" i="21"/>
  <c r="KE27" i="21" s="1"/>
  <c r="JZ26" i="21"/>
  <c r="KA26" i="21" s="1"/>
  <c r="JZ30" i="21"/>
  <c r="KA30" i="21" s="1"/>
  <c r="II14" i="21"/>
  <c r="GR11" i="21"/>
  <c r="GT15" i="21"/>
  <c r="GU15" i="21" s="1"/>
  <c r="II15" i="21"/>
  <c r="GR12" i="20"/>
  <c r="IJ14" i="21"/>
  <c r="IK14" i="21" s="1"/>
  <c r="KE11" i="20"/>
  <c r="KF11" i="20"/>
  <c r="KG11" i="20" s="1"/>
  <c r="KH11" i="20" s="1"/>
  <c r="KI11" i="20" s="1"/>
  <c r="P11" i="30" s="1"/>
  <c r="H1716" i="31" s="1"/>
  <c r="KF21" i="21"/>
  <c r="KE21" i="21"/>
  <c r="KF17" i="21"/>
  <c r="KG17" i="21" s="1"/>
  <c r="KH17" i="21" s="1"/>
  <c r="KE17" i="21"/>
  <c r="KE33" i="21"/>
  <c r="KF33" i="21"/>
  <c r="LK30" i="10"/>
  <c r="KF32" i="21"/>
  <c r="KE32" i="21"/>
  <c r="IZ29" i="20"/>
  <c r="JC29" i="20" s="1"/>
  <c r="IZ30" i="20"/>
  <c r="JE30" i="20" s="1"/>
  <c r="JF30" i="20" s="1"/>
  <c r="IZ24" i="20"/>
  <c r="JE24" i="20" s="1"/>
  <c r="JF24" i="20" s="1"/>
  <c r="IZ32" i="20"/>
  <c r="JC32" i="20" s="1"/>
  <c r="IZ22" i="20"/>
  <c r="JE22" i="20" s="1"/>
  <c r="JF22" i="20" s="1"/>
  <c r="GR22" i="20"/>
  <c r="IZ12" i="20"/>
  <c r="JE12" i="20" s="1"/>
  <c r="JF12" i="20" s="1"/>
  <c r="IX25" i="20"/>
  <c r="IY25" i="20" s="1"/>
  <c r="IX36" i="20"/>
  <c r="IY36" i="20" s="1"/>
  <c r="IX16" i="20"/>
  <c r="IY16" i="20" s="1"/>
  <c r="IX20" i="20"/>
  <c r="IY20" i="20" s="1"/>
  <c r="IZ31" i="20"/>
  <c r="IE30" i="20"/>
  <c r="IJ30" i="20" s="1"/>
  <c r="IK30" i="20" s="1"/>
  <c r="IZ28" i="20"/>
  <c r="JC12" i="20"/>
  <c r="IX34" i="20"/>
  <c r="IY34" i="20" s="1"/>
  <c r="IX13" i="20"/>
  <c r="IY13" i="20" s="1"/>
  <c r="IX35" i="20"/>
  <c r="IY35" i="20" s="1"/>
  <c r="IX14" i="20"/>
  <c r="IY14" i="20" s="1"/>
  <c r="IX19" i="20"/>
  <c r="IY19" i="20" s="1"/>
  <c r="IZ27" i="20"/>
  <c r="AQ27" i="20"/>
  <c r="IH14" i="20"/>
  <c r="II11" i="20"/>
  <c r="IZ33" i="20"/>
  <c r="IX15" i="20"/>
  <c r="IY15" i="20" s="1"/>
  <c r="IX21" i="20"/>
  <c r="IY21" i="20" s="1"/>
  <c r="IX11" i="20"/>
  <c r="IY11" i="20" s="1"/>
  <c r="IZ23" i="20"/>
  <c r="IE15" i="20"/>
  <c r="II15" i="20" s="1"/>
  <c r="IZ26" i="20"/>
  <c r="IX18" i="20"/>
  <c r="IY18" i="20" s="1"/>
  <c r="BS31" i="20"/>
  <c r="IE31" i="20"/>
  <c r="II31" i="20" s="1"/>
  <c r="II14" i="20"/>
  <c r="IH11" i="20"/>
  <c r="IZ17" i="20"/>
  <c r="IE20" i="20"/>
  <c r="II20" i="20" s="1"/>
  <c r="IE32" i="20"/>
  <c r="IH32" i="20" s="1"/>
  <c r="IE23" i="20"/>
  <c r="IJ23" i="20" s="1"/>
  <c r="IK23" i="20" s="1"/>
  <c r="IE27" i="20"/>
  <c r="II27" i="20" s="1"/>
  <c r="GR27" i="20"/>
  <c r="IE8" i="20"/>
  <c r="IJ8" i="20" s="1"/>
  <c r="IK8" i="20" s="1"/>
  <c r="GS27" i="20"/>
  <c r="IE22" i="20"/>
  <c r="IH22" i="20" s="1"/>
  <c r="IH15" i="20"/>
  <c r="IC36" i="20"/>
  <c r="ID36" i="20" s="1"/>
  <c r="IE29" i="20"/>
  <c r="GO32" i="20"/>
  <c r="GT32" i="20" s="1"/>
  <c r="GU32" i="20" s="1"/>
  <c r="IH12" i="20"/>
  <c r="II12" i="20"/>
  <c r="IJ12" i="20"/>
  <c r="IK12" i="20" s="1"/>
  <c r="IC25" i="20"/>
  <c r="ID25" i="20" s="1"/>
  <c r="IE21" i="20"/>
  <c r="IE33" i="20"/>
  <c r="IE13" i="20"/>
  <c r="IE10" i="20"/>
  <c r="IE18" i="20"/>
  <c r="IH17" i="20"/>
  <c r="II17" i="20"/>
  <c r="IJ17" i="20"/>
  <c r="IK17" i="20" s="1"/>
  <c r="IE28" i="20"/>
  <c r="IE9" i="20"/>
  <c r="IE19" i="20"/>
  <c r="IE26" i="20"/>
  <c r="IH16" i="20"/>
  <c r="II16" i="20"/>
  <c r="IE24" i="20"/>
  <c r="IC35" i="20"/>
  <c r="ID35" i="20" s="1"/>
  <c r="IC34" i="20"/>
  <c r="ID34" i="20" s="1"/>
  <c r="IH7" i="20"/>
  <c r="II7" i="20"/>
  <c r="IJ7" i="20"/>
  <c r="IK7" i="20" s="1"/>
  <c r="IL7" i="20" s="1"/>
  <c r="BS22" i="20"/>
  <c r="GS22" i="20"/>
  <c r="GR16" i="20"/>
  <c r="GS16" i="20"/>
  <c r="BS28" i="20"/>
  <c r="BS11" i="20"/>
  <c r="CN11" i="20" s="1"/>
  <c r="CO11" i="20" s="1"/>
  <c r="GR25" i="20"/>
  <c r="GO13" i="20"/>
  <c r="GR13" i="20" s="1"/>
  <c r="HJ17" i="20"/>
  <c r="HO17" i="20" s="1"/>
  <c r="HP17" i="20" s="1"/>
  <c r="GO9" i="20"/>
  <c r="GR9" i="20" s="1"/>
  <c r="HJ33" i="20"/>
  <c r="HO33" i="20" s="1"/>
  <c r="HP33" i="20" s="1"/>
  <c r="GS25" i="20"/>
  <c r="GO18" i="20"/>
  <c r="GT18" i="20" s="1"/>
  <c r="GU18" i="20" s="1"/>
  <c r="GO10" i="20"/>
  <c r="GT10" i="20" s="1"/>
  <c r="GU10" i="20" s="1"/>
  <c r="HJ34" i="20"/>
  <c r="HN34" i="20" s="1"/>
  <c r="HH18" i="20"/>
  <c r="HI18" i="20" s="1"/>
  <c r="GT30" i="20"/>
  <c r="GU30" i="20" s="1"/>
  <c r="HJ36" i="20"/>
  <c r="HH21" i="20"/>
  <c r="HI21" i="20" s="1"/>
  <c r="HH13" i="20"/>
  <c r="HI13" i="20" s="1"/>
  <c r="HH30" i="20"/>
  <c r="HI30" i="20" s="1"/>
  <c r="HH22" i="20"/>
  <c r="HI22" i="20" s="1"/>
  <c r="HJ23" i="20"/>
  <c r="HJ27" i="20"/>
  <c r="BO35" i="20"/>
  <c r="BR35" i="20" s="1"/>
  <c r="BS27" i="20"/>
  <c r="GO20" i="20"/>
  <c r="GT20" i="20" s="1"/>
  <c r="GU20" i="20" s="1"/>
  <c r="GO26" i="20"/>
  <c r="GT26" i="20" s="1"/>
  <c r="GU26" i="20" s="1"/>
  <c r="GO34" i="20"/>
  <c r="GS34" i="20" s="1"/>
  <c r="GT12" i="20"/>
  <c r="GU12" i="20" s="1"/>
  <c r="HJ12" i="20"/>
  <c r="HN32" i="20"/>
  <c r="HM32" i="20"/>
  <c r="HO32" i="20"/>
  <c r="HP32" i="20" s="1"/>
  <c r="HJ24" i="20"/>
  <c r="HH19" i="20"/>
  <c r="HI19" i="20" s="1"/>
  <c r="HH14" i="20"/>
  <c r="HI14" i="20" s="1"/>
  <c r="HH25" i="20"/>
  <c r="HI25" i="20" s="1"/>
  <c r="HH11" i="20"/>
  <c r="HI11" i="20" s="1"/>
  <c r="HH15" i="20"/>
  <c r="HI15" i="20" s="1"/>
  <c r="HJ35" i="20"/>
  <c r="GR30" i="20"/>
  <c r="HJ28" i="20"/>
  <c r="HH16" i="20"/>
  <c r="HI16" i="20" s="1"/>
  <c r="HH29" i="20"/>
  <c r="HI29" i="20" s="1"/>
  <c r="BO20" i="20"/>
  <c r="BR20" i="20" s="1"/>
  <c r="HJ31" i="20"/>
  <c r="AR17" i="20"/>
  <c r="HJ20" i="20"/>
  <c r="HJ26" i="20"/>
  <c r="GS23" i="20"/>
  <c r="GR23" i="20"/>
  <c r="GT23" i="20"/>
  <c r="GU23" i="20" s="1"/>
  <c r="GS9" i="20"/>
  <c r="GR17" i="20"/>
  <c r="GS17" i="20"/>
  <c r="GR11" i="20"/>
  <c r="GS11" i="20"/>
  <c r="GT11" i="20"/>
  <c r="GU11" i="20" s="1"/>
  <c r="GO8" i="20"/>
  <c r="GS14" i="20"/>
  <c r="GR14" i="20"/>
  <c r="GT14" i="20"/>
  <c r="GU14" i="20" s="1"/>
  <c r="GO36" i="20"/>
  <c r="AQ17" i="20"/>
  <c r="GO35" i="20"/>
  <c r="GR29" i="20"/>
  <c r="GS29" i="20"/>
  <c r="GT29" i="20"/>
  <c r="GU29" i="20" s="1"/>
  <c r="GO28" i="20"/>
  <c r="GO24" i="20"/>
  <c r="GO19" i="20"/>
  <c r="AQ23" i="20"/>
  <c r="BO19" i="20"/>
  <c r="BR19" i="20" s="1"/>
  <c r="BR23" i="20"/>
  <c r="GS7" i="20"/>
  <c r="GR7" i="20"/>
  <c r="GT7" i="20"/>
  <c r="GU7" i="20" s="1"/>
  <c r="GV7" i="20" s="1"/>
  <c r="GO21" i="20"/>
  <c r="GR33" i="20"/>
  <c r="GS33" i="20"/>
  <c r="GT33" i="20"/>
  <c r="GU33" i="20" s="1"/>
  <c r="GO15" i="20"/>
  <c r="GR31" i="20"/>
  <c r="GS31" i="20"/>
  <c r="GT31" i="20"/>
  <c r="GU31" i="20" s="1"/>
  <c r="GT17" i="20"/>
  <c r="GU17" i="20" s="1"/>
  <c r="W16" i="20"/>
  <c r="BS7" i="20"/>
  <c r="ED7" i="20" s="1"/>
  <c r="EE7" i="20" s="1"/>
  <c r="EF7" i="20" s="1"/>
  <c r="K7" i="30" s="1"/>
  <c r="H1472" i="31" s="1"/>
  <c r="BR7" i="20"/>
  <c r="BO25" i="20"/>
  <c r="BO36" i="20"/>
  <c r="BO21" i="20"/>
  <c r="BO34" i="20"/>
  <c r="BR30" i="20"/>
  <c r="BS30" i="20"/>
  <c r="BM13" i="20"/>
  <c r="BN13" i="20" s="1"/>
  <c r="V18" i="20"/>
  <c r="BR32" i="20"/>
  <c r="BS32" i="20"/>
  <c r="BO12" i="20"/>
  <c r="AR24" i="20"/>
  <c r="AQ24" i="20"/>
  <c r="BR26" i="20"/>
  <c r="BS26" i="20"/>
  <c r="BR24" i="20"/>
  <c r="BS24" i="20"/>
  <c r="BR29" i="20"/>
  <c r="BS29" i="20"/>
  <c r="BR33" i="20"/>
  <c r="BS33" i="20"/>
  <c r="BR17" i="20"/>
  <c r="BS17" i="20"/>
  <c r="BT17" i="20" s="1"/>
  <c r="BU17" i="20" s="1"/>
  <c r="BO18" i="20"/>
  <c r="AQ36" i="20"/>
  <c r="AP36" i="20"/>
  <c r="AM22" i="20"/>
  <c r="AR22" i="20" s="1"/>
  <c r="AS22" i="20" s="1"/>
  <c r="V9" i="20"/>
  <c r="AM16" i="20"/>
  <c r="AP16" i="20" s="1"/>
  <c r="AR23" i="20"/>
  <c r="AS23" i="20" s="1"/>
  <c r="AP34" i="20"/>
  <c r="AQ34" i="20"/>
  <c r="AM18" i="20"/>
  <c r="AQ18" i="20" s="1"/>
  <c r="AM11" i="20"/>
  <c r="AR11" i="20" s="1"/>
  <c r="T9" i="20"/>
  <c r="AM19" i="20"/>
  <c r="AR19" i="20" s="1"/>
  <c r="AM13" i="20"/>
  <c r="AQ13" i="20" s="1"/>
  <c r="AM30" i="20"/>
  <c r="AQ30" i="20" s="1"/>
  <c r="AP12" i="20"/>
  <c r="AQ12" i="20"/>
  <c r="AR12" i="20"/>
  <c r="AP26" i="20"/>
  <c r="AQ26" i="20"/>
  <c r="U20" i="20"/>
  <c r="W17" i="20"/>
  <c r="AM15" i="20"/>
  <c r="AM14" i="20"/>
  <c r="U21" i="20"/>
  <c r="T18" i="20"/>
  <c r="AP31" i="20"/>
  <c r="AQ31" i="20"/>
  <c r="AR31" i="20"/>
  <c r="AS31" i="20" s="1"/>
  <c r="AR26" i="20"/>
  <c r="AS26" i="20" s="1"/>
  <c r="AM21" i="20"/>
  <c r="AM25" i="20"/>
  <c r="AP32" i="20"/>
  <c r="AQ32" i="20"/>
  <c r="AR32" i="20"/>
  <c r="AS32" i="20" s="1"/>
  <c r="AH7" i="20"/>
  <c r="AO7" i="20" s="1"/>
  <c r="AI7" i="20" s="1"/>
  <c r="AJ7" i="20" s="1"/>
  <c r="AK7" i="20"/>
  <c r="AL7" i="20" s="1"/>
  <c r="T21" i="20"/>
  <c r="V20" i="20"/>
  <c r="AP28" i="20"/>
  <c r="AQ28" i="20"/>
  <c r="AR28" i="20"/>
  <c r="AS28" i="20" s="1"/>
  <c r="AP20" i="20"/>
  <c r="AQ20" i="20"/>
  <c r="AM29" i="20"/>
  <c r="U13" i="20"/>
  <c r="T13" i="20"/>
  <c r="V13" i="20"/>
  <c r="T26" i="20"/>
  <c r="U26" i="20"/>
  <c r="V26" i="20"/>
  <c r="T15" i="20"/>
  <c r="U15" i="20"/>
  <c r="V15" i="20"/>
  <c r="W27" i="20"/>
  <c r="T19" i="20"/>
  <c r="U19" i="20"/>
  <c r="V19" i="20"/>
  <c r="T32" i="20"/>
  <c r="U32" i="20"/>
  <c r="V32" i="20"/>
  <c r="W32" i="20" s="1"/>
  <c r="T10" i="20"/>
  <c r="U10" i="20"/>
  <c r="V10" i="20"/>
  <c r="W10" i="20" s="1"/>
  <c r="T24" i="20"/>
  <c r="U24" i="20"/>
  <c r="V24" i="20"/>
  <c r="W24" i="20" s="1"/>
  <c r="T8" i="20"/>
  <c r="U8" i="20"/>
  <c r="V8" i="20"/>
  <c r="T28" i="20"/>
  <c r="U28" i="20"/>
  <c r="V28" i="20"/>
  <c r="IZ22" i="21"/>
  <c r="JC22" i="21" s="1"/>
  <c r="IX19" i="21"/>
  <c r="IY19" i="21" s="1"/>
  <c r="IX35" i="21"/>
  <c r="IY35" i="21" s="1"/>
  <c r="IZ12" i="21"/>
  <c r="IX36" i="21"/>
  <c r="IY36" i="21" s="1"/>
  <c r="IX32" i="21"/>
  <c r="IY32" i="21" s="1"/>
  <c r="IX28" i="21"/>
  <c r="IY28" i="21" s="1"/>
  <c r="IX15" i="21"/>
  <c r="IY15" i="21" s="1"/>
  <c r="IX17" i="21"/>
  <c r="IY17" i="21" s="1"/>
  <c r="IX29" i="21"/>
  <c r="IY29" i="21" s="1"/>
  <c r="IX14" i="21"/>
  <c r="IY14" i="21" s="1"/>
  <c r="IX31" i="21"/>
  <c r="IY31" i="21" s="1"/>
  <c r="IX25" i="21"/>
  <c r="IY25" i="21" s="1"/>
  <c r="IX27" i="21"/>
  <c r="IY27" i="21" s="1"/>
  <c r="IX16" i="21"/>
  <c r="IY16" i="21" s="1"/>
  <c r="IE22" i="21"/>
  <c r="IH22" i="21" s="1"/>
  <c r="IH11" i="21"/>
  <c r="IZ21" i="21"/>
  <c r="IX11" i="21"/>
  <c r="IY11" i="21" s="1"/>
  <c r="IX30" i="21"/>
  <c r="IY30" i="21" s="1"/>
  <c r="IX26" i="21"/>
  <c r="IY26" i="21" s="1"/>
  <c r="IX33" i="21"/>
  <c r="IY33" i="21" s="1"/>
  <c r="IX34" i="21"/>
  <c r="IY34" i="21" s="1"/>
  <c r="IX23" i="21"/>
  <c r="IY23" i="21" s="1"/>
  <c r="IX24" i="21"/>
  <c r="IY24" i="21" s="1"/>
  <c r="IX20" i="21"/>
  <c r="IY20" i="21" s="1"/>
  <c r="IX18" i="21"/>
  <c r="IY18" i="21" s="1"/>
  <c r="IZ13" i="21"/>
  <c r="IE17" i="21"/>
  <c r="II17" i="21" s="1"/>
  <c r="II11" i="21"/>
  <c r="IE18" i="21"/>
  <c r="IJ18" i="21" s="1"/>
  <c r="IK18" i="21" s="1"/>
  <c r="IH15" i="21"/>
  <c r="IJ10" i="21"/>
  <c r="IK10" i="21" s="1"/>
  <c r="IH10" i="21"/>
  <c r="IE20" i="21"/>
  <c r="II20" i="21" s="1"/>
  <c r="IC32" i="21"/>
  <c r="ID32" i="21" s="1"/>
  <c r="IE27" i="21"/>
  <c r="IH7" i="21"/>
  <c r="II7" i="21"/>
  <c r="IC26" i="21"/>
  <c r="ID26" i="21" s="1"/>
  <c r="IC33" i="21"/>
  <c r="ID33" i="21" s="1"/>
  <c r="IC25" i="21"/>
  <c r="ID25" i="21" s="1"/>
  <c r="II9" i="21"/>
  <c r="IH9" i="21"/>
  <c r="II8" i="21"/>
  <c r="IH8" i="21"/>
  <c r="II16" i="21"/>
  <c r="IH16" i="21"/>
  <c r="IJ16" i="21"/>
  <c r="IK16" i="21" s="1"/>
  <c r="IC24" i="21"/>
  <c r="ID24" i="21" s="1"/>
  <c r="IH13" i="21"/>
  <c r="II13" i="21"/>
  <c r="IH19" i="21"/>
  <c r="II19" i="21"/>
  <c r="IJ19" i="21"/>
  <c r="IK19" i="21" s="1"/>
  <c r="IC36" i="21"/>
  <c r="ID36" i="21" s="1"/>
  <c r="IE21" i="21"/>
  <c r="IJ7" i="21"/>
  <c r="IK7" i="21" s="1"/>
  <c r="IL7" i="21" s="1"/>
  <c r="IL8" i="21" s="1"/>
  <c r="IC30" i="21"/>
  <c r="ID30" i="21" s="1"/>
  <c r="IC31" i="21"/>
  <c r="ID31" i="21" s="1"/>
  <c r="IC34" i="21"/>
  <c r="ID34" i="21" s="1"/>
  <c r="IC23" i="21"/>
  <c r="ID23" i="21" s="1"/>
  <c r="IE12" i="21"/>
  <c r="IC35" i="21"/>
  <c r="ID35" i="21" s="1"/>
  <c r="IC29" i="21"/>
  <c r="ID29" i="21" s="1"/>
  <c r="IJ9" i="21"/>
  <c r="IK9" i="21" s="1"/>
  <c r="HJ26" i="21"/>
  <c r="HO26" i="21" s="1"/>
  <c r="HP26" i="21" s="1"/>
  <c r="HJ34" i="21"/>
  <c r="HN34" i="21" s="1"/>
  <c r="HH16" i="21"/>
  <c r="HI16" i="21" s="1"/>
  <c r="HH18" i="21"/>
  <c r="HI18" i="21" s="1"/>
  <c r="HH27" i="21"/>
  <c r="HI27" i="21" s="1"/>
  <c r="HH19" i="21"/>
  <c r="HI19" i="21" s="1"/>
  <c r="HJ35" i="21"/>
  <c r="HJ13" i="21"/>
  <c r="HJ24" i="21"/>
  <c r="HH28" i="21"/>
  <c r="HI28" i="21" s="1"/>
  <c r="HH14" i="21"/>
  <c r="HI14" i="21" s="1"/>
  <c r="GR15" i="21"/>
  <c r="HM31" i="21"/>
  <c r="HN31" i="21"/>
  <c r="HO31" i="21"/>
  <c r="HP31" i="21" s="1"/>
  <c r="HJ12" i="21"/>
  <c r="HH29" i="21"/>
  <c r="HI29" i="21" s="1"/>
  <c r="HH11" i="21"/>
  <c r="HI11" i="21" s="1"/>
  <c r="HH15" i="21"/>
  <c r="HI15" i="21" s="1"/>
  <c r="HH30" i="21"/>
  <c r="HI30" i="21" s="1"/>
  <c r="HH21" i="21"/>
  <c r="HI21" i="21" s="1"/>
  <c r="HH22" i="21"/>
  <c r="HI22" i="21" s="1"/>
  <c r="HH23" i="21"/>
  <c r="HI23" i="21" s="1"/>
  <c r="HH20" i="21"/>
  <c r="HI20" i="21" s="1"/>
  <c r="HH17" i="21"/>
  <c r="HI17" i="21" s="1"/>
  <c r="HH25" i="21"/>
  <c r="HI25" i="21" s="1"/>
  <c r="HJ36" i="21"/>
  <c r="HJ32" i="21"/>
  <c r="HJ33" i="21"/>
  <c r="GR19" i="21"/>
  <c r="GT19" i="21"/>
  <c r="GU19" i="21" s="1"/>
  <c r="GR13" i="21"/>
  <c r="GO27" i="21"/>
  <c r="GR27" i="21" s="1"/>
  <c r="GO31" i="21"/>
  <c r="GS31" i="21" s="1"/>
  <c r="GO35" i="21"/>
  <c r="GR35" i="21" s="1"/>
  <c r="GO23" i="21"/>
  <c r="GT23" i="21" s="1"/>
  <c r="GU23" i="21" s="1"/>
  <c r="GO36" i="21"/>
  <c r="GT36" i="21" s="1"/>
  <c r="GU36" i="21" s="1"/>
  <c r="GO22" i="21"/>
  <c r="GS22" i="21" s="1"/>
  <c r="GO33" i="21"/>
  <c r="GO29" i="21"/>
  <c r="GO24" i="21"/>
  <c r="GO21" i="21"/>
  <c r="GO17" i="21"/>
  <c r="AQ24" i="21"/>
  <c r="BS11" i="21"/>
  <c r="DH11" i="21" s="1"/>
  <c r="DI11" i="21" s="1"/>
  <c r="DJ11" i="21" s="1"/>
  <c r="I11" i="29" s="1"/>
  <c r="H1026" i="31" s="1"/>
  <c r="GO18" i="21"/>
  <c r="GR10" i="21"/>
  <c r="GS10" i="21"/>
  <c r="GS16" i="21"/>
  <c r="GR16" i="21"/>
  <c r="GT16" i="21"/>
  <c r="GU16" i="21" s="1"/>
  <c r="GO28" i="21"/>
  <c r="AR24" i="21"/>
  <c r="GR30" i="21"/>
  <c r="GS30" i="21"/>
  <c r="GT30" i="21"/>
  <c r="GU30" i="21" s="1"/>
  <c r="GR8" i="21"/>
  <c r="GS8" i="21"/>
  <c r="GT10" i="21"/>
  <c r="GU10" i="21" s="1"/>
  <c r="GO25" i="21"/>
  <c r="GO20" i="21"/>
  <c r="GO32" i="21"/>
  <c r="GO12" i="21"/>
  <c r="GS7" i="21"/>
  <c r="GR7" i="21"/>
  <c r="GO34" i="21"/>
  <c r="GR9" i="21"/>
  <c r="GS9" i="21"/>
  <c r="GT9" i="21"/>
  <c r="GU9" i="21" s="1"/>
  <c r="GR14" i="21"/>
  <c r="GS14" i="21"/>
  <c r="GO26" i="21"/>
  <c r="GT7" i="21"/>
  <c r="GU7" i="21" s="1"/>
  <c r="GV7" i="21" s="1"/>
  <c r="GT8" i="21"/>
  <c r="GU8" i="21" s="1"/>
  <c r="BO29" i="21"/>
  <c r="BS29" i="21" s="1"/>
  <c r="BO12" i="21"/>
  <c r="BS12" i="21" s="1"/>
  <c r="CN12" i="21" s="1"/>
  <c r="CO12" i="21" s="1"/>
  <c r="BO21" i="21"/>
  <c r="BR21" i="21" s="1"/>
  <c r="BO22" i="21"/>
  <c r="BR22" i="21" s="1"/>
  <c r="BO26" i="21"/>
  <c r="BR26" i="21" s="1"/>
  <c r="BO30" i="21"/>
  <c r="BS30" i="21" s="1"/>
  <c r="BO23" i="21"/>
  <c r="BO33" i="21"/>
  <c r="BO25" i="21"/>
  <c r="BO34" i="21"/>
  <c r="W10" i="21"/>
  <c r="BO35" i="21"/>
  <c r="BO31" i="21"/>
  <c r="BO27" i="21"/>
  <c r="BO19" i="21"/>
  <c r="BR17" i="21"/>
  <c r="BS17" i="21"/>
  <c r="CD17" i="21" s="1"/>
  <c r="CE17" i="21" s="1"/>
  <c r="BO24" i="21"/>
  <c r="BO32" i="21"/>
  <c r="BM13" i="21"/>
  <c r="BN13" i="21" s="1"/>
  <c r="BO36" i="21"/>
  <c r="BO18" i="21"/>
  <c r="BO20" i="21"/>
  <c r="BO28" i="21"/>
  <c r="AM22" i="21"/>
  <c r="AQ22" i="21" s="1"/>
  <c r="AQ26" i="21"/>
  <c r="AM29" i="21"/>
  <c r="AR29" i="21" s="1"/>
  <c r="AM14" i="21"/>
  <c r="AR14" i="21" s="1"/>
  <c r="AP26" i="21"/>
  <c r="AM30" i="21"/>
  <c r="AP30" i="21" s="1"/>
  <c r="AM11" i="21"/>
  <c r="AR11" i="21" s="1"/>
  <c r="AM23" i="21"/>
  <c r="AP23" i="21" s="1"/>
  <c r="V26" i="21"/>
  <c r="W26" i="21" s="1"/>
  <c r="AM21" i="21"/>
  <c r="AQ21" i="21" s="1"/>
  <c r="AM27" i="21"/>
  <c r="AM18" i="21"/>
  <c r="AM15" i="21"/>
  <c r="U26" i="21"/>
  <c r="AM20" i="21"/>
  <c r="AM28" i="21"/>
  <c r="AP32" i="21"/>
  <c r="AQ32" i="21"/>
  <c r="AR32" i="21"/>
  <c r="AS32" i="21" s="1"/>
  <c r="AM19" i="21"/>
  <c r="V22" i="21"/>
  <c r="AP12" i="21"/>
  <c r="AQ12" i="21"/>
  <c r="AM25" i="21"/>
  <c r="AH7" i="21"/>
  <c r="AO7" i="21" s="1"/>
  <c r="AI7" i="21" s="1"/>
  <c r="AJ7" i="21" s="1"/>
  <c r="AK7" i="21"/>
  <c r="AL7" i="21" s="1"/>
  <c r="W14" i="21"/>
  <c r="AQ13" i="21"/>
  <c r="AP13" i="21"/>
  <c r="AM17" i="21"/>
  <c r="AR12" i="21"/>
  <c r="AM16" i="21"/>
  <c r="T22" i="21"/>
  <c r="W19" i="21"/>
  <c r="W15" i="21"/>
  <c r="U29" i="21"/>
  <c r="T29" i="21"/>
  <c r="V29" i="21"/>
  <c r="U33" i="21"/>
  <c r="T33" i="21"/>
  <c r="V33" i="21"/>
  <c r="W33" i="21" s="1"/>
  <c r="T12" i="21"/>
  <c r="U12" i="21"/>
  <c r="V12" i="21"/>
  <c r="U25" i="21"/>
  <c r="T25" i="21"/>
  <c r="V25" i="21"/>
  <c r="T23" i="21"/>
  <c r="U23" i="21"/>
  <c r="V23" i="21"/>
  <c r="W23" i="21" s="1"/>
  <c r="T24" i="21"/>
  <c r="U24" i="21"/>
  <c r="V24" i="21"/>
  <c r="W24" i="21" s="1"/>
  <c r="U17" i="21"/>
  <c r="T17" i="21"/>
  <c r="V17" i="21"/>
  <c r="T20" i="21"/>
  <c r="U20" i="21"/>
  <c r="V20" i="21"/>
  <c r="U34" i="21"/>
  <c r="T34" i="21"/>
  <c r="V34" i="21"/>
  <c r="W34" i="21" s="1"/>
  <c r="T27" i="21"/>
  <c r="U27" i="21"/>
  <c r="V27" i="21"/>
  <c r="W30" i="21"/>
  <c r="U18" i="21"/>
  <c r="T18" i="21"/>
  <c r="V18" i="21"/>
  <c r="U21" i="21"/>
  <c r="T21" i="21"/>
  <c r="V21" i="21"/>
  <c r="T28" i="21"/>
  <c r="U28" i="21"/>
  <c r="V28" i="21"/>
  <c r="LL25" i="10"/>
  <c r="LM25" i="10" s="1"/>
  <c r="LN25" i="10" s="1"/>
  <c r="LK36" i="10"/>
  <c r="LL36" i="10"/>
  <c r="LM36" i="10" s="1"/>
  <c r="LN36" i="10" s="1"/>
  <c r="LK34" i="10"/>
  <c r="LL34" i="10"/>
  <c r="LM34" i="10" s="1"/>
  <c r="LN34" i="10" s="1"/>
  <c r="LK24" i="10"/>
  <c r="LL24" i="10"/>
  <c r="LM24" i="10" s="1"/>
  <c r="LN24" i="10" s="1"/>
  <c r="LK33" i="10"/>
  <c r="LL33" i="10"/>
  <c r="LM33" i="10" s="1"/>
  <c r="LN33" i="10" s="1"/>
  <c r="LK26" i="10"/>
  <c r="LL26" i="10"/>
  <c r="LM26" i="10" s="1"/>
  <c r="LN26" i="10" s="1"/>
  <c r="LK32" i="10"/>
  <c r="LL32" i="10"/>
  <c r="LM32" i="10" s="1"/>
  <c r="LN32" i="10" s="1"/>
  <c r="LK29" i="10"/>
  <c r="LL29" i="10"/>
  <c r="LM29" i="10" s="1"/>
  <c r="LN29" i="10" s="1"/>
  <c r="LK28" i="10"/>
  <c r="LL28" i="10"/>
  <c r="LM28" i="10" s="1"/>
  <c r="LN28" i="10" s="1"/>
  <c r="LK31" i="10"/>
  <c r="LL31" i="10"/>
  <c r="LM31" i="10" s="1"/>
  <c r="LN31" i="10" s="1"/>
  <c r="LK27" i="10"/>
  <c r="LL27" i="10"/>
  <c r="LM27" i="10" s="1"/>
  <c r="LN27" i="10" s="1"/>
  <c r="X7" i="21"/>
  <c r="C7" i="29" s="1"/>
  <c r="H842" i="31" s="1"/>
  <c r="MO17" i="10"/>
  <c r="MP17" i="10" s="1"/>
  <c r="W21" i="20"/>
  <c r="JW25" i="21"/>
  <c r="KD25" i="21" s="1"/>
  <c r="JX25" i="21" s="1"/>
  <c r="JY25" i="21" s="1"/>
  <c r="KB25" i="21" s="1"/>
  <c r="KC25" i="21"/>
  <c r="JW20" i="21"/>
  <c r="KD20" i="21" s="1"/>
  <c r="JX20" i="21" s="1"/>
  <c r="JY20" i="21" s="1"/>
  <c r="KB20" i="21" s="1"/>
  <c r="KC20" i="21"/>
  <c r="JW31" i="21"/>
  <c r="KD31" i="21" s="1"/>
  <c r="JX31" i="21" s="1"/>
  <c r="JY31" i="21" s="1"/>
  <c r="KC31" i="21"/>
  <c r="JW29" i="21"/>
  <c r="KD29" i="21" s="1"/>
  <c r="JX29" i="21" s="1"/>
  <c r="JY29" i="21" s="1"/>
  <c r="KB29" i="21" s="1"/>
  <c r="KC29" i="21"/>
  <c r="JW12" i="21"/>
  <c r="KD12" i="21" s="1"/>
  <c r="JX12" i="21" s="1"/>
  <c r="JY12" i="21" s="1"/>
  <c r="KB12" i="21" s="1"/>
  <c r="KC12" i="21"/>
  <c r="JW26" i="21"/>
  <c r="KD26" i="21" s="1"/>
  <c r="JX26" i="21" s="1"/>
  <c r="JY26" i="21" s="1"/>
  <c r="KC26" i="21"/>
  <c r="JW24" i="21"/>
  <c r="KD24" i="21" s="1"/>
  <c r="JX24" i="21" s="1"/>
  <c r="JY24" i="21" s="1"/>
  <c r="KB24" i="21" s="1"/>
  <c r="KC24" i="21"/>
  <c r="JW12" i="20"/>
  <c r="KD12" i="20" s="1"/>
  <c r="JX12" i="20" s="1"/>
  <c r="JY12" i="20" s="1"/>
  <c r="KB12" i="20" s="1"/>
  <c r="KC12" i="20"/>
  <c r="JW30" i="21"/>
  <c r="KD30" i="21" s="1"/>
  <c r="JX30" i="21" s="1"/>
  <c r="JY30" i="21" s="1"/>
  <c r="KC30" i="21"/>
  <c r="JA25" i="20"/>
  <c r="IU25" i="20"/>
  <c r="JB25" i="20" s="1"/>
  <c r="IV25" i="20" s="1"/>
  <c r="IW25" i="20" s="1"/>
  <c r="IU11" i="20"/>
  <c r="JB11" i="20" s="1"/>
  <c r="IV11" i="20" s="1"/>
  <c r="IW11" i="20" s="1"/>
  <c r="JA11" i="20"/>
  <c r="JA36" i="20"/>
  <c r="IU36" i="20"/>
  <c r="JB36" i="20" s="1"/>
  <c r="IV36" i="20" s="1"/>
  <c r="IW36" i="20" s="1"/>
  <c r="JA34" i="20"/>
  <c r="IU34" i="20"/>
  <c r="JB34" i="20" s="1"/>
  <c r="IV34" i="20" s="1"/>
  <c r="IW34" i="20" s="1"/>
  <c r="IU13" i="20"/>
  <c r="JB13" i="20" s="1"/>
  <c r="IV13" i="20" s="1"/>
  <c r="IW13" i="20" s="1"/>
  <c r="JA13" i="20"/>
  <c r="JA15" i="20"/>
  <c r="IU15" i="20"/>
  <c r="JB15" i="20" s="1"/>
  <c r="IV15" i="20" s="1"/>
  <c r="IW15" i="20" s="1"/>
  <c r="JA14" i="20"/>
  <c r="IU14" i="20"/>
  <c r="JB14" i="20" s="1"/>
  <c r="IV14" i="20" s="1"/>
  <c r="IW14" i="20" s="1"/>
  <c r="IU21" i="20"/>
  <c r="JB21" i="20" s="1"/>
  <c r="IV21" i="20" s="1"/>
  <c r="IW21" i="20" s="1"/>
  <c r="JA21" i="20"/>
  <c r="JA19" i="20"/>
  <c r="IU19" i="20"/>
  <c r="JB19" i="20" s="1"/>
  <c r="IV19" i="20" s="1"/>
  <c r="IW19" i="20" s="1"/>
  <c r="JA35" i="20"/>
  <c r="IU35" i="20"/>
  <c r="JB35" i="20" s="1"/>
  <c r="IV35" i="20" s="1"/>
  <c r="IW35" i="20" s="1"/>
  <c r="JA16" i="20"/>
  <c r="IU16" i="20"/>
  <c r="JB16" i="20" s="1"/>
  <c r="IV16" i="20" s="1"/>
  <c r="IW16" i="20" s="1"/>
  <c r="JA18" i="20"/>
  <c r="IU18" i="20"/>
  <c r="JB18" i="20" s="1"/>
  <c r="IV18" i="20" s="1"/>
  <c r="IW18" i="20" s="1"/>
  <c r="JA20" i="20"/>
  <c r="IU20" i="20"/>
  <c r="JB20" i="20" s="1"/>
  <c r="IV20" i="20" s="1"/>
  <c r="IW20" i="20" s="1"/>
  <c r="IF36" i="20"/>
  <c r="HZ36" i="20"/>
  <c r="IG36" i="20" s="1"/>
  <c r="IA36" i="20" s="1"/>
  <c r="IB36" i="20" s="1"/>
  <c r="IF25" i="20"/>
  <c r="HZ25" i="20"/>
  <c r="IG25" i="20" s="1"/>
  <c r="IA25" i="20" s="1"/>
  <c r="IB25" i="20" s="1"/>
  <c r="IF35" i="20"/>
  <c r="HZ35" i="20"/>
  <c r="IG35" i="20" s="1"/>
  <c r="IA35" i="20" s="1"/>
  <c r="IB35" i="20" s="1"/>
  <c r="IF34" i="20"/>
  <c r="HZ34" i="20"/>
  <c r="IG34" i="20" s="1"/>
  <c r="IA34" i="20" s="1"/>
  <c r="IB34" i="20" s="1"/>
  <c r="HK16" i="20"/>
  <c r="HE16" i="20"/>
  <c r="HL16" i="20" s="1"/>
  <c r="HF16" i="20" s="1"/>
  <c r="HG16" i="20" s="1"/>
  <c r="HE19" i="20"/>
  <c r="HL19" i="20" s="1"/>
  <c r="HF19" i="20" s="1"/>
  <c r="HG19" i="20" s="1"/>
  <c r="HK19" i="20"/>
  <c r="HK15" i="20"/>
  <c r="HE15" i="20"/>
  <c r="HL15" i="20" s="1"/>
  <c r="HF15" i="20" s="1"/>
  <c r="HG15" i="20" s="1"/>
  <c r="HK22" i="20"/>
  <c r="HE22" i="20"/>
  <c r="HL22" i="20" s="1"/>
  <c r="HF22" i="20" s="1"/>
  <c r="HG22" i="20" s="1"/>
  <c r="HK14" i="20"/>
  <c r="HE14" i="20"/>
  <c r="HL14" i="20" s="1"/>
  <c r="HF14" i="20" s="1"/>
  <c r="HG14" i="20" s="1"/>
  <c r="HE21" i="20"/>
  <c r="HL21" i="20" s="1"/>
  <c r="HF21" i="20" s="1"/>
  <c r="HG21" i="20" s="1"/>
  <c r="HK21" i="20"/>
  <c r="HK29" i="20"/>
  <c r="HE29" i="20"/>
  <c r="HL29" i="20" s="1"/>
  <c r="HF29" i="20" s="1"/>
  <c r="HG29" i="20" s="1"/>
  <c r="HK18" i="20"/>
  <c r="HE18" i="20"/>
  <c r="HL18" i="20" s="1"/>
  <c r="HF18" i="20" s="1"/>
  <c r="HG18" i="20" s="1"/>
  <c r="HK25" i="20"/>
  <c r="HE25" i="20"/>
  <c r="HL25" i="20" s="1"/>
  <c r="HF25" i="20" s="1"/>
  <c r="HG25" i="20" s="1"/>
  <c r="HE11" i="20"/>
  <c r="HL11" i="20" s="1"/>
  <c r="HF11" i="20" s="1"/>
  <c r="HG11" i="20" s="1"/>
  <c r="HK11" i="20"/>
  <c r="HE13" i="20"/>
  <c r="HL13" i="20" s="1"/>
  <c r="HF13" i="20" s="1"/>
  <c r="HG13" i="20" s="1"/>
  <c r="HK13" i="20"/>
  <c r="HK30" i="20"/>
  <c r="HE30" i="20"/>
  <c r="HL30" i="20" s="1"/>
  <c r="HF30" i="20" s="1"/>
  <c r="HG30" i="20" s="1"/>
  <c r="BJ13" i="20"/>
  <c r="BQ13" i="20" s="1"/>
  <c r="BK13" i="20" s="1"/>
  <c r="BL13" i="20" s="1"/>
  <c r="BP13" i="20"/>
  <c r="JA24" i="21"/>
  <c r="IU24" i="21"/>
  <c r="JB24" i="21" s="1"/>
  <c r="IV24" i="21" s="1"/>
  <c r="IW24" i="21" s="1"/>
  <c r="JA11" i="21"/>
  <c r="IU11" i="21"/>
  <c r="JB11" i="21" s="1"/>
  <c r="IV11" i="21" s="1"/>
  <c r="IW11" i="21" s="1"/>
  <c r="IU35" i="21"/>
  <c r="JB35" i="21" s="1"/>
  <c r="IV35" i="21" s="1"/>
  <c r="IW35" i="21" s="1"/>
  <c r="JA35" i="21"/>
  <c r="JA29" i="21"/>
  <c r="IU29" i="21"/>
  <c r="JB29" i="21" s="1"/>
  <c r="IV29" i="21" s="1"/>
  <c r="IW29" i="21" s="1"/>
  <c r="JA27" i="21"/>
  <c r="IU27" i="21"/>
  <c r="JB27" i="21" s="1"/>
  <c r="IV27" i="21" s="1"/>
  <c r="IW27" i="21" s="1"/>
  <c r="JA23" i="21"/>
  <c r="IU23" i="21"/>
  <c r="JB23" i="21" s="1"/>
  <c r="IV23" i="21" s="1"/>
  <c r="IW23" i="21" s="1"/>
  <c r="JA15" i="21"/>
  <c r="IU15" i="21"/>
  <c r="JB15" i="21" s="1"/>
  <c r="IV15" i="21" s="1"/>
  <c r="IW15" i="21" s="1"/>
  <c r="JA19" i="21"/>
  <c r="IU19" i="21"/>
  <c r="JB19" i="21" s="1"/>
  <c r="IV19" i="21" s="1"/>
  <c r="IW19" i="21" s="1"/>
  <c r="JA26" i="21"/>
  <c r="IU26" i="21"/>
  <c r="JB26" i="21" s="1"/>
  <c r="IV26" i="21" s="1"/>
  <c r="IW26" i="21" s="1"/>
  <c r="JA14" i="21"/>
  <c r="IU14" i="21"/>
  <c r="JB14" i="21" s="1"/>
  <c r="IV14" i="21" s="1"/>
  <c r="IW14" i="21" s="1"/>
  <c r="JA36" i="21"/>
  <c r="IU36" i="21"/>
  <c r="JB36" i="21" s="1"/>
  <c r="IV36" i="21" s="1"/>
  <c r="IW36" i="21" s="1"/>
  <c r="JA32" i="21"/>
  <c r="IU32" i="21"/>
  <c r="JB32" i="21" s="1"/>
  <c r="IV32" i="21" s="1"/>
  <c r="IW32" i="21" s="1"/>
  <c r="IU31" i="21"/>
  <c r="JB31" i="21" s="1"/>
  <c r="IV31" i="21" s="1"/>
  <c r="IW31" i="21" s="1"/>
  <c r="JA31" i="21"/>
  <c r="JA33" i="21"/>
  <c r="IU33" i="21"/>
  <c r="JB33" i="21" s="1"/>
  <c r="IV33" i="21" s="1"/>
  <c r="IW33" i="21" s="1"/>
  <c r="JA25" i="21"/>
  <c r="IU25" i="21"/>
  <c r="JB25" i="21" s="1"/>
  <c r="IV25" i="21" s="1"/>
  <c r="IW25" i="21" s="1"/>
  <c r="JA34" i="21"/>
  <c r="IU34" i="21"/>
  <c r="JB34" i="21" s="1"/>
  <c r="IV34" i="21" s="1"/>
  <c r="IW34" i="21" s="1"/>
  <c r="JA16" i="21"/>
  <c r="IU16" i="21"/>
  <c r="JB16" i="21" s="1"/>
  <c r="IV16" i="21" s="1"/>
  <c r="IW16" i="21" s="1"/>
  <c r="IU17" i="21"/>
  <c r="JB17" i="21" s="1"/>
  <c r="IV17" i="21" s="1"/>
  <c r="IW17" i="21" s="1"/>
  <c r="JA17" i="21"/>
  <c r="JA20" i="21"/>
  <c r="IU20" i="21"/>
  <c r="JB20" i="21" s="1"/>
  <c r="IV20" i="21" s="1"/>
  <c r="IW20" i="21" s="1"/>
  <c r="JA30" i="21"/>
  <c r="IU30" i="21"/>
  <c r="JB30" i="21" s="1"/>
  <c r="IV30" i="21" s="1"/>
  <c r="IW30" i="21" s="1"/>
  <c r="JA28" i="21"/>
  <c r="IU28" i="21"/>
  <c r="JB28" i="21" s="1"/>
  <c r="IV28" i="21" s="1"/>
  <c r="IW28" i="21" s="1"/>
  <c r="JA18" i="21"/>
  <c r="IU18" i="21"/>
  <c r="JB18" i="21" s="1"/>
  <c r="IV18" i="21" s="1"/>
  <c r="IW18" i="21" s="1"/>
  <c r="IF36" i="21"/>
  <c r="HZ36" i="21"/>
  <c r="IG36" i="21" s="1"/>
  <c r="IA36" i="21" s="1"/>
  <c r="IB36" i="21" s="1"/>
  <c r="IF32" i="21"/>
  <c r="HZ32" i="21"/>
  <c r="IG32" i="21" s="1"/>
  <c r="IA32" i="21" s="1"/>
  <c r="IB32" i="21" s="1"/>
  <c r="HZ35" i="21"/>
  <c r="IG35" i="21" s="1"/>
  <c r="IA35" i="21" s="1"/>
  <c r="IB35" i="21" s="1"/>
  <c r="IF35" i="21"/>
  <c r="IF29" i="21"/>
  <c r="HZ29" i="21"/>
  <c r="IG29" i="21" s="1"/>
  <c r="IA29" i="21" s="1"/>
  <c r="IB29" i="21" s="1"/>
  <c r="IF26" i="21"/>
  <c r="HZ26" i="21"/>
  <c r="IG26" i="21" s="1"/>
  <c r="IA26" i="21" s="1"/>
  <c r="IB26" i="21" s="1"/>
  <c r="IF24" i="21"/>
  <c r="HZ24" i="21"/>
  <c r="IG24" i="21" s="1"/>
  <c r="IA24" i="21" s="1"/>
  <c r="IB24" i="21" s="1"/>
  <c r="IF31" i="21"/>
  <c r="HZ31" i="21"/>
  <c r="IG31" i="21" s="1"/>
  <c r="IA31" i="21" s="1"/>
  <c r="IB31" i="21" s="1"/>
  <c r="IF33" i="21"/>
  <c r="HZ33" i="21"/>
  <c r="IG33" i="21" s="1"/>
  <c r="IA33" i="21" s="1"/>
  <c r="IB33" i="21" s="1"/>
  <c r="IF25" i="21"/>
  <c r="HZ25" i="21"/>
  <c r="IG25" i="21" s="1"/>
  <c r="IA25" i="21" s="1"/>
  <c r="IB25" i="21" s="1"/>
  <c r="IF34" i="21"/>
  <c r="HZ34" i="21"/>
  <c r="IG34" i="21" s="1"/>
  <c r="IA34" i="21" s="1"/>
  <c r="IB34" i="21" s="1"/>
  <c r="IF30" i="21"/>
  <c r="HZ30" i="21"/>
  <c r="IG30" i="21" s="1"/>
  <c r="IA30" i="21" s="1"/>
  <c r="IB30" i="21" s="1"/>
  <c r="IF23" i="21"/>
  <c r="HZ23" i="21"/>
  <c r="IG23" i="21" s="1"/>
  <c r="IA23" i="21" s="1"/>
  <c r="IB23" i="21" s="1"/>
  <c r="HK15" i="21"/>
  <c r="HE15" i="21"/>
  <c r="HL15" i="21" s="1"/>
  <c r="HF15" i="21" s="1"/>
  <c r="HG15" i="21" s="1"/>
  <c r="HK19" i="21"/>
  <c r="HE19" i="21"/>
  <c r="HL19" i="21" s="1"/>
  <c r="HF19" i="21" s="1"/>
  <c r="HG19" i="21" s="1"/>
  <c r="HE21" i="21"/>
  <c r="HL21" i="21" s="1"/>
  <c r="HF21" i="21" s="1"/>
  <c r="HG21" i="21" s="1"/>
  <c r="HK21" i="21"/>
  <c r="HK11" i="21"/>
  <c r="HE11" i="21"/>
  <c r="HL11" i="21" s="1"/>
  <c r="HF11" i="21" s="1"/>
  <c r="HG11" i="21" s="1"/>
  <c r="HE17" i="21"/>
  <c r="HL17" i="21" s="1"/>
  <c r="HF17" i="21" s="1"/>
  <c r="HG17" i="21" s="1"/>
  <c r="HK17" i="21"/>
  <c r="HK18" i="21"/>
  <c r="HE18" i="21"/>
  <c r="HL18" i="21" s="1"/>
  <c r="HF18" i="21" s="1"/>
  <c r="HG18" i="21" s="1"/>
  <c r="HK27" i="21"/>
  <c r="HE27" i="21"/>
  <c r="HL27" i="21" s="1"/>
  <c r="HF27" i="21" s="1"/>
  <c r="HG27" i="21" s="1"/>
  <c r="HK14" i="21"/>
  <c r="HE14" i="21"/>
  <c r="HL14" i="21" s="1"/>
  <c r="HF14" i="21" s="1"/>
  <c r="HG14" i="21" s="1"/>
  <c r="HK30" i="21"/>
  <c r="HE30" i="21"/>
  <c r="HL30" i="21" s="1"/>
  <c r="HF30" i="21" s="1"/>
  <c r="HG30" i="21" s="1"/>
  <c r="HK20" i="21"/>
  <c r="HE20" i="21"/>
  <c r="HL20" i="21" s="1"/>
  <c r="HF20" i="21" s="1"/>
  <c r="HG20" i="21" s="1"/>
  <c r="HK28" i="21"/>
  <c r="HE28" i="21"/>
  <c r="HL28" i="21" s="1"/>
  <c r="HF28" i="21" s="1"/>
  <c r="HG28" i="21" s="1"/>
  <c r="HK22" i="21"/>
  <c r="HE22" i="21"/>
  <c r="HL22" i="21" s="1"/>
  <c r="HF22" i="21" s="1"/>
  <c r="HG22" i="21" s="1"/>
  <c r="HK29" i="21"/>
  <c r="HE29" i="21"/>
  <c r="HL29" i="21" s="1"/>
  <c r="HF29" i="21" s="1"/>
  <c r="HG29" i="21" s="1"/>
  <c r="HK16" i="21"/>
  <c r="HE16" i="21"/>
  <c r="HL16" i="21" s="1"/>
  <c r="HF16" i="21" s="1"/>
  <c r="HG16" i="21" s="1"/>
  <c r="HE25" i="21"/>
  <c r="HL25" i="21" s="1"/>
  <c r="HF25" i="21" s="1"/>
  <c r="HG25" i="21" s="1"/>
  <c r="HK25" i="21"/>
  <c r="HK23" i="21"/>
  <c r="HE23" i="21"/>
  <c r="HL23" i="21" s="1"/>
  <c r="HF23" i="21" s="1"/>
  <c r="HG23" i="21" s="1"/>
  <c r="BP13" i="21"/>
  <c r="BJ13" i="21"/>
  <c r="BQ13" i="21" s="1"/>
  <c r="BK13" i="21" s="1"/>
  <c r="BL13" i="21" s="1"/>
  <c r="ET13" i="21"/>
  <c r="EW12" i="20"/>
  <c r="EX12" i="20" s="1"/>
  <c r="EY12" i="20" s="1"/>
  <c r="FF12" i="20"/>
  <c r="FG12" i="20" s="1"/>
  <c r="FH12" i="20" s="1"/>
  <c r="FX12" i="20"/>
  <c r="FY12" i="20" s="1"/>
  <c r="FZ12" i="20" s="1"/>
  <c r="ET13" i="20"/>
  <c r="MC17" i="10"/>
  <c r="LZ18" i="10" s="1"/>
  <c r="MA18" i="10" s="1"/>
  <c r="MB18" i="10" s="1"/>
  <c r="MD18" i="10" s="1"/>
  <c r="MO18" i="10" s="1"/>
  <c r="MP18" i="10" s="1"/>
  <c r="JR19" i="21"/>
  <c r="JS19" i="21" s="1"/>
  <c r="JT19" i="21" s="1"/>
  <c r="JV19" i="21" s="1"/>
  <c r="JL13" i="20"/>
  <c r="JN13" i="20"/>
  <c r="JZ13" i="20" s="1"/>
  <c r="KA13" i="20" s="1"/>
  <c r="JS17" i="20"/>
  <c r="EO14" i="20"/>
  <c r="EU14" i="20" s="1"/>
  <c r="JJ14" i="20"/>
  <c r="BA14" i="21"/>
  <c r="JJ14" i="21"/>
  <c r="JR18" i="18"/>
  <c r="JS18" i="18" s="1"/>
  <c r="JT18" i="18" s="1"/>
  <c r="JV18" i="18" s="1"/>
  <c r="JL13" i="21"/>
  <c r="JN13" i="21"/>
  <c r="JZ13" i="21" s="1"/>
  <c r="KA13" i="21" s="1"/>
  <c r="DM12" i="21"/>
  <c r="DN12" i="21" s="1"/>
  <c r="DP12" i="21" s="1"/>
  <c r="AW15" i="21"/>
  <c r="EO15" i="21" s="1"/>
  <c r="AY14" i="21"/>
  <c r="FL17" i="20"/>
  <c r="FJ18" i="20" s="1"/>
  <c r="EO14" i="21"/>
  <c r="ET14" i="21" s="1"/>
  <c r="CB15" i="10"/>
  <c r="BY16" i="10" s="1"/>
  <c r="DG15" i="10"/>
  <c r="DH15" i="10" s="1"/>
  <c r="DI15" i="10" s="1"/>
  <c r="DC15" i="18"/>
  <c r="DD15" i="18" s="1"/>
  <c r="DE15" i="18" s="1"/>
  <c r="DF15" i="18" s="1"/>
  <c r="KI23" i="10"/>
  <c r="P23" i="25" s="1"/>
  <c r="H408" i="31" s="1"/>
  <c r="EK17" i="20"/>
  <c r="BZ20" i="18"/>
  <c r="CA20" i="18" s="1"/>
  <c r="DX12" i="21"/>
  <c r="DY12" i="21" s="1"/>
  <c r="EA12" i="21" s="1"/>
  <c r="DE14" i="21"/>
  <c r="DF14" i="21" s="1"/>
  <c r="DF15" i="10"/>
  <c r="BF19" i="18"/>
  <c r="BG19" i="18" s="1"/>
  <c r="BZ20" i="21"/>
  <c r="CA20" i="21" s="1"/>
  <c r="BE19" i="21"/>
  <c r="FX13" i="20"/>
  <c r="FY13" i="20" s="1"/>
  <c r="FO13" i="20"/>
  <c r="FP13" i="20" s="1"/>
  <c r="FQ13" i="20" s="1"/>
  <c r="EW13" i="20"/>
  <c r="EX13" i="20" s="1"/>
  <c r="FF13" i="20"/>
  <c r="FG13" i="20" s="1"/>
  <c r="FA18" i="20"/>
  <c r="FV17" i="20"/>
  <c r="FW17" i="20" s="1"/>
  <c r="FX17" i="20" s="1"/>
  <c r="FY17" i="20" s="1"/>
  <c r="BA14" i="20"/>
  <c r="DF14" i="20"/>
  <c r="BY17" i="20"/>
  <c r="X7" i="20"/>
  <c r="BB8" i="20"/>
  <c r="AY8" i="20"/>
  <c r="BH18" i="20"/>
  <c r="BI18" i="20"/>
  <c r="AS20" i="20"/>
  <c r="AY7" i="20"/>
  <c r="IS7" i="21"/>
  <c r="HC7" i="21"/>
  <c r="HC7" i="20"/>
  <c r="IS7" i="20"/>
  <c r="IR7" i="21"/>
  <c r="HB7" i="21"/>
  <c r="HB7" i="20"/>
  <c r="IR7" i="20"/>
  <c r="AS13" i="21"/>
  <c r="FJ9" i="21"/>
  <c r="EJ10" i="21"/>
  <c r="FS9" i="21"/>
  <c r="FA9" i="21"/>
  <c r="EK9" i="21"/>
  <c r="AS26" i="21"/>
  <c r="FT8" i="21"/>
  <c r="FB8" i="21"/>
  <c r="FK8" i="21"/>
  <c r="EL8" i="21"/>
  <c r="FX13" i="21"/>
  <c r="FY13" i="21" s="1"/>
  <c r="FF13" i="21"/>
  <c r="FG13" i="21" s="1"/>
  <c r="FO13" i="21"/>
  <c r="FP13" i="21" s="1"/>
  <c r="EW13" i="21"/>
  <c r="EX13" i="21" s="1"/>
  <c r="FO7" i="21"/>
  <c r="FP7" i="21" s="1"/>
  <c r="FQ7" i="21" s="1"/>
  <c r="EW7" i="21"/>
  <c r="EX7" i="21" s="1"/>
  <c r="EY7" i="21" s="1"/>
  <c r="FX7" i="21"/>
  <c r="FY7" i="21" s="1"/>
  <c r="FZ7" i="21" s="1"/>
  <c r="FF7" i="21"/>
  <c r="FG7" i="21" s="1"/>
  <c r="FH7" i="21" s="1"/>
  <c r="EM21" i="21"/>
  <c r="AY14" i="20"/>
  <c r="EP36" i="18"/>
  <c r="AF36" i="18"/>
  <c r="AD36" i="18"/>
  <c r="EP35" i="18"/>
  <c r="AF35" i="18"/>
  <c r="AD35" i="18"/>
  <c r="AE35" i="18" s="1"/>
  <c r="EP34" i="18"/>
  <c r="AC34" i="18"/>
  <c r="H34" i="18"/>
  <c r="AD34" i="18" s="1"/>
  <c r="AG34" i="18" s="1"/>
  <c r="G34" i="18"/>
  <c r="J34" i="18" s="1"/>
  <c r="EP33" i="18"/>
  <c r="AC33" i="18"/>
  <c r="AF33" i="18" s="1"/>
  <c r="H33" i="18"/>
  <c r="AD33" i="18" s="1"/>
  <c r="AG33" i="18" s="1"/>
  <c r="G33" i="18"/>
  <c r="EP32" i="18"/>
  <c r="AC32" i="18"/>
  <c r="AF32" i="18" s="1"/>
  <c r="H32" i="18"/>
  <c r="K32" i="18" s="1"/>
  <c r="G32" i="18"/>
  <c r="J32" i="18" s="1"/>
  <c r="EP31" i="18"/>
  <c r="AC31" i="18"/>
  <c r="H31" i="18"/>
  <c r="AD31" i="18" s="1"/>
  <c r="G31" i="18"/>
  <c r="J31" i="18" s="1"/>
  <c r="EP30" i="18"/>
  <c r="H30" i="18"/>
  <c r="GF30" i="18" s="1"/>
  <c r="G30" i="18"/>
  <c r="EP29" i="18"/>
  <c r="H29" i="18"/>
  <c r="G29" i="18"/>
  <c r="GE29" i="18" s="1"/>
  <c r="EP28" i="18"/>
  <c r="H28" i="18"/>
  <c r="G28" i="18"/>
  <c r="EP27" i="18"/>
  <c r="H27" i="18"/>
  <c r="G27" i="18"/>
  <c r="EP26" i="18"/>
  <c r="H26" i="18"/>
  <c r="GF26" i="18" s="1"/>
  <c r="G26" i="18"/>
  <c r="EP25" i="18"/>
  <c r="H25" i="18"/>
  <c r="G25" i="18"/>
  <c r="EP24" i="18"/>
  <c r="H24" i="18"/>
  <c r="G24" i="18"/>
  <c r="GE24" i="18" s="1"/>
  <c r="EP23" i="18"/>
  <c r="H23" i="18"/>
  <c r="GF23" i="18" s="1"/>
  <c r="EP22" i="18"/>
  <c r="IT22" i="18" s="1"/>
  <c r="H22" i="18"/>
  <c r="HV22" i="18" s="1"/>
  <c r="G22" i="18"/>
  <c r="EP21" i="18"/>
  <c r="IT21" i="18" s="1"/>
  <c r="H21" i="18"/>
  <c r="HV21" i="18" s="1"/>
  <c r="G21" i="18"/>
  <c r="EP20" i="18"/>
  <c r="IT20" i="18" s="1"/>
  <c r="H20" i="18"/>
  <c r="G20" i="18"/>
  <c r="EP19" i="18"/>
  <c r="H19" i="18"/>
  <c r="G19" i="18"/>
  <c r="HU19" i="18" s="1"/>
  <c r="EP18" i="18"/>
  <c r="H18" i="18"/>
  <c r="G18" i="18"/>
  <c r="EP17" i="18"/>
  <c r="AW17" i="18"/>
  <c r="H17" i="18"/>
  <c r="HV17" i="18" s="1"/>
  <c r="G17" i="18"/>
  <c r="HU17" i="18" s="1"/>
  <c r="EP16" i="18"/>
  <c r="H16" i="18"/>
  <c r="G16" i="18"/>
  <c r="HU16" i="18" s="1"/>
  <c r="EV15" i="18"/>
  <c r="EP15" i="18"/>
  <c r="H15" i="18"/>
  <c r="HV15" i="18" s="1"/>
  <c r="GE15" i="18"/>
  <c r="EV14" i="18"/>
  <c r="EP14" i="18"/>
  <c r="H14" i="18"/>
  <c r="HV14" i="18" s="1"/>
  <c r="EV13" i="18"/>
  <c r="EP13" i="18"/>
  <c r="H13" i="18"/>
  <c r="HV13" i="18" s="1"/>
  <c r="GE13" i="18"/>
  <c r="EV12" i="18"/>
  <c r="EP12" i="18"/>
  <c r="H12" i="18"/>
  <c r="HV12" i="18" s="1"/>
  <c r="J12" i="18"/>
  <c r="EV11" i="18"/>
  <c r="EP11" i="18"/>
  <c r="AW11" i="18"/>
  <c r="JJ11" i="18" s="1"/>
  <c r="H11" i="18"/>
  <c r="HV11" i="18" s="1"/>
  <c r="G11" i="18"/>
  <c r="HU11" i="18" s="1"/>
  <c r="EV10" i="18"/>
  <c r="EO10" i="18"/>
  <c r="AG10" i="18"/>
  <c r="K10" i="18"/>
  <c r="G10" i="18"/>
  <c r="HU10" i="18" s="1"/>
  <c r="EV9" i="18"/>
  <c r="EO9" i="18"/>
  <c r="AG9" i="18"/>
  <c r="K9" i="18"/>
  <c r="G9" i="18"/>
  <c r="HU9" i="18" s="1"/>
  <c r="EV8" i="18"/>
  <c r="EO8" i="18"/>
  <c r="AG8" i="18"/>
  <c r="K8" i="18"/>
  <c r="G8" i="18"/>
  <c r="HU8" i="18" s="1"/>
  <c r="EV7" i="18"/>
  <c r="EO7" i="18"/>
  <c r="EM7" i="18"/>
  <c r="EM8" i="18" s="1"/>
  <c r="EM9" i="18" s="1"/>
  <c r="EM10" i="18" s="1"/>
  <c r="EM11" i="18" s="1"/>
  <c r="EM12" i="18" s="1"/>
  <c r="EM13" i="18" s="1"/>
  <c r="EM14" i="18" s="1"/>
  <c r="EM15" i="18" s="1"/>
  <c r="EM16" i="18" s="1"/>
  <c r="EI7" i="18"/>
  <c r="EI8" i="18" s="1"/>
  <c r="AG7" i="18"/>
  <c r="K7" i="18"/>
  <c r="KF36" i="21" l="1"/>
  <c r="KE36" i="21"/>
  <c r="KE28" i="21"/>
  <c r="KE23" i="21"/>
  <c r="IT30" i="18"/>
  <c r="HY30" i="18"/>
  <c r="IT32" i="18"/>
  <c r="HY32" i="18"/>
  <c r="IT34" i="18"/>
  <c r="HY34" i="18"/>
  <c r="IT29" i="18"/>
  <c r="HY29" i="18"/>
  <c r="IT24" i="18"/>
  <c r="HY24" i="18"/>
  <c r="IT26" i="18"/>
  <c r="HY26" i="18"/>
  <c r="IT31" i="18"/>
  <c r="HY31" i="18"/>
  <c r="IT33" i="18"/>
  <c r="HY33" i="18"/>
  <c r="IT25" i="18"/>
  <c r="HY25" i="18"/>
  <c r="IT28" i="18"/>
  <c r="HY28" i="18"/>
  <c r="IT36" i="18"/>
  <c r="HY36" i="18"/>
  <c r="HY23" i="18"/>
  <c r="IT23" i="18"/>
  <c r="IT27" i="18"/>
  <c r="HY27" i="18"/>
  <c r="IT35" i="18"/>
  <c r="HY35" i="18"/>
  <c r="KE34" i="21"/>
  <c r="KE22" i="21"/>
  <c r="BT11" i="20"/>
  <c r="BU11" i="20" s="1"/>
  <c r="KF35" i="21"/>
  <c r="KF34" i="21"/>
  <c r="KF23" i="21"/>
  <c r="KE18" i="21"/>
  <c r="KF19" i="21"/>
  <c r="KG19" i="21" s="1"/>
  <c r="KH19" i="21" s="1"/>
  <c r="GS35" i="21"/>
  <c r="KB30" i="21"/>
  <c r="KE30" i="21" s="1"/>
  <c r="KB31" i="21"/>
  <c r="KF31" i="21" s="1"/>
  <c r="JC22" i="20"/>
  <c r="KF27" i="21"/>
  <c r="KB26" i="21"/>
  <c r="KF26" i="21" s="1"/>
  <c r="IJ27" i="20"/>
  <c r="IK27" i="20" s="1"/>
  <c r="JC24" i="20"/>
  <c r="JE29" i="20"/>
  <c r="JF29" i="20" s="1"/>
  <c r="JD29" i="20"/>
  <c r="JD22" i="20"/>
  <c r="IH20" i="20"/>
  <c r="II22" i="21"/>
  <c r="IH20" i="21"/>
  <c r="IJ22" i="21"/>
  <c r="IK22" i="21" s="1"/>
  <c r="JE22" i="21"/>
  <c r="JF22" i="21" s="1"/>
  <c r="II32" i="20"/>
  <c r="GT31" i="21"/>
  <c r="GU31" i="21" s="1"/>
  <c r="GR32" i="20"/>
  <c r="IJ15" i="20"/>
  <c r="IK15" i="20" s="1"/>
  <c r="JD32" i="20"/>
  <c r="KF12" i="21"/>
  <c r="KG12" i="21" s="1"/>
  <c r="KH12" i="21" s="1"/>
  <c r="KI12" i="21" s="1"/>
  <c r="P12" i="29" s="1"/>
  <c r="H1687" i="31" s="1"/>
  <c r="KE12" i="21"/>
  <c r="KE25" i="21"/>
  <c r="KF25" i="21"/>
  <c r="IZ17" i="21"/>
  <c r="JE17" i="21" s="1"/>
  <c r="JF17" i="21" s="1"/>
  <c r="II8" i="20"/>
  <c r="JD24" i="20"/>
  <c r="JD12" i="20"/>
  <c r="CX11" i="20"/>
  <c r="CY11" i="20" s="1"/>
  <c r="DH11" i="20"/>
  <c r="DI11" i="20" s="1"/>
  <c r="KE12" i="20"/>
  <c r="KF12" i="20"/>
  <c r="KG12" i="20" s="1"/>
  <c r="KH12" i="20" s="1"/>
  <c r="KI12" i="20" s="1"/>
  <c r="P12" i="30" s="1"/>
  <c r="H1717" i="31" s="1"/>
  <c r="KE29" i="21"/>
  <c r="KF29" i="21"/>
  <c r="KF20" i="21"/>
  <c r="KE20" i="21"/>
  <c r="JD22" i="21"/>
  <c r="II30" i="20"/>
  <c r="JC30" i="20"/>
  <c r="KF24" i="21"/>
  <c r="KE24" i="21"/>
  <c r="KE31" i="21"/>
  <c r="IJ31" i="20"/>
  <c r="IK31" i="20" s="1"/>
  <c r="IZ18" i="20"/>
  <c r="JD18" i="20" s="1"/>
  <c r="JD30" i="20"/>
  <c r="IZ36" i="20"/>
  <c r="JE36" i="20" s="1"/>
  <c r="JF36" i="20" s="1"/>
  <c r="JE32" i="20"/>
  <c r="JF32" i="20" s="1"/>
  <c r="IZ34" i="20"/>
  <c r="JD34" i="20" s="1"/>
  <c r="IZ20" i="20"/>
  <c r="JE20" i="20" s="1"/>
  <c r="JF20" i="20" s="1"/>
  <c r="IZ21" i="20"/>
  <c r="JE21" i="20" s="1"/>
  <c r="JF21" i="20" s="1"/>
  <c r="IZ35" i="20"/>
  <c r="JE35" i="20" s="1"/>
  <c r="JF35" i="20" s="1"/>
  <c r="IH30" i="20"/>
  <c r="IH31" i="20"/>
  <c r="IZ14" i="20"/>
  <c r="JD14" i="20" s="1"/>
  <c r="IJ20" i="20"/>
  <c r="IK20" i="20" s="1"/>
  <c r="IH23" i="20"/>
  <c r="IZ15" i="20"/>
  <c r="IZ13" i="20"/>
  <c r="JD28" i="20"/>
  <c r="JC28" i="20"/>
  <c r="JE28" i="20"/>
  <c r="JF28" i="20" s="1"/>
  <c r="IZ19" i="20"/>
  <c r="GR18" i="20"/>
  <c r="IL8" i="20"/>
  <c r="JC17" i="20"/>
  <c r="JD17" i="20"/>
  <c r="JE17" i="20"/>
  <c r="JF17" i="20" s="1"/>
  <c r="JD26" i="20"/>
  <c r="JC26" i="20"/>
  <c r="JE26" i="20"/>
  <c r="JF26" i="20" s="1"/>
  <c r="JC31" i="20"/>
  <c r="JD31" i="20"/>
  <c r="JE31" i="20"/>
  <c r="JF31" i="20" s="1"/>
  <c r="IZ25" i="20"/>
  <c r="IU7" i="20"/>
  <c r="JB7" i="20" s="1"/>
  <c r="IV7" i="20" s="1"/>
  <c r="IW7" i="20" s="1"/>
  <c r="IX7" i="20"/>
  <c r="IY7" i="20" s="1"/>
  <c r="IZ11" i="20"/>
  <c r="BS19" i="20"/>
  <c r="IJ32" i="20"/>
  <c r="IK32" i="20" s="1"/>
  <c r="IH8" i="20"/>
  <c r="JC23" i="20"/>
  <c r="JD23" i="20"/>
  <c r="JE23" i="20"/>
  <c r="JF23" i="20" s="1"/>
  <c r="JC33" i="20"/>
  <c r="JD33" i="20"/>
  <c r="JE33" i="20"/>
  <c r="JF33" i="20" s="1"/>
  <c r="JC27" i="20"/>
  <c r="JD27" i="20"/>
  <c r="JE27" i="20"/>
  <c r="JF27" i="20" s="1"/>
  <c r="IZ16" i="20"/>
  <c r="IE25" i="20"/>
  <c r="IJ25" i="20" s="1"/>
  <c r="IK25" i="20" s="1"/>
  <c r="HN17" i="20"/>
  <c r="II22" i="20"/>
  <c r="IH27" i="20"/>
  <c r="GS18" i="20"/>
  <c r="II23" i="20"/>
  <c r="HM17" i="20"/>
  <c r="IE35" i="20"/>
  <c r="IH35" i="20" s="1"/>
  <c r="IJ22" i="20"/>
  <c r="IK22" i="20" s="1"/>
  <c r="IE36" i="20"/>
  <c r="IE34" i="20"/>
  <c r="IH26" i="20"/>
  <c r="II26" i="20"/>
  <c r="IJ26" i="20"/>
  <c r="IK26" i="20" s="1"/>
  <c r="IH9" i="20"/>
  <c r="II9" i="20"/>
  <c r="IJ9" i="20"/>
  <c r="IK9" i="20" s="1"/>
  <c r="IH33" i="20"/>
  <c r="II33" i="20"/>
  <c r="IJ33" i="20"/>
  <c r="IK33" i="20" s="1"/>
  <c r="IH13" i="20"/>
  <c r="II13" i="20"/>
  <c r="IJ13" i="20"/>
  <c r="IK13" i="20" s="1"/>
  <c r="GT13" i="20"/>
  <c r="GU13" i="20" s="1"/>
  <c r="GS32" i="20"/>
  <c r="GR20" i="20"/>
  <c r="IH24" i="20"/>
  <c r="II24" i="20"/>
  <c r="IJ24" i="20"/>
  <c r="IK24" i="20" s="1"/>
  <c r="II19" i="20"/>
  <c r="IH19" i="20"/>
  <c r="IJ19" i="20"/>
  <c r="IK19" i="20" s="1"/>
  <c r="IH28" i="20"/>
  <c r="II28" i="20"/>
  <c r="IJ28" i="20"/>
  <c r="IK28" i="20" s="1"/>
  <c r="IH18" i="20"/>
  <c r="II18" i="20"/>
  <c r="IJ18" i="20"/>
  <c r="IK18" i="20" s="1"/>
  <c r="II21" i="20"/>
  <c r="IH21" i="20"/>
  <c r="IJ21" i="20"/>
  <c r="IK21" i="20" s="1"/>
  <c r="II29" i="20"/>
  <c r="IH29" i="20"/>
  <c r="IJ29" i="20"/>
  <c r="IK29" i="20" s="1"/>
  <c r="DS11" i="20"/>
  <c r="DT11" i="20" s="1"/>
  <c r="GT9" i="20"/>
  <c r="GU9" i="20" s="1"/>
  <c r="GS20" i="20"/>
  <c r="IH10" i="20"/>
  <c r="II10" i="20"/>
  <c r="IJ10" i="20"/>
  <c r="IK10" i="20" s="1"/>
  <c r="HJ16" i="20"/>
  <c r="HN16" i="20" s="1"/>
  <c r="GS13" i="20"/>
  <c r="GR10" i="20"/>
  <c r="HN33" i="20"/>
  <c r="HO34" i="20"/>
  <c r="HP34" i="20" s="1"/>
  <c r="HJ18" i="20"/>
  <c r="HO18" i="20" s="1"/>
  <c r="HP18" i="20" s="1"/>
  <c r="HM33" i="20"/>
  <c r="HM34" i="20"/>
  <c r="HJ25" i="20"/>
  <c r="HO25" i="20" s="1"/>
  <c r="HP25" i="20" s="1"/>
  <c r="GS10" i="20"/>
  <c r="CD11" i="20"/>
  <c r="CE11" i="20" s="1"/>
  <c r="GR34" i="20"/>
  <c r="HO16" i="20"/>
  <c r="HP16" i="20" s="1"/>
  <c r="AS17" i="20"/>
  <c r="ED11" i="20"/>
  <c r="EE11" i="20" s="1"/>
  <c r="HJ15" i="20"/>
  <c r="HO15" i="20" s="1"/>
  <c r="HP15" i="20" s="1"/>
  <c r="GS26" i="20"/>
  <c r="HJ22" i="20"/>
  <c r="HM22" i="20" s="1"/>
  <c r="HJ21" i="20"/>
  <c r="HM21" i="20" s="1"/>
  <c r="HE7" i="20"/>
  <c r="HL7" i="20" s="1"/>
  <c r="HF7" i="20" s="1"/>
  <c r="HG7" i="20" s="1"/>
  <c r="HH7" i="20"/>
  <c r="HI7" i="20" s="1"/>
  <c r="HJ19" i="20"/>
  <c r="HN26" i="20"/>
  <c r="HM26" i="20"/>
  <c r="HO26" i="20"/>
  <c r="HP26" i="20" s="1"/>
  <c r="HJ14" i="20"/>
  <c r="HJ11" i="20"/>
  <c r="AR13" i="20"/>
  <c r="HN20" i="20"/>
  <c r="HM20" i="20"/>
  <c r="HO20" i="20"/>
  <c r="HP20" i="20" s="1"/>
  <c r="HM35" i="20"/>
  <c r="HN35" i="20"/>
  <c r="HO35" i="20"/>
  <c r="HP35" i="20" s="1"/>
  <c r="HM27" i="20"/>
  <c r="HN27" i="20"/>
  <c r="HN36" i="20"/>
  <c r="HM36" i="20"/>
  <c r="HO36" i="20"/>
  <c r="HP36" i="20" s="1"/>
  <c r="BS35" i="20"/>
  <c r="BS20" i="20"/>
  <c r="GT34" i="20"/>
  <c r="GU34" i="20" s="1"/>
  <c r="GR26" i="20"/>
  <c r="HM31" i="20"/>
  <c r="HN31" i="20"/>
  <c r="HO31" i="20"/>
  <c r="HP31" i="20" s="1"/>
  <c r="HN28" i="20"/>
  <c r="HM28" i="20"/>
  <c r="HO28" i="20"/>
  <c r="HP28" i="20" s="1"/>
  <c r="AP22" i="20"/>
  <c r="HJ29" i="20"/>
  <c r="HN24" i="20"/>
  <c r="HM24" i="20"/>
  <c r="HO24" i="20"/>
  <c r="HP24" i="20" s="1"/>
  <c r="HN12" i="20"/>
  <c r="HM12" i="20"/>
  <c r="HM23" i="20"/>
  <c r="HN23" i="20"/>
  <c r="HO23" i="20"/>
  <c r="HP23" i="20" s="1"/>
  <c r="HJ30" i="20"/>
  <c r="HJ13" i="20"/>
  <c r="HO12" i="20"/>
  <c r="HP12" i="20" s="1"/>
  <c r="HO27" i="20"/>
  <c r="HP27" i="20" s="1"/>
  <c r="AS24" i="20"/>
  <c r="GS15" i="20"/>
  <c r="GR15" i="20"/>
  <c r="GT15" i="20"/>
  <c r="GU15" i="20" s="1"/>
  <c r="GS19" i="20"/>
  <c r="GR19" i="20"/>
  <c r="GT19" i="20"/>
  <c r="GU19" i="20" s="1"/>
  <c r="GR21" i="20"/>
  <c r="GS21" i="20"/>
  <c r="GT21" i="20"/>
  <c r="GU21" i="20" s="1"/>
  <c r="GS24" i="20"/>
  <c r="GR24" i="20"/>
  <c r="GT24" i="20"/>
  <c r="GU24" i="20" s="1"/>
  <c r="GS36" i="20"/>
  <c r="GR36" i="20"/>
  <c r="GT36" i="20"/>
  <c r="GU36" i="20" s="1"/>
  <c r="GS28" i="20"/>
  <c r="GR28" i="20"/>
  <c r="GT28" i="20"/>
  <c r="GU28" i="20" s="1"/>
  <c r="GS8" i="20"/>
  <c r="GR8" i="20"/>
  <c r="GT8" i="20"/>
  <c r="GU8" i="20" s="1"/>
  <c r="GV8" i="20" s="1"/>
  <c r="W18" i="20"/>
  <c r="GR35" i="20"/>
  <c r="GS35" i="20"/>
  <c r="GT35" i="20"/>
  <c r="GU35" i="20" s="1"/>
  <c r="AP13" i="20"/>
  <c r="BR25" i="20"/>
  <c r="BS25" i="20"/>
  <c r="BM14" i="20"/>
  <c r="BN14" i="20" s="1"/>
  <c r="AP11" i="20"/>
  <c r="AP30" i="20"/>
  <c r="BR12" i="20"/>
  <c r="BS12" i="20"/>
  <c r="CX12" i="20" s="1"/>
  <c r="CY12" i="20" s="1"/>
  <c r="BR36" i="20"/>
  <c r="BS36" i="20"/>
  <c r="BR34" i="20"/>
  <c r="BS34" i="20"/>
  <c r="BS8" i="20"/>
  <c r="ED8" i="20" s="1"/>
  <c r="EE8" i="20" s="1"/>
  <c r="EF8" i="20" s="1"/>
  <c r="K8" i="30" s="1"/>
  <c r="H1473" i="31" s="1"/>
  <c r="BR8" i="20"/>
  <c r="BO13" i="20"/>
  <c r="W15" i="20"/>
  <c r="AQ11" i="20"/>
  <c r="AR30" i="20"/>
  <c r="AS30" i="20" s="1"/>
  <c r="BR18" i="20"/>
  <c r="BS18" i="20"/>
  <c r="BT18" i="20" s="1"/>
  <c r="BU18" i="20" s="1"/>
  <c r="BR21" i="20"/>
  <c r="BS21" i="20"/>
  <c r="AR18" i="20"/>
  <c r="AQ22" i="20"/>
  <c r="AQ19" i="20"/>
  <c r="AP18" i="20"/>
  <c r="W26" i="20"/>
  <c r="AR16" i="20"/>
  <c r="AP19" i="20"/>
  <c r="AQ16" i="20"/>
  <c r="W9" i="20"/>
  <c r="W13" i="20"/>
  <c r="AM7" i="20"/>
  <c r="AR7" i="20" s="1"/>
  <c r="W28" i="20"/>
  <c r="AQ21" i="20"/>
  <c r="AP21" i="20"/>
  <c r="AR21" i="20"/>
  <c r="AS21" i="20" s="1"/>
  <c r="AP15" i="20"/>
  <c r="AQ15" i="20"/>
  <c r="AR15" i="20"/>
  <c r="W19" i="20"/>
  <c r="W20" i="20"/>
  <c r="AQ25" i="20"/>
  <c r="AP25" i="20"/>
  <c r="AR25" i="20"/>
  <c r="AS25" i="20" s="1"/>
  <c r="AS12" i="20"/>
  <c r="W8" i="20"/>
  <c r="AQ29" i="20"/>
  <c r="AP29" i="20"/>
  <c r="AR29" i="20"/>
  <c r="AS29" i="20" s="1"/>
  <c r="AQ14" i="20"/>
  <c r="AP14" i="20"/>
  <c r="AR14" i="20"/>
  <c r="IZ26" i="21"/>
  <c r="JD26" i="21" s="1"/>
  <c r="AP22" i="21"/>
  <c r="IJ17" i="21"/>
  <c r="IK17" i="21" s="1"/>
  <c r="IH17" i="21"/>
  <c r="IZ36" i="21"/>
  <c r="JE36" i="21" s="1"/>
  <c r="JF36" i="21" s="1"/>
  <c r="IZ20" i="21"/>
  <c r="JE20" i="21" s="1"/>
  <c r="JF20" i="21" s="1"/>
  <c r="IZ34" i="21"/>
  <c r="JC34" i="21" s="1"/>
  <c r="IZ30" i="21"/>
  <c r="JD30" i="21" s="1"/>
  <c r="IZ16" i="21"/>
  <c r="JE16" i="21" s="1"/>
  <c r="JF16" i="21" s="1"/>
  <c r="IZ14" i="21"/>
  <c r="JC14" i="21" s="1"/>
  <c r="IZ28" i="21"/>
  <c r="JE28" i="21" s="1"/>
  <c r="JF28" i="21" s="1"/>
  <c r="IZ35" i="21"/>
  <c r="JD35" i="21" s="1"/>
  <c r="JC13" i="21"/>
  <c r="JD13" i="21"/>
  <c r="JE13" i="21"/>
  <c r="JF13" i="21" s="1"/>
  <c r="IZ19" i="21"/>
  <c r="IZ23" i="21"/>
  <c r="IZ11" i="21"/>
  <c r="GT35" i="21"/>
  <c r="GU35" i="21" s="1"/>
  <c r="JC21" i="21"/>
  <c r="JD21" i="21"/>
  <c r="JE21" i="21"/>
  <c r="JF21" i="21" s="1"/>
  <c r="IZ31" i="21"/>
  <c r="IZ18" i="21"/>
  <c r="IZ24" i="21"/>
  <c r="IZ33" i="21"/>
  <c r="IZ25" i="21"/>
  <c r="IZ29" i="21"/>
  <c r="IZ32" i="21"/>
  <c r="JC12" i="21"/>
  <c r="JD12" i="21"/>
  <c r="JE12" i="21"/>
  <c r="JF12" i="21" s="1"/>
  <c r="IU7" i="21"/>
  <c r="JB7" i="21" s="1"/>
  <c r="IV7" i="21" s="1"/>
  <c r="IW7" i="21" s="1"/>
  <c r="IX7" i="21"/>
  <c r="IY7" i="21" s="1"/>
  <c r="IZ15" i="21"/>
  <c r="IZ27" i="21"/>
  <c r="IJ20" i="21"/>
  <c r="IK20" i="21" s="1"/>
  <c r="IE29" i="21"/>
  <c r="IH29" i="21" s="1"/>
  <c r="IE34" i="21"/>
  <c r="II34" i="21" s="1"/>
  <c r="II18" i="21"/>
  <c r="IH18" i="21"/>
  <c r="IE31" i="21"/>
  <c r="IH31" i="21" s="1"/>
  <c r="IE35" i="21"/>
  <c r="II35" i="21" s="1"/>
  <c r="IE26" i="21"/>
  <c r="IH26" i="21" s="1"/>
  <c r="IE30" i="21"/>
  <c r="IE25" i="21"/>
  <c r="AR23" i="21"/>
  <c r="AS23" i="21" s="1"/>
  <c r="HJ30" i="21"/>
  <c r="HO30" i="21" s="1"/>
  <c r="HP30" i="21" s="1"/>
  <c r="IE23" i="21"/>
  <c r="HM34" i="21"/>
  <c r="IL9" i="21"/>
  <c r="IL10" i="21" s="1"/>
  <c r="IL11" i="21" s="1"/>
  <c r="HJ29" i="21"/>
  <c r="HN29" i="21" s="1"/>
  <c r="IH21" i="21"/>
  <c r="II21" i="21"/>
  <c r="IJ21" i="21"/>
  <c r="IK21" i="21" s="1"/>
  <c r="II28" i="21"/>
  <c r="IH28" i="21"/>
  <c r="IJ28" i="21"/>
  <c r="IK28" i="21" s="1"/>
  <c r="II27" i="21"/>
  <c r="IH27" i="21"/>
  <c r="IJ27" i="21"/>
  <c r="IK27" i="21" s="1"/>
  <c r="IJ29" i="21"/>
  <c r="IK29" i="21" s="1"/>
  <c r="II12" i="21"/>
  <c r="IH12" i="21"/>
  <c r="IJ12" i="21"/>
  <c r="IK12" i="21" s="1"/>
  <c r="IJ31" i="21"/>
  <c r="IK31" i="21" s="1"/>
  <c r="IE36" i="21"/>
  <c r="IE24" i="21"/>
  <c r="IE33" i="21"/>
  <c r="IE32" i="21"/>
  <c r="HJ18" i="21"/>
  <c r="HN18" i="21" s="1"/>
  <c r="AQ11" i="21"/>
  <c r="GR23" i="21"/>
  <c r="GS27" i="21"/>
  <c r="HJ22" i="21"/>
  <c r="HN22" i="21" s="1"/>
  <c r="HO34" i="21"/>
  <c r="HP34" i="21" s="1"/>
  <c r="HN26" i="21"/>
  <c r="BS26" i="21"/>
  <c r="BT11" i="21"/>
  <c r="BU11" i="21" s="1"/>
  <c r="BV11" i="21" s="1"/>
  <c r="E11" i="29" s="1"/>
  <c r="H906" i="31" s="1"/>
  <c r="GR22" i="21"/>
  <c r="HJ14" i="21"/>
  <c r="HO14" i="21" s="1"/>
  <c r="HP14" i="21" s="1"/>
  <c r="HM26" i="21"/>
  <c r="HO18" i="21"/>
  <c r="HP18" i="21" s="1"/>
  <c r="HM13" i="21"/>
  <c r="HN13" i="21"/>
  <c r="HE7" i="21"/>
  <c r="HL7" i="21" s="1"/>
  <c r="HF7" i="21" s="1"/>
  <c r="HG7" i="21" s="1"/>
  <c r="HH7" i="21"/>
  <c r="HI7" i="21" s="1"/>
  <c r="GT22" i="21"/>
  <c r="GU22" i="21" s="1"/>
  <c r="HM33" i="21"/>
  <c r="HN33" i="21"/>
  <c r="HO33" i="21"/>
  <c r="HP33" i="21" s="1"/>
  <c r="HJ25" i="21"/>
  <c r="HJ20" i="21"/>
  <c r="HJ21" i="21"/>
  <c r="HN12" i="21"/>
  <c r="HM12" i="21"/>
  <c r="HJ28" i="21"/>
  <c r="HM35" i="21"/>
  <c r="HN35" i="21"/>
  <c r="HO35" i="21"/>
  <c r="HP35" i="21" s="1"/>
  <c r="HJ23" i="21"/>
  <c r="HJ19" i="21"/>
  <c r="BR29" i="21"/>
  <c r="HJ27" i="21"/>
  <c r="HJ15" i="21"/>
  <c r="CD11" i="21"/>
  <c r="CE11" i="21" s="1"/>
  <c r="CF11" i="21" s="1"/>
  <c r="F11" i="29" s="1"/>
  <c r="H936" i="31" s="1"/>
  <c r="BR12" i="21"/>
  <c r="GR31" i="21"/>
  <c r="HN32" i="21"/>
  <c r="HM32" i="21"/>
  <c r="HO32" i="21"/>
  <c r="HP32" i="21" s="1"/>
  <c r="HJ17" i="21"/>
  <c r="HO13" i="21"/>
  <c r="HP13" i="21" s="1"/>
  <c r="HJ11" i="21"/>
  <c r="HN36" i="21"/>
  <c r="HM36" i="21"/>
  <c r="HO36" i="21"/>
  <c r="HP36" i="21" s="1"/>
  <c r="HN24" i="21"/>
  <c r="HM24" i="21"/>
  <c r="HO24" i="21"/>
  <c r="HP24" i="21" s="1"/>
  <c r="HJ16" i="21"/>
  <c r="HO12" i="21"/>
  <c r="HP12" i="21" s="1"/>
  <c r="AS24" i="21"/>
  <c r="GS23" i="21"/>
  <c r="BS22" i="21"/>
  <c r="GT27" i="21"/>
  <c r="GU27" i="21" s="1"/>
  <c r="GR36" i="21"/>
  <c r="GS36" i="21"/>
  <c r="GS25" i="21"/>
  <c r="GR25" i="21"/>
  <c r="GT25" i="21"/>
  <c r="GU25" i="21" s="1"/>
  <c r="GS28" i="21"/>
  <c r="GR28" i="21"/>
  <c r="GT28" i="21"/>
  <c r="GU28" i="21" s="1"/>
  <c r="DS11" i="21"/>
  <c r="DT11" i="21" s="1"/>
  <c r="DU11" i="21" s="1"/>
  <c r="J11" i="29" s="1"/>
  <c r="H1056" i="31" s="1"/>
  <c r="GV8" i="21"/>
  <c r="GV9" i="21" s="1"/>
  <c r="GV10" i="21" s="1"/>
  <c r="GV11" i="21" s="1"/>
  <c r="GR34" i="21"/>
  <c r="GS34" i="21"/>
  <c r="GT34" i="21"/>
  <c r="GU34" i="21" s="1"/>
  <c r="GS12" i="21"/>
  <c r="GR12" i="21"/>
  <c r="GT12" i="21"/>
  <c r="GU12" i="21" s="1"/>
  <c r="GS29" i="21"/>
  <c r="GR29" i="21"/>
  <c r="GT29" i="21"/>
  <c r="GU29" i="21" s="1"/>
  <c r="GR20" i="21"/>
  <c r="GS20" i="21"/>
  <c r="GT20" i="21"/>
  <c r="GU20" i="21" s="1"/>
  <c r="GR21" i="21"/>
  <c r="GS21" i="21"/>
  <c r="GT21" i="21"/>
  <c r="GU21" i="21" s="1"/>
  <c r="GR24" i="21"/>
  <c r="GS24" i="21"/>
  <c r="GT24" i="21"/>
  <c r="GU24" i="21" s="1"/>
  <c r="GR33" i="21"/>
  <c r="GS33" i="21"/>
  <c r="GT33" i="21"/>
  <c r="GU33" i="21" s="1"/>
  <c r="ED11" i="21"/>
  <c r="EE11" i="21" s="1"/>
  <c r="EF11" i="21" s="1"/>
  <c r="K11" i="29" s="1"/>
  <c r="H1086" i="31" s="1"/>
  <c r="CX11" i="21"/>
  <c r="CY11" i="21" s="1"/>
  <c r="CZ11" i="21" s="1"/>
  <c r="H11" i="29" s="1"/>
  <c r="H996" i="31" s="1"/>
  <c r="AQ23" i="21"/>
  <c r="CN11" i="21"/>
  <c r="CO11" i="21" s="1"/>
  <c r="CP11" i="21" s="1"/>
  <c r="G11" i="29" s="1"/>
  <c r="H966" i="31" s="1"/>
  <c r="BR30" i="21"/>
  <c r="GR26" i="21"/>
  <c r="GS26" i="21"/>
  <c r="GT26" i="21"/>
  <c r="GU26" i="21" s="1"/>
  <c r="GR32" i="21"/>
  <c r="GS32" i="21"/>
  <c r="GT32" i="21"/>
  <c r="GU32" i="21" s="1"/>
  <c r="GR18" i="21"/>
  <c r="GS18" i="21"/>
  <c r="GT18" i="21"/>
  <c r="GU18" i="21" s="1"/>
  <c r="GR17" i="21"/>
  <c r="GS17" i="21"/>
  <c r="GT17" i="21"/>
  <c r="GU17" i="21" s="1"/>
  <c r="BS21" i="21"/>
  <c r="W28" i="21"/>
  <c r="AQ29" i="21"/>
  <c r="AR30" i="21"/>
  <c r="BT17" i="21"/>
  <c r="BU17" i="21" s="1"/>
  <c r="BR25" i="21"/>
  <c r="BS25" i="21"/>
  <c r="AP11" i="21"/>
  <c r="BR20" i="21"/>
  <c r="BS20" i="21"/>
  <c r="BR19" i="21"/>
  <c r="BS19" i="21"/>
  <c r="CD19" i="21" s="1"/>
  <c r="CE19" i="21" s="1"/>
  <c r="AR22" i="21"/>
  <c r="AQ30" i="21"/>
  <c r="BO13" i="21"/>
  <c r="BR27" i="21"/>
  <c r="BS27" i="21"/>
  <c r="BR33" i="21"/>
  <c r="BS33" i="21"/>
  <c r="BR28" i="21"/>
  <c r="BS28" i="21"/>
  <c r="BR36" i="21"/>
  <c r="BS36" i="21"/>
  <c r="BR24" i="21"/>
  <c r="BS24" i="21"/>
  <c r="BR35" i="21"/>
  <c r="BS35" i="21"/>
  <c r="L7" i="29"/>
  <c r="H1112" i="31" s="1"/>
  <c r="BM14" i="21"/>
  <c r="BN14" i="21" s="1"/>
  <c r="AP29" i="21"/>
  <c r="BR18" i="21"/>
  <c r="BS18" i="21"/>
  <c r="CD18" i="21" s="1"/>
  <c r="CE18" i="21" s="1"/>
  <c r="BR32" i="21"/>
  <c r="BS32" i="21"/>
  <c r="BR31" i="21"/>
  <c r="BS31" i="21"/>
  <c r="BR34" i="21"/>
  <c r="BS34" i="21"/>
  <c r="BR23" i="21"/>
  <c r="BS23" i="21"/>
  <c r="AS29" i="21"/>
  <c r="W25" i="21"/>
  <c r="W29" i="21"/>
  <c r="W21" i="21"/>
  <c r="AR21" i="21"/>
  <c r="AQ14" i="21"/>
  <c r="AP21" i="21"/>
  <c r="AP14" i="21"/>
  <c r="AS12" i="21"/>
  <c r="AQ17" i="21"/>
  <c r="AP17" i="21"/>
  <c r="AR17" i="21"/>
  <c r="AQ25" i="21"/>
  <c r="AP25" i="21"/>
  <c r="AR25" i="21"/>
  <c r="AP28" i="21"/>
  <c r="AQ28" i="21"/>
  <c r="AR28" i="21"/>
  <c r="AS28" i="21" s="1"/>
  <c r="AP15" i="21"/>
  <c r="AQ15" i="21"/>
  <c r="AR15" i="21"/>
  <c r="W22" i="21"/>
  <c r="AP16" i="21"/>
  <c r="AQ16" i="21"/>
  <c r="AR16" i="21"/>
  <c r="AP19" i="21"/>
  <c r="AQ19" i="21"/>
  <c r="AR19" i="21"/>
  <c r="AP20" i="21"/>
  <c r="AQ20" i="21"/>
  <c r="AR20" i="21"/>
  <c r="AS20" i="21" s="1"/>
  <c r="AP27" i="21"/>
  <c r="AQ27" i="21"/>
  <c r="AR27" i="21"/>
  <c r="AS27" i="21" s="1"/>
  <c r="AM7" i="21"/>
  <c r="AP18" i="21"/>
  <c r="AQ18" i="21"/>
  <c r="AR18" i="21"/>
  <c r="W17" i="21"/>
  <c r="W20" i="21"/>
  <c r="W18" i="21"/>
  <c r="W12" i="21"/>
  <c r="W27" i="21"/>
  <c r="AK32" i="18"/>
  <c r="AL32" i="18" s="1"/>
  <c r="AK33" i="18"/>
  <c r="AL33" i="18" s="1"/>
  <c r="AK35" i="18"/>
  <c r="AL35" i="18" s="1"/>
  <c r="AK36" i="18"/>
  <c r="AL36" i="18" s="1"/>
  <c r="O12" i="18"/>
  <c r="P12" i="18" s="1"/>
  <c r="O31" i="18"/>
  <c r="P31" i="18" s="1"/>
  <c r="O32" i="18"/>
  <c r="P32" i="18" s="1"/>
  <c r="O34" i="18"/>
  <c r="P34" i="18" s="1"/>
  <c r="N7" i="29"/>
  <c r="H1172" i="31" s="1"/>
  <c r="X8" i="21"/>
  <c r="C8" i="29" s="1"/>
  <c r="H843" i="31" s="1"/>
  <c r="AS11" i="20"/>
  <c r="JW13" i="21"/>
  <c r="KD13" i="21" s="1"/>
  <c r="JX13" i="21" s="1"/>
  <c r="JY13" i="21" s="1"/>
  <c r="KB13" i="21" s="1"/>
  <c r="KC13" i="21"/>
  <c r="JW13" i="20"/>
  <c r="KD13" i="20" s="1"/>
  <c r="JX13" i="20" s="1"/>
  <c r="JY13" i="20" s="1"/>
  <c r="KB13" i="20" s="1"/>
  <c r="KC13" i="20"/>
  <c r="AS19" i="20"/>
  <c r="BP14" i="20"/>
  <c r="BJ14" i="20"/>
  <c r="BQ14" i="20" s="1"/>
  <c r="BK14" i="20" s="1"/>
  <c r="BL14" i="20" s="1"/>
  <c r="AS11" i="21"/>
  <c r="BT12" i="21"/>
  <c r="BU12" i="21" s="1"/>
  <c r="CD12" i="21"/>
  <c r="CE12" i="21" s="1"/>
  <c r="AS14" i="21"/>
  <c r="DH12" i="21"/>
  <c r="DI12" i="21" s="1"/>
  <c r="DJ12" i="21" s="1"/>
  <c r="I12" i="29" s="1"/>
  <c r="H1027" i="31" s="1"/>
  <c r="CX12" i="21"/>
  <c r="CY12" i="21" s="1"/>
  <c r="BP14" i="21"/>
  <c r="BJ14" i="21"/>
  <c r="BQ14" i="21" s="1"/>
  <c r="BK14" i="21" s="1"/>
  <c r="BL14" i="21" s="1"/>
  <c r="AN36" i="18"/>
  <c r="AH36" i="18"/>
  <c r="AO36" i="18" s="1"/>
  <c r="AI36" i="18" s="1"/>
  <c r="AJ36" i="18" s="1"/>
  <c r="AN35" i="18"/>
  <c r="AH35" i="18"/>
  <c r="AO35" i="18" s="1"/>
  <c r="AI35" i="18" s="1"/>
  <c r="AJ35" i="18" s="1"/>
  <c r="AN32" i="18"/>
  <c r="AH32" i="18"/>
  <c r="AO32" i="18" s="1"/>
  <c r="AI32" i="18" s="1"/>
  <c r="AJ32" i="18" s="1"/>
  <c r="AN33" i="18"/>
  <c r="AH33" i="18"/>
  <c r="AO33" i="18" s="1"/>
  <c r="AI33" i="18" s="1"/>
  <c r="AJ33" i="18" s="1"/>
  <c r="R32" i="18"/>
  <c r="L32" i="18"/>
  <c r="S32" i="18" s="1"/>
  <c r="M32" i="18" s="1"/>
  <c r="N32" i="18" s="1"/>
  <c r="R12" i="18"/>
  <c r="L12" i="18"/>
  <c r="S12" i="18" s="1"/>
  <c r="M12" i="18" s="1"/>
  <c r="N12" i="18" s="1"/>
  <c r="R34" i="18"/>
  <c r="L34" i="18"/>
  <c r="S34" i="18" s="1"/>
  <c r="M34" i="18" s="1"/>
  <c r="N34" i="18" s="1"/>
  <c r="L31" i="18"/>
  <c r="S31" i="18" s="1"/>
  <c r="M31" i="18" s="1"/>
  <c r="N31" i="18" s="1"/>
  <c r="R31" i="18"/>
  <c r="EY13" i="20"/>
  <c r="EU14" i="21"/>
  <c r="FX14" i="21" s="1"/>
  <c r="FY14" i="21" s="1"/>
  <c r="FZ13" i="20"/>
  <c r="JU18" i="18"/>
  <c r="JR19" i="18" s="1"/>
  <c r="JS19" i="18" s="1"/>
  <c r="JT19" i="18" s="1"/>
  <c r="JV19" i="18" s="1"/>
  <c r="ET14" i="20"/>
  <c r="FH13" i="20"/>
  <c r="AY15" i="21"/>
  <c r="MC18" i="10"/>
  <c r="LZ19" i="10" s="1"/>
  <c r="MA19" i="10" s="1"/>
  <c r="MB19" i="10" s="1"/>
  <c r="MD19" i="10" s="1"/>
  <c r="MO19" i="10" s="1"/>
  <c r="MP19" i="10" s="1"/>
  <c r="BA17" i="18"/>
  <c r="JJ17" i="18"/>
  <c r="JL14" i="20"/>
  <c r="JN14" i="20"/>
  <c r="JZ14" i="20" s="1"/>
  <c r="KA14" i="20" s="1"/>
  <c r="JN11" i="18"/>
  <c r="JZ11" i="18" s="1"/>
  <c r="KA11" i="18" s="1"/>
  <c r="JL11" i="18"/>
  <c r="BA15" i="21"/>
  <c r="JJ15" i="21"/>
  <c r="JN14" i="21"/>
  <c r="JZ14" i="21" s="1"/>
  <c r="KA14" i="21" s="1"/>
  <c r="JL14" i="21"/>
  <c r="JT17" i="20"/>
  <c r="JV17" i="20" s="1"/>
  <c r="KG17" i="20" s="1"/>
  <c r="KH17" i="20" s="1"/>
  <c r="JU19" i="21"/>
  <c r="C7" i="30"/>
  <c r="H1232" i="31" s="1"/>
  <c r="DC15" i="21"/>
  <c r="DC16" i="18"/>
  <c r="CB20" i="18"/>
  <c r="CC20" i="18"/>
  <c r="DR12" i="21"/>
  <c r="DS12" i="21" s="1"/>
  <c r="DT12" i="21" s="1"/>
  <c r="DQ12" i="21"/>
  <c r="DO12" i="21"/>
  <c r="EC12" i="21"/>
  <c r="ED12" i="21" s="1"/>
  <c r="EE12" i="21" s="1"/>
  <c r="EB12" i="21"/>
  <c r="BZ16" i="10"/>
  <c r="CA16" i="10" s="1"/>
  <c r="CC16" i="10" s="1"/>
  <c r="CD16" i="10" s="1"/>
  <c r="CE16" i="10" s="1"/>
  <c r="DZ12" i="21"/>
  <c r="DG15" i="18"/>
  <c r="DG14" i="21"/>
  <c r="EN17" i="20"/>
  <c r="EL17" i="20" s="1"/>
  <c r="KI24" i="10"/>
  <c r="P24" i="25" s="1"/>
  <c r="H409" i="31" s="1"/>
  <c r="DC16" i="10"/>
  <c r="AY11" i="18"/>
  <c r="BA11" i="18"/>
  <c r="BI19" i="18"/>
  <c r="BH19" i="18"/>
  <c r="AG31" i="18"/>
  <c r="HA31" i="18"/>
  <c r="CC20" i="21"/>
  <c r="CB20" i="21"/>
  <c r="BF19" i="21"/>
  <c r="BG19" i="21" s="1"/>
  <c r="FB18" i="20"/>
  <c r="FD18" i="20" s="1"/>
  <c r="FE18" i="20" s="1"/>
  <c r="FF18" i="20" s="1"/>
  <c r="FG18" i="20" s="1"/>
  <c r="EW14" i="20"/>
  <c r="EX14" i="20" s="1"/>
  <c r="FX14" i="20"/>
  <c r="FY14" i="20" s="1"/>
  <c r="FF14" i="20"/>
  <c r="FG14" i="20" s="1"/>
  <c r="FO14" i="20"/>
  <c r="FP14" i="20" s="1"/>
  <c r="FQ14" i="20" s="1"/>
  <c r="FQ15" i="20" s="1"/>
  <c r="FQ16" i="20" s="1"/>
  <c r="FQ17" i="20" s="1"/>
  <c r="FK18" i="20"/>
  <c r="FM18" i="20" s="1"/>
  <c r="FN18" i="20" s="1"/>
  <c r="FO18" i="20" s="1"/>
  <c r="FP18" i="20" s="1"/>
  <c r="FU17" i="20"/>
  <c r="DY12" i="20"/>
  <c r="DN12" i="20"/>
  <c r="DS7" i="20"/>
  <c r="DT7" i="20" s="1"/>
  <c r="DU7" i="20" s="1"/>
  <c r="J7" i="30" s="1"/>
  <c r="H1442" i="31" s="1"/>
  <c r="DH7" i="20"/>
  <c r="DI7" i="20" s="1"/>
  <c r="DJ7" i="20" s="1"/>
  <c r="I7" i="30" s="1"/>
  <c r="H1412" i="31" s="1"/>
  <c r="DC15" i="20"/>
  <c r="DD15" i="20" s="1"/>
  <c r="DE15" i="20" s="1"/>
  <c r="DG15" i="20" s="1"/>
  <c r="DH15" i="20" s="1"/>
  <c r="DI15" i="20" s="1"/>
  <c r="CN7" i="20"/>
  <c r="CO7" i="20" s="1"/>
  <c r="CP7" i="20" s="1"/>
  <c r="G7" i="30" s="1"/>
  <c r="H1352" i="31" s="1"/>
  <c r="CX7" i="20"/>
  <c r="CY7" i="20" s="1"/>
  <c r="CZ7" i="20" s="1"/>
  <c r="H7" i="30" s="1"/>
  <c r="H1382" i="31" s="1"/>
  <c r="BT7" i="20"/>
  <c r="BU7" i="20" s="1"/>
  <c r="BV7" i="20" s="1"/>
  <c r="E7" i="30" s="1"/>
  <c r="H1292" i="31" s="1"/>
  <c r="CD7" i="20"/>
  <c r="CE7" i="20" s="1"/>
  <c r="CF7" i="20" s="1"/>
  <c r="F7" i="30" s="1"/>
  <c r="H1322" i="31" s="1"/>
  <c r="BZ17" i="20"/>
  <c r="CA17" i="20" s="1"/>
  <c r="CC17" i="20" s="1"/>
  <c r="CD17" i="20" s="1"/>
  <c r="CE17" i="20" s="1"/>
  <c r="L7" i="30"/>
  <c r="H1502" i="31" s="1"/>
  <c r="N7" i="30"/>
  <c r="H1562" i="31" s="1"/>
  <c r="BE19" i="20"/>
  <c r="BB9" i="20"/>
  <c r="K31" i="18"/>
  <c r="HD10" i="18"/>
  <c r="IT10" i="18"/>
  <c r="GF16" i="18"/>
  <c r="HV16" i="18"/>
  <c r="AC20" i="18"/>
  <c r="GZ20" i="18" s="1"/>
  <c r="HU20" i="18"/>
  <c r="EM17" i="18"/>
  <c r="EM18" i="18" s="1"/>
  <c r="EM19" i="18" s="1"/>
  <c r="EM20" i="18" s="1"/>
  <c r="EM21" i="18" s="1"/>
  <c r="EM22" i="18" s="1"/>
  <c r="EM23" i="18" s="1"/>
  <c r="EM24" i="18" s="1"/>
  <c r="EM25" i="18" s="1"/>
  <c r="EM26" i="18" s="1"/>
  <c r="EM27" i="18" s="1"/>
  <c r="EM28" i="18" s="1"/>
  <c r="EM29" i="18" s="1"/>
  <c r="EM30" i="18" s="1"/>
  <c r="EM31" i="18" s="1"/>
  <c r="EM32" i="18" s="1"/>
  <c r="EM33" i="18" s="1"/>
  <c r="EM34" i="18" s="1"/>
  <c r="EM35" i="18" s="1"/>
  <c r="EM36" i="18" s="1"/>
  <c r="GI8" i="18"/>
  <c r="HY8" i="18"/>
  <c r="AD20" i="18"/>
  <c r="HA20" i="18" s="1"/>
  <c r="HV20" i="18"/>
  <c r="GI7" i="18"/>
  <c r="HY7" i="18"/>
  <c r="HD8" i="18"/>
  <c r="IT8" i="18"/>
  <c r="GI9" i="18"/>
  <c r="HY9" i="18"/>
  <c r="GE18" i="18"/>
  <c r="HU18" i="18"/>
  <c r="GF19" i="18"/>
  <c r="HV19" i="18"/>
  <c r="GE22" i="18"/>
  <c r="HU22" i="18"/>
  <c r="HD7" i="18"/>
  <c r="IT7" i="18"/>
  <c r="HD9" i="18"/>
  <c r="IT9" i="18"/>
  <c r="GI10" i="18"/>
  <c r="HY10" i="18"/>
  <c r="GF18" i="18"/>
  <c r="HV18" i="18"/>
  <c r="GE21" i="18"/>
  <c r="AC21" i="18"/>
  <c r="GZ21" i="18" s="1"/>
  <c r="HU21" i="18"/>
  <c r="GH12" i="18"/>
  <c r="HX12" i="18"/>
  <c r="EL9" i="21"/>
  <c r="FL8" i="21"/>
  <c r="FU8" i="21"/>
  <c r="FC8" i="21"/>
  <c r="EJ15" i="21"/>
  <c r="EJ13" i="21"/>
  <c r="FJ10" i="21"/>
  <c r="EJ11" i="21"/>
  <c r="EK10" i="21"/>
  <c r="FS10" i="21"/>
  <c r="EJ12" i="21"/>
  <c r="FA10" i="21"/>
  <c r="EJ14" i="21"/>
  <c r="AY16" i="21"/>
  <c r="EO16" i="21"/>
  <c r="FT9" i="21"/>
  <c r="FB9" i="21"/>
  <c r="FK9" i="21"/>
  <c r="EU15" i="21"/>
  <c r="ET15" i="21"/>
  <c r="EM22" i="21"/>
  <c r="AY8" i="21"/>
  <c r="EP8" i="21"/>
  <c r="EU8" i="21" s="1"/>
  <c r="AY15" i="20"/>
  <c r="I7" i="18"/>
  <c r="GE7" i="18"/>
  <c r="AC14" i="18"/>
  <c r="IP14" i="18" s="1"/>
  <c r="GE14" i="18"/>
  <c r="AC16" i="18"/>
  <c r="AF16" i="18" s="1"/>
  <c r="GE16" i="18"/>
  <c r="K21" i="18"/>
  <c r="GF21" i="18"/>
  <c r="AD25" i="18"/>
  <c r="GF25" i="18"/>
  <c r="J28" i="18"/>
  <c r="GE28" i="18"/>
  <c r="K14" i="18"/>
  <c r="GF14" i="18"/>
  <c r="GE23" i="18"/>
  <c r="AD24" i="18"/>
  <c r="GF24" i="18"/>
  <c r="AC27" i="18"/>
  <c r="GE27" i="18"/>
  <c r="K28" i="18"/>
  <c r="GI28" i="18" s="1"/>
  <c r="GF28" i="18"/>
  <c r="AC11" i="18"/>
  <c r="IP11" i="18" s="1"/>
  <c r="GE11" i="18"/>
  <c r="J16" i="18"/>
  <c r="AD17" i="18"/>
  <c r="IQ17" i="18" s="1"/>
  <c r="GF17" i="18"/>
  <c r="AC26" i="18"/>
  <c r="GE26" i="18"/>
  <c r="K27" i="18"/>
  <c r="GI27" i="18" s="1"/>
  <c r="GF27" i="18"/>
  <c r="AC30" i="18"/>
  <c r="GE30" i="18"/>
  <c r="J9" i="18"/>
  <c r="GE9" i="18"/>
  <c r="K12" i="18"/>
  <c r="GF12" i="18"/>
  <c r="AC19" i="18"/>
  <c r="GE19" i="18"/>
  <c r="K20" i="18"/>
  <c r="GF20" i="18"/>
  <c r="AD29" i="18"/>
  <c r="GF29" i="18"/>
  <c r="I10" i="18"/>
  <c r="GE10" i="18"/>
  <c r="K13" i="18"/>
  <c r="GF13" i="18"/>
  <c r="K15" i="18"/>
  <c r="GF15" i="18"/>
  <c r="J17" i="18"/>
  <c r="GE17" i="18"/>
  <c r="I8" i="18"/>
  <c r="GE8" i="18"/>
  <c r="AD11" i="18"/>
  <c r="IQ11" i="18" s="1"/>
  <c r="GF11" i="18"/>
  <c r="AC12" i="18"/>
  <c r="IP12" i="18" s="1"/>
  <c r="GE12" i="18"/>
  <c r="GE20" i="18"/>
  <c r="AD22" i="18"/>
  <c r="GF22" i="18"/>
  <c r="J25" i="18"/>
  <c r="GE25" i="18"/>
  <c r="K17" i="18"/>
  <c r="J14" i="18"/>
  <c r="AD28" i="18"/>
  <c r="I24" i="18"/>
  <c r="GG24" i="18" s="1"/>
  <c r="J19" i="18"/>
  <c r="J24" i="18"/>
  <c r="J26" i="18"/>
  <c r="K34" i="18"/>
  <c r="K22" i="18"/>
  <c r="AC24" i="18"/>
  <c r="J27" i="18"/>
  <c r="J7" i="18"/>
  <c r="EK7" i="18"/>
  <c r="EL7" i="18" s="1"/>
  <c r="BB7" i="18" s="1"/>
  <c r="I19" i="18"/>
  <c r="I32" i="18"/>
  <c r="I34" i="18"/>
  <c r="I35" i="18"/>
  <c r="J8" i="18"/>
  <c r="I11" i="18"/>
  <c r="AD15" i="18"/>
  <c r="IQ15" i="18" s="1"/>
  <c r="I20" i="18"/>
  <c r="AD21" i="18"/>
  <c r="J23" i="18"/>
  <c r="K25" i="18"/>
  <c r="AD27" i="18"/>
  <c r="I31" i="18"/>
  <c r="J35" i="18"/>
  <c r="J11" i="18"/>
  <c r="I12" i="18"/>
  <c r="I14" i="18"/>
  <c r="AD14" i="18"/>
  <c r="IQ14" i="18" s="1"/>
  <c r="J20" i="18"/>
  <c r="K24" i="18"/>
  <c r="GI24" i="18" s="1"/>
  <c r="J30" i="18"/>
  <c r="AD32" i="18"/>
  <c r="AE32" i="18" s="1"/>
  <c r="K35" i="18"/>
  <c r="K36" i="18"/>
  <c r="AW25" i="18"/>
  <c r="AE34" i="18"/>
  <c r="I27" i="18"/>
  <c r="GG27" i="18" s="1"/>
  <c r="K33" i="18"/>
  <c r="I36" i="18"/>
  <c r="EI9" i="18"/>
  <c r="I21" i="18"/>
  <c r="J21" i="18"/>
  <c r="AG36" i="18"/>
  <c r="AE36" i="18"/>
  <c r="I9" i="18"/>
  <c r="AD18" i="18"/>
  <c r="IQ18" i="18" s="1"/>
  <c r="K18" i="18"/>
  <c r="K26" i="18"/>
  <c r="GI26" i="18" s="1"/>
  <c r="AD26" i="18"/>
  <c r="I26" i="18"/>
  <c r="GG26" i="18" s="1"/>
  <c r="K30" i="18"/>
  <c r="GI30" i="18" s="1"/>
  <c r="AD30" i="18"/>
  <c r="I30" i="18"/>
  <c r="GG30" i="18" s="1"/>
  <c r="J33" i="18"/>
  <c r="I33" i="18"/>
  <c r="K16" i="18"/>
  <c r="HY16" i="18" s="1"/>
  <c r="I16" i="18"/>
  <c r="AW34" i="18"/>
  <c r="AW30" i="18"/>
  <c r="AW26" i="18"/>
  <c r="AW35" i="18"/>
  <c r="AW31" i="18"/>
  <c r="AW36" i="18"/>
  <c r="AW32" i="18"/>
  <c r="AW29" i="18"/>
  <c r="AW27" i="18"/>
  <c r="AW23" i="18"/>
  <c r="AW19" i="18"/>
  <c r="AW28" i="18"/>
  <c r="AW24" i="18"/>
  <c r="AW20" i="18"/>
  <c r="AW33" i="18"/>
  <c r="AW21" i="18"/>
  <c r="AW18" i="18"/>
  <c r="EO17" i="18"/>
  <c r="AY17" i="18"/>
  <c r="J18" i="18"/>
  <c r="AC18" i="18"/>
  <c r="I18" i="18"/>
  <c r="K23" i="18"/>
  <c r="GI23" i="18" s="1"/>
  <c r="AD23" i="18"/>
  <c r="I23" i="18"/>
  <c r="EJ7" i="18"/>
  <c r="J10" i="18"/>
  <c r="AC13" i="18"/>
  <c r="I13" i="18"/>
  <c r="J13" i="18"/>
  <c r="AD13" i="18"/>
  <c r="IQ13" i="18" s="1"/>
  <c r="AC15" i="18"/>
  <c r="I15" i="18"/>
  <c r="J15" i="18"/>
  <c r="AD16" i="18"/>
  <c r="IQ16" i="18" s="1"/>
  <c r="AW22" i="18"/>
  <c r="K11" i="18"/>
  <c r="AW12" i="18"/>
  <c r="EO11" i="18"/>
  <c r="AC17" i="18"/>
  <c r="I17" i="18"/>
  <c r="J22" i="18"/>
  <c r="AC22" i="18"/>
  <c r="GZ22" i="18" s="1"/>
  <c r="I22" i="18"/>
  <c r="AC25" i="18"/>
  <c r="GZ25" i="18" s="1"/>
  <c r="I25" i="18"/>
  <c r="GG25" i="18" s="1"/>
  <c r="J29" i="18"/>
  <c r="AC29" i="18"/>
  <c r="GZ29" i="18" s="1"/>
  <c r="I29" i="18"/>
  <c r="GG29" i="18" s="1"/>
  <c r="AD12" i="18"/>
  <c r="IQ12" i="18" s="1"/>
  <c r="K19" i="18"/>
  <c r="HY19" i="18" s="1"/>
  <c r="AD19" i="18"/>
  <c r="IQ19" i="18" s="1"/>
  <c r="AC28" i="18"/>
  <c r="GZ28" i="18" s="1"/>
  <c r="I28" i="18"/>
  <c r="GG28" i="18" s="1"/>
  <c r="AF31" i="18"/>
  <c r="AE31" i="18"/>
  <c r="AE33" i="18"/>
  <c r="K29" i="18"/>
  <c r="GI29" i="18" s="1"/>
  <c r="AF34" i="18"/>
  <c r="AG35" i="18"/>
  <c r="J36" i="18"/>
  <c r="EP27" i="10"/>
  <c r="EP28" i="10"/>
  <c r="EP29" i="10"/>
  <c r="EP30" i="10"/>
  <c r="EP31" i="10"/>
  <c r="EP32" i="10"/>
  <c r="EP33" i="10"/>
  <c r="EP34" i="10"/>
  <c r="EP35" i="10"/>
  <c r="EP36" i="10"/>
  <c r="AF36" i="10"/>
  <c r="AF35" i="10"/>
  <c r="AC34" i="10"/>
  <c r="AC33" i="10"/>
  <c r="AC32" i="10"/>
  <c r="AC31" i="10"/>
  <c r="H30" i="10"/>
  <c r="H31" i="10"/>
  <c r="H32" i="10"/>
  <c r="GJ32" i="10" s="1"/>
  <c r="H33" i="10"/>
  <c r="K33" i="10" s="1"/>
  <c r="H34" i="10"/>
  <c r="K34" i="10" s="1"/>
  <c r="H29" i="10"/>
  <c r="H27" i="10"/>
  <c r="H28" i="10"/>
  <c r="GJ28" i="10" s="1"/>
  <c r="J36" i="10"/>
  <c r="O36" i="10" s="1"/>
  <c r="P36" i="10" s="1"/>
  <c r="J35" i="10"/>
  <c r="O35" i="10" s="1"/>
  <c r="P35" i="10" s="1"/>
  <c r="G34" i="10"/>
  <c r="J34" i="10" s="1"/>
  <c r="O34" i="10" s="1"/>
  <c r="P34" i="10" s="1"/>
  <c r="G33" i="10"/>
  <c r="GH33" i="10" s="1"/>
  <c r="G32" i="10"/>
  <c r="G31" i="10"/>
  <c r="G30" i="10"/>
  <c r="G21" i="10"/>
  <c r="GI21" i="10" s="1"/>
  <c r="G22" i="10"/>
  <c r="GI22" i="10" s="1"/>
  <c r="G23" i="10"/>
  <c r="GI23" i="10" s="1"/>
  <c r="G24" i="10"/>
  <c r="GI24" i="10" s="1"/>
  <c r="G25" i="10"/>
  <c r="GI25" i="10" s="1"/>
  <c r="G26" i="10"/>
  <c r="GI26" i="10" s="1"/>
  <c r="G27" i="10"/>
  <c r="G28" i="10"/>
  <c r="G29" i="10"/>
  <c r="JD17" i="21" l="1"/>
  <c r="IG33" i="10"/>
  <c r="JB33" i="10"/>
  <c r="JB32" i="10"/>
  <c r="IG32" i="10"/>
  <c r="IG35" i="10"/>
  <c r="JB35" i="10"/>
  <c r="IG31" i="10"/>
  <c r="JB31" i="10"/>
  <c r="IG27" i="10"/>
  <c r="JB27" i="10"/>
  <c r="IG29" i="10"/>
  <c r="JB29" i="10"/>
  <c r="JB36" i="10"/>
  <c r="IG36" i="10"/>
  <c r="JB28" i="10"/>
  <c r="IG28" i="10"/>
  <c r="IG34" i="10"/>
  <c r="JB34" i="10"/>
  <c r="IG30" i="10"/>
  <c r="JB30" i="10"/>
  <c r="JJ33" i="18"/>
  <c r="JL33" i="18" s="1"/>
  <c r="IP33" i="18"/>
  <c r="HU33" i="18"/>
  <c r="GH33" i="18"/>
  <c r="HC33" i="18"/>
  <c r="IP23" i="18"/>
  <c r="HU23" i="18"/>
  <c r="IP25" i="18"/>
  <c r="HU25" i="18"/>
  <c r="KE26" i="21"/>
  <c r="HU26" i="18"/>
  <c r="IP26" i="18"/>
  <c r="KF30" i="21"/>
  <c r="JJ36" i="18"/>
  <c r="JL36" i="18" s="1"/>
  <c r="GH36" i="18"/>
  <c r="HC36" i="18"/>
  <c r="IP36" i="18"/>
  <c r="HU36" i="18"/>
  <c r="HU31" i="18"/>
  <c r="IP31" i="18"/>
  <c r="GH31" i="18"/>
  <c r="JJ32" i="18"/>
  <c r="JL32" i="18" s="1"/>
  <c r="GH32" i="18"/>
  <c r="IP32" i="18"/>
  <c r="HC32" i="18"/>
  <c r="HU32" i="18"/>
  <c r="JJ20" i="18"/>
  <c r="JN20" i="18" s="1"/>
  <c r="JZ20" i="18" s="1"/>
  <c r="KA20" i="18" s="1"/>
  <c r="IP20" i="18"/>
  <c r="IP30" i="18"/>
  <c r="HU30" i="18"/>
  <c r="IP24" i="18"/>
  <c r="HU24" i="18"/>
  <c r="HU27" i="18"/>
  <c r="IP27" i="18"/>
  <c r="JJ34" i="18"/>
  <c r="JL34" i="18" s="1"/>
  <c r="HC34" i="18"/>
  <c r="GH34" i="18"/>
  <c r="HU34" i="18"/>
  <c r="IP34" i="18"/>
  <c r="JJ22" i="18"/>
  <c r="JN22" i="18" s="1"/>
  <c r="IP22" i="18"/>
  <c r="JJ21" i="18"/>
  <c r="JN21" i="18" s="1"/>
  <c r="JZ21" i="18" s="1"/>
  <c r="KA21" i="18" s="1"/>
  <c r="IP21" i="18"/>
  <c r="IP28" i="18"/>
  <c r="HU28" i="18"/>
  <c r="IP29" i="18"/>
  <c r="HU29" i="18"/>
  <c r="JJ35" i="18"/>
  <c r="JL35" i="18" s="1"/>
  <c r="HU35" i="18"/>
  <c r="IP35" i="18"/>
  <c r="GH35" i="18"/>
  <c r="HC35" i="18"/>
  <c r="JE18" i="20"/>
  <c r="JF18" i="20" s="1"/>
  <c r="JE34" i="21"/>
  <c r="JF34" i="21" s="1"/>
  <c r="JD20" i="21"/>
  <c r="JD36" i="20"/>
  <c r="JD20" i="20"/>
  <c r="JE35" i="21"/>
  <c r="JF35" i="21" s="1"/>
  <c r="JC30" i="21"/>
  <c r="JC36" i="20"/>
  <c r="JC18" i="20"/>
  <c r="JE34" i="20"/>
  <c r="JF34" i="20" s="1"/>
  <c r="JC34" i="20"/>
  <c r="JC20" i="20"/>
  <c r="JC26" i="21"/>
  <c r="JC35" i="21"/>
  <c r="KE13" i="20"/>
  <c r="KF13" i="20"/>
  <c r="KG13" i="20" s="1"/>
  <c r="KH13" i="20" s="1"/>
  <c r="KI13" i="20" s="1"/>
  <c r="P13" i="30" s="1"/>
  <c r="H1718" i="31" s="1"/>
  <c r="JC36" i="21"/>
  <c r="JE26" i="21"/>
  <c r="JF26" i="21" s="1"/>
  <c r="JD36" i="21"/>
  <c r="JD16" i="21"/>
  <c r="JC17" i="21"/>
  <c r="JE30" i="21"/>
  <c r="JF30" i="21" s="1"/>
  <c r="HM16" i="20"/>
  <c r="JC21" i="20"/>
  <c r="JC16" i="21"/>
  <c r="HM18" i="20"/>
  <c r="KF13" i="21"/>
  <c r="KG13" i="21" s="1"/>
  <c r="KH13" i="21" s="1"/>
  <c r="KI13" i="21" s="1"/>
  <c r="P13" i="29" s="1"/>
  <c r="H1688" i="31" s="1"/>
  <c r="KE13" i="21"/>
  <c r="HM25" i="20"/>
  <c r="JD21" i="20"/>
  <c r="JE14" i="20"/>
  <c r="JF14" i="20" s="1"/>
  <c r="IJ35" i="20"/>
  <c r="IK35" i="20" s="1"/>
  <c r="II25" i="20"/>
  <c r="II35" i="20"/>
  <c r="JD35" i="20"/>
  <c r="JC14" i="20"/>
  <c r="JC35" i="20"/>
  <c r="IL9" i="20"/>
  <c r="IL10" i="20" s="1"/>
  <c r="IL11" i="20" s="1"/>
  <c r="IL12" i="20" s="1"/>
  <c r="IL13" i="20" s="1"/>
  <c r="IL14" i="20" s="1"/>
  <c r="IL15" i="20" s="1"/>
  <c r="IL16" i="20" s="1"/>
  <c r="IL17" i="20" s="1"/>
  <c r="IL18" i="20" s="1"/>
  <c r="IL19" i="20" s="1"/>
  <c r="IL20" i="20" s="1"/>
  <c r="IL21" i="20" s="1"/>
  <c r="IL22" i="20" s="1"/>
  <c r="IL23" i="20" s="1"/>
  <c r="IL24" i="20" s="1"/>
  <c r="IL25" i="20" s="1"/>
  <c r="IL26" i="20" s="1"/>
  <c r="IL27" i="20" s="1"/>
  <c r="IL28" i="20" s="1"/>
  <c r="IL29" i="20" s="1"/>
  <c r="IL30" i="20" s="1"/>
  <c r="IL31" i="20" s="1"/>
  <c r="IL32" i="20" s="1"/>
  <c r="IL33" i="20" s="1"/>
  <c r="HO21" i="20"/>
  <c r="HP21" i="20" s="1"/>
  <c r="IH25" i="20"/>
  <c r="JC11" i="20"/>
  <c r="JD11" i="20"/>
  <c r="JE11" i="20"/>
  <c r="JF11" i="20" s="1"/>
  <c r="JD16" i="20"/>
  <c r="JC16" i="20"/>
  <c r="JE16" i="20"/>
  <c r="JF16" i="20" s="1"/>
  <c r="JD13" i="20"/>
  <c r="JC13" i="20"/>
  <c r="JE13" i="20"/>
  <c r="JF13" i="20" s="1"/>
  <c r="JD25" i="20"/>
  <c r="JC25" i="20"/>
  <c r="JE25" i="20"/>
  <c r="JF25" i="20" s="1"/>
  <c r="JC19" i="20"/>
  <c r="JD19" i="20"/>
  <c r="JE19" i="20"/>
  <c r="JF19" i="20" s="1"/>
  <c r="IZ7" i="20"/>
  <c r="JC15" i="20"/>
  <c r="JD15" i="20"/>
  <c r="JE15" i="20"/>
  <c r="JF15" i="20" s="1"/>
  <c r="HO22" i="20"/>
  <c r="HP22" i="20" s="1"/>
  <c r="GV9" i="20"/>
  <c r="GV10" i="20" s="1"/>
  <c r="GV11" i="20" s="1"/>
  <c r="GV12" i="20" s="1"/>
  <c r="GV13" i="20" s="1"/>
  <c r="GV14" i="20" s="1"/>
  <c r="GV15" i="20" s="1"/>
  <c r="GV16" i="20" s="1"/>
  <c r="GV17" i="20" s="1"/>
  <c r="GV18" i="20" s="1"/>
  <c r="GV19" i="20" s="1"/>
  <c r="GV20" i="20" s="1"/>
  <c r="GV21" i="20" s="1"/>
  <c r="GV22" i="20" s="1"/>
  <c r="GV23" i="20" s="1"/>
  <c r="GV24" i="20" s="1"/>
  <c r="GV25" i="20" s="1"/>
  <c r="GV26" i="20" s="1"/>
  <c r="GV27" i="20" s="1"/>
  <c r="GV28" i="20" s="1"/>
  <c r="GV29" i="20" s="1"/>
  <c r="GV30" i="20" s="1"/>
  <c r="GV31" i="20" s="1"/>
  <c r="GV32" i="20" s="1"/>
  <c r="GV33" i="20" s="1"/>
  <c r="GV34" i="20" s="1"/>
  <c r="GV35" i="20" s="1"/>
  <c r="HN18" i="20"/>
  <c r="IH36" i="20"/>
  <c r="II36" i="20"/>
  <c r="IJ36" i="20"/>
  <c r="IK36" i="20" s="1"/>
  <c r="HN22" i="20"/>
  <c r="HN25" i="20"/>
  <c r="IH34" i="20"/>
  <c r="II34" i="20"/>
  <c r="IJ34" i="20"/>
  <c r="IK34" i="20" s="1"/>
  <c r="AS13" i="20"/>
  <c r="HN21" i="20"/>
  <c r="HN15" i="20"/>
  <c r="HM15" i="20"/>
  <c r="HN30" i="20"/>
  <c r="HM30" i="20"/>
  <c r="HO30" i="20"/>
  <c r="HP30" i="20" s="1"/>
  <c r="HM29" i="20"/>
  <c r="HN29" i="20"/>
  <c r="HO29" i="20"/>
  <c r="HP29" i="20" s="1"/>
  <c r="AQ7" i="20"/>
  <c r="HM11" i="20"/>
  <c r="HN11" i="20"/>
  <c r="HO11" i="20"/>
  <c r="HP11" i="20" s="1"/>
  <c r="HJ7" i="20"/>
  <c r="HN14" i="20"/>
  <c r="HM14" i="20"/>
  <c r="HO14" i="20"/>
  <c r="HP14" i="20" s="1"/>
  <c r="HM19" i="20"/>
  <c r="HN19" i="20"/>
  <c r="HO19" i="20"/>
  <c r="HP19" i="20" s="1"/>
  <c r="BO14" i="20"/>
  <c r="BS14" i="20" s="1"/>
  <c r="DH14" i="20" s="1"/>
  <c r="DI14" i="20" s="1"/>
  <c r="HM13" i="20"/>
  <c r="HN13" i="20"/>
  <c r="HO13" i="20"/>
  <c r="HP13" i="20" s="1"/>
  <c r="AS18" i="20"/>
  <c r="BT12" i="20"/>
  <c r="BU12" i="20" s="1"/>
  <c r="AS7" i="20"/>
  <c r="AT7" i="20" s="1"/>
  <c r="D7" i="30" s="1"/>
  <c r="H1262" i="31" s="1"/>
  <c r="AS16" i="20"/>
  <c r="BS9" i="20"/>
  <c r="ED9" i="20" s="1"/>
  <c r="EE9" i="20" s="1"/>
  <c r="EF9" i="20" s="1"/>
  <c r="K9" i="30" s="1"/>
  <c r="H1474" i="31" s="1"/>
  <c r="BR9" i="20"/>
  <c r="BR13" i="20"/>
  <c r="BS13" i="20"/>
  <c r="CX13" i="20" s="1"/>
  <c r="CY13" i="20" s="1"/>
  <c r="X8" i="20"/>
  <c r="C8" i="30" s="1"/>
  <c r="H1233" i="31" s="1"/>
  <c r="CD12" i="20"/>
  <c r="CE12" i="20" s="1"/>
  <c r="DH12" i="20"/>
  <c r="DI12" i="20" s="1"/>
  <c r="CN12" i="20"/>
  <c r="CO12" i="20" s="1"/>
  <c r="AP7" i="20"/>
  <c r="AS14" i="20"/>
  <c r="AS15" i="20"/>
  <c r="JC20" i="21"/>
  <c r="JE14" i="21"/>
  <c r="JF14" i="21" s="1"/>
  <c r="JC28" i="21"/>
  <c r="JD34" i="21"/>
  <c r="JD28" i="21"/>
  <c r="JD14" i="21"/>
  <c r="CF12" i="21"/>
  <c r="F12" i="29" s="1"/>
  <c r="H937" i="31" s="1"/>
  <c r="II26" i="21"/>
  <c r="IJ34" i="21"/>
  <c r="IK34" i="21" s="1"/>
  <c r="JD27" i="21"/>
  <c r="JC27" i="21"/>
  <c r="JE27" i="21"/>
  <c r="JF27" i="21" s="1"/>
  <c r="JC25" i="21"/>
  <c r="JD25" i="21"/>
  <c r="JE25" i="21"/>
  <c r="JF25" i="21" s="1"/>
  <c r="JD15" i="21"/>
  <c r="JC15" i="21"/>
  <c r="JE15" i="21"/>
  <c r="JF15" i="21" s="1"/>
  <c r="IZ7" i="21"/>
  <c r="JD32" i="21"/>
  <c r="JC32" i="21"/>
  <c r="JE32" i="21"/>
  <c r="JF32" i="21" s="1"/>
  <c r="JC33" i="21"/>
  <c r="JD33" i="21"/>
  <c r="JE33" i="21"/>
  <c r="JF33" i="21" s="1"/>
  <c r="JC18" i="21"/>
  <c r="JD18" i="21"/>
  <c r="JE18" i="21"/>
  <c r="JF18" i="21" s="1"/>
  <c r="JD23" i="21"/>
  <c r="JC23" i="21"/>
  <c r="JE23" i="21"/>
  <c r="JF23" i="21" s="1"/>
  <c r="JD31" i="21"/>
  <c r="JC31" i="21"/>
  <c r="JE31" i="21"/>
  <c r="JF31" i="21" s="1"/>
  <c r="JD19" i="21"/>
  <c r="JC19" i="21"/>
  <c r="JE19" i="21"/>
  <c r="JF19" i="21" s="1"/>
  <c r="HN30" i="21"/>
  <c r="II31" i="21"/>
  <c r="II29" i="21"/>
  <c r="JC29" i="21"/>
  <c r="JD29" i="21"/>
  <c r="JE29" i="21"/>
  <c r="JF29" i="21" s="1"/>
  <c r="JD24" i="21"/>
  <c r="JC24" i="21"/>
  <c r="JE24" i="21"/>
  <c r="JF24" i="21" s="1"/>
  <c r="JD11" i="21"/>
  <c r="JC11" i="21"/>
  <c r="JE11" i="21"/>
  <c r="JF11" i="21" s="1"/>
  <c r="HN14" i="21"/>
  <c r="IH34" i="21"/>
  <c r="IH35" i="21"/>
  <c r="IL12" i="21"/>
  <c r="IL13" i="21" s="1"/>
  <c r="IL14" i="21" s="1"/>
  <c r="IL15" i="21" s="1"/>
  <c r="IL16" i="21" s="1"/>
  <c r="IL17" i="21" s="1"/>
  <c r="IL18" i="21" s="1"/>
  <c r="IL19" i="21" s="1"/>
  <c r="IL20" i="21" s="1"/>
  <c r="IL21" i="21" s="1"/>
  <c r="IL22" i="21" s="1"/>
  <c r="HO22" i="21"/>
  <c r="HP22" i="21" s="1"/>
  <c r="IJ26" i="21"/>
  <c r="IK26" i="21" s="1"/>
  <c r="IJ35" i="21"/>
  <c r="IK35" i="21" s="1"/>
  <c r="II30" i="21"/>
  <c r="IH30" i="21"/>
  <c r="IJ30" i="21"/>
  <c r="IK30" i="21" s="1"/>
  <c r="HM18" i="21"/>
  <c r="HO29" i="21"/>
  <c r="HP29" i="21" s="1"/>
  <c r="HM29" i="21"/>
  <c r="HM30" i="21"/>
  <c r="II24" i="21"/>
  <c r="IH24" i="21"/>
  <c r="IJ24" i="21"/>
  <c r="IK24" i="21" s="1"/>
  <c r="IH25" i="21"/>
  <c r="II25" i="21"/>
  <c r="IJ25" i="21"/>
  <c r="IK25" i="21" s="1"/>
  <c r="II36" i="21"/>
  <c r="IH36" i="21"/>
  <c r="IJ36" i="21"/>
  <c r="IK36" i="21" s="1"/>
  <c r="HM22" i="21"/>
  <c r="II32" i="21"/>
  <c r="IH32" i="21"/>
  <c r="IJ32" i="21"/>
  <c r="IK32" i="21" s="1"/>
  <c r="BV12" i="21"/>
  <c r="E12" i="29" s="1"/>
  <c r="H907" i="31" s="1"/>
  <c r="II33" i="21"/>
  <c r="IH33" i="21"/>
  <c r="IJ33" i="21"/>
  <c r="IK33" i="21" s="1"/>
  <c r="II23" i="21"/>
  <c r="IH23" i="21"/>
  <c r="IJ23" i="21"/>
  <c r="IK23" i="21" s="1"/>
  <c r="HM14" i="21"/>
  <c r="DU12" i="21"/>
  <c r="J12" i="29" s="1"/>
  <c r="H1057" i="31" s="1"/>
  <c r="HN16" i="21"/>
  <c r="HM16" i="21"/>
  <c r="HO16" i="21"/>
  <c r="HP16" i="21" s="1"/>
  <c r="HM11" i="21"/>
  <c r="HN11" i="21"/>
  <c r="HO11" i="21"/>
  <c r="HP11" i="21" s="1"/>
  <c r="HM19" i="21"/>
  <c r="HN19" i="21"/>
  <c r="HO19" i="21"/>
  <c r="HP19" i="21" s="1"/>
  <c r="HM21" i="21"/>
  <c r="HN21" i="21"/>
  <c r="HO21" i="21"/>
  <c r="HP21" i="21" s="1"/>
  <c r="HJ7" i="21"/>
  <c r="HM17" i="21"/>
  <c r="HN17" i="21"/>
  <c r="HO17" i="21"/>
  <c r="HP17" i="21" s="1"/>
  <c r="HM27" i="21"/>
  <c r="HN27" i="21"/>
  <c r="HO27" i="21"/>
  <c r="HP27" i="21" s="1"/>
  <c r="HM25" i="21"/>
  <c r="HN25" i="21"/>
  <c r="HO25" i="21"/>
  <c r="HP25" i="21" s="1"/>
  <c r="CZ12" i="21"/>
  <c r="H12" i="29" s="1"/>
  <c r="H997" i="31" s="1"/>
  <c r="HM15" i="21"/>
  <c r="HN15" i="21"/>
  <c r="HO15" i="21"/>
  <c r="HP15" i="21" s="1"/>
  <c r="HM23" i="21"/>
  <c r="HN23" i="21"/>
  <c r="HO23" i="21"/>
  <c r="HP23" i="21" s="1"/>
  <c r="HN28" i="21"/>
  <c r="HM28" i="21"/>
  <c r="HO28" i="21"/>
  <c r="HP28" i="21" s="1"/>
  <c r="HN20" i="21"/>
  <c r="HM20" i="21"/>
  <c r="HO20" i="21"/>
  <c r="HP20" i="21" s="1"/>
  <c r="CP12" i="21"/>
  <c r="G12" i="29" s="1"/>
  <c r="H967" i="31" s="1"/>
  <c r="EF12" i="21"/>
  <c r="K12" i="29" s="1"/>
  <c r="H1087" i="31" s="1"/>
  <c r="CD20" i="21"/>
  <c r="CE20" i="21" s="1"/>
  <c r="AS22" i="21"/>
  <c r="GV12" i="21"/>
  <c r="GV13" i="21" s="1"/>
  <c r="GV14" i="21" s="1"/>
  <c r="GV15" i="21" s="1"/>
  <c r="GV16" i="21" s="1"/>
  <c r="GV17" i="21" s="1"/>
  <c r="GV18" i="21" s="1"/>
  <c r="GV19" i="21" s="1"/>
  <c r="GV20" i="21" s="1"/>
  <c r="GV21" i="21" s="1"/>
  <c r="GV22" i="21" s="1"/>
  <c r="GV23" i="21" s="1"/>
  <c r="GV24" i="21" s="1"/>
  <c r="GV25" i="21" s="1"/>
  <c r="GV26" i="21" s="1"/>
  <c r="GV27" i="21" s="1"/>
  <c r="GV28" i="21" s="1"/>
  <c r="GV29" i="21" s="1"/>
  <c r="GV30" i="21" s="1"/>
  <c r="GV31" i="21" s="1"/>
  <c r="GV32" i="21" s="1"/>
  <c r="GV33" i="21" s="1"/>
  <c r="GV34" i="21" s="1"/>
  <c r="GV35" i="21" s="1"/>
  <c r="L8" i="29"/>
  <c r="H1113" i="31" s="1"/>
  <c r="AS16" i="21"/>
  <c r="N8" i="29"/>
  <c r="H1173" i="31" s="1"/>
  <c r="BO14" i="21"/>
  <c r="BS14" i="21" s="1"/>
  <c r="CX14" i="21" s="1"/>
  <c r="CY14" i="21" s="1"/>
  <c r="AS30" i="21"/>
  <c r="AS19" i="21"/>
  <c r="BT18" i="21"/>
  <c r="BU18" i="21" s="1"/>
  <c r="BR13" i="21"/>
  <c r="BS13" i="21"/>
  <c r="CD13" i="21" s="1"/>
  <c r="CE13" i="21" s="1"/>
  <c r="X9" i="21"/>
  <c r="C9" i="29" s="1"/>
  <c r="H844" i="31" s="1"/>
  <c r="BM15" i="21"/>
  <c r="BN15" i="21" s="1"/>
  <c r="AS25" i="21"/>
  <c r="AS21" i="21"/>
  <c r="AS15" i="21"/>
  <c r="AS17" i="21"/>
  <c r="AS18" i="21"/>
  <c r="AQ7" i="21"/>
  <c r="AP7" i="21"/>
  <c r="AR7" i="21"/>
  <c r="IC12" i="18"/>
  <c r="ID12" i="18" s="1"/>
  <c r="GM12" i="18"/>
  <c r="GN12" i="18" s="1"/>
  <c r="BM17" i="18"/>
  <c r="BN17" i="18" s="1"/>
  <c r="BS7" i="18"/>
  <c r="BR7" i="18"/>
  <c r="BM11" i="18"/>
  <c r="BN11" i="18" s="1"/>
  <c r="AM36" i="18"/>
  <c r="AR36" i="18" s="1"/>
  <c r="AS36" i="18" s="1"/>
  <c r="AM32" i="18"/>
  <c r="AK16" i="18"/>
  <c r="AL16" i="18" s="1"/>
  <c r="Q32" i="18"/>
  <c r="V32" i="18" s="1"/>
  <c r="W32" i="18" s="1"/>
  <c r="AK34" i="18"/>
  <c r="AL34" i="18" s="1"/>
  <c r="AK31" i="18"/>
  <c r="AL31" i="18" s="1"/>
  <c r="AM35" i="18"/>
  <c r="AM33" i="18"/>
  <c r="Q12" i="18"/>
  <c r="V12" i="18" s="1"/>
  <c r="O35" i="18"/>
  <c r="P35" i="18" s="1"/>
  <c r="O27" i="18"/>
  <c r="P27" i="18" s="1"/>
  <c r="O25" i="18"/>
  <c r="P25" i="18" s="1"/>
  <c r="O22" i="18"/>
  <c r="P22" i="18" s="1"/>
  <c r="O15" i="18"/>
  <c r="P15" i="18" s="1"/>
  <c r="O30" i="18"/>
  <c r="P30" i="18" s="1"/>
  <c r="O24" i="18"/>
  <c r="P24" i="18" s="1"/>
  <c r="O28" i="18"/>
  <c r="P28" i="18" s="1"/>
  <c r="O36" i="18"/>
  <c r="P36" i="18" s="1"/>
  <c r="O33" i="18"/>
  <c r="P33" i="18" s="1"/>
  <c r="O21" i="18"/>
  <c r="P21" i="18" s="1"/>
  <c r="O19" i="18"/>
  <c r="P19" i="18" s="1"/>
  <c r="Q34" i="18"/>
  <c r="O29" i="18"/>
  <c r="P29" i="18" s="1"/>
  <c r="O10" i="18"/>
  <c r="P10" i="18" s="1"/>
  <c r="O23" i="18"/>
  <c r="P23" i="18" s="1"/>
  <c r="O26" i="18"/>
  <c r="P26" i="18" s="1"/>
  <c r="O16" i="18"/>
  <c r="P16" i="18" s="1"/>
  <c r="O13" i="18"/>
  <c r="P13" i="18" s="1"/>
  <c r="O8" i="18"/>
  <c r="P8" i="18" s="1"/>
  <c r="O14" i="18"/>
  <c r="P14" i="18" s="1"/>
  <c r="O18" i="18"/>
  <c r="P18" i="18" s="1"/>
  <c r="O20" i="18"/>
  <c r="P20" i="18" s="1"/>
  <c r="O11" i="18"/>
  <c r="P11" i="18" s="1"/>
  <c r="O7" i="18"/>
  <c r="P7" i="18" s="1"/>
  <c r="O17" i="18"/>
  <c r="P17" i="18" s="1"/>
  <c r="O9" i="18"/>
  <c r="P9" i="18" s="1"/>
  <c r="Q31" i="18"/>
  <c r="AK35" i="10"/>
  <c r="AL35" i="10" s="1"/>
  <c r="AK36" i="10"/>
  <c r="AL36" i="10" s="1"/>
  <c r="JW14" i="20"/>
  <c r="KD14" i="20" s="1"/>
  <c r="JX14" i="20" s="1"/>
  <c r="JY14" i="20" s="1"/>
  <c r="KB14" i="20" s="1"/>
  <c r="KC14" i="20"/>
  <c r="JW14" i="21"/>
  <c r="KD14" i="21" s="1"/>
  <c r="JX14" i="21" s="1"/>
  <c r="JY14" i="21" s="1"/>
  <c r="KB14" i="21" s="1"/>
  <c r="KC14" i="21"/>
  <c r="JW11" i="18"/>
  <c r="KD11" i="18" s="1"/>
  <c r="JX11" i="18" s="1"/>
  <c r="JY11" i="18" s="1"/>
  <c r="KB11" i="18" s="1"/>
  <c r="KC11" i="18"/>
  <c r="BP15" i="21"/>
  <c r="BJ15" i="21"/>
  <c r="BQ15" i="21" s="1"/>
  <c r="BK15" i="21" s="1"/>
  <c r="BL15" i="21" s="1"/>
  <c r="HZ12" i="18"/>
  <c r="IG12" i="18" s="1"/>
  <c r="IA12" i="18" s="1"/>
  <c r="IB12" i="18" s="1"/>
  <c r="IF12" i="18"/>
  <c r="GP12" i="18"/>
  <c r="GJ12" i="18"/>
  <c r="GQ12" i="18" s="1"/>
  <c r="GK12" i="18" s="1"/>
  <c r="GL12" i="18" s="1"/>
  <c r="BP11" i="18"/>
  <c r="BJ11" i="18"/>
  <c r="BQ11" i="18" s="1"/>
  <c r="BK11" i="18" s="1"/>
  <c r="BL11" i="18" s="1"/>
  <c r="BP17" i="18"/>
  <c r="BJ17" i="18"/>
  <c r="BQ17" i="18" s="1"/>
  <c r="BK17" i="18" s="1"/>
  <c r="BL17" i="18" s="1"/>
  <c r="AN34" i="18"/>
  <c r="AH34" i="18"/>
  <c r="AO34" i="18" s="1"/>
  <c r="AI34" i="18" s="1"/>
  <c r="AJ34" i="18" s="1"/>
  <c r="HC31" i="18"/>
  <c r="AN31" i="18"/>
  <c r="AH31" i="18"/>
  <c r="AO31" i="18" s="1"/>
  <c r="AI31" i="18" s="1"/>
  <c r="AJ31" i="18" s="1"/>
  <c r="AN16" i="18"/>
  <c r="AH16" i="18"/>
  <c r="AO16" i="18" s="1"/>
  <c r="AI16" i="18" s="1"/>
  <c r="AJ16" i="18" s="1"/>
  <c r="FT7" i="18"/>
  <c r="R18" i="18"/>
  <c r="L18" i="18"/>
  <c r="S18" i="18" s="1"/>
  <c r="M18" i="18" s="1"/>
  <c r="N18" i="18" s="1"/>
  <c r="GH29" i="18"/>
  <c r="R29" i="18"/>
  <c r="L29" i="18"/>
  <c r="S29" i="18" s="1"/>
  <c r="M29" i="18" s="1"/>
  <c r="N29" i="18" s="1"/>
  <c r="R10" i="18"/>
  <c r="L10" i="18"/>
  <c r="S10" i="18" s="1"/>
  <c r="M10" i="18" s="1"/>
  <c r="N10" i="18" s="1"/>
  <c r="R20" i="18"/>
  <c r="L20" i="18"/>
  <c r="S20" i="18" s="1"/>
  <c r="M20" i="18" s="1"/>
  <c r="N20" i="18" s="1"/>
  <c r="R11" i="18"/>
  <c r="L11" i="18"/>
  <c r="S11" i="18" s="1"/>
  <c r="M11" i="18" s="1"/>
  <c r="N11" i="18" s="1"/>
  <c r="R7" i="18"/>
  <c r="L7" i="18"/>
  <c r="S7" i="18" s="1"/>
  <c r="M7" i="18" s="1"/>
  <c r="N7" i="18" s="1"/>
  <c r="R17" i="18"/>
  <c r="L17" i="18"/>
  <c r="S17" i="18" s="1"/>
  <c r="M17" i="18" s="1"/>
  <c r="N17" i="18" s="1"/>
  <c r="HX9" i="18"/>
  <c r="R9" i="18"/>
  <c r="L9" i="18"/>
  <c r="S9" i="18" s="1"/>
  <c r="M9" i="18" s="1"/>
  <c r="N9" i="18" s="1"/>
  <c r="HX19" i="18"/>
  <c r="R19" i="18"/>
  <c r="L19" i="18"/>
  <c r="S19" i="18" s="1"/>
  <c r="M19" i="18" s="1"/>
  <c r="N19" i="18" s="1"/>
  <c r="R22" i="18"/>
  <c r="L22" i="18"/>
  <c r="S22" i="18" s="1"/>
  <c r="M22" i="18" s="1"/>
  <c r="N22" i="18" s="1"/>
  <c r="R15" i="18"/>
  <c r="L15" i="18"/>
  <c r="S15" i="18" s="1"/>
  <c r="M15" i="18" s="1"/>
  <c r="N15" i="18" s="1"/>
  <c r="L13" i="18"/>
  <c r="S13" i="18" s="1"/>
  <c r="M13" i="18" s="1"/>
  <c r="N13" i="18" s="1"/>
  <c r="R13" i="18"/>
  <c r="L35" i="18"/>
  <c r="S35" i="18" s="1"/>
  <c r="M35" i="18" s="1"/>
  <c r="N35" i="18" s="1"/>
  <c r="R35" i="18"/>
  <c r="R23" i="18"/>
  <c r="L23" i="18"/>
  <c r="S23" i="18" s="1"/>
  <c r="M23" i="18" s="1"/>
  <c r="N23" i="18" s="1"/>
  <c r="L27" i="18"/>
  <c r="S27" i="18" s="1"/>
  <c r="M27" i="18" s="1"/>
  <c r="N27" i="18" s="1"/>
  <c r="R27" i="18"/>
  <c r="R26" i="18"/>
  <c r="L26" i="18"/>
  <c r="S26" i="18" s="1"/>
  <c r="M26" i="18" s="1"/>
  <c r="N26" i="18" s="1"/>
  <c r="GH25" i="18"/>
  <c r="R25" i="18"/>
  <c r="L25" i="18"/>
  <c r="S25" i="18" s="1"/>
  <c r="M25" i="18" s="1"/>
  <c r="N25" i="18" s="1"/>
  <c r="HX16" i="18"/>
  <c r="R16" i="18"/>
  <c r="L16" i="18"/>
  <c r="S16" i="18" s="1"/>
  <c r="M16" i="18" s="1"/>
  <c r="N16" i="18" s="1"/>
  <c r="R33" i="18"/>
  <c r="L33" i="18"/>
  <c r="S33" i="18" s="1"/>
  <c r="M33" i="18" s="1"/>
  <c r="N33" i="18" s="1"/>
  <c r="R21" i="18"/>
  <c r="L21" i="18"/>
  <c r="S21" i="18" s="1"/>
  <c r="M21" i="18" s="1"/>
  <c r="N21" i="18" s="1"/>
  <c r="R36" i="18"/>
  <c r="L36" i="18"/>
  <c r="S36" i="18" s="1"/>
  <c r="M36" i="18" s="1"/>
  <c r="N36" i="18" s="1"/>
  <c r="R30" i="18"/>
  <c r="L30" i="18"/>
  <c r="S30" i="18" s="1"/>
  <c r="M30" i="18" s="1"/>
  <c r="N30" i="18" s="1"/>
  <c r="R8" i="18"/>
  <c r="L8" i="18"/>
  <c r="S8" i="18" s="1"/>
  <c r="M8" i="18" s="1"/>
  <c r="N8" i="18" s="1"/>
  <c r="R24" i="18"/>
  <c r="L24" i="18"/>
  <c r="S24" i="18" s="1"/>
  <c r="M24" i="18" s="1"/>
  <c r="N24" i="18" s="1"/>
  <c r="HX14" i="18"/>
  <c r="R14" i="18"/>
  <c r="L14" i="18"/>
  <c r="S14" i="18" s="1"/>
  <c r="M14" i="18" s="1"/>
  <c r="N14" i="18" s="1"/>
  <c r="GH28" i="18"/>
  <c r="R28" i="18"/>
  <c r="L28" i="18"/>
  <c r="S28" i="18" s="1"/>
  <c r="M28" i="18" s="1"/>
  <c r="N28" i="18" s="1"/>
  <c r="AH35" i="10"/>
  <c r="AO35" i="10" s="1"/>
  <c r="AI35" i="10" s="1"/>
  <c r="AJ35" i="10" s="1"/>
  <c r="AN35" i="10"/>
  <c r="AH36" i="10"/>
  <c r="AO36" i="10" s="1"/>
  <c r="AI36" i="10" s="1"/>
  <c r="AJ36" i="10" s="1"/>
  <c r="AN36" i="10"/>
  <c r="L34" i="10"/>
  <c r="S34" i="10" s="1"/>
  <c r="M34" i="10" s="1"/>
  <c r="N34" i="10" s="1"/>
  <c r="Q34" i="10" s="1"/>
  <c r="R34" i="10"/>
  <c r="L36" i="10"/>
  <c r="S36" i="10" s="1"/>
  <c r="M36" i="10" s="1"/>
  <c r="N36" i="10" s="1"/>
  <c r="Q36" i="10" s="1"/>
  <c r="R36" i="10"/>
  <c r="L35" i="10"/>
  <c r="S35" i="10" s="1"/>
  <c r="M35" i="10" s="1"/>
  <c r="N35" i="10" s="1"/>
  <c r="Q35" i="10" s="1"/>
  <c r="R35" i="10"/>
  <c r="EY14" i="20"/>
  <c r="EY15" i="20" s="1"/>
  <c r="EY16" i="20" s="1"/>
  <c r="FZ14" i="20"/>
  <c r="FZ15" i="20" s="1"/>
  <c r="FZ16" i="20" s="1"/>
  <c r="FZ17" i="20" s="1"/>
  <c r="EW14" i="21"/>
  <c r="EX14" i="21" s="1"/>
  <c r="FF14" i="21"/>
  <c r="FG14" i="21" s="1"/>
  <c r="FO14" i="21"/>
  <c r="FP14" i="21" s="1"/>
  <c r="FH14" i="20"/>
  <c r="FH15" i="20" s="1"/>
  <c r="FH16" i="20" s="1"/>
  <c r="FH17" i="20" s="1"/>
  <c r="FH18" i="20" s="1"/>
  <c r="BA19" i="18"/>
  <c r="JJ19" i="18"/>
  <c r="BA28" i="18"/>
  <c r="JJ28" i="18"/>
  <c r="BA29" i="18"/>
  <c r="JJ29" i="18"/>
  <c r="JR20" i="21"/>
  <c r="JS20" i="21" s="1"/>
  <c r="JT20" i="21" s="1"/>
  <c r="JV20" i="21" s="1"/>
  <c r="KG20" i="21" s="1"/>
  <c r="KH20" i="21" s="1"/>
  <c r="JU17" i="20"/>
  <c r="BA18" i="18"/>
  <c r="JJ18" i="18"/>
  <c r="BA24" i="18"/>
  <c r="JJ24" i="18"/>
  <c r="BA27" i="18"/>
  <c r="JJ27" i="18"/>
  <c r="BA31" i="18"/>
  <c r="JJ31" i="18"/>
  <c r="BA25" i="18"/>
  <c r="JJ25" i="18"/>
  <c r="JN15" i="21"/>
  <c r="JZ15" i="21" s="1"/>
  <c r="KA15" i="21" s="1"/>
  <c r="JL15" i="21"/>
  <c r="MC19" i="10"/>
  <c r="JU19" i="18"/>
  <c r="JN33" i="18"/>
  <c r="JZ33" i="18" s="1"/>
  <c r="KA33" i="18" s="1"/>
  <c r="BA26" i="18"/>
  <c r="JJ26" i="18"/>
  <c r="BA12" i="18"/>
  <c r="JJ12" i="18"/>
  <c r="BA23" i="18"/>
  <c r="JJ23" i="18"/>
  <c r="BA30" i="18"/>
  <c r="JJ30" i="18"/>
  <c r="JN17" i="18"/>
  <c r="JZ17" i="18" s="1"/>
  <c r="KA17" i="18" s="1"/>
  <c r="JL17" i="18"/>
  <c r="CK18" i="21"/>
  <c r="CM18" i="21" s="1"/>
  <c r="CN18" i="21" s="1"/>
  <c r="CO18" i="21" s="1"/>
  <c r="CK22" i="21"/>
  <c r="CM22" i="21" s="1"/>
  <c r="CN22" i="21" s="1"/>
  <c r="CO22" i="21" s="1"/>
  <c r="CK26" i="21"/>
  <c r="CM26" i="21" s="1"/>
  <c r="CN26" i="21" s="1"/>
  <c r="CO26" i="21" s="1"/>
  <c r="CK30" i="21"/>
  <c r="CM30" i="21" s="1"/>
  <c r="CN30" i="21" s="1"/>
  <c r="CO30" i="21" s="1"/>
  <c r="CK34" i="21"/>
  <c r="CM34" i="21" s="1"/>
  <c r="CN34" i="21" s="1"/>
  <c r="CO34" i="21" s="1"/>
  <c r="CK20" i="21"/>
  <c r="CM20" i="21" s="1"/>
  <c r="CN20" i="21" s="1"/>
  <c r="CO20" i="21" s="1"/>
  <c r="CK24" i="21"/>
  <c r="CM24" i="21" s="1"/>
  <c r="CN24" i="21" s="1"/>
  <c r="CO24" i="21" s="1"/>
  <c r="CK28" i="21"/>
  <c r="CM28" i="21" s="1"/>
  <c r="CN28" i="21" s="1"/>
  <c r="CO28" i="21" s="1"/>
  <c r="CK32" i="21"/>
  <c r="CM32" i="21" s="1"/>
  <c r="CN32" i="21" s="1"/>
  <c r="CO32" i="21" s="1"/>
  <c r="CK36" i="21"/>
  <c r="CM36" i="21" s="1"/>
  <c r="CN36" i="21" s="1"/>
  <c r="CO36" i="21" s="1"/>
  <c r="CK17" i="21"/>
  <c r="CM17" i="21" s="1"/>
  <c r="CN17" i="21" s="1"/>
  <c r="CO17" i="21" s="1"/>
  <c r="CK25" i="21"/>
  <c r="CM25" i="21" s="1"/>
  <c r="CN25" i="21" s="1"/>
  <c r="CO25" i="21" s="1"/>
  <c r="CK33" i="21"/>
  <c r="CM33" i="21" s="1"/>
  <c r="CN33" i="21" s="1"/>
  <c r="CO33" i="21" s="1"/>
  <c r="CK19" i="21"/>
  <c r="CM19" i="21" s="1"/>
  <c r="CN19" i="21" s="1"/>
  <c r="CO19" i="21" s="1"/>
  <c r="CK27" i="21"/>
  <c r="CM27" i="21" s="1"/>
  <c r="CN27" i="21" s="1"/>
  <c r="CO27" i="21" s="1"/>
  <c r="CK35" i="21"/>
  <c r="CM35" i="21" s="1"/>
  <c r="CN35" i="21" s="1"/>
  <c r="CO35" i="21" s="1"/>
  <c r="CK21" i="21"/>
  <c r="CM21" i="21" s="1"/>
  <c r="CN21" i="21" s="1"/>
  <c r="CO21" i="21" s="1"/>
  <c r="CK29" i="21"/>
  <c r="CM29" i="21" s="1"/>
  <c r="CN29" i="21" s="1"/>
  <c r="CO29" i="21" s="1"/>
  <c r="CK16" i="21"/>
  <c r="CK23" i="21"/>
  <c r="CM23" i="21" s="1"/>
  <c r="CN23" i="21" s="1"/>
  <c r="CO23" i="21" s="1"/>
  <c r="CK31" i="21"/>
  <c r="CM31" i="21" s="1"/>
  <c r="CN31" i="21" s="1"/>
  <c r="CO31" i="21" s="1"/>
  <c r="CU16" i="21"/>
  <c r="EA11" i="18"/>
  <c r="DP11" i="18"/>
  <c r="EV17" i="20"/>
  <c r="EW17" i="20" s="1"/>
  <c r="EX17" i="20" s="1"/>
  <c r="EJ18" i="20"/>
  <c r="DX13" i="21"/>
  <c r="DM13" i="21"/>
  <c r="DD16" i="18"/>
  <c r="DE16" i="18" s="1"/>
  <c r="CB16" i="10"/>
  <c r="BY21" i="18"/>
  <c r="KI25" i="10"/>
  <c r="P25" i="25" s="1"/>
  <c r="H410" i="31" s="1"/>
  <c r="DD15" i="21"/>
  <c r="DD16" i="10"/>
  <c r="BA36" i="18"/>
  <c r="BA34" i="18"/>
  <c r="BA22" i="18"/>
  <c r="BA21" i="18"/>
  <c r="BA35" i="18"/>
  <c r="BA20" i="18"/>
  <c r="BA33" i="18"/>
  <c r="BA32" i="18"/>
  <c r="BE20" i="18"/>
  <c r="AG20" i="18"/>
  <c r="HD20" i="18" s="1"/>
  <c r="BY21" i="21"/>
  <c r="BI19" i="21"/>
  <c r="BT19" i="21" s="1"/>
  <c r="BU19" i="21" s="1"/>
  <c r="BH19" i="21"/>
  <c r="FQ18" i="20"/>
  <c r="FS18" i="20"/>
  <c r="FC18" i="20"/>
  <c r="FL18" i="20"/>
  <c r="AD31" i="10"/>
  <c r="HI31" i="10" s="1"/>
  <c r="GJ31" i="10"/>
  <c r="EA12" i="20"/>
  <c r="EC12" i="20" s="1"/>
  <c r="ED12" i="20" s="1"/>
  <c r="EE12" i="20" s="1"/>
  <c r="DS8" i="20"/>
  <c r="DT8" i="20" s="1"/>
  <c r="DU8" i="20" s="1"/>
  <c r="J8" i="30" s="1"/>
  <c r="H1443" i="31" s="1"/>
  <c r="DH8" i="20"/>
  <c r="DI8" i="20" s="1"/>
  <c r="DJ8" i="20" s="1"/>
  <c r="I8" i="30" s="1"/>
  <c r="H1413" i="31" s="1"/>
  <c r="DP12" i="20"/>
  <c r="DR12" i="20" s="1"/>
  <c r="DS12" i="20" s="1"/>
  <c r="DT12" i="20" s="1"/>
  <c r="DF15" i="20"/>
  <c r="DC16" i="20" s="1"/>
  <c r="CU15" i="20"/>
  <c r="CN8" i="20"/>
  <c r="CO8" i="20" s="1"/>
  <c r="CP8" i="20" s="1"/>
  <c r="G8" i="30" s="1"/>
  <c r="H1353" i="31" s="1"/>
  <c r="CX8" i="20"/>
  <c r="CY8" i="20" s="1"/>
  <c r="CZ8" i="20" s="1"/>
  <c r="H8" i="30" s="1"/>
  <c r="H1383" i="31" s="1"/>
  <c r="CK15" i="20"/>
  <c r="CB17" i="20"/>
  <c r="BT8" i="20"/>
  <c r="BU8" i="20" s="1"/>
  <c r="BV8" i="20" s="1"/>
  <c r="E8" i="30" s="1"/>
  <c r="H1293" i="31" s="1"/>
  <c r="CD8" i="20"/>
  <c r="CE8" i="20" s="1"/>
  <c r="CF8" i="20" s="1"/>
  <c r="F8" i="30" s="1"/>
  <c r="H1323" i="31" s="1"/>
  <c r="BF19" i="20"/>
  <c r="BG19" i="20" s="1"/>
  <c r="BI19" i="20" s="1"/>
  <c r="BT19" i="20" s="1"/>
  <c r="BU19" i="20" s="1"/>
  <c r="BB10" i="20"/>
  <c r="AY9" i="20"/>
  <c r="GE29" i="10"/>
  <c r="GF29" i="10"/>
  <c r="GH29" i="10"/>
  <c r="GG29" i="10"/>
  <c r="J33" i="10"/>
  <c r="O33" i="10" s="1"/>
  <c r="P33" i="10" s="1"/>
  <c r="GH30" i="10"/>
  <c r="GG30" i="10"/>
  <c r="GF30" i="10"/>
  <c r="GE30" i="10"/>
  <c r="GF31" i="10"/>
  <c r="GH31" i="10"/>
  <c r="GG31" i="10"/>
  <c r="GG32" i="10"/>
  <c r="GH32" i="10"/>
  <c r="J32" i="10"/>
  <c r="O32" i="10" s="1"/>
  <c r="P32" i="10" s="1"/>
  <c r="C61" i="24"/>
  <c r="C71" i="24" s="1"/>
  <c r="E61" i="24"/>
  <c r="E71" i="24" s="1"/>
  <c r="J31" i="10"/>
  <c r="O31" i="10" s="1"/>
  <c r="P31" i="10" s="1"/>
  <c r="F61" i="24"/>
  <c r="F71" i="24" s="1"/>
  <c r="D61" i="24"/>
  <c r="D71" i="24" s="1"/>
  <c r="FB7" i="18"/>
  <c r="AE24" i="18"/>
  <c r="HB24" i="18" s="1"/>
  <c r="GG22" i="18"/>
  <c r="HW22" i="18"/>
  <c r="GZ17" i="18"/>
  <c r="IP17" i="18"/>
  <c r="GG18" i="18"/>
  <c r="HW18" i="18"/>
  <c r="GH21" i="18"/>
  <c r="HX21" i="18"/>
  <c r="AY25" i="18"/>
  <c r="GH8" i="18"/>
  <c r="HX8" i="18"/>
  <c r="GZ18" i="18"/>
  <c r="IP18" i="18"/>
  <c r="GG9" i="18"/>
  <c r="HW9" i="18"/>
  <c r="GG21" i="18"/>
  <c r="HW21" i="18"/>
  <c r="GG20" i="18"/>
  <c r="HW20" i="18"/>
  <c r="GH17" i="18"/>
  <c r="HX17" i="18"/>
  <c r="GI13" i="18"/>
  <c r="HY13" i="18"/>
  <c r="GZ19" i="18"/>
  <c r="IP19" i="18"/>
  <c r="GI14" i="18"/>
  <c r="HY14" i="18"/>
  <c r="GZ16" i="18"/>
  <c r="IP16" i="18"/>
  <c r="GH22" i="18"/>
  <c r="HX22" i="18"/>
  <c r="GH18" i="18"/>
  <c r="HX18" i="18"/>
  <c r="HC16" i="18"/>
  <c r="IS16" i="18"/>
  <c r="GH20" i="18"/>
  <c r="HX20" i="18"/>
  <c r="GH11" i="18"/>
  <c r="HX11" i="18"/>
  <c r="GG19" i="18"/>
  <c r="HW19" i="18"/>
  <c r="GG17" i="18"/>
  <c r="HW17" i="18"/>
  <c r="GI11" i="18"/>
  <c r="HY11" i="18"/>
  <c r="GH10" i="18"/>
  <c r="HX10" i="18"/>
  <c r="GG16" i="18"/>
  <c r="HW16" i="18"/>
  <c r="GI18" i="18"/>
  <c r="HY18" i="18"/>
  <c r="GG11" i="18"/>
  <c r="HW11" i="18"/>
  <c r="GI22" i="18"/>
  <c r="HY22" i="18"/>
  <c r="GI17" i="18"/>
  <c r="HY17" i="18"/>
  <c r="GG8" i="18"/>
  <c r="HW8" i="18"/>
  <c r="GI15" i="18"/>
  <c r="HY15" i="18"/>
  <c r="GG10" i="18"/>
  <c r="HW10" i="18"/>
  <c r="GI20" i="18"/>
  <c r="HY20" i="18"/>
  <c r="GI12" i="18"/>
  <c r="HY12" i="18"/>
  <c r="GI21" i="18"/>
  <c r="HY21" i="18"/>
  <c r="HX7" i="18"/>
  <c r="GG7" i="18"/>
  <c r="HW7" i="18"/>
  <c r="GG23" i="18"/>
  <c r="GH15" i="18"/>
  <c r="HX15" i="18"/>
  <c r="GG15" i="18"/>
  <c r="HW15" i="18"/>
  <c r="GZ15" i="18"/>
  <c r="IP15" i="18"/>
  <c r="GG14" i="18"/>
  <c r="HW14" i="18"/>
  <c r="GZ13" i="18"/>
  <c r="IP13" i="18"/>
  <c r="GH13" i="18"/>
  <c r="HX13" i="18"/>
  <c r="GG13" i="18"/>
  <c r="HW13" i="18"/>
  <c r="GG12" i="18"/>
  <c r="HW12" i="18"/>
  <c r="EM23" i="21"/>
  <c r="EK14" i="21"/>
  <c r="FB14" i="21" s="1"/>
  <c r="FJ14" i="21"/>
  <c r="FK14" i="21" s="1"/>
  <c r="FA14" i="21"/>
  <c r="FS14" i="21"/>
  <c r="FT14" i="21" s="1"/>
  <c r="FT10" i="21"/>
  <c r="FB10" i="21"/>
  <c r="FK10" i="21"/>
  <c r="FS13" i="21"/>
  <c r="FJ13" i="21"/>
  <c r="FA13" i="21"/>
  <c r="EK13" i="21"/>
  <c r="FJ12" i="21"/>
  <c r="FS12" i="21"/>
  <c r="FA12" i="21"/>
  <c r="EK12" i="21"/>
  <c r="FS11" i="21"/>
  <c r="FA11" i="21"/>
  <c r="FJ11" i="21"/>
  <c r="EK11" i="21"/>
  <c r="FO8" i="21"/>
  <c r="FP8" i="21" s="1"/>
  <c r="FQ8" i="21" s="1"/>
  <c r="EW8" i="21"/>
  <c r="EX8" i="21" s="1"/>
  <c r="EY8" i="21" s="1"/>
  <c r="FX8" i="21"/>
  <c r="FY8" i="21" s="1"/>
  <c r="FZ8" i="21" s="1"/>
  <c r="FF8" i="21"/>
  <c r="FG8" i="21" s="1"/>
  <c r="FH8" i="21" s="1"/>
  <c r="FF15" i="21"/>
  <c r="FG15" i="21" s="1"/>
  <c r="FX15" i="21"/>
  <c r="FY15" i="21" s="1"/>
  <c r="EW15" i="21"/>
  <c r="EX15" i="21" s="1"/>
  <c r="FO15" i="21"/>
  <c r="FP15" i="21" s="1"/>
  <c r="AY9" i="21"/>
  <c r="EP9" i="21"/>
  <c r="EU9" i="21" s="1"/>
  <c r="EU16" i="21"/>
  <c r="ET16" i="21"/>
  <c r="FA15" i="21"/>
  <c r="FJ15" i="21"/>
  <c r="FK15" i="21" s="1"/>
  <c r="FS15" i="21"/>
  <c r="FT15" i="21" s="1"/>
  <c r="EK15" i="21"/>
  <c r="FB15" i="21" s="1"/>
  <c r="EL10" i="21"/>
  <c r="FL9" i="21"/>
  <c r="FU9" i="21"/>
  <c r="FC9" i="21"/>
  <c r="AY16" i="20"/>
  <c r="AC28" i="10"/>
  <c r="GI28" i="10"/>
  <c r="AG19" i="18"/>
  <c r="HA19" i="18"/>
  <c r="GH27" i="18"/>
  <c r="AG11" i="18"/>
  <c r="HA11" i="18"/>
  <c r="AG29" i="18"/>
  <c r="HD29" i="18" s="1"/>
  <c r="HA29" i="18"/>
  <c r="GH9" i="18"/>
  <c r="AG17" i="18"/>
  <c r="HA17" i="18"/>
  <c r="J27" i="10"/>
  <c r="O27" i="10" s="1"/>
  <c r="P27" i="10" s="1"/>
  <c r="GI27" i="10"/>
  <c r="GI19" i="18"/>
  <c r="AG32" i="18"/>
  <c r="AE11" i="18"/>
  <c r="GH30" i="18"/>
  <c r="AG21" i="18"/>
  <c r="HD21" i="18" s="1"/>
  <c r="HA21" i="18"/>
  <c r="AF24" i="18"/>
  <c r="GZ24" i="18"/>
  <c r="GH24" i="18"/>
  <c r="GH14" i="18"/>
  <c r="GH16" i="18"/>
  <c r="AG24" i="18"/>
  <c r="HD24" i="18" s="1"/>
  <c r="HA24" i="18"/>
  <c r="AG25" i="18"/>
  <c r="HD25" i="18" s="1"/>
  <c r="HA25" i="18"/>
  <c r="AD30" i="10"/>
  <c r="HI30" i="10" s="1"/>
  <c r="GJ30" i="10"/>
  <c r="AG12" i="18"/>
  <c r="IT12" i="18" s="1"/>
  <c r="HA12" i="18"/>
  <c r="AE20" i="18"/>
  <c r="AG16" i="18"/>
  <c r="HA16" i="18"/>
  <c r="AG26" i="18"/>
  <c r="HA26" i="18"/>
  <c r="AF19" i="18"/>
  <c r="AG27" i="18"/>
  <c r="HA27" i="18"/>
  <c r="GH19" i="18"/>
  <c r="AG22" i="18"/>
  <c r="HD22" i="18" s="1"/>
  <c r="HA22" i="18"/>
  <c r="AF12" i="18"/>
  <c r="GZ12" i="18"/>
  <c r="AF30" i="18"/>
  <c r="GZ30" i="18"/>
  <c r="AF26" i="18"/>
  <c r="GZ26" i="18"/>
  <c r="AC30" i="10"/>
  <c r="GI30" i="10"/>
  <c r="AD27" i="10"/>
  <c r="GJ27" i="10"/>
  <c r="AG23" i="18"/>
  <c r="HA23" i="18"/>
  <c r="AG18" i="18"/>
  <c r="HA18" i="18"/>
  <c r="AG14" i="18"/>
  <c r="IT14" i="18" s="1"/>
  <c r="HA14" i="18"/>
  <c r="GH23" i="18"/>
  <c r="GH26" i="18"/>
  <c r="AG28" i="18"/>
  <c r="HD28" i="18" s="1"/>
  <c r="HA28" i="18"/>
  <c r="K29" i="10"/>
  <c r="GM29" i="10" s="1"/>
  <c r="GJ29" i="10"/>
  <c r="AC29" i="10"/>
  <c r="HH29" i="10" s="1"/>
  <c r="GI29" i="10"/>
  <c r="AF20" i="18"/>
  <c r="AG13" i="18"/>
  <c r="HA13" i="18"/>
  <c r="GI16" i="18"/>
  <c r="AG30" i="18"/>
  <c r="HA30" i="18"/>
  <c r="GI25" i="18"/>
  <c r="AG15" i="18"/>
  <c r="HA15" i="18"/>
  <c r="GH7" i="18"/>
  <c r="AF11" i="18"/>
  <c r="GZ11" i="18"/>
  <c r="AF27" i="18"/>
  <c r="GZ27" i="18"/>
  <c r="AF23" i="18"/>
  <c r="GZ23" i="18"/>
  <c r="AF14" i="18"/>
  <c r="GZ14" i="18"/>
  <c r="I35" i="10"/>
  <c r="AE14" i="18"/>
  <c r="AE23" i="18"/>
  <c r="HB23" i="18" s="1"/>
  <c r="FK7" i="18"/>
  <c r="AD29" i="10"/>
  <c r="EO25" i="18"/>
  <c r="FL7" i="18"/>
  <c r="FU7" i="18"/>
  <c r="FC7" i="18"/>
  <c r="K31" i="10"/>
  <c r="AE27" i="18"/>
  <c r="HB27" i="18" s="1"/>
  <c r="EJ8" i="18"/>
  <c r="EJ9" i="18" s="1"/>
  <c r="FS7" i="18"/>
  <c r="FJ7" i="18"/>
  <c r="FA7" i="18"/>
  <c r="K27" i="10"/>
  <c r="AE26" i="18"/>
  <c r="HB26" i="18" s="1"/>
  <c r="AE12" i="18"/>
  <c r="AE30" i="18"/>
  <c r="HB30" i="18" s="1"/>
  <c r="J30" i="10"/>
  <c r="O30" i="10" s="1"/>
  <c r="P30" i="10" s="1"/>
  <c r="I33" i="10"/>
  <c r="J28" i="10"/>
  <c r="O28" i="10" s="1"/>
  <c r="P28" i="10" s="1"/>
  <c r="J29" i="10"/>
  <c r="O29" i="10" s="1"/>
  <c r="P29" i="10" s="1"/>
  <c r="I27" i="10"/>
  <c r="GK27" i="10" s="1"/>
  <c r="I31" i="10"/>
  <c r="I29" i="10"/>
  <c r="GK29" i="10" s="1"/>
  <c r="AC27" i="10"/>
  <c r="AD33" i="10"/>
  <c r="HI33" i="10" s="1"/>
  <c r="AD28" i="10"/>
  <c r="K28" i="10"/>
  <c r="K35" i="10"/>
  <c r="I32" i="10"/>
  <c r="AD35" i="10"/>
  <c r="AG35" i="10" s="1"/>
  <c r="AF31" i="10"/>
  <c r="I30" i="10"/>
  <c r="GK30" i="10" s="1"/>
  <c r="I34" i="10"/>
  <c r="AD32" i="10"/>
  <c r="HG32" i="10" s="1"/>
  <c r="K32" i="10"/>
  <c r="AD36" i="10"/>
  <c r="AG36" i="10" s="1"/>
  <c r="K36" i="10"/>
  <c r="I28" i="10"/>
  <c r="GK28" i="10" s="1"/>
  <c r="AD34" i="10"/>
  <c r="AF34" i="10"/>
  <c r="I36" i="10"/>
  <c r="K30" i="10"/>
  <c r="GM30" i="10" s="1"/>
  <c r="AF32" i="10"/>
  <c r="AF33" i="10"/>
  <c r="AF25" i="18"/>
  <c r="AE25" i="18"/>
  <c r="HB25" i="18" s="1"/>
  <c r="AY24" i="18"/>
  <c r="EO24" i="18"/>
  <c r="AY36" i="18"/>
  <c r="EO36" i="18"/>
  <c r="AF28" i="18"/>
  <c r="AE28" i="18"/>
  <c r="HB28" i="18" s="1"/>
  <c r="EU11" i="18"/>
  <c r="ET11" i="18"/>
  <c r="EO22" i="18"/>
  <c r="IS22" i="18" s="1"/>
  <c r="AY22" i="18"/>
  <c r="IR22" i="18" s="1"/>
  <c r="AY28" i="18"/>
  <c r="EO28" i="18"/>
  <c r="AY31" i="18"/>
  <c r="EO31" i="18"/>
  <c r="AE19" i="18"/>
  <c r="AF22" i="18"/>
  <c r="AE22" i="18"/>
  <c r="HB22" i="18" s="1"/>
  <c r="AW13" i="18"/>
  <c r="EO12" i="18"/>
  <c r="AY12" i="18"/>
  <c r="AF13" i="18"/>
  <c r="AE13" i="18"/>
  <c r="EO33" i="18"/>
  <c r="AY33" i="18"/>
  <c r="EO29" i="18"/>
  <c r="AY29" i="18"/>
  <c r="AY35" i="18"/>
  <c r="EO35" i="18"/>
  <c r="EI10" i="18"/>
  <c r="EO18" i="18"/>
  <c r="AY18" i="18"/>
  <c r="EO23" i="18"/>
  <c r="AY23" i="18"/>
  <c r="EO30" i="18"/>
  <c r="AY30" i="18"/>
  <c r="AF29" i="18"/>
  <c r="AE29" i="18"/>
  <c r="HB29" i="18" s="1"/>
  <c r="AF15" i="18"/>
  <c r="AE15" i="18"/>
  <c r="AF18" i="18"/>
  <c r="AE18" i="18"/>
  <c r="AY21" i="18"/>
  <c r="IR21" i="18" s="1"/>
  <c r="EO21" i="18"/>
  <c r="IS21" i="18" s="1"/>
  <c r="AY27" i="18"/>
  <c r="EO27" i="18"/>
  <c r="EO34" i="18"/>
  <c r="AY34" i="18"/>
  <c r="AF21" i="18"/>
  <c r="AE21" i="18"/>
  <c r="HB21" i="18" s="1"/>
  <c r="AE17" i="18"/>
  <c r="AF17" i="18"/>
  <c r="EU17" i="18"/>
  <c r="ET17" i="18"/>
  <c r="AY20" i="18"/>
  <c r="IR20" i="18" s="1"/>
  <c r="EO20" i="18"/>
  <c r="IS20" i="18" s="1"/>
  <c r="EO19" i="18"/>
  <c r="AY19" i="18"/>
  <c r="AY32" i="18"/>
  <c r="EO32" i="18"/>
  <c r="AY26" i="18"/>
  <c r="EO26" i="18"/>
  <c r="AE16" i="18"/>
  <c r="EP7" i="18"/>
  <c r="EU7" i="18" s="1"/>
  <c r="AY7" i="18"/>
  <c r="JN32" i="18" l="1"/>
  <c r="JZ32" i="18" s="1"/>
  <c r="KA32" i="18" s="1"/>
  <c r="JL20" i="18"/>
  <c r="JN36" i="18"/>
  <c r="JZ36" i="18" s="1"/>
  <c r="KA36" i="18" s="1"/>
  <c r="JL21" i="18"/>
  <c r="JN34" i="18"/>
  <c r="JZ34" i="18" s="1"/>
  <c r="KA34" i="18" s="1"/>
  <c r="HX32" i="18"/>
  <c r="IS32" i="18"/>
  <c r="IR34" i="18"/>
  <c r="HW34" i="18"/>
  <c r="IS33" i="18"/>
  <c r="HX33" i="18"/>
  <c r="IR36" i="18"/>
  <c r="HW36" i="18"/>
  <c r="IS30" i="18"/>
  <c r="HX30" i="18"/>
  <c r="HW29" i="18"/>
  <c r="IR29" i="18"/>
  <c r="HW30" i="18"/>
  <c r="IR30" i="18"/>
  <c r="IR35" i="18"/>
  <c r="HW35" i="18"/>
  <c r="IR32" i="18"/>
  <c r="HW32" i="18"/>
  <c r="IS34" i="18"/>
  <c r="HX34" i="18"/>
  <c r="IS26" i="18"/>
  <c r="HX26" i="18"/>
  <c r="IS27" i="18"/>
  <c r="HX27" i="18"/>
  <c r="HX29" i="18"/>
  <c r="IS29" i="18"/>
  <c r="IR31" i="18"/>
  <c r="HW31" i="18"/>
  <c r="JN35" i="18"/>
  <c r="JZ35" i="18" s="1"/>
  <c r="KA35" i="18" s="1"/>
  <c r="JL22" i="18"/>
  <c r="IR28" i="18"/>
  <c r="HW28" i="18"/>
  <c r="IS31" i="18"/>
  <c r="HX31" i="18"/>
  <c r="HX24" i="18"/>
  <c r="IS24" i="18"/>
  <c r="IR23" i="18"/>
  <c r="HW23" i="18"/>
  <c r="HW24" i="18"/>
  <c r="IR24" i="18"/>
  <c r="IS25" i="18"/>
  <c r="HX25" i="18"/>
  <c r="IR26" i="18"/>
  <c r="HW26" i="18"/>
  <c r="IR27" i="18"/>
  <c r="HW27" i="18"/>
  <c r="HX23" i="18"/>
  <c r="IS23" i="18"/>
  <c r="IS35" i="18"/>
  <c r="HX35" i="18"/>
  <c r="HW33" i="18"/>
  <c r="IR33" i="18"/>
  <c r="HX28" i="18"/>
  <c r="IS28" i="18"/>
  <c r="HX36" i="18"/>
  <c r="IS36" i="18"/>
  <c r="HW25" i="18"/>
  <c r="IR25" i="18"/>
  <c r="JZ22" i="18"/>
  <c r="KA22" i="18" s="1"/>
  <c r="U32" i="18"/>
  <c r="CD13" i="20"/>
  <c r="CE13" i="20" s="1"/>
  <c r="BT13" i="20"/>
  <c r="BU13" i="20" s="1"/>
  <c r="KE11" i="18"/>
  <c r="KF11" i="18"/>
  <c r="KG11" i="18" s="1"/>
  <c r="KH11" i="18" s="1"/>
  <c r="KI11" i="18" s="1"/>
  <c r="P11" i="28" s="1"/>
  <c r="H1656" i="31" s="1"/>
  <c r="KE14" i="20"/>
  <c r="KF14" i="20"/>
  <c r="KG14" i="20" s="1"/>
  <c r="KH14" i="20" s="1"/>
  <c r="KI14" i="20" s="1"/>
  <c r="KI15" i="20" s="1"/>
  <c r="DH13" i="20"/>
  <c r="DI13" i="20" s="1"/>
  <c r="KF14" i="21"/>
  <c r="KG14" i="21" s="1"/>
  <c r="KH14" i="21" s="1"/>
  <c r="KI14" i="21" s="1"/>
  <c r="P14" i="29" s="1"/>
  <c r="H1689" i="31" s="1"/>
  <c r="KE14" i="21"/>
  <c r="IL34" i="20"/>
  <c r="IL35" i="20" s="1"/>
  <c r="JC7" i="20"/>
  <c r="JD7" i="20"/>
  <c r="JE7" i="20"/>
  <c r="JF7" i="20" s="1"/>
  <c r="JG7" i="20" s="1"/>
  <c r="O7" i="30" s="1"/>
  <c r="H1592" i="31" s="1"/>
  <c r="BR14" i="20"/>
  <c r="CN13" i="20"/>
  <c r="CO13" i="20" s="1"/>
  <c r="HN7" i="20"/>
  <c r="HM7" i="20"/>
  <c r="HO7" i="20"/>
  <c r="HP7" i="20" s="1"/>
  <c r="HQ7" i="20" s="1"/>
  <c r="N8" i="30"/>
  <c r="H1563" i="31" s="1"/>
  <c r="L8" i="30"/>
  <c r="H1503" i="31" s="1"/>
  <c r="BS10" i="20"/>
  <c r="ED10" i="20" s="1"/>
  <c r="EE10" i="20" s="1"/>
  <c r="EF10" i="20" s="1"/>
  <c r="BR10" i="20"/>
  <c r="X9" i="20"/>
  <c r="C9" i="30" s="1"/>
  <c r="H1234" i="31" s="1"/>
  <c r="CF13" i="21"/>
  <c r="F13" i="29" s="1"/>
  <c r="H938" i="31" s="1"/>
  <c r="IL23" i="21"/>
  <c r="IL24" i="21" s="1"/>
  <c r="IL25" i="21" s="1"/>
  <c r="IL26" i="21" s="1"/>
  <c r="IL27" i="21" s="1"/>
  <c r="IL28" i="21" s="1"/>
  <c r="IL29" i="21" s="1"/>
  <c r="IL30" i="21" s="1"/>
  <c r="IL31" i="21" s="1"/>
  <c r="IL32" i="21" s="1"/>
  <c r="IL33" i="21" s="1"/>
  <c r="IL34" i="21" s="1"/>
  <c r="IL35" i="21" s="1"/>
  <c r="JD7" i="21"/>
  <c r="JC7" i="21"/>
  <c r="JE7" i="21"/>
  <c r="JF7" i="21" s="1"/>
  <c r="JG7" i="21" s="1"/>
  <c r="DH13" i="21"/>
  <c r="DI13" i="21" s="1"/>
  <c r="DJ13" i="21" s="1"/>
  <c r="I13" i="29" s="1"/>
  <c r="H1028" i="31" s="1"/>
  <c r="BR14" i="21"/>
  <c r="HN7" i="21"/>
  <c r="HM7" i="21"/>
  <c r="HO7" i="21"/>
  <c r="HP7" i="21" s="1"/>
  <c r="HQ7" i="21" s="1"/>
  <c r="CX13" i="21"/>
  <c r="CY13" i="21" s="1"/>
  <c r="CZ13" i="21" s="1"/>
  <c r="H13" i="29" s="1"/>
  <c r="H998" i="31" s="1"/>
  <c r="X10" i="21"/>
  <c r="C10" i="29" s="1"/>
  <c r="H845" i="31" s="1"/>
  <c r="BT13" i="21"/>
  <c r="BU13" i="21" s="1"/>
  <c r="BV13" i="21" s="1"/>
  <c r="E13" i="29" s="1"/>
  <c r="H908" i="31" s="1"/>
  <c r="CN13" i="21"/>
  <c r="CO13" i="21" s="1"/>
  <c r="CP13" i="21" s="1"/>
  <c r="G13" i="29" s="1"/>
  <c r="H968" i="31" s="1"/>
  <c r="L9" i="29"/>
  <c r="H1114" i="31" s="1"/>
  <c r="N9" i="29"/>
  <c r="H1174" i="31" s="1"/>
  <c r="BO15" i="21"/>
  <c r="AS7" i="21"/>
  <c r="IX16" i="18"/>
  <c r="IY16" i="18" s="1"/>
  <c r="IX22" i="18"/>
  <c r="IY22" i="18" s="1"/>
  <c r="IX20" i="18"/>
  <c r="IY20" i="18" s="1"/>
  <c r="IX21" i="18"/>
  <c r="IY21" i="18" s="1"/>
  <c r="IC20" i="18"/>
  <c r="ID20" i="18" s="1"/>
  <c r="IC22" i="18"/>
  <c r="ID22" i="18" s="1"/>
  <c r="IC8" i="18"/>
  <c r="ID8" i="18" s="1"/>
  <c r="IC16" i="18"/>
  <c r="ID16" i="18" s="1"/>
  <c r="IC19" i="18"/>
  <c r="ID19" i="18" s="1"/>
  <c r="IC13" i="18"/>
  <c r="ID13" i="18" s="1"/>
  <c r="IC7" i="18"/>
  <c r="ID7" i="18" s="1"/>
  <c r="IC9" i="18"/>
  <c r="ID9" i="18" s="1"/>
  <c r="IC15" i="18"/>
  <c r="ID15" i="18" s="1"/>
  <c r="IC21" i="18"/>
  <c r="ID21" i="18" s="1"/>
  <c r="IC14" i="18"/>
  <c r="ID14" i="18" s="1"/>
  <c r="IC10" i="18"/>
  <c r="ID10" i="18" s="1"/>
  <c r="IC11" i="18"/>
  <c r="ID11" i="18" s="1"/>
  <c r="IC18" i="18"/>
  <c r="ID18" i="18" s="1"/>
  <c r="IC17" i="18"/>
  <c r="ID17" i="18" s="1"/>
  <c r="IE12" i="18"/>
  <c r="AR32" i="18"/>
  <c r="AS32" i="18" s="1"/>
  <c r="HH33" i="18"/>
  <c r="HI33" i="18" s="1"/>
  <c r="HH35" i="18"/>
  <c r="HI35" i="18" s="1"/>
  <c r="HH36" i="18"/>
  <c r="HI36" i="18" s="1"/>
  <c r="HH16" i="18"/>
  <c r="HI16" i="18" s="1"/>
  <c r="HH32" i="18"/>
  <c r="HI32" i="18" s="1"/>
  <c r="HH34" i="18"/>
  <c r="HI34" i="18" s="1"/>
  <c r="HH31" i="18"/>
  <c r="HI31" i="18" s="1"/>
  <c r="GM23" i="18"/>
  <c r="GN23" i="18" s="1"/>
  <c r="GM16" i="18"/>
  <c r="GN16" i="18" s="1"/>
  <c r="GM36" i="18"/>
  <c r="GN36" i="18" s="1"/>
  <c r="GM24" i="18"/>
  <c r="GN24" i="18" s="1"/>
  <c r="GM13" i="18"/>
  <c r="GN13" i="18" s="1"/>
  <c r="GM35" i="18"/>
  <c r="GN35" i="18" s="1"/>
  <c r="GM29" i="18"/>
  <c r="GN29" i="18" s="1"/>
  <c r="GM27" i="18"/>
  <c r="GN27" i="18" s="1"/>
  <c r="GM21" i="18"/>
  <c r="GN21" i="18" s="1"/>
  <c r="GM7" i="18"/>
  <c r="GN7" i="18" s="1"/>
  <c r="GM26" i="18"/>
  <c r="GN26" i="18" s="1"/>
  <c r="GM19" i="18"/>
  <c r="GN19" i="18" s="1"/>
  <c r="GM30" i="18"/>
  <c r="GN30" i="18" s="1"/>
  <c r="GM9" i="18"/>
  <c r="GN9" i="18" s="1"/>
  <c r="GM20" i="18"/>
  <c r="GN20" i="18" s="1"/>
  <c r="GM22" i="18"/>
  <c r="GN22" i="18" s="1"/>
  <c r="GM8" i="18"/>
  <c r="GN8" i="18" s="1"/>
  <c r="GM32" i="18"/>
  <c r="GN32" i="18" s="1"/>
  <c r="GM31" i="18"/>
  <c r="GN31" i="18" s="1"/>
  <c r="BO11" i="18"/>
  <c r="BR11" i="18" s="1"/>
  <c r="GM15" i="18"/>
  <c r="GN15" i="18" s="1"/>
  <c r="GM33" i="18"/>
  <c r="GN33" i="18" s="1"/>
  <c r="GM28" i="18"/>
  <c r="GN28" i="18" s="1"/>
  <c r="GM14" i="18"/>
  <c r="GN14" i="18" s="1"/>
  <c r="GM10" i="18"/>
  <c r="GN10" i="18" s="1"/>
  <c r="GM11" i="18"/>
  <c r="GN11" i="18" s="1"/>
  <c r="GM18" i="18"/>
  <c r="GN18" i="18" s="1"/>
  <c r="GM17" i="18"/>
  <c r="GN17" i="18" s="1"/>
  <c r="GM34" i="18"/>
  <c r="GN34" i="18" s="1"/>
  <c r="GM25" i="18"/>
  <c r="GN25" i="18" s="1"/>
  <c r="GO12" i="18"/>
  <c r="BM26" i="18"/>
  <c r="BN26" i="18" s="1"/>
  <c r="BM24" i="18"/>
  <c r="BN24" i="18" s="1"/>
  <c r="BM32" i="18"/>
  <c r="BN32" i="18" s="1"/>
  <c r="BM21" i="18"/>
  <c r="BN21" i="18" s="1"/>
  <c r="BM34" i="18"/>
  <c r="BN34" i="18" s="1"/>
  <c r="BM30" i="18"/>
  <c r="BN30" i="18" s="1"/>
  <c r="BM23" i="18"/>
  <c r="BN23" i="18" s="1"/>
  <c r="BM12" i="18"/>
  <c r="BN12" i="18" s="1"/>
  <c r="BM27" i="18"/>
  <c r="BN27" i="18" s="1"/>
  <c r="BM18" i="18"/>
  <c r="BN18" i="18" s="1"/>
  <c r="BM29" i="18"/>
  <c r="BN29" i="18" s="1"/>
  <c r="BM19" i="18"/>
  <c r="BN19" i="18" s="1"/>
  <c r="AP36" i="18"/>
  <c r="BO17" i="18"/>
  <c r="BM25" i="18"/>
  <c r="BN25" i="18" s="1"/>
  <c r="BM31" i="18"/>
  <c r="BN31" i="18" s="1"/>
  <c r="BM28" i="18"/>
  <c r="BN28" i="18" s="1"/>
  <c r="BM20" i="18"/>
  <c r="BN20" i="18" s="1"/>
  <c r="BM33" i="18"/>
  <c r="BN33" i="18" s="1"/>
  <c r="BM35" i="18"/>
  <c r="BN35" i="18" s="1"/>
  <c r="BM22" i="18"/>
  <c r="BN22" i="18" s="1"/>
  <c r="BM36" i="18"/>
  <c r="BN36" i="18" s="1"/>
  <c r="AM34" i="18"/>
  <c r="AP34" i="18" s="1"/>
  <c r="AQ36" i="18"/>
  <c r="AK14" i="18"/>
  <c r="AL14" i="18" s="1"/>
  <c r="AK28" i="18"/>
  <c r="AL28" i="18" s="1"/>
  <c r="AQ33" i="18"/>
  <c r="AP33" i="18"/>
  <c r="AR33" i="18"/>
  <c r="AS33" i="18" s="1"/>
  <c r="AK15" i="18"/>
  <c r="AL15" i="18" s="1"/>
  <c r="AK26" i="18"/>
  <c r="AL26" i="18" s="1"/>
  <c r="AM16" i="18"/>
  <c r="AK29" i="18"/>
  <c r="AL29" i="18" s="1"/>
  <c r="AK22" i="18"/>
  <c r="AL22" i="18" s="1"/>
  <c r="AK23" i="18"/>
  <c r="AL23" i="18" s="1"/>
  <c r="AK19" i="18"/>
  <c r="AL19" i="18" s="1"/>
  <c r="AM31" i="18"/>
  <c r="T32" i="18"/>
  <c r="AQ35" i="18"/>
  <c r="AP35" i="18"/>
  <c r="AR35" i="18"/>
  <c r="AS35" i="18" s="1"/>
  <c r="AK27" i="18"/>
  <c r="AL27" i="18" s="1"/>
  <c r="AK20" i="18"/>
  <c r="AL20" i="18" s="1"/>
  <c r="AK12" i="18"/>
  <c r="AL12" i="18" s="1"/>
  <c r="AK24" i="18"/>
  <c r="AL24" i="18" s="1"/>
  <c r="AK13" i="18"/>
  <c r="AL13" i="18" s="1"/>
  <c r="AK21" i="18"/>
  <c r="AL21" i="18" s="1"/>
  <c r="AK18" i="18"/>
  <c r="AL18" i="18" s="1"/>
  <c r="AK11" i="18"/>
  <c r="AL11" i="18" s="1"/>
  <c r="AK30" i="18"/>
  <c r="AL30" i="18" s="1"/>
  <c r="AK17" i="18"/>
  <c r="AL17" i="18" s="1"/>
  <c r="AK25" i="18"/>
  <c r="AL25" i="18" s="1"/>
  <c r="T12" i="18"/>
  <c r="AP32" i="18"/>
  <c r="AQ32" i="18"/>
  <c r="Q23" i="18"/>
  <c r="T23" i="18" s="1"/>
  <c r="Q33" i="18"/>
  <c r="V33" i="18" s="1"/>
  <c r="W33" i="18" s="1"/>
  <c r="Q17" i="18"/>
  <c r="T17" i="18" s="1"/>
  <c r="Q7" i="18"/>
  <c r="T7" i="18" s="1"/>
  <c r="Q8" i="18"/>
  <c r="U8" i="18" s="1"/>
  <c r="U12" i="18"/>
  <c r="Q20" i="18"/>
  <c r="V20" i="18" s="1"/>
  <c r="Q19" i="18"/>
  <c r="V19" i="18" s="1"/>
  <c r="Q15" i="18"/>
  <c r="U15" i="18" s="1"/>
  <c r="Q14" i="18"/>
  <c r="T14" i="18" s="1"/>
  <c r="Q16" i="18"/>
  <c r="T16" i="18" s="1"/>
  <c r="Q36" i="18"/>
  <c r="U36" i="18" s="1"/>
  <c r="Q24" i="18"/>
  <c r="T24" i="18" s="1"/>
  <c r="Q10" i="18"/>
  <c r="Q28" i="18"/>
  <c r="Q27" i="18"/>
  <c r="Q30" i="18"/>
  <c r="Q21" i="18"/>
  <c r="Q29" i="18"/>
  <c r="Q11" i="18"/>
  <c r="T34" i="18"/>
  <c r="U34" i="18"/>
  <c r="Q35" i="18"/>
  <c r="Q26" i="18"/>
  <c r="Q22" i="18"/>
  <c r="U31" i="18"/>
  <c r="T31" i="18"/>
  <c r="V31" i="18"/>
  <c r="W31" i="18" s="1"/>
  <c r="Q25" i="18"/>
  <c r="Q13" i="18"/>
  <c r="Q9" i="18"/>
  <c r="Q18" i="18"/>
  <c r="V34" i="18"/>
  <c r="W34" i="18" s="1"/>
  <c r="AK34" i="10"/>
  <c r="AL34" i="10" s="1"/>
  <c r="AK32" i="10"/>
  <c r="AL32" i="10" s="1"/>
  <c r="AK31" i="10"/>
  <c r="AL31" i="10" s="1"/>
  <c r="AK33" i="10"/>
  <c r="AL33" i="10" s="1"/>
  <c r="AM36" i="10"/>
  <c r="AR36" i="10" s="1"/>
  <c r="AS36" i="10" s="1"/>
  <c r="AM35" i="10"/>
  <c r="U35" i="10"/>
  <c r="V35" i="10"/>
  <c r="W35" i="10" s="1"/>
  <c r="T35" i="10"/>
  <c r="V34" i="10"/>
  <c r="W34" i="10" s="1"/>
  <c r="T34" i="10"/>
  <c r="U34" i="10"/>
  <c r="T36" i="10"/>
  <c r="U36" i="10"/>
  <c r="V36" i="10"/>
  <c r="W36" i="10" s="1"/>
  <c r="JW17" i="18"/>
  <c r="KD17" i="18" s="1"/>
  <c r="JX17" i="18" s="1"/>
  <c r="JY17" i="18" s="1"/>
  <c r="KB17" i="18" s="1"/>
  <c r="KC17" i="18"/>
  <c r="KC34" i="18"/>
  <c r="JW32" i="18"/>
  <c r="KD32" i="18" s="1"/>
  <c r="JX32" i="18" s="1"/>
  <c r="JY32" i="18" s="1"/>
  <c r="KB32" i="18" s="1"/>
  <c r="KC32" i="18"/>
  <c r="JW21" i="18"/>
  <c r="KD21" i="18" s="1"/>
  <c r="JX21" i="18" s="1"/>
  <c r="JY21" i="18" s="1"/>
  <c r="KB21" i="18" s="1"/>
  <c r="KC21" i="18"/>
  <c r="JW20" i="18"/>
  <c r="KD20" i="18" s="1"/>
  <c r="JX20" i="18" s="1"/>
  <c r="JY20" i="18" s="1"/>
  <c r="KB20" i="18" s="1"/>
  <c r="KC20" i="18"/>
  <c r="JW33" i="18"/>
  <c r="KD33" i="18" s="1"/>
  <c r="JX33" i="18" s="1"/>
  <c r="JY33" i="18" s="1"/>
  <c r="KB33" i="18" s="1"/>
  <c r="KC33" i="18"/>
  <c r="JW15" i="21"/>
  <c r="KD15" i="21" s="1"/>
  <c r="JX15" i="21" s="1"/>
  <c r="JY15" i="21" s="1"/>
  <c r="KB15" i="21" s="1"/>
  <c r="KC15" i="21"/>
  <c r="JW22" i="18"/>
  <c r="KD22" i="18" s="1"/>
  <c r="JX22" i="18" s="1"/>
  <c r="JY22" i="18" s="1"/>
  <c r="KC22" i="18"/>
  <c r="BT14" i="20"/>
  <c r="BU14" i="20" s="1"/>
  <c r="CX14" i="20"/>
  <c r="CY14" i="20" s="1"/>
  <c r="CD14" i="20"/>
  <c r="CE14" i="20" s="1"/>
  <c r="CN14" i="20"/>
  <c r="CO14" i="20" s="1"/>
  <c r="EY17" i="20"/>
  <c r="CN14" i="21"/>
  <c r="CO14" i="21" s="1"/>
  <c r="BT14" i="21"/>
  <c r="BU14" i="21" s="1"/>
  <c r="CD14" i="21"/>
  <c r="CE14" i="21" s="1"/>
  <c r="DH14" i="21"/>
  <c r="DI14" i="21" s="1"/>
  <c r="JA22" i="18"/>
  <c r="IU22" i="18"/>
  <c r="JB22" i="18" s="1"/>
  <c r="IV22" i="18" s="1"/>
  <c r="IW22" i="18" s="1"/>
  <c r="JA20" i="18"/>
  <c r="IU20" i="18"/>
  <c r="JB20" i="18" s="1"/>
  <c r="IV20" i="18" s="1"/>
  <c r="IW20" i="18" s="1"/>
  <c r="JA21" i="18"/>
  <c r="IU21" i="18"/>
  <c r="JB21" i="18" s="1"/>
  <c r="IV21" i="18" s="1"/>
  <c r="IW21" i="18" s="1"/>
  <c r="JA16" i="18"/>
  <c r="IU16" i="18"/>
  <c r="JB16" i="18" s="1"/>
  <c r="IV16" i="18" s="1"/>
  <c r="IW16" i="18" s="1"/>
  <c r="IF15" i="18"/>
  <c r="HZ15" i="18"/>
  <c r="IG15" i="18" s="1"/>
  <c r="IA15" i="18" s="1"/>
  <c r="IB15" i="18" s="1"/>
  <c r="IF21" i="18"/>
  <c r="HZ21" i="18"/>
  <c r="IG21" i="18" s="1"/>
  <c r="IA21" i="18" s="1"/>
  <c r="IB21" i="18" s="1"/>
  <c r="IF9" i="18"/>
  <c r="HZ9" i="18"/>
  <c r="IG9" i="18" s="1"/>
  <c r="IA9" i="18" s="1"/>
  <c r="IB9" i="18" s="1"/>
  <c r="HZ10" i="18"/>
  <c r="IG10" i="18" s="1"/>
  <c r="IA10" i="18" s="1"/>
  <c r="IB10" i="18" s="1"/>
  <c r="IF10" i="18"/>
  <c r="IF11" i="18"/>
  <c r="HZ11" i="18"/>
  <c r="IG11" i="18" s="1"/>
  <c r="IA11" i="18" s="1"/>
  <c r="IB11" i="18" s="1"/>
  <c r="HZ18" i="18"/>
  <c r="IG18" i="18" s="1"/>
  <c r="IA18" i="18" s="1"/>
  <c r="IB18" i="18" s="1"/>
  <c r="IF18" i="18"/>
  <c r="IF17" i="18"/>
  <c r="HZ17" i="18"/>
  <c r="IG17" i="18" s="1"/>
  <c r="IA17" i="18" s="1"/>
  <c r="IB17" i="18" s="1"/>
  <c r="HZ16" i="18"/>
  <c r="IG16" i="18" s="1"/>
  <c r="IA16" i="18" s="1"/>
  <c r="IB16" i="18" s="1"/>
  <c r="IF16" i="18"/>
  <c r="IF19" i="18"/>
  <c r="HZ19" i="18"/>
  <c r="IG19" i="18" s="1"/>
  <c r="IA19" i="18" s="1"/>
  <c r="IB19" i="18" s="1"/>
  <c r="IF13" i="18"/>
  <c r="HZ13" i="18"/>
  <c r="IG13" i="18" s="1"/>
  <c r="IA13" i="18" s="1"/>
  <c r="IB13" i="18" s="1"/>
  <c r="IF7" i="18"/>
  <c r="HZ7" i="18"/>
  <c r="IG7" i="18" s="1"/>
  <c r="IA7" i="18" s="1"/>
  <c r="IB7" i="18" s="1"/>
  <c r="HZ14" i="18"/>
  <c r="IG14" i="18" s="1"/>
  <c r="IA14" i="18" s="1"/>
  <c r="IB14" i="18" s="1"/>
  <c r="IF14" i="18"/>
  <c r="HZ20" i="18"/>
  <c r="IG20" i="18" s="1"/>
  <c r="IA20" i="18" s="1"/>
  <c r="IB20" i="18" s="1"/>
  <c r="IF20" i="18"/>
  <c r="HZ22" i="18"/>
  <c r="IG22" i="18" s="1"/>
  <c r="IA22" i="18" s="1"/>
  <c r="IB22" i="18" s="1"/>
  <c r="IF22" i="18"/>
  <c r="HZ8" i="18"/>
  <c r="IG8" i="18" s="1"/>
  <c r="IA8" i="18" s="1"/>
  <c r="IB8" i="18" s="1"/>
  <c r="IF8" i="18"/>
  <c r="HK31" i="18"/>
  <c r="HE31" i="18"/>
  <c r="HL31" i="18" s="1"/>
  <c r="HF31" i="18" s="1"/>
  <c r="HG31" i="18" s="1"/>
  <c r="HE33" i="18"/>
  <c r="HL33" i="18" s="1"/>
  <c r="HF33" i="18" s="1"/>
  <c r="HG33" i="18" s="1"/>
  <c r="HK33" i="18"/>
  <c r="HK34" i="18"/>
  <c r="HE34" i="18"/>
  <c r="HL34" i="18" s="1"/>
  <c r="HF34" i="18" s="1"/>
  <c r="HG34" i="18" s="1"/>
  <c r="HK16" i="18"/>
  <c r="HE16" i="18"/>
  <c r="HL16" i="18" s="1"/>
  <c r="HF16" i="18" s="1"/>
  <c r="HG16" i="18" s="1"/>
  <c r="HK32" i="18"/>
  <c r="HE32" i="18"/>
  <c r="HL32" i="18" s="1"/>
  <c r="HF32" i="18" s="1"/>
  <c r="HG32" i="18" s="1"/>
  <c r="HK35" i="18"/>
  <c r="HE35" i="18"/>
  <c r="HL35" i="18" s="1"/>
  <c r="HF35" i="18" s="1"/>
  <c r="HG35" i="18" s="1"/>
  <c r="HK36" i="18"/>
  <c r="HE36" i="18"/>
  <c r="HL36" i="18" s="1"/>
  <c r="HF36" i="18" s="1"/>
  <c r="HG36" i="18" s="1"/>
  <c r="GP14" i="18"/>
  <c r="GJ14" i="18"/>
  <c r="GQ14" i="18" s="1"/>
  <c r="GK14" i="18" s="1"/>
  <c r="GL14" i="18" s="1"/>
  <c r="GP20" i="18"/>
  <c r="GJ20" i="18"/>
  <c r="GQ20" i="18" s="1"/>
  <c r="GK20" i="18" s="1"/>
  <c r="GL20" i="18" s="1"/>
  <c r="GP8" i="18"/>
  <c r="GJ8" i="18"/>
  <c r="GQ8" i="18" s="1"/>
  <c r="GK8" i="18" s="1"/>
  <c r="GL8" i="18" s="1"/>
  <c r="GP32" i="18"/>
  <c r="GJ32" i="18"/>
  <c r="GQ32" i="18" s="1"/>
  <c r="GK32" i="18" s="1"/>
  <c r="GL32" i="18" s="1"/>
  <c r="GP28" i="18"/>
  <c r="GJ28" i="18"/>
  <c r="GQ28" i="18" s="1"/>
  <c r="GK28" i="18" s="1"/>
  <c r="GL28" i="18" s="1"/>
  <c r="GP26" i="18"/>
  <c r="GJ26" i="18"/>
  <c r="GQ26" i="18" s="1"/>
  <c r="GK26" i="18" s="1"/>
  <c r="GL26" i="18" s="1"/>
  <c r="GP33" i="18"/>
  <c r="GJ33" i="18"/>
  <c r="GQ33" i="18" s="1"/>
  <c r="GK33" i="18" s="1"/>
  <c r="GL33" i="18" s="1"/>
  <c r="GP23" i="18"/>
  <c r="GJ23" i="18"/>
  <c r="GQ23" i="18" s="1"/>
  <c r="GK23" i="18" s="1"/>
  <c r="GL23" i="18" s="1"/>
  <c r="GP19" i="18"/>
  <c r="GJ19" i="18"/>
  <c r="GQ19" i="18" s="1"/>
  <c r="GK19" i="18" s="1"/>
  <c r="GL19" i="18" s="1"/>
  <c r="GP30" i="18"/>
  <c r="GJ30" i="18"/>
  <c r="GQ30" i="18" s="1"/>
  <c r="GK30" i="18" s="1"/>
  <c r="GL30" i="18" s="1"/>
  <c r="GP27" i="18"/>
  <c r="GJ27" i="18"/>
  <c r="GQ27" i="18" s="1"/>
  <c r="GK27" i="18" s="1"/>
  <c r="GL27" i="18" s="1"/>
  <c r="GP10" i="18"/>
  <c r="GJ10" i="18"/>
  <c r="GQ10" i="18" s="1"/>
  <c r="GK10" i="18" s="1"/>
  <c r="GL10" i="18" s="1"/>
  <c r="GP11" i="18"/>
  <c r="GJ11" i="18"/>
  <c r="GQ11" i="18" s="1"/>
  <c r="GK11" i="18" s="1"/>
  <c r="GL11" i="18" s="1"/>
  <c r="GP18" i="18"/>
  <c r="GJ18" i="18"/>
  <c r="GQ18" i="18" s="1"/>
  <c r="GK18" i="18" s="1"/>
  <c r="GL18" i="18" s="1"/>
  <c r="GP17" i="18"/>
  <c r="GJ17" i="18"/>
  <c r="GQ17" i="18" s="1"/>
  <c r="GK17" i="18" s="1"/>
  <c r="GL17" i="18" s="1"/>
  <c r="GP34" i="18"/>
  <c r="GJ34" i="18"/>
  <c r="GQ34" i="18" s="1"/>
  <c r="GK34" i="18" s="1"/>
  <c r="GL34" i="18" s="1"/>
  <c r="GP36" i="18"/>
  <c r="GJ36" i="18"/>
  <c r="GQ36" i="18" s="1"/>
  <c r="GK36" i="18" s="1"/>
  <c r="GL36" i="18" s="1"/>
  <c r="GP25" i="18"/>
  <c r="GJ25" i="18"/>
  <c r="GQ25" i="18" s="1"/>
  <c r="GK25" i="18" s="1"/>
  <c r="GL25" i="18" s="1"/>
  <c r="GP7" i="18"/>
  <c r="GJ7" i="18"/>
  <c r="GQ7" i="18" s="1"/>
  <c r="GK7" i="18" s="1"/>
  <c r="GL7" i="18" s="1"/>
  <c r="GP22" i="18"/>
  <c r="GJ22" i="18"/>
  <c r="GQ22" i="18" s="1"/>
  <c r="GK22" i="18" s="1"/>
  <c r="GL22" i="18" s="1"/>
  <c r="GP24" i="18"/>
  <c r="GJ24" i="18"/>
  <c r="GQ24" i="18" s="1"/>
  <c r="GK24" i="18" s="1"/>
  <c r="GL24" i="18" s="1"/>
  <c r="GP9" i="18"/>
  <c r="GJ9" i="18"/>
  <c r="GQ9" i="18" s="1"/>
  <c r="GK9" i="18" s="1"/>
  <c r="GL9" i="18" s="1"/>
  <c r="GP15" i="18"/>
  <c r="GJ15" i="18"/>
  <c r="GQ15" i="18" s="1"/>
  <c r="GK15" i="18" s="1"/>
  <c r="GL15" i="18" s="1"/>
  <c r="GP21" i="18"/>
  <c r="GJ21" i="18"/>
  <c r="GQ21" i="18" s="1"/>
  <c r="GK21" i="18" s="1"/>
  <c r="GL21" i="18" s="1"/>
  <c r="GP31" i="18"/>
  <c r="GJ31" i="18"/>
  <c r="GQ31" i="18" s="1"/>
  <c r="GK31" i="18" s="1"/>
  <c r="GL31" i="18" s="1"/>
  <c r="GP16" i="18"/>
  <c r="GJ16" i="18"/>
  <c r="GQ16" i="18" s="1"/>
  <c r="GK16" i="18" s="1"/>
  <c r="GL16" i="18" s="1"/>
  <c r="GP13" i="18"/>
  <c r="GJ13" i="18"/>
  <c r="GQ13" i="18" s="1"/>
  <c r="GK13" i="18" s="1"/>
  <c r="GL13" i="18" s="1"/>
  <c r="GP35" i="18"/>
  <c r="GJ35" i="18"/>
  <c r="GQ35" i="18" s="1"/>
  <c r="GK35" i="18" s="1"/>
  <c r="GL35" i="18" s="1"/>
  <c r="GP29" i="18"/>
  <c r="GJ29" i="18"/>
  <c r="GQ29" i="18" s="1"/>
  <c r="GK29" i="18" s="1"/>
  <c r="GL29" i="18" s="1"/>
  <c r="BJ32" i="18"/>
  <c r="BQ32" i="18" s="1"/>
  <c r="BK32" i="18" s="1"/>
  <c r="BL32" i="18" s="1"/>
  <c r="BP32" i="18"/>
  <c r="BP21" i="18"/>
  <c r="BJ21" i="18"/>
  <c r="BQ21" i="18" s="1"/>
  <c r="BK21" i="18" s="1"/>
  <c r="BL21" i="18" s="1"/>
  <c r="BP34" i="18"/>
  <c r="BJ34" i="18"/>
  <c r="BQ34" i="18" s="1"/>
  <c r="BK34" i="18" s="1"/>
  <c r="BL34" i="18" s="1"/>
  <c r="BP30" i="18"/>
  <c r="BJ30" i="18"/>
  <c r="BQ30" i="18" s="1"/>
  <c r="BK30" i="18" s="1"/>
  <c r="BL30" i="18" s="1"/>
  <c r="BP23" i="18"/>
  <c r="BJ23" i="18"/>
  <c r="BQ23" i="18" s="1"/>
  <c r="BK23" i="18" s="1"/>
  <c r="BL23" i="18" s="1"/>
  <c r="BP12" i="18"/>
  <c r="BJ12" i="18"/>
  <c r="BQ12" i="18" s="1"/>
  <c r="BK12" i="18" s="1"/>
  <c r="BL12" i="18" s="1"/>
  <c r="BP27" i="18"/>
  <c r="BJ27" i="18"/>
  <c r="BQ27" i="18" s="1"/>
  <c r="BK27" i="18" s="1"/>
  <c r="BL27" i="18" s="1"/>
  <c r="BP18" i="18"/>
  <c r="BJ18" i="18"/>
  <c r="BQ18" i="18" s="1"/>
  <c r="BK18" i="18" s="1"/>
  <c r="BL18" i="18" s="1"/>
  <c r="BP29" i="18"/>
  <c r="BJ29" i="18"/>
  <c r="BQ29" i="18" s="1"/>
  <c r="BK29" i="18" s="1"/>
  <c r="BL29" i="18" s="1"/>
  <c r="BP33" i="18"/>
  <c r="BJ33" i="18"/>
  <c r="BQ33" i="18" s="1"/>
  <c r="BK33" i="18" s="1"/>
  <c r="BL33" i="18" s="1"/>
  <c r="BP20" i="18"/>
  <c r="BJ20" i="18"/>
  <c r="BQ20" i="18" s="1"/>
  <c r="BK20" i="18" s="1"/>
  <c r="BL20" i="18" s="1"/>
  <c r="BP35" i="18"/>
  <c r="BJ35" i="18"/>
  <c r="BQ35" i="18" s="1"/>
  <c r="BK35" i="18" s="1"/>
  <c r="BL35" i="18" s="1"/>
  <c r="BP22" i="18"/>
  <c r="BJ22" i="18"/>
  <c r="BQ22" i="18" s="1"/>
  <c r="BK22" i="18" s="1"/>
  <c r="BL22" i="18" s="1"/>
  <c r="BP36" i="18"/>
  <c r="BJ36" i="18"/>
  <c r="BQ36" i="18" s="1"/>
  <c r="BK36" i="18" s="1"/>
  <c r="BL36" i="18" s="1"/>
  <c r="BP26" i="18"/>
  <c r="BJ26" i="18"/>
  <c r="BQ26" i="18" s="1"/>
  <c r="BK26" i="18" s="1"/>
  <c r="BL26" i="18" s="1"/>
  <c r="BP25" i="18"/>
  <c r="BJ25" i="18"/>
  <c r="BQ25" i="18" s="1"/>
  <c r="BK25" i="18" s="1"/>
  <c r="BL25" i="18" s="1"/>
  <c r="BP31" i="18"/>
  <c r="BJ31" i="18"/>
  <c r="BQ31" i="18" s="1"/>
  <c r="BK31" i="18" s="1"/>
  <c r="BL31" i="18" s="1"/>
  <c r="BJ24" i="18"/>
  <c r="BQ24" i="18" s="1"/>
  <c r="BK24" i="18" s="1"/>
  <c r="BL24" i="18" s="1"/>
  <c r="BP24" i="18"/>
  <c r="BJ28" i="18"/>
  <c r="BQ28" i="18" s="1"/>
  <c r="BK28" i="18" s="1"/>
  <c r="BL28" i="18" s="1"/>
  <c r="BP28" i="18"/>
  <c r="BP19" i="18"/>
  <c r="BJ19" i="18"/>
  <c r="BQ19" i="18" s="1"/>
  <c r="BK19" i="18" s="1"/>
  <c r="BL19" i="18" s="1"/>
  <c r="HC28" i="18"/>
  <c r="AN28" i="18"/>
  <c r="AH28" i="18"/>
  <c r="AO28" i="18" s="1"/>
  <c r="AI28" i="18" s="1"/>
  <c r="AJ28" i="18" s="1"/>
  <c r="AN23" i="18"/>
  <c r="AH23" i="18"/>
  <c r="AO23" i="18" s="1"/>
  <c r="AI23" i="18" s="1"/>
  <c r="AJ23" i="18" s="1"/>
  <c r="HC24" i="18"/>
  <c r="AN24" i="18"/>
  <c r="AH24" i="18"/>
  <c r="AO24" i="18" s="1"/>
  <c r="AI24" i="18" s="1"/>
  <c r="AJ24" i="18" s="1"/>
  <c r="AN15" i="18"/>
  <c r="AH15" i="18"/>
  <c r="AO15" i="18" s="1"/>
  <c r="AI15" i="18" s="1"/>
  <c r="AJ15" i="18" s="1"/>
  <c r="AN13" i="18"/>
  <c r="AH13" i="18"/>
  <c r="AO13" i="18" s="1"/>
  <c r="AI13" i="18" s="1"/>
  <c r="AJ13" i="18" s="1"/>
  <c r="IS12" i="18"/>
  <c r="AN12" i="18"/>
  <c r="AH12" i="18"/>
  <c r="AO12" i="18" s="1"/>
  <c r="AI12" i="18" s="1"/>
  <c r="AJ12" i="18" s="1"/>
  <c r="AN17" i="18"/>
  <c r="AH17" i="18"/>
  <c r="AO17" i="18" s="1"/>
  <c r="AI17" i="18" s="1"/>
  <c r="AJ17" i="18" s="1"/>
  <c r="IS14" i="18"/>
  <c r="AN14" i="18"/>
  <c r="AH14" i="18"/>
  <c r="AO14" i="18" s="1"/>
  <c r="AI14" i="18" s="1"/>
  <c r="AJ14" i="18" s="1"/>
  <c r="AN27" i="18"/>
  <c r="AH27" i="18"/>
  <c r="AO27" i="18" s="1"/>
  <c r="AI27" i="18" s="1"/>
  <c r="AJ27" i="18" s="1"/>
  <c r="IS11" i="18"/>
  <c r="AN11" i="18"/>
  <c r="AH11" i="18"/>
  <c r="AO11" i="18" s="1"/>
  <c r="AI11" i="18" s="1"/>
  <c r="AJ11" i="18" s="1"/>
  <c r="AN20" i="18"/>
  <c r="AH20" i="18"/>
  <c r="AO20" i="18" s="1"/>
  <c r="AI20" i="18" s="1"/>
  <c r="AJ20" i="18" s="1"/>
  <c r="AN19" i="18"/>
  <c r="AH19" i="18"/>
  <c r="AO19" i="18" s="1"/>
  <c r="AI19" i="18" s="1"/>
  <c r="AJ19" i="18" s="1"/>
  <c r="HC25" i="18"/>
  <c r="AN25" i="18"/>
  <c r="AH25" i="18"/>
  <c r="AO25" i="18" s="1"/>
  <c r="AI25" i="18" s="1"/>
  <c r="AJ25" i="18" s="1"/>
  <c r="AN26" i="18"/>
  <c r="AH26" i="18"/>
  <c r="AO26" i="18" s="1"/>
  <c r="AI26" i="18" s="1"/>
  <c r="AJ26" i="18" s="1"/>
  <c r="HC21" i="18"/>
  <c r="AN21" i="18"/>
  <c r="AH21" i="18"/>
  <c r="AO21" i="18" s="1"/>
  <c r="AI21" i="18" s="1"/>
  <c r="AJ21" i="18" s="1"/>
  <c r="AN18" i="18"/>
  <c r="AH18" i="18"/>
  <c r="AO18" i="18" s="1"/>
  <c r="AI18" i="18" s="1"/>
  <c r="AJ18" i="18" s="1"/>
  <c r="HC29" i="18"/>
  <c r="AN29" i="18"/>
  <c r="AH29" i="18"/>
  <c r="AO29" i="18" s="1"/>
  <c r="AI29" i="18" s="1"/>
  <c r="AJ29" i="18" s="1"/>
  <c r="HC22" i="18"/>
  <c r="AN22" i="18"/>
  <c r="AH22" i="18"/>
  <c r="AO22" i="18" s="1"/>
  <c r="AI22" i="18" s="1"/>
  <c r="AJ22" i="18" s="1"/>
  <c r="AN30" i="18"/>
  <c r="AH30" i="18"/>
  <c r="AO30" i="18" s="1"/>
  <c r="AI30" i="18" s="1"/>
  <c r="AJ30" i="18" s="1"/>
  <c r="HK32" i="10"/>
  <c r="AH32" i="10"/>
  <c r="AO32" i="10" s="1"/>
  <c r="AI32" i="10" s="1"/>
  <c r="AJ32" i="10" s="1"/>
  <c r="AN32" i="10"/>
  <c r="AH34" i="10"/>
  <c r="AO34" i="10" s="1"/>
  <c r="AI34" i="10" s="1"/>
  <c r="AJ34" i="10" s="1"/>
  <c r="AN34" i="10"/>
  <c r="HK31" i="10"/>
  <c r="AH31" i="10"/>
  <c r="AO31" i="10" s="1"/>
  <c r="AI31" i="10" s="1"/>
  <c r="AJ31" i="10" s="1"/>
  <c r="AN31" i="10"/>
  <c r="HK33" i="10"/>
  <c r="AH33" i="10"/>
  <c r="AO33" i="10" s="1"/>
  <c r="AI33" i="10" s="1"/>
  <c r="AJ33" i="10" s="1"/>
  <c r="AN33" i="10"/>
  <c r="L29" i="10"/>
  <c r="S29" i="10" s="1"/>
  <c r="M29" i="10" s="1"/>
  <c r="N29" i="10" s="1"/>
  <c r="Q29" i="10" s="1"/>
  <c r="R29" i="10"/>
  <c r="L28" i="10"/>
  <c r="S28" i="10" s="1"/>
  <c r="M28" i="10" s="1"/>
  <c r="N28" i="10" s="1"/>
  <c r="Q28" i="10" s="1"/>
  <c r="R28" i="10"/>
  <c r="GL27" i="10"/>
  <c r="L27" i="10"/>
  <c r="S27" i="10" s="1"/>
  <c r="M27" i="10" s="1"/>
  <c r="N27" i="10" s="1"/>
  <c r="Q27" i="10" s="1"/>
  <c r="R27" i="10"/>
  <c r="L33" i="10"/>
  <c r="S33" i="10" s="1"/>
  <c r="M33" i="10" s="1"/>
  <c r="N33" i="10" s="1"/>
  <c r="Q33" i="10" s="1"/>
  <c r="R33" i="10"/>
  <c r="L30" i="10"/>
  <c r="S30" i="10" s="1"/>
  <c r="M30" i="10" s="1"/>
  <c r="N30" i="10" s="1"/>
  <c r="Q30" i="10" s="1"/>
  <c r="R30" i="10"/>
  <c r="L32" i="10"/>
  <c r="S32" i="10" s="1"/>
  <c r="M32" i="10" s="1"/>
  <c r="N32" i="10" s="1"/>
  <c r="Q32" i="10" s="1"/>
  <c r="R32" i="10"/>
  <c r="L31" i="10"/>
  <c r="S31" i="10" s="1"/>
  <c r="M31" i="10" s="1"/>
  <c r="N31" i="10" s="1"/>
  <c r="Q31" i="10" s="1"/>
  <c r="R31" i="10"/>
  <c r="BA13" i="18"/>
  <c r="JJ13" i="18"/>
  <c r="JL27" i="18"/>
  <c r="JN27" i="18"/>
  <c r="JL18" i="18"/>
  <c r="JN18" i="18"/>
  <c r="JN29" i="18"/>
  <c r="JZ29" i="18" s="1"/>
  <c r="KA29" i="18" s="1"/>
  <c r="JL29" i="18"/>
  <c r="JU20" i="21"/>
  <c r="LZ20" i="10"/>
  <c r="MA20" i="10" s="1"/>
  <c r="MB20" i="10" s="1"/>
  <c r="MD20" i="10" s="1"/>
  <c r="MO20" i="10" s="1"/>
  <c r="MP20" i="10" s="1"/>
  <c r="JN30" i="18"/>
  <c r="JL30" i="18"/>
  <c r="JL23" i="18"/>
  <c r="JN23" i="18"/>
  <c r="JN12" i="18"/>
  <c r="JZ12" i="18" s="1"/>
  <c r="KA12" i="18" s="1"/>
  <c r="JL12" i="18"/>
  <c r="JN26" i="18"/>
  <c r="JL26" i="18"/>
  <c r="JR20" i="18"/>
  <c r="JS20" i="18" s="1"/>
  <c r="JT20" i="18" s="1"/>
  <c r="JV20" i="18" s="1"/>
  <c r="JL25" i="18"/>
  <c r="JN25" i="18"/>
  <c r="JZ25" i="18" s="1"/>
  <c r="KA25" i="18" s="1"/>
  <c r="JL31" i="18"/>
  <c r="JN31" i="18"/>
  <c r="JL24" i="18"/>
  <c r="JN24" i="18"/>
  <c r="JZ24" i="18" s="1"/>
  <c r="KA24" i="18" s="1"/>
  <c r="JR18" i="20"/>
  <c r="JS18" i="20" s="1"/>
  <c r="JT18" i="20" s="1"/>
  <c r="JV18" i="20" s="1"/>
  <c r="KG18" i="20" s="1"/>
  <c r="KH18" i="20" s="1"/>
  <c r="JL28" i="18"/>
  <c r="JN28" i="18"/>
  <c r="JZ28" i="18" s="1"/>
  <c r="KA28" i="18" s="1"/>
  <c r="JL19" i="18"/>
  <c r="JN19" i="18"/>
  <c r="DG16" i="18"/>
  <c r="DH16" i="18" s="1"/>
  <c r="DI16" i="18" s="1"/>
  <c r="KI26" i="10"/>
  <c r="P26" i="25" s="1"/>
  <c r="H411" i="31" s="1"/>
  <c r="EK18" i="20"/>
  <c r="EN18" i="20" s="1"/>
  <c r="EC11" i="18"/>
  <c r="EB11" i="18"/>
  <c r="DZ11" i="18"/>
  <c r="CM16" i="21"/>
  <c r="CN16" i="21" s="1"/>
  <c r="CO16" i="21" s="1"/>
  <c r="CL16" i="21"/>
  <c r="CI17" i="21" s="1"/>
  <c r="CJ17" i="21" s="1"/>
  <c r="CL17" i="21" s="1"/>
  <c r="CI18" i="21" s="1"/>
  <c r="CJ18" i="21" s="1"/>
  <c r="CL18" i="21" s="1"/>
  <c r="CI19" i="21" s="1"/>
  <c r="CJ19" i="21" s="1"/>
  <c r="CL19" i="21" s="1"/>
  <c r="CI20" i="21" s="1"/>
  <c r="CJ20" i="21" s="1"/>
  <c r="CL20" i="21" s="1"/>
  <c r="CI21" i="21" s="1"/>
  <c r="CJ21" i="21" s="1"/>
  <c r="CL21" i="21" s="1"/>
  <c r="CI22" i="21" s="1"/>
  <c r="CJ22" i="21" s="1"/>
  <c r="CL22" i="21" s="1"/>
  <c r="CI23" i="21" s="1"/>
  <c r="CJ23" i="21" s="1"/>
  <c r="CL23" i="21" s="1"/>
  <c r="CI24" i="21" s="1"/>
  <c r="CJ24" i="21" s="1"/>
  <c r="CL24" i="21" s="1"/>
  <c r="CI25" i="21" s="1"/>
  <c r="CJ25" i="21" s="1"/>
  <c r="CL25" i="21" s="1"/>
  <c r="CI26" i="21" s="1"/>
  <c r="CJ26" i="21" s="1"/>
  <c r="CL26" i="21" s="1"/>
  <c r="CI27" i="21" s="1"/>
  <c r="CJ27" i="21" s="1"/>
  <c r="CL27" i="21" s="1"/>
  <c r="CI28" i="21" s="1"/>
  <c r="CJ28" i="21" s="1"/>
  <c r="CL28" i="21" s="1"/>
  <c r="CI29" i="21" s="1"/>
  <c r="CJ29" i="21" s="1"/>
  <c r="CL29" i="21" s="1"/>
  <c r="CI30" i="21" s="1"/>
  <c r="CJ30" i="21" s="1"/>
  <c r="CL30" i="21" s="1"/>
  <c r="CI31" i="21" s="1"/>
  <c r="CJ31" i="21" s="1"/>
  <c r="CL31" i="21" s="1"/>
  <c r="CI32" i="21" s="1"/>
  <c r="CJ32" i="21" s="1"/>
  <c r="CL32" i="21" s="1"/>
  <c r="CI33" i="21" s="1"/>
  <c r="CJ33" i="21" s="1"/>
  <c r="CL33" i="21" s="1"/>
  <c r="CI34" i="21" s="1"/>
  <c r="CJ34" i="21" s="1"/>
  <c r="CL34" i="21" s="1"/>
  <c r="CI35" i="21" s="1"/>
  <c r="CJ35" i="21" s="1"/>
  <c r="CL35" i="21" s="1"/>
  <c r="BY17" i="10"/>
  <c r="DN13" i="21"/>
  <c r="DP13" i="21" s="1"/>
  <c r="DR11" i="18"/>
  <c r="DQ11" i="18"/>
  <c r="DO11" i="18"/>
  <c r="CW16" i="21"/>
  <c r="CX16" i="21" s="1"/>
  <c r="CY16" i="21" s="1"/>
  <c r="CV16" i="21"/>
  <c r="DY13" i="21"/>
  <c r="BT7" i="18"/>
  <c r="BU7" i="18" s="1"/>
  <c r="BV7" i="18" s="1"/>
  <c r="E7" i="28" s="1"/>
  <c r="H512" i="31" s="1"/>
  <c r="ED7" i="18"/>
  <c r="EE7" i="18" s="1"/>
  <c r="EF7" i="18" s="1"/>
  <c r="K7" i="28" s="1"/>
  <c r="H692" i="31" s="1"/>
  <c r="DH7" i="18"/>
  <c r="DI7" i="18" s="1"/>
  <c r="DJ7" i="18" s="1"/>
  <c r="I7" i="28" s="1"/>
  <c r="H632" i="31" s="1"/>
  <c r="CN7" i="18"/>
  <c r="CO7" i="18" s="1"/>
  <c r="CP7" i="18" s="1"/>
  <c r="G7" i="28" s="1"/>
  <c r="H572" i="31" s="1"/>
  <c r="DS7" i="18"/>
  <c r="DT7" i="18" s="1"/>
  <c r="DU7" i="18" s="1"/>
  <c r="J7" i="28" s="1"/>
  <c r="H662" i="31" s="1"/>
  <c r="CX7" i="18"/>
  <c r="CY7" i="18" s="1"/>
  <c r="CZ7" i="18" s="1"/>
  <c r="H7" i="28" s="1"/>
  <c r="H602" i="31" s="1"/>
  <c r="CD7" i="18"/>
  <c r="CE7" i="18" s="1"/>
  <c r="CF7" i="18" s="1"/>
  <c r="F7" i="28" s="1"/>
  <c r="H542" i="31" s="1"/>
  <c r="DE15" i="21"/>
  <c r="DF15" i="21" s="1"/>
  <c r="BZ21" i="18"/>
  <c r="CA21" i="18" s="1"/>
  <c r="CC21" i="18" s="1"/>
  <c r="DF16" i="18"/>
  <c r="DC17" i="18" s="1"/>
  <c r="DD17" i="18" s="1"/>
  <c r="DE16" i="10"/>
  <c r="AG31" i="10"/>
  <c r="AE31" i="10"/>
  <c r="BF20" i="18"/>
  <c r="BG20" i="18" s="1"/>
  <c r="W12" i="18"/>
  <c r="BZ21" i="21"/>
  <c r="CA21" i="21" s="1"/>
  <c r="BE20" i="21"/>
  <c r="FT18" i="20"/>
  <c r="FV18" i="20" s="1"/>
  <c r="FW18" i="20" s="1"/>
  <c r="FX18" i="20" s="1"/>
  <c r="FY18" i="20" s="1"/>
  <c r="FZ18" i="20" s="1"/>
  <c r="FJ19" i="20"/>
  <c r="FA19" i="20"/>
  <c r="HF31" i="10"/>
  <c r="HG33" i="10"/>
  <c r="HE31" i="10"/>
  <c r="HG31" i="10"/>
  <c r="HE30" i="10"/>
  <c r="HD30" i="10"/>
  <c r="HD2" i="10" s="1"/>
  <c r="HG30" i="10"/>
  <c r="HF30" i="10"/>
  <c r="GL32" i="10"/>
  <c r="AG32" i="10"/>
  <c r="HI32" i="10"/>
  <c r="GL31" i="10"/>
  <c r="HF32" i="10"/>
  <c r="EB12" i="20"/>
  <c r="DZ12" i="20"/>
  <c r="DO12" i="20"/>
  <c r="DS9" i="20"/>
  <c r="DT9" i="20" s="1"/>
  <c r="DU9" i="20" s="1"/>
  <c r="J9" i="30" s="1"/>
  <c r="H1444" i="31" s="1"/>
  <c r="DH9" i="20"/>
  <c r="DI9" i="20" s="1"/>
  <c r="DJ9" i="20" s="1"/>
  <c r="I9" i="30" s="1"/>
  <c r="H1414" i="31" s="1"/>
  <c r="DD16" i="20"/>
  <c r="DE16" i="20" s="1"/>
  <c r="DQ12" i="20"/>
  <c r="CV15" i="20"/>
  <c r="CW15" i="20"/>
  <c r="CX15" i="20" s="1"/>
  <c r="CY15" i="20" s="1"/>
  <c r="CN9" i="20"/>
  <c r="CO9" i="20" s="1"/>
  <c r="CP9" i="20" s="1"/>
  <c r="G9" i="30" s="1"/>
  <c r="H1354" i="31" s="1"/>
  <c r="CX9" i="20"/>
  <c r="CY9" i="20" s="1"/>
  <c r="CZ9" i="20" s="1"/>
  <c r="H9" i="30" s="1"/>
  <c r="H1384" i="31" s="1"/>
  <c r="CM15" i="20"/>
  <c r="CN15" i="20" s="1"/>
  <c r="CO15" i="20" s="1"/>
  <c r="CL15" i="20"/>
  <c r="CI16" i="20" s="1"/>
  <c r="CJ16" i="20" s="1"/>
  <c r="BT9" i="20"/>
  <c r="BU9" i="20" s="1"/>
  <c r="BV9" i="20" s="1"/>
  <c r="E9" i="30" s="1"/>
  <c r="H1294" i="31" s="1"/>
  <c r="CD9" i="20"/>
  <c r="CE9" i="20" s="1"/>
  <c r="CF9" i="20" s="1"/>
  <c r="F9" i="30" s="1"/>
  <c r="H1324" i="31" s="1"/>
  <c r="BY18" i="20"/>
  <c r="BH19" i="20"/>
  <c r="AY10" i="20"/>
  <c r="GF2" i="10"/>
  <c r="GF3" i="10" s="1"/>
  <c r="GH2" i="10"/>
  <c r="GH3" i="10" s="1"/>
  <c r="GE2" i="10"/>
  <c r="GE3" i="10" s="1"/>
  <c r="GG2" i="10"/>
  <c r="GG3" i="10" s="1"/>
  <c r="H46" i="24"/>
  <c r="C46" i="24"/>
  <c r="AF29" i="10"/>
  <c r="HC17" i="18"/>
  <c r="IS17" i="18"/>
  <c r="HB18" i="18"/>
  <c r="IR18" i="18"/>
  <c r="ET25" i="18"/>
  <c r="HD17" i="18"/>
  <c r="IT17" i="18"/>
  <c r="HB17" i="18"/>
  <c r="IR17" i="18"/>
  <c r="HC18" i="18"/>
  <c r="IS18" i="18"/>
  <c r="HB19" i="18"/>
  <c r="IR19" i="18"/>
  <c r="HD15" i="18"/>
  <c r="IT15" i="18"/>
  <c r="HD13" i="18"/>
  <c r="IT13" i="18"/>
  <c r="HD18" i="18"/>
  <c r="IT18" i="18"/>
  <c r="HC19" i="18"/>
  <c r="IS19" i="18"/>
  <c r="HB11" i="18"/>
  <c r="IR11" i="18"/>
  <c r="HD11" i="18"/>
  <c r="IT11" i="18"/>
  <c r="HD19" i="18"/>
  <c r="IT19" i="18"/>
  <c r="HB16" i="18"/>
  <c r="IR16" i="18"/>
  <c r="EU25" i="18"/>
  <c r="HD16" i="18"/>
  <c r="IT16" i="18"/>
  <c r="HC20" i="18"/>
  <c r="HB20" i="18"/>
  <c r="HB15" i="18"/>
  <c r="IR15" i="18"/>
  <c r="HC15" i="18"/>
  <c r="IS15" i="18"/>
  <c r="HB14" i="18"/>
  <c r="IR14" i="18"/>
  <c r="HB13" i="18"/>
  <c r="IR13" i="18"/>
  <c r="HC13" i="18"/>
  <c r="IS13" i="18"/>
  <c r="HB12" i="18"/>
  <c r="IR12" i="18"/>
  <c r="EL11" i="21"/>
  <c r="FL10" i="21"/>
  <c r="FU10" i="21"/>
  <c r="FC10" i="21"/>
  <c r="FB13" i="21"/>
  <c r="FK13" i="21"/>
  <c r="FT13" i="21"/>
  <c r="AY10" i="21"/>
  <c r="EP10" i="21"/>
  <c r="EU10" i="21" s="1"/>
  <c r="FO9" i="21"/>
  <c r="FP9" i="21" s="1"/>
  <c r="FQ9" i="21" s="1"/>
  <c r="EW9" i="21"/>
  <c r="EX9" i="21" s="1"/>
  <c r="EY9" i="21" s="1"/>
  <c r="FX9" i="21"/>
  <c r="FY9" i="21" s="1"/>
  <c r="FZ9" i="21" s="1"/>
  <c r="FF9" i="21"/>
  <c r="FG9" i="21" s="1"/>
  <c r="FH9" i="21" s="1"/>
  <c r="FK11" i="21"/>
  <c r="FT11" i="21"/>
  <c r="FB11" i="21"/>
  <c r="FT12" i="21"/>
  <c r="FB12" i="21"/>
  <c r="FK12" i="21"/>
  <c r="L10" i="29"/>
  <c r="H1115" i="31" s="1"/>
  <c r="EM24" i="21"/>
  <c r="AE29" i="10"/>
  <c r="HJ29" i="10" s="1"/>
  <c r="GL30" i="10"/>
  <c r="HD30" i="18"/>
  <c r="GL29" i="10"/>
  <c r="HC14" i="18"/>
  <c r="HC27" i="18"/>
  <c r="HD23" i="18"/>
  <c r="AF30" i="10"/>
  <c r="HH30" i="10"/>
  <c r="HC30" i="18"/>
  <c r="HD27" i="18"/>
  <c r="HD26" i="18"/>
  <c r="AF28" i="10"/>
  <c r="HH28" i="10"/>
  <c r="GM28" i="10"/>
  <c r="AE30" i="10"/>
  <c r="HJ30" i="10" s="1"/>
  <c r="GL28" i="10"/>
  <c r="AG29" i="10"/>
  <c r="HL29" i="10" s="1"/>
  <c r="HI29" i="10"/>
  <c r="AG28" i="10"/>
  <c r="HL28" i="10" s="1"/>
  <c r="HI28" i="10"/>
  <c r="AG30" i="10"/>
  <c r="HH27" i="10"/>
  <c r="GM27" i="10"/>
  <c r="HC23" i="18"/>
  <c r="HC11" i="18"/>
  <c r="HD14" i="18"/>
  <c r="AG27" i="10"/>
  <c r="HL27" i="10" s="1"/>
  <c r="HI27" i="10"/>
  <c r="HC26" i="18"/>
  <c r="HC12" i="18"/>
  <c r="HD12" i="18"/>
  <c r="EW7" i="18"/>
  <c r="EX7" i="18" s="1"/>
  <c r="EY7" i="18" s="1"/>
  <c r="FX7" i="18"/>
  <c r="FY7" i="18" s="1"/>
  <c r="FZ7" i="18" s="1"/>
  <c r="FO7" i="18"/>
  <c r="FP7" i="18" s="1"/>
  <c r="FQ7" i="18" s="1"/>
  <c r="FF7" i="18"/>
  <c r="FG7" i="18" s="1"/>
  <c r="FH7" i="18" s="1"/>
  <c r="FA8" i="18"/>
  <c r="FJ8" i="18"/>
  <c r="FS8" i="18"/>
  <c r="EK8" i="18"/>
  <c r="BB8" i="18" s="1"/>
  <c r="EW11" i="18"/>
  <c r="EX11" i="18" s="1"/>
  <c r="FO11" i="18"/>
  <c r="FP11" i="18" s="1"/>
  <c r="FX11" i="18"/>
  <c r="FY11" i="18" s="1"/>
  <c r="FF11" i="18"/>
  <c r="FG11" i="18" s="1"/>
  <c r="FJ9" i="18"/>
  <c r="FS9" i="18"/>
  <c r="FA9" i="18"/>
  <c r="AE36" i="10"/>
  <c r="AE35" i="10"/>
  <c r="AE33" i="10"/>
  <c r="AG33" i="10"/>
  <c r="AE27" i="10"/>
  <c r="HJ27" i="10" s="1"/>
  <c r="AF27" i="10"/>
  <c r="AE28" i="10"/>
  <c r="HJ28" i="10" s="1"/>
  <c r="AE32" i="10"/>
  <c r="AG34" i="10"/>
  <c r="AE34" i="10"/>
  <c r="ET31" i="18"/>
  <c r="EU31" i="18"/>
  <c r="ET20" i="18"/>
  <c r="EU20" i="18"/>
  <c r="EU33" i="18"/>
  <c r="ET33" i="18"/>
  <c r="ET12" i="18"/>
  <c r="EU12" i="18"/>
  <c r="EJ10" i="18"/>
  <c r="EK9" i="18"/>
  <c r="EU36" i="18"/>
  <c r="ET36" i="18"/>
  <c r="EU32" i="18"/>
  <c r="ET32" i="18"/>
  <c r="EU18" i="18"/>
  <c r="ET18" i="18"/>
  <c r="ET35" i="18"/>
  <c r="EU35" i="18"/>
  <c r="EU29" i="18"/>
  <c r="ET29" i="18"/>
  <c r="AW14" i="18"/>
  <c r="EO13" i="18"/>
  <c r="AY13" i="18"/>
  <c r="EU28" i="18"/>
  <c r="ET28" i="18"/>
  <c r="ET27" i="18"/>
  <c r="EU27" i="18"/>
  <c r="EU30" i="18"/>
  <c r="ET30" i="18"/>
  <c r="EU22" i="18"/>
  <c r="ET22" i="18"/>
  <c r="ET24" i="18"/>
  <c r="EU24" i="18"/>
  <c r="EU26" i="18"/>
  <c r="ET26" i="18"/>
  <c r="ET19" i="18"/>
  <c r="EU19" i="18"/>
  <c r="EU34" i="18"/>
  <c r="ET34" i="18"/>
  <c r="EU21" i="18"/>
  <c r="ET21" i="18"/>
  <c r="EU23" i="18"/>
  <c r="ET23" i="18"/>
  <c r="JW35" i="18" l="1"/>
  <c r="KD35" i="18" s="1"/>
  <c r="JX35" i="18" s="1"/>
  <c r="JY35" i="18" s="1"/>
  <c r="KB35" i="18" s="1"/>
  <c r="JW36" i="18"/>
  <c r="KD36" i="18" s="1"/>
  <c r="JX36" i="18" s="1"/>
  <c r="JY36" i="18" s="1"/>
  <c r="KB36" i="18" s="1"/>
  <c r="KC36" i="18"/>
  <c r="JW34" i="18"/>
  <c r="KD34" i="18" s="1"/>
  <c r="JX34" i="18" s="1"/>
  <c r="JY34" i="18" s="1"/>
  <c r="KB34" i="18" s="1"/>
  <c r="KF34" i="18" s="1"/>
  <c r="KC35" i="18"/>
  <c r="U14" i="18"/>
  <c r="KB22" i="18"/>
  <c r="KF22" i="18" s="1"/>
  <c r="JZ30" i="18"/>
  <c r="KA30" i="18" s="1"/>
  <c r="JZ19" i="18"/>
  <c r="KA19" i="18" s="1"/>
  <c r="JZ27" i="18"/>
  <c r="KA27" i="18" s="1"/>
  <c r="JZ31" i="18"/>
  <c r="KA31" i="18" s="1"/>
  <c r="JZ23" i="18"/>
  <c r="KA23" i="18" s="1"/>
  <c r="JZ18" i="18"/>
  <c r="KA18" i="18" s="1"/>
  <c r="JZ26" i="18"/>
  <c r="KA26" i="18" s="1"/>
  <c r="CF14" i="21"/>
  <c r="F14" i="29" s="1"/>
  <c r="H939" i="31" s="1"/>
  <c r="KE17" i="18"/>
  <c r="KF17" i="18"/>
  <c r="KG17" i="18" s="1"/>
  <c r="KH17" i="18" s="1"/>
  <c r="KE33" i="18"/>
  <c r="KF33" i="18"/>
  <c r="KE21" i="18"/>
  <c r="KF21" i="18"/>
  <c r="KE15" i="21"/>
  <c r="KF15" i="21"/>
  <c r="KG15" i="21" s="1"/>
  <c r="KH15" i="21" s="1"/>
  <c r="KI15" i="21" s="1"/>
  <c r="KI16" i="21" s="1"/>
  <c r="KE20" i="18"/>
  <c r="KF20" i="18"/>
  <c r="KG20" i="18" s="1"/>
  <c r="KH20" i="18" s="1"/>
  <c r="KE32" i="18"/>
  <c r="KF32" i="18"/>
  <c r="V14" i="18"/>
  <c r="W14" i="18" s="1"/>
  <c r="T33" i="18"/>
  <c r="M7" i="30"/>
  <c r="H1532" i="31" s="1"/>
  <c r="X10" i="20"/>
  <c r="C10" i="30" s="1"/>
  <c r="H1235" i="31" s="1"/>
  <c r="L9" i="30"/>
  <c r="H1504" i="31" s="1"/>
  <c r="N9" i="30"/>
  <c r="H1564" i="31" s="1"/>
  <c r="DJ14" i="21"/>
  <c r="I14" i="29" s="1"/>
  <c r="H1029" i="31" s="1"/>
  <c r="X11" i="21"/>
  <c r="C11" i="29" s="1"/>
  <c r="H846" i="31" s="1"/>
  <c r="BV14" i="21"/>
  <c r="E14" i="29" s="1"/>
  <c r="H909" i="31" s="1"/>
  <c r="N10" i="29"/>
  <c r="H1175" i="31" s="1"/>
  <c r="CZ14" i="21"/>
  <c r="H14" i="29" s="1"/>
  <c r="H999" i="31" s="1"/>
  <c r="CP14" i="21"/>
  <c r="G14" i="29" s="1"/>
  <c r="H969" i="31" s="1"/>
  <c r="BR15" i="21"/>
  <c r="BS15" i="21"/>
  <c r="BT15" i="21" s="1"/>
  <c r="BU15" i="21" s="1"/>
  <c r="AT7" i="21"/>
  <c r="IX15" i="18"/>
  <c r="IY15" i="18" s="1"/>
  <c r="IX35" i="18"/>
  <c r="IY35" i="18" s="1"/>
  <c r="IX19" i="18"/>
  <c r="IY19" i="18" s="1"/>
  <c r="IX29" i="18"/>
  <c r="IY29" i="18" s="1"/>
  <c r="IX36" i="18"/>
  <c r="IY36" i="18" s="1"/>
  <c r="IX18" i="18"/>
  <c r="IY18" i="18" s="1"/>
  <c r="IX25" i="18"/>
  <c r="IY25" i="18" s="1"/>
  <c r="IX14" i="18"/>
  <c r="IY14" i="18" s="1"/>
  <c r="IZ21" i="18"/>
  <c r="IX34" i="18"/>
  <c r="IY34" i="18" s="1"/>
  <c r="IX31" i="18"/>
  <c r="IY31" i="18" s="1"/>
  <c r="IX12" i="18"/>
  <c r="IY12" i="18" s="1"/>
  <c r="IX28" i="18"/>
  <c r="IY28" i="18" s="1"/>
  <c r="IZ20" i="18"/>
  <c r="IX24" i="18"/>
  <c r="IY24" i="18" s="1"/>
  <c r="IX17" i="18"/>
  <c r="IY17" i="18" s="1"/>
  <c r="IX32" i="18"/>
  <c r="IY32" i="18" s="1"/>
  <c r="IX13" i="18"/>
  <c r="IY13" i="18" s="1"/>
  <c r="IX33" i="18"/>
  <c r="IY33" i="18" s="1"/>
  <c r="IX23" i="18"/>
  <c r="IY23" i="18" s="1"/>
  <c r="IX27" i="18"/>
  <c r="IY27" i="18" s="1"/>
  <c r="IX26" i="18"/>
  <c r="IY26" i="18" s="1"/>
  <c r="IX30" i="18"/>
  <c r="IY30" i="18" s="1"/>
  <c r="IX11" i="18"/>
  <c r="IY11" i="18" s="1"/>
  <c r="IE10" i="18"/>
  <c r="II10" i="18" s="1"/>
  <c r="IZ22" i="18"/>
  <c r="IZ16" i="18"/>
  <c r="IE18" i="18"/>
  <c r="II18" i="18" s="1"/>
  <c r="IE14" i="18"/>
  <c r="IJ14" i="18" s="1"/>
  <c r="IK14" i="18" s="1"/>
  <c r="IE8" i="18"/>
  <c r="IH8" i="18" s="1"/>
  <c r="IE11" i="18"/>
  <c r="IJ11" i="18" s="1"/>
  <c r="IK11" i="18" s="1"/>
  <c r="IE21" i="18"/>
  <c r="IJ21" i="18" s="1"/>
  <c r="IK21" i="18" s="1"/>
  <c r="IE22" i="18"/>
  <c r="II22" i="18" s="1"/>
  <c r="IC31" i="18"/>
  <c r="ID31" i="18" s="1"/>
  <c r="IE15" i="18"/>
  <c r="IC35" i="18"/>
  <c r="ID35" i="18" s="1"/>
  <c r="T36" i="18"/>
  <c r="IH12" i="18"/>
  <c r="II12" i="18"/>
  <c r="IE13" i="18"/>
  <c r="IC34" i="18"/>
  <c r="ID34" i="18" s="1"/>
  <c r="IC23" i="18"/>
  <c r="ID23" i="18" s="1"/>
  <c r="BS11" i="18"/>
  <c r="CX11" i="18" s="1"/>
  <c r="CY11" i="18" s="1"/>
  <c r="IE17" i="18"/>
  <c r="IE9" i="18"/>
  <c r="IE20" i="18"/>
  <c r="IC24" i="18"/>
  <c r="ID24" i="18" s="1"/>
  <c r="IC32" i="18"/>
  <c r="ID32" i="18" s="1"/>
  <c r="IE19" i="18"/>
  <c r="IC33" i="18"/>
  <c r="ID33" i="18" s="1"/>
  <c r="IC27" i="18"/>
  <c r="ID27" i="18" s="1"/>
  <c r="IC26" i="18"/>
  <c r="ID26" i="18" s="1"/>
  <c r="IC30" i="18"/>
  <c r="ID30" i="18" s="1"/>
  <c r="IC29" i="18"/>
  <c r="ID29" i="18" s="1"/>
  <c r="IC36" i="18"/>
  <c r="ID36" i="18" s="1"/>
  <c r="IC25" i="18"/>
  <c r="ID25" i="18" s="1"/>
  <c r="IC28" i="18"/>
  <c r="ID28" i="18" s="1"/>
  <c r="IE7" i="18"/>
  <c r="IE16" i="18"/>
  <c r="IJ12" i="18"/>
  <c r="IK12" i="18" s="1"/>
  <c r="GO15" i="18"/>
  <c r="GT15" i="18" s="1"/>
  <c r="GU15" i="18" s="1"/>
  <c r="GO10" i="18"/>
  <c r="GT10" i="18" s="1"/>
  <c r="GU10" i="18" s="1"/>
  <c r="HJ34" i="18"/>
  <c r="HN34" i="18" s="1"/>
  <c r="AR34" i="18"/>
  <c r="AS34" i="18" s="1"/>
  <c r="HH11" i="18"/>
  <c r="HI11" i="18" s="1"/>
  <c r="HH21" i="18"/>
  <c r="HI21" i="18" s="1"/>
  <c r="GO31" i="18"/>
  <c r="GT31" i="18" s="1"/>
  <c r="GU31" i="18" s="1"/>
  <c r="GO11" i="18"/>
  <c r="GT11" i="18" s="1"/>
  <c r="GU11" i="18" s="1"/>
  <c r="HH15" i="18"/>
  <c r="HI15" i="18" s="1"/>
  <c r="HH19" i="18"/>
  <c r="HI19" i="18" s="1"/>
  <c r="HH12" i="18"/>
  <c r="HI12" i="18" s="1"/>
  <c r="HH17" i="18"/>
  <c r="HI17" i="18" s="1"/>
  <c r="HH29" i="18"/>
  <c r="HI29" i="18" s="1"/>
  <c r="GO22" i="18"/>
  <c r="GR22" i="18" s="1"/>
  <c r="HJ16" i="18"/>
  <c r="HH26" i="18"/>
  <c r="HI26" i="18" s="1"/>
  <c r="HH30" i="18"/>
  <c r="HI30" i="18" s="1"/>
  <c r="HH27" i="18"/>
  <c r="HI27" i="18" s="1"/>
  <c r="HH13" i="18"/>
  <c r="HI13" i="18" s="1"/>
  <c r="HH22" i="18"/>
  <c r="HI22" i="18" s="1"/>
  <c r="GO27" i="18"/>
  <c r="GT27" i="18" s="1"/>
  <c r="GU27" i="18" s="1"/>
  <c r="HJ35" i="18"/>
  <c r="HH23" i="18"/>
  <c r="HI23" i="18" s="1"/>
  <c r="HH14" i="18"/>
  <c r="HI14" i="18" s="1"/>
  <c r="HH25" i="18"/>
  <c r="HI25" i="18" s="1"/>
  <c r="HH24" i="18"/>
  <c r="HI24" i="18" s="1"/>
  <c r="AQ34" i="18"/>
  <c r="GO14" i="18"/>
  <c r="GS14" i="18" s="1"/>
  <c r="HJ32" i="18"/>
  <c r="HJ36" i="18"/>
  <c r="HJ33" i="18"/>
  <c r="HH20" i="18"/>
  <c r="HI20" i="18" s="1"/>
  <c r="HH18" i="18"/>
  <c r="HI18" i="18" s="1"/>
  <c r="HH28" i="18"/>
  <c r="HI28" i="18" s="1"/>
  <c r="BO27" i="18"/>
  <c r="BR27" i="18" s="1"/>
  <c r="GO35" i="18"/>
  <c r="GT35" i="18" s="1"/>
  <c r="GU35" i="18" s="1"/>
  <c r="HJ31" i="18"/>
  <c r="GO34" i="18"/>
  <c r="GS34" i="18" s="1"/>
  <c r="GO30" i="18"/>
  <c r="GS30" i="18" s="1"/>
  <c r="GO25" i="18"/>
  <c r="GO17" i="18"/>
  <c r="GO18" i="18"/>
  <c r="GO33" i="18"/>
  <c r="GO8" i="18"/>
  <c r="GO21" i="18"/>
  <c r="GO24" i="18"/>
  <c r="BO23" i="18"/>
  <c r="BR23" i="18" s="1"/>
  <c r="GO23" i="18"/>
  <c r="BO22" i="18"/>
  <c r="BR22" i="18" s="1"/>
  <c r="BO25" i="18"/>
  <c r="BO30" i="18"/>
  <c r="BR30" i="18" s="1"/>
  <c r="BO21" i="18"/>
  <c r="BR21" i="18" s="1"/>
  <c r="GO20" i="18"/>
  <c r="GO7" i="18"/>
  <c r="GO29" i="18"/>
  <c r="BO18" i="18"/>
  <c r="BR18" i="18" s="1"/>
  <c r="GR12" i="18"/>
  <c r="GS12" i="18"/>
  <c r="GT12" i="18"/>
  <c r="GU12" i="18" s="1"/>
  <c r="GO28" i="18"/>
  <c r="GO32" i="18"/>
  <c r="GO26" i="18"/>
  <c r="GO13" i="18"/>
  <c r="GO36" i="18"/>
  <c r="GR15" i="18"/>
  <c r="GO19" i="18"/>
  <c r="BO24" i="18"/>
  <c r="BR24" i="18" s="1"/>
  <c r="GO9" i="18"/>
  <c r="GO16" i="18"/>
  <c r="BO29" i="18"/>
  <c r="BO34" i="18"/>
  <c r="BO26" i="18"/>
  <c r="BO19" i="18"/>
  <c r="U33" i="18"/>
  <c r="BR17" i="18"/>
  <c r="BS17" i="18"/>
  <c r="CD17" i="18" s="1"/>
  <c r="CE17" i="18" s="1"/>
  <c r="BO31" i="18"/>
  <c r="BO20" i="18"/>
  <c r="BO32" i="18"/>
  <c r="BS8" i="18"/>
  <c r="BR8" i="18"/>
  <c r="BO35" i="18"/>
  <c r="BM13" i="18"/>
  <c r="BN13" i="18" s="1"/>
  <c r="BO36" i="18"/>
  <c r="BO33" i="18"/>
  <c r="BO28" i="18"/>
  <c r="BO12" i="18"/>
  <c r="AM18" i="18"/>
  <c r="AP18" i="18" s="1"/>
  <c r="V36" i="18"/>
  <c r="W36" i="18" s="1"/>
  <c r="T19" i="18"/>
  <c r="AM24" i="18"/>
  <c r="AR24" i="18" s="1"/>
  <c r="AS24" i="18" s="1"/>
  <c r="AM20" i="18"/>
  <c r="AR20" i="18" s="1"/>
  <c r="AM26" i="18"/>
  <c r="AR26" i="18" s="1"/>
  <c r="AS26" i="18" s="1"/>
  <c r="AM25" i="18"/>
  <c r="AR25" i="18" s="1"/>
  <c r="AS25" i="18" s="1"/>
  <c r="AM30" i="18"/>
  <c r="AQ30" i="18" s="1"/>
  <c r="AM13" i="18"/>
  <c r="AR13" i="18" s="1"/>
  <c r="AM22" i="18"/>
  <c r="AQ22" i="18" s="1"/>
  <c r="T8" i="18"/>
  <c r="AM29" i="18"/>
  <c r="AR29" i="18" s="1"/>
  <c r="AM14" i="18"/>
  <c r="AQ14" i="18" s="1"/>
  <c r="AM27" i="18"/>
  <c r="AM23" i="18"/>
  <c r="V15" i="18"/>
  <c r="V24" i="18"/>
  <c r="W24" i="18" s="1"/>
  <c r="AM21" i="18"/>
  <c r="AQ31" i="18"/>
  <c r="AP31" i="18"/>
  <c r="AR31" i="18"/>
  <c r="AS31" i="18" s="1"/>
  <c r="AP16" i="18"/>
  <c r="AQ16" i="18"/>
  <c r="AR16" i="18"/>
  <c r="AM19" i="18"/>
  <c r="T15" i="18"/>
  <c r="U23" i="18"/>
  <c r="V8" i="18"/>
  <c r="W8" i="18" s="1"/>
  <c r="U24" i="18"/>
  <c r="AM17" i="18"/>
  <c r="AM11" i="18"/>
  <c r="AM15" i="18"/>
  <c r="AM12" i="18"/>
  <c r="AM28" i="18"/>
  <c r="V23" i="18"/>
  <c r="W23" i="18" s="1"/>
  <c r="U17" i="18"/>
  <c r="V17" i="18"/>
  <c r="U16" i="18"/>
  <c r="T20" i="18"/>
  <c r="U19" i="18"/>
  <c r="U7" i="18"/>
  <c r="U20" i="18"/>
  <c r="V16" i="18"/>
  <c r="V7" i="18"/>
  <c r="U9" i="18"/>
  <c r="T9" i="18"/>
  <c r="V9" i="18"/>
  <c r="T11" i="18"/>
  <c r="U11" i="18"/>
  <c r="V11" i="18"/>
  <c r="T27" i="18"/>
  <c r="U27" i="18"/>
  <c r="V27" i="18"/>
  <c r="W27" i="18" s="1"/>
  <c r="T10" i="18"/>
  <c r="U10" i="18"/>
  <c r="V10" i="18"/>
  <c r="U13" i="18"/>
  <c r="T13" i="18"/>
  <c r="V13" i="18"/>
  <c r="U29" i="18"/>
  <c r="T29" i="18"/>
  <c r="V29" i="18"/>
  <c r="W29" i="18" s="1"/>
  <c r="T18" i="18"/>
  <c r="U18" i="18"/>
  <c r="V18" i="18"/>
  <c r="T35" i="18"/>
  <c r="U35" i="18"/>
  <c r="V35" i="18"/>
  <c r="W35" i="18" s="1"/>
  <c r="T30" i="18"/>
  <c r="U30" i="18"/>
  <c r="V30" i="18"/>
  <c r="W30" i="18" s="1"/>
  <c r="T22" i="18"/>
  <c r="U22" i="18"/>
  <c r="V22" i="18"/>
  <c r="U25" i="18"/>
  <c r="T25" i="18"/>
  <c r="V25" i="18"/>
  <c r="W25" i="18" s="1"/>
  <c r="T26" i="18"/>
  <c r="U26" i="18"/>
  <c r="V26" i="18"/>
  <c r="W26" i="18" s="1"/>
  <c r="U21" i="18"/>
  <c r="T21" i="18"/>
  <c r="V21" i="18"/>
  <c r="W21" i="18" s="1"/>
  <c r="T28" i="18"/>
  <c r="U28" i="18"/>
  <c r="V28" i="18"/>
  <c r="HP31" i="10"/>
  <c r="HQ31" i="10" s="1"/>
  <c r="HP33" i="10"/>
  <c r="HQ33" i="10" s="1"/>
  <c r="HP32" i="10"/>
  <c r="HQ32" i="10" s="1"/>
  <c r="GQ32" i="10"/>
  <c r="GR32" i="10" s="1"/>
  <c r="GQ27" i="10"/>
  <c r="GR27" i="10" s="1"/>
  <c r="GQ29" i="10"/>
  <c r="GR29" i="10" s="1"/>
  <c r="GQ30" i="10"/>
  <c r="GR30" i="10" s="1"/>
  <c r="GQ31" i="10"/>
  <c r="GR31" i="10" s="1"/>
  <c r="GQ28" i="10"/>
  <c r="GR28" i="10" s="1"/>
  <c r="AM33" i="10"/>
  <c r="AR33" i="10" s="1"/>
  <c r="AS33" i="10" s="1"/>
  <c r="AM34" i="10"/>
  <c r="AP34" i="10" s="1"/>
  <c r="AK27" i="10"/>
  <c r="AL27" i="10" s="1"/>
  <c r="AM31" i="10"/>
  <c r="AP35" i="10"/>
  <c r="AQ35" i="10"/>
  <c r="AM32" i="10"/>
  <c r="AK30" i="10"/>
  <c r="AL30" i="10" s="1"/>
  <c r="AQ33" i="10"/>
  <c r="AK28" i="10"/>
  <c r="AL28" i="10" s="1"/>
  <c r="AK29" i="10"/>
  <c r="AL29" i="10" s="1"/>
  <c r="AP36" i="10"/>
  <c r="AQ36" i="10"/>
  <c r="AR35" i="10"/>
  <c r="AS35" i="10" s="1"/>
  <c r="U33" i="10"/>
  <c r="V33" i="10"/>
  <c r="W33" i="10" s="1"/>
  <c r="T33" i="10"/>
  <c r="T31" i="10"/>
  <c r="U31" i="10"/>
  <c r="V31" i="10"/>
  <c r="W31" i="10" s="1"/>
  <c r="V30" i="10"/>
  <c r="T30" i="10"/>
  <c r="U30" i="10"/>
  <c r="T27" i="10"/>
  <c r="V27" i="10"/>
  <c r="U27" i="10"/>
  <c r="T32" i="10"/>
  <c r="U32" i="10"/>
  <c r="V32" i="10"/>
  <c r="W32" i="10" s="1"/>
  <c r="T28" i="10"/>
  <c r="U28" i="10"/>
  <c r="V28" i="10"/>
  <c r="W28" i="10" s="1"/>
  <c r="U29" i="10"/>
  <c r="T29" i="10"/>
  <c r="V29" i="10"/>
  <c r="P14" i="30"/>
  <c r="H1719" i="31" s="1"/>
  <c r="JW24" i="18"/>
  <c r="KD24" i="18" s="1"/>
  <c r="JX24" i="18" s="1"/>
  <c r="JY24" i="18" s="1"/>
  <c r="KB24" i="18" s="1"/>
  <c r="KC24" i="18"/>
  <c r="JW26" i="18"/>
  <c r="KD26" i="18" s="1"/>
  <c r="JX26" i="18" s="1"/>
  <c r="JY26" i="18" s="1"/>
  <c r="KC26" i="18"/>
  <c r="JW28" i="18"/>
  <c r="KD28" i="18" s="1"/>
  <c r="JX28" i="18" s="1"/>
  <c r="JY28" i="18" s="1"/>
  <c r="KB28" i="18" s="1"/>
  <c r="KC28" i="18"/>
  <c r="JW31" i="18"/>
  <c r="KD31" i="18" s="1"/>
  <c r="JX31" i="18" s="1"/>
  <c r="JY31" i="18" s="1"/>
  <c r="KC31" i="18"/>
  <c r="JW12" i="18"/>
  <c r="KD12" i="18" s="1"/>
  <c r="JX12" i="18" s="1"/>
  <c r="JY12" i="18" s="1"/>
  <c r="KB12" i="18" s="1"/>
  <c r="KC12" i="18"/>
  <c r="JW30" i="18"/>
  <c r="KD30" i="18" s="1"/>
  <c r="JX30" i="18" s="1"/>
  <c r="JY30" i="18" s="1"/>
  <c r="KC30" i="18"/>
  <c r="JW29" i="18"/>
  <c r="KD29" i="18" s="1"/>
  <c r="JX29" i="18" s="1"/>
  <c r="JY29" i="18" s="1"/>
  <c r="KB29" i="18" s="1"/>
  <c r="KC29" i="18"/>
  <c r="JW25" i="18"/>
  <c r="KD25" i="18" s="1"/>
  <c r="JX25" i="18" s="1"/>
  <c r="JY25" i="18" s="1"/>
  <c r="KB25" i="18" s="1"/>
  <c r="KC25" i="18"/>
  <c r="JW27" i="18"/>
  <c r="KD27" i="18" s="1"/>
  <c r="JX27" i="18" s="1"/>
  <c r="JY27" i="18" s="1"/>
  <c r="KC27" i="18"/>
  <c r="JW19" i="18"/>
  <c r="KD19" i="18" s="1"/>
  <c r="JX19" i="18" s="1"/>
  <c r="JY19" i="18" s="1"/>
  <c r="KC19" i="18"/>
  <c r="JW23" i="18"/>
  <c r="KD23" i="18" s="1"/>
  <c r="JX23" i="18" s="1"/>
  <c r="JY23" i="18" s="1"/>
  <c r="KC23" i="18"/>
  <c r="JW18" i="18"/>
  <c r="KD18" i="18" s="1"/>
  <c r="JX18" i="18" s="1"/>
  <c r="JY18" i="18" s="1"/>
  <c r="KC18" i="18"/>
  <c r="JA13" i="18"/>
  <c r="IU13" i="18"/>
  <c r="JB13" i="18" s="1"/>
  <c r="IV13" i="18" s="1"/>
  <c r="IW13" i="18" s="1"/>
  <c r="JA15" i="18"/>
  <c r="IU15" i="18"/>
  <c r="JB15" i="18" s="1"/>
  <c r="IV15" i="18" s="1"/>
  <c r="IW15" i="18" s="1"/>
  <c r="JA33" i="18"/>
  <c r="IU33" i="18"/>
  <c r="JB33" i="18" s="1"/>
  <c r="IV33" i="18" s="1"/>
  <c r="IW33" i="18" s="1"/>
  <c r="JA23" i="18"/>
  <c r="IU23" i="18"/>
  <c r="JB23" i="18" s="1"/>
  <c r="IV23" i="18" s="1"/>
  <c r="IW23" i="18" s="1"/>
  <c r="JA31" i="18"/>
  <c r="IU31" i="18"/>
  <c r="JB31" i="18" s="1"/>
  <c r="IV31" i="18" s="1"/>
  <c r="IW31" i="18" s="1"/>
  <c r="JA30" i="18"/>
  <c r="IU30" i="18"/>
  <c r="JB30" i="18" s="1"/>
  <c r="IV30" i="18" s="1"/>
  <c r="IW30" i="18" s="1"/>
  <c r="JA24" i="18"/>
  <c r="IU24" i="18"/>
  <c r="JB24" i="18" s="1"/>
  <c r="IV24" i="18" s="1"/>
  <c r="IW24" i="18" s="1"/>
  <c r="JA34" i="18"/>
  <c r="IU34" i="18"/>
  <c r="JB34" i="18" s="1"/>
  <c r="IV34" i="18" s="1"/>
  <c r="IW34" i="18" s="1"/>
  <c r="JA19" i="18"/>
  <c r="IU19" i="18"/>
  <c r="JB19" i="18" s="1"/>
  <c r="IV19" i="18" s="1"/>
  <c r="IW19" i="18" s="1"/>
  <c r="JA29" i="18"/>
  <c r="IU29" i="18"/>
  <c r="JB29" i="18" s="1"/>
  <c r="IV29" i="18" s="1"/>
  <c r="IW29" i="18" s="1"/>
  <c r="JA25" i="18"/>
  <c r="IU25" i="18"/>
  <c r="JB25" i="18" s="1"/>
  <c r="IV25" i="18" s="1"/>
  <c r="IW25" i="18" s="1"/>
  <c r="JA17" i="18"/>
  <c r="IU17" i="18"/>
  <c r="JB17" i="18" s="1"/>
  <c r="IV17" i="18" s="1"/>
  <c r="IW17" i="18" s="1"/>
  <c r="JA26" i="18"/>
  <c r="IU26" i="18"/>
  <c r="JB26" i="18" s="1"/>
  <c r="IV26" i="18" s="1"/>
  <c r="IW26" i="18" s="1"/>
  <c r="JA28" i="18"/>
  <c r="IU28" i="18"/>
  <c r="JB28" i="18" s="1"/>
  <c r="IV28" i="18" s="1"/>
  <c r="IW28" i="18" s="1"/>
  <c r="JA12" i="18"/>
  <c r="IU12" i="18"/>
  <c r="JB12" i="18" s="1"/>
  <c r="IV12" i="18" s="1"/>
  <c r="IW12" i="18" s="1"/>
  <c r="JA27" i="18"/>
  <c r="IU27" i="18"/>
  <c r="JB27" i="18" s="1"/>
  <c r="IV27" i="18" s="1"/>
  <c r="IW27" i="18" s="1"/>
  <c r="JA35" i="18"/>
  <c r="IU35" i="18"/>
  <c r="JB35" i="18" s="1"/>
  <c r="IV35" i="18" s="1"/>
  <c r="IW35" i="18" s="1"/>
  <c r="JA36" i="18"/>
  <c r="IU36" i="18"/>
  <c r="JB36" i="18" s="1"/>
  <c r="IV36" i="18" s="1"/>
  <c r="IW36" i="18" s="1"/>
  <c r="JA18" i="18"/>
  <c r="IU18" i="18"/>
  <c r="JB18" i="18" s="1"/>
  <c r="IV18" i="18" s="1"/>
  <c r="IW18" i="18" s="1"/>
  <c r="JA32" i="18"/>
  <c r="IU32" i="18"/>
  <c r="JB32" i="18" s="1"/>
  <c r="IV32" i="18" s="1"/>
  <c r="IW32" i="18" s="1"/>
  <c r="JA11" i="18"/>
  <c r="IU11" i="18"/>
  <c r="JB11" i="18" s="1"/>
  <c r="IV11" i="18" s="1"/>
  <c r="IW11" i="18" s="1"/>
  <c r="JA14" i="18"/>
  <c r="IU14" i="18"/>
  <c r="JB14" i="18" s="1"/>
  <c r="IV14" i="18" s="1"/>
  <c r="IW14" i="18" s="1"/>
  <c r="HZ24" i="18"/>
  <c r="IG24" i="18" s="1"/>
  <c r="IA24" i="18" s="1"/>
  <c r="IB24" i="18" s="1"/>
  <c r="IF24" i="18"/>
  <c r="IF29" i="18"/>
  <c r="HZ29" i="18"/>
  <c r="IG29" i="18" s="1"/>
  <c r="IA29" i="18" s="1"/>
  <c r="IB29" i="18" s="1"/>
  <c r="HZ28" i="18"/>
  <c r="IG28" i="18" s="1"/>
  <c r="IA28" i="18" s="1"/>
  <c r="IB28" i="18" s="1"/>
  <c r="IF28" i="18"/>
  <c r="HZ32" i="18"/>
  <c r="IG32" i="18" s="1"/>
  <c r="IA32" i="18" s="1"/>
  <c r="IB32" i="18" s="1"/>
  <c r="IF32" i="18"/>
  <c r="IF35" i="18"/>
  <c r="HZ35" i="18"/>
  <c r="IG35" i="18" s="1"/>
  <c r="IA35" i="18" s="1"/>
  <c r="IB35" i="18" s="1"/>
  <c r="IF25" i="18"/>
  <c r="HZ25" i="18"/>
  <c r="IG25" i="18" s="1"/>
  <c r="IA25" i="18" s="1"/>
  <c r="IB25" i="18" s="1"/>
  <c r="HZ26" i="18"/>
  <c r="IG26" i="18" s="1"/>
  <c r="IA26" i="18" s="1"/>
  <c r="IB26" i="18" s="1"/>
  <c r="IF26" i="18"/>
  <c r="HZ34" i="18"/>
  <c r="IG34" i="18" s="1"/>
  <c r="IA34" i="18" s="1"/>
  <c r="IB34" i="18" s="1"/>
  <c r="IF34" i="18"/>
  <c r="HZ36" i="18"/>
  <c r="IG36" i="18" s="1"/>
  <c r="IA36" i="18" s="1"/>
  <c r="IB36" i="18" s="1"/>
  <c r="IF36" i="18"/>
  <c r="IF33" i="18"/>
  <c r="HZ33" i="18"/>
  <c r="IG33" i="18" s="1"/>
  <c r="IA33" i="18" s="1"/>
  <c r="IB33" i="18" s="1"/>
  <c r="IF23" i="18"/>
  <c r="HZ23" i="18"/>
  <c r="IG23" i="18" s="1"/>
  <c r="IA23" i="18" s="1"/>
  <c r="IB23" i="18" s="1"/>
  <c r="IF27" i="18"/>
  <c r="HZ27" i="18"/>
  <c r="IG27" i="18" s="1"/>
  <c r="IA27" i="18" s="1"/>
  <c r="IB27" i="18" s="1"/>
  <c r="IF31" i="18"/>
  <c r="HZ31" i="18"/>
  <c r="IG31" i="18" s="1"/>
  <c r="IA31" i="18" s="1"/>
  <c r="IB31" i="18" s="1"/>
  <c r="HZ30" i="18"/>
  <c r="IG30" i="18" s="1"/>
  <c r="IA30" i="18" s="1"/>
  <c r="IB30" i="18" s="1"/>
  <c r="IF30" i="18"/>
  <c r="HK26" i="18"/>
  <c r="HE26" i="18"/>
  <c r="HL26" i="18" s="1"/>
  <c r="HF26" i="18" s="1"/>
  <c r="HG26" i="18" s="1"/>
  <c r="HK25" i="18"/>
  <c r="HE25" i="18"/>
  <c r="HL25" i="18" s="1"/>
  <c r="HF25" i="18" s="1"/>
  <c r="HG25" i="18" s="1"/>
  <c r="HK30" i="18"/>
  <c r="HE30" i="18"/>
  <c r="HL30" i="18" s="1"/>
  <c r="HF30" i="18" s="1"/>
  <c r="HG30" i="18" s="1"/>
  <c r="HK13" i="18"/>
  <c r="HE13" i="18"/>
  <c r="HL13" i="18" s="1"/>
  <c r="HF13" i="18" s="1"/>
  <c r="HG13" i="18" s="1"/>
  <c r="HE15" i="18"/>
  <c r="HL15" i="18" s="1"/>
  <c r="HF15" i="18" s="1"/>
  <c r="HG15" i="18" s="1"/>
  <c r="HK15" i="18"/>
  <c r="HK29" i="18"/>
  <c r="HE29" i="18"/>
  <c r="HL29" i="18" s="1"/>
  <c r="HF29" i="18" s="1"/>
  <c r="HG29" i="18" s="1"/>
  <c r="HK24" i="18"/>
  <c r="HE24" i="18"/>
  <c r="HL24" i="18" s="1"/>
  <c r="HF24" i="18" s="1"/>
  <c r="HG24" i="18" s="1"/>
  <c r="HK23" i="18"/>
  <c r="HE23" i="18"/>
  <c r="HL23" i="18" s="1"/>
  <c r="HF23" i="18" s="1"/>
  <c r="HG23" i="18" s="1"/>
  <c r="HE27" i="18"/>
  <c r="HL27" i="18" s="1"/>
  <c r="HF27" i="18" s="1"/>
  <c r="HG27" i="18" s="1"/>
  <c r="HK27" i="18"/>
  <c r="HK14" i="18"/>
  <c r="HE14" i="18"/>
  <c r="HL14" i="18" s="1"/>
  <c r="HF14" i="18" s="1"/>
  <c r="HG14" i="18" s="1"/>
  <c r="HK18" i="18"/>
  <c r="HE18" i="18"/>
  <c r="HL18" i="18" s="1"/>
  <c r="HF18" i="18" s="1"/>
  <c r="HG18" i="18" s="1"/>
  <c r="HK12" i="18"/>
  <c r="HE12" i="18"/>
  <c r="HL12" i="18" s="1"/>
  <c r="HF12" i="18" s="1"/>
  <c r="HG12" i="18" s="1"/>
  <c r="HK11" i="18"/>
  <c r="HE11" i="18"/>
  <c r="HL11" i="18" s="1"/>
  <c r="HF11" i="18" s="1"/>
  <c r="HG11" i="18" s="1"/>
  <c r="HK20" i="18"/>
  <c r="HE20" i="18"/>
  <c r="HL20" i="18" s="1"/>
  <c r="HF20" i="18" s="1"/>
  <c r="HG20" i="18" s="1"/>
  <c r="HK19" i="18"/>
  <c r="HE19" i="18"/>
  <c r="HL19" i="18" s="1"/>
  <c r="HF19" i="18" s="1"/>
  <c r="HG19" i="18" s="1"/>
  <c r="HK17" i="18"/>
  <c r="HE17" i="18"/>
  <c r="HL17" i="18" s="1"/>
  <c r="HF17" i="18" s="1"/>
  <c r="HG17" i="18" s="1"/>
  <c r="HK22" i="18"/>
  <c r="HE22" i="18"/>
  <c r="HL22" i="18" s="1"/>
  <c r="HF22" i="18" s="1"/>
  <c r="HG22" i="18" s="1"/>
  <c r="HE21" i="18"/>
  <c r="HL21" i="18" s="1"/>
  <c r="HF21" i="18" s="1"/>
  <c r="HG21" i="18" s="1"/>
  <c r="HK21" i="18"/>
  <c r="HK28" i="18"/>
  <c r="HE28" i="18"/>
  <c r="HL28" i="18" s="1"/>
  <c r="HF28" i="18" s="1"/>
  <c r="HG28" i="18" s="1"/>
  <c r="W19" i="18"/>
  <c r="BP13" i="18"/>
  <c r="BJ13" i="18"/>
  <c r="BQ13" i="18" s="1"/>
  <c r="BK13" i="18" s="1"/>
  <c r="BL13" i="18" s="1"/>
  <c r="W20" i="18"/>
  <c r="HS31" i="10"/>
  <c r="HM31" i="10"/>
  <c r="HT31" i="10" s="1"/>
  <c r="HN31" i="10" s="1"/>
  <c r="HO31" i="10" s="1"/>
  <c r="HS33" i="10"/>
  <c r="HM33" i="10"/>
  <c r="HT33" i="10" s="1"/>
  <c r="HN33" i="10" s="1"/>
  <c r="HO33" i="10" s="1"/>
  <c r="HM32" i="10"/>
  <c r="HT32" i="10" s="1"/>
  <c r="HN32" i="10" s="1"/>
  <c r="HO32" i="10" s="1"/>
  <c r="HS32" i="10"/>
  <c r="GT28" i="10"/>
  <c r="GN28" i="10"/>
  <c r="GU28" i="10" s="1"/>
  <c r="GO28" i="10" s="1"/>
  <c r="GP28" i="10" s="1"/>
  <c r="GT32" i="10"/>
  <c r="GN32" i="10"/>
  <c r="GU32" i="10" s="1"/>
  <c r="GO32" i="10" s="1"/>
  <c r="GP32" i="10" s="1"/>
  <c r="GN31" i="10"/>
  <c r="GU31" i="10" s="1"/>
  <c r="GO31" i="10" s="1"/>
  <c r="GP31" i="10" s="1"/>
  <c r="GT31" i="10"/>
  <c r="GN29" i="10"/>
  <c r="GU29" i="10" s="1"/>
  <c r="GO29" i="10" s="1"/>
  <c r="GP29" i="10" s="1"/>
  <c r="GT29" i="10"/>
  <c r="GT30" i="10"/>
  <c r="GN30" i="10"/>
  <c r="GU30" i="10" s="1"/>
  <c r="GO30" i="10" s="1"/>
  <c r="GP30" i="10" s="1"/>
  <c r="GN27" i="10"/>
  <c r="GU27" i="10" s="1"/>
  <c r="GO27" i="10" s="1"/>
  <c r="GP27" i="10" s="1"/>
  <c r="GT27" i="10"/>
  <c r="HK27" i="10"/>
  <c r="AH27" i="10"/>
  <c r="AO27" i="10" s="1"/>
  <c r="AI27" i="10" s="1"/>
  <c r="AJ27" i="10" s="1"/>
  <c r="AN27" i="10"/>
  <c r="AH30" i="10"/>
  <c r="AO30" i="10" s="1"/>
  <c r="AI30" i="10" s="1"/>
  <c r="AJ30" i="10" s="1"/>
  <c r="AN30" i="10"/>
  <c r="AH28" i="10"/>
  <c r="AO28" i="10" s="1"/>
  <c r="AI28" i="10" s="1"/>
  <c r="AJ28" i="10" s="1"/>
  <c r="AN28" i="10"/>
  <c r="HK29" i="10"/>
  <c r="AH29" i="10"/>
  <c r="AO29" i="10" s="1"/>
  <c r="AI29" i="10" s="1"/>
  <c r="AJ29" i="10" s="1"/>
  <c r="AN29" i="10"/>
  <c r="L10" i="30"/>
  <c r="H1505" i="31" s="1"/>
  <c r="BA14" i="18"/>
  <c r="JJ14" i="18"/>
  <c r="JN13" i="18"/>
  <c r="JZ13" i="18" s="1"/>
  <c r="KA13" i="18" s="1"/>
  <c r="JL13" i="18"/>
  <c r="P15" i="30"/>
  <c r="H1720" i="31" s="1"/>
  <c r="KI16" i="20"/>
  <c r="JU18" i="20"/>
  <c r="JR21" i="21"/>
  <c r="JU20" i="18"/>
  <c r="MC20" i="10"/>
  <c r="DX13" i="20"/>
  <c r="DY13" i="20" s="1"/>
  <c r="EA13" i="20" s="1"/>
  <c r="EC13" i="20" s="1"/>
  <c r="ED13" i="20" s="1"/>
  <c r="EE13" i="20" s="1"/>
  <c r="DM12" i="18"/>
  <c r="EF11" i="20"/>
  <c r="K10" i="30"/>
  <c r="H1475" i="31" s="1"/>
  <c r="EV18" i="20"/>
  <c r="EW18" i="20" s="1"/>
  <c r="EX18" i="20" s="1"/>
  <c r="EY18" i="20" s="1"/>
  <c r="EJ19" i="20"/>
  <c r="EK19" i="20" s="1"/>
  <c r="EN19" i="20" s="1"/>
  <c r="KI27" i="10"/>
  <c r="P27" i="25" s="1"/>
  <c r="H412" i="31" s="1"/>
  <c r="DE17" i="18"/>
  <c r="DF17" i="18" s="1"/>
  <c r="DG16" i="10"/>
  <c r="DH16" i="10" s="1"/>
  <c r="DI16" i="10" s="1"/>
  <c r="DO13" i="21"/>
  <c r="DQ13" i="21"/>
  <c r="DR13" i="21"/>
  <c r="DS13" i="21" s="1"/>
  <c r="DT13" i="21" s="1"/>
  <c r="DU13" i="21" s="1"/>
  <c r="J13" i="29" s="1"/>
  <c r="H1058" i="31" s="1"/>
  <c r="DC16" i="21"/>
  <c r="CB21" i="18"/>
  <c r="DX12" i="18"/>
  <c r="EL18" i="20"/>
  <c r="DG15" i="21"/>
  <c r="EA13" i="21"/>
  <c r="CS17" i="21"/>
  <c r="BZ17" i="10"/>
  <c r="CA17" i="10" s="1"/>
  <c r="CC17" i="10" s="1"/>
  <c r="CD17" i="10" s="1"/>
  <c r="CE17" i="10" s="1"/>
  <c r="DF16" i="10"/>
  <c r="HE2" i="10"/>
  <c r="BI20" i="18"/>
  <c r="BH20" i="18"/>
  <c r="CC21" i="21"/>
  <c r="CD21" i="21" s="1"/>
  <c r="CE21" i="21" s="1"/>
  <c r="CI36" i="21"/>
  <c r="CJ36" i="21" s="1"/>
  <c r="CL36" i="21" s="1"/>
  <c r="CB21" i="21"/>
  <c r="BF20" i="21"/>
  <c r="BG20" i="21" s="1"/>
  <c r="FB19" i="20"/>
  <c r="FD19" i="20" s="1"/>
  <c r="FE19" i="20" s="1"/>
  <c r="FF19" i="20" s="1"/>
  <c r="FG19" i="20" s="1"/>
  <c r="FH19" i="20" s="1"/>
  <c r="FK19" i="20"/>
  <c r="FM19" i="20" s="1"/>
  <c r="FN19" i="20" s="1"/>
  <c r="FO19" i="20" s="1"/>
  <c r="FP19" i="20" s="1"/>
  <c r="FQ19" i="20" s="1"/>
  <c r="FU18" i="20"/>
  <c r="HF2" i="10"/>
  <c r="HG2" i="10"/>
  <c r="DM13" i="20"/>
  <c r="DN13" i="20" s="1"/>
  <c r="DS10" i="20"/>
  <c r="DT10" i="20" s="1"/>
  <c r="DU10" i="20" s="1"/>
  <c r="DH10" i="20"/>
  <c r="DI10" i="20" s="1"/>
  <c r="DJ10" i="20" s="1"/>
  <c r="DF16" i="20"/>
  <c r="DC17" i="20" s="1"/>
  <c r="DG16" i="20"/>
  <c r="DH16" i="20" s="1"/>
  <c r="DI16" i="20" s="1"/>
  <c r="CN10" i="20"/>
  <c r="CO10" i="20" s="1"/>
  <c r="CP10" i="20" s="1"/>
  <c r="CX10" i="20"/>
  <c r="CY10" i="20" s="1"/>
  <c r="CZ10" i="20" s="1"/>
  <c r="CS16" i="20"/>
  <c r="CK16" i="20"/>
  <c r="CM16" i="20" s="1"/>
  <c r="CN16" i="20" s="1"/>
  <c r="CO16" i="20" s="1"/>
  <c r="BZ18" i="20"/>
  <c r="CA18" i="20" s="1"/>
  <c r="CC18" i="20" s="1"/>
  <c r="CD18" i="20" s="1"/>
  <c r="CE18" i="20" s="1"/>
  <c r="BT10" i="20"/>
  <c r="BU10" i="20" s="1"/>
  <c r="BV10" i="20" s="1"/>
  <c r="CD10" i="20"/>
  <c r="CE10" i="20" s="1"/>
  <c r="CF10" i="20" s="1"/>
  <c r="BE20" i="20"/>
  <c r="BF20" i="20" s="1"/>
  <c r="BG20" i="20" s="1"/>
  <c r="BI20" i="20" s="1"/>
  <c r="BT20" i="20" s="1"/>
  <c r="BU20" i="20" s="1"/>
  <c r="N11" i="29"/>
  <c r="H1176" i="31" s="1"/>
  <c r="EM25" i="21"/>
  <c r="L11" i="29"/>
  <c r="H1116" i="31" s="1"/>
  <c r="FO10" i="21"/>
  <c r="FP10" i="21" s="1"/>
  <c r="FQ10" i="21" s="1"/>
  <c r="EW10" i="21"/>
  <c r="EX10" i="21" s="1"/>
  <c r="EY10" i="21" s="1"/>
  <c r="FX10" i="21"/>
  <c r="FY10" i="21" s="1"/>
  <c r="FZ10" i="21" s="1"/>
  <c r="FF10" i="21"/>
  <c r="FG10" i="21" s="1"/>
  <c r="FH10" i="21" s="1"/>
  <c r="FC11" i="21"/>
  <c r="FU11" i="21"/>
  <c r="EL12" i="21"/>
  <c r="FL11" i="21"/>
  <c r="HK30" i="10"/>
  <c r="HK28" i="10"/>
  <c r="EL8" i="18"/>
  <c r="FL8" i="18" s="1"/>
  <c r="HL30" i="10"/>
  <c r="FS10" i="18"/>
  <c r="FA10" i="18"/>
  <c r="FJ10" i="18"/>
  <c r="EW12" i="18"/>
  <c r="EX12" i="18" s="1"/>
  <c r="FF12" i="18"/>
  <c r="FG12" i="18" s="1"/>
  <c r="FX12" i="18"/>
  <c r="FY12" i="18" s="1"/>
  <c r="FO12" i="18"/>
  <c r="FP12" i="18" s="1"/>
  <c r="FK8" i="18"/>
  <c r="FT8" i="18"/>
  <c r="FB8" i="18"/>
  <c r="FT9" i="18"/>
  <c r="FB9" i="18"/>
  <c r="FK9" i="18"/>
  <c r="EO14" i="18"/>
  <c r="AY14" i="18"/>
  <c r="AW15" i="18"/>
  <c r="AY8" i="18"/>
  <c r="EP8" i="18"/>
  <c r="EU8" i="18" s="1"/>
  <c r="EU13" i="18"/>
  <c r="ET13" i="18"/>
  <c r="EJ15" i="18"/>
  <c r="EJ13" i="18"/>
  <c r="EJ11" i="18"/>
  <c r="EJ12" i="18"/>
  <c r="EK10" i="18"/>
  <c r="EJ14" i="18"/>
  <c r="C103" i="9"/>
  <c r="C106" i="9"/>
  <c r="AW11" i="10"/>
  <c r="KE22" i="18" l="1"/>
  <c r="KE35" i="18"/>
  <c r="KF36" i="18"/>
  <c r="KE36" i="18"/>
  <c r="KE34" i="18"/>
  <c r="KB23" i="18"/>
  <c r="KF23" i="18" s="1"/>
  <c r="KB27" i="18"/>
  <c r="KE27" i="18" s="1"/>
  <c r="BV15" i="21"/>
  <c r="BV16" i="21" s="1"/>
  <c r="BV17" i="21" s="1"/>
  <c r="E17" i="29" s="1"/>
  <c r="H912" i="31" s="1"/>
  <c r="KF35" i="18"/>
  <c r="KB18" i="18"/>
  <c r="KE18" i="18" s="1"/>
  <c r="KB19" i="18"/>
  <c r="KF19" i="18" s="1"/>
  <c r="KG19" i="18" s="1"/>
  <c r="KH19" i="18" s="1"/>
  <c r="KB30" i="18"/>
  <c r="KE30" i="18" s="1"/>
  <c r="KB31" i="18"/>
  <c r="KE31" i="18" s="1"/>
  <c r="KB26" i="18"/>
  <c r="KF26" i="18" s="1"/>
  <c r="IJ8" i="18"/>
  <c r="IK8" i="18" s="1"/>
  <c r="BT11" i="18"/>
  <c r="BU11" i="18" s="1"/>
  <c r="BS24" i="18"/>
  <c r="GS15" i="18"/>
  <c r="II8" i="18"/>
  <c r="CN11" i="18"/>
  <c r="CO11" i="18" s="1"/>
  <c r="BS27" i="18"/>
  <c r="II21" i="18"/>
  <c r="IH14" i="18"/>
  <c r="ED11" i="18"/>
  <c r="EE11" i="18" s="1"/>
  <c r="IH21" i="18"/>
  <c r="IJ18" i="18"/>
  <c r="IK18" i="18" s="1"/>
  <c r="DH11" i="18"/>
  <c r="DI11" i="18" s="1"/>
  <c r="GR31" i="18"/>
  <c r="IH18" i="18"/>
  <c r="DS11" i="18"/>
  <c r="DT11" i="18" s="1"/>
  <c r="CD11" i="18"/>
  <c r="CE11" i="18" s="1"/>
  <c r="GS31" i="18"/>
  <c r="GT22" i="18"/>
  <c r="GU22" i="18" s="1"/>
  <c r="GR10" i="18"/>
  <c r="GS22" i="18"/>
  <c r="KE29" i="18"/>
  <c r="KF29" i="18"/>
  <c r="KE12" i="18"/>
  <c r="KF12" i="18"/>
  <c r="KG12" i="18" s="1"/>
  <c r="KH12" i="18" s="1"/>
  <c r="KI12" i="18" s="1"/>
  <c r="P12" i="28" s="1"/>
  <c r="H1657" i="31" s="1"/>
  <c r="KE28" i="18"/>
  <c r="KF28" i="18"/>
  <c r="KE24" i="18"/>
  <c r="KF24" i="18"/>
  <c r="GS10" i="18"/>
  <c r="KE25" i="18"/>
  <c r="KF25" i="18"/>
  <c r="X12" i="21"/>
  <c r="C12" i="29" s="1"/>
  <c r="H847" i="31" s="1"/>
  <c r="X11" i="20"/>
  <c r="C11" i="30" s="1"/>
  <c r="H1236" i="31" s="1"/>
  <c r="N10" i="30"/>
  <c r="H1565" i="31" s="1"/>
  <c r="DH15" i="21"/>
  <c r="DI15" i="21" s="1"/>
  <c r="DJ15" i="21" s="1"/>
  <c r="I15" i="29" s="1"/>
  <c r="H1030" i="31" s="1"/>
  <c r="CN15" i="21"/>
  <c r="CO15" i="21" s="1"/>
  <c r="CP15" i="21" s="1"/>
  <c r="G15" i="29" s="1"/>
  <c r="H970" i="31" s="1"/>
  <c r="CD15" i="21"/>
  <c r="CE15" i="21" s="1"/>
  <c r="CF15" i="21" s="1"/>
  <c r="CF16" i="21" s="1"/>
  <c r="F16" i="29" s="1"/>
  <c r="H941" i="31" s="1"/>
  <c r="CX15" i="21"/>
  <c r="CY15" i="21" s="1"/>
  <c r="CZ15" i="21" s="1"/>
  <c r="H15" i="29" s="1"/>
  <c r="H1000" i="31" s="1"/>
  <c r="D7" i="29"/>
  <c r="H872" i="31" s="1"/>
  <c r="M7" i="29"/>
  <c r="H1142" i="31" s="1"/>
  <c r="O7" i="29"/>
  <c r="H1202" i="31" s="1"/>
  <c r="GT14" i="18"/>
  <c r="GU14" i="18" s="1"/>
  <c r="IZ11" i="18"/>
  <c r="JC11" i="18" s="1"/>
  <c r="GR14" i="18"/>
  <c r="IZ26" i="18"/>
  <c r="JC26" i="18" s="1"/>
  <c r="IZ18" i="18"/>
  <c r="JD18" i="18" s="1"/>
  <c r="IZ15" i="18"/>
  <c r="JD15" i="18" s="1"/>
  <c r="IJ22" i="18"/>
  <c r="IK22" i="18" s="1"/>
  <c r="IE34" i="18"/>
  <c r="IH34" i="18" s="1"/>
  <c r="IZ14" i="18"/>
  <c r="JC14" i="18" s="1"/>
  <c r="IZ35" i="18"/>
  <c r="IZ19" i="18"/>
  <c r="IZ31" i="18"/>
  <c r="IZ30" i="18"/>
  <c r="IZ33" i="18"/>
  <c r="IZ24" i="18"/>
  <c r="IZ28" i="18"/>
  <c r="IZ29" i="18"/>
  <c r="IH22" i="18"/>
  <c r="II14" i="18"/>
  <c r="IJ10" i="18"/>
  <c r="IK10" i="18" s="1"/>
  <c r="IZ32" i="18"/>
  <c r="JC21" i="18"/>
  <c r="JD21" i="18"/>
  <c r="JE21" i="18"/>
  <c r="JF21" i="18" s="1"/>
  <c r="IZ27" i="18"/>
  <c r="IZ23" i="18"/>
  <c r="IE36" i="18"/>
  <c r="IH36" i="18" s="1"/>
  <c r="IH10" i="18"/>
  <c r="JC16" i="18"/>
  <c r="JD16" i="18"/>
  <c r="IZ13" i="18"/>
  <c r="IZ17" i="18"/>
  <c r="JC20" i="18"/>
  <c r="JD20" i="18"/>
  <c r="JE20" i="18"/>
  <c r="JF20" i="18" s="1"/>
  <c r="IZ12" i="18"/>
  <c r="IZ25" i="18"/>
  <c r="AR18" i="18"/>
  <c r="AS18" i="18" s="1"/>
  <c r="JD22" i="18"/>
  <c r="JC22" i="18"/>
  <c r="JE22" i="18"/>
  <c r="JF22" i="18" s="1"/>
  <c r="IZ34" i="18"/>
  <c r="IZ36" i="18"/>
  <c r="JE16" i="18"/>
  <c r="JF16" i="18" s="1"/>
  <c r="GT30" i="18"/>
  <c r="GU30" i="18" s="1"/>
  <c r="HO34" i="18"/>
  <c r="HP34" i="18" s="1"/>
  <c r="IE29" i="18"/>
  <c r="IJ29" i="18" s="1"/>
  <c r="IK29" i="18" s="1"/>
  <c r="IE24" i="18"/>
  <c r="IJ24" i="18" s="1"/>
  <c r="IK24" i="18" s="1"/>
  <c r="II11" i="18"/>
  <c r="IE31" i="18"/>
  <c r="IH31" i="18" s="1"/>
  <c r="BT17" i="18"/>
  <c r="BU17" i="18" s="1"/>
  <c r="IE28" i="18"/>
  <c r="II28" i="18" s="1"/>
  <c r="IE30" i="18"/>
  <c r="II30" i="18" s="1"/>
  <c r="IE33" i="18"/>
  <c r="IJ33" i="18" s="1"/>
  <c r="IK33" i="18" s="1"/>
  <c r="IH11" i="18"/>
  <c r="IE35" i="18"/>
  <c r="II35" i="18" s="1"/>
  <c r="BS21" i="18"/>
  <c r="CD21" i="18" s="1"/>
  <c r="CE21" i="18" s="1"/>
  <c r="BS18" i="18"/>
  <c r="BT18" i="18" s="1"/>
  <c r="BU18" i="18" s="1"/>
  <c r="IE23" i="18"/>
  <c r="IE32" i="18"/>
  <c r="II15" i="18"/>
  <c r="IH15" i="18"/>
  <c r="IJ15" i="18"/>
  <c r="IK15" i="18" s="1"/>
  <c r="GR27" i="18"/>
  <c r="IH16" i="18"/>
  <c r="II16" i="18"/>
  <c r="IJ16" i="18"/>
  <c r="IK16" i="18" s="1"/>
  <c r="IH17" i="18"/>
  <c r="II17" i="18"/>
  <c r="IJ17" i="18"/>
  <c r="IK17" i="18" s="1"/>
  <c r="IE27" i="18"/>
  <c r="AP20" i="18"/>
  <c r="GS27" i="18"/>
  <c r="HM34" i="18"/>
  <c r="IH7" i="18"/>
  <c r="II7" i="18"/>
  <c r="IJ7" i="18"/>
  <c r="IK7" i="18" s="1"/>
  <c r="IL7" i="18" s="1"/>
  <c r="IE25" i="18"/>
  <c r="IE26" i="18"/>
  <c r="II19" i="18"/>
  <c r="IH19" i="18"/>
  <c r="IJ19" i="18"/>
  <c r="IK19" i="18" s="1"/>
  <c r="IH9" i="18"/>
  <c r="II9" i="18"/>
  <c r="IJ9" i="18"/>
  <c r="IK9" i="18" s="1"/>
  <c r="IH13" i="18"/>
  <c r="II13" i="18"/>
  <c r="IJ13" i="18"/>
  <c r="IK13" i="18" s="1"/>
  <c r="HJ22" i="18"/>
  <c r="HN22" i="18" s="1"/>
  <c r="AQ13" i="18"/>
  <c r="IH20" i="18"/>
  <c r="II20" i="18"/>
  <c r="IJ20" i="18"/>
  <c r="IK20" i="18" s="1"/>
  <c r="BS30" i="18"/>
  <c r="GS11" i="18"/>
  <c r="GT34" i="18"/>
  <c r="GU34" i="18" s="1"/>
  <c r="AQ18" i="18"/>
  <c r="HJ30" i="18"/>
  <c r="HM30" i="18" s="1"/>
  <c r="HJ29" i="18"/>
  <c r="HM29" i="18" s="1"/>
  <c r="HJ18" i="18"/>
  <c r="HN18" i="18" s="1"/>
  <c r="HJ27" i="18"/>
  <c r="HO27" i="18" s="1"/>
  <c r="HP27" i="18" s="1"/>
  <c r="AP29" i="18"/>
  <c r="HJ14" i="18"/>
  <c r="HO14" i="18" s="1"/>
  <c r="HP14" i="18" s="1"/>
  <c r="HJ26" i="18"/>
  <c r="HO26" i="18" s="1"/>
  <c r="HP26" i="18" s="1"/>
  <c r="AQ24" i="18"/>
  <c r="AQ29" i="18"/>
  <c r="GR35" i="18"/>
  <c r="GR30" i="18"/>
  <c r="AP24" i="18"/>
  <c r="GS35" i="18"/>
  <c r="HJ24" i="18"/>
  <c r="HM24" i="18" s="1"/>
  <c r="HN26" i="18"/>
  <c r="HM36" i="18"/>
  <c r="HN36" i="18"/>
  <c r="HO36" i="18"/>
  <c r="HP36" i="18" s="1"/>
  <c r="W15" i="18"/>
  <c r="HJ23" i="18"/>
  <c r="GR11" i="18"/>
  <c r="HM33" i="18"/>
  <c r="HN33" i="18"/>
  <c r="HO33" i="18"/>
  <c r="HP33" i="18" s="1"/>
  <c r="HJ25" i="18"/>
  <c r="HJ13" i="18"/>
  <c r="HJ21" i="18"/>
  <c r="HJ19" i="18"/>
  <c r="HJ11" i="18"/>
  <c r="BS23" i="18"/>
  <c r="BS22" i="18"/>
  <c r="GR34" i="18"/>
  <c r="HM31" i="18"/>
  <c r="HN31" i="18"/>
  <c r="HO31" i="18"/>
  <c r="HP31" i="18" s="1"/>
  <c r="HJ28" i="18"/>
  <c r="HM32" i="18"/>
  <c r="HN32" i="18"/>
  <c r="HO32" i="18"/>
  <c r="HP32" i="18" s="1"/>
  <c r="HJ12" i="18"/>
  <c r="HJ15" i="18"/>
  <c r="HJ20" i="18"/>
  <c r="HM35" i="18"/>
  <c r="HN35" i="18"/>
  <c r="HO35" i="18"/>
  <c r="HP35" i="18" s="1"/>
  <c r="HM16" i="18"/>
  <c r="HN16" i="18"/>
  <c r="HJ17" i="18"/>
  <c r="HO16" i="18"/>
  <c r="HP16" i="18" s="1"/>
  <c r="GR16" i="18"/>
  <c r="GS16" i="18"/>
  <c r="GT16" i="18"/>
  <c r="GU16" i="18" s="1"/>
  <c r="GS26" i="18"/>
  <c r="GR26" i="18"/>
  <c r="GT26" i="18"/>
  <c r="GU26" i="18" s="1"/>
  <c r="GS7" i="18"/>
  <c r="GR7" i="18"/>
  <c r="GT7" i="18"/>
  <c r="GU7" i="18" s="1"/>
  <c r="GV7" i="18" s="1"/>
  <c r="BR25" i="18"/>
  <c r="BS25" i="18"/>
  <c r="GR8" i="18"/>
  <c r="GS8" i="18"/>
  <c r="GT8" i="18"/>
  <c r="GU8" i="18" s="1"/>
  <c r="GR25" i="18"/>
  <c r="GS25" i="18"/>
  <c r="GT25" i="18"/>
  <c r="GU25" i="18" s="1"/>
  <c r="AR30" i="18"/>
  <c r="AS30" i="18" s="1"/>
  <c r="GR19" i="18"/>
  <c r="GS19" i="18"/>
  <c r="GT19" i="18"/>
  <c r="GU19" i="18" s="1"/>
  <c r="GR32" i="18"/>
  <c r="GS32" i="18"/>
  <c r="GT32" i="18"/>
  <c r="GU32" i="18" s="1"/>
  <c r="GR20" i="18"/>
  <c r="GS20" i="18"/>
  <c r="GT20" i="18"/>
  <c r="GU20" i="18" s="1"/>
  <c r="GR33" i="18"/>
  <c r="GS33" i="18"/>
  <c r="GT33" i="18"/>
  <c r="GU33" i="18" s="1"/>
  <c r="AP30" i="18"/>
  <c r="GR9" i="18"/>
  <c r="GS9" i="18"/>
  <c r="GT9" i="18"/>
  <c r="GU9" i="18" s="1"/>
  <c r="GR36" i="18"/>
  <c r="GS36" i="18"/>
  <c r="GT36" i="18"/>
  <c r="GU36" i="18" s="1"/>
  <c r="GR28" i="18"/>
  <c r="GS28" i="18"/>
  <c r="GT28" i="18"/>
  <c r="GU28" i="18" s="1"/>
  <c r="GS23" i="18"/>
  <c r="GR23" i="18"/>
  <c r="GT23" i="18"/>
  <c r="GU23" i="18" s="1"/>
  <c r="GR24" i="18"/>
  <c r="GS24" i="18"/>
  <c r="GT24" i="18"/>
  <c r="GU24" i="18" s="1"/>
  <c r="GS18" i="18"/>
  <c r="GR18" i="18"/>
  <c r="GT18" i="18"/>
  <c r="GU18" i="18" s="1"/>
  <c r="GR13" i="18"/>
  <c r="GS13" i="18"/>
  <c r="GT13" i="18"/>
  <c r="GU13" i="18" s="1"/>
  <c r="GR29" i="18"/>
  <c r="GS29" i="18"/>
  <c r="GT29" i="18"/>
  <c r="GU29" i="18" s="1"/>
  <c r="GR21" i="18"/>
  <c r="GS21" i="18"/>
  <c r="GT21" i="18"/>
  <c r="GU21" i="18" s="1"/>
  <c r="GR17" i="18"/>
  <c r="GS17" i="18"/>
  <c r="GT17" i="18"/>
  <c r="GU17" i="18" s="1"/>
  <c r="BR35" i="18"/>
  <c r="BS35" i="18"/>
  <c r="BR20" i="18"/>
  <c r="BS20" i="18"/>
  <c r="CD20" i="18" s="1"/>
  <c r="CE20" i="18" s="1"/>
  <c r="AR22" i="18"/>
  <c r="BR34" i="18"/>
  <c r="BS34" i="18"/>
  <c r="AQ20" i="18"/>
  <c r="AP13" i="18"/>
  <c r="AP14" i="18"/>
  <c r="BR33" i="18"/>
  <c r="BS33" i="18"/>
  <c r="BO13" i="18"/>
  <c r="BR32" i="18"/>
  <c r="BS32" i="18"/>
  <c r="BR26" i="18"/>
  <c r="BS26" i="18"/>
  <c r="BR36" i="18"/>
  <c r="BS36" i="18"/>
  <c r="AQ26" i="18"/>
  <c r="BR12" i="18"/>
  <c r="BS12" i="18"/>
  <c r="CX12" i="18" s="1"/>
  <c r="CY12" i="18" s="1"/>
  <c r="BR31" i="18"/>
  <c r="BS31" i="18"/>
  <c r="BM14" i="18"/>
  <c r="BN14" i="18" s="1"/>
  <c r="AR14" i="18"/>
  <c r="BR28" i="18"/>
  <c r="BS28" i="18"/>
  <c r="BR19" i="18"/>
  <c r="BS19" i="18"/>
  <c r="BT19" i="18" s="1"/>
  <c r="BU19" i="18" s="1"/>
  <c r="BR29" i="18"/>
  <c r="BS29" i="18"/>
  <c r="AP25" i="18"/>
  <c r="AP26" i="18"/>
  <c r="AP22" i="18"/>
  <c r="W17" i="18"/>
  <c r="AQ25" i="18"/>
  <c r="W7" i="18"/>
  <c r="AS16" i="18"/>
  <c r="AP12" i="18"/>
  <c r="AQ12" i="18"/>
  <c r="AR12" i="18"/>
  <c r="AP11" i="18"/>
  <c r="AQ11" i="18"/>
  <c r="AR11" i="18"/>
  <c r="AQ23" i="18"/>
  <c r="AP23" i="18"/>
  <c r="AR23" i="18"/>
  <c r="AS23" i="18" s="1"/>
  <c r="AP28" i="18"/>
  <c r="AQ28" i="18"/>
  <c r="AR28" i="18"/>
  <c r="AS28" i="18" s="1"/>
  <c r="AQ17" i="18"/>
  <c r="AP17" i="18"/>
  <c r="AR17" i="18"/>
  <c r="AQ21" i="18"/>
  <c r="AP21" i="18"/>
  <c r="AR21" i="18"/>
  <c r="AS21" i="18" s="1"/>
  <c r="AP27" i="18"/>
  <c r="AQ27" i="18"/>
  <c r="AR27" i="18"/>
  <c r="AQ15" i="18"/>
  <c r="AP15" i="18"/>
  <c r="AR15" i="18"/>
  <c r="AQ19" i="18"/>
  <c r="AP19" i="18"/>
  <c r="AR19" i="18"/>
  <c r="W9" i="18"/>
  <c r="W16" i="18"/>
  <c r="W22" i="18"/>
  <c r="W28" i="18"/>
  <c r="W18" i="18"/>
  <c r="W11" i="18"/>
  <c r="W13" i="18"/>
  <c r="W10" i="18"/>
  <c r="AP33" i="10"/>
  <c r="GS30" i="10"/>
  <c r="GW30" i="10" s="1"/>
  <c r="HR33" i="10"/>
  <c r="HU33" i="10" s="1"/>
  <c r="HR31" i="10"/>
  <c r="HU31" i="10" s="1"/>
  <c r="HP28" i="10"/>
  <c r="HQ28" i="10" s="1"/>
  <c r="HP30" i="10"/>
  <c r="HQ30" i="10" s="1"/>
  <c r="HR32" i="10"/>
  <c r="HP29" i="10"/>
  <c r="HQ29" i="10" s="1"/>
  <c r="HP27" i="10"/>
  <c r="HQ27" i="10" s="1"/>
  <c r="GS32" i="10"/>
  <c r="GX32" i="10" s="1"/>
  <c r="GY32" i="10" s="1"/>
  <c r="GS27" i="10"/>
  <c r="GS31" i="10"/>
  <c r="GS28" i="10"/>
  <c r="GS29" i="10"/>
  <c r="AR34" i="10"/>
  <c r="AS34" i="10" s="1"/>
  <c r="AQ34" i="10"/>
  <c r="AM27" i="10"/>
  <c r="AR27" i="10" s="1"/>
  <c r="AM30" i="10"/>
  <c r="AR30" i="10" s="1"/>
  <c r="AP32" i="10"/>
  <c r="AQ32" i="10"/>
  <c r="AM29" i="10"/>
  <c r="AP31" i="10"/>
  <c r="AQ31" i="10"/>
  <c r="AR31" i="10"/>
  <c r="AS31" i="10" s="1"/>
  <c r="AM28" i="10"/>
  <c r="AR32" i="10"/>
  <c r="AS32" i="10" s="1"/>
  <c r="P15" i="29"/>
  <c r="H1690" i="31" s="1"/>
  <c r="AS20" i="18"/>
  <c r="JW13" i="18"/>
  <c r="KD13" i="18" s="1"/>
  <c r="JX13" i="18" s="1"/>
  <c r="JY13" i="18" s="1"/>
  <c r="KB13" i="18" s="1"/>
  <c r="KC13" i="18"/>
  <c r="L11" i="30"/>
  <c r="H1506" i="31" s="1"/>
  <c r="N11" i="30"/>
  <c r="H1566" i="31" s="1"/>
  <c r="BJ14" i="18"/>
  <c r="BQ14" i="18" s="1"/>
  <c r="BK14" i="18" s="1"/>
  <c r="BL14" i="18" s="1"/>
  <c r="BP14" i="18"/>
  <c r="AS29" i="18"/>
  <c r="AS13" i="18"/>
  <c r="HM30" i="10"/>
  <c r="HT30" i="10" s="1"/>
  <c r="HN30" i="10" s="1"/>
  <c r="HO30" i="10" s="1"/>
  <c r="HS30" i="10"/>
  <c r="HS29" i="10"/>
  <c r="HM29" i="10"/>
  <c r="HT29" i="10" s="1"/>
  <c r="HN29" i="10" s="1"/>
  <c r="HO29" i="10" s="1"/>
  <c r="HS27" i="10"/>
  <c r="HM27" i="10"/>
  <c r="HT27" i="10" s="1"/>
  <c r="HN27" i="10" s="1"/>
  <c r="HO27" i="10" s="1"/>
  <c r="HM28" i="10"/>
  <c r="HT28" i="10" s="1"/>
  <c r="HN28" i="10" s="1"/>
  <c r="HO28" i="10" s="1"/>
  <c r="HS28" i="10"/>
  <c r="W30" i="10"/>
  <c r="W27" i="10"/>
  <c r="W29" i="10"/>
  <c r="JL14" i="18"/>
  <c r="JN14" i="18"/>
  <c r="JZ14" i="18" s="1"/>
  <c r="KA14" i="18" s="1"/>
  <c r="P16" i="29"/>
  <c r="H1691" i="31" s="1"/>
  <c r="KI17" i="21"/>
  <c r="BA15" i="18"/>
  <c r="JJ15" i="18"/>
  <c r="JR21" i="18"/>
  <c r="EB13" i="20"/>
  <c r="DN12" i="18"/>
  <c r="JS21" i="21"/>
  <c r="JR19" i="20"/>
  <c r="JS19" i="20" s="1"/>
  <c r="JT19" i="20" s="1"/>
  <c r="JV19" i="20" s="1"/>
  <c r="KG19" i="20" s="1"/>
  <c r="KH19" i="20" s="1"/>
  <c r="BA11" i="10"/>
  <c r="LR11" i="10"/>
  <c r="LZ21" i="10"/>
  <c r="P16" i="30"/>
  <c r="H1721" i="31" s="1"/>
  <c r="KI17" i="20"/>
  <c r="DZ13" i="20"/>
  <c r="CP11" i="20"/>
  <c r="G10" i="30"/>
  <c r="H1355" i="31" s="1"/>
  <c r="DU11" i="20"/>
  <c r="J10" i="30"/>
  <c r="H1445" i="31" s="1"/>
  <c r="EF12" i="20"/>
  <c r="K12" i="30" s="1"/>
  <c r="H1477" i="31" s="1"/>
  <c r="K11" i="30"/>
  <c r="H1476" i="31" s="1"/>
  <c r="CF11" i="20"/>
  <c r="F10" i="30"/>
  <c r="H1325" i="31" s="1"/>
  <c r="BV11" i="20"/>
  <c r="E10" i="30"/>
  <c r="H1295" i="31" s="1"/>
  <c r="CZ11" i="20"/>
  <c r="H10" i="30"/>
  <c r="H1385" i="31" s="1"/>
  <c r="DJ11" i="20"/>
  <c r="I10" i="30"/>
  <c r="H1415" i="31" s="1"/>
  <c r="EV19" i="20"/>
  <c r="EW19" i="20" s="1"/>
  <c r="EX19" i="20" s="1"/>
  <c r="EY19" i="20" s="1"/>
  <c r="EJ20" i="20"/>
  <c r="EC13" i="21"/>
  <c r="ED13" i="21" s="1"/>
  <c r="EE13" i="21" s="1"/>
  <c r="EF13" i="21" s="1"/>
  <c r="K13" i="29" s="1"/>
  <c r="H1088" i="31" s="1"/>
  <c r="DD16" i="21"/>
  <c r="BT8" i="18"/>
  <c r="BU8" i="18" s="1"/>
  <c r="BV8" i="18" s="1"/>
  <c r="E8" i="28" s="1"/>
  <c r="H513" i="31" s="1"/>
  <c r="DH8" i="18"/>
  <c r="DI8" i="18" s="1"/>
  <c r="DJ8" i="18" s="1"/>
  <c r="I8" i="28" s="1"/>
  <c r="H633" i="31" s="1"/>
  <c r="CN8" i="18"/>
  <c r="CO8" i="18" s="1"/>
  <c r="CP8" i="18" s="1"/>
  <c r="G8" i="28" s="1"/>
  <c r="H573" i="31" s="1"/>
  <c r="ED8" i="18"/>
  <c r="EE8" i="18" s="1"/>
  <c r="EF8" i="18" s="1"/>
  <c r="K8" i="28" s="1"/>
  <c r="H693" i="31" s="1"/>
  <c r="DS8" i="18"/>
  <c r="DT8" i="18" s="1"/>
  <c r="DU8" i="18" s="1"/>
  <c r="J8" i="28" s="1"/>
  <c r="H663" i="31" s="1"/>
  <c r="CX8" i="18"/>
  <c r="CY8" i="18" s="1"/>
  <c r="CZ8" i="18" s="1"/>
  <c r="H8" i="28" s="1"/>
  <c r="H603" i="31" s="1"/>
  <c r="CD8" i="18"/>
  <c r="CE8" i="18" s="1"/>
  <c r="CF8" i="18" s="1"/>
  <c r="F8" i="28" s="1"/>
  <c r="H543" i="31" s="1"/>
  <c r="CB17" i="10"/>
  <c r="EL19" i="20"/>
  <c r="DZ13" i="21"/>
  <c r="DG17" i="18"/>
  <c r="DH17" i="18" s="1"/>
  <c r="DI17" i="18" s="1"/>
  <c r="KI28" i="10"/>
  <c r="P28" i="25" s="1"/>
  <c r="H413" i="31" s="1"/>
  <c r="DY12" i="18"/>
  <c r="EA12" i="18" s="1"/>
  <c r="BY22" i="18"/>
  <c r="CT17" i="21"/>
  <c r="CU17" i="21" s="1"/>
  <c r="CW17" i="21" s="1"/>
  <c r="CX17" i="21" s="1"/>
  <c r="CY17" i="21" s="1"/>
  <c r="EB13" i="21"/>
  <c r="DM14" i="21"/>
  <c r="DC17" i="10"/>
  <c r="DC18" i="18"/>
  <c r="EP9" i="18"/>
  <c r="EU9" i="18" s="1"/>
  <c r="FO9" i="18" s="1"/>
  <c r="FP9" i="18" s="1"/>
  <c r="BB9" i="18"/>
  <c r="BE21" i="18"/>
  <c r="BY22" i="21"/>
  <c r="BI20" i="21"/>
  <c r="BT20" i="21" s="1"/>
  <c r="BU20" i="21" s="1"/>
  <c r="BH20" i="21"/>
  <c r="FS19" i="20"/>
  <c r="FC19" i="20"/>
  <c r="FL19" i="20"/>
  <c r="DP13" i="20"/>
  <c r="DO13" i="20" s="1"/>
  <c r="DD17" i="20"/>
  <c r="DE17" i="20" s="1"/>
  <c r="CT16" i="20"/>
  <c r="CU16" i="20" s="1"/>
  <c r="CW16" i="20" s="1"/>
  <c r="CX16" i="20" s="1"/>
  <c r="CY16" i="20" s="1"/>
  <c r="CL16" i="20"/>
  <c r="CB18" i="20"/>
  <c r="BH20" i="20"/>
  <c r="N12" i="29"/>
  <c r="H1177" i="31" s="1"/>
  <c r="FZ11" i="21"/>
  <c r="FH11" i="21"/>
  <c r="EY11" i="21"/>
  <c r="FQ11" i="21"/>
  <c r="EL13" i="21"/>
  <c r="FC12" i="21"/>
  <c r="FL12" i="21"/>
  <c r="FU12" i="21"/>
  <c r="EM26" i="21"/>
  <c r="L12" i="29"/>
  <c r="H1117" i="31" s="1"/>
  <c r="FC8" i="18"/>
  <c r="AY9" i="18"/>
  <c r="FU8" i="18"/>
  <c r="EL9" i="18"/>
  <c r="FL9" i="18" s="1"/>
  <c r="EK12" i="18"/>
  <c r="FA12" i="18"/>
  <c r="FS12" i="18"/>
  <c r="FJ12" i="18"/>
  <c r="EK14" i="18"/>
  <c r="FB14" i="18" s="1"/>
  <c r="FS14" i="18"/>
  <c r="FT14" i="18" s="1"/>
  <c r="FA14" i="18"/>
  <c r="FJ14" i="18"/>
  <c r="FK14" i="18" s="1"/>
  <c r="EK11" i="18"/>
  <c r="FA11" i="18"/>
  <c r="FJ11" i="18"/>
  <c r="FS11" i="18"/>
  <c r="EW13" i="18"/>
  <c r="EX13" i="18" s="1"/>
  <c r="FX13" i="18"/>
  <c r="FY13" i="18" s="1"/>
  <c r="FO13" i="18"/>
  <c r="FP13" i="18" s="1"/>
  <c r="FF13" i="18"/>
  <c r="FG13" i="18" s="1"/>
  <c r="EK15" i="18"/>
  <c r="FB15" i="18" s="1"/>
  <c r="FJ15" i="18"/>
  <c r="FK15" i="18" s="1"/>
  <c r="FS15" i="18"/>
  <c r="FT15" i="18" s="1"/>
  <c r="FA15" i="18"/>
  <c r="FB10" i="18"/>
  <c r="FK10" i="18"/>
  <c r="FT10" i="18"/>
  <c r="EK13" i="18"/>
  <c r="FJ13" i="18"/>
  <c r="FS13" i="18"/>
  <c r="FA13" i="18"/>
  <c r="EW8" i="18"/>
  <c r="EX8" i="18" s="1"/>
  <c r="EY8" i="18" s="1"/>
  <c r="FF8" i="18"/>
  <c r="FG8" i="18" s="1"/>
  <c r="FH8" i="18" s="1"/>
  <c r="FX8" i="18"/>
  <c r="FY8" i="18" s="1"/>
  <c r="FZ8" i="18" s="1"/>
  <c r="FO8" i="18"/>
  <c r="FP8" i="18" s="1"/>
  <c r="FQ8" i="18" s="1"/>
  <c r="EO15" i="18"/>
  <c r="AY15" i="18"/>
  <c r="ET14" i="18"/>
  <c r="EU14" i="18"/>
  <c r="KF31" i="18" l="1"/>
  <c r="KE26" i="18"/>
  <c r="KF18" i="18"/>
  <c r="KG18" i="18" s="1"/>
  <c r="KH18" i="18" s="1"/>
  <c r="KE23" i="18"/>
  <c r="KE19" i="18"/>
  <c r="KF27" i="18"/>
  <c r="BV18" i="21"/>
  <c r="BV19" i="21" s="1"/>
  <c r="E19" i="29" s="1"/>
  <c r="H914" i="31" s="1"/>
  <c r="E15" i="29"/>
  <c r="H910" i="31" s="1"/>
  <c r="E16" i="29"/>
  <c r="H911" i="31" s="1"/>
  <c r="KF30" i="18"/>
  <c r="IL8" i="18"/>
  <c r="IL9" i="18" s="1"/>
  <c r="IL10" i="18" s="1"/>
  <c r="IL11" i="18" s="1"/>
  <c r="IL12" i="18" s="1"/>
  <c r="IL13" i="18" s="1"/>
  <c r="IL14" i="18" s="1"/>
  <c r="IL15" i="18" s="1"/>
  <c r="IL16" i="18" s="1"/>
  <c r="IL17" i="18" s="1"/>
  <c r="IL18" i="18" s="1"/>
  <c r="IL19" i="18" s="1"/>
  <c r="IL20" i="18" s="1"/>
  <c r="IL21" i="18" s="1"/>
  <c r="IL22" i="18" s="1"/>
  <c r="X13" i="21"/>
  <c r="C13" i="29" s="1"/>
  <c r="H848" i="31" s="1"/>
  <c r="BT12" i="18"/>
  <c r="BU12" i="18" s="1"/>
  <c r="JD14" i="18"/>
  <c r="CD18" i="18"/>
  <c r="CE18" i="18" s="1"/>
  <c r="IJ31" i="18"/>
  <c r="IK31" i="18" s="1"/>
  <c r="II31" i="18"/>
  <c r="JE18" i="18"/>
  <c r="JF18" i="18" s="1"/>
  <c r="HO29" i="18"/>
  <c r="HP29" i="18" s="1"/>
  <c r="JE14" i="18"/>
  <c r="JF14" i="18" s="1"/>
  <c r="JC18" i="18"/>
  <c r="AP27" i="10"/>
  <c r="II29" i="18"/>
  <c r="IH33" i="18"/>
  <c r="II34" i="18"/>
  <c r="II33" i="18"/>
  <c r="JD26" i="18"/>
  <c r="CD12" i="18"/>
  <c r="CE12" i="18" s="1"/>
  <c r="JC15" i="18"/>
  <c r="JE26" i="18"/>
  <c r="JF26" i="18" s="1"/>
  <c r="JE11" i="18"/>
  <c r="JF11" i="18" s="1"/>
  <c r="JD11" i="18"/>
  <c r="CF17" i="21"/>
  <c r="F17" i="29" s="1"/>
  <c r="H942" i="31" s="1"/>
  <c r="IH29" i="18"/>
  <c r="JE15" i="18"/>
  <c r="JF15" i="18" s="1"/>
  <c r="KE13" i="18"/>
  <c r="KF13" i="18"/>
  <c r="KG13" i="18" s="1"/>
  <c r="KH13" i="18" s="1"/>
  <c r="KI13" i="18" s="1"/>
  <c r="P13" i="28" s="1"/>
  <c r="H1658" i="31" s="1"/>
  <c r="IJ34" i="18"/>
  <c r="IK34" i="18" s="1"/>
  <c r="X12" i="20"/>
  <c r="C12" i="30" s="1"/>
  <c r="H1237" i="31" s="1"/>
  <c r="CZ16" i="21"/>
  <c r="H16" i="29" s="1"/>
  <c r="H1001" i="31" s="1"/>
  <c r="F15" i="29"/>
  <c r="H940" i="31" s="1"/>
  <c r="CP16" i="21"/>
  <c r="CP17" i="21" s="1"/>
  <c r="CP18" i="21" s="1"/>
  <c r="G18" i="29" s="1"/>
  <c r="H973" i="31" s="1"/>
  <c r="IJ35" i="18"/>
  <c r="IK35" i="18" s="1"/>
  <c r="HN29" i="18"/>
  <c r="II24" i="18"/>
  <c r="IH28" i="18"/>
  <c r="HM14" i="18"/>
  <c r="JC13" i="18"/>
  <c r="JD13" i="18"/>
  <c r="JE13" i="18"/>
  <c r="JF13" i="18" s="1"/>
  <c r="IJ36" i="18"/>
  <c r="IK36" i="18" s="1"/>
  <c r="JD34" i="18"/>
  <c r="JC34" i="18"/>
  <c r="JE34" i="18"/>
  <c r="JF34" i="18" s="1"/>
  <c r="JC12" i="18"/>
  <c r="JD12" i="18"/>
  <c r="JE12" i="18"/>
  <c r="JF12" i="18" s="1"/>
  <c r="JC17" i="18"/>
  <c r="JD17" i="18"/>
  <c r="JE17" i="18"/>
  <c r="JF17" i="18" s="1"/>
  <c r="JC23" i="18"/>
  <c r="JD23" i="18"/>
  <c r="JE23" i="18"/>
  <c r="JF23" i="18" s="1"/>
  <c r="JC33" i="18"/>
  <c r="JD33" i="18"/>
  <c r="JE33" i="18"/>
  <c r="JF33" i="18" s="1"/>
  <c r="JC35" i="18"/>
  <c r="JD35" i="18"/>
  <c r="JE35" i="18"/>
  <c r="JF35" i="18" s="1"/>
  <c r="JC27" i="18"/>
  <c r="JD27" i="18"/>
  <c r="JE27" i="18"/>
  <c r="JF27" i="18" s="1"/>
  <c r="JC32" i="18"/>
  <c r="JD32" i="18"/>
  <c r="JE32" i="18"/>
  <c r="JF32" i="18" s="1"/>
  <c r="JD30" i="18"/>
  <c r="JC30" i="18"/>
  <c r="JE30" i="18"/>
  <c r="JF30" i="18" s="1"/>
  <c r="II36" i="18"/>
  <c r="IH30" i="18"/>
  <c r="JC28" i="18"/>
  <c r="JD28" i="18"/>
  <c r="JE28" i="18"/>
  <c r="JF28" i="18" s="1"/>
  <c r="JC31" i="18"/>
  <c r="JD31" i="18"/>
  <c r="JE31" i="18"/>
  <c r="JF31" i="18" s="1"/>
  <c r="IJ30" i="18"/>
  <c r="IK30" i="18" s="1"/>
  <c r="JC29" i="18"/>
  <c r="JD29" i="18"/>
  <c r="JE29" i="18"/>
  <c r="JF29" i="18" s="1"/>
  <c r="HO30" i="18"/>
  <c r="HP30" i="18" s="1"/>
  <c r="HN30" i="18"/>
  <c r="JC36" i="18"/>
  <c r="JD36" i="18"/>
  <c r="JE36" i="18"/>
  <c r="JF36" i="18" s="1"/>
  <c r="JC25" i="18"/>
  <c r="JD25" i="18"/>
  <c r="JE25" i="18"/>
  <c r="JF25" i="18" s="1"/>
  <c r="JC24" i="18"/>
  <c r="JD24" i="18"/>
  <c r="JE24" i="18"/>
  <c r="JF24" i="18" s="1"/>
  <c r="JC19" i="18"/>
  <c r="JD19" i="18"/>
  <c r="JE19" i="18"/>
  <c r="JF19" i="18" s="1"/>
  <c r="IH24" i="18"/>
  <c r="IH35" i="18"/>
  <c r="HO22" i="18"/>
  <c r="HP22" i="18" s="1"/>
  <c r="HM22" i="18"/>
  <c r="HO18" i="18"/>
  <c r="HP18" i="18" s="1"/>
  <c r="HM18" i="18"/>
  <c r="IJ28" i="18"/>
  <c r="IK28" i="18" s="1"/>
  <c r="HM26" i="18"/>
  <c r="IH32" i="18"/>
  <c r="II32" i="18"/>
  <c r="IJ32" i="18"/>
  <c r="IK32" i="18" s="1"/>
  <c r="DH12" i="18"/>
  <c r="DI12" i="18" s="1"/>
  <c r="HN27" i="18"/>
  <c r="II26" i="18"/>
  <c r="IH26" i="18"/>
  <c r="IJ26" i="18"/>
  <c r="IK26" i="18" s="1"/>
  <c r="II27" i="18"/>
  <c r="IH27" i="18"/>
  <c r="IJ27" i="18"/>
  <c r="IK27" i="18" s="1"/>
  <c r="II23" i="18"/>
  <c r="IH23" i="18"/>
  <c r="IJ23" i="18"/>
  <c r="IK23" i="18" s="1"/>
  <c r="CN12" i="18"/>
  <c r="CO12" i="18" s="1"/>
  <c r="IH25" i="18"/>
  <c r="II25" i="18"/>
  <c r="IJ25" i="18"/>
  <c r="IK25" i="18" s="1"/>
  <c r="HM27" i="18"/>
  <c r="AS11" i="18"/>
  <c r="HN14" i="18"/>
  <c r="HO24" i="18"/>
  <c r="HP24" i="18" s="1"/>
  <c r="HN24" i="18"/>
  <c r="HM20" i="18"/>
  <c r="HN20" i="18"/>
  <c r="HO20" i="18"/>
  <c r="HP20" i="18" s="1"/>
  <c r="HM17" i="18"/>
  <c r="HN17" i="18"/>
  <c r="HO17" i="18"/>
  <c r="HP17" i="18" s="1"/>
  <c r="HM15" i="18"/>
  <c r="HN15" i="18"/>
  <c r="HO15" i="18"/>
  <c r="HP15" i="18" s="1"/>
  <c r="HM28" i="18"/>
  <c r="HN28" i="18"/>
  <c r="HO28" i="18"/>
  <c r="HP28" i="18" s="1"/>
  <c r="HM19" i="18"/>
  <c r="HN19" i="18"/>
  <c r="HO19" i="18"/>
  <c r="HP19" i="18" s="1"/>
  <c r="HM13" i="18"/>
  <c r="HN13" i="18"/>
  <c r="HO13" i="18"/>
  <c r="HP13" i="18" s="1"/>
  <c r="HM11" i="18"/>
  <c r="HN11" i="18"/>
  <c r="HO11" i="18"/>
  <c r="HP11" i="18" s="1"/>
  <c r="HM21" i="18"/>
  <c r="HN21" i="18"/>
  <c r="HO21" i="18"/>
  <c r="HP21" i="18" s="1"/>
  <c r="HM23" i="18"/>
  <c r="HN23" i="18"/>
  <c r="HO23" i="18"/>
  <c r="HP23" i="18" s="1"/>
  <c r="AS15" i="18"/>
  <c r="HM12" i="18"/>
  <c r="HN12" i="18"/>
  <c r="HO12" i="18"/>
  <c r="HP12" i="18" s="1"/>
  <c r="HM25" i="18"/>
  <c r="HN25" i="18"/>
  <c r="HO25" i="18"/>
  <c r="HP25" i="18" s="1"/>
  <c r="BO14" i="18"/>
  <c r="BR14" i="18" s="1"/>
  <c r="GV8" i="18"/>
  <c r="GV9" i="18" s="1"/>
  <c r="GV10" i="18" s="1"/>
  <c r="GV11" i="18" s="1"/>
  <c r="GV12" i="18" s="1"/>
  <c r="GV13" i="18" s="1"/>
  <c r="GV14" i="18" s="1"/>
  <c r="GV15" i="18" s="1"/>
  <c r="GV16" i="18" s="1"/>
  <c r="GV17" i="18" s="1"/>
  <c r="GV18" i="18" s="1"/>
  <c r="GV19" i="18" s="1"/>
  <c r="GV20" i="18" s="1"/>
  <c r="GV21" i="18" s="1"/>
  <c r="GV22" i="18" s="1"/>
  <c r="GV23" i="18" s="1"/>
  <c r="GV24" i="18" s="1"/>
  <c r="GV25" i="18" s="1"/>
  <c r="GV26" i="18" s="1"/>
  <c r="GV27" i="18" s="1"/>
  <c r="GV28" i="18" s="1"/>
  <c r="GV29" i="18" s="1"/>
  <c r="GV30" i="18" s="1"/>
  <c r="GV31" i="18" s="1"/>
  <c r="GV32" i="18" s="1"/>
  <c r="GV33" i="18" s="1"/>
  <c r="GV34" i="18" s="1"/>
  <c r="GV35" i="18" s="1"/>
  <c r="BT20" i="18"/>
  <c r="BU20" i="18" s="1"/>
  <c r="X7" i="18"/>
  <c r="L7" i="28" s="1"/>
  <c r="H722" i="31" s="1"/>
  <c r="CD19" i="18"/>
  <c r="CE19" i="18" s="1"/>
  <c r="AS14" i="18"/>
  <c r="BS9" i="18"/>
  <c r="BR9" i="18"/>
  <c r="BM15" i="18"/>
  <c r="BN15" i="18" s="1"/>
  <c r="AS27" i="18"/>
  <c r="AS12" i="18"/>
  <c r="BR13" i="18"/>
  <c r="BS13" i="18"/>
  <c r="DH13" i="18" s="1"/>
  <c r="DI13" i="18" s="1"/>
  <c r="AS22" i="18"/>
  <c r="AS19" i="18"/>
  <c r="AS17" i="18"/>
  <c r="GX30" i="10"/>
  <c r="GY30" i="10" s="1"/>
  <c r="GV30" i="10"/>
  <c r="GV32" i="10"/>
  <c r="HW33" i="10"/>
  <c r="HX33" i="10" s="1"/>
  <c r="HW31" i="10"/>
  <c r="HX31" i="10" s="1"/>
  <c r="HV31" i="10"/>
  <c r="HR30" i="10"/>
  <c r="HW30" i="10" s="1"/>
  <c r="HX30" i="10" s="1"/>
  <c r="GW32" i="10"/>
  <c r="HR29" i="10"/>
  <c r="HU29" i="10" s="1"/>
  <c r="HV33" i="10"/>
  <c r="HR27" i="10"/>
  <c r="HV32" i="10"/>
  <c r="HU32" i="10"/>
  <c r="HW32" i="10"/>
  <c r="HX32" i="10" s="1"/>
  <c r="HR28" i="10"/>
  <c r="GV29" i="10"/>
  <c r="GW29" i="10"/>
  <c r="GX29" i="10"/>
  <c r="GY29" i="10" s="1"/>
  <c r="GV28" i="10"/>
  <c r="GW28" i="10"/>
  <c r="GX28" i="10"/>
  <c r="GY28" i="10" s="1"/>
  <c r="GV31" i="10"/>
  <c r="GW31" i="10"/>
  <c r="GX31" i="10"/>
  <c r="GY31" i="10" s="1"/>
  <c r="GV27" i="10"/>
  <c r="GW27" i="10"/>
  <c r="GX27" i="10"/>
  <c r="GY27" i="10" s="1"/>
  <c r="BM11" i="10"/>
  <c r="BN11" i="10" s="1"/>
  <c r="AQ27" i="10"/>
  <c r="AQ30" i="10"/>
  <c r="AP30" i="10"/>
  <c r="AP28" i="10"/>
  <c r="AQ28" i="10"/>
  <c r="AR28" i="10"/>
  <c r="AS28" i="10" s="1"/>
  <c r="AQ29" i="10"/>
  <c r="AP29" i="10"/>
  <c r="AR29" i="10"/>
  <c r="AS29" i="10" s="1"/>
  <c r="N12" i="30"/>
  <c r="H1567" i="31" s="1"/>
  <c r="L12" i="30"/>
  <c r="H1507" i="31" s="1"/>
  <c r="JW14" i="18"/>
  <c r="KD14" i="18" s="1"/>
  <c r="JX14" i="18" s="1"/>
  <c r="JY14" i="18" s="1"/>
  <c r="KB14" i="18" s="1"/>
  <c r="KC14" i="18"/>
  <c r="EF13" i="20"/>
  <c r="K13" i="30" s="1"/>
  <c r="H1478" i="31" s="1"/>
  <c r="BP15" i="18"/>
  <c r="BJ15" i="18"/>
  <c r="BQ15" i="18" s="1"/>
  <c r="BK15" i="18" s="1"/>
  <c r="BL15" i="18" s="1"/>
  <c r="BP11" i="10"/>
  <c r="BJ11" i="10"/>
  <c r="BQ11" i="10" s="1"/>
  <c r="BK11" i="10" s="1"/>
  <c r="BL11" i="10" s="1"/>
  <c r="AS27" i="10"/>
  <c r="AS30" i="10"/>
  <c r="DX14" i="20"/>
  <c r="DY14" i="20" s="1"/>
  <c r="JU19" i="20"/>
  <c r="JR20" i="20" s="1"/>
  <c r="JS20" i="20" s="1"/>
  <c r="JT20" i="20" s="1"/>
  <c r="JV20" i="20" s="1"/>
  <c r="KG20" i="20" s="1"/>
  <c r="KH20" i="20" s="1"/>
  <c r="DP12" i="18"/>
  <c r="DR12" i="18" s="1"/>
  <c r="DS12" i="18" s="1"/>
  <c r="DT12" i="18" s="1"/>
  <c r="MA21" i="10"/>
  <c r="MB21" i="10" s="1"/>
  <c r="MD21" i="10" s="1"/>
  <c r="MO21" i="10" s="1"/>
  <c r="MP21" i="10" s="1"/>
  <c r="JL15" i="18"/>
  <c r="JN15" i="18"/>
  <c r="JZ15" i="18" s="1"/>
  <c r="KA15" i="18" s="1"/>
  <c r="P17" i="30"/>
  <c r="H1722" i="31" s="1"/>
  <c r="KI18" i="20"/>
  <c r="P18" i="30" s="1"/>
  <c r="H1723" i="31" s="1"/>
  <c r="LV11" i="10"/>
  <c r="MH11" i="10" s="1"/>
  <c r="MI11" i="10" s="1"/>
  <c r="LT11" i="10"/>
  <c r="JS21" i="18"/>
  <c r="JT21" i="21"/>
  <c r="JV21" i="21" s="1"/>
  <c r="KG21" i="21" s="1"/>
  <c r="KH21" i="21" s="1"/>
  <c r="P17" i="29"/>
  <c r="H1692" i="31" s="1"/>
  <c r="KI18" i="21"/>
  <c r="CZ12" i="20"/>
  <c r="H11" i="30"/>
  <c r="H1386" i="31" s="1"/>
  <c r="DU12" i="20"/>
  <c r="J12" i="30" s="1"/>
  <c r="H1447" i="31" s="1"/>
  <c r="J11" i="30"/>
  <c r="H1446" i="31" s="1"/>
  <c r="DJ12" i="20"/>
  <c r="I11" i="30"/>
  <c r="H1416" i="31" s="1"/>
  <c r="BV12" i="20"/>
  <c r="E11" i="30"/>
  <c r="H1296" i="31" s="1"/>
  <c r="CF12" i="20"/>
  <c r="F11" i="30"/>
  <c r="H1326" i="31" s="1"/>
  <c r="CP12" i="20"/>
  <c r="G11" i="30"/>
  <c r="H1356" i="31" s="1"/>
  <c r="EK20" i="20"/>
  <c r="EN20" i="20" s="1"/>
  <c r="EV20" i="20" s="1"/>
  <c r="EW20" i="20" s="1"/>
  <c r="EX20" i="20" s="1"/>
  <c r="EY20" i="20" s="1"/>
  <c r="BZ22" i="18"/>
  <c r="CA22" i="18" s="1"/>
  <c r="CC22" i="18" s="1"/>
  <c r="CD22" i="18" s="1"/>
  <c r="CE22" i="18" s="1"/>
  <c r="DE16" i="21"/>
  <c r="DN14" i="21"/>
  <c r="DP14" i="21" s="1"/>
  <c r="CV17" i="21"/>
  <c r="EC12" i="18"/>
  <c r="ED12" i="18" s="1"/>
  <c r="EE12" i="18" s="1"/>
  <c r="KI29" i="10"/>
  <c r="P29" i="25" s="1"/>
  <c r="H414" i="31" s="1"/>
  <c r="DX14" i="21"/>
  <c r="EB12" i="18"/>
  <c r="DZ12" i="18"/>
  <c r="BY18" i="10"/>
  <c r="BZ18" i="10" s="1"/>
  <c r="CA18" i="10" s="1"/>
  <c r="CC18" i="10" s="1"/>
  <c r="CD18" i="10" s="1"/>
  <c r="CE18" i="10" s="1"/>
  <c r="DD17" i="10"/>
  <c r="DD18" i="18"/>
  <c r="DE18" i="18" s="1"/>
  <c r="FF9" i="18"/>
  <c r="FG9" i="18" s="1"/>
  <c r="FH9" i="18" s="1"/>
  <c r="FX9" i="18"/>
  <c r="FY9" i="18" s="1"/>
  <c r="FZ9" i="18" s="1"/>
  <c r="EP10" i="18"/>
  <c r="EU10" i="18" s="1"/>
  <c r="FX10" i="18" s="1"/>
  <c r="FY10" i="18" s="1"/>
  <c r="BB10" i="18"/>
  <c r="EW9" i="18"/>
  <c r="EX9" i="18" s="1"/>
  <c r="EY9" i="18" s="1"/>
  <c r="BF21" i="18"/>
  <c r="BG21" i="18" s="1"/>
  <c r="FC9" i="18"/>
  <c r="BZ22" i="21"/>
  <c r="CA22" i="21" s="1"/>
  <c r="BE21" i="21"/>
  <c r="FJ20" i="20"/>
  <c r="FA20" i="20"/>
  <c r="FT19" i="20"/>
  <c r="FV19" i="20" s="1"/>
  <c r="FW19" i="20" s="1"/>
  <c r="FX19" i="20" s="1"/>
  <c r="FY19" i="20" s="1"/>
  <c r="FZ19" i="20" s="1"/>
  <c r="DQ13" i="20"/>
  <c r="DM14" i="20" s="1"/>
  <c r="DR13" i="20"/>
  <c r="DS13" i="20" s="1"/>
  <c r="DT13" i="20" s="1"/>
  <c r="DF17" i="20"/>
  <c r="DG17" i="20"/>
  <c r="DH17" i="20" s="1"/>
  <c r="DI17" i="20" s="1"/>
  <c r="CV16" i="20"/>
  <c r="CS17" i="20" s="1"/>
  <c r="CI17" i="20"/>
  <c r="BY19" i="20"/>
  <c r="BE21" i="20"/>
  <c r="N13" i="29"/>
  <c r="H1178" i="31" s="1"/>
  <c r="FH12" i="21"/>
  <c r="FQ12" i="21"/>
  <c r="EY12" i="21"/>
  <c r="FZ12" i="21"/>
  <c r="EM27" i="21"/>
  <c r="FC13" i="21"/>
  <c r="EL14" i="21"/>
  <c r="FL13" i="21"/>
  <c r="FL14" i="21" s="1"/>
  <c r="FL15" i="21" s="1"/>
  <c r="FU13" i="21"/>
  <c r="FU14" i="21" s="1"/>
  <c r="FU15" i="21" s="1"/>
  <c r="L13" i="29"/>
  <c r="H1118" i="31" s="1"/>
  <c r="EL10" i="18"/>
  <c r="FU10" i="18" s="1"/>
  <c r="AY10" i="18"/>
  <c r="FU9" i="18"/>
  <c r="EW14" i="18"/>
  <c r="EX14" i="18" s="1"/>
  <c r="FF14" i="18"/>
  <c r="FG14" i="18" s="1"/>
  <c r="FX14" i="18"/>
  <c r="FY14" i="18" s="1"/>
  <c r="FO14" i="18"/>
  <c r="FP14" i="18" s="1"/>
  <c r="FT13" i="18"/>
  <c r="FB13" i="18"/>
  <c r="FK13" i="18"/>
  <c r="FQ9" i="18"/>
  <c r="FB11" i="18"/>
  <c r="FT11" i="18"/>
  <c r="FK11" i="18"/>
  <c r="FK12" i="18"/>
  <c r="FT12" i="18"/>
  <c r="FB12" i="18"/>
  <c r="EO34" i="10"/>
  <c r="AY34" i="10"/>
  <c r="AY31" i="10"/>
  <c r="EO31" i="10"/>
  <c r="EO33" i="10"/>
  <c r="AY33" i="10"/>
  <c r="EO27" i="10"/>
  <c r="AY27" i="10"/>
  <c r="EO30" i="10"/>
  <c r="AY30" i="10"/>
  <c r="EO35" i="10"/>
  <c r="AY35" i="10"/>
  <c r="AY32" i="10"/>
  <c r="EO32" i="10"/>
  <c r="EO29" i="10"/>
  <c r="AY29" i="10"/>
  <c r="AY36" i="10"/>
  <c r="EO36" i="10"/>
  <c r="AY28" i="10"/>
  <c r="EO28" i="10"/>
  <c r="AY16" i="18"/>
  <c r="EO16" i="18"/>
  <c r="EU15" i="18"/>
  <c r="ET15" i="18"/>
  <c r="E18" i="29" l="1"/>
  <c r="H913" i="31" s="1"/>
  <c r="JA30" i="10"/>
  <c r="IF30" i="10"/>
  <c r="IF36" i="10"/>
  <c r="JA36" i="10"/>
  <c r="IZ30" i="10"/>
  <c r="IE30" i="10"/>
  <c r="IZ34" i="10"/>
  <c r="IE34" i="10"/>
  <c r="JA33" i="10"/>
  <c r="IF33" i="10"/>
  <c r="IE29" i="10"/>
  <c r="IZ29" i="10"/>
  <c r="IZ27" i="10"/>
  <c r="IE27" i="10"/>
  <c r="IF32" i="10"/>
  <c r="JA32" i="10"/>
  <c r="IE33" i="10"/>
  <c r="IZ33" i="10"/>
  <c r="IE36" i="10"/>
  <c r="IZ36" i="10"/>
  <c r="IE32" i="10"/>
  <c r="IZ32" i="10"/>
  <c r="JA34" i="10"/>
  <c r="IF34" i="10"/>
  <c r="IF28" i="10"/>
  <c r="JA28" i="10"/>
  <c r="IZ35" i="10"/>
  <c r="IE35" i="10"/>
  <c r="IF31" i="10"/>
  <c r="JA31" i="10"/>
  <c r="IE28" i="10"/>
  <c r="IZ28" i="10"/>
  <c r="JA29" i="10"/>
  <c r="IF29" i="10"/>
  <c r="JA35" i="10"/>
  <c r="IF35" i="10"/>
  <c r="JA27" i="10"/>
  <c r="IF27" i="10"/>
  <c r="IZ31" i="10"/>
  <c r="IE31" i="10"/>
  <c r="X14" i="21"/>
  <c r="C14" i="29" s="1"/>
  <c r="H849" i="31" s="1"/>
  <c r="G17" i="29"/>
  <c r="H972" i="31" s="1"/>
  <c r="CZ17" i="21"/>
  <c r="H17" i="29" s="1"/>
  <c r="H1002" i="31" s="1"/>
  <c r="CF18" i="21"/>
  <c r="F18" i="29" s="1"/>
  <c r="H943" i="31" s="1"/>
  <c r="X13" i="20"/>
  <c r="C13" i="30" s="1"/>
  <c r="H1238" i="31" s="1"/>
  <c r="HV30" i="10"/>
  <c r="HU30" i="10"/>
  <c r="KE14" i="18"/>
  <c r="KF14" i="18"/>
  <c r="G16" i="29"/>
  <c r="H971" i="31" s="1"/>
  <c r="CP19" i="21"/>
  <c r="G19" i="29" s="1"/>
  <c r="H974" i="31" s="1"/>
  <c r="IL23" i="18"/>
  <c r="IL24" i="18" s="1"/>
  <c r="IL25" i="18" s="1"/>
  <c r="IL26" i="18" s="1"/>
  <c r="IL27" i="18" s="1"/>
  <c r="IL28" i="18" s="1"/>
  <c r="IL29" i="18" s="1"/>
  <c r="IL30" i="18" s="1"/>
  <c r="IL31" i="18" s="1"/>
  <c r="IL32" i="18" s="1"/>
  <c r="IL33" i="18" s="1"/>
  <c r="IL34" i="18" s="1"/>
  <c r="IL35" i="18" s="1"/>
  <c r="CN13" i="18"/>
  <c r="CO13" i="18" s="1"/>
  <c r="CX13" i="18"/>
  <c r="CY13" i="18" s="1"/>
  <c r="CD13" i="18"/>
  <c r="CE13" i="18" s="1"/>
  <c r="BT13" i="18"/>
  <c r="BU13" i="18" s="1"/>
  <c r="BS14" i="18"/>
  <c r="DH14" i="18" s="1"/>
  <c r="DI14" i="18" s="1"/>
  <c r="BS10" i="18"/>
  <c r="BR10" i="18"/>
  <c r="C7" i="28"/>
  <c r="H452" i="31" s="1"/>
  <c r="X8" i="18"/>
  <c r="C8" i="28" s="1"/>
  <c r="H453" i="31" s="1"/>
  <c r="BO15" i="18"/>
  <c r="N7" i="28"/>
  <c r="H782" i="31" s="1"/>
  <c r="HW29" i="10"/>
  <c r="HX29" i="10" s="1"/>
  <c r="HV29" i="10"/>
  <c r="HV28" i="10"/>
  <c r="HU28" i="10"/>
  <c r="HW28" i="10"/>
  <c r="HX28" i="10" s="1"/>
  <c r="HV27" i="10"/>
  <c r="HU27" i="10"/>
  <c r="HW27" i="10"/>
  <c r="HX27" i="10" s="1"/>
  <c r="BO11" i="10"/>
  <c r="BR11" i="10" s="1"/>
  <c r="KG14" i="18"/>
  <c r="KH14" i="18" s="1"/>
  <c r="KI14" i="18" s="1"/>
  <c r="P14" i="28" s="1"/>
  <c r="H1659" i="31" s="1"/>
  <c r="N8" i="28"/>
  <c r="H783" i="31" s="1"/>
  <c r="L13" i="30"/>
  <c r="H1508" i="31" s="1"/>
  <c r="N13" i="30"/>
  <c r="H1568" i="31" s="1"/>
  <c r="JW15" i="18"/>
  <c r="KD15" i="18" s="1"/>
  <c r="JX15" i="18" s="1"/>
  <c r="JY15" i="18" s="1"/>
  <c r="KB15" i="18" s="1"/>
  <c r="KC15" i="18"/>
  <c r="ME11" i="10"/>
  <c r="ML11" i="10" s="1"/>
  <c r="MF11" i="10" s="1"/>
  <c r="MG11" i="10" s="1"/>
  <c r="MJ11" i="10" s="1"/>
  <c r="MK11" i="10"/>
  <c r="X14" i="20"/>
  <c r="C14" i="30" s="1"/>
  <c r="H1239" i="31" s="1"/>
  <c r="LN11" i="10"/>
  <c r="LO11" i="10" s="1"/>
  <c r="Q11" i="25" s="1"/>
  <c r="H426" i="31" s="1"/>
  <c r="KI19" i="20"/>
  <c r="P19" i="30" s="1"/>
  <c r="H1724" i="31" s="1"/>
  <c r="JU20" i="20"/>
  <c r="JR21" i="20" s="1"/>
  <c r="JS21" i="20" s="1"/>
  <c r="JT21" i="20" s="1"/>
  <c r="JV21" i="20" s="1"/>
  <c r="KG21" i="20" s="1"/>
  <c r="KH21" i="20" s="1"/>
  <c r="DO12" i="18"/>
  <c r="DQ12" i="18"/>
  <c r="JT21" i="18"/>
  <c r="JV21" i="18" s="1"/>
  <c r="KG21" i="18" s="1"/>
  <c r="KH21" i="18" s="1"/>
  <c r="JU21" i="21"/>
  <c r="P18" i="29"/>
  <c r="H1693" i="31" s="1"/>
  <c r="KI19" i="21"/>
  <c r="MC21" i="10"/>
  <c r="DU13" i="20"/>
  <c r="J13" i="30" s="1"/>
  <c r="H1448" i="31" s="1"/>
  <c r="BV20" i="21"/>
  <c r="E20" i="29" s="1"/>
  <c r="H915" i="31" s="1"/>
  <c r="CF13" i="20"/>
  <c r="F12" i="30"/>
  <c r="H1327" i="31" s="1"/>
  <c r="DJ13" i="20"/>
  <c r="I12" i="30"/>
  <c r="H1417" i="31" s="1"/>
  <c r="BV13" i="20"/>
  <c r="E12" i="30"/>
  <c r="H1297" i="31" s="1"/>
  <c r="CP13" i="20"/>
  <c r="G12" i="30"/>
  <c r="H1357" i="31" s="1"/>
  <c r="CZ13" i="20"/>
  <c r="H12" i="30"/>
  <c r="H1387" i="31" s="1"/>
  <c r="DG18" i="18"/>
  <c r="DH18" i="18" s="1"/>
  <c r="DI18" i="18" s="1"/>
  <c r="CK34" i="18"/>
  <c r="CK31" i="18"/>
  <c r="CM31" i="18" s="1"/>
  <c r="CN31" i="18" s="1"/>
  <c r="CO31" i="18" s="1"/>
  <c r="CK28" i="18"/>
  <c r="CK25" i="18"/>
  <c r="CM25" i="18" s="1"/>
  <c r="CN25" i="18" s="1"/>
  <c r="CO25" i="18" s="1"/>
  <c r="CK19" i="18"/>
  <c r="CM19" i="18" s="1"/>
  <c r="CN19" i="18" s="1"/>
  <c r="CO19" i="18" s="1"/>
  <c r="CK36" i="18"/>
  <c r="CK33" i="18"/>
  <c r="CM33" i="18" s="1"/>
  <c r="CN33" i="18" s="1"/>
  <c r="CO33" i="18" s="1"/>
  <c r="CK26" i="18"/>
  <c r="CK23" i="18"/>
  <c r="CM23" i="18" s="1"/>
  <c r="CN23" i="18" s="1"/>
  <c r="CO23" i="18" s="1"/>
  <c r="CK20" i="18"/>
  <c r="CK35" i="18"/>
  <c r="CM35" i="18" s="1"/>
  <c r="CN35" i="18" s="1"/>
  <c r="CO35" i="18" s="1"/>
  <c r="CK29" i="18"/>
  <c r="CM29" i="18" s="1"/>
  <c r="CN29" i="18" s="1"/>
  <c r="CO29" i="18" s="1"/>
  <c r="CK22" i="18"/>
  <c r="CK17" i="18"/>
  <c r="CM17" i="18" s="1"/>
  <c r="CN17" i="18" s="1"/>
  <c r="CO17" i="18" s="1"/>
  <c r="CK27" i="18"/>
  <c r="CM27" i="18" s="1"/>
  <c r="CN27" i="18" s="1"/>
  <c r="CO27" i="18" s="1"/>
  <c r="CK21" i="18"/>
  <c r="CM21" i="18" s="1"/>
  <c r="CN21" i="18" s="1"/>
  <c r="CO21" i="18" s="1"/>
  <c r="CK16" i="18"/>
  <c r="CK32" i="18"/>
  <c r="CM32" i="18" s="1"/>
  <c r="CN32" i="18" s="1"/>
  <c r="CO32" i="18" s="1"/>
  <c r="CK30" i="18"/>
  <c r="CK24" i="18"/>
  <c r="CM24" i="18" s="1"/>
  <c r="CN24" i="18" s="1"/>
  <c r="CO24" i="18" s="1"/>
  <c r="CK18" i="18"/>
  <c r="CU16" i="18"/>
  <c r="CS18" i="21"/>
  <c r="KI30" i="10"/>
  <c r="P30" i="25" s="1"/>
  <c r="H415" i="31" s="1"/>
  <c r="DR14" i="21"/>
  <c r="DS14" i="21" s="1"/>
  <c r="DT14" i="21" s="1"/>
  <c r="DU14" i="21" s="1"/>
  <c r="J14" i="29" s="1"/>
  <c r="H1059" i="31" s="1"/>
  <c r="DG16" i="21"/>
  <c r="DH16" i="21" s="1"/>
  <c r="DI16" i="21" s="1"/>
  <c r="DJ16" i="21" s="1"/>
  <c r="I16" i="29" s="1"/>
  <c r="H1031" i="31" s="1"/>
  <c r="DF16" i="21"/>
  <c r="EW10" i="18"/>
  <c r="EX10" i="18" s="1"/>
  <c r="EY10" i="18" s="1"/>
  <c r="DX13" i="18"/>
  <c r="DY13" i="18" s="1"/>
  <c r="EA13" i="18" s="1"/>
  <c r="DY14" i="21"/>
  <c r="EA14" i="21" s="1"/>
  <c r="DQ14" i="21"/>
  <c r="DO14" i="21"/>
  <c r="CB22" i="18"/>
  <c r="BT9" i="18"/>
  <c r="BU9" i="18" s="1"/>
  <c r="BV9" i="18" s="1"/>
  <c r="E9" i="28" s="1"/>
  <c r="H514" i="31" s="1"/>
  <c r="CX9" i="18"/>
  <c r="CY9" i="18" s="1"/>
  <c r="CZ9" i="18" s="1"/>
  <c r="H9" i="28" s="1"/>
  <c r="H604" i="31" s="1"/>
  <c r="CN9" i="18"/>
  <c r="CO9" i="18" s="1"/>
  <c r="CP9" i="18" s="1"/>
  <c r="G9" i="28" s="1"/>
  <c r="H574" i="31" s="1"/>
  <c r="DS9" i="18"/>
  <c r="DT9" i="18" s="1"/>
  <c r="DU9" i="18" s="1"/>
  <c r="J9" i="28" s="1"/>
  <c r="H664" i="31" s="1"/>
  <c r="DH9" i="18"/>
  <c r="DI9" i="18" s="1"/>
  <c r="DJ9" i="18" s="1"/>
  <c r="I9" i="28" s="1"/>
  <c r="H634" i="31" s="1"/>
  <c r="ED9" i="18"/>
  <c r="EE9" i="18" s="1"/>
  <c r="EF9" i="18" s="1"/>
  <c r="K9" i="28" s="1"/>
  <c r="H694" i="31" s="1"/>
  <c r="CD9" i="18"/>
  <c r="CE9" i="18" s="1"/>
  <c r="CF9" i="18" s="1"/>
  <c r="F9" i="28" s="1"/>
  <c r="H544" i="31" s="1"/>
  <c r="CB18" i="10"/>
  <c r="EJ21" i="20"/>
  <c r="EK21" i="20" s="1"/>
  <c r="EL20" i="20"/>
  <c r="DE17" i="10"/>
  <c r="DF18" i="18"/>
  <c r="FC10" i="18"/>
  <c r="FO10" i="18"/>
  <c r="FP10" i="18" s="1"/>
  <c r="FQ10" i="18" s="1"/>
  <c r="FF10" i="18"/>
  <c r="FG10" i="18" s="1"/>
  <c r="FH10" i="18" s="1"/>
  <c r="BI21" i="18"/>
  <c r="BT21" i="18" s="1"/>
  <c r="BU21" i="18" s="1"/>
  <c r="BH21" i="18"/>
  <c r="BF21" i="21"/>
  <c r="BG21" i="21" s="1"/>
  <c r="FB20" i="20"/>
  <c r="FD20" i="20" s="1"/>
  <c r="FE20" i="20" s="1"/>
  <c r="FF20" i="20" s="1"/>
  <c r="FG20" i="20" s="1"/>
  <c r="FH20" i="20" s="1"/>
  <c r="FK20" i="20"/>
  <c r="FM20" i="20" s="1"/>
  <c r="FN20" i="20" s="1"/>
  <c r="FO20" i="20" s="1"/>
  <c r="FP20" i="20" s="1"/>
  <c r="FQ20" i="20" s="1"/>
  <c r="FU19" i="20"/>
  <c r="EA14" i="20"/>
  <c r="EC14" i="20" s="1"/>
  <c r="ED14" i="20" s="1"/>
  <c r="EE14" i="20" s="1"/>
  <c r="EF14" i="20" s="1"/>
  <c r="K14" i="30" s="1"/>
  <c r="H1479" i="31" s="1"/>
  <c r="DC18" i="20"/>
  <c r="DD18" i="20" s="1"/>
  <c r="DE18" i="20" s="1"/>
  <c r="DG18" i="20" s="1"/>
  <c r="DH18" i="20" s="1"/>
  <c r="DI18" i="20" s="1"/>
  <c r="DN14" i="20"/>
  <c r="CT17" i="20"/>
  <c r="CU17" i="20" s="1"/>
  <c r="CJ17" i="20"/>
  <c r="CK17" i="20" s="1"/>
  <c r="CM17" i="20" s="1"/>
  <c r="CN17" i="20" s="1"/>
  <c r="CO17" i="20" s="1"/>
  <c r="BZ19" i="20"/>
  <c r="CA19" i="20" s="1"/>
  <c r="CC19" i="20" s="1"/>
  <c r="CD19" i="20" s="1"/>
  <c r="CE19" i="20" s="1"/>
  <c r="BF21" i="20"/>
  <c r="H42" i="24"/>
  <c r="C42" i="24"/>
  <c r="H45" i="24"/>
  <c r="EL11" i="18"/>
  <c r="FU11" i="18" s="1"/>
  <c r="N14" i="29"/>
  <c r="H1179" i="31" s="1"/>
  <c r="FQ13" i="21"/>
  <c r="FZ13" i="21"/>
  <c r="EY13" i="21"/>
  <c r="FH13" i="21"/>
  <c r="L14" i="29"/>
  <c r="H1119" i="31" s="1"/>
  <c r="EL15" i="21"/>
  <c r="FC14" i="21"/>
  <c r="EM28" i="21"/>
  <c r="FL10" i="18"/>
  <c r="HX36" i="10"/>
  <c r="GY36" i="10"/>
  <c r="EW15" i="18"/>
  <c r="EX15" i="18" s="1"/>
  <c r="FF15" i="18"/>
  <c r="FG15" i="18" s="1"/>
  <c r="FO15" i="18"/>
  <c r="FP15" i="18" s="1"/>
  <c r="FX15" i="18"/>
  <c r="FY15" i="18" s="1"/>
  <c r="FZ10" i="18"/>
  <c r="EU29" i="10"/>
  <c r="ET29" i="10"/>
  <c r="ET27" i="10"/>
  <c r="EU27" i="10"/>
  <c r="ET36" i="10"/>
  <c r="EU36" i="10"/>
  <c r="EU30" i="10"/>
  <c r="ET30" i="10"/>
  <c r="ET35" i="10"/>
  <c r="EU35" i="10"/>
  <c r="ET31" i="10"/>
  <c r="EU31" i="10"/>
  <c r="ET32" i="10"/>
  <c r="EU32" i="10"/>
  <c r="ET28" i="10"/>
  <c r="EU28" i="10"/>
  <c r="ET33" i="10"/>
  <c r="EU33" i="10"/>
  <c r="ET34" i="10"/>
  <c r="EU34" i="10"/>
  <c r="ET16" i="18"/>
  <c r="EU16" i="18"/>
  <c r="X15" i="21" l="1"/>
  <c r="C15" i="29" s="1"/>
  <c r="H850" i="31" s="1"/>
  <c r="CF19" i="21"/>
  <c r="F19" i="29" s="1"/>
  <c r="H944" i="31" s="1"/>
  <c r="MM11" i="10"/>
  <c r="MN11" i="10"/>
  <c r="CD14" i="18"/>
  <c r="CE14" i="18" s="1"/>
  <c r="KE15" i="18"/>
  <c r="KF15" i="18"/>
  <c r="CP20" i="21"/>
  <c r="G20" i="29" s="1"/>
  <c r="H975" i="31" s="1"/>
  <c r="BT14" i="18"/>
  <c r="BU14" i="18" s="1"/>
  <c r="CN14" i="18"/>
  <c r="CO14" i="18" s="1"/>
  <c r="CX14" i="18"/>
  <c r="CY14" i="18" s="1"/>
  <c r="X9" i="18"/>
  <c r="C9" i="28" s="1"/>
  <c r="H454" i="31" s="1"/>
  <c r="L8" i="28"/>
  <c r="H723" i="31" s="1"/>
  <c r="BR15" i="18"/>
  <c r="BS15" i="18"/>
  <c r="CN15" i="18" s="1"/>
  <c r="CO15" i="18" s="1"/>
  <c r="N9" i="28"/>
  <c r="H784" i="31" s="1"/>
  <c r="JF27" i="10"/>
  <c r="JG27" i="10" s="1"/>
  <c r="JF31" i="10"/>
  <c r="JG31" i="10" s="1"/>
  <c r="JF34" i="10"/>
  <c r="JG34" i="10" s="1"/>
  <c r="JF30" i="10"/>
  <c r="JG30" i="10" s="1"/>
  <c r="JF33" i="10"/>
  <c r="JG33" i="10" s="1"/>
  <c r="JF29" i="10"/>
  <c r="JG29" i="10" s="1"/>
  <c r="JF32" i="10"/>
  <c r="JG32" i="10" s="1"/>
  <c r="JF35" i="10"/>
  <c r="JG35" i="10" s="1"/>
  <c r="JF36" i="10"/>
  <c r="JG36" i="10" s="1"/>
  <c r="JF28" i="10"/>
  <c r="JG28" i="10" s="1"/>
  <c r="IK28" i="10"/>
  <c r="IL28" i="10" s="1"/>
  <c r="IK32" i="10"/>
  <c r="IL32" i="10" s="1"/>
  <c r="IK35" i="10"/>
  <c r="IL35" i="10" s="1"/>
  <c r="IK34" i="10"/>
  <c r="IL34" i="10" s="1"/>
  <c r="IK30" i="10"/>
  <c r="IL30" i="10" s="1"/>
  <c r="IK36" i="10"/>
  <c r="IL36" i="10" s="1"/>
  <c r="IK33" i="10"/>
  <c r="IL33" i="10" s="1"/>
  <c r="IK27" i="10"/>
  <c r="IL27" i="10" s="1"/>
  <c r="IK29" i="10"/>
  <c r="IL29" i="10" s="1"/>
  <c r="IK31" i="10"/>
  <c r="IL31" i="10" s="1"/>
  <c r="BS11" i="10"/>
  <c r="BT11" i="10" s="1"/>
  <c r="BU11" i="10" s="1"/>
  <c r="BV11" i="10" s="1"/>
  <c r="E11" i="25" s="1"/>
  <c r="H66" i="31" s="1"/>
  <c r="L9" i="28"/>
  <c r="H724" i="31" s="1"/>
  <c r="KG15" i="18"/>
  <c r="KH15" i="18" s="1"/>
  <c r="KI15" i="18" s="1"/>
  <c r="KI16" i="18" s="1"/>
  <c r="MO11" i="10"/>
  <c r="MP11" i="10" s="1"/>
  <c r="MQ11" i="10" s="1"/>
  <c r="R11" i="25" s="1"/>
  <c r="H1626" i="31" s="1"/>
  <c r="X15" i="20"/>
  <c r="C15" i="30" s="1"/>
  <c r="H1240" i="31" s="1"/>
  <c r="N14" i="30"/>
  <c r="H1569" i="31" s="1"/>
  <c r="L14" i="30"/>
  <c r="H1509" i="31" s="1"/>
  <c r="JI32" i="10"/>
  <c r="JC32" i="10"/>
  <c r="JJ32" i="10" s="1"/>
  <c r="JD32" i="10" s="1"/>
  <c r="JE32" i="10" s="1"/>
  <c r="JI35" i="10"/>
  <c r="JC35" i="10"/>
  <c r="JJ35" i="10" s="1"/>
  <c r="JD35" i="10" s="1"/>
  <c r="JE35" i="10" s="1"/>
  <c r="JI36" i="10"/>
  <c r="JC36" i="10"/>
  <c r="JJ36" i="10" s="1"/>
  <c r="JD36" i="10" s="1"/>
  <c r="JE36" i="10" s="1"/>
  <c r="JI28" i="10"/>
  <c r="JC28" i="10"/>
  <c r="JJ28" i="10" s="1"/>
  <c r="JD28" i="10" s="1"/>
  <c r="JE28" i="10" s="1"/>
  <c r="JC33" i="10"/>
  <c r="JJ33" i="10" s="1"/>
  <c r="JD33" i="10" s="1"/>
  <c r="JE33" i="10" s="1"/>
  <c r="JI33" i="10"/>
  <c r="JC27" i="10"/>
  <c r="JJ27" i="10" s="1"/>
  <c r="JD27" i="10" s="1"/>
  <c r="JE27" i="10" s="1"/>
  <c r="JI27" i="10"/>
  <c r="JI29" i="10"/>
  <c r="JC29" i="10"/>
  <c r="JJ29" i="10" s="1"/>
  <c r="JD29" i="10" s="1"/>
  <c r="JE29" i="10" s="1"/>
  <c r="JI31" i="10"/>
  <c r="JC31" i="10"/>
  <c r="JJ31" i="10" s="1"/>
  <c r="JD31" i="10" s="1"/>
  <c r="JE31" i="10" s="1"/>
  <c r="JI34" i="10"/>
  <c r="JC34" i="10"/>
  <c r="JJ34" i="10" s="1"/>
  <c r="JD34" i="10" s="1"/>
  <c r="JE34" i="10" s="1"/>
  <c r="JI30" i="10"/>
  <c r="JC30" i="10"/>
  <c r="JJ30" i="10" s="1"/>
  <c r="JD30" i="10" s="1"/>
  <c r="JE30" i="10" s="1"/>
  <c r="IH34" i="10"/>
  <c r="IO34" i="10" s="1"/>
  <c r="II34" i="10" s="1"/>
  <c r="IJ34" i="10" s="1"/>
  <c r="IN34" i="10"/>
  <c r="IH33" i="10"/>
  <c r="IO33" i="10" s="1"/>
  <c r="II33" i="10" s="1"/>
  <c r="IJ33" i="10" s="1"/>
  <c r="IN33" i="10"/>
  <c r="IN27" i="10"/>
  <c r="IH27" i="10"/>
  <c r="IO27" i="10" s="1"/>
  <c r="II27" i="10" s="1"/>
  <c r="IJ27" i="10" s="1"/>
  <c r="IH29" i="10"/>
  <c r="IO29" i="10" s="1"/>
  <c r="II29" i="10" s="1"/>
  <c r="IJ29" i="10" s="1"/>
  <c r="IN29" i="10"/>
  <c r="IN31" i="10"/>
  <c r="IH31" i="10"/>
  <c r="IO31" i="10" s="1"/>
  <c r="II31" i="10" s="1"/>
  <c r="IJ31" i="10" s="1"/>
  <c r="IH36" i="10"/>
  <c r="IO36" i="10" s="1"/>
  <c r="II36" i="10" s="1"/>
  <c r="IJ36" i="10" s="1"/>
  <c r="IN36" i="10"/>
  <c r="IH28" i="10"/>
  <c r="IO28" i="10" s="1"/>
  <c r="II28" i="10" s="1"/>
  <c r="IJ28" i="10" s="1"/>
  <c r="IN28" i="10"/>
  <c r="IH30" i="10"/>
  <c r="IO30" i="10" s="1"/>
  <c r="II30" i="10" s="1"/>
  <c r="IJ30" i="10" s="1"/>
  <c r="IN30" i="10"/>
  <c r="IH32" i="10"/>
  <c r="IO32" i="10" s="1"/>
  <c r="II32" i="10" s="1"/>
  <c r="IJ32" i="10" s="1"/>
  <c r="IN32" i="10"/>
  <c r="IN35" i="10"/>
  <c r="IH35" i="10"/>
  <c r="IO35" i="10" s="1"/>
  <c r="II35" i="10" s="1"/>
  <c r="IJ35" i="10" s="1"/>
  <c r="KI20" i="20"/>
  <c r="P20" i="30" s="1"/>
  <c r="H1725" i="31" s="1"/>
  <c r="DM13" i="18"/>
  <c r="DN13" i="18" s="1"/>
  <c r="CF20" i="21"/>
  <c r="LZ22" i="10"/>
  <c r="MA22" i="10" s="1"/>
  <c r="MB22" i="10" s="1"/>
  <c r="MD22" i="10" s="1"/>
  <c r="MO22" i="10" s="1"/>
  <c r="MP22" i="10" s="1"/>
  <c r="P19" i="29"/>
  <c r="H1694" i="31" s="1"/>
  <c r="KI20" i="21"/>
  <c r="JU21" i="20"/>
  <c r="JU21" i="18"/>
  <c r="JR22" i="21"/>
  <c r="JS22" i="21" s="1"/>
  <c r="JT22" i="21" s="1"/>
  <c r="JV22" i="21" s="1"/>
  <c r="KG22" i="21" s="1"/>
  <c r="KH22" i="21" s="1"/>
  <c r="CZ14" i="20"/>
  <c r="H13" i="30"/>
  <c r="H1388" i="31" s="1"/>
  <c r="CP14" i="20"/>
  <c r="G13" i="30"/>
  <c r="H1358" i="31" s="1"/>
  <c r="DJ14" i="20"/>
  <c r="I13" i="30"/>
  <c r="H1418" i="31" s="1"/>
  <c r="BV14" i="20"/>
  <c r="E13" i="30"/>
  <c r="H1298" i="31" s="1"/>
  <c r="CF14" i="20"/>
  <c r="F13" i="30"/>
  <c r="H1328" i="31" s="1"/>
  <c r="EC14" i="21"/>
  <c r="ED14" i="21" s="1"/>
  <c r="EE14" i="21" s="1"/>
  <c r="EF14" i="21" s="1"/>
  <c r="K14" i="29" s="1"/>
  <c r="H1089" i="31" s="1"/>
  <c r="DM15" i="21"/>
  <c r="EB13" i="18"/>
  <c r="CM30" i="18"/>
  <c r="CN30" i="18" s="1"/>
  <c r="CO30" i="18" s="1"/>
  <c r="CM28" i="18"/>
  <c r="CN28" i="18" s="1"/>
  <c r="CO28" i="18" s="1"/>
  <c r="EC13" i="18"/>
  <c r="ED13" i="18" s="1"/>
  <c r="EE13" i="18" s="1"/>
  <c r="CM26" i="18"/>
  <c r="CN26" i="18" s="1"/>
  <c r="CO26" i="18" s="1"/>
  <c r="EN21" i="20"/>
  <c r="EJ22" i="20" s="1"/>
  <c r="KI31" i="10"/>
  <c r="P31" i="25" s="1"/>
  <c r="H416" i="31" s="1"/>
  <c r="DZ13" i="18"/>
  <c r="CW16" i="18"/>
  <c r="CX16" i="18" s="1"/>
  <c r="CY16" i="18" s="1"/>
  <c r="CV16" i="18"/>
  <c r="CM20" i="18"/>
  <c r="CN20" i="18" s="1"/>
  <c r="CO20" i="18" s="1"/>
  <c r="CM36" i="18"/>
  <c r="CN36" i="18" s="1"/>
  <c r="CO36" i="18" s="1"/>
  <c r="DG17" i="10"/>
  <c r="DH17" i="10" s="1"/>
  <c r="DI17" i="10" s="1"/>
  <c r="CT18" i="21"/>
  <c r="CU18" i="21" s="1"/>
  <c r="CW18" i="21" s="1"/>
  <c r="CX18" i="21" s="1"/>
  <c r="CY18" i="21" s="1"/>
  <c r="CZ18" i="21" s="1"/>
  <c r="H18" i="29" s="1"/>
  <c r="H1003" i="31" s="1"/>
  <c r="BT10" i="18"/>
  <c r="BU10" i="18" s="1"/>
  <c r="BV10" i="18" s="1"/>
  <c r="DS10" i="18"/>
  <c r="DT10" i="18" s="1"/>
  <c r="DU10" i="18" s="1"/>
  <c r="DH10" i="18"/>
  <c r="DI10" i="18" s="1"/>
  <c r="DJ10" i="18" s="1"/>
  <c r="CN10" i="18"/>
  <c r="CO10" i="18" s="1"/>
  <c r="CP10" i="18" s="1"/>
  <c r="CX10" i="18"/>
  <c r="CY10" i="18" s="1"/>
  <c r="CZ10" i="18" s="1"/>
  <c r="CD10" i="18"/>
  <c r="CE10" i="18" s="1"/>
  <c r="CF10" i="18" s="1"/>
  <c r="ED10" i="18"/>
  <c r="EE10" i="18" s="1"/>
  <c r="EF10" i="18" s="1"/>
  <c r="BY19" i="10"/>
  <c r="BZ19" i="10" s="1"/>
  <c r="CA19" i="10" s="1"/>
  <c r="CC19" i="10" s="1"/>
  <c r="CD19" i="10" s="1"/>
  <c r="CE19" i="10" s="1"/>
  <c r="BY23" i="18"/>
  <c r="EB14" i="21"/>
  <c r="DZ14" i="21"/>
  <c r="DC17" i="21"/>
  <c r="CM18" i="18"/>
  <c r="CN18" i="18" s="1"/>
  <c r="CO18" i="18" s="1"/>
  <c r="CM16" i="18"/>
  <c r="CN16" i="18" s="1"/>
  <c r="CO16" i="18" s="1"/>
  <c r="CL16" i="18"/>
  <c r="CI17" i="18" s="1"/>
  <c r="CJ17" i="18" s="1"/>
  <c r="CL17" i="18" s="1"/>
  <c r="CI18" i="18" s="1"/>
  <c r="CJ18" i="18" s="1"/>
  <c r="CL18" i="18" s="1"/>
  <c r="CM22" i="18"/>
  <c r="CN22" i="18" s="1"/>
  <c r="CO22" i="18" s="1"/>
  <c r="CM34" i="18"/>
  <c r="CN34" i="18" s="1"/>
  <c r="CO34" i="18" s="1"/>
  <c r="DF17" i="10"/>
  <c r="DC19" i="18"/>
  <c r="BE22" i="18"/>
  <c r="FC11" i="18"/>
  <c r="CC22" i="21"/>
  <c r="CD22" i="21" s="1"/>
  <c r="CE22" i="21" s="1"/>
  <c r="CB22" i="21"/>
  <c r="BI21" i="21"/>
  <c r="BT21" i="21" s="1"/>
  <c r="BU21" i="21" s="1"/>
  <c r="BV21" i="21" s="1"/>
  <c r="E21" i="29" s="1"/>
  <c r="H916" i="31" s="1"/>
  <c r="BH21" i="21"/>
  <c r="FC20" i="20"/>
  <c r="FS20" i="20"/>
  <c r="FL20" i="20"/>
  <c r="EB14" i="20"/>
  <c r="DZ14" i="20"/>
  <c r="DP14" i="20"/>
  <c r="DR14" i="20" s="1"/>
  <c r="DS14" i="20" s="1"/>
  <c r="DT14" i="20" s="1"/>
  <c r="DU14" i="20" s="1"/>
  <c r="J14" i="30" s="1"/>
  <c r="H1449" i="31" s="1"/>
  <c r="DF18" i="20"/>
  <c r="DC19" i="20" s="1"/>
  <c r="CV17" i="20"/>
  <c r="CW17" i="20"/>
  <c r="CX17" i="20" s="1"/>
  <c r="CY17" i="20" s="1"/>
  <c r="CL17" i="20"/>
  <c r="CB19" i="20"/>
  <c r="BG21" i="20"/>
  <c r="BI21" i="20" s="1"/>
  <c r="BT21" i="20" s="1"/>
  <c r="BU21" i="20" s="1"/>
  <c r="EJ16" i="21"/>
  <c r="FL11" i="18"/>
  <c r="EL12" i="18"/>
  <c r="FU12" i="18" s="1"/>
  <c r="N15" i="29"/>
  <c r="H1180" i="31" s="1"/>
  <c r="FZ14" i="21"/>
  <c r="FH14" i="21"/>
  <c r="EY14" i="21"/>
  <c r="FQ14" i="21"/>
  <c r="EM29" i="21"/>
  <c r="FC15" i="21"/>
  <c r="X16" i="21"/>
  <c r="C16" i="29" s="1"/>
  <c r="H851" i="31" s="1"/>
  <c r="L15" i="29"/>
  <c r="H1120" i="31" s="1"/>
  <c r="FZ11" i="18"/>
  <c r="FQ11" i="18"/>
  <c r="EY11" i="18"/>
  <c r="FH11" i="18"/>
  <c r="CP21" i="21" l="1"/>
  <c r="X10" i="18"/>
  <c r="N10" i="28" s="1"/>
  <c r="H785" i="31" s="1"/>
  <c r="DH15" i="18"/>
  <c r="DI15" i="18" s="1"/>
  <c r="CD15" i="18"/>
  <c r="CE15" i="18" s="1"/>
  <c r="BT15" i="18"/>
  <c r="BU15" i="18" s="1"/>
  <c r="CX15" i="18"/>
  <c r="CY15" i="18" s="1"/>
  <c r="L10" i="28"/>
  <c r="H725" i="31" s="1"/>
  <c r="JH28" i="10"/>
  <c r="JL28" i="10" s="1"/>
  <c r="IM34" i="10"/>
  <c r="IQ34" i="10" s="1"/>
  <c r="JH29" i="10"/>
  <c r="JL29" i="10" s="1"/>
  <c r="JH32" i="10"/>
  <c r="JM32" i="10" s="1"/>
  <c r="JN32" i="10" s="1"/>
  <c r="JH27" i="10"/>
  <c r="JL27" i="10" s="1"/>
  <c r="JH35" i="10"/>
  <c r="JH34" i="10"/>
  <c r="JH31" i="10"/>
  <c r="JH36" i="10"/>
  <c r="JH33" i="10"/>
  <c r="JH30" i="10"/>
  <c r="IM36" i="10"/>
  <c r="IQ36" i="10" s="1"/>
  <c r="IM28" i="10"/>
  <c r="IQ28" i="10" s="1"/>
  <c r="IM35" i="10"/>
  <c r="IM29" i="10"/>
  <c r="IM33" i="10"/>
  <c r="IM30" i="10"/>
  <c r="IM32" i="10"/>
  <c r="IM31" i="10"/>
  <c r="IM27" i="10"/>
  <c r="DH11" i="10"/>
  <c r="DI11" i="10" s="1"/>
  <c r="DJ11" i="10" s="1"/>
  <c r="I11" i="25" s="1"/>
  <c r="H186" i="31" s="1"/>
  <c r="CN11" i="10"/>
  <c r="CO11" i="10" s="1"/>
  <c r="CP11" i="10" s="1"/>
  <c r="G11" i="25" s="1"/>
  <c r="H126" i="31" s="1"/>
  <c r="CD11" i="10"/>
  <c r="CE11" i="10" s="1"/>
  <c r="CF11" i="10" s="1"/>
  <c r="F11" i="25" s="1"/>
  <c r="H96" i="31" s="1"/>
  <c r="CX11" i="10"/>
  <c r="CY11" i="10" s="1"/>
  <c r="CZ11" i="10" s="1"/>
  <c r="H11" i="25" s="1"/>
  <c r="H156" i="31" s="1"/>
  <c r="P15" i="28"/>
  <c r="H1660" i="31" s="1"/>
  <c r="N15" i="30"/>
  <c r="H1570" i="31" s="1"/>
  <c r="L15" i="30"/>
  <c r="H1510" i="31" s="1"/>
  <c r="X16" i="20"/>
  <c r="C16" i="30" s="1"/>
  <c r="H1241" i="31" s="1"/>
  <c r="KI21" i="20"/>
  <c r="P21" i="30" s="1"/>
  <c r="H1726" i="31" s="1"/>
  <c r="DP13" i="18"/>
  <c r="DR13" i="18" s="1"/>
  <c r="DS13" i="18" s="1"/>
  <c r="DT13" i="18" s="1"/>
  <c r="MC22" i="10"/>
  <c r="LZ23" i="10" s="1"/>
  <c r="MA23" i="10" s="1"/>
  <c r="MB23" i="10" s="1"/>
  <c r="MD23" i="10" s="1"/>
  <c r="MO23" i="10" s="1"/>
  <c r="MP23" i="10" s="1"/>
  <c r="JR22" i="18"/>
  <c r="JS22" i="18" s="1"/>
  <c r="JT22" i="18" s="1"/>
  <c r="JV22" i="18" s="1"/>
  <c r="KG22" i="18" s="1"/>
  <c r="KH22" i="18" s="1"/>
  <c r="CF21" i="21"/>
  <c r="F21" i="29" s="1"/>
  <c r="H946" i="31" s="1"/>
  <c r="F20" i="29"/>
  <c r="H945" i="31" s="1"/>
  <c r="P20" i="29"/>
  <c r="H1695" i="31" s="1"/>
  <c r="KI21" i="21"/>
  <c r="P21" i="29" s="1"/>
  <c r="H1696" i="31" s="1"/>
  <c r="JU22" i="21"/>
  <c r="P16" i="28"/>
  <c r="H1661" i="31" s="1"/>
  <c r="KI17" i="18"/>
  <c r="JR22" i="20"/>
  <c r="JS22" i="20" s="1"/>
  <c r="JT22" i="20" s="1"/>
  <c r="JV22" i="20" s="1"/>
  <c r="KG22" i="20" s="1"/>
  <c r="KH22" i="20" s="1"/>
  <c r="CZ11" i="18"/>
  <c r="H10" i="28"/>
  <c r="H605" i="31" s="1"/>
  <c r="BV11" i="18"/>
  <c r="E10" i="28"/>
  <c r="H515" i="31" s="1"/>
  <c r="CF15" i="20"/>
  <c r="F14" i="30"/>
  <c r="H1329" i="31" s="1"/>
  <c r="DJ15" i="20"/>
  <c r="I14" i="30"/>
  <c r="H1419" i="31" s="1"/>
  <c r="N11" i="28"/>
  <c r="H786" i="31" s="1"/>
  <c r="CP11" i="18"/>
  <c r="G10" i="28"/>
  <c r="H575" i="31" s="1"/>
  <c r="CZ15" i="20"/>
  <c r="H14" i="30"/>
  <c r="H1389" i="31" s="1"/>
  <c r="EF11" i="18"/>
  <c r="K10" i="28"/>
  <c r="H695" i="31" s="1"/>
  <c r="DJ11" i="18"/>
  <c r="I10" i="28"/>
  <c r="H635" i="31" s="1"/>
  <c r="BV15" i="20"/>
  <c r="E14" i="30"/>
  <c r="H1299" i="31" s="1"/>
  <c r="CF11" i="18"/>
  <c r="F10" i="28"/>
  <c r="H545" i="31" s="1"/>
  <c r="DU11" i="18"/>
  <c r="J10" i="28"/>
  <c r="H665" i="31" s="1"/>
  <c r="CP15" i="20"/>
  <c r="G14" i="30"/>
  <c r="H1359" i="31" s="1"/>
  <c r="CP22" i="21"/>
  <c r="G21" i="29"/>
  <c r="H976" i="31" s="1"/>
  <c r="L11" i="28"/>
  <c r="H726" i="31" s="1"/>
  <c r="EV21" i="20"/>
  <c r="EW21" i="20" s="1"/>
  <c r="EX21" i="20" s="1"/>
  <c r="EY21" i="20" s="1"/>
  <c r="EL21" i="20"/>
  <c r="DD17" i="21"/>
  <c r="BZ23" i="18"/>
  <c r="CA23" i="18" s="1"/>
  <c r="CC23" i="18" s="1"/>
  <c r="CD23" i="18" s="1"/>
  <c r="CE23" i="18" s="1"/>
  <c r="CV18" i="21"/>
  <c r="CS17" i="18"/>
  <c r="KI32" i="10"/>
  <c r="P32" i="25" s="1"/>
  <c r="H417" i="31" s="1"/>
  <c r="DX15" i="21"/>
  <c r="CB19" i="10"/>
  <c r="DX14" i="18"/>
  <c r="CI19" i="18"/>
  <c r="CJ19" i="18" s="1"/>
  <c r="CL19" i="18" s="1"/>
  <c r="DN15" i="21"/>
  <c r="DP15" i="21" s="1"/>
  <c r="DR15" i="21" s="1"/>
  <c r="DS15" i="21" s="1"/>
  <c r="DT15" i="21" s="1"/>
  <c r="DU15" i="21" s="1"/>
  <c r="J15" i="29" s="1"/>
  <c r="H1060" i="31" s="1"/>
  <c r="DC18" i="10"/>
  <c r="DD19" i="18"/>
  <c r="BF22" i="18"/>
  <c r="BG22" i="18" s="1"/>
  <c r="FC12" i="18"/>
  <c r="BY23" i="21"/>
  <c r="BE22" i="21"/>
  <c r="FT20" i="20"/>
  <c r="FV20" i="20" s="1"/>
  <c r="FW20" i="20" s="1"/>
  <c r="FX20" i="20" s="1"/>
  <c r="FY20" i="20" s="1"/>
  <c r="FZ20" i="20" s="1"/>
  <c r="EK22" i="20"/>
  <c r="FJ21" i="20"/>
  <c r="FA21" i="20"/>
  <c r="DX15" i="20"/>
  <c r="DY15" i="20" s="1"/>
  <c r="DQ14" i="20"/>
  <c r="DM15" i="20" s="1"/>
  <c r="DO14" i="20"/>
  <c r="DD19" i="20"/>
  <c r="CS18" i="20"/>
  <c r="CT18" i="20" s="1"/>
  <c r="CU18" i="20" s="1"/>
  <c r="CW18" i="20" s="1"/>
  <c r="CX18" i="20" s="1"/>
  <c r="CY18" i="20" s="1"/>
  <c r="CI18" i="20"/>
  <c r="BY20" i="20"/>
  <c r="BH21" i="20"/>
  <c r="BE22" i="20" s="1"/>
  <c r="BF22" i="20" s="1"/>
  <c r="BG22" i="20" s="1"/>
  <c r="EL13" i="18"/>
  <c r="EL14" i="18" s="1"/>
  <c r="FA16" i="21"/>
  <c r="FB16" i="21" s="1"/>
  <c r="FD16" i="21" s="1"/>
  <c r="EK16" i="21"/>
  <c r="FJ16" i="21"/>
  <c r="FK16" i="21" s="1"/>
  <c r="FS16" i="21"/>
  <c r="FL12" i="18"/>
  <c r="N16" i="29"/>
  <c r="H1181" i="31" s="1"/>
  <c r="FH15" i="21"/>
  <c r="FQ15" i="21"/>
  <c r="EY15" i="21"/>
  <c r="FZ15" i="21"/>
  <c r="EM30" i="21"/>
  <c r="L16" i="29"/>
  <c r="H1121" i="31" s="1"/>
  <c r="X17" i="21"/>
  <c r="C17" i="29" s="1"/>
  <c r="H852" i="31" s="1"/>
  <c r="EY12" i="18"/>
  <c r="FZ12" i="18"/>
  <c r="FQ12" i="18"/>
  <c r="FH12" i="18"/>
  <c r="AG8" i="10"/>
  <c r="AG9" i="10"/>
  <c r="AG10" i="10"/>
  <c r="AG7" i="10"/>
  <c r="EV9" i="10"/>
  <c r="EV10" i="10"/>
  <c r="EV11" i="10"/>
  <c r="EV12" i="10"/>
  <c r="EV13" i="10"/>
  <c r="EV7" i="10"/>
  <c r="EV8" i="10"/>
  <c r="EP11" i="10"/>
  <c r="EP12" i="10"/>
  <c r="EP13" i="10"/>
  <c r="EP14" i="10"/>
  <c r="EP15" i="10"/>
  <c r="EP16" i="10"/>
  <c r="EP17" i="10"/>
  <c r="EP18" i="10"/>
  <c r="JB18" i="10" s="1"/>
  <c r="EP19" i="10"/>
  <c r="JB19" i="10" s="1"/>
  <c r="EP20" i="10"/>
  <c r="JB20" i="10" s="1"/>
  <c r="EP21" i="10"/>
  <c r="EP22" i="10"/>
  <c r="EP23" i="10"/>
  <c r="EP24" i="10"/>
  <c r="EP25" i="10"/>
  <c r="EP26" i="10"/>
  <c r="EO9" i="10"/>
  <c r="EO10" i="10"/>
  <c r="EO8" i="10"/>
  <c r="EO7" i="10"/>
  <c r="EO11" i="10"/>
  <c r="IG23" i="10" l="1"/>
  <c r="JB23" i="10"/>
  <c r="JB24" i="10"/>
  <c r="IG24" i="10"/>
  <c r="IG26" i="10"/>
  <c r="JB26" i="10"/>
  <c r="IG22" i="10"/>
  <c r="JB22" i="10"/>
  <c r="IG25" i="10"/>
  <c r="JB25" i="10"/>
  <c r="IG21" i="10"/>
  <c r="JB21" i="10"/>
  <c r="C10" i="28"/>
  <c r="H455" i="31" s="1"/>
  <c r="JK28" i="10"/>
  <c r="JM27" i="10"/>
  <c r="JN27" i="10" s="1"/>
  <c r="JM28" i="10"/>
  <c r="JN28" i="10" s="1"/>
  <c r="IR34" i="10"/>
  <c r="IS34" i="10" s="1"/>
  <c r="IP34" i="10"/>
  <c r="IR36" i="10"/>
  <c r="IS36" i="10" s="1"/>
  <c r="KI22" i="20"/>
  <c r="P22" i="30" s="1"/>
  <c r="H1727" i="31" s="1"/>
  <c r="X11" i="18"/>
  <c r="JK27" i="10"/>
  <c r="IP28" i="10"/>
  <c r="JL32" i="10"/>
  <c r="JK32" i="10"/>
  <c r="IR28" i="10"/>
  <c r="IS28" i="10" s="1"/>
  <c r="IP36" i="10"/>
  <c r="JM29" i="10"/>
  <c r="JN29" i="10" s="1"/>
  <c r="JK29" i="10"/>
  <c r="JL33" i="10"/>
  <c r="JK33" i="10"/>
  <c r="JM33" i="10"/>
  <c r="JN33" i="10" s="1"/>
  <c r="JL35" i="10"/>
  <c r="JK35" i="10"/>
  <c r="JM35" i="10"/>
  <c r="JN35" i="10" s="1"/>
  <c r="JK36" i="10"/>
  <c r="JL36" i="10"/>
  <c r="JM36" i="10"/>
  <c r="JN36" i="10" s="1"/>
  <c r="JK30" i="10"/>
  <c r="JL30" i="10"/>
  <c r="JM30" i="10"/>
  <c r="JN30" i="10" s="1"/>
  <c r="JL31" i="10"/>
  <c r="JK31" i="10"/>
  <c r="JM31" i="10"/>
  <c r="JN31" i="10" s="1"/>
  <c r="JK34" i="10"/>
  <c r="JL34" i="10"/>
  <c r="JM34" i="10"/>
  <c r="JN34" i="10" s="1"/>
  <c r="IP30" i="10"/>
  <c r="IQ30" i="10"/>
  <c r="IR30" i="10"/>
  <c r="IS30" i="10" s="1"/>
  <c r="IQ29" i="10"/>
  <c r="IP29" i="10"/>
  <c r="IR29" i="10"/>
  <c r="IS29" i="10" s="1"/>
  <c r="IQ33" i="10"/>
  <c r="IP33" i="10"/>
  <c r="IR33" i="10"/>
  <c r="IS33" i="10" s="1"/>
  <c r="IQ27" i="10"/>
  <c r="IP27" i="10"/>
  <c r="IR27" i="10"/>
  <c r="IS27" i="10" s="1"/>
  <c r="IQ31" i="10"/>
  <c r="IP31" i="10"/>
  <c r="IR31" i="10"/>
  <c r="IS31" i="10" s="1"/>
  <c r="IQ32" i="10"/>
  <c r="IP32" i="10"/>
  <c r="IR32" i="10"/>
  <c r="IS32" i="10" s="1"/>
  <c r="IQ35" i="10"/>
  <c r="IP35" i="10"/>
  <c r="IR35" i="10"/>
  <c r="IS35" i="10" s="1"/>
  <c r="X17" i="20"/>
  <c r="C17" i="30" s="1"/>
  <c r="H1242" i="31" s="1"/>
  <c r="L16" i="30"/>
  <c r="H1511" i="31" s="1"/>
  <c r="N16" i="30"/>
  <c r="H1571" i="31" s="1"/>
  <c r="DQ13" i="18"/>
  <c r="DO13" i="18"/>
  <c r="JU22" i="20"/>
  <c r="JR23" i="20" s="1"/>
  <c r="JS23" i="20" s="1"/>
  <c r="JT23" i="20" s="1"/>
  <c r="JV23" i="20" s="1"/>
  <c r="KG23" i="20" s="1"/>
  <c r="KH23" i="20" s="1"/>
  <c r="CF22" i="21"/>
  <c r="F22" i="29" s="1"/>
  <c r="H947" i="31" s="1"/>
  <c r="KI22" i="21"/>
  <c r="P22" i="29" s="1"/>
  <c r="H1697" i="31" s="1"/>
  <c r="JU22" i="18"/>
  <c r="P17" i="28"/>
  <c r="H1662" i="31" s="1"/>
  <c r="KI18" i="18"/>
  <c r="JR23" i="21"/>
  <c r="MC23" i="10"/>
  <c r="EF12" i="18"/>
  <c r="K11" i="28"/>
  <c r="H696" i="31" s="1"/>
  <c r="CF12" i="18"/>
  <c r="F11" i="28"/>
  <c r="H546" i="31" s="1"/>
  <c r="CP12" i="18"/>
  <c r="G11" i="28"/>
  <c r="H576" i="31" s="1"/>
  <c r="BV12" i="18"/>
  <c r="E11" i="28"/>
  <c r="H516" i="31" s="1"/>
  <c r="DJ12" i="18"/>
  <c r="I11" i="28"/>
  <c r="H636" i="31" s="1"/>
  <c r="N12" i="28"/>
  <c r="H787" i="31" s="1"/>
  <c r="BV16" i="20"/>
  <c r="E15" i="30"/>
  <c r="H1300" i="31" s="1"/>
  <c r="G15" i="30"/>
  <c r="H1360" i="31" s="1"/>
  <c r="CP16" i="20"/>
  <c r="I15" i="30"/>
  <c r="H1420" i="31" s="1"/>
  <c r="DJ16" i="20"/>
  <c r="CP23" i="21"/>
  <c r="G22" i="29"/>
  <c r="H977" i="31" s="1"/>
  <c r="DU12" i="18"/>
  <c r="J11" i="28"/>
  <c r="H666" i="31" s="1"/>
  <c r="H15" i="30"/>
  <c r="H1390" i="31" s="1"/>
  <c r="CZ16" i="20"/>
  <c r="CF16" i="20"/>
  <c r="F15" i="30"/>
  <c r="H1330" i="31" s="1"/>
  <c r="CZ12" i="18"/>
  <c r="H11" i="28"/>
  <c r="H606" i="31" s="1"/>
  <c r="CI20" i="18"/>
  <c r="CJ20" i="18" s="1"/>
  <c r="CL20" i="18" s="1"/>
  <c r="CI21" i="18" s="1"/>
  <c r="CJ21" i="18" s="1"/>
  <c r="CL21" i="18" s="1"/>
  <c r="CI22" i="18" s="1"/>
  <c r="CJ22" i="18" s="1"/>
  <c r="CL22" i="18" s="1"/>
  <c r="CI23" i="18" s="1"/>
  <c r="CJ23" i="18" s="1"/>
  <c r="CL23" i="18" s="1"/>
  <c r="CI24" i="18" s="1"/>
  <c r="CJ24" i="18" s="1"/>
  <c r="CL24" i="18" s="1"/>
  <c r="CI25" i="18" s="1"/>
  <c r="CJ25" i="18" s="1"/>
  <c r="CL25" i="18" s="1"/>
  <c r="CS19" i="21"/>
  <c r="DO15" i="21"/>
  <c r="DQ15" i="21"/>
  <c r="BY20" i="10"/>
  <c r="BZ20" i="10" s="1"/>
  <c r="CA20" i="10" s="1"/>
  <c r="CC20" i="10" s="1"/>
  <c r="CD20" i="10" s="1"/>
  <c r="CE20" i="10" s="1"/>
  <c r="KI33" i="10"/>
  <c r="P33" i="25" s="1"/>
  <c r="H418" i="31" s="1"/>
  <c r="DY14" i="18"/>
  <c r="EA14" i="18" s="1"/>
  <c r="DY15" i="21"/>
  <c r="CB23" i="18"/>
  <c r="CT17" i="18"/>
  <c r="CU17" i="18" s="1"/>
  <c r="DE17" i="21"/>
  <c r="DD18" i="10"/>
  <c r="DE19" i="18"/>
  <c r="L12" i="28"/>
  <c r="H727" i="31" s="1"/>
  <c r="BI22" i="18"/>
  <c r="BT22" i="18" s="1"/>
  <c r="BU22" i="18" s="1"/>
  <c r="BH22" i="18"/>
  <c r="FU13" i="18"/>
  <c r="FU14" i="18" s="1"/>
  <c r="FU15" i="18" s="1"/>
  <c r="FS16" i="18" s="1"/>
  <c r="FT16" i="18" s="1"/>
  <c r="FC13" i="18"/>
  <c r="BZ23" i="21"/>
  <c r="CA23" i="21" s="1"/>
  <c r="BF22" i="21"/>
  <c r="BG22" i="21" s="1"/>
  <c r="FB21" i="20"/>
  <c r="FD21" i="20" s="1"/>
  <c r="FE21" i="20" s="1"/>
  <c r="FF21" i="20" s="1"/>
  <c r="FG21" i="20" s="1"/>
  <c r="FH21" i="20" s="1"/>
  <c r="EN22" i="20"/>
  <c r="FK21" i="20"/>
  <c r="FM21" i="20" s="1"/>
  <c r="FN21" i="20" s="1"/>
  <c r="FO21" i="20" s="1"/>
  <c r="FP21" i="20" s="1"/>
  <c r="FQ21" i="20" s="1"/>
  <c r="FU20" i="20"/>
  <c r="EA15" i="20"/>
  <c r="DZ15" i="20" s="1"/>
  <c r="DE19" i="20"/>
  <c r="DG19" i="20" s="1"/>
  <c r="DH19" i="20" s="1"/>
  <c r="DI19" i="20" s="1"/>
  <c r="DN15" i="20"/>
  <c r="CV18" i="20"/>
  <c r="CJ18" i="20"/>
  <c r="CK18" i="20" s="1"/>
  <c r="CM18" i="20" s="1"/>
  <c r="CN18" i="20" s="1"/>
  <c r="CO18" i="20" s="1"/>
  <c r="BZ20" i="20"/>
  <c r="CA20" i="20" s="1"/>
  <c r="CC20" i="20" s="1"/>
  <c r="CD20" i="20" s="1"/>
  <c r="CE20" i="20" s="1"/>
  <c r="BH22" i="20"/>
  <c r="BE23" i="20" s="1"/>
  <c r="BI22" i="20"/>
  <c r="BT22" i="20" s="1"/>
  <c r="BU22" i="20" s="1"/>
  <c r="FL13" i="18"/>
  <c r="FL14" i="18" s="1"/>
  <c r="FL15" i="18" s="1"/>
  <c r="FJ16" i="18" s="1"/>
  <c r="FK16" i="18" s="1"/>
  <c r="EN16" i="21"/>
  <c r="FE16" i="21"/>
  <c r="FF16" i="21" s="1"/>
  <c r="FG16" i="21" s="1"/>
  <c r="FH16" i="21" s="1"/>
  <c r="FC16" i="21"/>
  <c r="FA17" i="21" s="1"/>
  <c r="FT16" i="21"/>
  <c r="FV16" i="21" s="1"/>
  <c r="FW16" i="21" s="1"/>
  <c r="FX16" i="21" s="1"/>
  <c r="FY16" i="21" s="1"/>
  <c r="FZ16" i="21" s="1"/>
  <c r="FM16" i="21"/>
  <c r="FN16" i="21" s="1"/>
  <c r="FO16" i="21" s="1"/>
  <c r="FP16" i="21" s="1"/>
  <c r="FQ16" i="21" s="1"/>
  <c r="HL8" i="10"/>
  <c r="JB8" i="10"/>
  <c r="HL7" i="10"/>
  <c r="JB7" i="10"/>
  <c r="HL10" i="10"/>
  <c r="JB10" i="10"/>
  <c r="HL9" i="10"/>
  <c r="JB9" i="10"/>
  <c r="N17" i="29"/>
  <c r="H1182" i="31" s="1"/>
  <c r="X18" i="21"/>
  <c r="C18" i="29" s="1"/>
  <c r="H853" i="31" s="1"/>
  <c r="L17" i="29"/>
  <c r="H1122" i="31" s="1"/>
  <c r="EM31" i="21"/>
  <c r="FH13" i="18"/>
  <c r="FZ13" i="18"/>
  <c r="FQ13" i="18"/>
  <c r="EL15" i="18"/>
  <c r="EJ16" i="18" s="1"/>
  <c r="FC14" i="18"/>
  <c r="EY13" i="18"/>
  <c r="EO14" i="10"/>
  <c r="EU14" i="10" s="1"/>
  <c r="EU11" i="10"/>
  <c r="ET11" i="10"/>
  <c r="KI23" i="20" l="1"/>
  <c r="P23" i="30" s="1"/>
  <c r="H1728" i="31" s="1"/>
  <c r="X18" i="20"/>
  <c r="C18" i="30" s="1"/>
  <c r="H1243" i="31" s="1"/>
  <c r="N17" i="30"/>
  <c r="H1572" i="31" s="1"/>
  <c r="L17" i="30"/>
  <c r="H1512" i="31" s="1"/>
  <c r="C11" i="28"/>
  <c r="H456" i="31" s="1"/>
  <c r="X12" i="18"/>
  <c r="DM14" i="18"/>
  <c r="DN14" i="18" s="1"/>
  <c r="DP14" i="18" s="1"/>
  <c r="DR14" i="18" s="1"/>
  <c r="DS14" i="18" s="1"/>
  <c r="DT14" i="18" s="1"/>
  <c r="P18" i="28"/>
  <c r="H1663" i="31" s="1"/>
  <c r="KI19" i="18"/>
  <c r="LZ24" i="10"/>
  <c r="MA24" i="10" s="1"/>
  <c r="MB24" i="10" s="1"/>
  <c r="MD24" i="10" s="1"/>
  <c r="MO24" i="10" s="1"/>
  <c r="MP24" i="10" s="1"/>
  <c r="JR23" i="18"/>
  <c r="JU23" i="20"/>
  <c r="JS23" i="21"/>
  <c r="JT23" i="21" s="1"/>
  <c r="JV23" i="21" s="1"/>
  <c r="KG23" i="21" s="1"/>
  <c r="KH23" i="21" s="1"/>
  <c r="KI23" i="21" s="1"/>
  <c r="P23" i="29" s="1"/>
  <c r="H1698" i="31" s="1"/>
  <c r="BV13" i="18"/>
  <c r="E12" i="28"/>
  <c r="H517" i="31" s="1"/>
  <c r="CF13" i="18"/>
  <c r="F12" i="28"/>
  <c r="H547" i="31" s="1"/>
  <c r="CF17" i="20"/>
  <c r="F16" i="30"/>
  <c r="H1331" i="31" s="1"/>
  <c r="DU13" i="18"/>
  <c r="J13" i="28" s="1"/>
  <c r="H668" i="31" s="1"/>
  <c r="J12" i="28"/>
  <c r="H667" i="31" s="1"/>
  <c r="I16" i="30"/>
  <c r="H1421" i="31" s="1"/>
  <c r="DJ17" i="20"/>
  <c r="H16" i="30"/>
  <c r="H1391" i="31" s="1"/>
  <c r="CZ17" i="20"/>
  <c r="BV17" i="20"/>
  <c r="E16" i="30"/>
  <c r="H1301" i="31" s="1"/>
  <c r="DJ13" i="18"/>
  <c r="I12" i="28"/>
  <c r="H637" i="31" s="1"/>
  <c r="CP13" i="18"/>
  <c r="G12" i="28"/>
  <c r="H577" i="31" s="1"/>
  <c r="EF13" i="18"/>
  <c r="K13" i="28" s="1"/>
  <c r="H698" i="31" s="1"/>
  <c r="K12" i="28"/>
  <c r="H697" i="31" s="1"/>
  <c r="N13" i="28"/>
  <c r="H788" i="31" s="1"/>
  <c r="CZ13" i="18"/>
  <c r="H12" i="28"/>
  <c r="H607" i="31" s="1"/>
  <c r="CP24" i="21"/>
  <c r="G23" i="29"/>
  <c r="H978" i="31" s="1"/>
  <c r="G16" i="30"/>
  <c r="H1361" i="31" s="1"/>
  <c r="CP17" i="20"/>
  <c r="G17" i="30" s="1"/>
  <c r="H1362" i="31" s="1"/>
  <c r="CB20" i="10"/>
  <c r="BY21" i="10" s="1"/>
  <c r="BZ21" i="10" s="1"/>
  <c r="CA21" i="10" s="1"/>
  <c r="CC21" i="10" s="1"/>
  <c r="CD21" i="10" s="1"/>
  <c r="CE21" i="10" s="1"/>
  <c r="CW17" i="18"/>
  <c r="CX17" i="18" s="1"/>
  <c r="CY17" i="18" s="1"/>
  <c r="CI26" i="18"/>
  <c r="CJ26" i="18" s="1"/>
  <c r="CL26" i="18" s="1"/>
  <c r="CI27" i="18" s="1"/>
  <c r="CJ27" i="18" s="1"/>
  <c r="CL27" i="18" s="1"/>
  <c r="CI28" i="18" s="1"/>
  <c r="CJ28" i="18" s="1"/>
  <c r="CL28" i="18" s="1"/>
  <c r="CI29" i="18" s="1"/>
  <c r="CJ29" i="18" s="1"/>
  <c r="CL29" i="18" s="1"/>
  <c r="CI30" i="18" s="1"/>
  <c r="CJ30" i="18" s="1"/>
  <c r="CL30" i="18" s="1"/>
  <c r="CI31" i="18" s="1"/>
  <c r="CJ31" i="18" s="1"/>
  <c r="CL31" i="18" s="1"/>
  <c r="BY24" i="18"/>
  <c r="BZ24" i="18" s="1"/>
  <c r="CA24" i="18" s="1"/>
  <c r="CC24" i="18" s="1"/>
  <c r="CD24" i="18" s="1"/>
  <c r="CE24" i="18" s="1"/>
  <c r="DG17" i="21"/>
  <c r="DH17" i="21" s="1"/>
  <c r="DI17" i="21" s="1"/>
  <c r="DJ17" i="21" s="1"/>
  <c r="I17" i="29" s="1"/>
  <c r="H1032" i="31" s="1"/>
  <c r="EC14" i="18"/>
  <c r="ED14" i="18" s="1"/>
  <c r="EE14" i="18" s="1"/>
  <c r="KI34" i="10"/>
  <c r="P34" i="25" s="1"/>
  <c r="H419" i="31" s="1"/>
  <c r="CT19" i="21"/>
  <c r="CU19" i="21" s="1"/>
  <c r="CW19" i="21" s="1"/>
  <c r="CX19" i="21" s="1"/>
  <c r="CY19" i="21" s="1"/>
  <c r="CZ19" i="21" s="1"/>
  <c r="H19" i="29" s="1"/>
  <c r="H1004" i="31" s="1"/>
  <c r="EB14" i="18"/>
  <c r="DZ14" i="18"/>
  <c r="DM16" i="21"/>
  <c r="DG19" i="18"/>
  <c r="DH19" i="18" s="1"/>
  <c r="DI19" i="18" s="1"/>
  <c r="CV17" i="18"/>
  <c r="EA15" i="21"/>
  <c r="DZ15" i="21" s="1"/>
  <c r="DF17" i="21"/>
  <c r="DE18" i="10"/>
  <c r="DF19" i="18"/>
  <c r="BE23" i="18"/>
  <c r="CC23" i="21"/>
  <c r="CD23" i="21" s="1"/>
  <c r="CE23" i="21" s="1"/>
  <c r="CF23" i="21" s="1"/>
  <c r="F23" i="29" s="1"/>
  <c r="H948" i="31" s="1"/>
  <c r="CB23" i="21"/>
  <c r="BI22" i="21"/>
  <c r="BT22" i="21" s="1"/>
  <c r="BU22" i="21" s="1"/>
  <c r="BV22" i="21" s="1"/>
  <c r="E22" i="29" s="1"/>
  <c r="H917" i="31" s="1"/>
  <c r="BH22" i="21"/>
  <c r="EV22" i="20"/>
  <c r="EW22" i="20" s="1"/>
  <c r="EX22" i="20" s="1"/>
  <c r="EY22" i="20" s="1"/>
  <c r="EJ23" i="20"/>
  <c r="EL22" i="20"/>
  <c r="FS21" i="20"/>
  <c r="FL21" i="20"/>
  <c r="FC21" i="20"/>
  <c r="EC15" i="20"/>
  <c r="ED15" i="20" s="1"/>
  <c r="EE15" i="20" s="1"/>
  <c r="EF15" i="20" s="1"/>
  <c r="K15" i="30" s="1"/>
  <c r="H1480" i="31" s="1"/>
  <c r="EB15" i="20"/>
  <c r="DX16" i="20" s="1"/>
  <c r="DY16" i="20" s="1"/>
  <c r="DP15" i="20"/>
  <c r="DR15" i="20" s="1"/>
  <c r="DS15" i="20" s="1"/>
  <c r="DT15" i="20" s="1"/>
  <c r="DU15" i="20" s="1"/>
  <c r="J15" i="30" s="1"/>
  <c r="H1450" i="31" s="1"/>
  <c r="DF19" i="20"/>
  <c r="CS19" i="20"/>
  <c r="CL18" i="20"/>
  <c r="CB20" i="20"/>
  <c r="BF23" i="20"/>
  <c r="BG23" i="20" s="1"/>
  <c r="FL16" i="21"/>
  <c r="FJ17" i="21" s="1"/>
  <c r="FK17" i="21" s="1"/>
  <c r="FM17" i="21" s="1"/>
  <c r="EV16" i="21"/>
  <c r="EW16" i="21" s="1"/>
  <c r="EX16" i="21" s="1"/>
  <c r="EY16" i="21" s="1"/>
  <c r="EJ17" i="21"/>
  <c r="EK17" i="21" s="1"/>
  <c r="EN17" i="21" s="1"/>
  <c r="EL16" i="21"/>
  <c r="FU16" i="21"/>
  <c r="FS17" i="21" s="1"/>
  <c r="FM16" i="18"/>
  <c r="EK16" i="18"/>
  <c r="N18" i="30"/>
  <c r="H1573" i="31" s="1"/>
  <c r="FB17" i="21"/>
  <c r="FD17" i="21" s="1"/>
  <c r="N18" i="29"/>
  <c r="H1183" i="31" s="1"/>
  <c r="EM32" i="21"/>
  <c r="L18" i="29"/>
  <c r="H1123" i="31" s="1"/>
  <c r="X19" i="21"/>
  <c r="C19" i="29" s="1"/>
  <c r="H854" i="31" s="1"/>
  <c r="X19" i="20"/>
  <c r="C19" i="30" s="1"/>
  <c r="H1244" i="31" s="1"/>
  <c r="L18" i="30"/>
  <c r="H1513" i="31" s="1"/>
  <c r="FC15" i="18"/>
  <c r="FA16" i="18" s="1"/>
  <c r="FB16" i="18" s="1"/>
  <c r="FZ14" i="18"/>
  <c r="EW11" i="10"/>
  <c r="EX11" i="10" s="1"/>
  <c r="FX11" i="10"/>
  <c r="FY11" i="10" s="1"/>
  <c r="FF11" i="10"/>
  <c r="FG11" i="10" s="1"/>
  <c r="FO11" i="10"/>
  <c r="FP11" i="10" s="1"/>
  <c r="EY14" i="18"/>
  <c r="FQ14" i="18"/>
  <c r="FH14" i="18"/>
  <c r="ET14" i="10"/>
  <c r="AW12" i="10"/>
  <c r="LR12" i="10" s="1"/>
  <c r="EI7" i="10"/>
  <c r="EM7" i="10"/>
  <c r="EM8" i="10" s="1"/>
  <c r="EM9" i="10" s="1"/>
  <c r="EM10" i="10" s="1"/>
  <c r="EM11" i="10" s="1"/>
  <c r="EM12" i="10" s="1"/>
  <c r="EM13" i="10" s="1"/>
  <c r="EM14" i="10" s="1"/>
  <c r="C12" i="28" l="1"/>
  <c r="H457" i="31" s="1"/>
  <c r="X13" i="18"/>
  <c r="DO14" i="18"/>
  <c r="DQ14" i="18"/>
  <c r="JS23" i="18"/>
  <c r="LT12" i="10"/>
  <c r="LV12" i="10"/>
  <c r="MH12" i="10" s="1"/>
  <c r="MI12" i="10" s="1"/>
  <c r="P19" i="28"/>
  <c r="H1664" i="31" s="1"/>
  <c r="KI20" i="18"/>
  <c r="JR24" i="20"/>
  <c r="JS24" i="20" s="1"/>
  <c r="JT24" i="20" s="1"/>
  <c r="JV24" i="20" s="1"/>
  <c r="KG24" i="20" s="1"/>
  <c r="KH24" i="20" s="1"/>
  <c r="KI24" i="20" s="1"/>
  <c r="P24" i="30" s="1"/>
  <c r="H1729" i="31" s="1"/>
  <c r="JU23" i="21"/>
  <c r="MC24" i="10"/>
  <c r="CP18" i="20"/>
  <c r="G18" i="30" s="1"/>
  <c r="H1363" i="31" s="1"/>
  <c r="CP14" i="18"/>
  <c r="G13" i="28"/>
  <c r="H578" i="31" s="1"/>
  <c r="BV18" i="20"/>
  <c r="E17" i="30"/>
  <c r="H1302" i="31" s="1"/>
  <c r="I17" i="30"/>
  <c r="H1422" i="31" s="1"/>
  <c r="DJ18" i="20"/>
  <c r="BV14" i="18"/>
  <c r="E13" i="28"/>
  <c r="H518" i="31" s="1"/>
  <c r="DJ14" i="18"/>
  <c r="I13" i="28"/>
  <c r="H638" i="31" s="1"/>
  <c r="CF14" i="18"/>
  <c r="F13" i="28"/>
  <c r="H548" i="31" s="1"/>
  <c r="CP25" i="21"/>
  <c r="G24" i="29"/>
  <c r="H979" i="31" s="1"/>
  <c r="N14" i="28"/>
  <c r="H789" i="31" s="1"/>
  <c r="EF14" i="18"/>
  <c r="K14" i="28" s="1"/>
  <c r="H699" i="31" s="1"/>
  <c r="CZ14" i="18"/>
  <c r="H13" i="28"/>
  <c r="H608" i="31" s="1"/>
  <c r="H17" i="30"/>
  <c r="H1392" i="31" s="1"/>
  <c r="CZ18" i="20"/>
  <c r="H18" i="30" s="1"/>
  <c r="H1393" i="31" s="1"/>
  <c r="F17" i="30"/>
  <c r="H1332" i="31" s="1"/>
  <c r="CF18" i="20"/>
  <c r="DU14" i="18"/>
  <c r="J14" i="28" s="1"/>
  <c r="H669" i="31" s="1"/>
  <c r="CI32" i="18"/>
  <c r="CJ32" i="18" s="1"/>
  <c r="CL32" i="18" s="1"/>
  <c r="CI33" i="18" s="1"/>
  <c r="CJ33" i="18" s="1"/>
  <c r="CL33" i="18" s="1"/>
  <c r="DG18" i="10"/>
  <c r="DH18" i="10" s="1"/>
  <c r="DI18" i="10" s="1"/>
  <c r="DN16" i="21"/>
  <c r="DP16" i="21" s="1"/>
  <c r="DR16" i="21" s="1"/>
  <c r="DS16" i="21" s="1"/>
  <c r="DT16" i="21" s="1"/>
  <c r="DU16" i="21" s="1"/>
  <c r="J16" i="29" s="1"/>
  <c r="H1061" i="31" s="1"/>
  <c r="KI35" i="10"/>
  <c r="P35" i="25" s="1"/>
  <c r="H420" i="31" s="1"/>
  <c r="DC18" i="21"/>
  <c r="CV19" i="21"/>
  <c r="EC15" i="21"/>
  <c r="ED15" i="21" s="1"/>
  <c r="EE15" i="21" s="1"/>
  <c r="EF15" i="21" s="1"/>
  <c r="K15" i="29" s="1"/>
  <c r="H1090" i="31" s="1"/>
  <c r="EB15" i="21"/>
  <c r="CB21" i="10"/>
  <c r="CB24" i="18"/>
  <c r="BY25" i="18" s="1"/>
  <c r="CS18" i="18"/>
  <c r="DX15" i="18"/>
  <c r="DF18" i="10"/>
  <c r="EO12" i="10"/>
  <c r="EU12" i="10" s="1"/>
  <c r="BA12" i="10"/>
  <c r="DC20" i="18"/>
  <c r="L14" i="28"/>
  <c r="H729" i="31" s="1"/>
  <c r="BF23" i="18"/>
  <c r="BG23" i="18" s="1"/>
  <c r="BY24" i="21"/>
  <c r="BE23" i="21"/>
  <c r="FA22" i="20"/>
  <c r="FJ22" i="20"/>
  <c r="FT21" i="20"/>
  <c r="FV21" i="20" s="1"/>
  <c r="FW21" i="20" s="1"/>
  <c r="FX21" i="20" s="1"/>
  <c r="FY21" i="20" s="1"/>
  <c r="FZ21" i="20" s="1"/>
  <c r="EK23" i="20"/>
  <c r="EN23" i="20" s="1"/>
  <c r="DO15" i="20"/>
  <c r="EA16" i="20"/>
  <c r="EC16" i="20" s="1"/>
  <c r="ED16" i="20" s="1"/>
  <c r="EE16" i="20" s="1"/>
  <c r="EF16" i="20" s="1"/>
  <c r="K16" i="30" s="1"/>
  <c r="H1481" i="31" s="1"/>
  <c r="DC20" i="20"/>
  <c r="DQ15" i="20"/>
  <c r="DM16" i="20" s="1"/>
  <c r="CT19" i="20"/>
  <c r="CU19" i="20" s="1"/>
  <c r="CW19" i="20" s="1"/>
  <c r="CX19" i="20" s="1"/>
  <c r="CY19" i="20" s="1"/>
  <c r="CI19" i="20"/>
  <c r="CJ19" i="20" s="1"/>
  <c r="CK19" i="20" s="1"/>
  <c r="CM19" i="20" s="1"/>
  <c r="CN19" i="20" s="1"/>
  <c r="CO19" i="20" s="1"/>
  <c r="BY21" i="20"/>
  <c r="BZ21" i="20" s="1"/>
  <c r="CA21" i="20" s="1"/>
  <c r="CC21" i="20" s="1"/>
  <c r="CD21" i="20" s="1"/>
  <c r="CE21" i="20" s="1"/>
  <c r="BH23" i="20"/>
  <c r="BI23" i="20"/>
  <c r="BT23" i="20" s="1"/>
  <c r="BU23" i="20" s="1"/>
  <c r="FN17" i="21"/>
  <c r="FO17" i="21" s="1"/>
  <c r="FP17" i="21" s="1"/>
  <c r="FQ17" i="21" s="1"/>
  <c r="FL17" i="21"/>
  <c r="FJ18" i="21" s="1"/>
  <c r="FT17" i="21"/>
  <c r="FV17" i="21" s="1"/>
  <c r="FD16" i="18"/>
  <c r="EN16" i="18" s="1"/>
  <c r="EJ17" i="18" s="1"/>
  <c r="FN16" i="18"/>
  <c r="FO16" i="18" s="1"/>
  <c r="FP16" i="18" s="1"/>
  <c r="FL16" i="18"/>
  <c r="FJ17" i="18" s="1"/>
  <c r="N19" i="30"/>
  <c r="H1574" i="31" s="1"/>
  <c r="N19" i="29"/>
  <c r="H1184" i="31" s="1"/>
  <c r="FE17" i="21"/>
  <c r="FF17" i="21" s="1"/>
  <c r="FG17" i="21" s="1"/>
  <c r="FH17" i="21" s="1"/>
  <c r="X20" i="21"/>
  <c r="C20" i="29" s="1"/>
  <c r="H855" i="31" s="1"/>
  <c r="L19" i="29"/>
  <c r="H1124" i="31" s="1"/>
  <c r="EM33" i="21"/>
  <c r="FC17" i="21"/>
  <c r="X20" i="20"/>
  <c r="C20" i="30" s="1"/>
  <c r="H1245" i="31" s="1"/>
  <c r="L19" i="30"/>
  <c r="H1514" i="31" s="1"/>
  <c r="FH15" i="18"/>
  <c r="EY15" i="18"/>
  <c r="FZ15" i="18"/>
  <c r="FQ15" i="18"/>
  <c r="AW13" i="10"/>
  <c r="LR13" i="10" s="1"/>
  <c r="EI8" i="10"/>
  <c r="EI9" i="10" s="1"/>
  <c r="EI10" i="10" s="1"/>
  <c r="EJ7" i="10"/>
  <c r="EM15" i="10"/>
  <c r="EM16" i="10" s="1"/>
  <c r="EM17" i="10" s="1"/>
  <c r="EM18" i="10" s="1"/>
  <c r="EM19" i="10" s="1"/>
  <c r="EM20" i="10" s="1"/>
  <c r="EM21" i="10" s="1"/>
  <c r="EM22" i="10" s="1"/>
  <c r="EM23" i="10" s="1"/>
  <c r="EM24" i="10" s="1"/>
  <c r="D93" i="9"/>
  <c r="D94" i="9"/>
  <c r="D95" i="9"/>
  <c r="D96" i="9"/>
  <c r="D97" i="9"/>
  <c r="D98" i="9"/>
  <c r="D99" i="9"/>
  <c r="D92" i="9"/>
  <c r="L13" i="28" l="1"/>
  <c r="H728" i="31" s="1"/>
  <c r="C13" i="28"/>
  <c r="H458" i="31" s="1"/>
  <c r="X14" i="18"/>
  <c r="DM15" i="18"/>
  <c r="DN15" i="18" s="1"/>
  <c r="BM12" i="10"/>
  <c r="BN12" i="10" s="1"/>
  <c r="ME12" i="10"/>
  <c r="ML12" i="10" s="1"/>
  <c r="MF12" i="10" s="1"/>
  <c r="MG12" i="10" s="1"/>
  <c r="MJ12" i="10" s="1"/>
  <c r="MK12" i="10"/>
  <c r="BP12" i="10"/>
  <c r="BJ12" i="10"/>
  <c r="BQ12" i="10" s="1"/>
  <c r="BK12" i="10" s="1"/>
  <c r="BL12" i="10" s="1"/>
  <c r="CZ19" i="20"/>
  <c r="H19" i="30" s="1"/>
  <c r="H1394" i="31" s="1"/>
  <c r="JU24" i="20"/>
  <c r="JR25" i="20" s="1"/>
  <c r="LV13" i="10"/>
  <c r="MH13" i="10" s="1"/>
  <c r="MI13" i="10" s="1"/>
  <c r="LT13" i="10"/>
  <c r="P20" i="28"/>
  <c r="H1665" i="31" s="1"/>
  <c r="KI21" i="18"/>
  <c r="JT23" i="18"/>
  <c r="JV23" i="18" s="1"/>
  <c r="KG23" i="18" s="1"/>
  <c r="KH23" i="18" s="1"/>
  <c r="JR24" i="21"/>
  <c r="LZ25" i="10"/>
  <c r="CP19" i="20"/>
  <c r="G19" i="30" s="1"/>
  <c r="H1364" i="31" s="1"/>
  <c r="CP26" i="21"/>
  <c r="G25" i="29"/>
  <c r="H980" i="31" s="1"/>
  <c r="DJ15" i="18"/>
  <c r="I14" i="28"/>
  <c r="H639" i="31" s="1"/>
  <c r="CP15" i="18"/>
  <c r="G14" i="28"/>
  <c r="H579" i="31" s="1"/>
  <c r="F18" i="30"/>
  <c r="H1333" i="31" s="1"/>
  <c r="CF19" i="20"/>
  <c r="CF15" i="18"/>
  <c r="F14" i="28"/>
  <c r="H549" i="31" s="1"/>
  <c r="BV15" i="18"/>
  <c r="E14" i="28"/>
  <c r="H519" i="31" s="1"/>
  <c r="BV19" i="20"/>
  <c r="E18" i="30"/>
  <c r="H1303" i="31" s="1"/>
  <c r="N15" i="28"/>
  <c r="H790" i="31" s="1"/>
  <c r="CZ15" i="18"/>
  <c r="H14" i="28"/>
  <c r="H609" i="31" s="1"/>
  <c r="I18" i="30"/>
  <c r="H1423" i="31" s="1"/>
  <c r="DJ19" i="20"/>
  <c r="I19" i="30" s="1"/>
  <c r="H1424" i="31" s="1"/>
  <c r="CI34" i="18"/>
  <c r="CJ34" i="18" s="1"/>
  <c r="CL34" i="18" s="1"/>
  <c r="CI35" i="18" s="1"/>
  <c r="CJ35" i="18" s="1"/>
  <c r="CL35" i="18" s="1"/>
  <c r="DY15" i="18"/>
  <c r="EA15" i="18" s="1"/>
  <c r="CT18" i="18"/>
  <c r="CU18" i="18" s="1"/>
  <c r="DX16" i="21"/>
  <c r="DY16" i="21" s="1"/>
  <c r="BZ25" i="18"/>
  <c r="CA25" i="18" s="1"/>
  <c r="CC25" i="18" s="1"/>
  <c r="CD25" i="18" s="1"/>
  <c r="CE25" i="18" s="1"/>
  <c r="KI36" i="10"/>
  <c r="P36" i="25" s="1"/>
  <c r="H421" i="31" s="1"/>
  <c r="DO16" i="21"/>
  <c r="DQ16" i="21"/>
  <c r="BY22" i="10"/>
  <c r="BZ22" i="10" s="1"/>
  <c r="CA22" i="10" s="1"/>
  <c r="CC22" i="10" s="1"/>
  <c r="CD22" i="10" s="1"/>
  <c r="CE22" i="10" s="1"/>
  <c r="CS20" i="21"/>
  <c r="CT20" i="21" s="1"/>
  <c r="CU20" i="21" s="1"/>
  <c r="CW20" i="21" s="1"/>
  <c r="CX20" i="21" s="1"/>
  <c r="CY20" i="21" s="1"/>
  <c r="CZ20" i="21" s="1"/>
  <c r="H20" i="29" s="1"/>
  <c r="H1005" i="31" s="1"/>
  <c r="DD18" i="21"/>
  <c r="DC19" i="10"/>
  <c r="ET12" i="10"/>
  <c r="EO13" i="10"/>
  <c r="EU13" i="10" s="1"/>
  <c r="BA13" i="10"/>
  <c r="DD20" i="18"/>
  <c r="DE20" i="18" s="1"/>
  <c r="L15" i="28"/>
  <c r="H730" i="31" s="1"/>
  <c r="BI23" i="18"/>
  <c r="BT23" i="18" s="1"/>
  <c r="BU23" i="18" s="1"/>
  <c r="BH23" i="18"/>
  <c r="BZ24" i="21"/>
  <c r="CA24" i="21" s="1"/>
  <c r="BF23" i="21"/>
  <c r="BG23" i="21" s="1"/>
  <c r="EV23" i="20"/>
  <c r="EW23" i="20" s="1"/>
  <c r="EX23" i="20" s="1"/>
  <c r="EY23" i="20" s="1"/>
  <c r="EJ24" i="20"/>
  <c r="EL23" i="20"/>
  <c r="FK22" i="20"/>
  <c r="FU21" i="20"/>
  <c r="FB22" i="20"/>
  <c r="FD22" i="20" s="1"/>
  <c r="FE22" i="20" s="1"/>
  <c r="FF22" i="20" s="1"/>
  <c r="FG22" i="20" s="1"/>
  <c r="FH22" i="20" s="1"/>
  <c r="EB16" i="20"/>
  <c r="DZ16" i="20"/>
  <c r="DD20" i="20"/>
  <c r="DE20" i="20" s="1"/>
  <c r="DG20" i="20" s="1"/>
  <c r="DH20" i="20" s="1"/>
  <c r="DI20" i="20" s="1"/>
  <c r="CV19" i="20"/>
  <c r="CL19" i="20"/>
  <c r="CB21" i="20"/>
  <c r="BE24" i="20"/>
  <c r="FK17" i="18"/>
  <c r="FM17" i="18" s="1"/>
  <c r="FC16" i="18"/>
  <c r="FE16" i="18"/>
  <c r="FF16" i="18" s="1"/>
  <c r="FG16" i="18" s="1"/>
  <c r="FH16" i="18" s="1"/>
  <c r="FV16" i="18"/>
  <c r="N20" i="30"/>
  <c r="H1575" i="31" s="1"/>
  <c r="N20" i="29"/>
  <c r="H1185" i="31" s="1"/>
  <c r="FA18" i="21"/>
  <c r="FW17" i="21"/>
  <c r="FX17" i="21" s="1"/>
  <c r="FY17" i="21" s="1"/>
  <c r="FZ17" i="21" s="1"/>
  <c r="FU17" i="21"/>
  <c r="FK18" i="21"/>
  <c r="FM18" i="21" s="1"/>
  <c r="L20" i="29"/>
  <c r="H1125" i="31" s="1"/>
  <c r="X21" i="21"/>
  <c r="C21" i="29" s="1"/>
  <c r="H856" i="31" s="1"/>
  <c r="EM34" i="21"/>
  <c r="EV17" i="21"/>
  <c r="EW17" i="21" s="1"/>
  <c r="EX17" i="21" s="1"/>
  <c r="EY17" i="21" s="1"/>
  <c r="EJ18" i="21"/>
  <c r="EL17" i="21"/>
  <c r="L20" i="30"/>
  <c r="H1515" i="31" s="1"/>
  <c r="X21" i="20"/>
  <c r="C21" i="30" s="1"/>
  <c r="H1246" i="31" s="1"/>
  <c r="FS7" i="10"/>
  <c r="FA7" i="10"/>
  <c r="EK7" i="10"/>
  <c r="FJ7" i="10"/>
  <c r="EW12" i="10"/>
  <c r="EX12" i="10" s="1"/>
  <c r="FF12" i="10"/>
  <c r="FG12" i="10" s="1"/>
  <c r="FX12" i="10"/>
  <c r="FY12" i="10" s="1"/>
  <c r="FO12" i="10"/>
  <c r="FP12" i="10" s="1"/>
  <c r="FQ16" i="18"/>
  <c r="EJ8" i="10"/>
  <c r="EM25" i="10"/>
  <c r="EM26" i="10" s="1"/>
  <c r="EM27" i="10" s="1"/>
  <c r="MN12" i="10" l="1"/>
  <c r="MM12" i="10"/>
  <c r="DP15" i="18"/>
  <c r="DR15" i="18" s="1"/>
  <c r="DS15" i="18" s="1"/>
  <c r="DT15" i="18" s="1"/>
  <c r="DU15" i="18" s="1"/>
  <c r="J15" i="28" s="1"/>
  <c r="H670" i="31" s="1"/>
  <c r="C14" i="28"/>
  <c r="H459" i="31" s="1"/>
  <c r="X15" i="18"/>
  <c r="BM13" i="10"/>
  <c r="BN13" i="10" s="1"/>
  <c r="BO12" i="10"/>
  <c r="MO12" i="10"/>
  <c r="MP12" i="10" s="1"/>
  <c r="MQ12" i="10" s="1"/>
  <c r="R12" i="25" s="1"/>
  <c r="H1627" i="31" s="1"/>
  <c r="ME13" i="10"/>
  <c r="ML13" i="10" s="1"/>
  <c r="MF13" i="10" s="1"/>
  <c r="MG13" i="10" s="1"/>
  <c r="MJ13" i="10" s="1"/>
  <c r="MK13" i="10"/>
  <c r="DO15" i="18"/>
  <c r="BP13" i="10"/>
  <c r="BJ13" i="10"/>
  <c r="BQ13" i="10" s="1"/>
  <c r="BK13" i="10" s="1"/>
  <c r="BL13" i="10" s="1"/>
  <c r="DJ20" i="20"/>
  <c r="I20" i="30" s="1"/>
  <c r="H1425" i="31" s="1"/>
  <c r="JU23" i="18"/>
  <c r="JR24" i="18" s="1"/>
  <c r="JS24" i="18" s="1"/>
  <c r="JS24" i="21"/>
  <c r="JT24" i="21" s="1"/>
  <c r="JV24" i="21" s="1"/>
  <c r="KG24" i="21" s="1"/>
  <c r="KH24" i="21" s="1"/>
  <c r="KI24" i="21" s="1"/>
  <c r="P24" i="29" s="1"/>
  <c r="H1699" i="31" s="1"/>
  <c r="MA25" i="10"/>
  <c r="MB25" i="10" s="1"/>
  <c r="MD25" i="10" s="1"/>
  <c r="MO25" i="10" s="1"/>
  <c r="MP25" i="10" s="1"/>
  <c r="JS25" i="20"/>
  <c r="P21" i="28"/>
  <c r="H1666" i="31" s="1"/>
  <c r="KI22" i="18"/>
  <c r="P22" i="28" s="1"/>
  <c r="H1667" i="31" s="1"/>
  <c r="DJ16" i="18"/>
  <c r="I15" i="28"/>
  <c r="H640" i="31" s="1"/>
  <c r="N16" i="28"/>
  <c r="H791" i="31" s="1"/>
  <c r="H15" i="28"/>
  <c r="H610" i="31" s="1"/>
  <c r="CZ16" i="18"/>
  <c r="CF16" i="18"/>
  <c r="F15" i="28"/>
  <c r="H550" i="31" s="1"/>
  <c r="F19" i="30"/>
  <c r="H1334" i="31" s="1"/>
  <c r="CF20" i="20"/>
  <c r="G15" i="28"/>
  <c r="H580" i="31" s="1"/>
  <c r="CP16" i="18"/>
  <c r="CP27" i="21"/>
  <c r="G26" i="29"/>
  <c r="H981" i="31" s="1"/>
  <c r="E19" i="30"/>
  <c r="H1304" i="31" s="1"/>
  <c r="BV20" i="20"/>
  <c r="BV16" i="18"/>
  <c r="E15" i="28"/>
  <c r="H520" i="31" s="1"/>
  <c r="L16" i="28"/>
  <c r="H731" i="31" s="1"/>
  <c r="CV20" i="21"/>
  <c r="CS21" i="21" s="1"/>
  <c r="DG20" i="18"/>
  <c r="DH20" i="18" s="1"/>
  <c r="DI20" i="18" s="1"/>
  <c r="CW18" i="18"/>
  <c r="CX18" i="18" s="1"/>
  <c r="CY18" i="18" s="1"/>
  <c r="CB22" i="10"/>
  <c r="CV18" i="18"/>
  <c r="CI36" i="18"/>
  <c r="CJ36" i="18" s="1"/>
  <c r="CL36" i="18" s="1"/>
  <c r="DM17" i="21"/>
  <c r="DN17" i="21" s="1"/>
  <c r="EA16" i="21"/>
  <c r="EB16" i="21" s="1"/>
  <c r="EC15" i="18"/>
  <c r="ED15" i="18" s="1"/>
  <c r="EE15" i="18" s="1"/>
  <c r="EF15" i="18" s="1"/>
  <c r="K15" i="28" s="1"/>
  <c r="H700" i="31" s="1"/>
  <c r="DE18" i="21"/>
  <c r="CB25" i="18"/>
  <c r="BY26" i="18" s="1"/>
  <c r="BZ26" i="18" s="1"/>
  <c r="CA26" i="18" s="1"/>
  <c r="DZ15" i="18"/>
  <c r="EB15" i="18"/>
  <c r="DD19" i="10"/>
  <c r="ET13" i="10"/>
  <c r="DF20" i="18"/>
  <c r="BE24" i="18"/>
  <c r="CC24" i="21"/>
  <c r="CD24" i="21" s="1"/>
  <c r="CE24" i="21" s="1"/>
  <c r="CF24" i="21" s="1"/>
  <c r="F24" i="29" s="1"/>
  <c r="H949" i="31" s="1"/>
  <c r="CB24" i="21"/>
  <c r="BI23" i="21"/>
  <c r="BT23" i="21" s="1"/>
  <c r="BU23" i="21" s="1"/>
  <c r="BV23" i="21" s="1"/>
  <c r="E23" i="29" s="1"/>
  <c r="H918" i="31" s="1"/>
  <c r="BH23" i="21"/>
  <c r="FC22" i="20"/>
  <c r="FS22" i="20"/>
  <c r="FM22" i="20"/>
  <c r="FN22" i="20" s="1"/>
  <c r="FO22" i="20" s="1"/>
  <c r="FP22" i="20" s="1"/>
  <c r="FQ22" i="20" s="1"/>
  <c r="EK24" i="20"/>
  <c r="EN24" i="20" s="1"/>
  <c r="EV24" i="20" s="1"/>
  <c r="EW24" i="20" s="1"/>
  <c r="EX24" i="20" s="1"/>
  <c r="EY24" i="20" s="1"/>
  <c r="DX17" i="20"/>
  <c r="DY17" i="20" s="1"/>
  <c r="DF20" i="20"/>
  <c r="DN16" i="20"/>
  <c r="CS20" i="20"/>
  <c r="CI20" i="20"/>
  <c r="CJ20" i="20" s="1"/>
  <c r="CK20" i="20" s="1"/>
  <c r="CM20" i="20" s="1"/>
  <c r="CN20" i="20" s="1"/>
  <c r="CO20" i="20" s="1"/>
  <c r="CP20" i="20" s="1"/>
  <c r="G20" i="30" s="1"/>
  <c r="H1365" i="31" s="1"/>
  <c r="BY22" i="20"/>
  <c r="BZ22" i="20" s="1"/>
  <c r="CA22" i="20" s="1"/>
  <c r="CC22" i="20" s="1"/>
  <c r="CD22" i="20" s="1"/>
  <c r="CE22" i="20" s="1"/>
  <c r="BF24" i="20"/>
  <c r="BG24" i="20" s="1"/>
  <c r="BI24" i="20" s="1"/>
  <c r="BT24" i="20" s="1"/>
  <c r="BU24" i="20" s="1"/>
  <c r="FW16" i="18"/>
  <c r="FX16" i="18" s="1"/>
  <c r="FY16" i="18" s="1"/>
  <c r="FZ16" i="18" s="1"/>
  <c r="FU16" i="18"/>
  <c r="FS17" i="18" s="1"/>
  <c r="N21" i="30"/>
  <c r="H1576" i="31" s="1"/>
  <c r="FN18" i="21"/>
  <c r="FO18" i="21" s="1"/>
  <c r="FP18" i="21" s="1"/>
  <c r="FQ18" i="21" s="1"/>
  <c r="N21" i="29"/>
  <c r="H1186" i="31" s="1"/>
  <c r="EK18" i="21"/>
  <c r="EN18" i="21" s="1"/>
  <c r="EM35" i="21"/>
  <c r="FL18" i="21"/>
  <c r="X22" i="21"/>
  <c r="C22" i="29" s="1"/>
  <c r="H857" i="31" s="1"/>
  <c r="L21" i="29"/>
  <c r="H1126" i="31" s="1"/>
  <c r="FS18" i="21"/>
  <c r="FB18" i="21"/>
  <c r="FD18" i="21" s="1"/>
  <c r="FE18" i="21" s="1"/>
  <c r="FF18" i="21" s="1"/>
  <c r="FG18" i="21" s="1"/>
  <c r="FH18" i="21" s="1"/>
  <c r="X22" i="20"/>
  <c r="C22" i="30" s="1"/>
  <c r="H1247" i="31" s="1"/>
  <c r="L21" i="30"/>
  <c r="H1516" i="31" s="1"/>
  <c r="FK7" i="10"/>
  <c r="FB7" i="10"/>
  <c r="FT7" i="10"/>
  <c r="EL7" i="10"/>
  <c r="EW13" i="10"/>
  <c r="EX13" i="10" s="1"/>
  <c r="FO13" i="10"/>
  <c r="FP13" i="10" s="1"/>
  <c r="FF13" i="10"/>
  <c r="FG13" i="10" s="1"/>
  <c r="FX13" i="10"/>
  <c r="FY13" i="10" s="1"/>
  <c r="EJ9" i="10"/>
  <c r="EJ10" i="10" s="1"/>
  <c r="FA8" i="10"/>
  <c r="FJ8" i="10"/>
  <c r="FS8" i="10"/>
  <c r="EM28" i="10"/>
  <c r="EK8" i="10"/>
  <c r="G14" i="10"/>
  <c r="IC14" i="10" s="1"/>
  <c r="DQ15" i="18" l="1"/>
  <c r="DM16" i="18" s="1"/>
  <c r="DN16" i="18" s="1"/>
  <c r="DP16" i="18" s="1"/>
  <c r="DR16" i="18" s="1"/>
  <c r="DS16" i="18" s="1"/>
  <c r="DT16" i="18" s="1"/>
  <c r="DU16" i="18" s="1"/>
  <c r="J16" i="28" s="1"/>
  <c r="H671" i="31" s="1"/>
  <c r="MM13" i="10"/>
  <c r="MN13" i="10"/>
  <c r="MO13" i="10" s="1"/>
  <c r="MP13" i="10" s="1"/>
  <c r="MQ13" i="10" s="1"/>
  <c r="R13" i="25" s="1"/>
  <c r="H1628" i="31" s="1"/>
  <c r="X16" i="18"/>
  <c r="C15" i="28"/>
  <c r="H460" i="31" s="1"/>
  <c r="BO13" i="10"/>
  <c r="BR13" i="10" s="1"/>
  <c r="BR12" i="10"/>
  <c r="BS12" i="10"/>
  <c r="CN12" i="10" s="1"/>
  <c r="CO12" i="10" s="1"/>
  <c r="CP12" i="10" s="1"/>
  <c r="G12" i="25" s="1"/>
  <c r="H127" i="31" s="1"/>
  <c r="JT24" i="18"/>
  <c r="JV24" i="18" s="1"/>
  <c r="KG24" i="18" s="1"/>
  <c r="KH24" i="18" s="1"/>
  <c r="KI23" i="18"/>
  <c r="P23" i="28" s="1"/>
  <c r="H1668" i="31" s="1"/>
  <c r="JU24" i="21"/>
  <c r="JT25" i="20"/>
  <c r="JV25" i="20" s="1"/>
  <c r="KG25" i="20" s="1"/>
  <c r="KH25" i="20" s="1"/>
  <c r="KI25" i="20" s="1"/>
  <c r="P25" i="30" s="1"/>
  <c r="H1730" i="31" s="1"/>
  <c r="MC25" i="10"/>
  <c r="CP28" i="21"/>
  <c r="G27" i="29"/>
  <c r="H982" i="31" s="1"/>
  <c r="CF17" i="18"/>
  <c r="F16" i="28"/>
  <c r="H551" i="31" s="1"/>
  <c r="E20" i="30"/>
  <c r="H1305" i="31" s="1"/>
  <c r="BV21" i="20"/>
  <c r="CP17" i="18"/>
  <c r="G16" i="28"/>
  <c r="H581" i="31" s="1"/>
  <c r="H16" i="28"/>
  <c r="H611" i="31" s="1"/>
  <c r="CZ17" i="18"/>
  <c r="H17" i="28" s="1"/>
  <c r="H612" i="31" s="1"/>
  <c r="F20" i="30"/>
  <c r="H1335" i="31" s="1"/>
  <c r="CF21" i="20"/>
  <c r="F21" i="30" s="1"/>
  <c r="H1336" i="31" s="1"/>
  <c r="N17" i="28"/>
  <c r="H792" i="31" s="1"/>
  <c r="BV17" i="18"/>
  <c r="E16" i="28"/>
  <c r="H521" i="31" s="1"/>
  <c r="DJ17" i="18"/>
  <c r="I16" i="28"/>
  <c r="H641" i="31" s="1"/>
  <c r="L17" i="28"/>
  <c r="H732" i="31" s="1"/>
  <c r="DZ16" i="21"/>
  <c r="DX16" i="18"/>
  <c r="DG18" i="21"/>
  <c r="DH18" i="21" s="1"/>
  <c r="DI18" i="21" s="1"/>
  <c r="DJ18" i="21" s="1"/>
  <c r="I18" i="29" s="1"/>
  <c r="H1033" i="31" s="1"/>
  <c r="DP17" i="21"/>
  <c r="DR17" i="21" s="1"/>
  <c r="DS17" i="21" s="1"/>
  <c r="DT17" i="21" s="1"/>
  <c r="DU17" i="21" s="1"/>
  <c r="J17" i="29" s="1"/>
  <c r="H1062" i="31" s="1"/>
  <c r="DF18" i="21"/>
  <c r="EL24" i="20"/>
  <c r="FL22" i="20"/>
  <c r="FJ23" i="20" s="1"/>
  <c r="DX17" i="21"/>
  <c r="DY17" i="21" s="1"/>
  <c r="EA17" i="21" s="1"/>
  <c r="CT21" i="21"/>
  <c r="EC16" i="21"/>
  <c r="ED16" i="21" s="1"/>
  <c r="EE16" i="21" s="1"/>
  <c r="EF16" i="21" s="1"/>
  <c r="K16" i="29" s="1"/>
  <c r="H1091" i="31" s="1"/>
  <c r="EA17" i="20"/>
  <c r="DZ17" i="20" s="1"/>
  <c r="CS19" i="18"/>
  <c r="BY23" i="10"/>
  <c r="BZ23" i="10" s="1"/>
  <c r="CA23" i="10" s="1"/>
  <c r="CC23" i="10" s="1"/>
  <c r="CD23" i="10" s="1"/>
  <c r="CE23" i="10" s="1"/>
  <c r="CC26" i="18"/>
  <c r="CD26" i="18" s="1"/>
  <c r="CE26" i="18" s="1"/>
  <c r="DE19" i="10"/>
  <c r="DC21" i="18"/>
  <c r="CB26" i="18"/>
  <c r="BF24" i="18"/>
  <c r="BG24" i="18" s="1"/>
  <c r="BY25" i="21"/>
  <c r="BE24" i="21"/>
  <c r="FT22" i="20"/>
  <c r="FV22" i="20" s="1"/>
  <c r="FW22" i="20" s="1"/>
  <c r="FX22" i="20" s="1"/>
  <c r="FY22" i="20" s="1"/>
  <c r="FZ22" i="20" s="1"/>
  <c r="EJ25" i="20"/>
  <c r="FA23" i="20"/>
  <c r="DP16" i="20"/>
  <c r="DR16" i="20" s="1"/>
  <c r="DS16" i="20" s="1"/>
  <c r="DT16" i="20" s="1"/>
  <c r="DU16" i="20" s="1"/>
  <c r="J16" i="30" s="1"/>
  <c r="H1451" i="31" s="1"/>
  <c r="DC21" i="20"/>
  <c r="DD21" i="20" s="1"/>
  <c r="DE21" i="20" s="1"/>
  <c r="DG21" i="20" s="1"/>
  <c r="DH21" i="20" s="1"/>
  <c r="DI21" i="20" s="1"/>
  <c r="DJ21" i="20" s="1"/>
  <c r="I21" i="30" s="1"/>
  <c r="H1426" i="31" s="1"/>
  <c r="CT20" i="20"/>
  <c r="CU20" i="20" s="1"/>
  <c r="CW20" i="20" s="1"/>
  <c r="CX20" i="20" s="1"/>
  <c r="CY20" i="20" s="1"/>
  <c r="CZ20" i="20" s="1"/>
  <c r="H20" i="30" s="1"/>
  <c r="H1395" i="31" s="1"/>
  <c r="CL20" i="20"/>
  <c r="CI21" i="20" s="1"/>
  <c r="CB22" i="20"/>
  <c r="BH24" i="20"/>
  <c r="FT17" i="18"/>
  <c r="FV17" i="18" s="1"/>
  <c r="N22" i="29"/>
  <c r="H1187" i="31" s="1"/>
  <c r="EM36" i="21"/>
  <c r="FT18" i="21"/>
  <c r="FC18" i="21"/>
  <c r="X23" i="21"/>
  <c r="C23" i="29" s="1"/>
  <c r="H858" i="31" s="1"/>
  <c r="L22" i="29"/>
  <c r="H1127" i="31" s="1"/>
  <c r="FJ19" i="21"/>
  <c r="L22" i="30"/>
  <c r="H1517" i="31" s="1"/>
  <c r="X23" i="20"/>
  <c r="C23" i="30" s="1"/>
  <c r="H1248" i="31" s="1"/>
  <c r="J13" i="10"/>
  <c r="O13" i="10" s="1"/>
  <c r="P13" i="10" s="1"/>
  <c r="GI13" i="10"/>
  <c r="J12" i="10"/>
  <c r="O12" i="10" s="1"/>
  <c r="P12" i="10" s="1"/>
  <c r="GI12" i="10"/>
  <c r="J14" i="10"/>
  <c r="O14" i="10" s="1"/>
  <c r="P14" i="10" s="1"/>
  <c r="GI14" i="10"/>
  <c r="FK8" i="10"/>
  <c r="FT8" i="10"/>
  <c r="FB8" i="10"/>
  <c r="EK9" i="10"/>
  <c r="FS9" i="10"/>
  <c r="FJ9" i="10"/>
  <c r="FA9" i="10"/>
  <c r="EK10" i="10"/>
  <c r="FJ10" i="10"/>
  <c r="FA10" i="10"/>
  <c r="FS10" i="10"/>
  <c r="EP7" i="10"/>
  <c r="EU7" i="10" s="1"/>
  <c r="FL7" i="10"/>
  <c r="FU7" i="10"/>
  <c r="FC7" i="10"/>
  <c r="EM29" i="10"/>
  <c r="EJ12" i="10"/>
  <c r="EJ11" i="10"/>
  <c r="EJ13" i="10"/>
  <c r="EL8" i="10"/>
  <c r="EP8" i="10"/>
  <c r="EU8" i="10" s="1"/>
  <c r="DO16" i="18" l="1"/>
  <c r="DQ16" i="18"/>
  <c r="DM17" i="18" s="1"/>
  <c r="C16" i="28"/>
  <c r="H461" i="31" s="1"/>
  <c r="X17" i="18"/>
  <c r="BS13" i="10"/>
  <c r="CX13" i="10" s="1"/>
  <c r="CY13" i="10" s="1"/>
  <c r="CD12" i="10"/>
  <c r="CE12" i="10" s="1"/>
  <c r="CF12" i="10" s="1"/>
  <c r="F12" i="25" s="1"/>
  <c r="H97" i="31" s="1"/>
  <c r="DH12" i="10"/>
  <c r="DI12" i="10" s="1"/>
  <c r="DJ12" i="10" s="1"/>
  <c r="I12" i="25" s="1"/>
  <c r="H187" i="31" s="1"/>
  <c r="CX12" i="10"/>
  <c r="CY12" i="10" s="1"/>
  <c r="CZ12" i="10" s="1"/>
  <c r="H12" i="25" s="1"/>
  <c r="H157" i="31" s="1"/>
  <c r="BT12" i="10"/>
  <c r="BU12" i="10" s="1"/>
  <c r="BV12" i="10" s="1"/>
  <c r="E12" i="25" s="1"/>
  <c r="H67" i="31" s="1"/>
  <c r="MQ14" i="10"/>
  <c r="R14" i="25" s="1"/>
  <c r="H1629" i="31" s="1"/>
  <c r="L12" i="10"/>
  <c r="S12" i="10" s="1"/>
  <c r="M12" i="10" s="1"/>
  <c r="N12" i="10" s="1"/>
  <c r="Q12" i="10" s="1"/>
  <c r="R12" i="10"/>
  <c r="L14" i="10"/>
  <c r="S14" i="10" s="1"/>
  <c r="M14" i="10" s="1"/>
  <c r="N14" i="10" s="1"/>
  <c r="Q14" i="10" s="1"/>
  <c r="R14" i="10"/>
  <c r="L13" i="10"/>
  <c r="S13" i="10" s="1"/>
  <c r="M13" i="10" s="1"/>
  <c r="N13" i="10" s="1"/>
  <c r="Q13" i="10" s="1"/>
  <c r="R13" i="10"/>
  <c r="KI24" i="18"/>
  <c r="P24" i="28" s="1"/>
  <c r="H1669" i="31" s="1"/>
  <c r="JU24" i="18"/>
  <c r="JR25" i="18" s="1"/>
  <c r="JS25" i="18" s="1"/>
  <c r="JT25" i="18" s="1"/>
  <c r="JV25" i="18" s="1"/>
  <c r="KG25" i="18" s="1"/>
  <c r="KH25" i="18" s="1"/>
  <c r="JR25" i="21"/>
  <c r="LZ26" i="10"/>
  <c r="MA26" i="10" s="1"/>
  <c r="MB26" i="10" s="1"/>
  <c r="MD26" i="10" s="1"/>
  <c r="MO26" i="10" s="1"/>
  <c r="MP26" i="10" s="1"/>
  <c r="JU25" i="20"/>
  <c r="E21" i="30"/>
  <c r="H1306" i="31" s="1"/>
  <c r="BV22" i="20"/>
  <c r="CP29" i="21"/>
  <c r="G28" i="29"/>
  <c r="H983" i="31" s="1"/>
  <c r="N23" i="30"/>
  <c r="H1578" i="31" s="1"/>
  <c r="N22" i="30"/>
  <c r="H1577" i="31" s="1"/>
  <c r="CF22" i="20"/>
  <c r="F22" i="30" s="1"/>
  <c r="H1337" i="31" s="1"/>
  <c r="N18" i="28"/>
  <c r="H793" i="31" s="1"/>
  <c r="BV18" i="18"/>
  <c r="E17" i="28"/>
  <c r="H522" i="31" s="1"/>
  <c r="L18" i="28"/>
  <c r="H733" i="31" s="1"/>
  <c r="DJ18" i="18"/>
  <c r="I17" i="28"/>
  <c r="H642" i="31" s="1"/>
  <c r="CZ18" i="18"/>
  <c r="H18" i="28" s="1"/>
  <c r="H613" i="31" s="1"/>
  <c r="CP18" i="18"/>
  <c r="G17" i="28"/>
  <c r="H582" i="31" s="1"/>
  <c r="CF18" i="18"/>
  <c r="F17" i="28"/>
  <c r="H552" i="31" s="1"/>
  <c r="EC17" i="20"/>
  <c r="ED17" i="20" s="1"/>
  <c r="EE17" i="20" s="1"/>
  <c r="EF17" i="20" s="1"/>
  <c r="K17" i="30" s="1"/>
  <c r="H1482" i="31" s="1"/>
  <c r="DQ17" i="21"/>
  <c r="DM18" i="21" s="1"/>
  <c r="CB23" i="10"/>
  <c r="BY24" i="10" s="1"/>
  <c r="BZ24" i="10" s="1"/>
  <c r="CA24" i="10" s="1"/>
  <c r="CC24" i="10" s="1"/>
  <c r="CD24" i="10" s="1"/>
  <c r="CE24" i="10" s="1"/>
  <c r="DZ17" i="21"/>
  <c r="EB17" i="20"/>
  <c r="DX18" i="20" s="1"/>
  <c r="DY18" i="20" s="1"/>
  <c r="DG19" i="10"/>
  <c r="DH19" i="10" s="1"/>
  <c r="DI19" i="10" s="1"/>
  <c r="CT19" i="18"/>
  <c r="CU19" i="18" s="1"/>
  <c r="CU21" i="21"/>
  <c r="CW21" i="21" s="1"/>
  <c r="CX21" i="21" s="1"/>
  <c r="CY21" i="21" s="1"/>
  <c r="CZ21" i="21" s="1"/>
  <c r="H21" i="29" s="1"/>
  <c r="H1006" i="31" s="1"/>
  <c r="DO17" i="21"/>
  <c r="DY16" i="18"/>
  <c r="EB17" i="21"/>
  <c r="DN17" i="18"/>
  <c r="DC19" i="21"/>
  <c r="EC17" i="21"/>
  <c r="ED17" i="21" s="1"/>
  <c r="EE17" i="21" s="1"/>
  <c r="EF17" i="21" s="1"/>
  <c r="K17" i="29" s="1"/>
  <c r="H1092" i="31" s="1"/>
  <c r="DF19" i="10"/>
  <c r="BY27" i="18"/>
  <c r="DD21" i="18"/>
  <c r="BI24" i="18"/>
  <c r="BT24" i="18" s="1"/>
  <c r="BU24" i="18" s="1"/>
  <c r="BH24" i="18"/>
  <c r="BZ25" i="21"/>
  <c r="CA25" i="21" s="1"/>
  <c r="BF24" i="21"/>
  <c r="BG24" i="21" s="1"/>
  <c r="FK23" i="20"/>
  <c r="FM23" i="20" s="1"/>
  <c r="FN23" i="20" s="1"/>
  <c r="FO23" i="20" s="1"/>
  <c r="FP23" i="20" s="1"/>
  <c r="FQ23" i="20" s="1"/>
  <c r="EK25" i="20"/>
  <c r="FU22" i="20"/>
  <c r="FB23" i="20"/>
  <c r="FD23" i="20" s="1"/>
  <c r="FE23" i="20" s="1"/>
  <c r="FF23" i="20" s="1"/>
  <c r="FG23" i="20" s="1"/>
  <c r="FH23" i="20" s="1"/>
  <c r="DQ16" i="20"/>
  <c r="DM17" i="20" s="1"/>
  <c r="DO16" i="20"/>
  <c r="DF21" i="20"/>
  <c r="DC22" i="20" s="1"/>
  <c r="CV20" i="20"/>
  <c r="CJ21" i="20"/>
  <c r="CK21" i="20" s="1"/>
  <c r="CM21" i="20" s="1"/>
  <c r="CN21" i="20" s="1"/>
  <c r="CO21" i="20" s="1"/>
  <c r="CP21" i="20" s="1"/>
  <c r="G21" i="30" s="1"/>
  <c r="H1366" i="31" s="1"/>
  <c r="BY23" i="20"/>
  <c r="BZ23" i="20" s="1"/>
  <c r="CA23" i="20" s="1"/>
  <c r="CC23" i="20" s="1"/>
  <c r="CD23" i="20" s="1"/>
  <c r="CE23" i="20" s="1"/>
  <c r="BE25" i="20"/>
  <c r="GL14" i="10"/>
  <c r="IF14" i="10"/>
  <c r="N23" i="29"/>
  <c r="H1188" i="31" s="1"/>
  <c r="FV18" i="21"/>
  <c r="FW18" i="21" s="1"/>
  <c r="FX18" i="21" s="1"/>
  <c r="FY18" i="21" s="1"/>
  <c r="FZ18" i="21" s="1"/>
  <c r="GL13" i="10"/>
  <c r="IF13" i="10"/>
  <c r="GL12" i="10"/>
  <c r="IF12" i="10"/>
  <c r="FA19" i="21"/>
  <c r="EV18" i="21"/>
  <c r="EW18" i="21" s="1"/>
  <c r="EX18" i="21" s="1"/>
  <c r="EY18" i="21" s="1"/>
  <c r="EJ19" i="21"/>
  <c r="L23" i="29"/>
  <c r="H1128" i="31" s="1"/>
  <c r="X24" i="21"/>
  <c r="C24" i="29" s="1"/>
  <c r="H859" i="31" s="1"/>
  <c r="FK19" i="21"/>
  <c r="EL18" i="21"/>
  <c r="X24" i="20"/>
  <c r="C24" i="30" s="1"/>
  <c r="H1249" i="31" s="1"/>
  <c r="L23" i="30"/>
  <c r="H1518" i="31" s="1"/>
  <c r="EP10" i="10"/>
  <c r="EU10" i="10" s="1"/>
  <c r="FT10" i="10"/>
  <c r="FB10" i="10"/>
  <c r="FK10" i="10"/>
  <c r="EL9" i="10"/>
  <c r="FU8" i="10"/>
  <c r="FC8" i="10"/>
  <c r="FL8" i="10"/>
  <c r="EK11" i="10"/>
  <c r="FS11" i="10"/>
  <c r="FA11" i="10"/>
  <c r="FJ11" i="10"/>
  <c r="EW7" i="10"/>
  <c r="EX7" i="10" s="1"/>
  <c r="EY7" i="10" s="1"/>
  <c r="FX7" i="10"/>
  <c r="FY7" i="10" s="1"/>
  <c r="FZ7" i="10" s="1"/>
  <c r="FF7" i="10"/>
  <c r="FG7" i="10" s="1"/>
  <c r="FH7" i="10" s="1"/>
  <c r="FO7" i="10"/>
  <c r="FP7" i="10" s="1"/>
  <c r="FQ7" i="10" s="1"/>
  <c r="EW8" i="10"/>
  <c r="EX8" i="10" s="1"/>
  <c r="FF8" i="10"/>
  <c r="FG8" i="10" s="1"/>
  <c r="FX8" i="10"/>
  <c r="FY8" i="10" s="1"/>
  <c r="FO8" i="10"/>
  <c r="FP8" i="10" s="1"/>
  <c r="EK12" i="10"/>
  <c r="FS12" i="10"/>
  <c r="FA12" i="10"/>
  <c r="FJ12" i="10"/>
  <c r="EP9" i="10"/>
  <c r="EU9" i="10" s="1"/>
  <c r="FK9" i="10"/>
  <c r="FB9" i="10"/>
  <c r="FT9" i="10"/>
  <c r="EK13" i="10"/>
  <c r="FS13" i="10"/>
  <c r="FJ13" i="10"/>
  <c r="FA13" i="10"/>
  <c r="EM30" i="10"/>
  <c r="AY8" i="10"/>
  <c r="AY11" i="10"/>
  <c r="AY12" i="10"/>
  <c r="AY13" i="10"/>
  <c r="AY7" i="10"/>
  <c r="MQ15" i="10" l="1"/>
  <c r="MQ16" i="10" s="1"/>
  <c r="BT13" i="10"/>
  <c r="BU13" i="10" s="1"/>
  <c r="BV13" i="10" s="1"/>
  <c r="E13" i="25" s="1"/>
  <c r="H68" i="31" s="1"/>
  <c r="X18" i="18"/>
  <c r="C17" i="28"/>
  <c r="H462" i="31" s="1"/>
  <c r="IK13" i="10"/>
  <c r="IL13" i="10" s="1"/>
  <c r="IK14" i="10"/>
  <c r="IL14" i="10" s="1"/>
  <c r="IK12" i="10"/>
  <c r="IL12" i="10" s="1"/>
  <c r="DH13" i="10"/>
  <c r="DI13" i="10" s="1"/>
  <c r="DJ13" i="10" s="1"/>
  <c r="I13" i="25" s="1"/>
  <c r="H188" i="31" s="1"/>
  <c r="CN13" i="10"/>
  <c r="CO13" i="10" s="1"/>
  <c r="CP13" i="10" s="1"/>
  <c r="G13" i="25" s="1"/>
  <c r="H128" i="31" s="1"/>
  <c r="CD13" i="10"/>
  <c r="CE13" i="10" s="1"/>
  <c r="CF13" i="10" s="1"/>
  <c r="GQ13" i="10"/>
  <c r="GR13" i="10" s="1"/>
  <c r="GQ14" i="10"/>
  <c r="GR14" i="10" s="1"/>
  <c r="GQ12" i="10"/>
  <c r="GR12" i="10" s="1"/>
  <c r="CZ13" i="10"/>
  <c r="H13" i="25" s="1"/>
  <c r="H158" i="31" s="1"/>
  <c r="T13" i="10"/>
  <c r="T12" i="10"/>
  <c r="T14" i="10"/>
  <c r="KI25" i="18"/>
  <c r="P25" i="28" s="1"/>
  <c r="H1670" i="31" s="1"/>
  <c r="IN13" i="10"/>
  <c r="IH13" i="10"/>
  <c r="IO13" i="10" s="1"/>
  <c r="II13" i="10" s="1"/>
  <c r="IJ13" i="10" s="1"/>
  <c r="IH14" i="10"/>
  <c r="IO14" i="10" s="1"/>
  <c r="II14" i="10" s="1"/>
  <c r="IJ14" i="10" s="1"/>
  <c r="IN14" i="10"/>
  <c r="IH12" i="10"/>
  <c r="IO12" i="10" s="1"/>
  <c r="II12" i="10" s="1"/>
  <c r="IJ12" i="10" s="1"/>
  <c r="IN12" i="10"/>
  <c r="GT12" i="10"/>
  <c r="GN12" i="10"/>
  <c r="GU12" i="10" s="1"/>
  <c r="GO12" i="10" s="1"/>
  <c r="GP12" i="10" s="1"/>
  <c r="GN13" i="10"/>
  <c r="GU13" i="10" s="1"/>
  <c r="GO13" i="10" s="1"/>
  <c r="GP13" i="10" s="1"/>
  <c r="GT13" i="10"/>
  <c r="GT14" i="10"/>
  <c r="GN14" i="10"/>
  <c r="GU14" i="10" s="1"/>
  <c r="GO14" i="10" s="1"/>
  <c r="GP14" i="10" s="1"/>
  <c r="JU25" i="18"/>
  <c r="JR26" i="18" s="1"/>
  <c r="JR26" i="20"/>
  <c r="JS26" i="20" s="1"/>
  <c r="JT26" i="20" s="1"/>
  <c r="JV26" i="20" s="1"/>
  <c r="KG26" i="20" s="1"/>
  <c r="KH26" i="20" s="1"/>
  <c r="KI26" i="20" s="1"/>
  <c r="P26" i="30" s="1"/>
  <c r="H1731" i="31" s="1"/>
  <c r="R15" i="25"/>
  <c r="H1630" i="31" s="1"/>
  <c r="JS25" i="21"/>
  <c r="JT25" i="21" s="1"/>
  <c r="JV25" i="21" s="1"/>
  <c r="KG25" i="21" s="1"/>
  <c r="KH25" i="21" s="1"/>
  <c r="KI25" i="21" s="1"/>
  <c r="P25" i="29" s="1"/>
  <c r="H1700" i="31" s="1"/>
  <c r="MC26" i="10"/>
  <c r="CP30" i="21"/>
  <c r="G29" i="29"/>
  <c r="H984" i="31" s="1"/>
  <c r="I18" i="28"/>
  <c r="H643" i="31" s="1"/>
  <c r="DJ19" i="18"/>
  <c r="N19" i="28"/>
  <c r="H794" i="31" s="1"/>
  <c r="CF23" i="20"/>
  <c r="F23" i="30" s="1"/>
  <c r="H1338" i="31" s="1"/>
  <c r="CF19" i="18"/>
  <c r="F18" i="28"/>
  <c r="H553" i="31" s="1"/>
  <c r="E22" i="30"/>
  <c r="H1307" i="31" s="1"/>
  <c r="BV23" i="20"/>
  <c r="CP19" i="18"/>
  <c r="G18" i="28"/>
  <c r="H583" i="31" s="1"/>
  <c r="BV19" i="18"/>
  <c r="E18" i="28"/>
  <c r="H523" i="31" s="1"/>
  <c r="L19" i="28"/>
  <c r="H734" i="31" s="1"/>
  <c r="CB24" i="10"/>
  <c r="BY25" i="10" s="1"/>
  <c r="BZ25" i="10" s="1"/>
  <c r="CA25" i="10" s="1"/>
  <c r="CC25" i="10" s="1"/>
  <c r="CD25" i="10" s="1"/>
  <c r="CE25" i="10" s="1"/>
  <c r="EA18" i="20"/>
  <c r="EC18" i="20" s="1"/>
  <c r="ED18" i="20" s="1"/>
  <c r="EE18" i="20" s="1"/>
  <c r="EF18" i="20" s="1"/>
  <c r="K18" i="30" s="1"/>
  <c r="H1483" i="31" s="1"/>
  <c r="DX18" i="21"/>
  <c r="EA11" i="10"/>
  <c r="DP11" i="10"/>
  <c r="DN18" i="21"/>
  <c r="DP18" i="21" s="1"/>
  <c r="DR18" i="21" s="1"/>
  <c r="DS18" i="21" s="1"/>
  <c r="DT18" i="21" s="1"/>
  <c r="DU18" i="21" s="1"/>
  <c r="J18" i="29" s="1"/>
  <c r="H1063" i="31" s="1"/>
  <c r="CW19" i="18"/>
  <c r="CX19" i="18" s="1"/>
  <c r="CY19" i="18" s="1"/>
  <c r="CZ19" i="18" s="1"/>
  <c r="H19" i="28" s="1"/>
  <c r="H614" i="31" s="1"/>
  <c r="CV21" i="21"/>
  <c r="DD19" i="21"/>
  <c r="DP17" i="18"/>
  <c r="EA16" i="18"/>
  <c r="EB16" i="18" s="1"/>
  <c r="CV19" i="18"/>
  <c r="DC20" i="10"/>
  <c r="BZ27" i="18"/>
  <c r="CA27" i="18" s="1"/>
  <c r="DE21" i="18"/>
  <c r="BE25" i="18"/>
  <c r="CC25" i="21"/>
  <c r="CD25" i="21" s="1"/>
  <c r="CE25" i="21" s="1"/>
  <c r="CF25" i="21" s="1"/>
  <c r="F25" i="29" s="1"/>
  <c r="H950" i="31" s="1"/>
  <c r="CB25" i="21"/>
  <c r="BI24" i="21"/>
  <c r="BT24" i="21" s="1"/>
  <c r="BU24" i="21" s="1"/>
  <c r="BV24" i="21" s="1"/>
  <c r="E24" i="29" s="1"/>
  <c r="H919" i="31" s="1"/>
  <c r="BH24" i="21"/>
  <c r="FC23" i="20"/>
  <c r="FS23" i="20"/>
  <c r="EN25" i="20"/>
  <c r="EL25" i="20" s="1"/>
  <c r="FL23" i="20"/>
  <c r="DD22" i="20"/>
  <c r="DE22" i="20" s="1"/>
  <c r="DG22" i="20" s="1"/>
  <c r="DH22" i="20" s="1"/>
  <c r="DI22" i="20" s="1"/>
  <c r="DJ22" i="20" s="1"/>
  <c r="I22" i="30" s="1"/>
  <c r="H1427" i="31" s="1"/>
  <c r="DN17" i="20"/>
  <c r="CS21" i="20"/>
  <c r="CL21" i="20"/>
  <c r="CB23" i="20"/>
  <c r="BY24" i="20" s="1"/>
  <c r="BZ24" i="20" s="1"/>
  <c r="CA24" i="20" s="1"/>
  <c r="CC24" i="20" s="1"/>
  <c r="CD24" i="20" s="1"/>
  <c r="CE24" i="20" s="1"/>
  <c r="BF25" i="20"/>
  <c r="BG25" i="20" s="1"/>
  <c r="BI25" i="20" s="1"/>
  <c r="BT25" i="20" s="1"/>
  <c r="BU25" i="20" s="1"/>
  <c r="EY8" i="10"/>
  <c r="AY10" i="10"/>
  <c r="N24" i="30"/>
  <c r="H1579" i="31" s="1"/>
  <c r="FU18" i="21"/>
  <c r="FS19" i="21" s="1"/>
  <c r="FM19" i="21"/>
  <c r="FN19" i="21" s="1"/>
  <c r="FO19" i="21" s="1"/>
  <c r="FP19" i="21" s="1"/>
  <c r="FQ19" i="21" s="1"/>
  <c r="N24" i="29"/>
  <c r="H1189" i="31" s="1"/>
  <c r="EK19" i="21"/>
  <c r="EN19" i="21" s="1"/>
  <c r="FB19" i="21"/>
  <c r="X25" i="21"/>
  <c r="C25" i="29" s="1"/>
  <c r="H860" i="31" s="1"/>
  <c r="L24" i="29"/>
  <c r="H1129" i="31" s="1"/>
  <c r="L24" i="30"/>
  <c r="H1519" i="31" s="1"/>
  <c r="X25" i="20"/>
  <c r="C25" i="30" s="1"/>
  <c r="H1250" i="31" s="1"/>
  <c r="AY9" i="10"/>
  <c r="FZ8" i="10"/>
  <c r="FB13" i="10"/>
  <c r="FK13" i="10"/>
  <c r="FT13" i="10"/>
  <c r="EW9" i="10"/>
  <c r="EX9" i="10" s="1"/>
  <c r="FX9" i="10"/>
  <c r="FY9" i="10" s="1"/>
  <c r="FO9" i="10"/>
  <c r="FP9" i="10" s="1"/>
  <c r="FF9" i="10"/>
  <c r="FG9" i="10" s="1"/>
  <c r="FK12" i="10"/>
  <c r="FB12" i="10"/>
  <c r="FT12" i="10"/>
  <c r="FT11" i="10"/>
  <c r="FK11" i="10"/>
  <c r="FB11" i="10"/>
  <c r="FQ8" i="10"/>
  <c r="FH8" i="10"/>
  <c r="EL10" i="10"/>
  <c r="FU10" i="10" s="1"/>
  <c r="FU9" i="10"/>
  <c r="FC9" i="10"/>
  <c r="FL9" i="10"/>
  <c r="EW10" i="10"/>
  <c r="EX10" i="10" s="1"/>
  <c r="FF10" i="10"/>
  <c r="FG10" i="10" s="1"/>
  <c r="FX10" i="10"/>
  <c r="FY10" i="10" s="1"/>
  <c r="FO10" i="10"/>
  <c r="FP10" i="10" s="1"/>
  <c r="EM31" i="10"/>
  <c r="EO17" i="10"/>
  <c r="EO25" i="10"/>
  <c r="EO16" i="10"/>
  <c r="EO24" i="10"/>
  <c r="AY14" i="10"/>
  <c r="EO20" i="10"/>
  <c r="JA20" i="10" s="1"/>
  <c r="EO22" i="10"/>
  <c r="EO18" i="10"/>
  <c r="JA18" i="10" s="1"/>
  <c r="EO23" i="10"/>
  <c r="EO19" i="10"/>
  <c r="JA19" i="10" s="1"/>
  <c r="EO26" i="10"/>
  <c r="EO21" i="10"/>
  <c r="H26" i="10"/>
  <c r="GJ26" i="10" s="1"/>
  <c r="J26" i="10"/>
  <c r="O26" i="10" s="1"/>
  <c r="P26" i="10" s="1"/>
  <c r="J25" i="10"/>
  <c r="O25" i="10" s="1"/>
  <c r="P25" i="10" s="1"/>
  <c r="H25" i="10"/>
  <c r="GJ25" i="10" s="1"/>
  <c r="H24" i="10"/>
  <c r="GJ24" i="10" s="1"/>
  <c r="J24" i="10"/>
  <c r="O24" i="10" s="1"/>
  <c r="P24" i="10" s="1"/>
  <c r="J23" i="10"/>
  <c r="O23" i="10" s="1"/>
  <c r="P23" i="10" s="1"/>
  <c r="H23" i="10"/>
  <c r="GJ23" i="10" s="1"/>
  <c r="H22" i="10"/>
  <c r="GJ22" i="10" s="1"/>
  <c r="J22" i="10"/>
  <c r="O22" i="10" s="1"/>
  <c r="P22" i="10" s="1"/>
  <c r="H21" i="10"/>
  <c r="H20" i="10"/>
  <c r="G20" i="10"/>
  <c r="IC20" i="10" s="1"/>
  <c r="H19" i="10"/>
  <c r="ID19" i="10" s="1"/>
  <c r="G19" i="10"/>
  <c r="H18" i="10"/>
  <c r="G18" i="10"/>
  <c r="IC18" i="10" s="1"/>
  <c r="G17" i="10"/>
  <c r="IC17" i="10" s="1"/>
  <c r="H17" i="10"/>
  <c r="H16" i="10"/>
  <c r="G16" i="10"/>
  <c r="IC16" i="10" s="1"/>
  <c r="G15" i="10"/>
  <c r="IC15" i="10" s="1"/>
  <c r="H15" i="10"/>
  <c r="AC14" i="10"/>
  <c r="IX14" i="10" s="1"/>
  <c r="H14" i="10"/>
  <c r="H13" i="10"/>
  <c r="H12" i="10"/>
  <c r="H11" i="10"/>
  <c r="ID11" i="10" s="1"/>
  <c r="G11" i="10"/>
  <c r="K10" i="10"/>
  <c r="G10" i="10"/>
  <c r="K9" i="10"/>
  <c r="G9" i="10"/>
  <c r="K8" i="10"/>
  <c r="G8" i="10"/>
  <c r="K7" i="10"/>
  <c r="GI7" i="10"/>
  <c r="IF23" i="10" l="1"/>
  <c r="JA23" i="10"/>
  <c r="JA25" i="10"/>
  <c r="IF25" i="10"/>
  <c r="JA21" i="10"/>
  <c r="IF21" i="10"/>
  <c r="IF24" i="10"/>
  <c r="JA24" i="10"/>
  <c r="JA26" i="10"/>
  <c r="IF26" i="10"/>
  <c r="JA22" i="10"/>
  <c r="IF22" i="10"/>
  <c r="C18" i="28"/>
  <c r="H463" i="31" s="1"/>
  <c r="X19" i="18"/>
  <c r="JF18" i="10"/>
  <c r="JG18" i="10" s="1"/>
  <c r="JF20" i="10"/>
  <c r="JG20" i="10" s="1"/>
  <c r="JF19" i="10"/>
  <c r="JG19" i="10" s="1"/>
  <c r="IM14" i="10"/>
  <c r="IP14" i="10" s="1"/>
  <c r="DJ14" i="10"/>
  <c r="DJ15" i="10" s="1"/>
  <c r="I15" i="25" s="1"/>
  <c r="H190" i="31" s="1"/>
  <c r="IM13" i="10"/>
  <c r="IM12" i="10"/>
  <c r="F13" i="25"/>
  <c r="H98" i="31" s="1"/>
  <c r="CF14" i="10"/>
  <c r="GS12" i="10"/>
  <c r="GV12" i="10" s="1"/>
  <c r="GS14" i="10"/>
  <c r="GV14" i="10" s="1"/>
  <c r="GS13" i="10"/>
  <c r="JI18" i="10"/>
  <c r="JC18" i="10"/>
  <c r="JJ18" i="10" s="1"/>
  <c r="JD18" i="10" s="1"/>
  <c r="JE18" i="10" s="1"/>
  <c r="JI19" i="10"/>
  <c r="JC19" i="10"/>
  <c r="JJ19" i="10" s="1"/>
  <c r="JD19" i="10" s="1"/>
  <c r="JE19" i="10" s="1"/>
  <c r="JI20" i="10"/>
  <c r="JC20" i="10"/>
  <c r="JJ20" i="10" s="1"/>
  <c r="JD20" i="10" s="1"/>
  <c r="JE20" i="10" s="1"/>
  <c r="GL22" i="10"/>
  <c r="L22" i="10"/>
  <c r="S22" i="10" s="1"/>
  <c r="M22" i="10" s="1"/>
  <c r="N22" i="10" s="1"/>
  <c r="Q22" i="10" s="1"/>
  <c r="R22" i="10"/>
  <c r="GL24" i="10"/>
  <c r="L24" i="10"/>
  <c r="S24" i="10" s="1"/>
  <c r="M24" i="10" s="1"/>
  <c r="N24" i="10" s="1"/>
  <c r="Q24" i="10" s="1"/>
  <c r="R24" i="10"/>
  <c r="GL26" i="10"/>
  <c r="L26" i="10"/>
  <c r="S26" i="10" s="1"/>
  <c r="M26" i="10" s="1"/>
  <c r="N26" i="10" s="1"/>
  <c r="Q26" i="10" s="1"/>
  <c r="R26" i="10"/>
  <c r="GL23" i="10"/>
  <c r="L23" i="10"/>
  <c r="S23" i="10" s="1"/>
  <c r="M23" i="10" s="1"/>
  <c r="N23" i="10" s="1"/>
  <c r="Q23" i="10" s="1"/>
  <c r="R23" i="10"/>
  <c r="GL25" i="10"/>
  <c r="L25" i="10"/>
  <c r="S25" i="10" s="1"/>
  <c r="M25" i="10" s="1"/>
  <c r="N25" i="10" s="1"/>
  <c r="Q25" i="10" s="1"/>
  <c r="R25" i="10"/>
  <c r="LZ27" i="10"/>
  <c r="JU26" i="20"/>
  <c r="JS26" i="18"/>
  <c r="JT26" i="18" s="1"/>
  <c r="JV26" i="18" s="1"/>
  <c r="KG26" i="18" s="1"/>
  <c r="KH26" i="18" s="1"/>
  <c r="KI26" i="18" s="1"/>
  <c r="P26" i="28" s="1"/>
  <c r="H1671" i="31" s="1"/>
  <c r="R16" i="25"/>
  <c r="H1631" i="31" s="1"/>
  <c r="MQ17" i="10"/>
  <c r="JU25" i="21"/>
  <c r="CF24" i="20"/>
  <c r="F24" i="30" s="1"/>
  <c r="H1339" i="31" s="1"/>
  <c r="E23" i="30"/>
  <c r="H1308" i="31" s="1"/>
  <c r="BV24" i="20"/>
  <c r="E24" i="30" s="1"/>
  <c r="H1309" i="31" s="1"/>
  <c r="I19" i="28"/>
  <c r="H644" i="31" s="1"/>
  <c r="DJ20" i="18"/>
  <c r="I20" i="28" s="1"/>
  <c r="H645" i="31" s="1"/>
  <c r="CP20" i="18"/>
  <c r="G19" i="28"/>
  <c r="H584" i="31" s="1"/>
  <c r="CF20" i="18"/>
  <c r="F19" i="28"/>
  <c r="H554" i="31" s="1"/>
  <c r="CP31" i="21"/>
  <c r="G30" i="29"/>
  <c r="H985" i="31" s="1"/>
  <c r="BV20" i="18"/>
  <c r="E19" i="28"/>
  <c r="H524" i="31" s="1"/>
  <c r="N20" i="28"/>
  <c r="H795" i="31" s="1"/>
  <c r="DZ18" i="20"/>
  <c r="KY11" i="10"/>
  <c r="LA11" i="10"/>
  <c r="EB18" i="20"/>
  <c r="DX17" i="18"/>
  <c r="EC16" i="18"/>
  <c r="ED16" i="18" s="1"/>
  <c r="EE16" i="18" s="1"/>
  <c r="EF16" i="18" s="1"/>
  <c r="K16" i="28" s="1"/>
  <c r="H701" i="31" s="1"/>
  <c r="CS22" i="21"/>
  <c r="CT22" i="21" s="1"/>
  <c r="CU22" i="21" s="1"/>
  <c r="CW22" i="21" s="1"/>
  <c r="CX22" i="21" s="1"/>
  <c r="CY22" i="21" s="1"/>
  <c r="CZ22" i="21" s="1"/>
  <c r="H22" i="29" s="1"/>
  <c r="H1007" i="31" s="1"/>
  <c r="DR11" i="10"/>
  <c r="DS11" i="10" s="1"/>
  <c r="DT11" i="10" s="1"/>
  <c r="DU11" i="10" s="1"/>
  <c r="J11" i="25" s="1"/>
  <c r="H216" i="31" s="1"/>
  <c r="DQ11" i="10"/>
  <c r="DO11" i="10"/>
  <c r="DZ16" i="18"/>
  <c r="CU14" i="10"/>
  <c r="CK14" i="10"/>
  <c r="CS20" i="18"/>
  <c r="DG21" i="18"/>
  <c r="DH21" i="18" s="1"/>
  <c r="DI21" i="18" s="1"/>
  <c r="DR17" i="18"/>
  <c r="DS17" i="18" s="1"/>
  <c r="DT17" i="18" s="1"/>
  <c r="DU17" i="18" s="1"/>
  <c r="J17" i="28" s="1"/>
  <c r="H672" i="31" s="1"/>
  <c r="DO18" i="21"/>
  <c r="DQ18" i="21"/>
  <c r="EC11" i="10"/>
  <c r="ED11" i="10" s="1"/>
  <c r="EE11" i="10" s="1"/>
  <c r="EF11" i="10" s="1"/>
  <c r="K11" i="25" s="1"/>
  <c r="H246" i="31" s="1"/>
  <c r="EB11" i="10"/>
  <c r="DZ11" i="10"/>
  <c r="DY18" i="21"/>
  <c r="EA18" i="21" s="1"/>
  <c r="DQ17" i="18"/>
  <c r="DE19" i="21"/>
  <c r="DF19" i="21" s="1"/>
  <c r="CB25" i="10"/>
  <c r="DO17" i="18"/>
  <c r="CC27" i="18"/>
  <c r="CD27" i="18" s="1"/>
  <c r="CE27" i="18" s="1"/>
  <c r="DD20" i="10"/>
  <c r="CB27" i="18"/>
  <c r="DF21" i="18"/>
  <c r="BF25" i="18"/>
  <c r="BG25" i="18" s="1"/>
  <c r="BY26" i="21"/>
  <c r="BE25" i="21"/>
  <c r="EV25" i="20"/>
  <c r="EW25" i="20" s="1"/>
  <c r="EX25" i="20" s="1"/>
  <c r="EY25" i="20" s="1"/>
  <c r="EJ26" i="20"/>
  <c r="FA24" i="20"/>
  <c r="FT23" i="20"/>
  <c r="FV23" i="20" s="1"/>
  <c r="FW23" i="20" s="1"/>
  <c r="FX23" i="20" s="1"/>
  <c r="FY23" i="20" s="1"/>
  <c r="FZ23" i="20" s="1"/>
  <c r="FJ24" i="20"/>
  <c r="DP17" i="20"/>
  <c r="DR17" i="20" s="1"/>
  <c r="DS17" i="20" s="1"/>
  <c r="DT17" i="20" s="1"/>
  <c r="DU17" i="20" s="1"/>
  <c r="J17" i="30" s="1"/>
  <c r="H1452" i="31" s="1"/>
  <c r="DF22" i="20"/>
  <c r="CT21" i="20"/>
  <c r="CU21" i="20" s="1"/>
  <c r="CW21" i="20" s="1"/>
  <c r="CX21" i="20" s="1"/>
  <c r="CY21" i="20" s="1"/>
  <c r="CZ21" i="20" s="1"/>
  <c r="H21" i="30" s="1"/>
  <c r="H1396" i="31" s="1"/>
  <c r="CI22" i="20"/>
  <c r="CB24" i="20"/>
  <c r="BY25" i="20" s="1"/>
  <c r="BH25" i="20"/>
  <c r="EY9" i="10"/>
  <c r="GM8" i="10"/>
  <c r="IG8" i="10"/>
  <c r="GI9" i="10"/>
  <c r="IC9" i="10"/>
  <c r="AC9" i="21"/>
  <c r="AC9" i="20"/>
  <c r="GI11" i="10"/>
  <c r="IC11" i="10"/>
  <c r="GJ14" i="10"/>
  <c r="ID14" i="10"/>
  <c r="GM10" i="10"/>
  <c r="IG10" i="10"/>
  <c r="GJ13" i="10"/>
  <c r="ID13" i="10"/>
  <c r="GM7" i="10"/>
  <c r="IG7" i="10"/>
  <c r="GM9" i="10"/>
  <c r="IG9" i="10"/>
  <c r="GJ16" i="10"/>
  <c r="ID16" i="10"/>
  <c r="GJ18" i="10"/>
  <c r="ID18" i="10"/>
  <c r="GJ20" i="10"/>
  <c r="ID20" i="10"/>
  <c r="GI8" i="10"/>
  <c r="IC8" i="10"/>
  <c r="AC8" i="21"/>
  <c r="AC8" i="20"/>
  <c r="GI10" i="10"/>
  <c r="IC10" i="10"/>
  <c r="AC10" i="20"/>
  <c r="AC10" i="21"/>
  <c r="GJ12" i="10"/>
  <c r="ID12" i="10"/>
  <c r="GJ15" i="10"/>
  <c r="ID15" i="10"/>
  <c r="GJ17" i="10"/>
  <c r="ID17" i="10"/>
  <c r="GI19" i="10"/>
  <c r="IC19" i="10"/>
  <c r="N25" i="30"/>
  <c r="H1580" i="31" s="1"/>
  <c r="FL19" i="21"/>
  <c r="FJ20" i="21" s="1"/>
  <c r="EV19" i="21"/>
  <c r="EW19" i="21" s="1"/>
  <c r="EX19" i="21" s="1"/>
  <c r="EY19" i="21" s="1"/>
  <c r="FD19" i="21"/>
  <c r="FE19" i="21" s="1"/>
  <c r="FF19" i="21" s="1"/>
  <c r="FG19" i="21" s="1"/>
  <c r="FH19" i="21" s="1"/>
  <c r="N25" i="29"/>
  <c r="H1190" i="31" s="1"/>
  <c r="EL19" i="21"/>
  <c r="L25" i="29"/>
  <c r="H1130" i="31" s="1"/>
  <c r="X26" i="21"/>
  <c r="C26" i="29" s="1"/>
  <c r="H861" i="31" s="1"/>
  <c r="EJ20" i="21"/>
  <c r="FT19" i="21"/>
  <c r="FV19" i="21" s="1"/>
  <c r="X26" i="20"/>
  <c r="C26" i="30" s="1"/>
  <c r="H1251" i="31" s="1"/>
  <c r="L25" i="30"/>
  <c r="H1520" i="31" s="1"/>
  <c r="K21" i="10"/>
  <c r="GM21" i="10" s="1"/>
  <c r="GJ21" i="10"/>
  <c r="J15" i="10"/>
  <c r="O15" i="10" s="1"/>
  <c r="P15" i="10" s="1"/>
  <c r="GI15" i="10"/>
  <c r="J17" i="10"/>
  <c r="O17" i="10" s="1"/>
  <c r="P17" i="10" s="1"/>
  <c r="GI17" i="10"/>
  <c r="K19" i="10"/>
  <c r="GJ19" i="10"/>
  <c r="J16" i="10"/>
  <c r="O16" i="10" s="1"/>
  <c r="P16" i="10" s="1"/>
  <c r="GI16" i="10"/>
  <c r="J18" i="10"/>
  <c r="O18" i="10" s="1"/>
  <c r="P18" i="10" s="1"/>
  <c r="GI18" i="10"/>
  <c r="J20" i="10"/>
  <c r="O20" i="10" s="1"/>
  <c r="P20" i="10" s="1"/>
  <c r="GI20" i="10"/>
  <c r="K11" i="10"/>
  <c r="GJ11" i="10"/>
  <c r="AF14" i="10"/>
  <c r="HH14" i="10"/>
  <c r="FQ9" i="10"/>
  <c r="FZ9" i="10"/>
  <c r="FL10" i="10"/>
  <c r="FC10" i="10"/>
  <c r="EL11" i="10"/>
  <c r="FH9" i="10"/>
  <c r="AC7" i="18"/>
  <c r="AC8" i="18"/>
  <c r="AC10" i="18"/>
  <c r="AC9" i="18"/>
  <c r="EM32" i="10"/>
  <c r="EO15" i="10"/>
  <c r="ET15" i="10" s="1"/>
  <c r="J7" i="10"/>
  <c r="O7" i="10" s="1"/>
  <c r="P7" i="10" s="1"/>
  <c r="J9" i="10"/>
  <c r="O9" i="10" s="1"/>
  <c r="P9" i="10" s="1"/>
  <c r="J8" i="10"/>
  <c r="O8" i="10" s="1"/>
  <c r="P8" i="10" s="1"/>
  <c r="J10" i="10"/>
  <c r="O10" i="10" s="1"/>
  <c r="P10" i="10" s="1"/>
  <c r="AD13" i="10"/>
  <c r="IY13" i="10" s="1"/>
  <c r="K13" i="10"/>
  <c r="AC11" i="10"/>
  <c r="IX11" i="10" s="1"/>
  <c r="J11" i="10"/>
  <c r="O11" i="10" s="1"/>
  <c r="P11" i="10" s="1"/>
  <c r="I14" i="10"/>
  <c r="K14" i="10"/>
  <c r="AD16" i="10"/>
  <c r="IY16" i="10" s="1"/>
  <c r="K16" i="10"/>
  <c r="IG16" i="10" s="1"/>
  <c r="AD18" i="10"/>
  <c r="K18" i="10"/>
  <c r="IG18" i="10" s="1"/>
  <c r="AD20" i="10"/>
  <c r="K20" i="10"/>
  <c r="IG20" i="10" s="1"/>
  <c r="AD22" i="10"/>
  <c r="K22" i="10"/>
  <c r="AD24" i="10"/>
  <c r="K24" i="10"/>
  <c r="AD26" i="10"/>
  <c r="K26" i="10"/>
  <c r="AD12" i="10"/>
  <c r="IY12" i="10" s="1"/>
  <c r="K12" i="10"/>
  <c r="AD15" i="10"/>
  <c r="IY15" i="10" s="1"/>
  <c r="K15" i="10"/>
  <c r="IG15" i="10" s="1"/>
  <c r="AD17" i="10"/>
  <c r="IY17" i="10" s="1"/>
  <c r="K17" i="10"/>
  <c r="IG17" i="10" s="1"/>
  <c r="AC19" i="10"/>
  <c r="J19" i="10"/>
  <c r="O19" i="10" s="1"/>
  <c r="P19" i="10" s="1"/>
  <c r="AC21" i="10"/>
  <c r="J21" i="10"/>
  <c r="O21" i="10" s="1"/>
  <c r="P21" i="10" s="1"/>
  <c r="AD23" i="10"/>
  <c r="K23" i="10"/>
  <c r="AD25" i="10"/>
  <c r="K25" i="10"/>
  <c r="EU19" i="10"/>
  <c r="ET19" i="10"/>
  <c r="EU16" i="10"/>
  <c r="ET16" i="10"/>
  <c r="ET23" i="10"/>
  <c r="EU23" i="10"/>
  <c r="EU25" i="10"/>
  <c r="ET25" i="10"/>
  <c r="ET21" i="10"/>
  <c r="EU21" i="10"/>
  <c r="EU18" i="10"/>
  <c r="ET18" i="10"/>
  <c r="EU24" i="10"/>
  <c r="ET24" i="10"/>
  <c r="ET26" i="10"/>
  <c r="EU26" i="10"/>
  <c r="ET22" i="10"/>
  <c r="EU22" i="10"/>
  <c r="EU17" i="10"/>
  <c r="ET17" i="10"/>
  <c r="EU20" i="10"/>
  <c r="ET20" i="10"/>
  <c r="AY19" i="10"/>
  <c r="IZ19" i="10" s="1"/>
  <c r="AY20" i="10"/>
  <c r="IZ20" i="10" s="1"/>
  <c r="AY23" i="10"/>
  <c r="AY25" i="10"/>
  <c r="AY21" i="10"/>
  <c r="AY18" i="10"/>
  <c r="IZ18" i="10" s="1"/>
  <c r="AY24" i="10"/>
  <c r="AY26" i="10"/>
  <c r="AY22" i="10"/>
  <c r="AY17" i="10"/>
  <c r="AY15" i="10"/>
  <c r="AY16" i="10"/>
  <c r="I16" i="10"/>
  <c r="I22" i="10"/>
  <c r="GK22" i="10" s="1"/>
  <c r="I24" i="10"/>
  <c r="GK24" i="10" s="1"/>
  <c r="I12" i="10"/>
  <c r="AC8" i="10"/>
  <c r="I10" i="10"/>
  <c r="AC20" i="10"/>
  <c r="I26" i="10"/>
  <c r="GK26" i="10" s="1"/>
  <c r="I19" i="10"/>
  <c r="AC18" i="10"/>
  <c r="I23" i="10"/>
  <c r="GK23" i="10" s="1"/>
  <c r="I8" i="10"/>
  <c r="AC17" i="10"/>
  <c r="IX17" i="10" s="1"/>
  <c r="AC13" i="10"/>
  <c r="IX13" i="10" s="1"/>
  <c r="AD11" i="10"/>
  <c r="IY11" i="10" s="1"/>
  <c r="AC25" i="10"/>
  <c r="AC9" i="10"/>
  <c r="IX9" i="10" s="1"/>
  <c r="AC12" i="10"/>
  <c r="IX12" i="10" s="1"/>
  <c r="AD21" i="10"/>
  <c r="AC26" i="10"/>
  <c r="I13" i="10"/>
  <c r="AC10" i="10"/>
  <c r="IX10" i="10" s="1"/>
  <c r="AC15" i="10"/>
  <c r="IX15" i="10" s="1"/>
  <c r="AD19" i="10"/>
  <c r="AC24" i="10"/>
  <c r="AC23" i="10"/>
  <c r="I15" i="10"/>
  <c r="AC16" i="10"/>
  <c r="IX16" i="10" s="1"/>
  <c r="AD14" i="10"/>
  <c r="AC7" i="10"/>
  <c r="IX7" i="10" s="1"/>
  <c r="AC22" i="10"/>
  <c r="HH22" i="10" s="1"/>
  <c r="I9" i="10"/>
  <c r="I20" i="10"/>
  <c r="I7" i="10"/>
  <c r="I18" i="10"/>
  <c r="I17" i="10"/>
  <c r="I21" i="10"/>
  <c r="GK21" i="10" s="1"/>
  <c r="I25" i="10"/>
  <c r="GK25" i="10" s="1"/>
  <c r="I11" i="10"/>
  <c r="I14" i="25" l="1"/>
  <c r="H189" i="31" s="1"/>
  <c r="IE24" i="10"/>
  <c r="IZ24" i="10"/>
  <c r="IZ22" i="10"/>
  <c r="IE22" i="10"/>
  <c r="IE21" i="10"/>
  <c r="IZ21" i="10"/>
  <c r="IZ23" i="10"/>
  <c r="IE23" i="10"/>
  <c r="IZ26" i="10"/>
  <c r="IE26" i="10"/>
  <c r="IE25" i="10"/>
  <c r="IZ25" i="10"/>
  <c r="DJ16" i="10"/>
  <c r="JH19" i="10"/>
  <c r="JL19" i="10" s="1"/>
  <c r="C19" i="28"/>
  <c r="H464" i="31" s="1"/>
  <c r="X20" i="18"/>
  <c r="JF22" i="10"/>
  <c r="JG22" i="10" s="1"/>
  <c r="JH20" i="10"/>
  <c r="JF24" i="10"/>
  <c r="JG24" i="10" s="1"/>
  <c r="JF25" i="10"/>
  <c r="JG25" i="10" s="1"/>
  <c r="JF26" i="10"/>
  <c r="JG26" i="10" s="1"/>
  <c r="JF21" i="10"/>
  <c r="JG21" i="10" s="1"/>
  <c r="JF23" i="10"/>
  <c r="JG23" i="10" s="1"/>
  <c r="JH18" i="10"/>
  <c r="IP13" i="10"/>
  <c r="IK21" i="10"/>
  <c r="IL21" i="10" s="1"/>
  <c r="IK26" i="10"/>
  <c r="IL26" i="10" s="1"/>
  <c r="IK22" i="10"/>
  <c r="IL22" i="10" s="1"/>
  <c r="IK23" i="10"/>
  <c r="IL23" i="10" s="1"/>
  <c r="IK24" i="10"/>
  <c r="IL24" i="10" s="1"/>
  <c r="IK25" i="10"/>
  <c r="IL25" i="10" s="1"/>
  <c r="IP12" i="10"/>
  <c r="F14" i="25"/>
  <c r="H99" i="31" s="1"/>
  <c r="CF15" i="10"/>
  <c r="GQ25" i="10"/>
  <c r="GR25" i="10" s="1"/>
  <c r="GQ24" i="10"/>
  <c r="GR24" i="10" s="1"/>
  <c r="GQ23" i="10"/>
  <c r="GR23" i="10" s="1"/>
  <c r="GQ22" i="10"/>
  <c r="GR22" i="10" s="1"/>
  <c r="GQ26" i="10"/>
  <c r="GR26" i="10" s="1"/>
  <c r="GV13" i="10"/>
  <c r="AK14" i="10"/>
  <c r="AL14" i="10" s="1"/>
  <c r="V14" i="10"/>
  <c r="U14" i="10"/>
  <c r="U13" i="10"/>
  <c r="V13" i="10"/>
  <c r="U12" i="10"/>
  <c r="V12" i="10"/>
  <c r="T23" i="10"/>
  <c r="V23" i="10"/>
  <c r="U23" i="10"/>
  <c r="U25" i="10"/>
  <c r="T25" i="10"/>
  <c r="V25" i="10"/>
  <c r="T24" i="10"/>
  <c r="U24" i="10"/>
  <c r="V24" i="10"/>
  <c r="V22" i="10"/>
  <c r="T22" i="10"/>
  <c r="U22" i="10"/>
  <c r="V26" i="10"/>
  <c r="U26" i="10"/>
  <c r="T26" i="10"/>
  <c r="JI26" i="10"/>
  <c r="JC26" i="10"/>
  <c r="JJ26" i="10" s="1"/>
  <c r="JD26" i="10" s="1"/>
  <c r="JE26" i="10" s="1"/>
  <c r="JI21" i="10"/>
  <c r="JC21" i="10"/>
  <c r="JJ21" i="10" s="1"/>
  <c r="JD21" i="10" s="1"/>
  <c r="JE21" i="10" s="1"/>
  <c r="JI23" i="10"/>
  <c r="JC23" i="10"/>
  <c r="JJ23" i="10" s="1"/>
  <c r="JD23" i="10" s="1"/>
  <c r="JE23" i="10" s="1"/>
  <c r="JI22" i="10"/>
  <c r="JC22" i="10"/>
  <c r="JJ22" i="10" s="1"/>
  <c r="JD22" i="10" s="1"/>
  <c r="JE22" i="10" s="1"/>
  <c r="JI25" i="10"/>
  <c r="JC25" i="10"/>
  <c r="JJ25" i="10" s="1"/>
  <c r="JD25" i="10" s="1"/>
  <c r="JE25" i="10" s="1"/>
  <c r="JI24" i="10"/>
  <c r="JC24" i="10"/>
  <c r="JJ24" i="10" s="1"/>
  <c r="JD24" i="10" s="1"/>
  <c r="JE24" i="10" s="1"/>
  <c r="IH26" i="10"/>
  <c r="IO26" i="10" s="1"/>
  <c r="II26" i="10" s="1"/>
  <c r="IJ26" i="10" s="1"/>
  <c r="IN26" i="10"/>
  <c r="IH25" i="10"/>
  <c r="IO25" i="10" s="1"/>
  <c r="II25" i="10" s="1"/>
  <c r="IJ25" i="10" s="1"/>
  <c r="IN25" i="10"/>
  <c r="IH24" i="10"/>
  <c r="IO24" i="10" s="1"/>
  <c r="II24" i="10" s="1"/>
  <c r="IJ24" i="10" s="1"/>
  <c r="IN24" i="10"/>
  <c r="IH22" i="10"/>
  <c r="IO22" i="10" s="1"/>
  <c r="II22" i="10" s="1"/>
  <c r="IJ22" i="10" s="1"/>
  <c r="IN22" i="10"/>
  <c r="IN21" i="10"/>
  <c r="IH21" i="10"/>
  <c r="IO21" i="10" s="1"/>
  <c r="II21" i="10" s="1"/>
  <c r="IJ21" i="10" s="1"/>
  <c r="IN23" i="10"/>
  <c r="IH23" i="10"/>
  <c r="IO23" i="10" s="1"/>
  <c r="II23" i="10" s="1"/>
  <c r="IJ23" i="10" s="1"/>
  <c r="GN23" i="10"/>
  <c r="GU23" i="10" s="1"/>
  <c r="GO23" i="10" s="1"/>
  <c r="GP23" i="10" s="1"/>
  <c r="GT23" i="10"/>
  <c r="GN25" i="10"/>
  <c r="GU25" i="10" s="1"/>
  <c r="GO25" i="10" s="1"/>
  <c r="GP25" i="10" s="1"/>
  <c r="GT25" i="10"/>
  <c r="GT22" i="10"/>
  <c r="GN22" i="10"/>
  <c r="GU22" i="10" s="1"/>
  <c r="GO22" i="10" s="1"/>
  <c r="GP22" i="10" s="1"/>
  <c r="GT24" i="10"/>
  <c r="GN24" i="10"/>
  <c r="GU24" i="10" s="1"/>
  <c r="GO24" i="10" s="1"/>
  <c r="GP24" i="10" s="1"/>
  <c r="GT26" i="10"/>
  <c r="GN26" i="10"/>
  <c r="GU26" i="10" s="1"/>
  <c r="GO26" i="10" s="1"/>
  <c r="GP26" i="10" s="1"/>
  <c r="AH14" i="10"/>
  <c r="AO14" i="10" s="1"/>
  <c r="AI14" i="10" s="1"/>
  <c r="AJ14" i="10" s="1"/>
  <c r="AN14" i="10"/>
  <c r="IF9" i="10"/>
  <c r="L9" i="10"/>
  <c r="S9" i="10" s="1"/>
  <c r="M9" i="10" s="1"/>
  <c r="N9" i="10" s="1"/>
  <c r="Q9" i="10" s="1"/>
  <c r="R9" i="10"/>
  <c r="GL21" i="10"/>
  <c r="L21" i="10"/>
  <c r="S21" i="10" s="1"/>
  <c r="M21" i="10" s="1"/>
  <c r="N21" i="10" s="1"/>
  <c r="Q21" i="10" s="1"/>
  <c r="R21" i="10"/>
  <c r="L11" i="10"/>
  <c r="S11" i="10" s="1"/>
  <c r="M11" i="10" s="1"/>
  <c r="N11" i="10" s="1"/>
  <c r="Q11" i="10" s="1"/>
  <c r="R11" i="10"/>
  <c r="L18" i="10"/>
  <c r="S18" i="10" s="1"/>
  <c r="M18" i="10" s="1"/>
  <c r="N18" i="10" s="1"/>
  <c r="Q18" i="10" s="1"/>
  <c r="R18" i="10"/>
  <c r="IF10" i="10"/>
  <c r="L10" i="10"/>
  <c r="S10" i="10" s="1"/>
  <c r="M10" i="10" s="1"/>
  <c r="N10" i="10" s="1"/>
  <c r="Q10" i="10" s="1"/>
  <c r="R10" i="10"/>
  <c r="IF7" i="10"/>
  <c r="L7" i="10"/>
  <c r="S7" i="10" s="1"/>
  <c r="M7" i="10" s="1"/>
  <c r="N7" i="10" s="1"/>
  <c r="Q7" i="10" s="1"/>
  <c r="R7" i="10"/>
  <c r="L15" i="10"/>
  <c r="S15" i="10" s="1"/>
  <c r="M15" i="10" s="1"/>
  <c r="N15" i="10" s="1"/>
  <c r="Q15" i="10" s="1"/>
  <c r="R15" i="10"/>
  <c r="L19" i="10"/>
  <c r="S19" i="10" s="1"/>
  <c r="M19" i="10" s="1"/>
  <c r="N19" i="10" s="1"/>
  <c r="Q19" i="10" s="1"/>
  <c r="R19" i="10"/>
  <c r="IF8" i="10"/>
  <c r="L8" i="10"/>
  <c r="S8" i="10" s="1"/>
  <c r="M8" i="10" s="1"/>
  <c r="N8" i="10" s="1"/>
  <c r="Q8" i="10" s="1"/>
  <c r="R8" i="10"/>
  <c r="L20" i="10"/>
  <c r="S20" i="10" s="1"/>
  <c r="M20" i="10" s="1"/>
  <c r="N20" i="10" s="1"/>
  <c r="Q20" i="10" s="1"/>
  <c r="R20" i="10"/>
  <c r="L16" i="10"/>
  <c r="S16" i="10" s="1"/>
  <c r="M16" i="10" s="1"/>
  <c r="N16" i="10" s="1"/>
  <c r="Q16" i="10" s="1"/>
  <c r="R16" i="10"/>
  <c r="L17" i="10"/>
  <c r="S17" i="10" s="1"/>
  <c r="M17" i="10" s="1"/>
  <c r="N17" i="10" s="1"/>
  <c r="Q17" i="10" s="1"/>
  <c r="R17" i="10"/>
  <c r="N21" i="28"/>
  <c r="H796" i="31" s="1"/>
  <c r="MA27" i="10"/>
  <c r="L21" i="28"/>
  <c r="H736" i="31" s="1"/>
  <c r="DX19" i="20"/>
  <c r="DY19" i="20" s="1"/>
  <c r="EA19" i="20" s="1"/>
  <c r="EC19" i="20" s="1"/>
  <c r="ED19" i="20" s="1"/>
  <c r="EE19" i="20" s="1"/>
  <c r="EF19" i="20" s="1"/>
  <c r="K19" i="30" s="1"/>
  <c r="H1484" i="31" s="1"/>
  <c r="R17" i="25"/>
  <c r="H1632" i="31" s="1"/>
  <c r="MQ18" i="10"/>
  <c r="JR27" i="20"/>
  <c r="JS27" i="20" s="1"/>
  <c r="JT27" i="20" s="1"/>
  <c r="JV27" i="20" s="1"/>
  <c r="KG27" i="20" s="1"/>
  <c r="KH27" i="20" s="1"/>
  <c r="KI27" i="20" s="1"/>
  <c r="P27" i="30" s="1"/>
  <c r="H1732" i="31" s="1"/>
  <c r="JR26" i="21"/>
  <c r="JU26" i="18"/>
  <c r="DJ21" i="18"/>
  <c r="I21" i="28" s="1"/>
  <c r="H646" i="31" s="1"/>
  <c r="DJ17" i="10"/>
  <c r="I16" i="25"/>
  <c r="H191" i="31" s="1"/>
  <c r="CF21" i="18"/>
  <c r="F20" i="28"/>
  <c r="H555" i="31" s="1"/>
  <c r="BV21" i="18"/>
  <c r="E20" i="28"/>
  <c r="H525" i="31" s="1"/>
  <c r="CP32" i="21"/>
  <c r="G31" i="29"/>
  <c r="H986" i="31" s="1"/>
  <c r="CP21" i="18"/>
  <c r="G20" i="28"/>
  <c r="H585" i="31" s="1"/>
  <c r="BV25" i="20"/>
  <c r="E25" i="30" s="1"/>
  <c r="H1310" i="31" s="1"/>
  <c r="KW12" i="10"/>
  <c r="EC18" i="21"/>
  <c r="ED18" i="21" s="1"/>
  <c r="EE18" i="21" s="1"/>
  <c r="EF18" i="21" s="1"/>
  <c r="K18" i="29" s="1"/>
  <c r="H1093" i="31" s="1"/>
  <c r="DX12" i="10"/>
  <c r="DC20" i="21"/>
  <c r="DD20" i="21" s="1"/>
  <c r="DE20" i="21" s="1"/>
  <c r="BY26" i="10"/>
  <c r="BZ26" i="10" s="1"/>
  <c r="CA26" i="10" s="1"/>
  <c r="CC26" i="10" s="1"/>
  <c r="CD26" i="10" s="1"/>
  <c r="CE26" i="10" s="1"/>
  <c r="CV22" i="21"/>
  <c r="DM18" i="18"/>
  <c r="CW14" i="10"/>
  <c r="CX14" i="10" s="1"/>
  <c r="CY14" i="10" s="1"/>
  <c r="CZ14" i="10" s="1"/>
  <c r="H14" i="25" s="1"/>
  <c r="H159" i="31" s="1"/>
  <c r="CV14" i="10"/>
  <c r="DZ18" i="21"/>
  <c r="EB18" i="21"/>
  <c r="DM19" i="21"/>
  <c r="DN19" i="21" s="1"/>
  <c r="CT20" i="18"/>
  <c r="CU20" i="18" s="1"/>
  <c r="DY17" i="18"/>
  <c r="EA17" i="18" s="1"/>
  <c r="DG19" i="21"/>
  <c r="DH19" i="21" s="1"/>
  <c r="DI19" i="21" s="1"/>
  <c r="DJ19" i="21" s="1"/>
  <c r="I19" i="29" s="1"/>
  <c r="H1034" i="31" s="1"/>
  <c r="CM14" i="10"/>
  <c r="CN14" i="10" s="1"/>
  <c r="CO14" i="10" s="1"/>
  <c r="CP14" i="10" s="1"/>
  <c r="G14" i="25" s="1"/>
  <c r="H129" i="31" s="1"/>
  <c r="CL14" i="10"/>
  <c r="DM12" i="10"/>
  <c r="DE20" i="10"/>
  <c r="DC22" i="18"/>
  <c r="BY28" i="18"/>
  <c r="BI25" i="18"/>
  <c r="BT25" i="18" s="1"/>
  <c r="BU25" i="18" s="1"/>
  <c r="BH25" i="18"/>
  <c r="BZ26" i="21"/>
  <c r="CA26" i="21" s="1"/>
  <c r="BF25" i="21"/>
  <c r="BG25" i="21" s="1"/>
  <c r="EK26" i="20"/>
  <c r="EN26" i="20" s="1"/>
  <c r="EV26" i="20" s="1"/>
  <c r="EW26" i="20" s="1"/>
  <c r="EX26" i="20" s="1"/>
  <c r="EY26" i="20" s="1"/>
  <c r="FU23" i="20"/>
  <c r="FK24" i="20"/>
  <c r="FM24" i="20" s="1"/>
  <c r="FN24" i="20" s="1"/>
  <c r="FO24" i="20" s="1"/>
  <c r="FP24" i="20" s="1"/>
  <c r="FQ24" i="20" s="1"/>
  <c r="FB24" i="20"/>
  <c r="FD24" i="20" s="1"/>
  <c r="FE24" i="20" s="1"/>
  <c r="FF24" i="20" s="1"/>
  <c r="FG24" i="20" s="1"/>
  <c r="FH24" i="20" s="1"/>
  <c r="DQ17" i="20"/>
  <c r="DM18" i="20" s="1"/>
  <c r="DO17" i="20"/>
  <c r="DC23" i="20"/>
  <c r="CV21" i="20"/>
  <c r="CJ22" i="20"/>
  <c r="CK22" i="20" s="1"/>
  <c r="CM22" i="20" s="1"/>
  <c r="CN22" i="20" s="1"/>
  <c r="CO22" i="20" s="1"/>
  <c r="CP22" i="20" s="1"/>
  <c r="G22" i="30" s="1"/>
  <c r="H1367" i="31" s="1"/>
  <c r="BZ25" i="20"/>
  <c r="CA25" i="20" s="1"/>
  <c r="CC25" i="20" s="1"/>
  <c r="CD25" i="20" s="1"/>
  <c r="CE25" i="20" s="1"/>
  <c r="CF25" i="20" s="1"/>
  <c r="F25" i="30" s="1"/>
  <c r="H1340" i="31" s="1"/>
  <c r="BE26" i="20"/>
  <c r="EY10" i="10"/>
  <c r="GK11" i="10"/>
  <c r="IE11" i="10"/>
  <c r="GK18" i="10"/>
  <c r="IE18" i="10"/>
  <c r="GK15" i="10"/>
  <c r="IE15" i="10"/>
  <c r="GK14" i="10"/>
  <c r="IE14" i="10"/>
  <c r="GM11" i="10"/>
  <c r="IG11" i="10"/>
  <c r="GK10" i="10"/>
  <c r="IE10" i="10"/>
  <c r="GM12" i="10"/>
  <c r="IG12" i="10"/>
  <c r="IR12" i="10" s="1"/>
  <c r="IS12" i="10" s="1"/>
  <c r="GL11" i="10"/>
  <c r="IF11" i="10"/>
  <c r="GZ9" i="18"/>
  <c r="IP9" i="18"/>
  <c r="GL20" i="10"/>
  <c r="IF20" i="10"/>
  <c r="GL16" i="10"/>
  <c r="IF16" i="10"/>
  <c r="GL17" i="10"/>
  <c r="IF17" i="10"/>
  <c r="IP9" i="20"/>
  <c r="AF9" i="20"/>
  <c r="AE9" i="20"/>
  <c r="GZ9" i="20"/>
  <c r="GK20" i="10"/>
  <c r="IE20" i="10"/>
  <c r="HI14" i="10"/>
  <c r="IY14" i="10"/>
  <c r="GK19" i="10"/>
  <c r="IE19" i="10"/>
  <c r="HH8" i="10"/>
  <c r="IX8" i="10"/>
  <c r="GK16" i="10"/>
  <c r="IE16" i="10"/>
  <c r="GZ10" i="18"/>
  <c r="IP10" i="18"/>
  <c r="HK14" i="10"/>
  <c r="JA14" i="10"/>
  <c r="IP10" i="21"/>
  <c r="AF10" i="21"/>
  <c r="AE10" i="21"/>
  <c r="GZ10" i="21"/>
  <c r="AE8" i="20"/>
  <c r="IP8" i="20"/>
  <c r="GZ8" i="20"/>
  <c r="AF8" i="20"/>
  <c r="IP9" i="21"/>
  <c r="AF9" i="21"/>
  <c r="GZ9" i="21"/>
  <c r="AE9" i="21"/>
  <c r="GK17" i="10"/>
  <c r="IE17" i="10"/>
  <c r="GK9" i="10"/>
  <c r="IE9" i="10"/>
  <c r="GK8" i="10"/>
  <c r="IE8" i="10"/>
  <c r="GL19" i="10"/>
  <c r="IF19" i="10"/>
  <c r="GM14" i="10"/>
  <c r="IG14" i="10"/>
  <c r="GM13" i="10"/>
  <c r="GX13" i="10" s="1"/>
  <c r="GY13" i="10" s="1"/>
  <c r="IG13" i="10"/>
  <c r="IR13" i="10" s="1"/>
  <c r="IS13" i="10" s="1"/>
  <c r="GZ8" i="18"/>
  <c r="IP8" i="18"/>
  <c r="GL18" i="10"/>
  <c r="IF18" i="10"/>
  <c r="GM19" i="10"/>
  <c r="IG19" i="10"/>
  <c r="GL15" i="10"/>
  <c r="IF15" i="10"/>
  <c r="AE10" i="20"/>
  <c r="IP10" i="20"/>
  <c r="GZ10" i="20"/>
  <c r="AF10" i="20"/>
  <c r="IP8" i="21"/>
  <c r="GZ8" i="21"/>
  <c r="AF8" i="21"/>
  <c r="AE8" i="21"/>
  <c r="GK7" i="10"/>
  <c r="IE7" i="10"/>
  <c r="GZ7" i="18"/>
  <c r="IP7" i="18"/>
  <c r="N26" i="30"/>
  <c r="H1581" i="31" s="1"/>
  <c r="FC19" i="21"/>
  <c r="FA20" i="21" s="1"/>
  <c r="N26" i="29"/>
  <c r="H1191" i="31" s="1"/>
  <c r="GK13" i="10"/>
  <c r="IE13" i="10"/>
  <c r="GK12" i="10"/>
  <c r="IE12" i="10"/>
  <c r="FK20" i="21"/>
  <c r="FM20" i="21" s="1"/>
  <c r="EK20" i="21"/>
  <c r="X27" i="21"/>
  <c r="C27" i="29" s="1"/>
  <c r="H862" i="31" s="1"/>
  <c r="L26" i="29"/>
  <c r="H1131" i="31" s="1"/>
  <c r="FW19" i="21"/>
  <c r="FX19" i="21" s="1"/>
  <c r="FY19" i="21" s="1"/>
  <c r="FZ19" i="21" s="1"/>
  <c r="L26" i="30"/>
  <c r="H1521" i="31" s="1"/>
  <c r="X27" i="20"/>
  <c r="C27" i="30" s="1"/>
  <c r="H1252" i="31" s="1"/>
  <c r="AF9" i="10"/>
  <c r="HH9" i="10"/>
  <c r="AF15" i="10"/>
  <c r="HH15" i="10"/>
  <c r="AG21" i="10"/>
  <c r="HL21" i="10" s="1"/>
  <c r="HI21" i="10"/>
  <c r="AG11" i="10"/>
  <c r="HI11" i="10"/>
  <c r="GM23" i="10"/>
  <c r="GM15" i="10"/>
  <c r="GM26" i="10"/>
  <c r="GM22" i="10"/>
  <c r="GM18" i="10"/>
  <c r="GL9" i="10"/>
  <c r="AF7" i="10"/>
  <c r="HH7" i="10"/>
  <c r="AF23" i="10"/>
  <c r="HH23" i="10"/>
  <c r="AF10" i="10"/>
  <c r="HH10" i="10"/>
  <c r="AF12" i="10"/>
  <c r="HH12" i="10"/>
  <c r="AF13" i="10"/>
  <c r="HH13" i="10"/>
  <c r="AF18" i="10"/>
  <c r="HH18" i="10"/>
  <c r="AF20" i="10"/>
  <c r="HH20" i="10"/>
  <c r="AG23" i="10"/>
  <c r="HL23" i="10" s="1"/>
  <c r="HI23" i="10"/>
  <c r="AF19" i="10"/>
  <c r="HH19" i="10"/>
  <c r="AG15" i="10"/>
  <c r="HI15" i="10"/>
  <c r="AG26" i="10"/>
  <c r="HL26" i="10" s="1"/>
  <c r="HI26" i="10"/>
  <c r="AG22" i="10"/>
  <c r="HL22" i="10" s="1"/>
  <c r="HI22" i="10"/>
  <c r="AG18" i="10"/>
  <c r="HL18" i="10" s="1"/>
  <c r="HI18" i="10"/>
  <c r="AG13" i="10"/>
  <c r="HI13" i="10"/>
  <c r="GL7" i="10"/>
  <c r="AF24" i="10"/>
  <c r="HH24" i="10"/>
  <c r="AF17" i="10"/>
  <c r="HH17" i="10"/>
  <c r="GM25" i="10"/>
  <c r="GM17" i="10"/>
  <c r="GM24" i="10"/>
  <c r="GM20" i="10"/>
  <c r="GM16" i="10"/>
  <c r="GL10" i="10"/>
  <c r="AF16" i="10"/>
  <c r="HH16" i="10"/>
  <c r="AG19" i="10"/>
  <c r="HL19" i="10" s="1"/>
  <c r="HI19" i="10"/>
  <c r="AF26" i="10"/>
  <c r="HH26" i="10"/>
  <c r="AF25" i="10"/>
  <c r="HH25" i="10"/>
  <c r="EU15" i="10"/>
  <c r="AG25" i="10"/>
  <c r="HL25" i="10" s="1"/>
  <c r="HI25" i="10"/>
  <c r="AF21" i="10"/>
  <c r="HH21" i="10"/>
  <c r="AG17" i="10"/>
  <c r="HI17" i="10"/>
  <c r="AG12" i="10"/>
  <c r="HI12" i="10"/>
  <c r="AG24" i="10"/>
  <c r="HL24" i="10" s="1"/>
  <c r="HI24" i="10"/>
  <c r="AG20" i="10"/>
  <c r="HL20" i="10" s="1"/>
  <c r="HI20" i="10"/>
  <c r="AG16" i="10"/>
  <c r="HI16" i="10"/>
  <c r="AF11" i="10"/>
  <c r="HH11" i="10"/>
  <c r="GL8" i="10"/>
  <c r="FH10" i="10"/>
  <c r="FZ10" i="10"/>
  <c r="EL12" i="10"/>
  <c r="FL11" i="10"/>
  <c r="FU11" i="10"/>
  <c r="FC11" i="10"/>
  <c r="FQ10" i="10"/>
  <c r="AF9" i="18"/>
  <c r="AE9" i="18"/>
  <c r="AF8" i="18"/>
  <c r="AE8" i="18"/>
  <c r="EM33" i="10"/>
  <c r="EM34" i="10" s="1"/>
  <c r="AF10" i="18"/>
  <c r="AE10" i="18"/>
  <c r="AF7" i="18"/>
  <c r="AE7" i="18"/>
  <c r="AE8" i="10"/>
  <c r="AF8" i="10"/>
  <c r="AE22" i="10"/>
  <c r="HJ22" i="10" s="1"/>
  <c r="AF22" i="10"/>
  <c r="AG14" i="10"/>
  <c r="JB14" i="10" s="1"/>
  <c r="AE23" i="10"/>
  <c r="HJ23" i="10" s="1"/>
  <c r="AE18" i="10"/>
  <c r="HJ18" i="10" s="1"/>
  <c r="AE20" i="10"/>
  <c r="HJ20" i="10" s="1"/>
  <c r="AE21" i="10"/>
  <c r="HJ21" i="10" s="1"/>
  <c r="AE14" i="10"/>
  <c r="AE19" i="10"/>
  <c r="HJ19" i="10" s="1"/>
  <c r="AE10" i="10"/>
  <c r="AE26" i="10"/>
  <c r="HJ26" i="10" s="1"/>
  <c r="AE25" i="10"/>
  <c r="HJ25" i="10" s="1"/>
  <c r="AE24" i="10"/>
  <c r="HJ24" i="10" s="1"/>
  <c r="AE12" i="10"/>
  <c r="AE13" i="10"/>
  <c r="AE11" i="10"/>
  <c r="AE7" i="10"/>
  <c r="AE16" i="10"/>
  <c r="AE15" i="10"/>
  <c r="AE9" i="10"/>
  <c r="AE17" i="10"/>
  <c r="JM19" i="10" l="1"/>
  <c r="JN19" i="10" s="1"/>
  <c r="JK19" i="10"/>
  <c r="AH10" i="20"/>
  <c r="AO10" i="20" s="1"/>
  <c r="AI10" i="20" s="1"/>
  <c r="AJ10" i="20" s="1"/>
  <c r="AK10" i="20"/>
  <c r="AL10" i="20" s="1"/>
  <c r="AH8" i="20"/>
  <c r="AO8" i="20" s="1"/>
  <c r="AI8" i="20" s="1"/>
  <c r="AJ8" i="20" s="1"/>
  <c r="AK8" i="20"/>
  <c r="AL8" i="20" s="1"/>
  <c r="AH9" i="20"/>
  <c r="AO9" i="20" s="1"/>
  <c r="AI9" i="20" s="1"/>
  <c r="AJ9" i="20" s="1"/>
  <c r="AK9" i="20"/>
  <c r="AL9" i="20" s="1"/>
  <c r="AH8" i="21"/>
  <c r="AO8" i="21" s="1"/>
  <c r="AI8" i="21" s="1"/>
  <c r="AJ8" i="21" s="1"/>
  <c r="AK8" i="21"/>
  <c r="AL8" i="21" s="1"/>
  <c r="AH9" i="21"/>
  <c r="AO9" i="21" s="1"/>
  <c r="AI9" i="21" s="1"/>
  <c r="AJ9" i="21" s="1"/>
  <c r="AK9" i="21"/>
  <c r="AL9" i="21" s="1"/>
  <c r="AH10" i="21"/>
  <c r="AO10" i="21" s="1"/>
  <c r="AI10" i="21" s="1"/>
  <c r="AJ10" i="21" s="1"/>
  <c r="AK10" i="21"/>
  <c r="AL10" i="21" s="1"/>
  <c r="L20" i="28"/>
  <c r="H735" i="31" s="1"/>
  <c r="C20" i="28"/>
  <c r="H465" i="31" s="1"/>
  <c r="X21" i="18"/>
  <c r="AH9" i="18"/>
  <c r="AO9" i="18" s="1"/>
  <c r="AI9" i="18" s="1"/>
  <c r="AJ9" i="18" s="1"/>
  <c r="AK9" i="18"/>
  <c r="AL9" i="18" s="1"/>
  <c r="AH7" i="18"/>
  <c r="AO7" i="18" s="1"/>
  <c r="AI7" i="18" s="1"/>
  <c r="AJ7" i="18" s="1"/>
  <c r="AK7" i="18"/>
  <c r="AL7" i="18" s="1"/>
  <c r="AH10" i="18"/>
  <c r="AO10" i="18" s="1"/>
  <c r="AI10" i="18" s="1"/>
  <c r="AJ10" i="18" s="1"/>
  <c r="AK10" i="18"/>
  <c r="AL10" i="18" s="1"/>
  <c r="AH8" i="18"/>
  <c r="AO8" i="18" s="1"/>
  <c r="AI8" i="18" s="1"/>
  <c r="AJ8" i="18" s="1"/>
  <c r="AK8" i="18"/>
  <c r="AL8" i="18" s="1"/>
  <c r="JH23" i="10"/>
  <c r="JM23" i="10" s="1"/>
  <c r="JN23" i="10" s="1"/>
  <c r="JH26" i="10"/>
  <c r="JK26" i="10" s="1"/>
  <c r="JH22" i="10"/>
  <c r="JK22" i="10" s="1"/>
  <c r="JF14" i="10"/>
  <c r="JG14" i="10" s="1"/>
  <c r="JH24" i="10"/>
  <c r="JH21" i="10"/>
  <c r="JK20" i="10"/>
  <c r="JL20" i="10"/>
  <c r="JM20" i="10"/>
  <c r="JN20" i="10" s="1"/>
  <c r="JH25" i="10"/>
  <c r="JK18" i="10"/>
  <c r="JL18" i="10"/>
  <c r="JM18" i="10"/>
  <c r="JN18" i="10" s="1"/>
  <c r="IM22" i="10"/>
  <c r="IQ22" i="10" s="1"/>
  <c r="IM26" i="10"/>
  <c r="IP26" i="10" s="1"/>
  <c r="IM21" i="10"/>
  <c r="IK18" i="10"/>
  <c r="IL18" i="10" s="1"/>
  <c r="IK9" i="10"/>
  <c r="IL9" i="10" s="1"/>
  <c r="IM24" i="10"/>
  <c r="IM23" i="10"/>
  <c r="IK7" i="10"/>
  <c r="IL7" i="10" s="1"/>
  <c r="IK15" i="10"/>
  <c r="IL15" i="10" s="1"/>
  <c r="IK19" i="10"/>
  <c r="IL19" i="10" s="1"/>
  <c r="IK16" i="10"/>
  <c r="IL16" i="10" s="1"/>
  <c r="IK8" i="10"/>
  <c r="IL8" i="10" s="1"/>
  <c r="IQ12" i="10"/>
  <c r="IR14" i="10"/>
  <c r="IS14" i="10" s="1"/>
  <c r="IQ14" i="10"/>
  <c r="IK17" i="10"/>
  <c r="IL17" i="10" s="1"/>
  <c r="IK20" i="10"/>
  <c r="IL20" i="10" s="1"/>
  <c r="IK11" i="10"/>
  <c r="IL11" i="10" s="1"/>
  <c r="IK10" i="10"/>
  <c r="IL10" i="10" s="1"/>
  <c r="IM25" i="10"/>
  <c r="IQ13" i="10"/>
  <c r="CF16" i="10"/>
  <c r="F15" i="25"/>
  <c r="H100" i="31" s="1"/>
  <c r="HP14" i="10"/>
  <c r="HQ14" i="10" s="1"/>
  <c r="GS23" i="10"/>
  <c r="GV23" i="10" s="1"/>
  <c r="GS26" i="10"/>
  <c r="GV26" i="10" s="1"/>
  <c r="GS24" i="10"/>
  <c r="GV24" i="10" s="1"/>
  <c r="GQ19" i="10"/>
  <c r="GR19" i="10" s="1"/>
  <c r="GQ8" i="10"/>
  <c r="GR8" i="10" s="1"/>
  <c r="GQ7" i="10"/>
  <c r="GR7" i="10" s="1"/>
  <c r="GX14" i="10"/>
  <c r="GY14" i="10" s="1"/>
  <c r="GW14" i="10"/>
  <c r="GQ17" i="10"/>
  <c r="GR17" i="10" s="1"/>
  <c r="GQ20" i="10"/>
  <c r="GR20" i="10" s="1"/>
  <c r="GQ11" i="10"/>
  <c r="GR11" i="10" s="1"/>
  <c r="GQ21" i="10"/>
  <c r="GR21" i="10" s="1"/>
  <c r="GS22" i="10"/>
  <c r="GQ10" i="10"/>
  <c r="GR10" i="10" s="1"/>
  <c r="GQ15" i="10"/>
  <c r="GR15" i="10" s="1"/>
  <c r="GQ18" i="10"/>
  <c r="GR18" i="10" s="1"/>
  <c r="GQ16" i="10"/>
  <c r="GR16" i="10" s="1"/>
  <c r="GX12" i="10"/>
  <c r="GY12" i="10" s="1"/>
  <c r="GW12" i="10"/>
  <c r="GW13" i="10"/>
  <c r="GQ9" i="10"/>
  <c r="GR9" i="10" s="1"/>
  <c r="GS25" i="10"/>
  <c r="GX25" i="10" s="1"/>
  <c r="GY25" i="10" s="1"/>
  <c r="AM14" i="10"/>
  <c r="AP14" i="10" s="1"/>
  <c r="AK20" i="10"/>
  <c r="AL20" i="10" s="1"/>
  <c r="AK13" i="10"/>
  <c r="AL13" i="10" s="1"/>
  <c r="AK7" i="10"/>
  <c r="AL7" i="10" s="1"/>
  <c r="AK26" i="10"/>
  <c r="AL26" i="10" s="1"/>
  <c r="AK16" i="10"/>
  <c r="AL16" i="10" s="1"/>
  <c r="AK17" i="10"/>
  <c r="AL17" i="10" s="1"/>
  <c r="AK15" i="10"/>
  <c r="AL15" i="10" s="1"/>
  <c r="AK22" i="10"/>
  <c r="AL22" i="10" s="1"/>
  <c r="AK19" i="10"/>
  <c r="AL19" i="10" s="1"/>
  <c r="AK8" i="10"/>
  <c r="AL8" i="10" s="1"/>
  <c r="AK21" i="10"/>
  <c r="AL21" i="10" s="1"/>
  <c r="AK18" i="10"/>
  <c r="AL18" i="10" s="1"/>
  <c r="AK12" i="10"/>
  <c r="AL12" i="10" s="1"/>
  <c r="AK23" i="10"/>
  <c r="AL23" i="10" s="1"/>
  <c r="AK10" i="10"/>
  <c r="AL10" i="10" s="1"/>
  <c r="AK11" i="10"/>
  <c r="AL11" i="10" s="1"/>
  <c r="AK25" i="10"/>
  <c r="AL25" i="10" s="1"/>
  <c r="AK24" i="10"/>
  <c r="AL24" i="10" s="1"/>
  <c r="AK9" i="10"/>
  <c r="AL9" i="10" s="1"/>
  <c r="AR14" i="10"/>
  <c r="U7" i="10"/>
  <c r="T7" i="10"/>
  <c r="V7" i="10"/>
  <c r="T8" i="10"/>
  <c r="U8" i="10"/>
  <c r="V8" i="10"/>
  <c r="U9" i="10"/>
  <c r="V9" i="10"/>
  <c r="T9" i="10"/>
  <c r="U15" i="10"/>
  <c r="V15" i="10"/>
  <c r="T15" i="10"/>
  <c r="V18" i="10"/>
  <c r="T18" i="10"/>
  <c r="U18" i="10"/>
  <c r="U21" i="10"/>
  <c r="T21" i="10"/>
  <c r="V21" i="10"/>
  <c r="W21" i="10" s="1"/>
  <c r="U19" i="10"/>
  <c r="V19" i="10"/>
  <c r="T19" i="10"/>
  <c r="T11" i="10"/>
  <c r="V11" i="10"/>
  <c r="U11" i="10"/>
  <c r="T16" i="10"/>
  <c r="U16" i="10"/>
  <c r="V16" i="10"/>
  <c r="U17" i="10"/>
  <c r="V17" i="10"/>
  <c r="T17" i="10"/>
  <c r="T20" i="10"/>
  <c r="U20" i="10"/>
  <c r="V20" i="10"/>
  <c r="V10" i="10"/>
  <c r="T10" i="10"/>
  <c r="U10" i="10"/>
  <c r="JI14" i="10"/>
  <c r="JC14" i="10"/>
  <c r="JJ14" i="10" s="1"/>
  <c r="JD14" i="10" s="1"/>
  <c r="JE14" i="10" s="1"/>
  <c r="IH16" i="10"/>
  <c r="IO16" i="10" s="1"/>
  <c r="II16" i="10" s="1"/>
  <c r="IJ16" i="10" s="1"/>
  <c r="IN16" i="10"/>
  <c r="IH7" i="10"/>
  <c r="IO7" i="10" s="1"/>
  <c r="II7" i="10" s="1"/>
  <c r="IJ7" i="10" s="1"/>
  <c r="IN7" i="10"/>
  <c r="IH10" i="10"/>
  <c r="IO10" i="10" s="1"/>
  <c r="II10" i="10" s="1"/>
  <c r="IJ10" i="10" s="1"/>
  <c r="IN10" i="10"/>
  <c r="IN17" i="10"/>
  <c r="IH17" i="10"/>
  <c r="IO17" i="10" s="1"/>
  <c r="II17" i="10" s="1"/>
  <c r="IJ17" i="10" s="1"/>
  <c r="IH20" i="10"/>
  <c r="IO20" i="10" s="1"/>
  <c r="II20" i="10" s="1"/>
  <c r="IJ20" i="10" s="1"/>
  <c r="IN20" i="10"/>
  <c r="IH11" i="10"/>
  <c r="IO11" i="10" s="1"/>
  <c r="II11" i="10" s="1"/>
  <c r="IJ11" i="10" s="1"/>
  <c r="IN11" i="10"/>
  <c r="IH8" i="10"/>
  <c r="IO8" i="10" s="1"/>
  <c r="II8" i="10" s="1"/>
  <c r="IJ8" i="10" s="1"/>
  <c r="IN8" i="10"/>
  <c r="IN9" i="10"/>
  <c r="IH9" i="10"/>
  <c r="IO9" i="10" s="1"/>
  <c r="II9" i="10" s="1"/>
  <c r="IJ9" i="10" s="1"/>
  <c r="IH15" i="10"/>
  <c r="IO15" i="10" s="1"/>
  <c r="II15" i="10" s="1"/>
  <c r="IJ15" i="10" s="1"/>
  <c r="IN15" i="10"/>
  <c r="IH18" i="10"/>
  <c r="IO18" i="10" s="1"/>
  <c r="II18" i="10" s="1"/>
  <c r="IJ18" i="10" s="1"/>
  <c r="IN18" i="10"/>
  <c r="IH19" i="10"/>
  <c r="IO19" i="10" s="1"/>
  <c r="II19" i="10" s="1"/>
  <c r="IJ19" i="10" s="1"/>
  <c r="IN19" i="10"/>
  <c r="HM14" i="10"/>
  <c r="HT14" i="10" s="1"/>
  <c r="HN14" i="10" s="1"/>
  <c r="HO14" i="10" s="1"/>
  <c r="HS14" i="10"/>
  <c r="GN21" i="10"/>
  <c r="GU21" i="10" s="1"/>
  <c r="GO21" i="10" s="1"/>
  <c r="GP21" i="10" s="1"/>
  <c r="GT21" i="10"/>
  <c r="GT10" i="10"/>
  <c r="GN10" i="10"/>
  <c r="GU10" i="10" s="1"/>
  <c r="GO10" i="10" s="1"/>
  <c r="GP10" i="10" s="1"/>
  <c r="GN7" i="10"/>
  <c r="GU7" i="10" s="1"/>
  <c r="GO7" i="10" s="1"/>
  <c r="GP7" i="10" s="1"/>
  <c r="GT7" i="10"/>
  <c r="GN15" i="10"/>
  <c r="GU15" i="10" s="1"/>
  <c r="GO15" i="10" s="1"/>
  <c r="GP15" i="10" s="1"/>
  <c r="GT15" i="10"/>
  <c r="GT18" i="10"/>
  <c r="GN18" i="10"/>
  <c r="GU18" i="10" s="1"/>
  <c r="GO18" i="10" s="1"/>
  <c r="GP18" i="10" s="1"/>
  <c r="GN19" i="10"/>
  <c r="GU19" i="10" s="1"/>
  <c r="GO19" i="10" s="1"/>
  <c r="GP19" i="10" s="1"/>
  <c r="GT19" i="10"/>
  <c r="GT8" i="10"/>
  <c r="GN8" i="10"/>
  <c r="GU8" i="10" s="1"/>
  <c r="GO8" i="10" s="1"/>
  <c r="GP8" i="10" s="1"/>
  <c r="GN17" i="10"/>
  <c r="GU17" i="10" s="1"/>
  <c r="GO17" i="10" s="1"/>
  <c r="GP17" i="10" s="1"/>
  <c r="GT17" i="10"/>
  <c r="GT20" i="10"/>
  <c r="GN20" i="10"/>
  <c r="GU20" i="10" s="1"/>
  <c r="GO20" i="10" s="1"/>
  <c r="GP20" i="10" s="1"/>
  <c r="GN11" i="10"/>
  <c r="GU11" i="10" s="1"/>
  <c r="GO11" i="10" s="1"/>
  <c r="GP11" i="10" s="1"/>
  <c r="GT11" i="10"/>
  <c r="GN9" i="10"/>
  <c r="GU9" i="10" s="1"/>
  <c r="GO9" i="10" s="1"/>
  <c r="GP9" i="10" s="1"/>
  <c r="GT9" i="10"/>
  <c r="GT16" i="10"/>
  <c r="GN16" i="10"/>
  <c r="GU16" i="10" s="1"/>
  <c r="GO16" i="10" s="1"/>
  <c r="GP16" i="10" s="1"/>
  <c r="HK21" i="10"/>
  <c r="AH21" i="10"/>
  <c r="AO21" i="10" s="1"/>
  <c r="AI21" i="10" s="1"/>
  <c r="AJ21" i="10" s="1"/>
  <c r="AN21" i="10"/>
  <c r="HK22" i="10"/>
  <c r="AH22" i="10"/>
  <c r="AO22" i="10" s="1"/>
  <c r="AI22" i="10" s="1"/>
  <c r="AJ22" i="10" s="1"/>
  <c r="AN22" i="10"/>
  <c r="HK18" i="10"/>
  <c r="AH18" i="10"/>
  <c r="AO18" i="10" s="1"/>
  <c r="AI18" i="10" s="1"/>
  <c r="AJ18" i="10" s="1"/>
  <c r="AN18" i="10"/>
  <c r="AH12" i="10"/>
  <c r="AO12" i="10" s="1"/>
  <c r="AI12" i="10" s="1"/>
  <c r="AJ12" i="10" s="1"/>
  <c r="AN12" i="10"/>
  <c r="HK23" i="10"/>
  <c r="AH23" i="10"/>
  <c r="AO23" i="10" s="1"/>
  <c r="AI23" i="10" s="1"/>
  <c r="AJ23" i="10" s="1"/>
  <c r="AN23" i="10"/>
  <c r="HK26" i="10"/>
  <c r="AH26" i="10"/>
  <c r="AO26" i="10" s="1"/>
  <c r="AI26" i="10" s="1"/>
  <c r="AJ26" i="10" s="1"/>
  <c r="AN26" i="10"/>
  <c r="AH16" i="10"/>
  <c r="AO16" i="10" s="1"/>
  <c r="AI16" i="10" s="1"/>
  <c r="AJ16" i="10" s="1"/>
  <c r="AN16" i="10"/>
  <c r="HK24" i="10"/>
  <c r="AH24" i="10"/>
  <c r="AO24" i="10" s="1"/>
  <c r="AI24" i="10" s="1"/>
  <c r="AJ24" i="10" s="1"/>
  <c r="AN24" i="10"/>
  <c r="AH15" i="10"/>
  <c r="AO15" i="10" s="1"/>
  <c r="AI15" i="10" s="1"/>
  <c r="AJ15" i="10" s="1"/>
  <c r="AN15" i="10"/>
  <c r="JA8" i="10"/>
  <c r="AH8" i="10"/>
  <c r="AO8" i="10" s="1"/>
  <c r="AI8" i="10" s="1"/>
  <c r="AJ8" i="10" s="1"/>
  <c r="AH11" i="10"/>
  <c r="AO11" i="10" s="1"/>
  <c r="AI11" i="10" s="1"/>
  <c r="AJ11" i="10" s="1"/>
  <c r="AN11" i="10"/>
  <c r="HK19" i="10"/>
  <c r="AH19" i="10"/>
  <c r="AO19" i="10" s="1"/>
  <c r="AI19" i="10" s="1"/>
  <c r="AJ19" i="10" s="1"/>
  <c r="AN19" i="10"/>
  <c r="HK20" i="10"/>
  <c r="AH20" i="10"/>
  <c r="AO20" i="10" s="1"/>
  <c r="AI20" i="10" s="1"/>
  <c r="AJ20" i="10" s="1"/>
  <c r="AN20" i="10"/>
  <c r="AH13" i="10"/>
  <c r="AO13" i="10" s="1"/>
  <c r="AI13" i="10" s="1"/>
  <c r="AJ13" i="10" s="1"/>
  <c r="AN13" i="10"/>
  <c r="AH10" i="10"/>
  <c r="AO10" i="10" s="1"/>
  <c r="AI10" i="10" s="1"/>
  <c r="AJ10" i="10" s="1"/>
  <c r="JA7" i="10"/>
  <c r="AH7" i="10"/>
  <c r="AO7" i="10" s="1"/>
  <c r="AI7" i="10" s="1"/>
  <c r="AJ7" i="10" s="1"/>
  <c r="HK25" i="10"/>
  <c r="AH25" i="10"/>
  <c r="AO25" i="10" s="1"/>
  <c r="AI25" i="10" s="1"/>
  <c r="AJ25" i="10" s="1"/>
  <c r="AN25" i="10"/>
  <c r="AH17" i="10"/>
  <c r="AO17" i="10" s="1"/>
  <c r="AI17" i="10" s="1"/>
  <c r="AJ17" i="10" s="1"/>
  <c r="AN17" i="10"/>
  <c r="AH9" i="10"/>
  <c r="AO9" i="10" s="1"/>
  <c r="AI9" i="10" s="1"/>
  <c r="AJ9" i="10" s="1"/>
  <c r="JU27" i="20"/>
  <c r="JR28" i="20" s="1"/>
  <c r="JS28" i="20" s="1"/>
  <c r="JT28" i="20" s="1"/>
  <c r="JV28" i="20" s="1"/>
  <c r="KG28" i="20" s="1"/>
  <c r="KH28" i="20" s="1"/>
  <c r="KI28" i="20" s="1"/>
  <c r="P28" i="30" s="1"/>
  <c r="H1733" i="31" s="1"/>
  <c r="EB19" i="20"/>
  <c r="DZ19" i="20"/>
  <c r="L22" i="28"/>
  <c r="H737" i="31" s="1"/>
  <c r="JS26" i="21"/>
  <c r="R18" i="25"/>
  <c r="H1633" i="31" s="1"/>
  <c r="MQ19" i="10"/>
  <c r="N22" i="28"/>
  <c r="H797" i="31" s="1"/>
  <c r="MB27" i="10"/>
  <c r="MD27" i="10" s="1"/>
  <c r="MO27" i="10" s="1"/>
  <c r="MP27" i="10" s="1"/>
  <c r="JR27" i="18"/>
  <c r="JS27" i="18" s="1"/>
  <c r="JT27" i="18" s="1"/>
  <c r="JV27" i="18" s="1"/>
  <c r="KG27" i="18" s="1"/>
  <c r="KH27" i="18" s="1"/>
  <c r="KI27" i="18" s="1"/>
  <c r="P27" i="28" s="1"/>
  <c r="H1672" i="31" s="1"/>
  <c r="CP33" i="21"/>
  <c r="G32" i="29"/>
  <c r="H987" i="31" s="1"/>
  <c r="CF22" i="18"/>
  <c r="F21" i="28"/>
  <c r="H556" i="31" s="1"/>
  <c r="CP22" i="18"/>
  <c r="G21" i="28"/>
  <c r="H586" i="31" s="1"/>
  <c r="E21" i="28"/>
  <c r="H526" i="31" s="1"/>
  <c r="BV22" i="18"/>
  <c r="DJ18" i="10"/>
  <c r="I17" i="25"/>
  <c r="H192" i="31" s="1"/>
  <c r="KX12" i="10"/>
  <c r="CW20" i="18"/>
  <c r="CX20" i="18" s="1"/>
  <c r="CY20" i="18" s="1"/>
  <c r="CZ20" i="18" s="1"/>
  <c r="H20" i="28" s="1"/>
  <c r="H615" i="31" s="1"/>
  <c r="DN18" i="18"/>
  <c r="EB17" i="18"/>
  <c r="CV20" i="18"/>
  <c r="CS15" i="10"/>
  <c r="CT15" i="10" s="1"/>
  <c r="CU15" i="10" s="1"/>
  <c r="CW15" i="10" s="1"/>
  <c r="CX15" i="10" s="1"/>
  <c r="CY15" i="10" s="1"/>
  <c r="CZ15" i="10" s="1"/>
  <c r="H15" i="25" s="1"/>
  <c r="H160" i="31" s="1"/>
  <c r="CS23" i="21"/>
  <c r="DF20" i="21"/>
  <c r="DC21" i="21" s="1"/>
  <c r="DN12" i="10"/>
  <c r="DP12" i="10" s="1"/>
  <c r="EC17" i="18"/>
  <c r="ED17" i="18" s="1"/>
  <c r="EE17" i="18" s="1"/>
  <c r="EF17" i="18" s="1"/>
  <c r="K17" i="28" s="1"/>
  <c r="H702" i="31" s="1"/>
  <c r="DG20" i="10"/>
  <c r="DH20" i="10" s="1"/>
  <c r="DI20" i="10" s="1"/>
  <c r="CI15" i="10"/>
  <c r="DZ17" i="18"/>
  <c r="DG20" i="21"/>
  <c r="DH20" i="21" s="1"/>
  <c r="DI20" i="21" s="1"/>
  <c r="DJ20" i="21" s="1"/>
  <c r="I20" i="29" s="1"/>
  <c r="H1035" i="31" s="1"/>
  <c r="DX19" i="21"/>
  <c r="DP19" i="21"/>
  <c r="CB26" i="10"/>
  <c r="BY27" i="10" s="1"/>
  <c r="BZ27" i="10" s="1"/>
  <c r="CA27" i="10" s="1"/>
  <c r="CC27" i="10" s="1"/>
  <c r="CD27" i="10" s="1"/>
  <c r="CE27" i="10" s="1"/>
  <c r="DY12" i="10"/>
  <c r="EA12" i="10" s="1"/>
  <c r="DF20" i="10"/>
  <c r="BZ28" i="18"/>
  <c r="DD22" i="18"/>
  <c r="DE22" i="18" s="1"/>
  <c r="BE26" i="18"/>
  <c r="CC26" i="21"/>
  <c r="CD26" i="21" s="1"/>
  <c r="CE26" i="21" s="1"/>
  <c r="CF26" i="21" s="1"/>
  <c r="F26" i="29" s="1"/>
  <c r="H951" i="31" s="1"/>
  <c r="CB26" i="21"/>
  <c r="BI25" i="21"/>
  <c r="BT25" i="21" s="1"/>
  <c r="BU25" i="21" s="1"/>
  <c r="BV25" i="21" s="1"/>
  <c r="E25" i="29" s="1"/>
  <c r="H920" i="31" s="1"/>
  <c r="BH25" i="21"/>
  <c r="FL24" i="20"/>
  <c r="EL26" i="20"/>
  <c r="EJ27" i="20"/>
  <c r="FC24" i="20"/>
  <c r="FS24" i="20"/>
  <c r="DN18" i="20"/>
  <c r="DD23" i="20"/>
  <c r="DE23" i="20" s="1"/>
  <c r="DG23" i="20" s="1"/>
  <c r="DH23" i="20" s="1"/>
  <c r="DI23" i="20" s="1"/>
  <c r="DJ23" i="20" s="1"/>
  <c r="I23" i="30" s="1"/>
  <c r="H1428" i="31" s="1"/>
  <c r="CS22" i="20"/>
  <c r="CL22" i="20"/>
  <c r="CB25" i="20"/>
  <c r="BF26" i="20"/>
  <c r="BG26" i="20" s="1"/>
  <c r="BI26" i="20" s="1"/>
  <c r="BT26" i="20" s="1"/>
  <c r="BU26" i="20" s="1"/>
  <c r="BV26" i="20" s="1"/>
  <c r="E26" i="30" s="1"/>
  <c r="H1311" i="31" s="1"/>
  <c r="EY11" i="10"/>
  <c r="HJ9" i="10"/>
  <c r="IZ9" i="10"/>
  <c r="HJ17" i="10"/>
  <c r="IZ17" i="10"/>
  <c r="HC9" i="18"/>
  <c r="IS9" i="18"/>
  <c r="HL16" i="10"/>
  <c r="JB16" i="10"/>
  <c r="HL17" i="10"/>
  <c r="JB17" i="10"/>
  <c r="HL11" i="10"/>
  <c r="JB11" i="10"/>
  <c r="HK15" i="10"/>
  <c r="JA15" i="10"/>
  <c r="HB10" i="20"/>
  <c r="IR10" i="20"/>
  <c r="IS9" i="21"/>
  <c r="HC9" i="21"/>
  <c r="HB8" i="20"/>
  <c r="IR8" i="20"/>
  <c r="HJ15" i="10"/>
  <c r="IZ15" i="10"/>
  <c r="HJ11" i="10"/>
  <c r="IZ11" i="10"/>
  <c r="HJ8" i="10"/>
  <c r="IZ8" i="10"/>
  <c r="HB10" i="18"/>
  <c r="IR10" i="18"/>
  <c r="HB8" i="18"/>
  <c r="IR8" i="18"/>
  <c r="HK16" i="10"/>
  <c r="JA16" i="10"/>
  <c r="HL13" i="10"/>
  <c r="JB13" i="10"/>
  <c r="HL15" i="10"/>
  <c r="JB15" i="10"/>
  <c r="HB8" i="21"/>
  <c r="IR8" i="21"/>
  <c r="IS10" i="20"/>
  <c r="HC10" i="20"/>
  <c r="IS8" i="20"/>
  <c r="HC8" i="20"/>
  <c r="HB9" i="20"/>
  <c r="IR9" i="20"/>
  <c r="HJ10" i="10"/>
  <c r="IZ10" i="10"/>
  <c r="HJ14" i="10"/>
  <c r="IZ14" i="10"/>
  <c r="HC10" i="18"/>
  <c r="IS10" i="18"/>
  <c r="HC8" i="18"/>
  <c r="IS8" i="18"/>
  <c r="HK11" i="10"/>
  <c r="JA11" i="10"/>
  <c r="HL12" i="10"/>
  <c r="JB12" i="10"/>
  <c r="HK9" i="10"/>
  <c r="JA9" i="10"/>
  <c r="IS8" i="21"/>
  <c r="HC8" i="21"/>
  <c r="IR9" i="21"/>
  <c r="HB9" i="21"/>
  <c r="HB10" i="21"/>
  <c r="IR10" i="21"/>
  <c r="IS9" i="20"/>
  <c r="HC9" i="20"/>
  <c r="HJ16" i="10"/>
  <c r="IZ16" i="10"/>
  <c r="HB9" i="18"/>
  <c r="IR9" i="18"/>
  <c r="HK17" i="10"/>
  <c r="JA17" i="10"/>
  <c r="HK10" i="10"/>
  <c r="JA10" i="10"/>
  <c r="IS10" i="21"/>
  <c r="HC10" i="21"/>
  <c r="HJ7" i="10"/>
  <c r="IZ7" i="10"/>
  <c r="HC7" i="18"/>
  <c r="IS7" i="18"/>
  <c r="HB7" i="18"/>
  <c r="IR7" i="18"/>
  <c r="N27" i="30"/>
  <c r="H1582" i="31" s="1"/>
  <c r="EN20" i="21"/>
  <c r="EV20" i="21" s="1"/>
  <c r="EW20" i="21" s="1"/>
  <c r="EX20" i="21" s="1"/>
  <c r="EY20" i="21" s="1"/>
  <c r="N27" i="29"/>
  <c r="H1192" i="31" s="1"/>
  <c r="HJ13" i="10"/>
  <c r="IZ13" i="10"/>
  <c r="HK13" i="10"/>
  <c r="JA13" i="10"/>
  <c r="HJ12" i="10"/>
  <c r="IZ12" i="10"/>
  <c r="HK12" i="10"/>
  <c r="JA12" i="10"/>
  <c r="FB20" i="21"/>
  <c r="FN20" i="21"/>
  <c r="FO20" i="21" s="1"/>
  <c r="FP20" i="21" s="1"/>
  <c r="FQ20" i="21" s="1"/>
  <c r="L27" i="29"/>
  <c r="H1132" i="31" s="1"/>
  <c r="X28" i="21"/>
  <c r="C28" i="29" s="1"/>
  <c r="H863" i="31" s="1"/>
  <c r="FU19" i="21"/>
  <c r="X28" i="20"/>
  <c r="C28" i="30" s="1"/>
  <c r="H1253" i="31" s="1"/>
  <c r="L27" i="30"/>
  <c r="H1522" i="31" s="1"/>
  <c r="W14" i="10"/>
  <c r="W12" i="10"/>
  <c r="W26" i="10"/>
  <c r="W13" i="10"/>
  <c r="HL14" i="10"/>
  <c r="HK8" i="10"/>
  <c r="HK7" i="10"/>
  <c r="W23" i="10"/>
  <c r="W22" i="10"/>
  <c r="W25" i="10"/>
  <c r="W24" i="10"/>
  <c r="FQ11" i="10"/>
  <c r="FH11" i="10"/>
  <c r="EL13" i="10"/>
  <c r="FC12" i="10"/>
  <c r="FL12" i="10"/>
  <c r="FU12" i="10"/>
  <c r="FZ11" i="10"/>
  <c r="EM35" i="10"/>
  <c r="JK23" i="10" l="1"/>
  <c r="JM22" i="10"/>
  <c r="JN22" i="10" s="1"/>
  <c r="JM26" i="10"/>
  <c r="JN26" i="10" s="1"/>
  <c r="JL26" i="10"/>
  <c r="JL23" i="10"/>
  <c r="IU9" i="20"/>
  <c r="JB9" i="20" s="1"/>
  <c r="IV9" i="20" s="1"/>
  <c r="IW9" i="20" s="1"/>
  <c r="IX9" i="20"/>
  <c r="IY9" i="20" s="1"/>
  <c r="IU8" i="20"/>
  <c r="JB8" i="20" s="1"/>
  <c r="IV8" i="20" s="1"/>
  <c r="IW8" i="20" s="1"/>
  <c r="IX8" i="20"/>
  <c r="IY8" i="20" s="1"/>
  <c r="IU10" i="20"/>
  <c r="JB10" i="20" s="1"/>
  <c r="IV10" i="20" s="1"/>
  <c r="IW10" i="20" s="1"/>
  <c r="IX10" i="20"/>
  <c r="IY10" i="20" s="1"/>
  <c r="HE10" i="20"/>
  <c r="HL10" i="20" s="1"/>
  <c r="HF10" i="20" s="1"/>
  <c r="HG10" i="20" s="1"/>
  <c r="HH10" i="20"/>
  <c r="HI10" i="20" s="1"/>
  <c r="HE9" i="20"/>
  <c r="HL9" i="20" s="1"/>
  <c r="HF9" i="20" s="1"/>
  <c r="HG9" i="20" s="1"/>
  <c r="HH9" i="20"/>
  <c r="HI9" i="20" s="1"/>
  <c r="HE8" i="20"/>
  <c r="HL8" i="20" s="1"/>
  <c r="HF8" i="20" s="1"/>
  <c r="HG8" i="20" s="1"/>
  <c r="HH8" i="20"/>
  <c r="HI8" i="20" s="1"/>
  <c r="AM8" i="20"/>
  <c r="AR8" i="20" s="1"/>
  <c r="AS8" i="20" s="1"/>
  <c r="AM9" i="20"/>
  <c r="AR9" i="20" s="1"/>
  <c r="AS9" i="20" s="1"/>
  <c r="AM10" i="20"/>
  <c r="IU10" i="21"/>
  <c r="JB10" i="21" s="1"/>
  <c r="IV10" i="21" s="1"/>
  <c r="IW10" i="21" s="1"/>
  <c r="IX10" i="21"/>
  <c r="IY10" i="21" s="1"/>
  <c r="IU8" i="21"/>
  <c r="JB8" i="21" s="1"/>
  <c r="IV8" i="21" s="1"/>
  <c r="IW8" i="21" s="1"/>
  <c r="IX8" i="21"/>
  <c r="IY8" i="21" s="1"/>
  <c r="IU9" i="21"/>
  <c r="JB9" i="21" s="1"/>
  <c r="IV9" i="21" s="1"/>
  <c r="IW9" i="21" s="1"/>
  <c r="IX9" i="21"/>
  <c r="IY9" i="21" s="1"/>
  <c r="HE8" i="21"/>
  <c r="HL8" i="21" s="1"/>
  <c r="HF8" i="21" s="1"/>
  <c r="HG8" i="21" s="1"/>
  <c r="HH8" i="21"/>
  <c r="HI8" i="21" s="1"/>
  <c r="HE9" i="21"/>
  <c r="HL9" i="21" s="1"/>
  <c r="HF9" i="21" s="1"/>
  <c r="HG9" i="21" s="1"/>
  <c r="HH9" i="21"/>
  <c r="HI9" i="21" s="1"/>
  <c r="HE10" i="21"/>
  <c r="HL10" i="21" s="1"/>
  <c r="HF10" i="21" s="1"/>
  <c r="HG10" i="21" s="1"/>
  <c r="HH10" i="21"/>
  <c r="HI10" i="21" s="1"/>
  <c r="AM10" i="21"/>
  <c r="AQ10" i="21" s="1"/>
  <c r="AM8" i="21"/>
  <c r="AM9" i="21"/>
  <c r="IU7" i="18"/>
  <c r="JB7" i="18" s="1"/>
  <c r="IV7" i="18" s="1"/>
  <c r="IW7" i="18" s="1"/>
  <c r="IX7" i="18"/>
  <c r="IY7" i="18" s="1"/>
  <c r="IU9" i="18"/>
  <c r="JB9" i="18" s="1"/>
  <c r="IV9" i="18" s="1"/>
  <c r="IW9" i="18" s="1"/>
  <c r="IX9" i="18"/>
  <c r="IY9" i="18" s="1"/>
  <c r="IU8" i="18"/>
  <c r="JB8" i="18" s="1"/>
  <c r="IV8" i="18" s="1"/>
  <c r="IW8" i="18" s="1"/>
  <c r="IX8" i="18"/>
  <c r="IY8" i="18" s="1"/>
  <c r="IU10" i="18"/>
  <c r="JB10" i="18" s="1"/>
  <c r="IV10" i="18" s="1"/>
  <c r="IW10" i="18" s="1"/>
  <c r="IX10" i="18"/>
  <c r="IY10" i="18" s="1"/>
  <c r="C21" i="28"/>
  <c r="H466" i="31" s="1"/>
  <c r="X22" i="18"/>
  <c r="HE8" i="18"/>
  <c r="HL8" i="18" s="1"/>
  <c r="HF8" i="18" s="1"/>
  <c r="HG8" i="18" s="1"/>
  <c r="HH8" i="18"/>
  <c r="HI8" i="18" s="1"/>
  <c r="HE10" i="18"/>
  <c r="HL10" i="18" s="1"/>
  <c r="HF10" i="18" s="1"/>
  <c r="HG10" i="18" s="1"/>
  <c r="HH10" i="18"/>
  <c r="HI10" i="18" s="1"/>
  <c r="HE7" i="18"/>
  <c r="HL7" i="18" s="1"/>
  <c r="HF7" i="18" s="1"/>
  <c r="HG7" i="18" s="1"/>
  <c r="HH7" i="18"/>
  <c r="HI7" i="18" s="1"/>
  <c r="HE9" i="18"/>
  <c r="HL9" i="18" s="1"/>
  <c r="HF9" i="18" s="1"/>
  <c r="HG9" i="18" s="1"/>
  <c r="HH9" i="18"/>
  <c r="HI9" i="18" s="1"/>
  <c r="AM10" i="18"/>
  <c r="AP10" i="18" s="1"/>
  <c r="AM9" i="18"/>
  <c r="AM8" i="18"/>
  <c r="AM7" i="18"/>
  <c r="IP22" i="10"/>
  <c r="JL22" i="10"/>
  <c r="IQ26" i="10"/>
  <c r="JC8" i="10"/>
  <c r="JJ8" i="10" s="1"/>
  <c r="JD8" i="10" s="1"/>
  <c r="JE8" i="10" s="1"/>
  <c r="JF8" i="10"/>
  <c r="JG8" i="10" s="1"/>
  <c r="IR26" i="10"/>
  <c r="IS26" i="10" s="1"/>
  <c r="JC10" i="10"/>
  <c r="JJ10" i="10" s="1"/>
  <c r="JD10" i="10" s="1"/>
  <c r="JE10" i="10" s="1"/>
  <c r="JF10" i="10"/>
  <c r="JG10" i="10" s="1"/>
  <c r="IR22" i="10"/>
  <c r="IS22" i="10" s="1"/>
  <c r="JL25" i="10"/>
  <c r="JK25" i="10"/>
  <c r="JM25" i="10"/>
  <c r="JN25" i="10" s="1"/>
  <c r="JL21" i="10"/>
  <c r="JK21" i="10"/>
  <c r="JM21" i="10"/>
  <c r="JN21" i="10" s="1"/>
  <c r="JF15" i="10"/>
  <c r="JG15" i="10" s="1"/>
  <c r="JC7" i="10"/>
  <c r="JJ7" i="10" s="1"/>
  <c r="JD7" i="10" s="1"/>
  <c r="JE7" i="10" s="1"/>
  <c r="JF7" i="10"/>
  <c r="JG7" i="10" s="1"/>
  <c r="JF12" i="10"/>
  <c r="JG12" i="10" s="1"/>
  <c r="JF13" i="10"/>
  <c r="JG13" i="10" s="1"/>
  <c r="JF17" i="10"/>
  <c r="JG17" i="10" s="1"/>
  <c r="JC9" i="10"/>
  <c r="JJ9" i="10" s="1"/>
  <c r="JD9" i="10" s="1"/>
  <c r="JE9" i="10" s="1"/>
  <c r="JF9" i="10"/>
  <c r="JG9" i="10" s="1"/>
  <c r="JF11" i="10"/>
  <c r="JG11" i="10" s="1"/>
  <c r="JF16" i="10"/>
  <c r="JG16" i="10" s="1"/>
  <c r="JK24" i="10"/>
  <c r="JL24" i="10"/>
  <c r="JM24" i="10"/>
  <c r="JN24" i="10" s="1"/>
  <c r="JH14" i="10"/>
  <c r="IM11" i="10"/>
  <c r="IP11" i="10" s="1"/>
  <c r="IM10" i="10"/>
  <c r="IP10" i="10" s="1"/>
  <c r="IM17" i="10"/>
  <c r="IR17" i="10" s="1"/>
  <c r="IS17" i="10" s="1"/>
  <c r="IM8" i="10"/>
  <c r="IQ8" i="10" s="1"/>
  <c r="IQ11" i="10"/>
  <c r="IQ21" i="10"/>
  <c r="IP21" i="10"/>
  <c r="IR21" i="10"/>
  <c r="IS21" i="10" s="1"/>
  <c r="IQ25" i="10"/>
  <c r="IP25" i="10"/>
  <c r="IR25" i="10"/>
  <c r="IS25" i="10" s="1"/>
  <c r="IM16" i="10"/>
  <c r="IM7" i="10"/>
  <c r="IM9" i="10"/>
  <c r="IQ23" i="10"/>
  <c r="IP23" i="10"/>
  <c r="IR23" i="10"/>
  <c r="IS23" i="10" s="1"/>
  <c r="IM18" i="10"/>
  <c r="IM19" i="10"/>
  <c r="IM15" i="10"/>
  <c r="GX24" i="10"/>
  <c r="GY24" i="10" s="1"/>
  <c r="IM20" i="10"/>
  <c r="IQ24" i="10"/>
  <c r="IP24" i="10"/>
  <c r="IR24" i="10"/>
  <c r="IS24" i="10" s="1"/>
  <c r="CF17" i="10"/>
  <c r="F16" i="25"/>
  <c r="H101" i="31" s="1"/>
  <c r="GX26" i="10"/>
  <c r="GY26" i="10" s="1"/>
  <c r="GW23" i="10"/>
  <c r="GX23" i="10"/>
  <c r="GY23" i="10" s="1"/>
  <c r="HM8" i="10"/>
  <c r="HT8" i="10" s="1"/>
  <c r="HN8" i="10" s="1"/>
  <c r="HO8" i="10" s="1"/>
  <c r="HP8" i="10"/>
  <c r="HQ8" i="10" s="1"/>
  <c r="HP19" i="10"/>
  <c r="HQ19" i="10" s="1"/>
  <c r="HP21" i="10"/>
  <c r="HQ21" i="10" s="1"/>
  <c r="HP12" i="10"/>
  <c r="HQ12" i="10" s="1"/>
  <c r="HM10" i="10"/>
  <c r="HT10" i="10" s="1"/>
  <c r="HN10" i="10" s="1"/>
  <c r="HO10" i="10" s="1"/>
  <c r="HP10" i="10"/>
  <c r="HQ10" i="10" s="1"/>
  <c r="HP15" i="10"/>
  <c r="HQ15" i="10" s="1"/>
  <c r="HP26" i="10"/>
  <c r="HQ26" i="10" s="1"/>
  <c r="HP18" i="10"/>
  <c r="HQ18" i="10" s="1"/>
  <c r="GW24" i="10"/>
  <c r="GW26" i="10"/>
  <c r="HM7" i="10"/>
  <c r="HT7" i="10" s="1"/>
  <c r="HN7" i="10" s="1"/>
  <c r="HO7" i="10" s="1"/>
  <c r="HP7" i="10"/>
  <c r="HQ7" i="10" s="1"/>
  <c r="HP13" i="10"/>
  <c r="HQ13" i="10" s="1"/>
  <c r="HP17" i="10"/>
  <c r="HQ17" i="10" s="1"/>
  <c r="HR14" i="10"/>
  <c r="HM9" i="10"/>
  <c r="HT9" i="10" s="1"/>
  <c r="HN9" i="10" s="1"/>
  <c r="HO9" i="10" s="1"/>
  <c r="HP9" i="10"/>
  <c r="HQ9" i="10" s="1"/>
  <c r="HP11" i="10"/>
  <c r="HQ11" i="10" s="1"/>
  <c r="HP16" i="10"/>
  <c r="HQ16" i="10" s="1"/>
  <c r="HP25" i="10"/>
  <c r="HQ25" i="10" s="1"/>
  <c r="HP20" i="10"/>
  <c r="HQ20" i="10" s="1"/>
  <c r="HP24" i="10"/>
  <c r="HQ24" i="10" s="1"/>
  <c r="HP23" i="10"/>
  <c r="HQ23" i="10" s="1"/>
  <c r="HP22" i="10"/>
  <c r="HQ22" i="10" s="1"/>
  <c r="GS8" i="10"/>
  <c r="GV8" i="10" s="1"/>
  <c r="GS18" i="10"/>
  <c r="GV18" i="10" s="1"/>
  <c r="GS21" i="10"/>
  <c r="GX21" i="10" s="1"/>
  <c r="GY21" i="10" s="1"/>
  <c r="GS7" i="10"/>
  <c r="GW7" i="10" s="1"/>
  <c r="GS15" i="10"/>
  <c r="GV15" i="10" s="1"/>
  <c r="GS9" i="10"/>
  <c r="GX9" i="10" s="1"/>
  <c r="GY9" i="10" s="1"/>
  <c r="GS10" i="10"/>
  <c r="GV10" i="10" s="1"/>
  <c r="GS11" i="10"/>
  <c r="GS19" i="10"/>
  <c r="GS16" i="10"/>
  <c r="GV21" i="10"/>
  <c r="GS20" i="10"/>
  <c r="GV25" i="10"/>
  <c r="GW25" i="10"/>
  <c r="GV22" i="10"/>
  <c r="GW22" i="10"/>
  <c r="GX22" i="10"/>
  <c r="GY22" i="10" s="1"/>
  <c r="GS17" i="10"/>
  <c r="AM25" i="10"/>
  <c r="AP25" i="10" s="1"/>
  <c r="AM20" i="10"/>
  <c r="AR20" i="10" s="1"/>
  <c r="AM18" i="10"/>
  <c r="AP18" i="10" s="1"/>
  <c r="AM22" i="10"/>
  <c r="AQ22" i="10" s="1"/>
  <c r="AM26" i="10"/>
  <c r="AP26" i="10" s="1"/>
  <c r="AQ14" i="10"/>
  <c r="AM9" i="10"/>
  <c r="AR9" i="10" s="1"/>
  <c r="AM10" i="10"/>
  <c r="AQ10" i="10" s="1"/>
  <c r="AM19" i="10"/>
  <c r="AM16" i="10"/>
  <c r="AM23" i="10"/>
  <c r="AM21" i="10"/>
  <c r="AM17" i="10"/>
  <c r="AM7" i="10"/>
  <c r="AM24" i="10"/>
  <c r="AM8" i="10"/>
  <c r="AM13" i="10"/>
  <c r="AM12" i="10"/>
  <c r="AM11" i="10"/>
  <c r="AM15" i="10"/>
  <c r="W10" i="10"/>
  <c r="W7" i="10"/>
  <c r="N23" i="28"/>
  <c r="H798" i="31" s="1"/>
  <c r="JI16" i="10"/>
  <c r="JC16" i="10"/>
  <c r="JJ16" i="10" s="1"/>
  <c r="JD16" i="10" s="1"/>
  <c r="JE16" i="10" s="1"/>
  <c r="JI13" i="10"/>
  <c r="JC13" i="10"/>
  <c r="JJ13" i="10" s="1"/>
  <c r="JD13" i="10" s="1"/>
  <c r="JE13" i="10" s="1"/>
  <c r="JI11" i="10"/>
  <c r="JC11" i="10"/>
  <c r="JJ11" i="10" s="1"/>
  <c r="JD11" i="10" s="1"/>
  <c r="JE11" i="10" s="1"/>
  <c r="JI12" i="10"/>
  <c r="JC12" i="10"/>
  <c r="JJ12" i="10" s="1"/>
  <c r="JD12" i="10" s="1"/>
  <c r="JE12" i="10" s="1"/>
  <c r="JI17" i="10"/>
  <c r="JC17" i="10"/>
  <c r="JJ17" i="10" s="1"/>
  <c r="JD17" i="10" s="1"/>
  <c r="JE17" i="10" s="1"/>
  <c r="JI15" i="10"/>
  <c r="JC15" i="10"/>
  <c r="JJ15" i="10" s="1"/>
  <c r="JD15" i="10" s="1"/>
  <c r="JE15" i="10" s="1"/>
  <c r="W11" i="10"/>
  <c r="AS14" i="10"/>
  <c r="W20" i="10"/>
  <c r="W16" i="10"/>
  <c r="W19" i="10"/>
  <c r="HS25" i="10"/>
  <c r="HM25" i="10"/>
  <c r="HT25" i="10" s="1"/>
  <c r="HN25" i="10" s="1"/>
  <c r="HO25" i="10" s="1"/>
  <c r="HM26" i="10"/>
  <c r="HT26" i="10" s="1"/>
  <c r="HN26" i="10" s="1"/>
  <c r="HO26" i="10" s="1"/>
  <c r="HS26" i="10"/>
  <c r="HM18" i="10"/>
  <c r="HT18" i="10" s="1"/>
  <c r="HN18" i="10" s="1"/>
  <c r="HO18" i="10" s="1"/>
  <c r="HS18" i="10"/>
  <c r="HM12" i="10"/>
  <c r="HT12" i="10" s="1"/>
  <c r="HN12" i="10" s="1"/>
  <c r="HO12" i="10" s="1"/>
  <c r="HS12" i="10"/>
  <c r="HS17" i="10"/>
  <c r="HM17" i="10"/>
  <c r="HT17" i="10" s="1"/>
  <c r="HN17" i="10" s="1"/>
  <c r="HO17" i="10" s="1"/>
  <c r="HM16" i="10"/>
  <c r="HT16" i="10" s="1"/>
  <c r="HN16" i="10" s="1"/>
  <c r="HO16" i="10" s="1"/>
  <c r="HS16" i="10"/>
  <c r="HM20" i="10"/>
  <c r="HT20" i="10" s="1"/>
  <c r="HN20" i="10" s="1"/>
  <c r="HO20" i="10" s="1"/>
  <c r="HS20" i="10"/>
  <c r="HS19" i="10"/>
  <c r="HM19" i="10"/>
  <c r="HT19" i="10" s="1"/>
  <c r="HN19" i="10" s="1"/>
  <c r="HO19" i="10" s="1"/>
  <c r="HS15" i="10"/>
  <c r="HM15" i="10"/>
  <c r="HT15" i="10" s="1"/>
  <c r="HN15" i="10" s="1"/>
  <c r="HO15" i="10" s="1"/>
  <c r="HS21" i="10"/>
  <c r="HM21" i="10"/>
  <c r="HT21" i="10" s="1"/>
  <c r="HN21" i="10" s="1"/>
  <c r="HO21" i="10" s="1"/>
  <c r="HS13" i="10"/>
  <c r="HM13" i="10"/>
  <c r="HT13" i="10" s="1"/>
  <c r="HN13" i="10" s="1"/>
  <c r="HO13" i="10" s="1"/>
  <c r="HS11" i="10"/>
  <c r="HM11" i="10"/>
  <c r="HT11" i="10" s="1"/>
  <c r="HN11" i="10" s="1"/>
  <c r="HO11" i="10" s="1"/>
  <c r="HM24" i="10"/>
  <c r="HT24" i="10" s="1"/>
  <c r="HN24" i="10" s="1"/>
  <c r="HO24" i="10" s="1"/>
  <c r="HS24" i="10"/>
  <c r="HS23" i="10"/>
  <c r="HM23" i="10"/>
  <c r="HT23" i="10" s="1"/>
  <c r="HN23" i="10" s="1"/>
  <c r="HO23" i="10" s="1"/>
  <c r="HM22" i="10"/>
  <c r="HT22" i="10" s="1"/>
  <c r="HN22" i="10" s="1"/>
  <c r="HO22" i="10" s="1"/>
  <c r="HS22" i="10"/>
  <c r="W18" i="10"/>
  <c r="W15" i="10"/>
  <c r="W8" i="10"/>
  <c r="W9" i="10"/>
  <c r="W17" i="10"/>
  <c r="DX20" i="20"/>
  <c r="DY20" i="20" s="1"/>
  <c r="L23" i="28"/>
  <c r="H738" i="31" s="1"/>
  <c r="MC27" i="10"/>
  <c r="LZ28" i="10" s="1"/>
  <c r="JU28" i="20"/>
  <c r="JR29" i="20" s="1"/>
  <c r="JU27" i="18"/>
  <c r="JT26" i="21"/>
  <c r="JV26" i="21" s="1"/>
  <c r="KG26" i="21" s="1"/>
  <c r="KH26" i="21" s="1"/>
  <c r="KI26" i="21" s="1"/>
  <c r="P26" i="29" s="1"/>
  <c r="H1701" i="31" s="1"/>
  <c r="R19" i="25"/>
  <c r="H1634" i="31" s="1"/>
  <c r="MQ20" i="10"/>
  <c r="E22" i="28"/>
  <c r="H527" i="31" s="1"/>
  <c r="BV23" i="18"/>
  <c r="F22" i="28"/>
  <c r="H557" i="31" s="1"/>
  <c r="CF23" i="18"/>
  <c r="I18" i="25"/>
  <c r="H193" i="31" s="1"/>
  <c r="DJ19" i="10"/>
  <c r="I19" i="25" s="1"/>
  <c r="H194" i="31" s="1"/>
  <c r="CP23" i="18"/>
  <c r="G22" i="28"/>
  <c r="H587" i="31" s="1"/>
  <c r="CP34" i="21"/>
  <c r="G33" i="29"/>
  <c r="H988" i="31" s="1"/>
  <c r="KZ12" i="10"/>
  <c r="KY12" i="10" s="1"/>
  <c r="CB27" i="10"/>
  <c r="BY28" i="10" s="1"/>
  <c r="DG22" i="18"/>
  <c r="DH22" i="18" s="1"/>
  <c r="DI22" i="18" s="1"/>
  <c r="DJ22" i="18" s="1"/>
  <c r="I22" i="28" s="1"/>
  <c r="H647" i="31" s="1"/>
  <c r="CJ15" i="10"/>
  <c r="DZ12" i="10"/>
  <c r="EB12" i="10"/>
  <c r="DR12" i="10"/>
  <c r="DS12" i="10" s="1"/>
  <c r="DT12" i="10" s="1"/>
  <c r="DU12" i="10" s="1"/>
  <c r="J12" i="25" s="1"/>
  <c r="H217" i="31" s="1"/>
  <c r="CT23" i="21"/>
  <c r="CU23" i="21" s="1"/>
  <c r="CW23" i="21" s="1"/>
  <c r="CX23" i="21" s="1"/>
  <c r="CY23" i="21" s="1"/>
  <c r="CZ23" i="21" s="1"/>
  <c r="H23" i="29" s="1"/>
  <c r="H1008" i="31" s="1"/>
  <c r="CS21" i="18"/>
  <c r="EC12" i="10"/>
  <c r="ED12" i="10" s="1"/>
  <c r="EE12" i="10" s="1"/>
  <c r="EF12" i="10" s="1"/>
  <c r="K12" i="25" s="1"/>
  <c r="H247" i="31" s="1"/>
  <c r="DR19" i="21"/>
  <c r="DS19" i="21" s="1"/>
  <c r="DT19" i="21" s="1"/>
  <c r="DU19" i="21" s="1"/>
  <c r="J19" i="29" s="1"/>
  <c r="H1064" i="31" s="1"/>
  <c r="DQ19" i="21"/>
  <c r="DY19" i="21"/>
  <c r="EA19" i="21" s="1"/>
  <c r="DO12" i="10"/>
  <c r="DQ12" i="10"/>
  <c r="CV15" i="10"/>
  <c r="DX18" i="18"/>
  <c r="DO19" i="21"/>
  <c r="DD21" i="21"/>
  <c r="DE21" i="21" s="1"/>
  <c r="DP18" i="18"/>
  <c r="DC21" i="10"/>
  <c r="DF22" i="18"/>
  <c r="CA28" i="18"/>
  <c r="BF26" i="18"/>
  <c r="BG26" i="18" s="1"/>
  <c r="BY27" i="21"/>
  <c r="BE26" i="21"/>
  <c r="EK27" i="20"/>
  <c r="EN27" i="20" s="1"/>
  <c r="EV27" i="20" s="1"/>
  <c r="EW27" i="20" s="1"/>
  <c r="EX27" i="20" s="1"/>
  <c r="EY27" i="20" s="1"/>
  <c r="FJ25" i="20"/>
  <c r="FA25" i="20"/>
  <c r="FT24" i="20"/>
  <c r="FV24" i="20" s="1"/>
  <c r="FW24" i="20" s="1"/>
  <c r="FX24" i="20" s="1"/>
  <c r="FY24" i="20" s="1"/>
  <c r="FZ24" i="20" s="1"/>
  <c r="DP18" i="20"/>
  <c r="DR18" i="20" s="1"/>
  <c r="DS18" i="20" s="1"/>
  <c r="DT18" i="20" s="1"/>
  <c r="DU18" i="20" s="1"/>
  <c r="J18" i="30" s="1"/>
  <c r="H1453" i="31" s="1"/>
  <c r="DF23" i="20"/>
  <c r="CT22" i="20"/>
  <c r="CU22" i="20" s="1"/>
  <c r="CW22" i="20" s="1"/>
  <c r="CX22" i="20" s="1"/>
  <c r="CY22" i="20" s="1"/>
  <c r="CZ22" i="20" s="1"/>
  <c r="H22" i="30" s="1"/>
  <c r="H1397" i="31" s="1"/>
  <c r="CI23" i="20"/>
  <c r="CJ23" i="20" s="1"/>
  <c r="CK23" i="20" s="1"/>
  <c r="CM23" i="20" s="1"/>
  <c r="CN23" i="20" s="1"/>
  <c r="CO23" i="20" s="1"/>
  <c r="CP23" i="20" s="1"/>
  <c r="G23" i="30" s="1"/>
  <c r="H1368" i="31" s="1"/>
  <c r="BY26" i="20"/>
  <c r="BZ26" i="20" s="1"/>
  <c r="CA26" i="20" s="1"/>
  <c r="CC26" i="20" s="1"/>
  <c r="CD26" i="20" s="1"/>
  <c r="CE26" i="20" s="1"/>
  <c r="CF26" i="20" s="1"/>
  <c r="F26" i="30" s="1"/>
  <c r="H1341" i="31" s="1"/>
  <c r="BH26" i="20"/>
  <c r="BE27" i="20" s="1"/>
  <c r="EY12" i="10"/>
  <c r="N28" i="30"/>
  <c r="H1583" i="31" s="1"/>
  <c r="EL20" i="21"/>
  <c r="EJ21" i="21"/>
  <c r="FD20" i="21"/>
  <c r="FE20" i="21" s="1"/>
  <c r="FF20" i="21" s="1"/>
  <c r="FG20" i="21" s="1"/>
  <c r="FH20" i="21" s="1"/>
  <c r="N28" i="29"/>
  <c r="H1193" i="31" s="1"/>
  <c r="FS20" i="21"/>
  <c r="X29" i="21"/>
  <c r="C29" i="29" s="1"/>
  <c r="H864" i="31" s="1"/>
  <c r="L28" i="29"/>
  <c r="H1133" i="31" s="1"/>
  <c r="FL20" i="21"/>
  <c r="X29" i="20"/>
  <c r="C29" i="30" s="1"/>
  <c r="H1254" i="31" s="1"/>
  <c r="L28" i="30"/>
  <c r="H1523" i="31" s="1"/>
  <c r="EJ14" i="10"/>
  <c r="FL13" i="10"/>
  <c r="FC13" i="10"/>
  <c r="FA14" i="10" s="1"/>
  <c r="FU13" i="10"/>
  <c r="FS14" i="10" s="1"/>
  <c r="FH12" i="10"/>
  <c r="FZ12" i="10"/>
  <c r="FQ12" i="10"/>
  <c r="EM36" i="10"/>
  <c r="IZ10" i="18" l="1"/>
  <c r="JE10" i="18" s="1"/>
  <c r="JF10" i="18" s="1"/>
  <c r="IR11" i="10"/>
  <c r="IS11" i="10" s="1"/>
  <c r="IZ9" i="20"/>
  <c r="JE9" i="20" s="1"/>
  <c r="JF9" i="20" s="1"/>
  <c r="IZ8" i="20"/>
  <c r="JD8" i="20" s="1"/>
  <c r="IZ10" i="20"/>
  <c r="HJ8" i="20"/>
  <c r="HN8" i="20" s="1"/>
  <c r="HJ10" i="20"/>
  <c r="HM10" i="20" s="1"/>
  <c r="AQ9" i="20"/>
  <c r="HJ9" i="20"/>
  <c r="HO9" i="20" s="1"/>
  <c r="HP9" i="20" s="1"/>
  <c r="AQ8" i="20"/>
  <c r="AP8" i="20"/>
  <c r="AP9" i="20"/>
  <c r="AP10" i="20"/>
  <c r="AQ10" i="20"/>
  <c r="AR10" i="20"/>
  <c r="IZ10" i="21"/>
  <c r="JC10" i="21" s="1"/>
  <c r="IZ8" i="21"/>
  <c r="IZ9" i="21"/>
  <c r="HJ10" i="21"/>
  <c r="HN10" i="21" s="1"/>
  <c r="HJ8" i="21"/>
  <c r="HJ9" i="21"/>
  <c r="AR10" i="21"/>
  <c r="AS10" i="21" s="1"/>
  <c r="AP10" i="21"/>
  <c r="AP8" i="21"/>
  <c r="AQ8" i="21"/>
  <c r="AR8" i="21"/>
  <c r="AQ9" i="21"/>
  <c r="AP9" i="21"/>
  <c r="AR9" i="21"/>
  <c r="IZ9" i="18"/>
  <c r="JE9" i="18" s="1"/>
  <c r="JF9" i="18" s="1"/>
  <c r="IZ7" i="18"/>
  <c r="JC7" i="18" s="1"/>
  <c r="JD10" i="18"/>
  <c r="JC10" i="18"/>
  <c r="IZ8" i="18"/>
  <c r="C22" i="28"/>
  <c r="H467" i="31" s="1"/>
  <c r="X23" i="18"/>
  <c r="AR10" i="18"/>
  <c r="HJ9" i="18"/>
  <c r="HM9" i="18" s="1"/>
  <c r="HJ10" i="18"/>
  <c r="HJ8" i="18"/>
  <c r="HJ7" i="18"/>
  <c r="AQ10" i="18"/>
  <c r="AQ9" i="18"/>
  <c r="AP9" i="18"/>
  <c r="AR9" i="18"/>
  <c r="AQ7" i="18"/>
  <c r="AP7" i="18"/>
  <c r="AR7" i="18"/>
  <c r="AP8" i="18"/>
  <c r="AQ8" i="18"/>
  <c r="AR8" i="18"/>
  <c r="IP17" i="10"/>
  <c r="IP8" i="10"/>
  <c r="JH15" i="10"/>
  <c r="JM15" i="10" s="1"/>
  <c r="JN15" i="10" s="1"/>
  <c r="JH7" i="10"/>
  <c r="JM7" i="10" s="1"/>
  <c r="JN7" i="10" s="1"/>
  <c r="JO7" i="10" s="1"/>
  <c r="JH12" i="10"/>
  <c r="JK12" i="10" s="1"/>
  <c r="HR10" i="10"/>
  <c r="HU10" i="10" s="1"/>
  <c r="JH17" i="10"/>
  <c r="JH16" i="10"/>
  <c r="JK14" i="10"/>
  <c r="JL14" i="10"/>
  <c r="JM14" i="10"/>
  <c r="JN14" i="10" s="1"/>
  <c r="JH11" i="10"/>
  <c r="JH10" i="10"/>
  <c r="JH9" i="10"/>
  <c r="JH13" i="10"/>
  <c r="IR10" i="10"/>
  <c r="IS10" i="10" s="1"/>
  <c r="JH8" i="10"/>
  <c r="IR8" i="10"/>
  <c r="IS8" i="10" s="1"/>
  <c r="IQ17" i="10"/>
  <c r="IQ10" i="10"/>
  <c r="IQ19" i="10"/>
  <c r="IP19" i="10"/>
  <c r="IR19" i="10"/>
  <c r="IS19" i="10" s="1"/>
  <c r="IP18" i="10"/>
  <c r="IQ18" i="10"/>
  <c r="IR18" i="10"/>
  <c r="IS18" i="10" s="1"/>
  <c r="HR7" i="10"/>
  <c r="HV7" i="10" s="1"/>
  <c r="HR18" i="10"/>
  <c r="HW18" i="10" s="1"/>
  <c r="HX18" i="10" s="1"/>
  <c r="IP7" i="10"/>
  <c r="IQ7" i="10"/>
  <c r="IR7" i="10"/>
  <c r="IS7" i="10" s="1"/>
  <c r="IT7" i="10" s="1"/>
  <c r="IP20" i="10"/>
  <c r="IQ20" i="10"/>
  <c r="IR20" i="10"/>
  <c r="IS20" i="10" s="1"/>
  <c r="IP16" i="10"/>
  <c r="IQ16" i="10"/>
  <c r="IR16" i="10"/>
  <c r="IS16" i="10" s="1"/>
  <c r="IQ15" i="10"/>
  <c r="IP15" i="10"/>
  <c r="IR15" i="10"/>
  <c r="IS15" i="10" s="1"/>
  <c r="IQ9" i="10"/>
  <c r="IP9" i="10"/>
  <c r="IR9" i="10"/>
  <c r="IS9" i="10" s="1"/>
  <c r="GW8" i="10"/>
  <c r="GX8" i="10"/>
  <c r="GY8" i="10" s="1"/>
  <c r="HR21" i="10"/>
  <c r="HW21" i="10" s="1"/>
  <c r="HX21" i="10" s="1"/>
  <c r="F17" i="25"/>
  <c r="H102" i="31" s="1"/>
  <c r="CF18" i="10"/>
  <c r="AQ26" i="10"/>
  <c r="GX18" i="10"/>
  <c r="GY18" i="10" s="1"/>
  <c r="HR24" i="10"/>
  <c r="HW24" i="10" s="1"/>
  <c r="HX24" i="10" s="1"/>
  <c r="HR22" i="10"/>
  <c r="HU22" i="10" s="1"/>
  <c r="HR20" i="10"/>
  <c r="HV20" i="10" s="1"/>
  <c r="HR17" i="10"/>
  <c r="HU17" i="10" s="1"/>
  <c r="HR23" i="10"/>
  <c r="HW23" i="10" s="1"/>
  <c r="HX23" i="10" s="1"/>
  <c r="HR19" i="10"/>
  <c r="HW19" i="10" s="1"/>
  <c r="HX19" i="10" s="1"/>
  <c r="HR9" i="10"/>
  <c r="HW9" i="10" s="1"/>
  <c r="HX9" i="10" s="1"/>
  <c r="HR8" i="10"/>
  <c r="HU8" i="10" s="1"/>
  <c r="HR26" i="10"/>
  <c r="AQ20" i="10"/>
  <c r="GW9" i="10"/>
  <c r="GW18" i="10"/>
  <c r="HR25" i="10"/>
  <c r="HR13" i="10"/>
  <c r="HR12" i="10"/>
  <c r="HR15" i="10"/>
  <c r="HR11" i="10"/>
  <c r="HU19" i="10"/>
  <c r="AP20" i="10"/>
  <c r="GX15" i="10"/>
  <c r="GY15" i="10" s="1"/>
  <c r="GW15" i="10"/>
  <c r="GV9" i="10"/>
  <c r="HR16" i="10"/>
  <c r="HV14" i="10"/>
  <c r="HU14" i="10"/>
  <c r="HW14" i="10"/>
  <c r="HX14" i="10" s="1"/>
  <c r="AR25" i="10"/>
  <c r="AS25" i="10" s="1"/>
  <c r="AQ25" i="10"/>
  <c r="GV7" i="10"/>
  <c r="GX7" i="10"/>
  <c r="GY7" i="10" s="1"/>
  <c r="GZ7" i="10" s="1"/>
  <c r="GW21" i="10"/>
  <c r="GX10" i="10"/>
  <c r="GY10" i="10" s="1"/>
  <c r="GW10" i="10"/>
  <c r="GV17" i="10"/>
  <c r="GW17" i="10"/>
  <c r="GX17" i="10"/>
  <c r="GY17" i="10" s="1"/>
  <c r="AR26" i="10"/>
  <c r="GV11" i="10"/>
  <c r="GW11" i="10"/>
  <c r="GX11" i="10"/>
  <c r="GY11" i="10" s="1"/>
  <c r="GV16" i="10"/>
  <c r="GW16" i="10"/>
  <c r="GX16" i="10"/>
  <c r="GY16" i="10" s="1"/>
  <c r="GV20" i="10"/>
  <c r="GW20" i="10"/>
  <c r="GX20" i="10"/>
  <c r="GY20" i="10" s="1"/>
  <c r="GV19" i="10"/>
  <c r="GW19" i="10"/>
  <c r="GX19" i="10"/>
  <c r="GY19" i="10" s="1"/>
  <c r="AP22" i="10"/>
  <c r="AR18" i="10"/>
  <c r="AP9" i="10"/>
  <c r="AR10" i="10"/>
  <c r="AR22" i="10"/>
  <c r="AQ18" i="10"/>
  <c r="AQ9" i="10"/>
  <c r="AP10" i="10"/>
  <c r="AP16" i="10"/>
  <c r="AQ16" i="10"/>
  <c r="AR16" i="10"/>
  <c r="AS16" i="10" s="1"/>
  <c r="AP15" i="10"/>
  <c r="AQ15" i="10"/>
  <c r="AR15" i="10"/>
  <c r="AQ21" i="10"/>
  <c r="AP21" i="10"/>
  <c r="AR21" i="10"/>
  <c r="AS21" i="10" s="1"/>
  <c r="AP24" i="10"/>
  <c r="AQ24" i="10"/>
  <c r="AR24" i="10"/>
  <c r="AQ17" i="10"/>
  <c r="AP17" i="10"/>
  <c r="AR17" i="10"/>
  <c r="AP11" i="10"/>
  <c r="AQ11" i="10"/>
  <c r="AR11" i="10"/>
  <c r="AQ13" i="10"/>
  <c r="AP13" i="10"/>
  <c r="AR13" i="10"/>
  <c r="AP12" i="10"/>
  <c r="AQ12" i="10"/>
  <c r="AR12" i="10"/>
  <c r="AP8" i="10"/>
  <c r="AQ8" i="10"/>
  <c r="AR8" i="10"/>
  <c r="AQ7" i="10"/>
  <c r="AP7" i="10"/>
  <c r="AR7" i="10"/>
  <c r="AP23" i="10"/>
  <c r="AQ23" i="10"/>
  <c r="AR23" i="10"/>
  <c r="AS23" i="10" s="1"/>
  <c r="AP19" i="10"/>
  <c r="AQ19" i="10"/>
  <c r="AR19" i="10"/>
  <c r="X7" i="10"/>
  <c r="C7" i="25" s="1"/>
  <c r="H2" i="31" s="1"/>
  <c r="EA20" i="20"/>
  <c r="EC20" i="20" s="1"/>
  <c r="ED20" i="20" s="1"/>
  <c r="EE20" i="20" s="1"/>
  <c r="EF20" i="20" s="1"/>
  <c r="K20" i="30" s="1"/>
  <c r="H1485" i="31" s="1"/>
  <c r="N24" i="28"/>
  <c r="H799" i="31" s="1"/>
  <c r="AS20" i="10"/>
  <c r="AS9" i="10"/>
  <c r="AS15" i="10"/>
  <c r="L24" i="28"/>
  <c r="H739" i="31" s="1"/>
  <c r="MA28" i="10"/>
  <c r="R20" i="25"/>
  <c r="H1635" i="31" s="1"/>
  <c r="MQ21" i="10"/>
  <c r="JS29" i="20"/>
  <c r="JU26" i="21"/>
  <c r="JR28" i="18"/>
  <c r="F23" i="28"/>
  <c r="H558" i="31" s="1"/>
  <c r="CF24" i="18"/>
  <c r="CP24" i="18"/>
  <c r="G23" i="28"/>
  <c r="H588" i="31" s="1"/>
  <c r="E23" i="28"/>
  <c r="H528" i="31" s="1"/>
  <c r="BV24" i="18"/>
  <c r="CP35" i="21"/>
  <c r="G34" i="29"/>
  <c r="H989" i="31" s="1"/>
  <c r="DJ20" i="10"/>
  <c r="I20" i="25" s="1"/>
  <c r="H195" i="31" s="1"/>
  <c r="LB12" i="10"/>
  <c r="LA12" i="10"/>
  <c r="KW13" i="10" s="1"/>
  <c r="DG21" i="21"/>
  <c r="DH21" i="21" s="1"/>
  <c r="DI21" i="21" s="1"/>
  <c r="DJ21" i="21" s="1"/>
  <c r="I21" i="29" s="1"/>
  <c r="H1036" i="31" s="1"/>
  <c r="EC19" i="21"/>
  <c r="ED19" i="21" s="1"/>
  <c r="EE19" i="21" s="1"/>
  <c r="EF19" i="21" s="1"/>
  <c r="K19" i="29" s="1"/>
  <c r="H1094" i="31" s="1"/>
  <c r="DR18" i="18"/>
  <c r="DS18" i="18" s="1"/>
  <c r="DT18" i="18" s="1"/>
  <c r="DU18" i="18" s="1"/>
  <c r="J18" i="28" s="1"/>
  <c r="H673" i="31" s="1"/>
  <c r="DM13" i="10"/>
  <c r="DQ18" i="18"/>
  <c r="CV23" i="21"/>
  <c r="EL27" i="20"/>
  <c r="DO18" i="18"/>
  <c r="DX13" i="10"/>
  <c r="DY18" i="18"/>
  <c r="EA18" i="18" s="1"/>
  <c r="DM20" i="21"/>
  <c r="DF21" i="21"/>
  <c r="DC22" i="21" s="1"/>
  <c r="DD22" i="21" s="1"/>
  <c r="DE22" i="21" s="1"/>
  <c r="CS16" i="10"/>
  <c r="CT16" i="10" s="1"/>
  <c r="CU16" i="10" s="1"/>
  <c r="CW16" i="10" s="1"/>
  <c r="CX16" i="10" s="1"/>
  <c r="CY16" i="10" s="1"/>
  <c r="CZ16" i="10" s="1"/>
  <c r="H16" i="25" s="1"/>
  <c r="H161" i="31" s="1"/>
  <c r="EB19" i="21"/>
  <c r="DZ19" i="21"/>
  <c r="CT21" i="18"/>
  <c r="CK15" i="10"/>
  <c r="CM15" i="10" s="1"/>
  <c r="CN15" i="10" s="1"/>
  <c r="CO15" i="10" s="1"/>
  <c r="CP15" i="10" s="1"/>
  <c r="G15" i="25" s="1"/>
  <c r="H130" i="31" s="1"/>
  <c r="CC28" i="18"/>
  <c r="CD28" i="18" s="1"/>
  <c r="CE28" i="18" s="1"/>
  <c r="BZ28" i="10"/>
  <c r="CA28" i="10" s="1"/>
  <c r="CC28" i="10" s="1"/>
  <c r="CD28" i="10" s="1"/>
  <c r="DD21" i="10"/>
  <c r="DC23" i="18"/>
  <c r="CB28" i="18"/>
  <c r="BI26" i="18"/>
  <c r="BT26" i="18" s="1"/>
  <c r="BU26" i="18" s="1"/>
  <c r="BH26" i="18"/>
  <c r="BZ27" i="21"/>
  <c r="CA27" i="21" s="1"/>
  <c r="BF26" i="21"/>
  <c r="BG26" i="21" s="1"/>
  <c r="FB25" i="20"/>
  <c r="FD25" i="20" s="1"/>
  <c r="FE25" i="20" s="1"/>
  <c r="FF25" i="20" s="1"/>
  <c r="FG25" i="20" s="1"/>
  <c r="FH25" i="20" s="1"/>
  <c r="EJ28" i="20"/>
  <c r="FU24" i="20"/>
  <c r="FK25" i="20"/>
  <c r="DQ18" i="20"/>
  <c r="DM19" i="20" s="1"/>
  <c r="DO18" i="20"/>
  <c r="DC24" i="20"/>
  <c r="DD24" i="20" s="1"/>
  <c r="DE24" i="20" s="1"/>
  <c r="DG24" i="20" s="1"/>
  <c r="DH24" i="20" s="1"/>
  <c r="DI24" i="20" s="1"/>
  <c r="DJ24" i="20" s="1"/>
  <c r="I24" i="30" s="1"/>
  <c r="H1429" i="31" s="1"/>
  <c r="CV22" i="20"/>
  <c r="CL23" i="20"/>
  <c r="CB26" i="20"/>
  <c r="BF27" i="20"/>
  <c r="BG27" i="20" s="1"/>
  <c r="EY13" i="10"/>
  <c r="AT8" i="20"/>
  <c r="D8" i="30" s="1"/>
  <c r="H1263" i="31" s="1"/>
  <c r="N29" i="30"/>
  <c r="H1584" i="31" s="1"/>
  <c r="EK21" i="21"/>
  <c r="EN21" i="21" s="1"/>
  <c r="EV21" i="21" s="1"/>
  <c r="EW21" i="21" s="1"/>
  <c r="EX21" i="21" s="1"/>
  <c r="EY21" i="21" s="1"/>
  <c r="FC20" i="21"/>
  <c r="FA21" i="21" s="1"/>
  <c r="N29" i="29"/>
  <c r="H1194" i="31" s="1"/>
  <c r="FJ21" i="21"/>
  <c r="X30" i="21"/>
  <c r="C30" i="29" s="1"/>
  <c r="H865" i="31" s="1"/>
  <c r="L29" i="29"/>
  <c r="H1134" i="31" s="1"/>
  <c r="FT20" i="21"/>
  <c r="X30" i="20"/>
  <c r="C30" i="30" s="1"/>
  <c r="H1255" i="31" s="1"/>
  <c r="L29" i="30"/>
  <c r="H1524" i="31" s="1"/>
  <c r="FQ13" i="10"/>
  <c r="FH13" i="10"/>
  <c r="FJ14" i="10"/>
  <c r="FK14" i="10" s="1"/>
  <c r="EK14" i="10"/>
  <c r="FZ13" i="10"/>
  <c r="FT14" i="10"/>
  <c r="HO10" i="20" l="1"/>
  <c r="HP10" i="20" s="1"/>
  <c r="JE8" i="20"/>
  <c r="JF8" i="20" s="1"/>
  <c r="JG8" i="20" s="1"/>
  <c r="JG9" i="20" s="1"/>
  <c r="HN10" i="20"/>
  <c r="JM12" i="10"/>
  <c r="JN12" i="10" s="1"/>
  <c r="JE7" i="18"/>
  <c r="JF7" i="18" s="1"/>
  <c r="JG7" i="18" s="1"/>
  <c r="JC8" i="20"/>
  <c r="JC9" i="18"/>
  <c r="JD9" i="20"/>
  <c r="HO10" i="21"/>
  <c r="HP10" i="21" s="1"/>
  <c r="JE10" i="21"/>
  <c r="JF10" i="21" s="1"/>
  <c r="JC9" i="20"/>
  <c r="JD9" i="18"/>
  <c r="HO8" i="20"/>
  <c r="HP8" i="20" s="1"/>
  <c r="HQ8" i="20" s="1"/>
  <c r="HQ9" i="20" s="1"/>
  <c r="HQ10" i="20" s="1"/>
  <c r="HQ11" i="20" s="1"/>
  <c r="HQ12" i="20" s="1"/>
  <c r="HQ13" i="20" s="1"/>
  <c r="HQ14" i="20" s="1"/>
  <c r="HQ15" i="20" s="1"/>
  <c r="HQ16" i="20" s="1"/>
  <c r="HQ17" i="20" s="1"/>
  <c r="HQ18" i="20" s="1"/>
  <c r="HQ19" i="20" s="1"/>
  <c r="HQ20" i="20" s="1"/>
  <c r="HQ21" i="20" s="1"/>
  <c r="HQ22" i="20" s="1"/>
  <c r="HQ23" i="20" s="1"/>
  <c r="HQ24" i="20" s="1"/>
  <c r="HQ25" i="20" s="1"/>
  <c r="HQ26" i="20" s="1"/>
  <c r="HQ27" i="20" s="1"/>
  <c r="HQ28" i="20" s="1"/>
  <c r="HQ29" i="20" s="1"/>
  <c r="HQ30" i="20" s="1"/>
  <c r="HQ31" i="20" s="1"/>
  <c r="HQ32" i="20" s="1"/>
  <c r="HQ33" i="20" s="1"/>
  <c r="HQ34" i="20" s="1"/>
  <c r="HQ35" i="20" s="1"/>
  <c r="JD10" i="20"/>
  <c r="JC10" i="20"/>
  <c r="JE10" i="20"/>
  <c r="JF10" i="20" s="1"/>
  <c r="HN9" i="20"/>
  <c r="HM8" i="20"/>
  <c r="HM9" i="20"/>
  <c r="AS10" i="20"/>
  <c r="EB20" i="20"/>
  <c r="DZ20" i="20"/>
  <c r="JD10" i="21"/>
  <c r="JC8" i="21"/>
  <c r="JD8" i="21"/>
  <c r="JE8" i="21"/>
  <c r="JF8" i="21" s="1"/>
  <c r="JG8" i="21" s="1"/>
  <c r="JC9" i="21"/>
  <c r="JD9" i="21"/>
  <c r="JE9" i="21"/>
  <c r="JF9" i="21" s="1"/>
  <c r="HM10" i="21"/>
  <c r="HN8" i="21"/>
  <c r="HM8" i="21"/>
  <c r="HO8" i="21"/>
  <c r="HP8" i="21" s="1"/>
  <c r="HQ8" i="21" s="1"/>
  <c r="HM9" i="21"/>
  <c r="HN9" i="21"/>
  <c r="HO9" i="21"/>
  <c r="HP9" i="21" s="1"/>
  <c r="AS8" i="21"/>
  <c r="AS9" i="21"/>
  <c r="JD7" i="18"/>
  <c r="JC8" i="18"/>
  <c r="JD8" i="18"/>
  <c r="JE8" i="18"/>
  <c r="JF8" i="18" s="1"/>
  <c r="HO9" i="18"/>
  <c r="HP9" i="18" s="1"/>
  <c r="AS10" i="18"/>
  <c r="C23" i="28"/>
  <c r="H468" i="31" s="1"/>
  <c r="X24" i="18"/>
  <c r="HN9" i="18"/>
  <c r="HN10" i="18"/>
  <c r="HM10" i="18"/>
  <c r="HO10" i="18"/>
  <c r="HP10" i="18" s="1"/>
  <c r="HM8" i="18"/>
  <c r="HN8" i="18"/>
  <c r="HO8" i="18"/>
  <c r="HP8" i="18" s="1"/>
  <c r="HN7" i="18"/>
  <c r="HM7" i="18"/>
  <c r="HO7" i="18"/>
  <c r="HP7" i="18" s="1"/>
  <c r="HQ7" i="18" s="1"/>
  <c r="AS9" i="18"/>
  <c r="AS7" i="18"/>
  <c r="AS8" i="18"/>
  <c r="JL15" i="10"/>
  <c r="HW17" i="10"/>
  <c r="HX17" i="10" s="1"/>
  <c r="IT8" i="10"/>
  <c r="IT9" i="10" s="1"/>
  <c r="IT10" i="10" s="1"/>
  <c r="IT11" i="10" s="1"/>
  <c r="IT12" i="10" s="1"/>
  <c r="IT13" i="10" s="1"/>
  <c r="IT14" i="10" s="1"/>
  <c r="IT15" i="10" s="1"/>
  <c r="IT16" i="10" s="1"/>
  <c r="IT17" i="10" s="1"/>
  <c r="IT18" i="10" s="1"/>
  <c r="IT19" i="10" s="1"/>
  <c r="IT20" i="10" s="1"/>
  <c r="IT21" i="10" s="1"/>
  <c r="IT22" i="10" s="1"/>
  <c r="IT23" i="10" s="1"/>
  <c r="IT24" i="10" s="1"/>
  <c r="IT25" i="10" s="1"/>
  <c r="IT26" i="10" s="1"/>
  <c r="IT27" i="10" s="1"/>
  <c r="IT28" i="10" s="1"/>
  <c r="IT29" i="10" s="1"/>
  <c r="IT30" i="10" s="1"/>
  <c r="IT31" i="10" s="1"/>
  <c r="IT32" i="10" s="1"/>
  <c r="IT33" i="10" s="1"/>
  <c r="IT34" i="10" s="1"/>
  <c r="IT35" i="10" s="1"/>
  <c r="HU18" i="10"/>
  <c r="HW10" i="10"/>
  <c r="HX10" i="10" s="1"/>
  <c r="HV10" i="10"/>
  <c r="JK15" i="10"/>
  <c r="HU23" i="10"/>
  <c r="HU7" i="10"/>
  <c r="JL7" i="10"/>
  <c r="HV19" i="10"/>
  <c r="HV22" i="10"/>
  <c r="JK7" i="10"/>
  <c r="JL12" i="10"/>
  <c r="JL13" i="10"/>
  <c r="JK13" i="10"/>
  <c r="JM13" i="10"/>
  <c r="JN13" i="10" s="1"/>
  <c r="JK10" i="10"/>
  <c r="JL10" i="10"/>
  <c r="JM10" i="10"/>
  <c r="JN10" i="10" s="1"/>
  <c r="JK8" i="10"/>
  <c r="JL8" i="10"/>
  <c r="JM8" i="10"/>
  <c r="JN8" i="10" s="1"/>
  <c r="JO8" i="10" s="1"/>
  <c r="JL9" i="10"/>
  <c r="JK9" i="10"/>
  <c r="JM9" i="10"/>
  <c r="JN9" i="10" s="1"/>
  <c r="JL17" i="10"/>
  <c r="JK17" i="10"/>
  <c r="JM17" i="10"/>
  <c r="JN17" i="10" s="1"/>
  <c r="JL11" i="10"/>
  <c r="JK11" i="10"/>
  <c r="JM11" i="10"/>
  <c r="JN11" i="10" s="1"/>
  <c r="JK16" i="10"/>
  <c r="JL16" i="10"/>
  <c r="JM16" i="10"/>
  <c r="JN16" i="10" s="1"/>
  <c r="HV8" i="10"/>
  <c r="HV17" i="10"/>
  <c r="HV23" i="10"/>
  <c r="HW7" i="10"/>
  <c r="HX7" i="10" s="1"/>
  <c r="HY7" i="10" s="1"/>
  <c r="HW8" i="10"/>
  <c r="HX8" i="10" s="1"/>
  <c r="HW22" i="10"/>
  <c r="HX22" i="10" s="1"/>
  <c r="HV18" i="10"/>
  <c r="HV21" i="10"/>
  <c r="HV9" i="10"/>
  <c r="AS17" i="10"/>
  <c r="GZ8" i="10"/>
  <c r="GZ9" i="10" s="1"/>
  <c r="GZ10" i="10" s="1"/>
  <c r="GZ11" i="10" s="1"/>
  <c r="GZ12" i="10" s="1"/>
  <c r="GZ13" i="10" s="1"/>
  <c r="GZ14" i="10" s="1"/>
  <c r="GZ15" i="10" s="1"/>
  <c r="GZ16" i="10" s="1"/>
  <c r="GZ17" i="10" s="1"/>
  <c r="GZ18" i="10" s="1"/>
  <c r="GZ19" i="10" s="1"/>
  <c r="GZ20" i="10" s="1"/>
  <c r="GZ21" i="10" s="1"/>
  <c r="GZ22" i="10" s="1"/>
  <c r="GZ23" i="10" s="1"/>
  <c r="GZ24" i="10" s="1"/>
  <c r="GZ25" i="10" s="1"/>
  <c r="GZ26" i="10" s="1"/>
  <c r="GZ27" i="10" s="1"/>
  <c r="GZ28" i="10" s="1"/>
  <c r="GZ29" i="10" s="1"/>
  <c r="GZ30" i="10" s="1"/>
  <c r="GZ31" i="10" s="1"/>
  <c r="GZ32" i="10" s="1"/>
  <c r="GZ33" i="10" s="1"/>
  <c r="GZ34" i="10" s="1"/>
  <c r="GZ35" i="10" s="1"/>
  <c r="HU21" i="10"/>
  <c r="HU9" i="10"/>
  <c r="HU20" i="10"/>
  <c r="CF19" i="10"/>
  <c r="F18" i="25"/>
  <c r="H103" i="31" s="1"/>
  <c r="HW20" i="10"/>
  <c r="HX20" i="10" s="1"/>
  <c r="HU24" i="10"/>
  <c r="HV24" i="10"/>
  <c r="HV12" i="10"/>
  <c r="HU12" i="10"/>
  <c r="HW12" i="10"/>
  <c r="HX12" i="10" s="1"/>
  <c r="HU13" i="10"/>
  <c r="HV13" i="10"/>
  <c r="HW13" i="10"/>
  <c r="HX13" i="10" s="1"/>
  <c r="HV16" i="10"/>
  <c r="HU16" i="10"/>
  <c r="HW16" i="10"/>
  <c r="HX16" i="10" s="1"/>
  <c r="HU11" i="10"/>
  <c r="HV11" i="10"/>
  <c r="HW11" i="10"/>
  <c r="HX11" i="10" s="1"/>
  <c r="HV15" i="10"/>
  <c r="HU15" i="10"/>
  <c r="HW15" i="10"/>
  <c r="HX15" i="10" s="1"/>
  <c r="HU25" i="10"/>
  <c r="HV25" i="10"/>
  <c r="HW25" i="10"/>
  <c r="HX25" i="10" s="1"/>
  <c r="HV26" i="10"/>
  <c r="HU26" i="10"/>
  <c r="HW26" i="10"/>
  <c r="HX26" i="10" s="1"/>
  <c r="AS8" i="10"/>
  <c r="L7" i="25"/>
  <c r="H272" i="31" s="1"/>
  <c r="AS26" i="10"/>
  <c r="AS10" i="10"/>
  <c r="AS11" i="10"/>
  <c r="AS18" i="10"/>
  <c r="AS13" i="10"/>
  <c r="X8" i="10"/>
  <c r="AS22" i="10"/>
  <c r="N7" i="25"/>
  <c r="H332" i="31" s="1"/>
  <c r="AS12" i="10"/>
  <c r="AS7" i="10"/>
  <c r="AS24" i="10"/>
  <c r="AS19" i="10"/>
  <c r="N25" i="28"/>
  <c r="H800" i="31" s="1"/>
  <c r="L25" i="28"/>
  <c r="H740" i="31" s="1"/>
  <c r="JT29" i="20"/>
  <c r="JV29" i="20" s="1"/>
  <c r="KG29" i="20" s="1"/>
  <c r="KH29" i="20" s="1"/>
  <c r="KI29" i="20" s="1"/>
  <c r="P29" i="30" s="1"/>
  <c r="H1734" i="31" s="1"/>
  <c r="MB28" i="10"/>
  <c r="MD28" i="10" s="1"/>
  <c r="MO28" i="10" s="1"/>
  <c r="MP28" i="10" s="1"/>
  <c r="JR27" i="21"/>
  <c r="JS28" i="18"/>
  <c r="JT28" i="18" s="1"/>
  <c r="JV28" i="18" s="1"/>
  <c r="KG28" i="18" s="1"/>
  <c r="KH28" i="18" s="1"/>
  <c r="KI28" i="18" s="1"/>
  <c r="P28" i="28" s="1"/>
  <c r="H1673" i="31" s="1"/>
  <c r="R21" i="25"/>
  <c r="H1636" i="31" s="1"/>
  <c r="MQ22" i="10"/>
  <c r="LM12" i="10"/>
  <c r="LN12" i="10" s="1"/>
  <c r="LO12" i="10" s="1"/>
  <c r="Q12" i="25" s="1"/>
  <c r="H427" i="31" s="1"/>
  <c r="F24" i="28"/>
  <c r="H559" i="31" s="1"/>
  <c r="CF25" i="18"/>
  <c r="E24" i="28"/>
  <c r="H529" i="31" s="1"/>
  <c r="BV25" i="18"/>
  <c r="E25" i="28" s="1"/>
  <c r="H530" i="31" s="1"/>
  <c r="CP36" i="21"/>
  <c r="G36" i="29" s="1"/>
  <c r="H991" i="31" s="1"/>
  <c r="G35" i="29"/>
  <c r="H990" i="31" s="1"/>
  <c r="CP25" i="18"/>
  <c r="G24" i="28"/>
  <c r="H589" i="31" s="1"/>
  <c r="KX13" i="10"/>
  <c r="CL15" i="10"/>
  <c r="CI16" i="10" s="1"/>
  <c r="CJ16" i="10" s="1"/>
  <c r="CK16" i="10" s="1"/>
  <c r="CM16" i="10" s="1"/>
  <c r="CN16" i="10" s="1"/>
  <c r="CO16" i="10" s="1"/>
  <c r="CP16" i="10" s="1"/>
  <c r="G16" i="25" s="1"/>
  <c r="H131" i="31" s="1"/>
  <c r="DG22" i="21"/>
  <c r="DH22" i="21" s="1"/>
  <c r="DI22" i="21" s="1"/>
  <c r="DJ22" i="21" s="1"/>
  <c r="I22" i="29" s="1"/>
  <c r="H1037" i="31" s="1"/>
  <c r="DN20" i="21"/>
  <c r="DP20" i="21" s="1"/>
  <c r="DR20" i="21" s="1"/>
  <c r="DS20" i="21" s="1"/>
  <c r="DT20" i="21" s="1"/>
  <c r="DU20" i="21" s="1"/>
  <c r="J20" i="29" s="1"/>
  <c r="H1065" i="31" s="1"/>
  <c r="DN13" i="10"/>
  <c r="EC18" i="18"/>
  <c r="ED18" i="18" s="1"/>
  <c r="EE18" i="18" s="1"/>
  <c r="EF18" i="18" s="1"/>
  <c r="K18" i="28" s="1"/>
  <c r="H703" i="31" s="1"/>
  <c r="DX20" i="21"/>
  <c r="EB18" i="18"/>
  <c r="DZ18" i="18"/>
  <c r="CS24" i="21"/>
  <c r="CU21" i="18"/>
  <c r="CV16" i="10"/>
  <c r="DY13" i="10"/>
  <c r="EA13" i="10" s="1"/>
  <c r="DM19" i="18"/>
  <c r="CE28" i="10"/>
  <c r="CB28" i="10"/>
  <c r="DE21" i="10"/>
  <c r="DD23" i="18"/>
  <c r="DE23" i="18" s="1"/>
  <c r="BY29" i="18"/>
  <c r="BE27" i="18"/>
  <c r="CC27" i="21"/>
  <c r="CD27" i="21" s="1"/>
  <c r="CE27" i="21" s="1"/>
  <c r="CF27" i="21" s="1"/>
  <c r="F27" i="29" s="1"/>
  <c r="H952" i="31" s="1"/>
  <c r="DF22" i="21"/>
  <c r="CB27" i="21"/>
  <c r="BI26" i="21"/>
  <c r="BT26" i="21" s="1"/>
  <c r="BU26" i="21" s="1"/>
  <c r="BV26" i="21" s="1"/>
  <c r="E26" i="29" s="1"/>
  <c r="H921" i="31" s="1"/>
  <c r="BH26" i="21"/>
  <c r="FS25" i="20"/>
  <c r="EK28" i="20"/>
  <c r="FC25" i="20"/>
  <c r="FM25" i="20"/>
  <c r="FN25" i="20" s="1"/>
  <c r="FO25" i="20" s="1"/>
  <c r="FP25" i="20" s="1"/>
  <c r="FQ25" i="20" s="1"/>
  <c r="DF24" i="20"/>
  <c r="DC25" i="20" s="1"/>
  <c r="DD25" i="20" s="1"/>
  <c r="DE25" i="20" s="1"/>
  <c r="DN19" i="20"/>
  <c r="CS23" i="20"/>
  <c r="CI24" i="20"/>
  <c r="CJ24" i="20" s="1"/>
  <c r="CK24" i="20" s="1"/>
  <c r="CM24" i="20" s="1"/>
  <c r="CN24" i="20" s="1"/>
  <c r="CO24" i="20" s="1"/>
  <c r="CP24" i="20" s="1"/>
  <c r="G24" i="30" s="1"/>
  <c r="H1369" i="31" s="1"/>
  <c r="BY27" i="20"/>
  <c r="BZ27" i="20" s="1"/>
  <c r="CA27" i="20" s="1"/>
  <c r="CC27" i="20" s="1"/>
  <c r="CD27" i="20" s="1"/>
  <c r="CE27" i="20" s="1"/>
  <c r="CF27" i="20" s="1"/>
  <c r="F27" i="30" s="1"/>
  <c r="H1342" i="31" s="1"/>
  <c r="BH27" i="20"/>
  <c r="BI27" i="20"/>
  <c r="BT27" i="20" s="1"/>
  <c r="BU27" i="20" s="1"/>
  <c r="BV27" i="20" s="1"/>
  <c r="E27" i="30" s="1"/>
  <c r="H1312" i="31" s="1"/>
  <c r="AT9" i="20"/>
  <c r="D9" i="30" s="1"/>
  <c r="H1264" i="31" s="1"/>
  <c r="FM14" i="10"/>
  <c r="FN14" i="10" s="1"/>
  <c r="FO14" i="10" s="1"/>
  <c r="FP14" i="10" s="1"/>
  <c r="FQ14" i="10" s="1"/>
  <c r="EL21" i="21"/>
  <c r="N30" i="30"/>
  <c r="H1585" i="31" s="1"/>
  <c r="FV20" i="21"/>
  <c r="FW20" i="21" s="1"/>
  <c r="FX20" i="21" s="1"/>
  <c r="FY20" i="21" s="1"/>
  <c r="FZ20" i="21" s="1"/>
  <c r="EJ22" i="21"/>
  <c r="N30" i="29"/>
  <c r="H1195" i="31" s="1"/>
  <c r="L30" i="29"/>
  <c r="H1135" i="31" s="1"/>
  <c r="X31" i="21"/>
  <c r="C31" i="29" s="1"/>
  <c r="H866" i="31" s="1"/>
  <c r="FB21" i="21"/>
  <c r="FD21" i="21" s="1"/>
  <c r="FK21" i="21"/>
  <c r="FM21" i="21" s="1"/>
  <c r="X31" i="20"/>
  <c r="C31" i="30" s="1"/>
  <c r="H1256" i="31" s="1"/>
  <c r="L30" i="30"/>
  <c r="H1525" i="31" s="1"/>
  <c r="O8" i="30" l="1"/>
  <c r="H1593" i="31" s="1"/>
  <c r="JG10" i="20"/>
  <c r="JG11" i="20" s="1"/>
  <c r="JG12" i="20" s="1"/>
  <c r="JG13" i="20" s="1"/>
  <c r="JG14" i="20" s="1"/>
  <c r="JG15" i="20" s="1"/>
  <c r="JG16" i="20" s="1"/>
  <c r="JG17" i="20" s="1"/>
  <c r="JG18" i="20" s="1"/>
  <c r="JG19" i="20" s="1"/>
  <c r="JG20" i="20" s="1"/>
  <c r="JG21" i="20" s="1"/>
  <c r="JG22" i="20" s="1"/>
  <c r="JG23" i="20" s="1"/>
  <c r="JG24" i="20" s="1"/>
  <c r="JG25" i="20" s="1"/>
  <c r="JG26" i="20" s="1"/>
  <c r="JG27" i="20" s="1"/>
  <c r="JG28" i="20" s="1"/>
  <c r="JG29" i="20" s="1"/>
  <c r="JG30" i="20" s="1"/>
  <c r="JG31" i="20" s="1"/>
  <c r="JG32" i="20" s="1"/>
  <c r="JG33" i="20" s="1"/>
  <c r="JG34" i="20" s="1"/>
  <c r="JG35" i="20" s="1"/>
  <c r="JG8" i="18"/>
  <c r="JG9" i="18" s="1"/>
  <c r="JG10" i="18" s="1"/>
  <c r="JG11" i="18" s="1"/>
  <c r="JG12" i="18" s="1"/>
  <c r="JG13" i="18" s="1"/>
  <c r="JG14" i="18" s="1"/>
  <c r="JG15" i="18" s="1"/>
  <c r="JG16" i="18" s="1"/>
  <c r="JG17" i="18" s="1"/>
  <c r="JG18" i="18" s="1"/>
  <c r="JG19" i="18" s="1"/>
  <c r="JG20" i="18" s="1"/>
  <c r="JG21" i="18" s="1"/>
  <c r="JG22" i="18" s="1"/>
  <c r="JG23" i="18" s="1"/>
  <c r="JG24" i="18" s="1"/>
  <c r="JG25" i="18" s="1"/>
  <c r="JG26" i="18" s="1"/>
  <c r="JG27" i="18" s="1"/>
  <c r="JG28" i="18" s="1"/>
  <c r="JG29" i="18" s="1"/>
  <c r="JG30" i="18" s="1"/>
  <c r="JG31" i="18" s="1"/>
  <c r="JG32" i="18" s="1"/>
  <c r="JG33" i="18" s="1"/>
  <c r="JG34" i="18" s="1"/>
  <c r="JG35" i="18" s="1"/>
  <c r="JG9" i="21"/>
  <c r="JG10" i="21" s="1"/>
  <c r="JG11" i="21" s="1"/>
  <c r="JG12" i="21" s="1"/>
  <c r="JG13" i="21" s="1"/>
  <c r="JG14" i="21" s="1"/>
  <c r="JG15" i="21" s="1"/>
  <c r="JG16" i="21" s="1"/>
  <c r="JG17" i="21" s="1"/>
  <c r="JG18" i="21" s="1"/>
  <c r="JG19" i="21" s="1"/>
  <c r="JG20" i="21" s="1"/>
  <c r="JG21" i="21" s="1"/>
  <c r="JG22" i="21" s="1"/>
  <c r="JG23" i="21" s="1"/>
  <c r="JG24" i="21" s="1"/>
  <c r="JG25" i="21" s="1"/>
  <c r="JG26" i="21" s="1"/>
  <c r="JG27" i="21" s="1"/>
  <c r="JG28" i="21" s="1"/>
  <c r="JG29" i="21" s="1"/>
  <c r="JG30" i="21" s="1"/>
  <c r="JG31" i="21" s="1"/>
  <c r="JG32" i="21" s="1"/>
  <c r="JG33" i="21" s="1"/>
  <c r="JG34" i="21" s="1"/>
  <c r="JG35" i="21" s="1"/>
  <c r="M8" i="30"/>
  <c r="H1533" i="31" s="1"/>
  <c r="DX21" i="20"/>
  <c r="DY21" i="20" s="1"/>
  <c r="EA21" i="20" s="1"/>
  <c r="EC21" i="20" s="1"/>
  <c r="ED21" i="20" s="1"/>
  <c r="EE21" i="20" s="1"/>
  <c r="EF21" i="20" s="1"/>
  <c r="K21" i="30" s="1"/>
  <c r="H1486" i="31" s="1"/>
  <c r="HQ9" i="21"/>
  <c r="HQ10" i="21" s="1"/>
  <c r="HQ11" i="21" s="1"/>
  <c r="HQ12" i="21" s="1"/>
  <c r="HQ13" i="21" s="1"/>
  <c r="HQ14" i="21" s="1"/>
  <c r="HQ15" i="21" s="1"/>
  <c r="HQ16" i="21" s="1"/>
  <c r="HQ17" i="21" s="1"/>
  <c r="HQ18" i="21" s="1"/>
  <c r="HQ19" i="21" s="1"/>
  <c r="HQ20" i="21" s="1"/>
  <c r="HQ21" i="21" s="1"/>
  <c r="HQ22" i="21" s="1"/>
  <c r="HQ23" i="21" s="1"/>
  <c r="HQ24" i="21" s="1"/>
  <c r="HQ25" i="21" s="1"/>
  <c r="HQ26" i="21" s="1"/>
  <c r="HQ27" i="21" s="1"/>
  <c r="HQ28" i="21" s="1"/>
  <c r="HQ29" i="21" s="1"/>
  <c r="HQ30" i="21" s="1"/>
  <c r="HQ31" i="21" s="1"/>
  <c r="HQ32" i="21" s="1"/>
  <c r="HQ33" i="21" s="1"/>
  <c r="HQ34" i="21" s="1"/>
  <c r="HQ35" i="21" s="1"/>
  <c r="AT8" i="21"/>
  <c r="C24" i="28"/>
  <c r="H469" i="31" s="1"/>
  <c r="X25" i="18"/>
  <c r="HQ8" i="18"/>
  <c r="HQ9" i="18" s="1"/>
  <c r="HQ10" i="18" s="1"/>
  <c r="HQ11" i="18" s="1"/>
  <c r="HQ12" i="18" s="1"/>
  <c r="HQ13" i="18" s="1"/>
  <c r="HQ14" i="18" s="1"/>
  <c r="HQ15" i="18" s="1"/>
  <c r="HQ16" i="18" s="1"/>
  <c r="HQ17" i="18" s="1"/>
  <c r="HQ18" i="18" s="1"/>
  <c r="HQ19" i="18" s="1"/>
  <c r="HQ20" i="18" s="1"/>
  <c r="HQ21" i="18" s="1"/>
  <c r="HQ22" i="18" s="1"/>
  <c r="HQ23" i="18" s="1"/>
  <c r="HQ24" i="18" s="1"/>
  <c r="HQ25" i="18" s="1"/>
  <c r="HQ26" i="18" s="1"/>
  <c r="HQ27" i="18" s="1"/>
  <c r="HQ28" i="18" s="1"/>
  <c r="HQ29" i="18" s="1"/>
  <c r="HQ30" i="18" s="1"/>
  <c r="HQ31" i="18" s="1"/>
  <c r="HQ32" i="18" s="1"/>
  <c r="HQ33" i="18" s="1"/>
  <c r="HQ34" i="18" s="1"/>
  <c r="HQ35" i="18" s="1"/>
  <c r="AT7" i="18"/>
  <c r="HY8" i="10"/>
  <c r="HY9" i="10" s="1"/>
  <c r="HY10" i="10" s="1"/>
  <c r="HY11" i="10" s="1"/>
  <c r="HY12" i="10" s="1"/>
  <c r="HY13" i="10" s="1"/>
  <c r="HY14" i="10" s="1"/>
  <c r="HY15" i="10" s="1"/>
  <c r="HY16" i="10" s="1"/>
  <c r="HY17" i="10" s="1"/>
  <c r="HY18" i="10" s="1"/>
  <c r="HY19" i="10" s="1"/>
  <c r="HY20" i="10" s="1"/>
  <c r="HY21" i="10" s="1"/>
  <c r="HY22" i="10" s="1"/>
  <c r="HY23" i="10" s="1"/>
  <c r="HY24" i="10" s="1"/>
  <c r="HY25" i="10" s="1"/>
  <c r="HY26" i="10" s="1"/>
  <c r="HY27" i="10" s="1"/>
  <c r="HY28" i="10" s="1"/>
  <c r="HY29" i="10" s="1"/>
  <c r="HY30" i="10" s="1"/>
  <c r="HY31" i="10" s="1"/>
  <c r="HY32" i="10" s="1"/>
  <c r="HY33" i="10" s="1"/>
  <c r="HY34" i="10" s="1"/>
  <c r="HY35" i="10" s="1"/>
  <c r="JO9" i="10"/>
  <c r="JO10" i="10" s="1"/>
  <c r="JO11" i="10" s="1"/>
  <c r="JO12" i="10" s="1"/>
  <c r="JO13" i="10" s="1"/>
  <c r="JO14" i="10" s="1"/>
  <c r="JO15" i="10" s="1"/>
  <c r="JO16" i="10" s="1"/>
  <c r="JO17" i="10" s="1"/>
  <c r="JO18" i="10" s="1"/>
  <c r="JO19" i="10" s="1"/>
  <c r="JO20" i="10" s="1"/>
  <c r="JO21" i="10" s="1"/>
  <c r="JO22" i="10" s="1"/>
  <c r="JO23" i="10" s="1"/>
  <c r="JO24" i="10" s="1"/>
  <c r="JO25" i="10" s="1"/>
  <c r="JO26" i="10" s="1"/>
  <c r="JO27" i="10" s="1"/>
  <c r="JO28" i="10" s="1"/>
  <c r="JO29" i="10" s="1"/>
  <c r="JO30" i="10" s="1"/>
  <c r="JO31" i="10" s="1"/>
  <c r="JO32" i="10" s="1"/>
  <c r="JO33" i="10" s="1"/>
  <c r="JO34" i="10" s="1"/>
  <c r="JO35" i="10" s="1"/>
  <c r="CF20" i="10"/>
  <c r="F19" i="25"/>
  <c r="H104" i="31" s="1"/>
  <c r="L8" i="25"/>
  <c r="H273" i="31" s="1"/>
  <c r="X9" i="10"/>
  <c r="N9" i="25" s="1"/>
  <c r="H334" i="31" s="1"/>
  <c r="N8" i="25"/>
  <c r="H333" i="31" s="1"/>
  <c r="C8" i="25"/>
  <c r="H3" i="31" s="1"/>
  <c r="AT7" i="10"/>
  <c r="D7" i="25" s="1"/>
  <c r="H32" i="31" s="1"/>
  <c r="L26" i="28"/>
  <c r="H741" i="31" s="1"/>
  <c r="JU29" i="20"/>
  <c r="JR30" i="20" s="1"/>
  <c r="JS30" i="20" s="1"/>
  <c r="JT30" i="20" s="1"/>
  <c r="JV30" i="20" s="1"/>
  <c r="KG30" i="20" s="1"/>
  <c r="KH30" i="20" s="1"/>
  <c r="KI30" i="20" s="1"/>
  <c r="P30" i="30" s="1"/>
  <c r="H1735" i="31" s="1"/>
  <c r="R22" i="25"/>
  <c r="H1637" i="31" s="1"/>
  <c r="MQ23" i="10"/>
  <c r="MC28" i="10"/>
  <c r="JU28" i="18"/>
  <c r="JS27" i="21"/>
  <c r="JT27" i="21" s="1"/>
  <c r="JV27" i="21" s="1"/>
  <c r="KG27" i="21" s="1"/>
  <c r="KH27" i="21" s="1"/>
  <c r="KI27" i="21" s="1"/>
  <c r="P27" i="29" s="1"/>
  <c r="H1702" i="31" s="1"/>
  <c r="F25" i="28"/>
  <c r="H560" i="31" s="1"/>
  <c r="CF26" i="18"/>
  <c r="BV26" i="18"/>
  <c r="E26" i="28" s="1"/>
  <c r="H531" i="31" s="1"/>
  <c r="CP26" i="18"/>
  <c r="G25" i="28"/>
  <c r="H590" i="31" s="1"/>
  <c r="KZ13" i="10"/>
  <c r="LB13" i="10" s="1"/>
  <c r="CW21" i="18"/>
  <c r="CX21" i="18" s="1"/>
  <c r="CY21" i="18" s="1"/>
  <c r="CZ21" i="18" s="1"/>
  <c r="H21" i="28" s="1"/>
  <c r="H616" i="31" s="1"/>
  <c r="CS17" i="10"/>
  <c r="CT17" i="10" s="1"/>
  <c r="CU17" i="10" s="1"/>
  <c r="CW17" i="10" s="1"/>
  <c r="CX17" i="10" s="1"/>
  <c r="CY17" i="10" s="1"/>
  <c r="CZ17" i="10" s="1"/>
  <c r="H17" i="25" s="1"/>
  <c r="H162" i="31" s="1"/>
  <c r="CL16" i="10"/>
  <c r="DP13" i="10"/>
  <c r="DO13" i="10" s="1"/>
  <c r="CV21" i="18"/>
  <c r="DN19" i="18"/>
  <c r="DP19" i="18" s="1"/>
  <c r="DX19" i="18"/>
  <c r="FL25" i="20"/>
  <c r="FJ26" i="20" s="1"/>
  <c r="DG23" i="18"/>
  <c r="DH23" i="18" s="1"/>
  <c r="DI23" i="18" s="1"/>
  <c r="DJ23" i="18" s="1"/>
  <c r="I23" i="28" s="1"/>
  <c r="H648" i="31" s="1"/>
  <c r="EC13" i="10"/>
  <c r="ED13" i="10" s="1"/>
  <c r="EE13" i="10" s="1"/>
  <c r="EF13" i="10" s="1"/>
  <c r="K13" i="25" s="1"/>
  <c r="H248" i="31" s="1"/>
  <c r="DG21" i="10"/>
  <c r="DH21" i="10" s="1"/>
  <c r="DI21" i="10" s="1"/>
  <c r="DJ21" i="10" s="1"/>
  <c r="I21" i="25" s="1"/>
  <c r="H196" i="31" s="1"/>
  <c r="DZ13" i="10"/>
  <c r="EB13" i="10"/>
  <c r="CT24" i="21"/>
  <c r="CU24" i="21" s="1"/>
  <c r="CW24" i="21" s="1"/>
  <c r="CX24" i="21" s="1"/>
  <c r="CY24" i="21" s="1"/>
  <c r="CZ24" i="21" s="1"/>
  <c r="H24" i="29" s="1"/>
  <c r="H1009" i="31" s="1"/>
  <c r="DY20" i="21"/>
  <c r="EA20" i="21" s="1"/>
  <c r="DO20" i="21"/>
  <c r="DQ20" i="21"/>
  <c r="BY29" i="10"/>
  <c r="DF21" i="10"/>
  <c r="DF23" i="18"/>
  <c r="BZ29" i="18"/>
  <c r="CA29" i="18" s="1"/>
  <c r="BF27" i="18"/>
  <c r="BG27" i="18" s="1"/>
  <c r="BY28" i="21"/>
  <c r="DC23" i="21"/>
  <c r="BE27" i="21"/>
  <c r="FA26" i="20"/>
  <c r="EN28" i="20"/>
  <c r="FT25" i="20"/>
  <c r="FV25" i="20" s="1"/>
  <c r="FW25" i="20" s="1"/>
  <c r="FX25" i="20" s="1"/>
  <c r="FY25" i="20" s="1"/>
  <c r="FZ25" i="20" s="1"/>
  <c r="DP19" i="20"/>
  <c r="DR19" i="20" s="1"/>
  <c r="DS19" i="20" s="1"/>
  <c r="DT19" i="20" s="1"/>
  <c r="DU19" i="20" s="1"/>
  <c r="J19" i="30" s="1"/>
  <c r="H1454" i="31" s="1"/>
  <c r="DF25" i="20"/>
  <c r="DG25" i="20"/>
  <c r="DH25" i="20" s="1"/>
  <c r="DI25" i="20" s="1"/>
  <c r="DJ25" i="20" s="1"/>
  <c r="I25" i="30" s="1"/>
  <c r="H1430" i="31" s="1"/>
  <c r="CT23" i="20"/>
  <c r="CU23" i="20" s="1"/>
  <c r="CW23" i="20" s="1"/>
  <c r="CX23" i="20" s="1"/>
  <c r="CY23" i="20" s="1"/>
  <c r="CZ23" i="20" s="1"/>
  <c r="H23" i="30" s="1"/>
  <c r="H1398" i="31" s="1"/>
  <c r="CL24" i="20"/>
  <c r="CI25" i="20" s="1"/>
  <c r="CB27" i="20"/>
  <c r="BY28" i="20" s="1"/>
  <c r="BZ28" i="20" s="1"/>
  <c r="CA28" i="20" s="1"/>
  <c r="CC28" i="20" s="1"/>
  <c r="CD28" i="20" s="1"/>
  <c r="CE28" i="20" s="1"/>
  <c r="CF28" i="20" s="1"/>
  <c r="F28" i="30" s="1"/>
  <c r="H1343" i="31" s="1"/>
  <c r="BE28" i="20"/>
  <c r="FU20" i="21"/>
  <c r="FS21" i="21" s="1"/>
  <c r="FL14" i="10"/>
  <c r="FJ15" i="10" s="1"/>
  <c r="FK15" i="10" s="1"/>
  <c r="FM15" i="10" s="1"/>
  <c r="FN15" i="10" s="1"/>
  <c r="FO15" i="10" s="1"/>
  <c r="FP15" i="10" s="1"/>
  <c r="FQ15" i="10" s="1"/>
  <c r="O9" i="30"/>
  <c r="H1594" i="31" s="1"/>
  <c r="AT10" i="20"/>
  <c r="D10" i="30" s="1"/>
  <c r="H1265" i="31" s="1"/>
  <c r="M9" i="30"/>
  <c r="H1534" i="31" s="1"/>
  <c r="N31" i="30"/>
  <c r="H1586" i="31" s="1"/>
  <c r="FN21" i="21"/>
  <c r="FO21" i="21" s="1"/>
  <c r="FP21" i="21" s="1"/>
  <c r="FQ21" i="21" s="1"/>
  <c r="EK22" i="21"/>
  <c r="FE21" i="21"/>
  <c r="FF21" i="21" s="1"/>
  <c r="FG21" i="21" s="1"/>
  <c r="FH21" i="21" s="1"/>
  <c r="N31" i="29"/>
  <c r="H1196" i="31" s="1"/>
  <c r="L31" i="30"/>
  <c r="H1526" i="31" s="1"/>
  <c r="X32" i="20"/>
  <c r="C32" i="30" s="1"/>
  <c r="H1257" i="31" s="1"/>
  <c r="L31" i="29"/>
  <c r="H1136" i="31" s="1"/>
  <c r="X32" i="21"/>
  <c r="C32" i="29" s="1"/>
  <c r="H867" i="31" s="1"/>
  <c r="FC21" i="21"/>
  <c r="FL21" i="21"/>
  <c r="L9" i="25"/>
  <c r="H274" i="31" s="1"/>
  <c r="L27" i="28"/>
  <c r="H742" i="31" s="1"/>
  <c r="G3" i="29"/>
  <c r="DZ21" i="20" l="1"/>
  <c r="EB21" i="20"/>
  <c r="D8" i="29"/>
  <c r="H873" i="31" s="1"/>
  <c r="M8" i="29"/>
  <c r="H1143" i="31" s="1"/>
  <c r="O8" i="29"/>
  <c r="H1203" i="31" s="1"/>
  <c r="AT9" i="21"/>
  <c r="C25" i="28"/>
  <c r="H470" i="31" s="1"/>
  <c r="X26" i="18"/>
  <c r="O7" i="28"/>
  <c r="H812" i="31" s="1"/>
  <c r="M7" i="28"/>
  <c r="H752" i="31" s="1"/>
  <c r="D7" i="28"/>
  <c r="H482" i="31" s="1"/>
  <c r="AT8" i="18"/>
  <c r="N26" i="28"/>
  <c r="H801" i="31" s="1"/>
  <c r="X10" i="10"/>
  <c r="C10" i="25" s="1"/>
  <c r="H5" i="31" s="1"/>
  <c r="C9" i="25"/>
  <c r="H4" i="31" s="1"/>
  <c r="CF21" i="10"/>
  <c r="F20" i="25"/>
  <c r="H105" i="31" s="1"/>
  <c r="O7" i="25"/>
  <c r="H362" i="31" s="1"/>
  <c r="M7" i="25"/>
  <c r="H302" i="31" s="1"/>
  <c r="AT8" i="10"/>
  <c r="JU30" i="20"/>
  <c r="JR31" i="20" s="1"/>
  <c r="JR29" i="18"/>
  <c r="R23" i="25"/>
  <c r="H1638" i="31" s="1"/>
  <c r="MQ24" i="10"/>
  <c r="LZ29" i="10"/>
  <c r="JU27" i="21"/>
  <c r="N10" i="25"/>
  <c r="H335" i="31" s="1"/>
  <c r="CP27" i="18"/>
  <c r="G26" i="28"/>
  <c r="H591" i="31" s="1"/>
  <c r="F26" i="28"/>
  <c r="H561" i="31" s="1"/>
  <c r="CF27" i="18"/>
  <c r="LM13" i="10"/>
  <c r="LN13" i="10" s="1"/>
  <c r="LO13" i="10" s="1"/>
  <c r="Q13" i="25" s="1"/>
  <c r="H428" i="31" s="1"/>
  <c r="LA13" i="10"/>
  <c r="KY13" i="10"/>
  <c r="CV17" i="10"/>
  <c r="CS18" i="10" s="1"/>
  <c r="CT18" i="10" s="1"/>
  <c r="CU18" i="10" s="1"/>
  <c r="CW18" i="10" s="1"/>
  <c r="CX18" i="10" s="1"/>
  <c r="CY18" i="10" s="1"/>
  <c r="CZ18" i="10" s="1"/>
  <c r="H18" i="25" s="1"/>
  <c r="H163" i="31" s="1"/>
  <c r="EC20" i="21"/>
  <c r="ED20" i="21" s="1"/>
  <c r="EE20" i="21" s="1"/>
  <c r="EF20" i="21" s="1"/>
  <c r="K20" i="29" s="1"/>
  <c r="H1095" i="31" s="1"/>
  <c r="DR19" i="18"/>
  <c r="DS19" i="18" s="1"/>
  <c r="DT19" i="18" s="1"/>
  <c r="DU19" i="18" s="1"/>
  <c r="J19" i="28" s="1"/>
  <c r="H674" i="31" s="1"/>
  <c r="CI17" i="10"/>
  <c r="CJ17" i="10" s="1"/>
  <c r="CK17" i="10" s="1"/>
  <c r="CM17" i="10" s="1"/>
  <c r="CN17" i="10" s="1"/>
  <c r="CO17" i="10" s="1"/>
  <c r="CP17" i="10" s="1"/>
  <c r="G17" i="25" s="1"/>
  <c r="H132" i="31" s="1"/>
  <c r="DQ13" i="10"/>
  <c r="DX14" i="10"/>
  <c r="DO19" i="18"/>
  <c r="DQ19" i="18"/>
  <c r="EB20" i="21"/>
  <c r="DZ20" i="21"/>
  <c r="CS22" i="18"/>
  <c r="DM21" i="21"/>
  <c r="CV24" i="21"/>
  <c r="DY19" i="18"/>
  <c r="DR13" i="10"/>
  <c r="DS13" i="10" s="1"/>
  <c r="DT13" i="10" s="1"/>
  <c r="DU13" i="10" s="1"/>
  <c r="J13" i="25" s="1"/>
  <c r="H218" i="31" s="1"/>
  <c r="CC29" i="18"/>
  <c r="CD29" i="18" s="1"/>
  <c r="CE29" i="18" s="1"/>
  <c r="DC22" i="10"/>
  <c r="BZ29" i="10"/>
  <c r="CA29" i="10" s="1"/>
  <c r="CC29" i="10" s="1"/>
  <c r="CB29" i="18"/>
  <c r="DC24" i="18"/>
  <c r="BI27" i="18"/>
  <c r="BT27" i="18" s="1"/>
  <c r="BU27" i="18" s="1"/>
  <c r="BV27" i="18" s="1"/>
  <c r="E27" i="28" s="1"/>
  <c r="H532" i="31" s="1"/>
  <c r="BH27" i="18"/>
  <c r="DD23" i="21"/>
  <c r="BZ28" i="21"/>
  <c r="CA28" i="21" s="1"/>
  <c r="BF27" i="21"/>
  <c r="BG27" i="21" s="1"/>
  <c r="EV28" i="20"/>
  <c r="EW28" i="20" s="1"/>
  <c r="EX28" i="20" s="1"/>
  <c r="EY28" i="20" s="1"/>
  <c r="EJ29" i="20"/>
  <c r="FU25" i="20"/>
  <c r="FB26" i="20"/>
  <c r="EL28" i="20"/>
  <c r="FK26" i="20"/>
  <c r="DQ19" i="20"/>
  <c r="DM20" i="20" s="1"/>
  <c r="DO19" i="20"/>
  <c r="DC26" i="20"/>
  <c r="DD26" i="20" s="1"/>
  <c r="DE26" i="20" s="1"/>
  <c r="DG26" i="20" s="1"/>
  <c r="DH26" i="20" s="1"/>
  <c r="DI26" i="20" s="1"/>
  <c r="DJ26" i="20" s="1"/>
  <c r="I26" i="30" s="1"/>
  <c r="H1431" i="31" s="1"/>
  <c r="CV23" i="20"/>
  <c r="CJ25" i="20"/>
  <c r="CK25" i="20" s="1"/>
  <c r="CM25" i="20" s="1"/>
  <c r="CN25" i="20" s="1"/>
  <c r="CO25" i="20" s="1"/>
  <c r="CP25" i="20" s="1"/>
  <c r="G25" i="30" s="1"/>
  <c r="H1370" i="31" s="1"/>
  <c r="CB28" i="20"/>
  <c r="BY29" i="20" s="1"/>
  <c r="BZ29" i="20" s="1"/>
  <c r="CA29" i="20" s="1"/>
  <c r="CC29" i="20" s="1"/>
  <c r="CD29" i="20" s="1"/>
  <c r="CE29" i="20" s="1"/>
  <c r="CF29" i="20" s="1"/>
  <c r="F29" i="30" s="1"/>
  <c r="H1344" i="31" s="1"/>
  <c r="BF28" i="20"/>
  <c r="O10" i="30"/>
  <c r="H1595" i="31" s="1"/>
  <c r="M10" i="30"/>
  <c r="H1535" i="31" s="1"/>
  <c r="AT11" i="20"/>
  <c r="D11" i="30" s="1"/>
  <c r="H1266" i="31" s="1"/>
  <c r="N32" i="30"/>
  <c r="H1587" i="31" s="1"/>
  <c r="EN22" i="21"/>
  <c r="N32" i="29"/>
  <c r="H1197" i="31" s="1"/>
  <c r="X33" i="20"/>
  <c r="C33" i="30" s="1"/>
  <c r="H1258" i="31" s="1"/>
  <c r="L32" i="30"/>
  <c r="H1527" i="31" s="1"/>
  <c r="X33" i="21"/>
  <c r="C33" i="29" s="1"/>
  <c r="H868" i="31" s="1"/>
  <c r="L32" i="29"/>
  <c r="H1137" i="31" s="1"/>
  <c r="FT21" i="21"/>
  <c r="FV21" i="21" s="1"/>
  <c r="FJ22" i="21"/>
  <c r="FA22" i="21"/>
  <c r="L10" i="25"/>
  <c r="H275" i="31" s="1"/>
  <c r="L28" i="28"/>
  <c r="H743" i="31" s="1"/>
  <c r="FL15" i="10"/>
  <c r="X11" i="10" l="1"/>
  <c r="DX22" i="20"/>
  <c r="DY22" i="20" s="1"/>
  <c r="EA22" i="20" s="1"/>
  <c r="D9" i="29"/>
  <c r="H874" i="31" s="1"/>
  <c r="AT10" i="21"/>
  <c r="O9" i="29"/>
  <c r="H1204" i="31" s="1"/>
  <c r="M9" i="29"/>
  <c r="H1144" i="31" s="1"/>
  <c r="C26" i="28"/>
  <c r="H471" i="31" s="1"/>
  <c r="X27" i="18"/>
  <c r="M8" i="28"/>
  <c r="H753" i="31" s="1"/>
  <c r="AT9" i="18"/>
  <c r="O8" i="28"/>
  <c r="H813" i="31" s="1"/>
  <c r="D8" i="28"/>
  <c r="H483" i="31" s="1"/>
  <c r="N27" i="28"/>
  <c r="H802" i="31" s="1"/>
  <c r="CF22" i="10"/>
  <c r="F21" i="25"/>
  <c r="H106" i="31" s="1"/>
  <c r="O8" i="25"/>
  <c r="H363" i="31" s="1"/>
  <c r="M8" i="25"/>
  <c r="H303" i="31" s="1"/>
  <c r="D8" i="25"/>
  <c r="H33" i="31" s="1"/>
  <c r="AT9" i="10"/>
  <c r="JS31" i="20"/>
  <c r="R24" i="25"/>
  <c r="H1639" i="31" s="1"/>
  <c r="MQ25" i="10"/>
  <c r="MA29" i="10"/>
  <c r="MB29" i="10" s="1"/>
  <c r="MD29" i="10" s="1"/>
  <c r="MO29" i="10" s="1"/>
  <c r="MP29" i="10" s="1"/>
  <c r="JS29" i="18"/>
  <c r="JT29" i="18" s="1"/>
  <c r="JV29" i="18" s="1"/>
  <c r="KG29" i="18" s="1"/>
  <c r="KH29" i="18" s="1"/>
  <c r="KI29" i="18" s="1"/>
  <c r="P29" i="28" s="1"/>
  <c r="H1674" i="31" s="1"/>
  <c r="JR28" i="21"/>
  <c r="KW14" i="10"/>
  <c r="KX14" i="10" s="1"/>
  <c r="KZ14" i="10" s="1"/>
  <c r="LB14" i="10" s="1"/>
  <c r="N11" i="25"/>
  <c r="H336" i="31" s="1"/>
  <c r="C11" i="25"/>
  <c r="H6" i="31" s="1"/>
  <c r="F27" i="28"/>
  <c r="H562" i="31" s="1"/>
  <c r="CF28" i="18"/>
  <c r="F28" i="28" s="1"/>
  <c r="H563" i="31" s="1"/>
  <c r="CP28" i="18"/>
  <c r="G27" i="28"/>
  <c r="H592" i="31" s="1"/>
  <c r="DM20" i="18"/>
  <c r="DM14" i="10"/>
  <c r="DY14" i="10"/>
  <c r="EA14" i="10" s="1"/>
  <c r="CS25" i="21"/>
  <c r="CT22" i="18"/>
  <c r="CU22" i="18" s="1"/>
  <c r="CL17" i="10"/>
  <c r="CV18" i="10"/>
  <c r="EA19" i="18"/>
  <c r="EB19" i="18" s="1"/>
  <c r="DN21" i="21"/>
  <c r="DP21" i="21" s="1"/>
  <c r="DR21" i="21" s="1"/>
  <c r="DS21" i="21" s="1"/>
  <c r="DT21" i="21" s="1"/>
  <c r="DU21" i="21" s="1"/>
  <c r="J21" i="29" s="1"/>
  <c r="H1066" i="31" s="1"/>
  <c r="DX21" i="21"/>
  <c r="CD29" i="10"/>
  <c r="DD22" i="10"/>
  <c r="DE22" i="10" s="1"/>
  <c r="BY30" i="18"/>
  <c r="DD24" i="18"/>
  <c r="DE24" i="18" s="1"/>
  <c r="BE28" i="18"/>
  <c r="CC28" i="21"/>
  <c r="CD28" i="21" s="1"/>
  <c r="CE28" i="21" s="1"/>
  <c r="CF28" i="21" s="1"/>
  <c r="F28" i="29" s="1"/>
  <c r="H953" i="31" s="1"/>
  <c r="CB28" i="21"/>
  <c r="DE23" i="21"/>
  <c r="DF23" i="21" s="1"/>
  <c r="BI27" i="21"/>
  <c r="BT27" i="21" s="1"/>
  <c r="BU27" i="21" s="1"/>
  <c r="BV27" i="21" s="1"/>
  <c r="E27" i="29" s="1"/>
  <c r="H922" i="31" s="1"/>
  <c r="BH27" i="21"/>
  <c r="EK29" i="20"/>
  <c r="EN29" i="20" s="1"/>
  <c r="FS26" i="20"/>
  <c r="FM26" i="20"/>
  <c r="FN26" i="20" s="1"/>
  <c r="FO26" i="20" s="1"/>
  <c r="FP26" i="20" s="1"/>
  <c r="FQ26" i="20" s="1"/>
  <c r="FD26" i="20"/>
  <c r="FE26" i="20" s="1"/>
  <c r="FF26" i="20" s="1"/>
  <c r="FG26" i="20" s="1"/>
  <c r="FH26" i="20" s="1"/>
  <c r="DF26" i="20"/>
  <c r="DC27" i="20" s="1"/>
  <c r="DD27" i="20" s="1"/>
  <c r="DN20" i="20"/>
  <c r="CS24" i="20"/>
  <c r="CT24" i="20" s="1"/>
  <c r="CU24" i="20" s="1"/>
  <c r="CW24" i="20" s="1"/>
  <c r="CX24" i="20" s="1"/>
  <c r="CY24" i="20" s="1"/>
  <c r="CZ24" i="20" s="1"/>
  <c r="H24" i="30" s="1"/>
  <c r="H1399" i="31" s="1"/>
  <c r="CL25" i="20"/>
  <c r="CB29" i="20"/>
  <c r="BY30" i="20" s="1"/>
  <c r="BZ30" i="20" s="1"/>
  <c r="CA30" i="20" s="1"/>
  <c r="CC30" i="20" s="1"/>
  <c r="CD30" i="20" s="1"/>
  <c r="CE30" i="20" s="1"/>
  <c r="CF30" i="20" s="1"/>
  <c r="F30" i="30" s="1"/>
  <c r="H1345" i="31" s="1"/>
  <c r="BG28" i="20"/>
  <c r="BI28" i="20" s="1"/>
  <c r="BT28" i="20" s="1"/>
  <c r="BU28" i="20" s="1"/>
  <c r="BV28" i="20" s="1"/>
  <c r="E28" i="30" s="1"/>
  <c r="H1313" i="31" s="1"/>
  <c r="O11" i="30"/>
  <c r="H1596" i="31" s="1"/>
  <c r="AT12" i="20"/>
  <c r="D12" i="30" s="1"/>
  <c r="H1267" i="31" s="1"/>
  <c r="M11" i="30"/>
  <c r="H1536" i="31" s="1"/>
  <c r="N33" i="30"/>
  <c r="H1588" i="31" s="1"/>
  <c r="FW21" i="21"/>
  <c r="FX21" i="21" s="1"/>
  <c r="FY21" i="21" s="1"/>
  <c r="FZ21" i="21" s="1"/>
  <c r="EV22" i="21"/>
  <c r="EW22" i="21" s="1"/>
  <c r="EX22" i="21" s="1"/>
  <c r="EY22" i="21" s="1"/>
  <c r="EJ23" i="21"/>
  <c r="EL22" i="21"/>
  <c r="N33" i="29"/>
  <c r="H1198" i="31" s="1"/>
  <c r="L33" i="30"/>
  <c r="H1528" i="31" s="1"/>
  <c r="X34" i="20"/>
  <c r="C34" i="30" s="1"/>
  <c r="H1259" i="31" s="1"/>
  <c r="L33" i="29"/>
  <c r="H1138" i="31" s="1"/>
  <c r="X34" i="21"/>
  <c r="C34" i="29" s="1"/>
  <c r="H869" i="31" s="1"/>
  <c r="FB22" i="21"/>
  <c r="FD22" i="21" s="1"/>
  <c r="FK22" i="21"/>
  <c r="FM22" i="21" s="1"/>
  <c r="FN22" i="21" s="1"/>
  <c r="FO22" i="21" s="1"/>
  <c r="FP22" i="21" s="1"/>
  <c r="FQ22" i="21" s="1"/>
  <c r="FU21" i="21"/>
  <c r="L29" i="28"/>
  <c r="H744" i="31" s="1"/>
  <c r="L11" i="25"/>
  <c r="H276" i="31" s="1"/>
  <c r="X12" i="10"/>
  <c r="FJ16" i="10"/>
  <c r="FK16" i="10" s="1"/>
  <c r="FM16" i="10" s="1"/>
  <c r="FN16" i="10" s="1"/>
  <c r="FO16" i="10" s="1"/>
  <c r="FP16" i="10" s="1"/>
  <c r="FQ16" i="10" s="1"/>
  <c r="EC22" i="20" l="1"/>
  <c r="ED22" i="20" s="1"/>
  <c r="EE22" i="20" s="1"/>
  <c r="EF22" i="20" s="1"/>
  <c r="K22" i="30" s="1"/>
  <c r="H1487" i="31" s="1"/>
  <c r="EB22" i="20"/>
  <c r="DZ22" i="20"/>
  <c r="D10" i="29"/>
  <c r="H875" i="31" s="1"/>
  <c r="AT11" i="21"/>
  <c r="M10" i="29"/>
  <c r="H1145" i="31" s="1"/>
  <c r="O10" i="29"/>
  <c r="H1205" i="31" s="1"/>
  <c r="C27" i="28"/>
  <c r="H472" i="31" s="1"/>
  <c r="X28" i="18"/>
  <c r="O9" i="28"/>
  <c r="H814" i="31" s="1"/>
  <c r="M9" i="28"/>
  <c r="H754" i="31" s="1"/>
  <c r="D9" i="28"/>
  <c r="H484" i="31" s="1"/>
  <c r="AT10" i="18"/>
  <c r="N28" i="28"/>
  <c r="H803" i="31" s="1"/>
  <c r="F22" i="25"/>
  <c r="H107" i="31" s="1"/>
  <c r="CF23" i="10"/>
  <c r="O9" i="25"/>
  <c r="H364" i="31" s="1"/>
  <c r="M9" i="25"/>
  <c r="H304" i="31" s="1"/>
  <c r="D9" i="25"/>
  <c r="H34" i="31" s="1"/>
  <c r="AT10" i="10"/>
  <c r="JS28" i="21"/>
  <c r="JT28" i="21" s="1"/>
  <c r="JV28" i="21" s="1"/>
  <c r="KG28" i="21" s="1"/>
  <c r="KH28" i="21" s="1"/>
  <c r="KI28" i="21" s="1"/>
  <c r="P28" i="29" s="1"/>
  <c r="H1703" i="31" s="1"/>
  <c r="JT31" i="20"/>
  <c r="JV31" i="20" s="1"/>
  <c r="KG31" i="20" s="1"/>
  <c r="KH31" i="20" s="1"/>
  <c r="KI31" i="20" s="1"/>
  <c r="P31" i="30" s="1"/>
  <c r="H1736" i="31" s="1"/>
  <c r="MC29" i="10"/>
  <c r="JU29" i="18"/>
  <c r="R25" i="25"/>
  <c r="H1640" i="31" s="1"/>
  <c r="MQ26" i="10"/>
  <c r="CF29" i="18"/>
  <c r="F29" i="28" s="1"/>
  <c r="H564" i="31" s="1"/>
  <c r="LM14" i="10"/>
  <c r="LN14" i="10" s="1"/>
  <c r="LO14" i="10" s="1"/>
  <c r="Q14" i="25" s="1"/>
  <c r="H429" i="31" s="1"/>
  <c r="CP29" i="18"/>
  <c r="G28" i="28"/>
  <c r="H593" i="31" s="1"/>
  <c r="N12" i="25"/>
  <c r="H337" i="31" s="1"/>
  <c r="C12" i="25"/>
  <c r="H7" i="31" s="1"/>
  <c r="KY14" i="10"/>
  <c r="LA14" i="10"/>
  <c r="DX20" i="18"/>
  <c r="EV29" i="20"/>
  <c r="EW29" i="20" s="1"/>
  <c r="EX29" i="20" s="1"/>
  <c r="EY29" i="20" s="1"/>
  <c r="EL29" i="20"/>
  <c r="EJ30" i="20"/>
  <c r="EK30" i="20" s="1"/>
  <c r="EN30" i="20" s="1"/>
  <c r="EV30" i="20" s="1"/>
  <c r="EW30" i="20" s="1"/>
  <c r="EX30" i="20" s="1"/>
  <c r="DG24" i="18"/>
  <c r="DH24" i="18" s="1"/>
  <c r="DI24" i="18" s="1"/>
  <c r="DJ24" i="18" s="1"/>
  <c r="I24" i="28" s="1"/>
  <c r="H649" i="31" s="1"/>
  <c r="DY21" i="21"/>
  <c r="EA21" i="21" s="1"/>
  <c r="CS19" i="10"/>
  <c r="CT19" i="10" s="1"/>
  <c r="CU19" i="10" s="1"/>
  <c r="CW19" i="10" s="1"/>
  <c r="CX19" i="10" s="1"/>
  <c r="CY19" i="10" s="1"/>
  <c r="CZ19" i="10" s="1"/>
  <c r="H19" i="25" s="1"/>
  <c r="H164" i="31" s="1"/>
  <c r="DN14" i="10"/>
  <c r="DZ19" i="18"/>
  <c r="DG23" i="21"/>
  <c r="DH23" i="21" s="1"/>
  <c r="DI23" i="21" s="1"/>
  <c r="DJ23" i="21" s="1"/>
  <c r="I23" i="29" s="1"/>
  <c r="H1038" i="31" s="1"/>
  <c r="DO21" i="21"/>
  <c r="DQ21" i="21"/>
  <c r="CI18" i="10"/>
  <c r="CJ18" i="10" s="1"/>
  <c r="CK18" i="10" s="1"/>
  <c r="CM18" i="10" s="1"/>
  <c r="CN18" i="10" s="1"/>
  <c r="CO18" i="10" s="1"/>
  <c r="CP18" i="10" s="1"/>
  <c r="G18" i="25" s="1"/>
  <c r="H133" i="31" s="1"/>
  <c r="CT25" i="21"/>
  <c r="CU25" i="21" s="1"/>
  <c r="CW25" i="21" s="1"/>
  <c r="CX25" i="21" s="1"/>
  <c r="CY25" i="21" s="1"/>
  <c r="CZ25" i="21" s="1"/>
  <c r="H25" i="29" s="1"/>
  <c r="H1010" i="31" s="1"/>
  <c r="DG22" i="10"/>
  <c r="DH22" i="10" s="1"/>
  <c r="DI22" i="10" s="1"/>
  <c r="DJ22" i="10" s="1"/>
  <c r="I22" i="25" s="1"/>
  <c r="H197" i="31" s="1"/>
  <c r="CW22" i="18"/>
  <c r="CX22" i="18" s="1"/>
  <c r="CY22" i="18" s="1"/>
  <c r="CZ22" i="18" s="1"/>
  <c r="H22" i="28" s="1"/>
  <c r="H617" i="31" s="1"/>
  <c r="EC14" i="10"/>
  <c r="ED14" i="10" s="1"/>
  <c r="EE14" i="10" s="1"/>
  <c r="EF14" i="10" s="1"/>
  <c r="K14" i="25" s="1"/>
  <c r="H249" i="31" s="1"/>
  <c r="EC19" i="18"/>
  <c r="ED19" i="18" s="1"/>
  <c r="EE19" i="18" s="1"/>
  <c r="EF19" i="18" s="1"/>
  <c r="K19" i="28" s="1"/>
  <c r="H704" i="31" s="1"/>
  <c r="CV22" i="18"/>
  <c r="DZ14" i="10"/>
  <c r="EB14" i="10"/>
  <c r="DN20" i="18"/>
  <c r="CE29" i="10"/>
  <c r="DF22" i="10"/>
  <c r="CB29" i="10"/>
  <c r="DF24" i="18"/>
  <c r="BZ30" i="18"/>
  <c r="CA30" i="18" s="1"/>
  <c r="BF28" i="18"/>
  <c r="BG28" i="18" s="1"/>
  <c r="BY29" i="21"/>
  <c r="DC24" i="21"/>
  <c r="BE28" i="21"/>
  <c r="FT26" i="20"/>
  <c r="FV26" i="20" s="1"/>
  <c r="FW26" i="20" s="1"/>
  <c r="FX26" i="20" s="1"/>
  <c r="FY26" i="20" s="1"/>
  <c r="FZ26" i="20" s="1"/>
  <c r="FC26" i="20"/>
  <c r="FL26" i="20"/>
  <c r="DE27" i="20"/>
  <c r="DP20" i="20"/>
  <c r="DR20" i="20" s="1"/>
  <c r="DS20" i="20" s="1"/>
  <c r="DT20" i="20" s="1"/>
  <c r="DU20" i="20" s="1"/>
  <c r="J20" i="30" s="1"/>
  <c r="H1455" i="31" s="1"/>
  <c r="CV24" i="20"/>
  <c r="CI26" i="20"/>
  <c r="CB30" i="20"/>
  <c r="BH28" i="20"/>
  <c r="FL16" i="10"/>
  <c r="FJ17" i="10" s="1"/>
  <c r="FK17" i="10" s="1"/>
  <c r="FM17" i="10" s="1"/>
  <c r="FN17" i="10" s="1"/>
  <c r="FO17" i="10" s="1"/>
  <c r="FP17" i="10" s="1"/>
  <c r="FQ17" i="10" s="1"/>
  <c r="O12" i="30"/>
  <c r="H1597" i="31" s="1"/>
  <c r="AT13" i="20"/>
  <c r="D13" i="30" s="1"/>
  <c r="H1268" i="31" s="1"/>
  <c r="M12" i="30"/>
  <c r="H1537" i="31" s="1"/>
  <c r="N34" i="30"/>
  <c r="H1589" i="31" s="1"/>
  <c r="EK23" i="21"/>
  <c r="N34" i="29"/>
  <c r="H1199" i="31" s="1"/>
  <c r="X35" i="20"/>
  <c r="C35" i="30" s="1"/>
  <c r="H1260" i="31" s="1"/>
  <c r="L34" i="30"/>
  <c r="H1529" i="31" s="1"/>
  <c r="X35" i="21"/>
  <c r="C35" i="29" s="1"/>
  <c r="H870" i="31" s="1"/>
  <c r="L34" i="29"/>
  <c r="H1139" i="31" s="1"/>
  <c r="FL22" i="21"/>
  <c r="FS22" i="21"/>
  <c r="FE22" i="21"/>
  <c r="FF22" i="21" s="1"/>
  <c r="FG22" i="21" s="1"/>
  <c r="FH22" i="21" s="1"/>
  <c r="L12" i="25"/>
  <c r="H277" i="31" s="1"/>
  <c r="X13" i="10"/>
  <c r="L30" i="28"/>
  <c r="H745" i="31" s="1"/>
  <c r="DX23" i="20" l="1"/>
  <c r="DY23" i="20" s="1"/>
  <c r="EA23" i="20" s="1"/>
  <c r="EC23" i="20" s="1"/>
  <c r="ED23" i="20" s="1"/>
  <c r="EE23" i="20" s="1"/>
  <c r="EF23" i="20" s="1"/>
  <c r="K23" i="30" s="1"/>
  <c r="H1488" i="31" s="1"/>
  <c r="D11" i="29"/>
  <c r="H876" i="31" s="1"/>
  <c r="AT12" i="21"/>
  <c r="M11" i="29"/>
  <c r="H1146" i="31" s="1"/>
  <c r="O11" i="29"/>
  <c r="H1206" i="31" s="1"/>
  <c r="C28" i="28"/>
  <c r="H473" i="31" s="1"/>
  <c r="X29" i="18"/>
  <c r="AT11" i="18"/>
  <c r="O10" i="28"/>
  <c r="H815" i="31" s="1"/>
  <c r="D10" i="28"/>
  <c r="H485" i="31" s="1"/>
  <c r="M10" i="28"/>
  <c r="H755" i="31" s="1"/>
  <c r="N29" i="28"/>
  <c r="H804" i="31" s="1"/>
  <c r="CF24" i="10"/>
  <c r="F23" i="25"/>
  <c r="H108" i="31" s="1"/>
  <c r="D10" i="25"/>
  <c r="H35" i="31" s="1"/>
  <c r="M10" i="25"/>
  <c r="H305" i="31" s="1"/>
  <c r="O10" i="25"/>
  <c r="H365" i="31" s="1"/>
  <c r="AT11" i="10"/>
  <c r="R26" i="25"/>
  <c r="H1641" i="31" s="1"/>
  <c r="MQ27" i="10"/>
  <c r="LZ30" i="10"/>
  <c r="JU28" i="21"/>
  <c r="JR30" i="18"/>
  <c r="JS30" i="18" s="1"/>
  <c r="JT30" i="18" s="1"/>
  <c r="JV30" i="18" s="1"/>
  <c r="KG30" i="18" s="1"/>
  <c r="KH30" i="18" s="1"/>
  <c r="KI30" i="18" s="1"/>
  <c r="P30" i="28" s="1"/>
  <c r="H1675" i="31" s="1"/>
  <c r="JU31" i="20"/>
  <c r="CP30" i="18"/>
  <c r="G29" i="28"/>
  <c r="H594" i="31" s="1"/>
  <c r="N13" i="25"/>
  <c r="H338" i="31" s="1"/>
  <c r="C13" i="25"/>
  <c r="H8" i="31" s="1"/>
  <c r="KW15" i="10"/>
  <c r="CL18" i="10"/>
  <c r="CI19" i="10" s="1"/>
  <c r="CJ19" i="10" s="1"/>
  <c r="CK19" i="10" s="1"/>
  <c r="CM19" i="10" s="1"/>
  <c r="CN19" i="10" s="1"/>
  <c r="CO19" i="10" s="1"/>
  <c r="CP19" i="10" s="1"/>
  <c r="G19" i="25" s="1"/>
  <c r="H134" i="31" s="1"/>
  <c r="EY30" i="20"/>
  <c r="CV19" i="10"/>
  <c r="CS20" i="10" s="1"/>
  <c r="CS23" i="18"/>
  <c r="EJ31" i="20"/>
  <c r="DP20" i="18"/>
  <c r="DQ20" i="18" s="1"/>
  <c r="DM22" i="21"/>
  <c r="EC21" i="21"/>
  <c r="ED21" i="21" s="1"/>
  <c r="EE21" i="21" s="1"/>
  <c r="EF21" i="21" s="1"/>
  <c r="K21" i="29" s="1"/>
  <c r="H1096" i="31" s="1"/>
  <c r="DX15" i="10"/>
  <c r="CV25" i="21"/>
  <c r="DP14" i="10"/>
  <c r="DQ14" i="10" s="1"/>
  <c r="EB21" i="21"/>
  <c r="DZ21" i="21"/>
  <c r="DY20" i="18"/>
  <c r="EA20" i="18" s="1"/>
  <c r="CC30" i="18"/>
  <c r="CD30" i="18" s="1"/>
  <c r="CE30" i="18" s="1"/>
  <c r="CF30" i="18" s="1"/>
  <c r="F30" i="28" s="1"/>
  <c r="H565" i="31" s="1"/>
  <c r="DC23" i="10"/>
  <c r="BY30" i="10"/>
  <c r="CB30" i="18"/>
  <c r="DC25" i="18"/>
  <c r="BI28" i="18"/>
  <c r="BT28" i="18" s="1"/>
  <c r="BU28" i="18" s="1"/>
  <c r="BV28" i="18" s="1"/>
  <c r="E28" i="28" s="1"/>
  <c r="H533" i="31" s="1"/>
  <c r="BH28" i="18"/>
  <c r="DD24" i="21"/>
  <c r="BZ29" i="21"/>
  <c r="CA29" i="21" s="1"/>
  <c r="BF28" i="21"/>
  <c r="BG28" i="21" s="1"/>
  <c r="EK31" i="20"/>
  <c r="EN31" i="20" s="1"/>
  <c r="EV31" i="20" s="1"/>
  <c r="EW31" i="20" s="1"/>
  <c r="EX31" i="20" s="1"/>
  <c r="EL30" i="20"/>
  <c r="FA27" i="20"/>
  <c r="FJ27" i="20"/>
  <c r="FU26" i="20"/>
  <c r="EB23" i="20"/>
  <c r="DZ23" i="20"/>
  <c r="DO20" i="20"/>
  <c r="DQ20" i="20"/>
  <c r="DM21" i="20" s="1"/>
  <c r="DF27" i="20"/>
  <c r="DC28" i="20" s="1"/>
  <c r="DD28" i="20" s="1"/>
  <c r="DE28" i="20" s="1"/>
  <c r="DG28" i="20" s="1"/>
  <c r="DH28" i="20" s="1"/>
  <c r="DI28" i="20" s="1"/>
  <c r="DG27" i="20"/>
  <c r="DH27" i="20" s="1"/>
  <c r="DI27" i="20" s="1"/>
  <c r="DJ27" i="20" s="1"/>
  <c r="I27" i="30" s="1"/>
  <c r="H1432" i="31" s="1"/>
  <c r="CS25" i="20"/>
  <c r="CJ26" i="20"/>
  <c r="CK26" i="20" s="1"/>
  <c r="CM26" i="20" s="1"/>
  <c r="CN26" i="20" s="1"/>
  <c r="CO26" i="20" s="1"/>
  <c r="CP26" i="20" s="1"/>
  <c r="G26" i="30" s="1"/>
  <c r="H1371" i="31" s="1"/>
  <c r="BY31" i="20"/>
  <c r="BE29" i="20"/>
  <c r="O13" i="30"/>
  <c r="H1598" i="31" s="1"/>
  <c r="M13" i="30"/>
  <c r="H1538" i="31" s="1"/>
  <c r="AT14" i="20"/>
  <c r="D14" i="30" s="1"/>
  <c r="H1269" i="31" s="1"/>
  <c r="N35" i="30"/>
  <c r="H1590" i="31" s="1"/>
  <c r="EN23" i="21"/>
  <c r="FC22" i="21"/>
  <c r="FA23" i="21" s="1"/>
  <c r="N35" i="29"/>
  <c r="H1200" i="31" s="1"/>
  <c r="L35" i="30"/>
  <c r="H1530" i="31" s="1"/>
  <c r="X36" i="20"/>
  <c r="C36" i="30" s="1"/>
  <c r="L35" i="29"/>
  <c r="H1140" i="31" s="1"/>
  <c r="X36" i="21"/>
  <c r="C36" i="29" s="1"/>
  <c r="H871" i="31" s="1"/>
  <c r="L31" i="28"/>
  <c r="H746" i="31" s="1"/>
  <c r="FJ23" i="21"/>
  <c r="FT22" i="21"/>
  <c r="FL17" i="10"/>
  <c r="FJ18" i="10" s="1"/>
  <c r="FK18" i="10" s="1"/>
  <c r="FM18" i="10" s="1"/>
  <c r="FN18" i="10" s="1"/>
  <c r="FO18" i="10" s="1"/>
  <c r="FP18" i="10" s="1"/>
  <c r="FQ18" i="10" s="1"/>
  <c r="L13" i="25"/>
  <c r="H278" i="31" s="1"/>
  <c r="X14" i="10"/>
  <c r="D12" i="29" l="1"/>
  <c r="H877" i="31" s="1"/>
  <c r="M12" i="29"/>
  <c r="H1147" i="31" s="1"/>
  <c r="O12" i="29"/>
  <c r="H1207" i="31" s="1"/>
  <c r="AT13" i="21"/>
  <c r="C29" i="28"/>
  <c r="H474" i="31" s="1"/>
  <c r="X30" i="18"/>
  <c r="O11" i="28"/>
  <c r="H816" i="31" s="1"/>
  <c r="M11" i="28"/>
  <c r="H756" i="31" s="1"/>
  <c r="D11" i="28"/>
  <c r="H486" i="31" s="1"/>
  <c r="AT12" i="18"/>
  <c r="N30" i="28"/>
  <c r="H805" i="31" s="1"/>
  <c r="F24" i="25"/>
  <c r="H109" i="31" s="1"/>
  <c r="CF25" i="10"/>
  <c r="D11" i="25"/>
  <c r="H36" i="31" s="1"/>
  <c r="AT12" i="10"/>
  <c r="O11" i="25"/>
  <c r="H366" i="31" s="1"/>
  <c r="M11" i="25"/>
  <c r="H306" i="31" s="1"/>
  <c r="H1261" i="31"/>
  <c r="EY31" i="20"/>
  <c r="JR29" i="21"/>
  <c r="R27" i="25"/>
  <c r="H1642" i="31" s="1"/>
  <c r="MQ28" i="10"/>
  <c r="MA30" i="10"/>
  <c r="JU30" i="18"/>
  <c r="JR32" i="20"/>
  <c r="JS32" i="20" s="1"/>
  <c r="JT32" i="20" s="1"/>
  <c r="JV32" i="20" s="1"/>
  <c r="KG32" i="20" s="1"/>
  <c r="KH32" i="20" s="1"/>
  <c r="KI32" i="20" s="1"/>
  <c r="P32" i="30" s="1"/>
  <c r="H1737" i="31" s="1"/>
  <c r="N14" i="25"/>
  <c r="H339" i="31" s="1"/>
  <c r="C14" i="25"/>
  <c r="H9" i="31" s="1"/>
  <c r="CP31" i="18"/>
  <c r="G30" i="28"/>
  <c r="H595" i="31" s="1"/>
  <c r="KX15" i="10"/>
  <c r="KZ15" i="10" s="1"/>
  <c r="LB15" i="10" s="1"/>
  <c r="DM21" i="18"/>
  <c r="DX22" i="21"/>
  <c r="EC20" i="18"/>
  <c r="ED20" i="18" s="1"/>
  <c r="EE20" i="18" s="1"/>
  <c r="EF20" i="18" s="1"/>
  <c r="K20" i="28" s="1"/>
  <c r="H705" i="31" s="1"/>
  <c r="DR14" i="10"/>
  <c r="DS14" i="10" s="1"/>
  <c r="DT14" i="10" s="1"/>
  <c r="DU14" i="10" s="1"/>
  <c r="J14" i="25" s="1"/>
  <c r="H219" i="31" s="1"/>
  <c r="DN22" i="21"/>
  <c r="DP22" i="21" s="1"/>
  <c r="DR22" i="21" s="1"/>
  <c r="DS22" i="21" s="1"/>
  <c r="DT22" i="21" s="1"/>
  <c r="DU22" i="21" s="1"/>
  <c r="J22" i="29" s="1"/>
  <c r="H1067" i="31" s="1"/>
  <c r="DO14" i="10"/>
  <c r="DM15" i="10" s="1"/>
  <c r="DN15" i="10" s="1"/>
  <c r="CT23" i="18"/>
  <c r="CU23" i="18" s="1"/>
  <c r="EB20" i="18"/>
  <c r="CS26" i="21"/>
  <c r="DR20" i="18"/>
  <c r="DS20" i="18" s="1"/>
  <c r="DT20" i="18" s="1"/>
  <c r="DU20" i="18" s="1"/>
  <c r="J20" i="28" s="1"/>
  <c r="H675" i="31" s="1"/>
  <c r="CL19" i="10"/>
  <c r="CT20" i="10"/>
  <c r="CU20" i="10" s="1"/>
  <c r="CW20" i="10" s="1"/>
  <c r="CX20" i="10" s="1"/>
  <c r="CY20" i="10" s="1"/>
  <c r="CZ20" i="10" s="1"/>
  <c r="H20" i="25" s="1"/>
  <c r="H165" i="31" s="1"/>
  <c r="DO20" i="18"/>
  <c r="DY15" i="10"/>
  <c r="EA15" i="10" s="1"/>
  <c r="DZ20" i="18"/>
  <c r="DD23" i="10"/>
  <c r="DE23" i="10" s="1"/>
  <c r="BZ30" i="10"/>
  <c r="CA30" i="10" s="1"/>
  <c r="CC30" i="10" s="1"/>
  <c r="CD30" i="10" s="1"/>
  <c r="DD25" i="18"/>
  <c r="BY31" i="18"/>
  <c r="BE29" i="18"/>
  <c r="CB29" i="21"/>
  <c r="DE24" i="21"/>
  <c r="BI28" i="21"/>
  <c r="BT28" i="21" s="1"/>
  <c r="BU28" i="21" s="1"/>
  <c r="BV28" i="21" s="1"/>
  <c r="E28" i="29" s="1"/>
  <c r="H923" i="31" s="1"/>
  <c r="BH28" i="21"/>
  <c r="FS27" i="20"/>
  <c r="EJ32" i="20"/>
  <c r="FK27" i="20"/>
  <c r="FM27" i="20" s="1"/>
  <c r="FN27" i="20" s="1"/>
  <c r="FO27" i="20" s="1"/>
  <c r="FP27" i="20" s="1"/>
  <c r="FQ27" i="20" s="1"/>
  <c r="EL31" i="20"/>
  <c r="FB27" i="20"/>
  <c r="FD27" i="20" s="1"/>
  <c r="FE27" i="20" s="1"/>
  <c r="FF27" i="20" s="1"/>
  <c r="FG27" i="20" s="1"/>
  <c r="FH27" i="20" s="1"/>
  <c r="DX24" i="20"/>
  <c r="DY24" i="20" s="1"/>
  <c r="DJ28" i="20"/>
  <c r="I28" i="30" s="1"/>
  <c r="H1433" i="31" s="1"/>
  <c r="DN21" i="20"/>
  <c r="DF28" i="20"/>
  <c r="CT25" i="20"/>
  <c r="CU25" i="20" s="1"/>
  <c r="CW25" i="20" s="1"/>
  <c r="CX25" i="20" s="1"/>
  <c r="CY25" i="20" s="1"/>
  <c r="CZ25" i="20" s="1"/>
  <c r="H25" i="30" s="1"/>
  <c r="H1400" i="31" s="1"/>
  <c r="CL26" i="20"/>
  <c r="BZ31" i="20"/>
  <c r="CA31" i="20" s="1"/>
  <c r="CC31" i="20" s="1"/>
  <c r="CD31" i="20" s="1"/>
  <c r="CE31" i="20" s="1"/>
  <c r="CF31" i="20" s="1"/>
  <c r="F31" i="30" s="1"/>
  <c r="H1346" i="31" s="1"/>
  <c r="BF29" i="20"/>
  <c r="BG29" i="20" s="1"/>
  <c r="BI29" i="20" s="1"/>
  <c r="BT29" i="20" s="1"/>
  <c r="BU29" i="20" s="1"/>
  <c r="BV29" i="20" s="1"/>
  <c r="E29" i="30" s="1"/>
  <c r="H1314" i="31" s="1"/>
  <c r="O14" i="30"/>
  <c r="H1599" i="31" s="1"/>
  <c r="AT15" i="20"/>
  <c r="D15" i="30" s="1"/>
  <c r="H1270" i="31" s="1"/>
  <c r="M14" i="30"/>
  <c r="H1539" i="31" s="1"/>
  <c r="IL36" i="20"/>
  <c r="N36" i="30" s="1"/>
  <c r="H1591" i="31" s="1"/>
  <c r="FV22" i="21"/>
  <c r="FW22" i="21" s="1"/>
  <c r="FX22" i="21" s="1"/>
  <c r="FY22" i="21" s="1"/>
  <c r="FZ22" i="21" s="1"/>
  <c r="EV23" i="21"/>
  <c r="EW23" i="21" s="1"/>
  <c r="EX23" i="21" s="1"/>
  <c r="EY23" i="21" s="1"/>
  <c r="EJ24" i="21"/>
  <c r="EL23" i="21"/>
  <c r="IL36" i="21"/>
  <c r="N36" i="29" s="1"/>
  <c r="H1201" i="31" s="1"/>
  <c r="GV36" i="20"/>
  <c r="L36" i="30" s="1"/>
  <c r="H1531" i="31" s="1"/>
  <c r="GV36" i="21"/>
  <c r="L36" i="29" s="1"/>
  <c r="H1141" i="31" s="1"/>
  <c r="L32" i="28"/>
  <c r="H747" i="31" s="1"/>
  <c r="FB23" i="21"/>
  <c r="FD23" i="21" s="1"/>
  <c r="FE23" i="21" s="1"/>
  <c r="FF23" i="21" s="1"/>
  <c r="FG23" i="21" s="1"/>
  <c r="FH23" i="21" s="1"/>
  <c r="FK23" i="21"/>
  <c r="FM23" i="21" s="1"/>
  <c r="L14" i="25"/>
  <c r="H279" i="31" s="1"/>
  <c r="X15" i="10"/>
  <c r="FL18" i="10"/>
  <c r="FJ19" i="10" s="1"/>
  <c r="FK19" i="10" s="1"/>
  <c r="FM19" i="10" s="1"/>
  <c r="FN19" i="10" s="1"/>
  <c r="FO19" i="10" s="1"/>
  <c r="FP19" i="10" s="1"/>
  <c r="FQ19" i="10" s="1"/>
  <c r="D13" i="29" l="1"/>
  <c r="H878" i="31" s="1"/>
  <c r="AT14" i="21"/>
  <c r="O13" i="29"/>
  <c r="H1208" i="31" s="1"/>
  <c r="M13" i="29"/>
  <c r="H1148" i="31" s="1"/>
  <c r="C30" i="28"/>
  <c r="H475" i="31" s="1"/>
  <c r="X31" i="18"/>
  <c r="M12" i="28"/>
  <c r="H757" i="31" s="1"/>
  <c r="AT13" i="18"/>
  <c r="O12" i="28"/>
  <c r="H817" i="31" s="1"/>
  <c r="D12" i="28"/>
  <c r="H487" i="31" s="1"/>
  <c r="N31" i="28"/>
  <c r="H806" i="31" s="1"/>
  <c r="F25" i="25"/>
  <c r="H110" i="31" s="1"/>
  <c r="CF26" i="10"/>
  <c r="M12" i="25"/>
  <c r="H307" i="31" s="1"/>
  <c r="AT13" i="10"/>
  <c r="D12" i="25"/>
  <c r="H37" i="31" s="1"/>
  <c r="O12" i="25"/>
  <c r="H367" i="31" s="1"/>
  <c r="JU32" i="20"/>
  <c r="JR33" i="20" s="1"/>
  <c r="JS29" i="21"/>
  <c r="JT29" i="21" s="1"/>
  <c r="JV29" i="21" s="1"/>
  <c r="KG29" i="21" s="1"/>
  <c r="KH29" i="21" s="1"/>
  <c r="KI29" i="21" s="1"/>
  <c r="P29" i="29" s="1"/>
  <c r="H1704" i="31" s="1"/>
  <c r="MB30" i="10"/>
  <c r="MD30" i="10" s="1"/>
  <c r="MO30" i="10" s="1"/>
  <c r="MP30" i="10" s="1"/>
  <c r="JR31" i="18"/>
  <c r="R28" i="25"/>
  <c r="H1643" i="31" s="1"/>
  <c r="MQ29" i="10"/>
  <c r="R29" i="25" s="1"/>
  <c r="H1644" i="31" s="1"/>
  <c r="CP32" i="18"/>
  <c r="G31" i="28"/>
  <c r="H596" i="31" s="1"/>
  <c r="LM15" i="10"/>
  <c r="LN15" i="10" s="1"/>
  <c r="LO15" i="10" s="1"/>
  <c r="Q15" i="25" s="1"/>
  <c r="H430" i="31" s="1"/>
  <c r="N15" i="25"/>
  <c r="H340" i="31" s="1"/>
  <c r="C15" i="25"/>
  <c r="H10" i="31" s="1"/>
  <c r="LA15" i="10"/>
  <c r="KY15" i="10"/>
  <c r="EA24" i="20"/>
  <c r="EC24" i="20" s="1"/>
  <c r="ED24" i="20" s="1"/>
  <c r="EE24" i="20" s="1"/>
  <c r="EF24" i="20" s="1"/>
  <c r="K24" i="30" s="1"/>
  <c r="H1489" i="31" s="1"/>
  <c r="DP15" i="10"/>
  <c r="DQ15" i="10" s="1"/>
  <c r="CW23" i="18"/>
  <c r="CX23" i="18" s="1"/>
  <c r="CY23" i="18" s="1"/>
  <c r="CZ23" i="18" s="1"/>
  <c r="H23" i="28" s="1"/>
  <c r="H618" i="31" s="1"/>
  <c r="DG24" i="21"/>
  <c r="DH24" i="21" s="1"/>
  <c r="DI24" i="21" s="1"/>
  <c r="DJ24" i="21" s="1"/>
  <c r="I24" i="29" s="1"/>
  <c r="H1039" i="31" s="1"/>
  <c r="DG23" i="10"/>
  <c r="DH23" i="10" s="1"/>
  <c r="DI23" i="10" s="1"/>
  <c r="DJ23" i="10" s="1"/>
  <c r="I23" i="25" s="1"/>
  <c r="H198" i="31" s="1"/>
  <c r="DX21" i="18"/>
  <c r="DO22" i="21"/>
  <c r="DQ22" i="21"/>
  <c r="DM23" i="21" s="1"/>
  <c r="EC15" i="10"/>
  <c r="ED15" i="10" s="1"/>
  <c r="EE15" i="10" s="1"/>
  <c r="EF15" i="10" s="1"/>
  <c r="K15" i="25" s="1"/>
  <c r="H250" i="31" s="1"/>
  <c r="DY22" i="21"/>
  <c r="EA22" i="21" s="1"/>
  <c r="DZ15" i="10"/>
  <c r="EB15" i="10"/>
  <c r="CV20" i="10"/>
  <c r="CV23" i="18"/>
  <c r="CI20" i="10"/>
  <c r="CJ20" i="10" s="1"/>
  <c r="CK20" i="10" s="1"/>
  <c r="CM20" i="10" s="1"/>
  <c r="CN20" i="10" s="1"/>
  <c r="CO20" i="10" s="1"/>
  <c r="CP20" i="10" s="1"/>
  <c r="G20" i="25" s="1"/>
  <c r="H135" i="31" s="1"/>
  <c r="CT26" i="21"/>
  <c r="DN21" i="18"/>
  <c r="DP21" i="18" s="1"/>
  <c r="CE30" i="10"/>
  <c r="CB30" i="10"/>
  <c r="DF23" i="10"/>
  <c r="DE25" i="18"/>
  <c r="BZ31" i="18"/>
  <c r="CA31" i="18" s="1"/>
  <c r="BF29" i="18"/>
  <c r="BG29" i="18" s="1"/>
  <c r="CC29" i="21"/>
  <c r="CD29" i="21" s="1"/>
  <c r="CE29" i="21" s="1"/>
  <c r="CF29" i="21" s="1"/>
  <c r="F29" i="29" s="1"/>
  <c r="H954" i="31" s="1"/>
  <c r="BY30" i="21"/>
  <c r="DF24" i="21"/>
  <c r="BE29" i="21"/>
  <c r="FT27" i="20"/>
  <c r="FV27" i="20" s="1"/>
  <c r="FW27" i="20" s="1"/>
  <c r="FX27" i="20" s="1"/>
  <c r="FY27" i="20" s="1"/>
  <c r="FZ27" i="20" s="1"/>
  <c r="FC27" i="20"/>
  <c r="EK32" i="20"/>
  <c r="EN32" i="20" s="1"/>
  <c r="FL27" i="20"/>
  <c r="DP21" i="20"/>
  <c r="DR21" i="20" s="1"/>
  <c r="DS21" i="20" s="1"/>
  <c r="DT21" i="20" s="1"/>
  <c r="DU21" i="20" s="1"/>
  <c r="J21" i="30" s="1"/>
  <c r="H1456" i="31" s="1"/>
  <c r="DC29" i="20"/>
  <c r="CV25" i="20"/>
  <c r="CI27" i="20"/>
  <c r="CJ27" i="20" s="1"/>
  <c r="CK27" i="20" s="1"/>
  <c r="CM27" i="20" s="1"/>
  <c r="CN27" i="20" s="1"/>
  <c r="CO27" i="20" s="1"/>
  <c r="CP27" i="20" s="1"/>
  <c r="G27" i="30" s="1"/>
  <c r="H1372" i="31" s="1"/>
  <c r="CB31" i="20"/>
  <c r="BH29" i="20"/>
  <c r="BE30" i="20" s="1"/>
  <c r="AT16" i="20"/>
  <c r="D16" i="30" s="1"/>
  <c r="H1271" i="31" s="1"/>
  <c r="M15" i="30"/>
  <c r="H1540" i="31" s="1"/>
  <c r="O15" i="30"/>
  <c r="H1600" i="31" s="1"/>
  <c r="FU22" i="21"/>
  <c r="FS23" i="21" s="1"/>
  <c r="FN23" i="21"/>
  <c r="FO23" i="21" s="1"/>
  <c r="FP23" i="21" s="1"/>
  <c r="FQ23" i="21" s="1"/>
  <c r="EK24" i="21"/>
  <c r="EN24" i="21" s="1"/>
  <c r="EJ25" i="21" s="1"/>
  <c r="L33" i="28"/>
  <c r="H748" i="31" s="1"/>
  <c r="FC23" i="21"/>
  <c r="FL23" i="21"/>
  <c r="L15" i="25"/>
  <c r="H280" i="31" s="1"/>
  <c r="X16" i="10"/>
  <c r="FL19" i="10"/>
  <c r="D14" i="29" l="1"/>
  <c r="H879" i="31" s="1"/>
  <c r="M14" i="29"/>
  <c r="H1149" i="31" s="1"/>
  <c r="AT15" i="21"/>
  <c r="O14" i="29"/>
  <c r="H1209" i="31" s="1"/>
  <c r="C31" i="28"/>
  <c r="H476" i="31" s="1"/>
  <c r="X32" i="18"/>
  <c r="O13" i="28"/>
  <c r="H818" i="31" s="1"/>
  <c r="AT14" i="18"/>
  <c r="D13" i="28"/>
  <c r="H488" i="31" s="1"/>
  <c r="M13" i="28"/>
  <c r="H758" i="31" s="1"/>
  <c r="N32" i="28"/>
  <c r="H807" i="31" s="1"/>
  <c r="CF27" i="10"/>
  <c r="F26" i="25"/>
  <c r="H111" i="31" s="1"/>
  <c r="O13" i="25"/>
  <c r="H368" i="31" s="1"/>
  <c r="M13" i="25"/>
  <c r="H308" i="31" s="1"/>
  <c r="D13" i="25"/>
  <c r="H38" i="31" s="1"/>
  <c r="AT14" i="10"/>
  <c r="MC30" i="10"/>
  <c r="LZ31" i="10" s="1"/>
  <c r="MA31" i="10" s="1"/>
  <c r="MB31" i="10" s="1"/>
  <c r="MD31" i="10" s="1"/>
  <c r="MO31" i="10" s="1"/>
  <c r="MP31" i="10" s="1"/>
  <c r="JS33" i="20"/>
  <c r="JT33" i="20" s="1"/>
  <c r="JV33" i="20" s="1"/>
  <c r="KG33" i="20" s="1"/>
  <c r="KH33" i="20" s="1"/>
  <c r="KI33" i="20" s="1"/>
  <c r="P33" i="30" s="1"/>
  <c r="H1738" i="31" s="1"/>
  <c r="MQ30" i="10"/>
  <c r="R30" i="25" s="1"/>
  <c r="H1645" i="31" s="1"/>
  <c r="JS31" i="18"/>
  <c r="JU29" i="21"/>
  <c r="CP33" i="18"/>
  <c r="G32" i="28"/>
  <c r="H597" i="31" s="1"/>
  <c r="N16" i="25"/>
  <c r="H341" i="31" s="1"/>
  <c r="C16" i="25"/>
  <c r="H11" i="31" s="1"/>
  <c r="DZ24" i="20"/>
  <c r="EB24" i="20"/>
  <c r="KW16" i="10"/>
  <c r="KX16" i="10" s="1"/>
  <c r="DO15" i="10"/>
  <c r="DR21" i="18"/>
  <c r="DS21" i="18" s="1"/>
  <c r="DT21" i="18" s="1"/>
  <c r="DU21" i="18" s="1"/>
  <c r="J21" i="28" s="1"/>
  <c r="H676" i="31" s="1"/>
  <c r="CL20" i="10"/>
  <c r="DX16" i="10"/>
  <c r="DO21" i="18"/>
  <c r="DQ21" i="18"/>
  <c r="DY21" i="18"/>
  <c r="EA21" i="18" s="1"/>
  <c r="DM16" i="10"/>
  <c r="DG25" i="18"/>
  <c r="DH25" i="18" s="1"/>
  <c r="DI25" i="18" s="1"/>
  <c r="DJ25" i="18" s="1"/>
  <c r="I25" i="28" s="1"/>
  <c r="H650" i="31" s="1"/>
  <c r="CS24" i="18"/>
  <c r="EC22" i="21"/>
  <c r="ED22" i="21" s="1"/>
  <c r="EE22" i="21" s="1"/>
  <c r="EF22" i="21" s="1"/>
  <c r="K22" i="29" s="1"/>
  <c r="H1097" i="31" s="1"/>
  <c r="DN23" i="21"/>
  <c r="DP23" i="21" s="1"/>
  <c r="CU26" i="21"/>
  <c r="CW26" i="21" s="1"/>
  <c r="CX26" i="21" s="1"/>
  <c r="CY26" i="21" s="1"/>
  <c r="CZ26" i="21" s="1"/>
  <c r="H26" i="29" s="1"/>
  <c r="H1011" i="31" s="1"/>
  <c r="CS21" i="10"/>
  <c r="CT21" i="10" s="1"/>
  <c r="CU21" i="10" s="1"/>
  <c r="CW21" i="10" s="1"/>
  <c r="CX21" i="10" s="1"/>
  <c r="CY21" i="10" s="1"/>
  <c r="CZ21" i="10" s="1"/>
  <c r="H21" i="25" s="1"/>
  <c r="H166" i="31" s="1"/>
  <c r="DZ22" i="21"/>
  <c r="EB22" i="21"/>
  <c r="DR15" i="10"/>
  <c r="DS15" i="10" s="1"/>
  <c r="DT15" i="10" s="1"/>
  <c r="DU15" i="10" s="1"/>
  <c r="J15" i="25" s="1"/>
  <c r="H220" i="31" s="1"/>
  <c r="CC31" i="18"/>
  <c r="CD31" i="18" s="1"/>
  <c r="CE31" i="18" s="1"/>
  <c r="CF31" i="18" s="1"/>
  <c r="F31" i="28" s="1"/>
  <c r="H566" i="31" s="1"/>
  <c r="BY31" i="10"/>
  <c r="DC24" i="10"/>
  <c r="CB31" i="18"/>
  <c r="DF25" i="18"/>
  <c r="BI29" i="18"/>
  <c r="BT29" i="18" s="1"/>
  <c r="BU29" i="18" s="1"/>
  <c r="BV29" i="18" s="1"/>
  <c r="E29" i="28" s="1"/>
  <c r="H534" i="31" s="1"/>
  <c r="BH29" i="18"/>
  <c r="DC25" i="21"/>
  <c r="BZ30" i="21"/>
  <c r="CA30" i="21" s="1"/>
  <c r="BF29" i="21"/>
  <c r="BG29" i="21" s="1"/>
  <c r="EV32" i="20"/>
  <c r="EW32" i="20" s="1"/>
  <c r="EX32" i="20" s="1"/>
  <c r="EY32" i="20" s="1"/>
  <c r="EJ33" i="20"/>
  <c r="FJ28" i="20"/>
  <c r="FU27" i="20"/>
  <c r="FA28" i="20"/>
  <c r="EL32" i="20"/>
  <c r="DO21" i="20"/>
  <c r="DQ21" i="20"/>
  <c r="DM22" i="20" s="1"/>
  <c r="DN22" i="20" s="1"/>
  <c r="DD29" i="20"/>
  <c r="CS26" i="20"/>
  <c r="CL27" i="20"/>
  <c r="BY32" i="20"/>
  <c r="BF30" i="20"/>
  <c r="BG30" i="20" s="1"/>
  <c r="M16" i="30"/>
  <c r="H1541" i="31" s="1"/>
  <c r="O16" i="30"/>
  <c r="H1601" i="31" s="1"/>
  <c r="AT17" i="20"/>
  <c r="D17" i="30" s="1"/>
  <c r="H1272" i="31" s="1"/>
  <c r="EK25" i="21"/>
  <c r="EN25" i="21" s="1"/>
  <c r="EV25" i="21" s="1"/>
  <c r="EW25" i="21" s="1"/>
  <c r="EX25" i="21" s="1"/>
  <c r="EV24" i="21"/>
  <c r="EW24" i="21" s="1"/>
  <c r="EX24" i="21" s="1"/>
  <c r="EY24" i="21" s="1"/>
  <c r="EL24" i="21"/>
  <c r="L34" i="28"/>
  <c r="H749" i="31" s="1"/>
  <c r="FJ24" i="21"/>
  <c r="FT23" i="21"/>
  <c r="FV23" i="21" s="1"/>
  <c r="FA24" i="21"/>
  <c r="L16" i="25"/>
  <c r="H281" i="31" s="1"/>
  <c r="X17" i="10"/>
  <c r="FJ20" i="10"/>
  <c r="FK20" i="10" s="1"/>
  <c r="FM20" i="10" s="1"/>
  <c r="FN20" i="10" s="1"/>
  <c r="FO20" i="10" s="1"/>
  <c r="FP20" i="10" s="1"/>
  <c r="FQ20" i="10" s="1"/>
  <c r="D15" i="29" l="1"/>
  <c r="H880" i="31" s="1"/>
  <c r="O15" i="29"/>
  <c r="H1210" i="31" s="1"/>
  <c r="AT16" i="21"/>
  <c r="M15" i="29"/>
  <c r="H1150" i="31" s="1"/>
  <c r="C32" i="28"/>
  <c r="H477" i="31" s="1"/>
  <c r="X33" i="18"/>
  <c r="AT15" i="18"/>
  <c r="M14" i="28"/>
  <c r="H759" i="31" s="1"/>
  <c r="O14" i="28"/>
  <c r="H819" i="31" s="1"/>
  <c r="D14" i="28"/>
  <c r="H489" i="31" s="1"/>
  <c r="N33" i="28"/>
  <c r="H808" i="31" s="1"/>
  <c r="F27" i="25"/>
  <c r="H112" i="31" s="1"/>
  <c r="CF28" i="10"/>
  <c r="O14" i="25"/>
  <c r="H369" i="31" s="1"/>
  <c r="M14" i="25"/>
  <c r="H309" i="31" s="1"/>
  <c r="D14" i="25"/>
  <c r="H39" i="31" s="1"/>
  <c r="AT15" i="10"/>
  <c r="MQ31" i="10"/>
  <c r="R31" i="25" s="1"/>
  <c r="H1646" i="31" s="1"/>
  <c r="MC31" i="10"/>
  <c r="JT31" i="18"/>
  <c r="JV31" i="18" s="1"/>
  <c r="KG31" i="18" s="1"/>
  <c r="KH31" i="18" s="1"/>
  <c r="KI31" i="18" s="1"/>
  <c r="P31" i="28" s="1"/>
  <c r="H1676" i="31" s="1"/>
  <c r="JU33" i="20"/>
  <c r="JR30" i="21"/>
  <c r="N17" i="25"/>
  <c r="H342" i="31" s="1"/>
  <c r="C17" i="25"/>
  <c r="H12" i="31" s="1"/>
  <c r="CP34" i="18"/>
  <c r="G33" i="28"/>
  <c r="H598" i="31" s="1"/>
  <c r="DX25" i="20"/>
  <c r="DY25" i="20" s="1"/>
  <c r="KZ16" i="10"/>
  <c r="LB16" i="10" s="1"/>
  <c r="DX23" i="21"/>
  <c r="DZ21" i="18"/>
  <c r="EB21" i="18"/>
  <c r="DM22" i="18"/>
  <c r="CI21" i="10"/>
  <c r="CJ21" i="10" s="1"/>
  <c r="CK21" i="10" s="1"/>
  <c r="CM21" i="10" s="1"/>
  <c r="CN21" i="10" s="1"/>
  <c r="CO21" i="10" s="1"/>
  <c r="CP21" i="10" s="1"/>
  <c r="G21" i="25" s="1"/>
  <c r="H136" i="31" s="1"/>
  <c r="DQ23" i="21"/>
  <c r="DR23" i="21"/>
  <c r="DS23" i="21" s="1"/>
  <c r="DT23" i="21" s="1"/>
  <c r="DU23" i="21" s="1"/>
  <c r="J23" i="29" s="1"/>
  <c r="H1068" i="31" s="1"/>
  <c r="EC21" i="18"/>
  <c r="ED21" i="18" s="1"/>
  <c r="EE21" i="18" s="1"/>
  <c r="EF21" i="18" s="1"/>
  <c r="K21" i="28" s="1"/>
  <c r="H706" i="31" s="1"/>
  <c r="CV21" i="10"/>
  <c r="DO23" i="21"/>
  <c r="CT24" i="18"/>
  <c r="CU24" i="18" s="1"/>
  <c r="DN16" i="10"/>
  <c r="DP16" i="10" s="1"/>
  <c r="DY16" i="10"/>
  <c r="EA16" i="10" s="1"/>
  <c r="CV26" i="21"/>
  <c r="BZ31" i="10"/>
  <c r="CA31" i="10" s="1"/>
  <c r="CC31" i="10" s="1"/>
  <c r="DD24" i="10"/>
  <c r="BY32" i="18"/>
  <c r="DC26" i="18"/>
  <c r="BE30" i="18"/>
  <c r="DD25" i="21"/>
  <c r="DE25" i="21" s="1"/>
  <c r="BI29" i="21"/>
  <c r="BT29" i="21" s="1"/>
  <c r="BU29" i="21" s="1"/>
  <c r="BV29" i="21" s="1"/>
  <c r="E29" i="29" s="1"/>
  <c r="H924" i="31" s="1"/>
  <c r="BH29" i="21"/>
  <c r="FS28" i="20"/>
  <c r="EK33" i="20"/>
  <c r="EN33" i="20" s="1"/>
  <c r="FB28" i="20"/>
  <c r="FD28" i="20" s="1"/>
  <c r="FE28" i="20" s="1"/>
  <c r="FF28" i="20" s="1"/>
  <c r="FG28" i="20" s="1"/>
  <c r="FH28" i="20" s="1"/>
  <c r="FK28" i="20"/>
  <c r="FM28" i="20" s="1"/>
  <c r="FN28" i="20" s="1"/>
  <c r="FO28" i="20" s="1"/>
  <c r="FP28" i="20" s="1"/>
  <c r="FQ28" i="20" s="1"/>
  <c r="DP22" i="20"/>
  <c r="DQ22" i="20" s="1"/>
  <c r="DM23" i="20" s="1"/>
  <c r="DE29" i="20"/>
  <c r="CT26" i="20"/>
  <c r="CU26" i="20" s="1"/>
  <c r="CW26" i="20" s="1"/>
  <c r="CX26" i="20" s="1"/>
  <c r="CY26" i="20" s="1"/>
  <c r="CZ26" i="20" s="1"/>
  <c r="H26" i="30" s="1"/>
  <c r="H1401" i="31" s="1"/>
  <c r="CI28" i="20"/>
  <c r="CJ28" i="20" s="1"/>
  <c r="CK28" i="20" s="1"/>
  <c r="CM28" i="20" s="1"/>
  <c r="CN28" i="20" s="1"/>
  <c r="CO28" i="20" s="1"/>
  <c r="CP28" i="20" s="1"/>
  <c r="G28" i="30" s="1"/>
  <c r="H1373" i="31" s="1"/>
  <c r="BZ32" i="20"/>
  <c r="CA32" i="20" s="1"/>
  <c r="CC32" i="20" s="1"/>
  <c r="CD32" i="20" s="1"/>
  <c r="CE32" i="20" s="1"/>
  <c r="CF32" i="20" s="1"/>
  <c r="F32" i="30" s="1"/>
  <c r="H1347" i="31" s="1"/>
  <c r="BH30" i="20"/>
  <c r="BI30" i="20"/>
  <c r="BT30" i="20" s="1"/>
  <c r="BU30" i="20" s="1"/>
  <c r="BV30" i="20" s="1"/>
  <c r="E30" i="30" s="1"/>
  <c r="H1315" i="31" s="1"/>
  <c r="EY25" i="21"/>
  <c r="O17" i="30"/>
  <c r="H1602" i="31" s="1"/>
  <c r="AT18" i="20"/>
  <c r="D18" i="30" s="1"/>
  <c r="H1273" i="31" s="1"/>
  <c r="M17" i="30"/>
  <c r="H1542" i="31" s="1"/>
  <c r="FW23" i="21"/>
  <c r="FX23" i="21" s="1"/>
  <c r="FY23" i="21" s="1"/>
  <c r="FZ23" i="21" s="1"/>
  <c r="EJ26" i="21"/>
  <c r="EL25" i="21"/>
  <c r="L35" i="28"/>
  <c r="H750" i="31" s="1"/>
  <c r="FU23" i="21"/>
  <c r="FK24" i="21"/>
  <c r="FM24" i="21" s="1"/>
  <c r="FB24" i="21"/>
  <c r="FD24" i="21" s="1"/>
  <c r="FE24" i="21" s="1"/>
  <c r="FF24" i="21" s="1"/>
  <c r="FG24" i="21" s="1"/>
  <c r="FH24" i="21" s="1"/>
  <c r="L17" i="25"/>
  <c r="H282" i="31" s="1"/>
  <c r="X18" i="10"/>
  <c r="FL20" i="10"/>
  <c r="FJ21" i="10" s="1"/>
  <c r="FK21" i="10" s="1"/>
  <c r="D16" i="29" l="1"/>
  <c r="H881" i="31" s="1"/>
  <c r="M16" i="29"/>
  <c r="H1151" i="31" s="1"/>
  <c r="O16" i="29"/>
  <c r="H1211" i="31" s="1"/>
  <c r="AT17" i="21"/>
  <c r="C33" i="28"/>
  <c r="H478" i="31" s="1"/>
  <c r="X34" i="18"/>
  <c r="D15" i="28"/>
  <c r="H490" i="31" s="1"/>
  <c r="M15" i="28"/>
  <c r="H760" i="31" s="1"/>
  <c r="AT16" i="18"/>
  <c r="O15" i="28"/>
  <c r="H820" i="31" s="1"/>
  <c r="N34" i="28"/>
  <c r="H809" i="31" s="1"/>
  <c r="F28" i="25"/>
  <c r="H113" i="31" s="1"/>
  <c r="CF29" i="10"/>
  <c r="D15" i="25"/>
  <c r="H40" i="31" s="1"/>
  <c r="AT16" i="10"/>
  <c r="M15" i="25"/>
  <c r="H310" i="31" s="1"/>
  <c r="O15" i="25"/>
  <c r="H370" i="31" s="1"/>
  <c r="JU31" i="18"/>
  <c r="JR32" i="18" s="1"/>
  <c r="JS30" i="21"/>
  <c r="LZ32" i="10"/>
  <c r="JR34" i="20"/>
  <c r="JS34" i="20" s="1"/>
  <c r="JT34" i="20" s="1"/>
  <c r="JV34" i="20" s="1"/>
  <c r="KG34" i="20" s="1"/>
  <c r="KH34" i="20" s="1"/>
  <c r="KI34" i="20" s="1"/>
  <c r="P34" i="30" s="1"/>
  <c r="H1739" i="31" s="1"/>
  <c r="CP35" i="18"/>
  <c r="G34" i="28"/>
  <c r="H599" i="31" s="1"/>
  <c r="LM16" i="10"/>
  <c r="LN16" i="10" s="1"/>
  <c r="LO16" i="10" s="1"/>
  <c r="Q16" i="25" s="1"/>
  <c r="H431" i="31" s="1"/>
  <c r="N18" i="25"/>
  <c r="H343" i="31" s="1"/>
  <c r="C18" i="25"/>
  <c r="H13" i="31" s="1"/>
  <c r="KY16" i="10"/>
  <c r="LA16" i="10"/>
  <c r="CW24" i="18"/>
  <c r="CX24" i="18" s="1"/>
  <c r="CY24" i="18" s="1"/>
  <c r="CZ24" i="18" s="1"/>
  <c r="H24" i="28" s="1"/>
  <c r="H619" i="31" s="1"/>
  <c r="EC16" i="10"/>
  <c r="ED16" i="10" s="1"/>
  <c r="EE16" i="10" s="1"/>
  <c r="EF16" i="10" s="1"/>
  <c r="K16" i="25" s="1"/>
  <c r="H251" i="31" s="1"/>
  <c r="DG25" i="21"/>
  <c r="DH25" i="21" s="1"/>
  <c r="DI25" i="21" s="1"/>
  <c r="DJ25" i="21" s="1"/>
  <c r="I25" i="29" s="1"/>
  <c r="H1040" i="31" s="1"/>
  <c r="DR16" i="10"/>
  <c r="DS16" i="10" s="1"/>
  <c r="DT16" i="10" s="1"/>
  <c r="DU16" i="10" s="1"/>
  <c r="J16" i="25" s="1"/>
  <c r="H221" i="31" s="1"/>
  <c r="CS27" i="21"/>
  <c r="DO16" i="10"/>
  <c r="DQ16" i="10"/>
  <c r="CS22" i="10"/>
  <c r="CT22" i="10" s="1"/>
  <c r="CU22" i="10" s="1"/>
  <c r="CW22" i="10" s="1"/>
  <c r="CX22" i="10" s="1"/>
  <c r="CY22" i="10" s="1"/>
  <c r="CZ22" i="10" s="1"/>
  <c r="H22" i="25" s="1"/>
  <c r="H167" i="31" s="1"/>
  <c r="DM24" i="21"/>
  <c r="DN24" i="21" s="1"/>
  <c r="DN22" i="18"/>
  <c r="EB16" i="10"/>
  <c r="DZ16" i="10"/>
  <c r="CV24" i="18"/>
  <c r="CL21" i="10"/>
  <c r="DX22" i="18"/>
  <c r="DY23" i="21"/>
  <c r="EA23" i="21" s="1"/>
  <c r="DE24" i="10"/>
  <c r="CD31" i="10"/>
  <c r="BZ32" i="18"/>
  <c r="CA32" i="18" s="1"/>
  <c r="DD26" i="18"/>
  <c r="DE26" i="18" s="1"/>
  <c r="BF30" i="18"/>
  <c r="BG30" i="18" s="1"/>
  <c r="CC30" i="21"/>
  <c r="CD30" i="21" s="1"/>
  <c r="CE30" i="21" s="1"/>
  <c r="CF30" i="21" s="1"/>
  <c r="F30" i="29" s="1"/>
  <c r="H955" i="31" s="1"/>
  <c r="DF25" i="21"/>
  <c r="CB30" i="21"/>
  <c r="BE30" i="21"/>
  <c r="EV33" i="20"/>
  <c r="EW33" i="20" s="1"/>
  <c r="EX33" i="20" s="1"/>
  <c r="EY33" i="20" s="1"/>
  <c r="EJ34" i="20"/>
  <c r="FL28" i="20"/>
  <c r="EL33" i="20"/>
  <c r="FC28" i="20"/>
  <c r="FT28" i="20"/>
  <c r="FV28" i="20" s="1"/>
  <c r="FW28" i="20" s="1"/>
  <c r="FX28" i="20" s="1"/>
  <c r="FY28" i="20" s="1"/>
  <c r="FZ28" i="20" s="1"/>
  <c r="EA25" i="20"/>
  <c r="EC25" i="20" s="1"/>
  <c r="ED25" i="20" s="1"/>
  <c r="EE25" i="20" s="1"/>
  <c r="EF25" i="20" s="1"/>
  <c r="K25" i="30" s="1"/>
  <c r="H1490" i="31" s="1"/>
  <c r="DO22" i="20"/>
  <c r="DR22" i="20"/>
  <c r="DS22" i="20" s="1"/>
  <c r="DT22" i="20" s="1"/>
  <c r="DU22" i="20" s="1"/>
  <c r="J22" i="30" s="1"/>
  <c r="H1457" i="31" s="1"/>
  <c r="DF29" i="20"/>
  <c r="DC30" i="20" s="1"/>
  <c r="DG29" i="20"/>
  <c r="DH29" i="20" s="1"/>
  <c r="DI29" i="20" s="1"/>
  <c r="DJ29" i="20" s="1"/>
  <c r="I29" i="30" s="1"/>
  <c r="H1434" i="31" s="1"/>
  <c r="CV26" i="20"/>
  <c r="CS27" i="20" s="1"/>
  <c r="CL28" i="20"/>
  <c r="CB32" i="20"/>
  <c r="BE31" i="20"/>
  <c r="O18" i="30"/>
  <c r="H1603" i="31" s="1"/>
  <c r="M18" i="30"/>
  <c r="H1543" i="31" s="1"/>
  <c r="AT19" i="20"/>
  <c r="D19" i="30" s="1"/>
  <c r="H1274" i="31" s="1"/>
  <c r="EK26" i="21"/>
  <c r="EN26" i="21" s="1"/>
  <c r="EV26" i="21" s="1"/>
  <c r="EW26" i="21" s="1"/>
  <c r="EX26" i="21" s="1"/>
  <c r="EY26" i="21" s="1"/>
  <c r="GV36" i="18"/>
  <c r="L36" i="28" s="1"/>
  <c r="H751" i="31" s="1"/>
  <c r="FS24" i="21"/>
  <c r="FC24" i="21"/>
  <c r="FN24" i="21"/>
  <c r="FO24" i="21" s="1"/>
  <c r="FP24" i="21" s="1"/>
  <c r="FQ24" i="21" s="1"/>
  <c r="FM21" i="10"/>
  <c r="FN21" i="10" s="1"/>
  <c r="FO21" i="10" s="1"/>
  <c r="FP21" i="10" s="1"/>
  <c r="FQ21" i="10" s="1"/>
  <c r="L18" i="25"/>
  <c r="H283" i="31" s="1"/>
  <c r="X19" i="10"/>
  <c r="D17" i="29" l="1"/>
  <c r="H882" i="31" s="1"/>
  <c r="AT18" i="21"/>
  <c r="M17" i="29"/>
  <c r="H1152" i="31" s="1"/>
  <c r="O17" i="29"/>
  <c r="H1212" i="31" s="1"/>
  <c r="C34" i="28"/>
  <c r="H479" i="31" s="1"/>
  <c r="X35" i="18"/>
  <c r="D16" i="28"/>
  <c r="H491" i="31" s="1"/>
  <c r="M16" i="28"/>
  <c r="H761" i="31" s="1"/>
  <c r="AT17" i="18"/>
  <c r="O16" i="28"/>
  <c r="H821" i="31" s="1"/>
  <c r="N35" i="28"/>
  <c r="H810" i="31" s="1"/>
  <c r="IL36" i="18"/>
  <c r="N36" i="28" s="1"/>
  <c r="H811" i="31" s="1"/>
  <c r="F29" i="25"/>
  <c r="H114" i="31" s="1"/>
  <c r="CF30" i="10"/>
  <c r="F30" i="25" s="1"/>
  <c r="H115" i="31" s="1"/>
  <c r="AT17" i="10"/>
  <c r="D16" i="25"/>
  <c r="H41" i="31" s="1"/>
  <c r="O16" i="25"/>
  <c r="H371" i="31" s="1"/>
  <c r="M16" i="25"/>
  <c r="H311" i="31" s="1"/>
  <c r="MA32" i="10"/>
  <c r="MB32" i="10" s="1"/>
  <c r="MD32" i="10" s="1"/>
  <c r="MO32" i="10" s="1"/>
  <c r="MP32" i="10" s="1"/>
  <c r="MQ32" i="10" s="1"/>
  <c r="R32" i="25" s="1"/>
  <c r="H1647" i="31" s="1"/>
  <c r="JT30" i="21"/>
  <c r="JV30" i="21" s="1"/>
  <c r="KG30" i="21" s="1"/>
  <c r="KH30" i="21" s="1"/>
  <c r="KI30" i="21" s="1"/>
  <c r="P30" i="29" s="1"/>
  <c r="H1705" i="31" s="1"/>
  <c r="JS32" i="18"/>
  <c r="JU34" i="20"/>
  <c r="N19" i="25"/>
  <c r="H344" i="31" s="1"/>
  <c r="C19" i="25"/>
  <c r="H14" i="31" s="1"/>
  <c r="CP36" i="18"/>
  <c r="G36" i="28" s="1"/>
  <c r="H601" i="31" s="1"/>
  <c r="G35" i="28"/>
  <c r="H600" i="31" s="1"/>
  <c r="KW17" i="10"/>
  <c r="KX17" i="10" s="1"/>
  <c r="KZ17" i="10" s="1"/>
  <c r="CV22" i="10"/>
  <c r="CS23" i="10" s="1"/>
  <c r="CT23" i="10" s="1"/>
  <c r="CU23" i="10" s="1"/>
  <c r="CW23" i="10" s="1"/>
  <c r="CX23" i="10" s="1"/>
  <c r="CY23" i="10" s="1"/>
  <c r="CZ23" i="10" s="1"/>
  <c r="H23" i="25" s="1"/>
  <c r="H168" i="31" s="1"/>
  <c r="DG26" i="18"/>
  <c r="DH26" i="18" s="1"/>
  <c r="DI26" i="18" s="1"/>
  <c r="DJ26" i="18" s="1"/>
  <c r="I26" i="28" s="1"/>
  <c r="H651" i="31" s="1"/>
  <c r="DG24" i="10"/>
  <c r="DH24" i="10" s="1"/>
  <c r="DI24" i="10" s="1"/>
  <c r="DJ24" i="10" s="1"/>
  <c r="I24" i="25" s="1"/>
  <c r="H199" i="31" s="1"/>
  <c r="CI22" i="10"/>
  <c r="CJ22" i="10" s="1"/>
  <c r="CK22" i="10" s="1"/>
  <c r="CM22" i="10" s="1"/>
  <c r="CN22" i="10" s="1"/>
  <c r="CO22" i="10" s="1"/>
  <c r="CP22" i="10" s="1"/>
  <c r="G22" i="25" s="1"/>
  <c r="H137" i="31" s="1"/>
  <c r="DY22" i="18"/>
  <c r="DX17" i="10"/>
  <c r="DP24" i="21"/>
  <c r="DR24" i="21" s="1"/>
  <c r="DS24" i="21" s="1"/>
  <c r="DT24" i="21" s="1"/>
  <c r="DU24" i="21" s="1"/>
  <c r="J24" i="29" s="1"/>
  <c r="H1069" i="31" s="1"/>
  <c r="EC23" i="21"/>
  <c r="ED23" i="21" s="1"/>
  <c r="EE23" i="21" s="1"/>
  <c r="EF23" i="21" s="1"/>
  <c r="K23" i="29" s="1"/>
  <c r="H1098" i="31" s="1"/>
  <c r="EB23" i="21"/>
  <c r="DZ23" i="21"/>
  <c r="CS25" i="18"/>
  <c r="DP22" i="18"/>
  <c r="DO22" i="18" s="1"/>
  <c r="CT27" i="21"/>
  <c r="CU27" i="21" s="1"/>
  <c r="CW27" i="21" s="1"/>
  <c r="CX27" i="21" s="1"/>
  <c r="CY27" i="21" s="1"/>
  <c r="CZ27" i="21" s="1"/>
  <c r="H27" i="29" s="1"/>
  <c r="H1012" i="31" s="1"/>
  <c r="DM17" i="10"/>
  <c r="CC32" i="18"/>
  <c r="CD32" i="18" s="1"/>
  <c r="CE32" i="18" s="1"/>
  <c r="CF32" i="18" s="1"/>
  <c r="F32" i="28" s="1"/>
  <c r="H567" i="31" s="1"/>
  <c r="CE31" i="10"/>
  <c r="CB31" i="10"/>
  <c r="DF24" i="10"/>
  <c r="DF26" i="18"/>
  <c r="CB32" i="18"/>
  <c r="BI30" i="18"/>
  <c r="BT30" i="18" s="1"/>
  <c r="BU30" i="18" s="1"/>
  <c r="BV30" i="18" s="1"/>
  <c r="E30" i="28" s="1"/>
  <c r="H535" i="31" s="1"/>
  <c r="BH30" i="18"/>
  <c r="DC26" i="21"/>
  <c r="BY31" i="21"/>
  <c r="BF30" i="21"/>
  <c r="BG30" i="21" s="1"/>
  <c r="EK34" i="20"/>
  <c r="EN34" i="20" s="1"/>
  <c r="EV34" i="20" s="1"/>
  <c r="EW34" i="20" s="1"/>
  <c r="EX34" i="20" s="1"/>
  <c r="EY34" i="20" s="1"/>
  <c r="FU28" i="20"/>
  <c r="FJ29" i="20"/>
  <c r="FA29" i="20"/>
  <c r="EB25" i="20"/>
  <c r="DZ25" i="20"/>
  <c r="DN23" i="20"/>
  <c r="DD30" i="20"/>
  <c r="DE30" i="20" s="1"/>
  <c r="DG30" i="20" s="1"/>
  <c r="DH30" i="20" s="1"/>
  <c r="DI30" i="20" s="1"/>
  <c r="DJ30" i="20" s="1"/>
  <c r="I30" i="30" s="1"/>
  <c r="H1435" i="31" s="1"/>
  <c r="CT27" i="20"/>
  <c r="CU27" i="20" s="1"/>
  <c r="CI29" i="20"/>
  <c r="CJ29" i="20" s="1"/>
  <c r="CK29" i="20" s="1"/>
  <c r="CM29" i="20" s="1"/>
  <c r="CN29" i="20" s="1"/>
  <c r="CO29" i="20" s="1"/>
  <c r="CP29" i="20" s="1"/>
  <c r="G29" i="30" s="1"/>
  <c r="H1374" i="31" s="1"/>
  <c r="BY33" i="20"/>
  <c r="BF31" i="20"/>
  <c r="BG31" i="20" s="1"/>
  <c r="BI31" i="20" s="1"/>
  <c r="BT31" i="20" s="1"/>
  <c r="BU31" i="20" s="1"/>
  <c r="BV31" i="20" s="1"/>
  <c r="E31" i="30" s="1"/>
  <c r="H1316" i="31" s="1"/>
  <c r="AT20" i="20"/>
  <c r="D20" i="30" s="1"/>
  <c r="H1275" i="31" s="1"/>
  <c r="M19" i="30"/>
  <c r="H1544" i="31" s="1"/>
  <c r="O19" i="30"/>
  <c r="H1604" i="31" s="1"/>
  <c r="EL26" i="21"/>
  <c r="EJ27" i="21"/>
  <c r="FL24" i="21"/>
  <c r="FJ25" i="21" s="1"/>
  <c r="FT24" i="21"/>
  <c r="FV24" i="21" s="1"/>
  <c r="FA25" i="21"/>
  <c r="FL21" i="10"/>
  <c r="FJ22" i="10" s="1"/>
  <c r="FK22" i="10" s="1"/>
  <c r="FM22" i="10" s="1"/>
  <c r="FN22" i="10" s="1"/>
  <c r="FO22" i="10" s="1"/>
  <c r="FP22" i="10" s="1"/>
  <c r="FQ22" i="10" s="1"/>
  <c r="L19" i="25"/>
  <c r="H284" i="31" s="1"/>
  <c r="X20" i="10"/>
  <c r="D18" i="29" l="1"/>
  <c r="H883" i="31" s="1"/>
  <c r="O18" i="29"/>
  <c r="H1213" i="31" s="1"/>
  <c r="AT19" i="21"/>
  <c r="M18" i="29"/>
  <c r="H1153" i="31" s="1"/>
  <c r="C35" i="28"/>
  <c r="H480" i="31" s="1"/>
  <c r="X36" i="18"/>
  <c r="C36" i="28" s="1"/>
  <c r="H481" i="31" s="1"/>
  <c r="O17" i="28"/>
  <c r="H822" i="31" s="1"/>
  <c r="M17" i="28"/>
  <c r="H762" i="31" s="1"/>
  <c r="D17" i="28"/>
  <c r="H492" i="31" s="1"/>
  <c r="AT18" i="18"/>
  <c r="CF31" i="10"/>
  <c r="F31" i="25" s="1"/>
  <c r="H116" i="31" s="1"/>
  <c r="AT18" i="10"/>
  <c r="D17" i="25"/>
  <c r="H42" i="31" s="1"/>
  <c r="M17" i="25"/>
  <c r="H312" i="31" s="1"/>
  <c r="JT32" i="18"/>
  <c r="JV32" i="18" s="1"/>
  <c r="KG32" i="18" s="1"/>
  <c r="KH32" i="18" s="1"/>
  <c r="KI32" i="18" s="1"/>
  <c r="P32" i="28" s="1"/>
  <c r="H1677" i="31" s="1"/>
  <c r="JR35" i="20"/>
  <c r="JS35" i="20" s="1"/>
  <c r="JT35" i="20" s="1"/>
  <c r="JV35" i="20" s="1"/>
  <c r="KG35" i="20" s="1"/>
  <c r="KH35" i="20" s="1"/>
  <c r="KI35" i="20" s="1"/>
  <c r="P35" i="30" s="1"/>
  <c r="H1740" i="31" s="1"/>
  <c r="MC32" i="10"/>
  <c r="JU30" i="21"/>
  <c r="N20" i="25"/>
  <c r="H345" i="31" s="1"/>
  <c r="C20" i="25"/>
  <c r="H15" i="31" s="1"/>
  <c r="LB17" i="10"/>
  <c r="LA17" i="10"/>
  <c r="KY17" i="10"/>
  <c r="CV23" i="10"/>
  <c r="CS24" i="10" s="1"/>
  <c r="CT24" i="10" s="1"/>
  <c r="CU24" i="10" s="1"/>
  <c r="CW24" i="10" s="1"/>
  <c r="CX24" i="10" s="1"/>
  <c r="CY24" i="10" s="1"/>
  <c r="CZ24" i="10" s="1"/>
  <c r="H24" i="25" s="1"/>
  <c r="H169" i="31" s="1"/>
  <c r="DQ24" i="21"/>
  <c r="DM25" i="21" s="1"/>
  <c r="CL22" i="10"/>
  <c r="CI23" i="10" s="1"/>
  <c r="CJ23" i="10" s="1"/>
  <c r="CK23" i="10" s="1"/>
  <c r="CM23" i="10" s="1"/>
  <c r="CN23" i="10" s="1"/>
  <c r="CO23" i="10" s="1"/>
  <c r="CP23" i="10" s="1"/>
  <c r="G23" i="25" s="1"/>
  <c r="H138" i="31" s="1"/>
  <c r="DR22" i="18"/>
  <c r="DS22" i="18" s="1"/>
  <c r="DT22" i="18" s="1"/>
  <c r="DU22" i="18" s="1"/>
  <c r="J22" i="28" s="1"/>
  <c r="H677" i="31" s="1"/>
  <c r="DX24" i="21"/>
  <c r="DQ22" i="18"/>
  <c r="DO24" i="21"/>
  <c r="DN17" i="10"/>
  <c r="DP17" i="10" s="1"/>
  <c r="EA22" i="18"/>
  <c r="EB22" i="18" s="1"/>
  <c r="CT25" i="18"/>
  <c r="DY17" i="10"/>
  <c r="CV27" i="21"/>
  <c r="DC25" i="10"/>
  <c r="BY32" i="10"/>
  <c r="BY33" i="18"/>
  <c r="DC27" i="18"/>
  <c r="BE31" i="18"/>
  <c r="DD26" i="21"/>
  <c r="DE26" i="21" s="1"/>
  <c r="BZ31" i="21"/>
  <c r="CA31" i="21" s="1"/>
  <c r="BI30" i="21"/>
  <c r="BT30" i="21" s="1"/>
  <c r="BU30" i="21" s="1"/>
  <c r="BV30" i="21" s="1"/>
  <c r="E30" i="29" s="1"/>
  <c r="H925" i="31" s="1"/>
  <c r="BH30" i="21"/>
  <c r="FB29" i="20"/>
  <c r="FD29" i="20" s="1"/>
  <c r="FE29" i="20" s="1"/>
  <c r="FF29" i="20" s="1"/>
  <c r="FG29" i="20" s="1"/>
  <c r="FH29" i="20" s="1"/>
  <c r="FS29" i="20"/>
  <c r="EL34" i="20"/>
  <c r="FK29" i="20"/>
  <c r="EJ35" i="20"/>
  <c r="DX26" i="20"/>
  <c r="DY26" i="20" s="1"/>
  <c r="EA26" i="20" s="1"/>
  <c r="EC26" i="20" s="1"/>
  <c r="ED26" i="20" s="1"/>
  <c r="EE26" i="20" s="1"/>
  <c r="EF26" i="20" s="1"/>
  <c r="K26" i="30" s="1"/>
  <c r="H1491" i="31" s="1"/>
  <c r="DP23" i="20"/>
  <c r="DR23" i="20" s="1"/>
  <c r="DS23" i="20" s="1"/>
  <c r="DT23" i="20" s="1"/>
  <c r="DU23" i="20" s="1"/>
  <c r="J23" i="30" s="1"/>
  <c r="H1458" i="31" s="1"/>
  <c r="DF30" i="20"/>
  <c r="CV27" i="20"/>
  <c r="CW27" i="20"/>
  <c r="CX27" i="20" s="1"/>
  <c r="CY27" i="20" s="1"/>
  <c r="CZ27" i="20" s="1"/>
  <c r="H27" i="30" s="1"/>
  <c r="H1402" i="31" s="1"/>
  <c r="CL29" i="20"/>
  <c r="BZ33" i="20"/>
  <c r="CA33" i="20" s="1"/>
  <c r="CC33" i="20" s="1"/>
  <c r="CD33" i="20" s="1"/>
  <c r="CE33" i="20" s="1"/>
  <c r="CF33" i="20" s="1"/>
  <c r="F33" i="30" s="1"/>
  <c r="H1348" i="31" s="1"/>
  <c r="BH31" i="20"/>
  <c r="BE32" i="20" s="1"/>
  <c r="O20" i="30"/>
  <c r="H1605" i="31" s="1"/>
  <c r="FL22" i="10"/>
  <c r="FJ23" i="10" s="1"/>
  <c r="FK23" i="10" s="1"/>
  <c r="FM23" i="10" s="1"/>
  <c r="FN23" i="10" s="1"/>
  <c r="FO23" i="10" s="1"/>
  <c r="FP23" i="10" s="1"/>
  <c r="FQ23" i="10" s="1"/>
  <c r="AT21" i="20"/>
  <c r="D21" i="30" s="1"/>
  <c r="H1276" i="31" s="1"/>
  <c r="M20" i="30"/>
  <c r="H1545" i="31" s="1"/>
  <c r="FW24" i="21"/>
  <c r="FX24" i="21" s="1"/>
  <c r="FY24" i="21" s="1"/>
  <c r="FZ24" i="21" s="1"/>
  <c r="EK27" i="21"/>
  <c r="EN27" i="21" s="1"/>
  <c r="EV27" i="21" s="1"/>
  <c r="EW27" i="21" s="1"/>
  <c r="EX27" i="21" s="1"/>
  <c r="EY27" i="21" s="1"/>
  <c r="FK25" i="21"/>
  <c r="FM25" i="21" s="1"/>
  <c r="FU24" i="21"/>
  <c r="FB25" i="21"/>
  <c r="FD25" i="21" s="1"/>
  <c r="L20" i="25"/>
  <c r="H285" i="31" s="1"/>
  <c r="X21" i="10"/>
  <c r="C21" i="25" s="1"/>
  <c r="H16" i="31" s="1"/>
  <c r="G3" i="28"/>
  <c r="D19" i="29" l="1"/>
  <c r="H884" i="31" s="1"/>
  <c r="AT20" i="21"/>
  <c r="M19" i="29"/>
  <c r="H1154" i="31" s="1"/>
  <c r="O18" i="28"/>
  <c r="H823" i="31" s="1"/>
  <c r="AT19" i="18"/>
  <c r="D18" i="28"/>
  <c r="H493" i="31" s="1"/>
  <c r="M18" i="28"/>
  <c r="H763" i="31" s="1"/>
  <c r="O17" i="25"/>
  <c r="H372" i="31" s="1"/>
  <c r="D18" i="25"/>
  <c r="H43" i="31" s="1"/>
  <c r="M18" i="25"/>
  <c r="H313" i="31" s="1"/>
  <c r="AT19" i="10"/>
  <c r="JU32" i="18"/>
  <c r="JR33" i="18" s="1"/>
  <c r="JS33" i="18" s="1"/>
  <c r="JT33" i="18" s="1"/>
  <c r="JV33" i="18" s="1"/>
  <c r="KG33" i="18" s="1"/>
  <c r="KH33" i="18" s="1"/>
  <c r="KI33" i="18" s="1"/>
  <c r="P33" i="28" s="1"/>
  <c r="H1678" i="31" s="1"/>
  <c r="JR31" i="21"/>
  <c r="LZ33" i="10"/>
  <c r="JU35" i="20"/>
  <c r="N21" i="25"/>
  <c r="H346" i="31" s="1"/>
  <c r="LM17" i="10"/>
  <c r="LN17" i="10" s="1"/>
  <c r="LO17" i="10" s="1"/>
  <c r="Q17" i="25" s="1"/>
  <c r="H432" i="31" s="1"/>
  <c r="KW18" i="10"/>
  <c r="DX23" i="18"/>
  <c r="DG26" i="21"/>
  <c r="DH26" i="21" s="1"/>
  <c r="DI26" i="21" s="1"/>
  <c r="DJ26" i="21" s="1"/>
  <c r="I26" i="29" s="1"/>
  <c r="H1041" i="31" s="1"/>
  <c r="DN25" i="21"/>
  <c r="DP25" i="21" s="1"/>
  <c r="DR25" i="21" s="1"/>
  <c r="DS25" i="21" s="1"/>
  <c r="DT25" i="21" s="1"/>
  <c r="DU25" i="21" s="1"/>
  <c r="J25" i="29" s="1"/>
  <c r="H1070" i="31" s="1"/>
  <c r="CS28" i="21"/>
  <c r="CT28" i="21" s="1"/>
  <c r="CU28" i="21" s="1"/>
  <c r="CW28" i="21" s="1"/>
  <c r="CX28" i="21" s="1"/>
  <c r="CY28" i="21" s="1"/>
  <c r="CZ28" i="21" s="1"/>
  <c r="H28" i="29" s="1"/>
  <c r="H1013" i="31" s="1"/>
  <c r="CL23" i="10"/>
  <c r="CV24" i="10"/>
  <c r="EC22" i="18"/>
  <c r="ED22" i="18" s="1"/>
  <c r="EE22" i="18" s="1"/>
  <c r="EF22" i="18" s="1"/>
  <c r="K22" i="28" s="1"/>
  <c r="H707" i="31" s="1"/>
  <c r="DZ22" i="18"/>
  <c r="DY24" i="21"/>
  <c r="DR17" i="10"/>
  <c r="DS17" i="10" s="1"/>
  <c r="DT17" i="10" s="1"/>
  <c r="DU17" i="10" s="1"/>
  <c r="J17" i="25" s="1"/>
  <c r="H222" i="31" s="1"/>
  <c r="EA17" i="10"/>
  <c r="EB17" i="10" s="1"/>
  <c r="CU25" i="18"/>
  <c r="DO17" i="10"/>
  <c r="DQ17" i="10"/>
  <c r="DM23" i="18"/>
  <c r="DN23" i="18" s="1"/>
  <c r="DD25" i="10"/>
  <c r="DE25" i="10" s="1"/>
  <c r="BZ32" i="10"/>
  <c r="CA32" i="10" s="1"/>
  <c r="CC32" i="10" s="1"/>
  <c r="CD32" i="10" s="1"/>
  <c r="DD27" i="18"/>
  <c r="DE27" i="18" s="1"/>
  <c r="BZ33" i="18"/>
  <c r="CA33" i="18" s="1"/>
  <c r="BF31" i="18"/>
  <c r="BG31" i="18" s="1"/>
  <c r="CC31" i="21"/>
  <c r="CD31" i="21" s="1"/>
  <c r="CE31" i="21" s="1"/>
  <c r="CF31" i="21" s="1"/>
  <c r="F31" i="29" s="1"/>
  <c r="H956" i="31" s="1"/>
  <c r="CB31" i="21"/>
  <c r="DF26" i="21"/>
  <c r="BE31" i="21"/>
  <c r="FC29" i="20"/>
  <c r="FM29" i="20"/>
  <c r="FN29" i="20" s="1"/>
  <c r="FO29" i="20" s="1"/>
  <c r="FP29" i="20" s="1"/>
  <c r="FQ29" i="20" s="1"/>
  <c r="EK35" i="20"/>
  <c r="FT29" i="20"/>
  <c r="FV29" i="20" s="1"/>
  <c r="FW29" i="20" s="1"/>
  <c r="FX29" i="20" s="1"/>
  <c r="FY29" i="20" s="1"/>
  <c r="FZ29" i="20" s="1"/>
  <c r="DO23" i="20"/>
  <c r="EB26" i="20"/>
  <c r="DX27" i="20" s="1"/>
  <c r="DY27" i="20" s="1"/>
  <c r="EA27" i="20" s="1"/>
  <c r="EC27" i="20" s="1"/>
  <c r="ED27" i="20" s="1"/>
  <c r="EE27" i="20" s="1"/>
  <c r="EF27" i="20" s="1"/>
  <c r="K27" i="30" s="1"/>
  <c r="H1492" i="31" s="1"/>
  <c r="DZ26" i="20"/>
  <c r="DQ23" i="20"/>
  <c r="DM24" i="20" s="1"/>
  <c r="DC31" i="20"/>
  <c r="CS28" i="20"/>
  <c r="CT28" i="20" s="1"/>
  <c r="CU28" i="20" s="1"/>
  <c r="CW28" i="20" s="1"/>
  <c r="CX28" i="20" s="1"/>
  <c r="CY28" i="20" s="1"/>
  <c r="CZ28" i="20" s="1"/>
  <c r="H28" i="30" s="1"/>
  <c r="H1403" i="31" s="1"/>
  <c r="CI30" i="20"/>
  <c r="CB33" i="20"/>
  <c r="BF32" i="20"/>
  <c r="BG32" i="20" s="1"/>
  <c r="AT22" i="20"/>
  <c r="D22" i="30" s="1"/>
  <c r="H1277" i="31" s="1"/>
  <c r="M21" i="30"/>
  <c r="H1546" i="31" s="1"/>
  <c r="O21" i="30"/>
  <c r="H1606" i="31" s="1"/>
  <c r="FN25" i="21"/>
  <c r="FO25" i="21" s="1"/>
  <c r="FP25" i="21" s="1"/>
  <c r="FQ25" i="21" s="1"/>
  <c r="EJ28" i="21"/>
  <c r="EL27" i="21"/>
  <c r="FE25" i="21"/>
  <c r="FF25" i="21" s="1"/>
  <c r="FG25" i="21" s="1"/>
  <c r="FH25" i="21" s="1"/>
  <c r="FL25" i="21"/>
  <c r="FS25" i="21"/>
  <c r="FC25" i="21"/>
  <c r="L21" i="25"/>
  <c r="H286" i="31" s="1"/>
  <c r="X22" i="10"/>
  <c r="C22" i="25" s="1"/>
  <c r="H17" i="31" s="1"/>
  <c r="FL23" i="10"/>
  <c r="FJ24" i="10" s="1"/>
  <c r="O19" i="29" l="1"/>
  <c r="H1214" i="31" s="1"/>
  <c r="D20" i="29"/>
  <c r="H885" i="31" s="1"/>
  <c r="M20" i="29"/>
  <c r="H1155" i="31" s="1"/>
  <c r="AT21" i="21"/>
  <c r="AT20" i="18"/>
  <c r="D19" i="28"/>
  <c r="H494" i="31" s="1"/>
  <c r="M19" i="28"/>
  <c r="H764" i="31" s="1"/>
  <c r="O18" i="25"/>
  <c r="H373" i="31" s="1"/>
  <c r="AT20" i="10"/>
  <c r="D19" i="25"/>
  <c r="H44" i="31" s="1"/>
  <c r="M19" i="25"/>
  <c r="H314" i="31" s="1"/>
  <c r="N22" i="25"/>
  <c r="H347" i="31" s="1"/>
  <c r="JU33" i="18"/>
  <c r="MA33" i="10"/>
  <c r="JR36" i="20"/>
  <c r="JS36" i="20" s="1"/>
  <c r="JT36" i="20" s="1"/>
  <c r="JV36" i="20" s="1"/>
  <c r="KG36" i="20" s="1"/>
  <c r="KH36" i="20" s="1"/>
  <c r="KI36" i="20" s="1"/>
  <c r="P36" i="30" s="1"/>
  <c r="H1741" i="31" s="1"/>
  <c r="JS31" i="21"/>
  <c r="KX18" i="10"/>
  <c r="KZ18" i="10" s="1"/>
  <c r="LB18" i="10" s="1"/>
  <c r="DG27" i="18"/>
  <c r="DH27" i="18" s="1"/>
  <c r="DI27" i="18" s="1"/>
  <c r="DJ27" i="18" s="1"/>
  <c r="I27" i="28" s="1"/>
  <c r="H652" i="31" s="1"/>
  <c r="DG25" i="10"/>
  <c r="DH25" i="10" s="1"/>
  <c r="DI25" i="10" s="1"/>
  <c r="DJ25" i="10" s="1"/>
  <c r="I25" i="25" s="1"/>
  <c r="H200" i="31" s="1"/>
  <c r="DM18" i="10"/>
  <c r="CI24" i="10"/>
  <c r="CJ24" i="10" s="1"/>
  <c r="CK24" i="10" s="1"/>
  <c r="CM24" i="10" s="1"/>
  <c r="CN24" i="10" s="1"/>
  <c r="CO24" i="10" s="1"/>
  <c r="CP24" i="10" s="1"/>
  <c r="G24" i="25" s="1"/>
  <c r="H139" i="31" s="1"/>
  <c r="DZ17" i="10"/>
  <c r="EN35" i="20"/>
  <c r="EV35" i="20" s="1"/>
  <c r="EW35" i="20" s="1"/>
  <c r="EX35" i="20" s="1"/>
  <c r="EY35" i="20" s="1"/>
  <c r="CV28" i="21"/>
  <c r="CW25" i="18"/>
  <c r="CX25" i="18" s="1"/>
  <c r="CY25" i="18" s="1"/>
  <c r="CZ25" i="18" s="1"/>
  <c r="H25" i="28" s="1"/>
  <c r="H620" i="31" s="1"/>
  <c r="DP23" i="18"/>
  <c r="EC17" i="10"/>
  <c r="ED17" i="10" s="1"/>
  <c r="EE17" i="10" s="1"/>
  <c r="EF17" i="10" s="1"/>
  <c r="K17" i="25" s="1"/>
  <c r="H252" i="31" s="1"/>
  <c r="EA24" i="21"/>
  <c r="CS25" i="10"/>
  <c r="CT25" i="10" s="1"/>
  <c r="CU25" i="10" s="1"/>
  <c r="CW25" i="10" s="1"/>
  <c r="CX25" i="10" s="1"/>
  <c r="CY25" i="10" s="1"/>
  <c r="CZ25" i="10" s="1"/>
  <c r="H25" i="25" s="1"/>
  <c r="H170" i="31" s="1"/>
  <c r="CV25" i="18"/>
  <c r="DO25" i="21"/>
  <c r="DQ25" i="21"/>
  <c r="DY23" i="18"/>
  <c r="CC33" i="18"/>
  <c r="CD33" i="18" s="1"/>
  <c r="CE33" i="18" s="1"/>
  <c r="CF33" i="18" s="1"/>
  <c r="F33" i="28" s="1"/>
  <c r="H568" i="31" s="1"/>
  <c r="CE32" i="10"/>
  <c r="CF32" i="10" s="1"/>
  <c r="F32" i="25" s="1"/>
  <c r="H117" i="31" s="1"/>
  <c r="CB32" i="10"/>
  <c r="DF25" i="10"/>
  <c r="CB33" i="18"/>
  <c r="DF27" i="18"/>
  <c r="BI31" i="18"/>
  <c r="BT31" i="18" s="1"/>
  <c r="BU31" i="18" s="1"/>
  <c r="BV31" i="18" s="1"/>
  <c r="E31" i="28" s="1"/>
  <c r="H536" i="31" s="1"/>
  <c r="BH31" i="18"/>
  <c r="BY32" i="21"/>
  <c r="DC27" i="21"/>
  <c r="BF31" i="21"/>
  <c r="BG31" i="21" s="1"/>
  <c r="FA30" i="20"/>
  <c r="FU29" i="20"/>
  <c r="FL29" i="20"/>
  <c r="DZ27" i="20"/>
  <c r="EB27" i="20"/>
  <c r="DX28" i="20" s="1"/>
  <c r="DY28" i="20" s="1"/>
  <c r="EA28" i="20" s="1"/>
  <c r="EC28" i="20" s="1"/>
  <c r="ED28" i="20" s="1"/>
  <c r="EE28" i="20" s="1"/>
  <c r="EF28" i="20" s="1"/>
  <c r="K28" i="30" s="1"/>
  <c r="H1493" i="31" s="1"/>
  <c r="DN24" i="20"/>
  <c r="DD31" i="20"/>
  <c r="CV28" i="20"/>
  <c r="CJ30" i="20"/>
  <c r="CK30" i="20" s="1"/>
  <c r="CM30" i="20" s="1"/>
  <c r="CN30" i="20" s="1"/>
  <c r="CO30" i="20" s="1"/>
  <c r="CP30" i="20" s="1"/>
  <c r="G30" i="30" s="1"/>
  <c r="H1375" i="31" s="1"/>
  <c r="BY34" i="20"/>
  <c r="BH32" i="20"/>
  <c r="BI32" i="20"/>
  <c r="BT32" i="20" s="1"/>
  <c r="BU32" i="20" s="1"/>
  <c r="BV32" i="20" s="1"/>
  <c r="E32" i="30" s="1"/>
  <c r="H1317" i="31" s="1"/>
  <c r="O22" i="30"/>
  <c r="H1607" i="31" s="1"/>
  <c r="AT23" i="20"/>
  <c r="D23" i="30" s="1"/>
  <c r="H1278" i="31" s="1"/>
  <c r="M22" i="30"/>
  <c r="H1547" i="31" s="1"/>
  <c r="EK28" i="21"/>
  <c r="EN28" i="21" s="1"/>
  <c r="EJ29" i="21" s="1"/>
  <c r="FJ26" i="21"/>
  <c r="FT25" i="21"/>
  <c r="FV25" i="21" s="1"/>
  <c r="FA26" i="21"/>
  <c r="L22" i="25"/>
  <c r="H287" i="31" s="1"/>
  <c r="X23" i="10"/>
  <c r="C23" i="25" s="1"/>
  <c r="H18" i="31" s="1"/>
  <c r="FK24" i="10"/>
  <c r="FM24" i="10" s="1"/>
  <c r="D103" i="9"/>
  <c r="O20" i="29" l="1"/>
  <c r="H1215" i="31" s="1"/>
  <c r="D21" i="29"/>
  <c r="H886" i="31" s="1"/>
  <c r="M21" i="29"/>
  <c r="H1156" i="31" s="1"/>
  <c r="AT22" i="21"/>
  <c r="D20" i="28"/>
  <c r="H495" i="31" s="1"/>
  <c r="AT21" i="18"/>
  <c r="M20" i="28"/>
  <c r="H765" i="31" s="1"/>
  <c r="O19" i="28"/>
  <c r="H824" i="31" s="1"/>
  <c r="D20" i="25"/>
  <c r="H45" i="31" s="1"/>
  <c r="M20" i="25"/>
  <c r="H315" i="31" s="1"/>
  <c r="AT21" i="10"/>
  <c r="O19" i="25"/>
  <c r="H374" i="31" s="1"/>
  <c r="N23" i="25"/>
  <c r="H348" i="31" s="1"/>
  <c r="JU36" i="20"/>
  <c r="JR34" i="18"/>
  <c r="JT31" i="21"/>
  <c r="JV31" i="21" s="1"/>
  <c r="KG31" i="21" s="1"/>
  <c r="KH31" i="21" s="1"/>
  <c r="KI31" i="21" s="1"/>
  <c r="P31" i="29" s="1"/>
  <c r="H1706" i="31" s="1"/>
  <c r="MB33" i="10"/>
  <c r="MD33" i="10" s="1"/>
  <c r="MO33" i="10" s="1"/>
  <c r="MP33" i="10" s="1"/>
  <c r="MQ33" i="10" s="1"/>
  <c r="R33" i="25" s="1"/>
  <c r="H1648" i="31" s="1"/>
  <c r="LM18" i="10"/>
  <c r="LN18" i="10" s="1"/>
  <c r="LO18" i="10" s="1"/>
  <c r="Q18" i="25" s="1"/>
  <c r="H433" i="31" s="1"/>
  <c r="KY18" i="10"/>
  <c r="LA18" i="10"/>
  <c r="EJ36" i="20"/>
  <c r="EK36" i="20" s="1"/>
  <c r="EN36" i="20" s="1"/>
  <c r="EV36" i="20" s="1"/>
  <c r="EW36" i="20" s="1"/>
  <c r="EX36" i="20" s="1"/>
  <c r="EY36" i="20" s="1"/>
  <c r="CV25" i="10"/>
  <c r="CS26" i="10" s="1"/>
  <c r="CT26" i="10" s="1"/>
  <c r="CU26" i="10" s="1"/>
  <c r="CW26" i="10" s="1"/>
  <c r="CX26" i="10" s="1"/>
  <c r="CY26" i="10" s="1"/>
  <c r="CZ26" i="10" s="1"/>
  <c r="H26" i="25" s="1"/>
  <c r="H171" i="31" s="1"/>
  <c r="EC24" i="21"/>
  <c r="ED24" i="21" s="1"/>
  <c r="EE24" i="21" s="1"/>
  <c r="EF24" i="21" s="1"/>
  <c r="K24" i="29" s="1"/>
  <c r="H1099" i="31" s="1"/>
  <c r="DR23" i="18"/>
  <c r="DS23" i="18" s="1"/>
  <c r="DT23" i="18" s="1"/>
  <c r="DU23" i="18" s="1"/>
  <c r="J23" i="28" s="1"/>
  <c r="H678" i="31" s="1"/>
  <c r="DQ23" i="18"/>
  <c r="EB24" i="21"/>
  <c r="EA23" i="18"/>
  <c r="CS26" i="18"/>
  <c r="EL35" i="20"/>
  <c r="DZ24" i="21"/>
  <c r="DN18" i="10"/>
  <c r="DP18" i="10" s="1"/>
  <c r="DX18" i="10"/>
  <c r="DM26" i="21"/>
  <c r="DN26" i="21" s="1"/>
  <c r="DO23" i="18"/>
  <c r="CS29" i="21"/>
  <c r="CL24" i="10"/>
  <c r="DC26" i="10"/>
  <c r="BY33" i="10"/>
  <c r="DC28" i="18"/>
  <c r="BY34" i="18"/>
  <c r="BE32" i="18"/>
  <c r="BZ32" i="21"/>
  <c r="CA32" i="21" s="1"/>
  <c r="DD27" i="21"/>
  <c r="DE27" i="21" s="1"/>
  <c r="BI31" i="21"/>
  <c r="BT31" i="21" s="1"/>
  <c r="BU31" i="21" s="1"/>
  <c r="BV31" i="21" s="1"/>
  <c r="E31" i="29" s="1"/>
  <c r="H926" i="31" s="1"/>
  <c r="BH31" i="21"/>
  <c r="FS30" i="20"/>
  <c r="FB30" i="20"/>
  <c r="FJ30" i="20"/>
  <c r="DZ28" i="20"/>
  <c r="EB28" i="20"/>
  <c r="DX29" i="20" s="1"/>
  <c r="DP24" i="20"/>
  <c r="DR24" i="20" s="1"/>
  <c r="DS24" i="20" s="1"/>
  <c r="DT24" i="20" s="1"/>
  <c r="DU24" i="20" s="1"/>
  <c r="J24" i="30" s="1"/>
  <c r="H1459" i="31" s="1"/>
  <c r="DE31" i="20"/>
  <c r="CS29" i="20"/>
  <c r="CL30" i="20"/>
  <c r="BZ34" i="20"/>
  <c r="CA34" i="20" s="1"/>
  <c r="CC34" i="20" s="1"/>
  <c r="CD34" i="20" s="1"/>
  <c r="CE34" i="20" s="1"/>
  <c r="CF34" i="20" s="1"/>
  <c r="F34" i="30" s="1"/>
  <c r="H1349" i="31" s="1"/>
  <c r="BE33" i="20"/>
  <c r="M23" i="30"/>
  <c r="H1548" i="31" s="1"/>
  <c r="AT24" i="20"/>
  <c r="D24" i="30" s="1"/>
  <c r="H1279" i="31" s="1"/>
  <c r="O23" i="30"/>
  <c r="H1608" i="31" s="1"/>
  <c r="FW25" i="21"/>
  <c r="FX25" i="21" s="1"/>
  <c r="FY25" i="21" s="1"/>
  <c r="FZ25" i="21" s="1"/>
  <c r="EK29" i="21"/>
  <c r="EN29" i="21" s="1"/>
  <c r="EJ30" i="21" s="1"/>
  <c r="EV28" i="21"/>
  <c r="EW28" i="21" s="1"/>
  <c r="EX28" i="21" s="1"/>
  <c r="EY28" i="21" s="1"/>
  <c r="EL28" i="21"/>
  <c r="FU25" i="21"/>
  <c r="FB26" i="21"/>
  <c r="FD26" i="21" s="1"/>
  <c r="FE26" i="21" s="1"/>
  <c r="FF26" i="21" s="1"/>
  <c r="FG26" i="21" s="1"/>
  <c r="FH26" i="21" s="1"/>
  <c r="FK26" i="21"/>
  <c r="L23" i="25"/>
  <c r="H288" i="31" s="1"/>
  <c r="X24" i="10"/>
  <c r="C24" i="25" s="1"/>
  <c r="H19" i="31" s="1"/>
  <c r="FN24" i="10"/>
  <c r="FO24" i="10" s="1"/>
  <c r="FP24" i="10" s="1"/>
  <c r="FQ24" i="10" s="1"/>
  <c r="O21" i="29" l="1"/>
  <c r="H1216" i="31" s="1"/>
  <c r="D22" i="29"/>
  <c r="H887" i="31" s="1"/>
  <c r="M22" i="29"/>
  <c r="H1157" i="31" s="1"/>
  <c r="AT23" i="21"/>
  <c r="D21" i="28"/>
  <c r="H496" i="31" s="1"/>
  <c r="M21" i="28"/>
  <c r="H766" i="31" s="1"/>
  <c r="AT22" i="18"/>
  <c r="O20" i="28"/>
  <c r="H825" i="31" s="1"/>
  <c r="N24" i="25"/>
  <c r="H349" i="31" s="1"/>
  <c r="D21" i="25"/>
  <c r="H46" i="31" s="1"/>
  <c r="M21" i="25"/>
  <c r="H316" i="31" s="1"/>
  <c r="AT22" i="10"/>
  <c r="O20" i="25"/>
  <c r="H375" i="31" s="1"/>
  <c r="JS34" i="18"/>
  <c r="JT34" i="18" s="1"/>
  <c r="JV34" i="18" s="1"/>
  <c r="KG34" i="18" s="1"/>
  <c r="KH34" i="18" s="1"/>
  <c r="KI34" i="18" s="1"/>
  <c r="P34" i="28" s="1"/>
  <c r="H1679" i="31" s="1"/>
  <c r="JU31" i="21"/>
  <c r="MC33" i="10"/>
  <c r="KW19" i="10"/>
  <c r="KX19" i="10" s="1"/>
  <c r="KZ19" i="10" s="1"/>
  <c r="LB19" i="10" s="1"/>
  <c r="DG27" i="21"/>
  <c r="DH27" i="21" s="1"/>
  <c r="DI27" i="21" s="1"/>
  <c r="DJ27" i="21" s="1"/>
  <c r="I27" i="29" s="1"/>
  <c r="H1042" i="31" s="1"/>
  <c r="DP26" i="21"/>
  <c r="DR26" i="21" s="1"/>
  <c r="DS26" i="21" s="1"/>
  <c r="DT26" i="21" s="1"/>
  <c r="DU26" i="21" s="1"/>
  <c r="J26" i="29" s="1"/>
  <c r="H1071" i="31" s="1"/>
  <c r="EC23" i="18"/>
  <c r="ED23" i="18" s="1"/>
  <c r="EE23" i="18" s="1"/>
  <c r="EF23" i="18" s="1"/>
  <c r="K23" i="28" s="1"/>
  <c r="H708" i="31" s="1"/>
  <c r="DR18" i="10"/>
  <c r="DS18" i="10" s="1"/>
  <c r="DT18" i="10" s="1"/>
  <c r="DU18" i="10" s="1"/>
  <c r="J18" i="25" s="1"/>
  <c r="H223" i="31" s="1"/>
  <c r="CT29" i="21"/>
  <c r="CU29" i="21" s="1"/>
  <c r="CW29" i="21" s="1"/>
  <c r="CX29" i="21" s="1"/>
  <c r="CY29" i="21" s="1"/>
  <c r="CZ29" i="21" s="1"/>
  <c r="H29" i="29" s="1"/>
  <c r="H1014" i="31" s="1"/>
  <c r="DY18" i="10"/>
  <c r="CV26" i="10"/>
  <c r="DX25" i="21"/>
  <c r="DM24" i="18"/>
  <c r="CI25" i="10"/>
  <c r="CJ25" i="10" s="1"/>
  <c r="CK25" i="10" s="1"/>
  <c r="CM25" i="10" s="1"/>
  <c r="CN25" i="10" s="1"/>
  <c r="CO25" i="10" s="1"/>
  <c r="CP25" i="10" s="1"/>
  <c r="G25" i="25" s="1"/>
  <c r="H140" i="31" s="1"/>
  <c r="DO18" i="10"/>
  <c r="DQ18" i="10"/>
  <c r="EB23" i="18"/>
  <c r="CT26" i="18"/>
  <c r="CU26" i="18" s="1"/>
  <c r="DZ23" i="18"/>
  <c r="BZ33" i="10"/>
  <c r="DD26" i="10"/>
  <c r="DE26" i="10" s="1"/>
  <c r="BZ34" i="18"/>
  <c r="CA34" i="18" s="1"/>
  <c r="DD28" i="18"/>
  <c r="DE28" i="18" s="1"/>
  <c r="BF32" i="18"/>
  <c r="BG32" i="18" s="1"/>
  <c r="CC32" i="21"/>
  <c r="CD32" i="21" s="1"/>
  <c r="CE32" i="21" s="1"/>
  <c r="CF32" i="21" s="1"/>
  <c r="F32" i="29" s="1"/>
  <c r="H957" i="31" s="1"/>
  <c r="DF27" i="21"/>
  <c r="CB32" i="21"/>
  <c r="BE32" i="21"/>
  <c r="FD30" i="20"/>
  <c r="FE30" i="20" s="1"/>
  <c r="FF30" i="20" s="1"/>
  <c r="FG30" i="20" s="1"/>
  <c r="FH30" i="20" s="1"/>
  <c r="EL36" i="20"/>
  <c r="FK30" i="20"/>
  <c r="FT30" i="20"/>
  <c r="FV30" i="20" s="1"/>
  <c r="FW30" i="20" s="1"/>
  <c r="FX30" i="20" s="1"/>
  <c r="FY30" i="20" s="1"/>
  <c r="FZ30" i="20" s="1"/>
  <c r="DO24" i="20"/>
  <c r="DY29" i="20"/>
  <c r="EA29" i="20" s="1"/>
  <c r="EC29" i="20" s="1"/>
  <c r="ED29" i="20" s="1"/>
  <c r="EE29" i="20" s="1"/>
  <c r="EF29" i="20" s="1"/>
  <c r="K29" i="30" s="1"/>
  <c r="H1494" i="31" s="1"/>
  <c r="DQ24" i="20"/>
  <c r="DM25" i="20" s="1"/>
  <c r="DF31" i="20"/>
  <c r="DC32" i="20" s="1"/>
  <c r="DG31" i="20"/>
  <c r="DH31" i="20" s="1"/>
  <c r="DI31" i="20" s="1"/>
  <c r="DJ31" i="20" s="1"/>
  <c r="I31" i="30" s="1"/>
  <c r="H1436" i="31" s="1"/>
  <c r="CT29" i="20"/>
  <c r="CI31" i="20"/>
  <c r="CB34" i="20"/>
  <c r="BF33" i="20"/>
  <c r="BG33" i="20" s="1"/>
  <c r="BI33" i="20" s="1"/>
  <c r="BT33" i="20" s="1"/>
  <c r="BU33" i="20" s="1"/>
  <c r="BV33" i="20" s="1"/>
  <c r="E33" i="30" s="1"/>
  <c r="H1318" i="31" s="1"/>
  <c r="O24" i="30"/>
  <c r="H1609" i="31" s="1"/>
  <c r="M24" i="30"/>
  <c r="H1549" i="31" s="1"/>
  <c r="AT25" i="20"/>
  <c r="D25" i="30" s="1"/>
  <c r="H1280" i="31" s="1"/>
  <c r="FM26" i="21"/>
  <c r="FN26" i="21" s="1"/>
  <c r="FO26" i="21" s="1"/>
  <c r="FP26" i="21" s="1"/>
  <c r="FQ26" i="21" s="1"/>
  <c r="EK30" i="21"/>
  <c r="EN30" i="21" s="1"/>
  <c r="EL29" i="21"/>
  <c r="EV29" i="21"/>
  <c r="EW29" i="21" s="1"/>
  <c r="EX29" i="21" s="1"/>
  <c r="EY29" i="21" s="1"/>
  <c r="FS26" i="21"/>
  <c r="FC26" i="21"/>
  <c r="L24" i="25"/>
  <c r="H289" i="31" s="1"/>
  <c r="X25" i="10"/>
  <c r="C25" i="25" s="1"/>
  <c r="H20" i="31" s="1"/>
  <c r="FL24" i="10"/>
  <c r="O22" i="29" l="1"/>
  <c r="H1217" i="31" s="1"/>
  <c r="D23" i="29"/>
  <c r="H888" i="31" s="1"/>
  <c r="M23" i="29"/>
  <c r="H1158" i="31" s="1"/>
  <c r="AT24" i="21"/>
  <c r="D22" i="28"/>
  <c r="H497" i="31" s="1"/>
  <c r="M22" i="28"/>
  <c r="H767" i="31" s="1"/>
  <c r="AT23" i="18"/>
  <c r="O21" i="28"/>
  <c r="H826" i="31" s="1"/>
  <c r="N25" i="25"/>
  <c r="H350" i="31" s="1"/>
  <c r="D22" i="25"/>
  <c r="H47" i="31" s="1"/>
  <c r="M22" i="25"/>
  <c r="H317" i="31" s="1"/>
  <c r="AT23" i="10"/>
  <c r="O21" i="25"/>
  <c r="H376" i="31" s="1"/>
  <c r="JR32" i="21"/>
  <c r="LZ34" i="10"/>
  <c r="JU34" i="18"/>
  <c r="LM19" i="10"/>
  <c r="LN19" i="10" s="1"/>
  <c r="LO19" i="10" s="1"/>
  <c r="Q19" i="25" s="1"/>
  <c r="H434" i="31" s="1"/>
  <c r="KY19" i="10"/>
  <c r="LA19" i="10"/>
  <c r="DG28" i="18"/>
  <c r="DH28" i="18" s="1"/>
  <c r="DI28" i="18" s="1"/>
  <c r="DJ28" i="18" s="1"/>
  <c r="I28" i="28" s="1"/>
  <c r="H653" i="31" s="1"/>
  <c r="DG26" i="10"/>
  <c r="DH26" i="10" s="1"/>
  <c r="DI26" i="10" s="1"/>
  <c r="DJ26" i="10" s="1"/>
  <c r="I26" i="25" s="1"/>
  <c r="H201" i="31" s="1"/>
  <c r="CS27" i="10"/>
  <c r="CT27" i="10" s="1"/>
  <c r="CU27" i="10" s="1"/>
  <c r="CW27" i="10" s="1"/>
  <c r="CX27" i="10" s="1"/>
  <c r="CY27" i="10" s="1"/>
  <c r="CZ27" i="10" s="1"/>
  <c r="H27" i="25" s="1"/>
  <c r="H172" i="31" s="1"/>
  <c r="DX24" i="18"/>
  <c r="CL25" i="10"/>
  <c r="DO26" i="21"/>
  <c r="DM19" i="10"/>
  <c r="DY25" i="21"/>
  <c r="EA25" i="21" s="1"/>
  <c r="CW26" i="18"/>
  <c r="CX26" i="18" s="1"/>
  <c r="CY26" i="18" s="1"/>
  <c r="CZ26" i="18" s="1"/>
  <c r="H26" i="28" s="1"/>
  <c r="H621" i="31" s="1"/>
  <c r="CV29" i="21"/>
  <c r="CV26" i="18"/>
  <c r="DQ26" i="21"/>
  <c r="DN24" i="18"/>
  <c r="DP24" i="18" s="1"/>
  <c r="EA18" i="10"/>
  <c r="DZ18" i="10" s="1"/>
  <c r="CA33" i="10"/>
  <c r="CC33" i="10" s="1"/>
  <c r="CD33" i="10" s="1"/>
  <c r="CE33" i="10" s="1"/>
  <c r="CF33" i="10" s="1"/>
  <c r="F33" i="25" s="1"/>
  <c r="H118" i="31" s="1"/>
  <c r="CC34" i="18"/>
  <c r="CD34" i="18" s="1"/>
  <c r="CE34" i="18" s="1"/>
  <c r="CF34" i="18" s="1"/>
  <c r="F34" i="28" s="1"/>
  <c r="H569" i="31" s="1"/>
  <c r="DF26" i="10"/>
  <c r="CB34" i="18"/>
  <c r="DF28" i="18"/>
  <c r="BI32" i="18"/>
  <c r="BT32" i="18" s="1"/>
  <c r="BU32" i="18" s="1"/>
  <c r="BV32" i="18" s="1"/>
  <c r="E32" i="28" s="1"/>
  <c r="H537" i="31" s="1"/>
  <c r="BH32" i="18"/>
  <c r="DC28" i="21"/>
  <c r="BY33" i="21"/>
  <c r="BF32" i="21"/>
  <c r="BG32" i="21" s="1"/>
  <c r="FU30" i="20"/>
  <c r="FM30" i="20"/>
  <c r="FN30" i="20" s="1"/>
  <c r="FO30" i="20" s="1"/>
  <c r="FP30" i="20" s="1"/>
  <c r="FQ30" i="20" s="1"/>
  <c r="FC30" i="20"/>
  <c r="DZ29" i="20"/>
  <c r="EB29" i="20"/>
  <c r="DX30" i="20" s="1"/>
  <c r="DN25" i="20"/>
  <c r="DD32" i="20"/>
  <c r="DE32" i="20" s="1"/>
  <c r="DG32" i="20" s="1"/>
  <c r="DH32" i="20" s="1"/>
  <c r="DI32" i="20" s="1"/>
  <c r="DJ32" i="20" s="1"/>
  <c r="I32" i="30" s="1"/>
  <c r="H1437" i="31" s="1"/>
  <c r="CU29" i="20"/>
  <c r="CW29" i="20" s="1"/>
  <c r="CX29" i="20" s="1"/>
  <c r="CY29" i="20" s="1"/>
  <c r="CZ29" i="20" s="1"/>
  <c r="H29" i="30" s="1"/>
  <c r="H1404" i="31" s="1"/>
  <c r="CJ31" i="20"/>
  <c r="CK31" i="20" s="1"/>
  <c r="CM31" i="20" s="1"/>
  <c r="CN31" i="20" s="1"/>
  <c r="CO31" i="20" s="1"/>
  <c r="CP31" i="20" s="1"/>
  <c r="G31" i="30" s="1"/>
  <c r="H1376" i="31" s="1"/>
  <c r="BY35" i="20"/>
  <c r="BH33" i="20"/>
  <c r="FL26" i="21"/>
  <c r="FJ27" i="21" s="1"/>
  <c r="O25" i="30"/>
  <c r="H1610" i="31" s="1"/>
  <c r="M25" i="30"/>
  <c r="H1550" i="31" s="1"/>
  <c r="AT26" i="20"/>
  <c r="D26" i="30" s="1"/>
  <c r="H1281" i="31" s="1"/>
  <c r="EV30" i="21"/>
  <c r="EW30" i="21" s="1"/>
  <c r="EX30" i="21" s="1"/>
  <c r="EY30" i="21" s="1"/>
  <c r="EJ31" i="21"/>
  <c r="EL30" i="21"/>
  <c r="FA27" i="21"/>
  <c r="FT26" i="21"/>
  <c r="FV26" i="21" s="1"/>
  <c r="L25" i="25"/>
  <c r="H290" i="31" s="1"/>
  <c r="X26" i="10"/>
  <c r="C26" i="25" s="1"/>
  <c r="H21" i="31" s="1"/>
  <c r="FJ25" i="10"/>
  <c r="O23" i="29" l="1"/>
  <c r="H1218" i="31" s="1"/>
  <c r="D24" i="29"/>
  <c r="H889" i="31" s="1"/>
  <c r="AT25" i="21"/>
  <c r="M24" i="29"/>
  <c r="H1159" i="31" s="1"/>
  <c r="D23" i="28"/>
  <c r="H498" i="31" s="1"/>
  <c r="AT24" i="18"/>
  <c r="M23" i="28"/>
  <c r="H768" i="31" s="1"/>
  <c r="O22" i="28"/>
  <c r="H827" i="31" s="1"/>
  <c r="N26" i="25"/>
  <c r="H351" i="31" s="1"/>
  <c r="D23" i="25"/>
  <c r="H48" i="31" s="1"/>
  <c r="AT24" i="10"/>
  <c r="M23" i="25"/>
  <c r="H318" i="31" s="1"/>
  <c r="O22" i="25"/>
  <c r="H377" i="31" s="1"/>
  <c r="JR35" i="18"/>
  <c r="JS32" i="21"/>
  <c r="JT32" i="21" s="1"/>
  <c r="JV32" i="21" s="1"/>
  <c r="KG32" i="21" s="1"/>
  <c r="KH32" i="21" s="1"/>
  <c r="KI32" i="21" s="1"/>
  <c r="P32" i="29" s="1"/>
  <c r="H1707" i="31" s="1"/>
  <c r="MA34" i="10"/>
  <c r="FL30" i="20"/>
  <c r="FJ31" i="20" s="1"/>
  <c r="KW20" i="10"/>
  <c r="KX20" i="10" s="1"/>
  <c r="KZ20" i="10" s="1"/>
  <c r="LB20" i="10" s="1"/>
  <c r="EB18" i="10"/>
  <c r="DX19" i="10" s="1"/>
  <c r="CV27" i="10"/>
  <c r="DM27" i="21"/>
  <c r="DO24" i="18"/>
  <c r="DQ24" i="18"/>
  <c r="CS30" i="21"/>
  <c r="EC25" i="21"/>
  <c r="ED25" i="21" s="1"/>
  <c r="EE25" i="21" s="1"/>
  <c r="EF25" i="21" s="1"/>
  <c r="K25" i="29" s="1"/>
  <c r="H1100" i="31" s="1"/>
  <c r="DR24" i="18"/>
  <c r="DS24" i="18" s="1"/>
  <c r="DT24" i="18" s="1"/>
  <c r="DU24" i="18" s="1"/>
  <c r="J24" i="28" s="1"/>
  <c r="H679" i="31" s="1"/>
  <c r="DN19" i="10"/>
  <c r="DY24" i="18"/>
  <c r="EA24" i="18" s="1"/>
  <c r="EC18" i="10"/>
  <c r="ED18" i="10" s="1"/>
  <c r="EE18" i="10" s="1"/>
  <c r="EF18" i="10" s="1"/>
  <c r="K18" i="25" s="1"/>
  <c r="H253" i="31" s="1"/>
  <c r="CS27" i="18"/>
  <c r="DZ25" i="21"/>
  <c r="EB25" i="21"/>
  <c r="CI26" i="10"/>
  <c r="CJ26" i="10" s="1"/>
  <c r="CK26" i="10" s="1"/>
  <c r="CM26" i="10" s="1"/>
  <c r="CN26" i="10" s="1"/>
  <c r="CO26" i="10" s="1"/>
  <c r="CP26" i="10" s="1"/>
  <c r="G26" i="25" s="1"/>
  <c r="H141" i="31" s="1"/>
  <c r="CB33" i="10"/>
  <c r="BY34" i="10" s="1"/>
  <c r="DC27" i="10"/>
  <c r="BY35" i="18"/>
  <c r="DC29" i="18"/>
  <c r="BE33" i="18"/>
  <c r="BZ33" i="21"/>
  <c r="CA33" i="21" s="1"/>
  <c r="DD28" i="21"/>
  <c r="DE28" i="21" s="1"/>
  <c r="BI32" i="21"/>
  <c r="BT32" i="21" s="1"/>
  <c r="BU32" i="21" s="1"/>
  <c r="BV32" i="21" s="1"/>
  <c r="E32" i="29" s="1"/>
  <c r="H927" i="31" s="1"/>
  <c r="BH32" i="21"/>
  <c r="FA31" i="20"/>
  <c r="FS31" i="20"/>
  <c r="DY30" i="20"/>
  <c r="EA30" i="20" s="1"/>
  <c r="EC30" i="20" s="1"/>
  <c r="ED30" i="20" s="1"/>
  <c r="EE30" i="20" s="1"/>
  <c r="EF30" i="20" s="1"/>
  <c r="K30" i="30" s="1"/>
  <c r="H1495" i="31" s="1"/>
  <c r="DP25" i="20"/>
  <c r="DR25" i="20" s="1"/>
  <c r="DS25" i="20" s="1"/>
  <c r="DT25" i="20" s="1"/>
  <c r="DU25" i="20" s="1"/>
  <c r="J25" i="30" s="1"/>
  <c r="H1460" i="31" s="1"/>
  <c r="DF32" i="20"/>
  <c r="CV29" i="20"/>
  <c r="CL31" i="20"/>
  <c r="BZ35" i="20"/>
  <c r="CA35" i="20" s="1"/>
  <c r="CC35" i="20" s="1"/>
  <c r="CD35" i="20" s="1"/>
  <c r="CE35" i="20" s="1"/>
  <c r="CF35" i="20" s="1"/>
  <c r="F35" i="30" s="1"/>
  <c r="H1350" i="31" s="1"/>
  <c r="BE34" i="20"/>
  <c r="AT27" i="20"/>
  <c r="D27" i="30" s="1"/>
  <c r="H1282" i="31" s="1"/>
  <c r="M26" i="30"/>
  <c r="H1551" i="31" s="1"/>
  <c r="O26" i="30"/>
  <c r="H1611" i="31" s="1"/>
  <c r="FW26" i="21"/>
  <c r="FX26" i="21" s="1"/>
  <c r="FY26" i="21" s="1"/>
  <c r="FZ26" i="21" s="1"/>
  <c r="EK31" i="21"/>
  <c r="FU26" i="21"/>
  <c r="FB27" i="21"/>
  <c r="FK27" i="21"/>
  <c r="FM27" i="21" s="1"/>
  <c r="L26" i="25"/>
  <c r="H291" i="31" s="1"/>
  <c r="X27" i="10"/>
  <c r="C27" i="25" s="1"/>
  <c r="H22" i="31" s="1"/>
  <c r="FK25" i="10"/>
  <c r="FM25" i="10" s="1"/>
  <c r="D25" i="29" l="1"/>
  <c r="H890" i="31" s="1"/>
  <c r="AT26" i="21"/>
  <c r="M25" i="29"/>
  <c r="H1160" i="31" s="1"/>
  <c r="O24" i="29"/>
  <c r="H1219" i="31" s="1"/>
  <c r="D24" i="28"/>
  <c r="H499" i="31" s="1"/>
  <c r="AT25" i="18"/>
  <c r="M24" i="28"/>
  <c r="H769" i="31" s="1"/>
  <c r="O23" i="28"/>
  <c r="H828" i="31" s="1"/>
  <c r="N27" i="25"/>
  <c r="H352" i="31" s="1"/>
  <c r="D24" i="25"/>
  <c r="H49" i="31" s="1"/>
  <c r="M24" i="25"/>
  <c r="H319" i="31" s="1"/>
  <c r="AT25" i="10"/>
  <c r="O23" i="25"/>
  <c r="H378" i="31" s="1"/>
  <c r="JS35" i="18"/>
  <c r="MB34" i="10"/>
  <c r="MD34" i="10" s="1"/>
  <c r="MO34" i="10" s="1"/>
  <c r="MP34" i="10" s="1"/>
  <c r="MQ34" i="10" s="1"/>
  <c r="R34" i="25" s="1"/>
  <c r="H1649" i="31" s="1"/>
  <c r="JU32" i="21"/>
  <c r="LM20" i="10"/>
  <c r="LN20" i="10" s="1"/>
  <c r="LO20" i="10" s="1"/>
  <c r="Q20" i="25" s="1"/>
  <c r="H435" i="31" s="1"/>
  <c r="LA20" i="10"/>
  <c r="KY20" i="10"/>
  <c r="CS28" i="10"/>
  <c r="CT28" i="10" s="1"/>
  <c r="CU28" i="10" s="1"/>
  <c r="CW28" i="10" s="1"/>
  <c r="CX28" i="10" s="1"/>
  <c r="CY28" i="10" s="1"/>
  <c r="CZ28" i="10" s="1"/>
  <c r="H28" i="25" s="1"/>
  <c r="H173" i="31" s="1"/>
  <c r="CL26" i="10"/>
  <c r="EC24" i="18"/>
  <c r="ED24" i="18" s="1"/>
  <c r="EE24" i="18" s="1"/>
  <c r="EF24" i="18" s="1"/>
  <c r="K24" i="28" s="1"/>
  <c r="H709" i="31" s="1"/>
  <c r="DG28" i="21"/>
  <c r="DH28" i="21" s="1"/>
  <c r="DI28" i="21" s="1"/>
  <c r="DJ28" i="21" s="1"/>
  <c r="I28" i="29" s="1"/>
  <c r="H1043" i="31" s="1"/>
  <c r="CT27" i="18"/>
  <c r="CU27" i="18" s="1"/>
  <c r="DZ24" i="18"/>
  <c r="EB24" i="18"/>
  <c r="CT30" i="21"/>
  <c r="CU30" i="21" s="1"/>
  <c r="CW30" i="21" s="1"/>
  <c r="CX30" i="21" s="1"/>
  <c r="CY30" i="21" s="1"/>
  <c r="CZ30" i="21" s="1"/>
  <c r="H30" i="29" s="1"/>
  <c r="H1015" i="31" s="1"/>
  <c r="DN27" i="21"/>
  <c r="DX26" i="21"/>
  <c r="DY19" i="10"/>
  <c r="EA19" i="10" s="1"/>
  <c r="DP19" i="10"/>
  <c r="DM25" i="18"/>
  <c r="DD27" i="10"/>
  <c r="DE27" i="10" s="1"/>
  <c r="BZ34" i="10"/>
  <c r="CA34" i="10" s="1"/>
  <c r="CC34" i="10" s="1"/>
  <c r="CD34" i="10" s="1"/>
  <c r="BZ35" i="18"/>
  <c r="CA35" i="18" s="1"/>
  <c r="DD29" i="18"/>
  <c r="DE29" i="18" s="1"/>
  <c r="BF33" i="18"/>
  <c r="BG33" i="18" s="1"/>
  <c r="CC33" i="21"/>
  <c r="CD33" i="21" s="1"/>
  <c r="CE33" i="21" s="1"/>
  <c r="CF33" i="21" s="1"/>
  <c r="F33" i="29" s="1"/>
  <c r="H958" i="31" s="1"/>
  <c r="DF28" i="21"/>
  <c r="CB33" i="21"/>
  <c r="BE33" i="21"/>
  <c r="FK31" i="20"/>
  <c r="FM31" i="20" s="1"/>
  <c r="FN31" i="20" s="1"/>
  <c r="FO31" i="20" s="1"/>
  <c r="FP31" i="20" s="1"/>
  <c r="FQ31" i="20" s="1"/>
  <c r="FT31" i="20"/>
  <c r="FV31" i="20" s="1"/>
  <c r="FW31" i="20" s="1"/>
  <c r="FX31" i="20" s="1"/>
  <c r="FY31" i="20" s="1"/>
  <c r="FZ31" i="20" s="1"/>
  <c r="FB31" i="20"/>
  <c r="FD31" i="20" s="1"/>
  <c r="FE31" i="20" s="1"/>
  <c r="FF31" i="20" s="1"/>
  <c r="FG31" i="20" s="1"/>
  <c r="FH31" i="20" s="1"/>
  <c r="DO25" i="20"/>
  <c r="DZ30" i="20"/>
  <c r="EB30" i="20"/>
  <c r="DQ25" i="20"/>
  <c r="DM26" i="20" s="1"/>
  <c r="DN26" i="20" s="1"/>
  <c r="DC33" i="20"/>
  <c r="CS30" i="20"/>
  <c r="CI32" i="20"/>
  <c r="CB35" i="20"/>
  <c r="BF34" i="20"/>
  <c r="BG34" i="20" s="1"/>
  <c r="BI34" i="20" s="1"/>
  <c r="BT34" i="20" s="1"/>
  <c r="BU34" i="20" s="1"/>
  <c r="BV34" i="20" s="1"/>
  <c r="E34" i="30" s="1"/>
  <c r="H1319" i="31" s="1"/>
  <c r="O27" i="30"/>
  <c r="H1612" i="31" s="1"/>
  <c r="M27" i="30"/>
  <c r="H1552" i="31" s="1"/>
  <c r="AT28" i="20"/>
  <c r="D28" i="30" s="1"/>
  <c r="H1283" i="31" s="1"/>
  <c r="FN27" i="21"/>
  <c r="FO27" i="21" s="1"/>
  <c r="FP27" i="21" s="1"/>
  <c r="FQ27" i="21" s="1"/>
  <c r="EN31" i="21"/>
  <c r="EJ32" i="21" s="1"/>
  <c r="FD27" i="21"/>
  <c r="FE27" i="21" s="1"/>
  <c r="FF27" i="21" s="1"/>
  <c r="FG27" i="21" s="1"/>
  <c r="FH27" i="21" s="1"/>
  <c r="N28" i="25"/>
  <c r="H353" i="31" s="1"/>
  <c r="FS27" i="21"/>
  <c r="FL27" i="21"/>
  <c r="L27" i="25"/>
  <c r="H292" i="31" s="1"/>
  <c r="X28" i="10"/>
  <c r="C28" i="25" s="1"/>
  <c r="H23" i="31" s="1"/>
  <c r="FN25" i="10"/>
  <c r="FO25" i="10" s="1"/>
  <c r="FP25" i="10" s="1"/>
  <c r="FQ25" i="10" s="1"/>
  <c r="O25" i="29" l="1"/>
  <c r="H1220" i="31" s="1"/>
  <c r="D26" i="29"/>
  <c r="H891" i="31" s="1"/>
  <c r="AT27" i="21"/>
  <c r="M26" i="29"/>
  <c r="H1161" i="31" s="1"/>
  <c r="D25" i="28"/>
  <c r="H500" i="31" s="1"/>
  <c r="M25" i="28"/>
  <c r="H770" i="31" s="1"/>
  <c r="AT26" i="18"/>
  <c r="O24" i="28"/>
  <c r="H829" i="31" s="1"/>
  <c r="D25" i="25"/>
  <c r="H50" i="31" s="1"/>
  <c r="AT26" i="10"/>
  <c r="M25" i="25"/>
  <c r="H320" i="31" s="1"/>
  <c r="O24" i="25"/>
  <c r="H379" i="31" s="1"/>
  <c r="JR33" i="21"/>
  <c r="JS33" i="21" s="1"/>
  <c r="JT33" i="21" s="1"/>
  <c r="JV33" i="21" s="1"/>
  <c r="KG33" i="21" s="1"/>
  <c r="KH33" i="21" s="1"/>
  <c r="KI33" i="21" s="1"/>
  <c r="P33" i="29" s="1"/>
  <c r="H1708" i="31" s="1"/>
  <c r="JT35" i="18"/>
  <c r="JV35" i="18" s="1"/>
  <c r="KG35" i="18" s="1"/>
  <c r="KH35" i="18" s="1"/>
  <c r="KI35" i="18" s="1"/>
  <c r="P35" i="28" s="1"/>
  <c r="H1680" i="31" s="1"/>
  <c r="MC34" i="10"/>
  <c r="KW21" i="10"/>
  <c r="CV28" i="10"/>
  <c r="CS29" i="10" s="1"/>
  <c r="CT29" i="10" s="1"/>
  <c r="CU29" i="10" s="1"/>
  <c r="CW29" i="10" s="1"/>
  <c r="CX29" i="10" s="1"/>
  <c r="CY29" i="10" s="1"/>
  <c r="CZ29" i="10" s="1"/>
  <c r="H29" i="25" s="1"/>
  <c r="H174" i="31" s="1"/>
  <c r="EC19" i="10"/>
  <c r="ED19" i="10" s="1"/>
  <c r="EE19" i="10" s="1"/>
  <c r="EF19" i="10" s="1"/>
  <c r="K19" i="25" s="1"/>
  <c r="H254" i="31" s="1"/>
  <c r="DG27" i="10"/>
  <c r="DH27" i="10" s="1"/>
  <c r="DI27" i="10" s="1"/>
  <c r="DJ27" i="10" s="1"/>
  <c r="I27" i="25" s="1"/>
  <c r="H202" i="31" s="1"/>
  <c r="DG29" i="18"/>
  <c r="DH29" i="18" s="1"/>
  <c r="DI29" i="18" s="1"/>
  <c r="DJ29" i="18" s="1"/>
  <c r="I29" i="28" s="1"/>
  <c r="H654" i="31" s="1"/>
  <c r="DR19" i="10"/>
  <c r="DS19" i="10" s="1"/>
  <c r="DT19" i="10" s="1"/>
  <c r="DU19" i="10" s="1"/>
  <c r="J19" i="25" s="1"/>
  <c r="H224" i="31" s="1"/>
  <c r="DY26" i="21"/>
  <c r="EA26" i="21" s="1"/>
  <c r="CW27" i="18"/>
  <c r="CX27" i="18" s="1"/>
  <c r="CY27" i="18" s="1"/>
  <c r="CZ27" i="18" s="1"/>
  <c r="H27" i="28" s="1"/>
  <c r="H622" i="31" s="1"/>
  <c r="DQ19" i="10"/>
  <c r="DN25" i="18"/>
  <c r="DP25" i="18" s="1"/>
  <c r="CV30" i="21"/>
  <c r="CV27" i="18"/>
  <c r="DO19" i="10"/>
  <c r="DZ19" i="10"/>
  <c r="EB19" i="10"/>
  <c r="DP27" i="21"/>
  <c r="DR27" i="21" s="1"/>
  <c r="DS27" i="21" s="1"/>
  <c r="DT27" i="21" s="1"/>
  <c r="DU27" i="21" s="1"/>
  <c r="J27" i="29" s="1"/>
  <c r="H1072" i="31" s="1"/>
  <c r="DX25" i="18"/>
  <c r="CI27" i="10"/>
  <c r="CJ27" i="10" s="1"/>
  <c r="CK27" i="10" s="1"/>
  <c r="CM27" i="10" s="1"/>
  <c r="CN27" i="10" s="1"/>
  <c r="CO27" i="10" s="1"/>
  <c r="CP27" i="10" s="1"/>
  <c r="G27" i="25" s="1"/>
  <c r="H142" i="31" s="1"/>
  <c r="CC35" i="18"/>
  <c r="CD35" i="18" s="1"/>
  <c r="CE35" i="18" s="1"/>
  <c r="CF35" i="18" s="1"/>
  <c r="F35" i="28" s="1"/>
  <c r="H570" i="31" s="1"/>
  <c r="CE34" i="10"/>
  <c r="CF34" i="10" s="1"/>
  <c r="F34" i="25" s="1"/>
  <c r="H119" i="31" s="1"/>
  <c r="CB34" i="10"/>
  <c r="DF27" i="10"/>
  <c r="CB35" i="18"/>
  <c r="DF29" i="18"/>
  <c r="BI33" i="18"/>
  <c r="BT33" i="18" s="1"/>
  <c r="BU33" i="18" s="1"/>
  <c r="BV33" i="18" s="1"/>
  <c r="E33" i="28" s="1"/>
  <c r="H538" i="31" s="1"/>
  <c r="BH33" i="18"/>
  <c r="BY34" i="21"/>
  <c r="DC29" i="21"/>
  <c r="BF33" i="21"/>
  <c r="BG33" i="21" s="1"/>
  <c r="FU31" i="20"/>
  <c r="FC31" i="20"/>
  <c r="FL31" i="20"/>
  <c r="DX31" i="20"/>
  <c r="DP26" i="20"/>
  <c r="DO26" i="20" s="1"/>
  <c r="DD33" i="20"/>
  <c r="CT30" i="20"/>
  <c r="CU30" i="20" s="1"/>
  <c r="CW30" i="20" s="1"/>
  <c r="CX30" i="20" s="1"/>
  <c r="CY30" i="20" s="1"/>
  <c r="CZ30" i="20" s="1"/>
  <c r="H30" i="30" s="1"/>
  <c r="H1405" i="31" s="1"/>
  <c r="CJ32" i="20"/>
  <c r="BY36" i="20"/>
  <c r="BH34" i="20"/>
  <c r="BE35" i="20" s="1"/>
  <c r="O28" i="30"/>
  <c r="H1613" i="31" s="1"/>
  <c r="M28" i="30"/>
  <c r="H1553" i="31" s="1"/>
  <c r="AT29" i="20"/>
  <c r="D29" i="30" s="1"/>
  <c r="H1284" i="31" s="1"/>
  <c r="EK32" i="21"/>
  <c r="EN32" i="21" s="1"/>
  <c r="EL31" i="21"/>
  <c r="EV31" i="21"/>
  <c r="EW31" i="21" s="1"/>
  <c r="EX31" i="21" s="1"/>
  <c r="EY31" i="21" s="1"/>
  <c r="FC27" i="21"/>
  <c r="FA28" i="21" s="1"/>
  <c r="N29" i="25"/>
  <c r="H354" i="31" s="1"/>
  <c r="FJ28" i="21"/>
  <c r="FT27" i="21"/>
  <c r="FV27" i="21" s="1"/>
  <c r="L28" i="25"/>
  <c r="H293" i="31" s="1"/>
  <c r="X29" i="10"/>
  <c r="C29" i="25" s="1"/>
  <c r="H24" i="31" s="1"/>
  <c r="FL25" i="10"/>
  <c r="D27" i="29" l="1"/>
  <c r="H892" i="31" s="1"/>
  <c r="AT28" i="21"/>
  <c r="M27" i="29"/>
  <c r="H1162" i="31" s="1"/>
  <c r="O26" i="29"/>
  <c r="H1221" i="31" s="1"/>
  <c r="D26" i="28"/>
  <c r="H501" i="31" s="1"/>
  <c r="M26" i="28"/>
  <c r="H771" i="31" s="1"/>
  <c r="AT27" i="18"/>
  <c r="O25" i="28"/>
  <c r="H830" i="31" s="1"/>
  <c r="D26" i="25"/>
  <c r="H51" i="31" s="1"/>
  <c r="AT27" i="10"/>
  <c r="M26" i="25"/>
  <c r="H321" i="31" s="1"/>
  <c r="O25" i="25"/>
  <c r="H380" i="31" s="1"/>
  <c r="JU33" i="21"/>
  <c r="JU35" i="18"/>
  <c r="LZ35" i="10"/>
  <c r="KX21" i="10"/>
  <c r="KZ21" i="10" s="1"/>
  <c r="LB21" i="10" s="1"/>
  <c r="DR25" i="18"/>
  <c r="DS25" i="18" s="1"/>
  <c r="DT25" i="18" s="1"/>
  <c r="DU25" i="18" s="1"/>
  <c r="J25" i="28" s="1"/>
  <c r="H680" i="31" s="1"/>
  <c r="DY25" i="18"/>
  <c r="EA25" i="18" s="1"/>
  <c r="CS28" i="18"/>
  <c r="CS31" i="21"/>
  <c r="DO25" i="18"/>
  <c r="DQ25" i="18"/>
  <c r="EC26" i="21"/>
  <c r="ED26" i="21" s="1"/>
  <c r="EE26" i="21" s="1"/>
  <c r="EF26" i="21" s="1"/>
  <c r="K26" i="29" s="1"/>
  <c r="H1101" i="31" s="1"/>
  <c r="CL27" i="10"/>
  <c r="CV29" i="10"/>
  <c r="DQ27" i="21"/>
  <c r="DM20" i="10"/>
  <c r="DZ26" i="21"/>
  <c r="EB26" i="21"/>
  <c r="DX20" i="10"/>
  <c r="DO27" i="21"/>
  <c r="BY35" i="10"/>
  <c r="DC28" i="10"/>
  <c r="BY36" i="18"/>
  <c r="DC30" i="18"/>
  <c r="BE34" i="18"/>
  <c r="BZ34" i="21"/>
  <c r="CA34" i="21" s="1"/>
  <c r="DD29" i="21"/>
  <c r="DE29" i="21" s="1"/>
  <c r="BI33" i="21"/>
  <c r="BT33" i="21" s="1"/>
  <c r="BU33" i="21" s="1"/>
  <c r="BV33" i="21" s="1"/>
  <c r="E33" i="29" s="1"/>
  <c r="H928" i="31" s="1"/>
  <c r="BH33" i="21"/>
  <c r="FS32" i="20"/>
  <c r="FJ32" i="20"/>
  <c r="FA32" i="20"/>
  <c r="DR26" i="20"/>
  <c r="DS26" i="20" s="1"/>
  <c r="DT26" i="20" s="1"/>
  <c r="DU26" i="20" s="1"/>
  <c r="J26" i="30" s="1"/>
  <c r="H1461" i="31" s="1"/>
  <c r="DY31" i="20"/>
  <c r="DQ26" i="20"/>
  <c r="DM27" i="20" s="1"/>
  <c r="DE33" i="20"/>
  <c r="CV30" i="20"/>
  <c r="CS31" i="20" s="1"/>
  <c r="CK32" i="20"/>
  <c r="CM32" i="20" s="1"/>
  <c r="CN32" i="20" s="1"/>
  <c r="CO32" i="20" s="1"/>
  <c r="CP32" i="20" s="1"/>
  <c r="G32" i="30" s="1"/>
  <c r="H1377" i="31" s="1"/>
  <c r="BZ36" i="20"/>
  <c r="CA36" i="20" s="1"/>
  <c r="CC36" i="20" s="1"/>
  <c r="CD36" i="20" s="1"/>
  <c r="CE36" i="20" s="1"/>
  <c r="CF36" i="20" s="1"/>
  <c r="F36" i="30" s="1"/>
  <c r="H1351" i="31" s="1"/>
  <c r="BF35" i="20"/>
  <c r="BG35" i="20" s="1"/>
  <c r="M29" i="30"/>
  <c r="H1554" i="31" s="1"/>
  <c r="AT30" i="20"/>
  <c r="D30" i="30" s="1"/>
  <c r="H1285" i="31" s="1"/>
  <c r="O29" i="30"/>
  <c r="H1614" i="31" s="1"/>
  <c r="FW27" i="21"/>
  <c r="FX27" i="21" s="1"/>
  <c r="FY27" i="21" s="1"/>
  <c r="FZ27" i="21" s="1"/>
  <c r="EV32" i="21"/>
  <c r="EW32" i="21" s="1"/>
  <c r="EX32" i="21" s="1"/>
  <c r="EY32" i="21" s="1"/>
  <c r="EJ33" i="21"/>
  <c r="EL32" i="21"/>
  <c r="N30" i="25"/>
  <c r="H355" i="31" s="1"/>
  <c r="FK28" i="21"/>
  <c r="FM28" i="21" s="1"/>
  <c r="FN28" i="21" s="1"/>
  <c r="FO28" i="21" s="1"/>
  <c r="FP28" i="21" s="1"/>
  <c r="FQ28" i="21" s="1"/>
  <c r="FB28" i="21"/>
  <c r="FD28" i="21" s="1"/>
  <c r="FE28" i="21" s="1"/>
  <c r="FF28" i="21" s="1"/>
  <c r="FG28" i="21" s="1"/>
  <c r="FH28" i="21" s="1"/>
  <c r="FU27" i="21"/>
  <c r="L29" i="25"/>
  <c r="H294" i="31" s="1"/>
  <c r="X30" i="10"/>
  <c r="C30" i="25" s="1"/>
  <c r="H25" i="31" s="1"/>
  <c r="FJ26" i="10"/>
  <c r="O27" i="29" l="1"/>
  <c r="H1222" i="31" s="1"/>
  <c r="D28" i="29"/>
  <c r="H893" i="31" s="1"/>
  <c r="M28" i="29"/>
  <c r="H1163" i="31" s="1"/>
  <c r="AT29" i="21"/>
  <c r="D27" i="28"/>
  <c r="H502" i="31" s="1"/>
  <c r="AT28" i="18"/>
  <c r="M27" i="28"/>
  <c r="H772" i="31" s="1"/>
  <c r="O26" i="28"/>
  <c r="H831" i="31" s="1"/>
  <c r="D27" i="25"/>
  <c r="H52" i="31" s="1"/>
  <c r="M27" i="25"/>
  <c r="H322" i="31" s="1"/>
  <c r="AT28" i="10"/>
  <c r="O26" i="25"/>
  <c r="H381" i="31" s="1"/>
  <c r="JR34" i="21"/>
  <c r="JS34" i="21" s="1"/>
  <c r="JT34" i="21" s="1"/>
  <c r="JV34" i="21" s="1"/>
  <c r="KG34" i="21" s="1"/>
  <c r="KH34" i="21" s="1"/>
  <c r="KI34" i="21" s="1"/>
  <c r="P34" i="29" s="1"/>
  <c r="H1709" i="31" s="1"/>
  <c r="JR36" i="18"/>
  <c r="MA35" i="10"/>
  <c r="MB35" i="10" s="1"/>
  <c r="MD35" i="10" s="1"/>
  <c r="MO35" i="10" s="1"/>
  <c r="MP35" i="10" s="1"/>
  <c r="MQ35" i="10" s="1"/>
  <c r="R35" i="25" s="1"/>
  <c r="H1650" i="31" s="1"/>
  <c r="LM21" i="10"/>
  <c r="LN21" i="10" s="1"/>
  <c r="LO21" i="10" s="1"/>
  <c r="Q21" i="25" s="1"/>
  <c r="H436" i="31" s="1"/>
  <c r="LA21" i="10"/>
  <c r="DG29" i="21"/>
  <c r="DH29" i="21" s="1"/>
  <c r="DI29" i="21" s="1"/>
  <c r="DJ29" i="21" s="1"/>
  <c r="I29" i="29" s="1"/>
  <c r="H1044" i="31" s="1"/>
  <c r="DX27" i="21"/>
  <c r="DM28" i="21"/>
  <c r="CT31" i="21"/>
  <c r="CU31" i="21" s="1"/>
  <c r="CW31" i="21" s="1"/>
  <c r="CX31" i="21" s="1"/>
  <c r="CY31" i="21" s="1"/>
  <c r="CZ31" i="21" s="1"/>
  <c r="H31" i="29" s="1"/>
  <c r="H1016" i="31" s="1"/>
  <c r="EC25" i="18"/>
  <c r="ED25" i="18" s="1"/>
  <c r="EE25" i="18" s="1"/>
  <c r="EF25" i="18" s="1"/>
  <c r="K25" i="28" s="1"/>
  <c r="H710" i="31" s="1"/>
  <c r="CS30" i="10"/>
  <c r="DM26" i="18"/>
  <c r="DN26" i="18" s="1"/>
  <c r="DZ25" i="18"/>
  <c r="EB25" i="18"/>
  <c r="DY20" i="10"/>
  <c r="EA20" i="10" s="1"/>
  <c r="DN20" i="10"/>
  <c r="CI28" i="10"/>
  <c r="CJ28" i="10" s="1"/>
  <c r="CK28" i="10" s="1"/>
  <c r="CM28" i="10" s="1"/>
  <c r="CN28" i="10" s="1"/>
  <c r="CO28" i="10" s="1"/>
  <c r="CP28" i="10" s="1"/>
  <c r="G28" i="25" s="1"/>
  <c r="H143" i="31" s="1"/>
  <c r="CT28" i="18"/>
  <c r="BZ35" i="10"/>
  <c r="CA35" i="10" s="1"/>
  <c r="CC35" i="10" s="1"/>
  <c r="DD28" i="10"/>
  <c r="BZ36" i="18"/>
  <c r="CA36" i="18" s="1"/>
  <c r="DD30" i="18"/>
  <c r="DE30" i="18" s="1"/>
  <c r="BF34" i="18"/>
  <c r="BG34" i="18" s="1"/>
  <c r="CC34" i="21"/>
  <c r="CD34" i="21" s="1"/>
  <c r="CE34" i="21" s="1"/>
  <c r="CF34" i="21" s="1"/>
  <c r="F34" i="29" s="1"/>
  <c r="H959" i="31" s="1"/>
  <c r="CB34" i="21"/>
  <c r="DF29" i="21"/>
  <c r="BE34" i="21"/>
  <c r="FK32" i="20"/>
  <c r="FM32" i="20" s="1"/>
  <c r="FN32" i="20" s="1"/>
  <c r="FO32" i="20" s="1"/>
  <c r="FP32" i="20" s="1"/>
  <c r="FQ32" i="20" s="1"/>
  <c r="FB32" i="20"/>
  <c r="FT32" i="20"/>
  <c r="FV32" i="20" s="1"/>
  <c r="FW32" i="20" s="1"/>
  <c r="FX32" i="20" s="1"/>
  <c r="FY32" i="20" s="1"/>
  <c r="FZ32" i="20" s="1"/>
  <c r="EA31" i="20"/>
  <c r="DN27" i="20"/>
  <c r="DF33" i="20"/>
  <c r="DC34" i="20" s="1"/>
  <c r="DG33" i="20"/>
  <c r="DH33" i="20" s="1"/>
  <c r="DI33" i="20" s="1"/>
  <c r="DJ33" i="20" s="1"/>
  <c r="I33" i="30" s="1"/>
  <c r="H1438" i="31" s="1"/>
  <c r="CT31" i="20"/>
  <c r="CU31" i="20" s="1"/>
  <c r="CL32" i="20"/>
  <c r="CB36" i="20"/>
  <c r="BH35" i="20"/>
  <c r="BI35" i="20"/>
  <c r="BT35" i="20" s="1"/>
  <c r="BU35" i="20" s="1"/>
  <c r="BV35" i="20" s="1"/>
  <c r="E35" i="30" s="1"/>
  <c r="H1320" i="31" s="1"/>
  <c r="O30" i="30"/>
  <c r="H1615" i="31" s="1"/>
  <c r="AT31" i="20"/>
  <c r="D31" i="30" s="1"/>
  <c r="H1286" i="31" s="1"/>
  <c r="M30" i="30"/>
  <c r="H1555" i="31" s="1"/>
  <c r="EK33" i="21"/>
  <c r="N31" i="25"/>
  <c r="H356" i="31" s="1"/>
  <c r="FS28" i="21"/>
  <c r="FC28" i="21"/>
  <c r="FL28" i="21"/>
  <c r="L30" i="25"/>
  <c r="H295" i="31" s="1"/>
  <c r="X31" i="10"/>
  <c r="C31" i="25" s="1"/>
  <c r="H26" i="31" s="1"/>
  <c r="FK26" i="10"/>
  <c r="FM26" i="10" s="1"/>
  <c r="D29" i="29" l="1"/>
  <c r="H894" i="31" s="1"/>
  <c r="AT30" i="21"/>
  <c r="M29" i="29"/>
  <c r="H1164" i="31" s="1"/>
  <c r="O28" i="29"/>
  <c r="H1223" i="31" s="1"/>
  <c r="D28" i="28"/>
  <c r="H503" i="31" s="1"/>
  <c r="AT29" i="18"/>
  <c r="M28" i="28"/>
  <c r="H773" i="31" s="1"/>
  <c r="O27" i="28"/>
  <c r="H832" i="31" s="1"/>
  <c r="D28" i="25"/>
  <c r="H53" i="31" s="1"/>
  <c r="M28" i="25"/>
  <c r="H323" i="31" s="1"/>
  <c r="AT29" i="10"/>
  <c r="O27" i="25"/>
  <c r="H382" i="31" s="1"/>
  <c r="JU34" i="21"/>
  <c r="JS36" i="18"/>
  <c r="MC35" i="10"/>
  <c r="KY21" i="10"/>
  <c r="KW22" i="10" s="1"/>
  <c r="DG30" i="18"/>
  <c r="DH30" i="18" s="1"/>
  <c r="DI30" i="18" s="1"/>
  <c r="DJ30" i="18" s="1"/>
  <c r="I30" i="28" s="1"/>
  <c r="H655" i="31" s="1"/>
  <c r="CT30" i="10"/>
  <c r="CU30" i="10" s="1"/>
  <c r="CW30" i="10" s="1"/>
  <c r="CX30" i="10" s="1"/>
  <c r="CY30" i="10" s="1"/>
  <c r="CZ30" i="10" s="1"/>
  <c r="H30" i="25" s="1"/>
  <c r="H175" i="31" s="1"/>
  <c r="CL28" i="10"/>
  <c r="EC20" i="10"/>
  <c r="ED20" i="10" s="1"/>
  <c r="EE20" i="10" s="1"/>
  <c r="EF20" i="10" s="1"/>
  <c r="K20" i="25" s="1"/>
  <c r="H255" i="31" s="1"/>
  <c r="DY27" i="21"/>
  <c r="EA27" i="21" s="1"/>
  <c r="CV31" i="21"/>
  <c r="DZ20" i="10"/>
  <c r="EB20" i="10"/>
  <c r="DP26" i="18"/>
  <c r="DO26" i="18" s="1"/>
  <c r="CU28" i="18"/>
  <c r="DP20" i="10"/>
  <c r="DO20" i="10" s="1"/>
  <c r="DX26" i="18"/>
  <c r="DN28" i="21"/>
  <c r="CD35" i="10"/>
  <c r="CE35" i="10" s="1"/>
  <c r="CF35" i="10" s="1"/>
  <c r="F35" i="25" s="1"/>
  <c r="H120" i="31" s="1"/>
  <c r="CC36" i="18"/>
  <c r="CD36" i="18" s="1"/>
  <c r="CE36" i="18" s="1"/>
  <c r="CF36" i="18" s="1"/>
  <c r="F36" i="28" s="1"/>
  <c r="H571" i="31" s="1"/>
  <c r="CB35" i="10"/>
  <c r="DE28" i="10"/>
  <c r="DF28" i="10" s="1"/>
  <c r="CB36" i="18"/>
  <c r="DF30" i="18"/>
  <c r="BI34" i="18"/>
  <c r="BT34" i="18" s="1"/>
  <c r="BU34" i="18" s="1"/>
  <c r="BV34" i="18" s="1"/>
  <c r="E34" i="28" s="1"/>
  <c r="H539" i="31" s="1"/>
  <c r="BH34" i="18"/>
  <c r="DC30" i="21"/>
  <c r="BY35" i="21"/>
  <c r="BF34" i="21"/>
  <c r="BG34" i="21" s="1"/>
  <c r="FD32" i="20"/>
  <c r="FE32" i="20" s="1"/>
  <c r="FF32" i="20" s="1"/>
  <c r="FG32" i="20" s="1"/>
  <c r="FH32" i="20" s="1"/>
  <c r="FU32" i="20"/>
  <c r="FL32" i="20"/>
  <c r="EC31" i="20"/>
  <c r="ED31" i="20" s="1"/>
  <c r="EE31" i="20" s="1"/>
  <c r="EF31" i="20" s="1"/>
  <c r="K31" i="30" s="1"/>
  <c r="H1496" i="31" s="1"/>
  <c r="EB31" i="20"/>
  <c r="DZ31" i="20"/>
  <c r="DP27" i="20"/>
  <c r="DR27" i="20" s="1"/>
  <c r="DS27" i="20" s="1"/>
  <c r="DT27" i="20" s="1"/>
  <c r="DU27" i="20" s="1"/>
  <c r="J27" i="30" s="1"/>
  <c r="H1462" i="31" s="1"/>
  <c r="DD34" i="20"/>
  <c r="DE34" i="20" s="1"/>
  <c r="DG34" i="20" s="1"/>
  <c r="DH34" i="20" s="1"/>
  <c r="DI34" i="20" s="1"/>
  <c r="DJ34" i="20" s="1"/>
  <c r="I34" i="30" s="1"/>
  <c r="H1439" i="31" s="1"/>
  <c r="CV31" i="20"/>
  <c r="CS32" i="20" s="1"/>
  <c r="CW31" i="20"/>
  <c r="CX31" i="20" s="1"/>
  <c r="CY31" i="20" s="1"/>
  <c r="CZ31" i="20" s="1"/>
  <c r="H31" i="30" s="1"/>
  <c r="H1406" i="31" s="1"/>
  <c r="CI33" i="20"/>
  <c r="BE36" i="20"/>
  <c r="AT32" i="20"/>
  <c r="D32" i="30" s="1"/>
  <c r="H1287" i="31" s="1"/>
  <c r="M31" i="30"/>
  <c r="H1556" i="31" s="1"/>
  <c r="O31" i="30"/>
  <c r="H1616" i="31" s="1"/>
  <c r="EN33" i="21"/>
  <c r="EJ34" i="21" s="1"/>
  <c r="N32" i="25"/>
  <c r="H357" i="31" s="1"/>
  <c r="L31" i="25"/>
  <c r="H296" i="31" s="1"/>
  <c r="FA29" i="21"/>
  <c r="FT28" i="21"/>
  <c r="FV28" i="21" s="1"/>
  <c r="FJ29" i="21"/>
  <c r="X32" i="10"/>
  <c r="C32" i="25" s="1"/>
  <c r="H27" i="31" s="1"/>
  <c r="FN26" i="10"/>
  <c r="FO26" i="10" s="1"/>
  <c r="FP26" i="10" s="1"/>
  <c r="FQ26" i="10" s="1"/>
  <c r="D30" i="29" l="1"/>
  <c r="H895" i="31" s="1"/>
  <c r="AT31" i="21"/>
  <c r="O29" i="29"/>
  <c r="H1224" i="31" s="1"/>
  <c r="D29" i="28"/>
  <c r="H504" i="31" s="1"/>
  <c r="M29" i="28"/>
  <c r="H774" i="31" s="1"/>
  <c r="AT30" i="18"/>
  <c r="O28" i="28"/>
  <c r="H833" i="31" s="1"/>
  <c r="D29" i="25"/>
  <c r="H54" i="31" s="1"/>
  <c r="AT30" i="10"/>
  <c r="M29" i="25"/>
  <c r="H324" i="31" s="1"/>
  <c r="O28" i="25"/>
  <c r="H383" i="31" s="1"/>
  <c r="JT36" i="18"/>
  <c r="JV36" i="18" s="1"/>
  <c r="KG36" i="18" s="1"/>
  <c r="KH36" i="18" s="1"/>
  <c r="KI36" i="18" s="1"/>
  <c r="P36" i="28" s="1"/>
  <c r="H1681" i="31" s="1"/>
  <c r="JR35" i="21"/>
  <c r="JS35" i="21" s="1"/>
  <c r="JT35" i="21" s="1"/>
  <c r="JV35" i="21" s="1"/>
  <c r="KG35" i="21" s="1"/>
  <c r="KH35" i="21" s="1"/>
  <c r="KI35" i="21" s="1"/>
  <c r="P35" i="29" s="1"/>
  <c r="H1710" i="31" s="1"/>
  <c r="LZ36" i="10"/>
  <c r="KX22" i="10"/>
  <c r="KZ22" i="10" s="1"/>
  <c r="LB22" i="10" s="1"/>
  <c r="EC27" i="21"/>
  <c r="ED27" i="21" s="1"/>
  <c r="EE27" i="21" s="1"/>
  <c r="EF27" i="21" s="1"/>
  <c r="K27" i="29" s="1"/>
  <c r="H1102" i="31" s="1"/>
  <c r="CI29" i="10"/>
  <c r="CJ29" i="10" s="1"/>
  <c r="CK29" i="10" s="1"/>
  <c r="CM29" i="10" s="1"/>
  <c r="CN29" i="10" s="1"/>
  <c r="CO29" i="10" s="1"/>
  <c r="CP29" i="10" s="1"/>
  <c r="G29" i="25" s="1"/>
  <c r="H144" i="31" s="1"/>
  <c r="CW28" i="18"/>
  <c r="CX28" i="18" s="1"/>
  <c r="CY28" i="18" s="1"/>
  <c r="CZ28" i="18" s="1"/>
  <c r="H28" i="28" s="1"/>
  <c r="H623" i="31" s="1"/>
  <c r="DX21" i="10"/>
  <c r="CV28" i="18"/>
  <c r="DG28" i="10"/>
  <c r="DH28" i="10" s="1"/>
  <c r="DI28" i="10" s="1"/>
  <c r="DJ28" i="10" s="1"/>
  <c r="I28" i="25" s="1"/>
  <c r="H203" i="31" s="1"/>
  <c r="DY26" i="18"/>
  <c r="EA26" i="18" s="1"/>
  <c r="CS32" i="21"/>
  <c r="EB27" i="21"/>
  <c r="DZ27" i="21"/>
  <c r="CV30" i="10"/>
  <c r="DP28" i="21"/>
  <c r="DR28" i="21" s="1"/>
  <c r="DS28" i="21" s="1"/>
  <c r="DT28" i="21" s="1"/>
  <c r="DU28" i="21" s="1"/>
  <c r="J28" i="29" s="1"/>
  <c r="H1073" i="31" s="1"/>
  <c r="DR20" i="10"/>
  <c r="DS20" i="10" s="1"/>
  <c r="DT20" i="10" s="1"/>
  <c r="DU20" i="10" s="1"/>
  <c r="J20" i="25" s="1"/>
  <c r="H225" i="31" s="1"/>
  <c r="DR26" i="18"/>
  <c r="DS26" i="18" s="1"/>
  <c r="DT26" i="18" s="1"/>
  <c r="DU26" i="18" s="1"/>
  <c r="J26" i="28" s="1"/>
  <c r="H681" i="31" s="1"/>
  <c r="DQ20" i="10"/>
  <c r="DQ26" i="18"/>
  <c r="BY36" i="10"/>
  <c r="DC29" i="10"/>
  <c r="DC31" i="18"/>
  <c r="BE35" i="18"/>
  <c r="BZ35" i="21"/>
  <c r="CA35" i="21" s="1"/>
  <c r="DD30" i="21"/>
  <c r="BI34" i="21"/>
  <c r="BT34" i="21" s="1"/>
  <c r="BU34" i="21" s="1"/>
  <c r="BV34" i="21" s="1"/>
  <c r="E34" i="29" s="1"/>
  <c r="H929" i="31" s="1"/>
  <c r="BH34" i="21"/>
  <c r="FJ33" i="20"/>
  <c r="FS33" i="20"/>
  <c r="FC32" i="20"/>
  <c r="DX32" i="20"/>
  <c r="DQ27" i="20"/>
  <c r="DM28" i="20" s="1"/>
  <c r="DN28" i="20" s="1"/>
  <c r="DO27" i="20"/>
  <c r="DF34" i="20"/>
  <c r="CT32" i="20"/>
  <c r="CU32" i="20" s="1"/>
  <c r="CJ33" i="20"/>
  <c r="BF36" i="20"/>
  <c r="BG36" i="20" s="1"/>
  <c r="BI36" i="20" s="1"/>
  <c r="BT36" i="20" s="1"/>
  <c r="BU36" i="20" s="1"/>
  <c r="BV36" i="20" s="1"/>
  <c r="E36" i="30" s="1"/>
  <c r="H1321" i="31" s="1"/>
  <c r="O32" i="30"/>
  <c r="H1617" i="31" s="1"/>
  <c r="M32" i="30"/>
  <c r="H1557" i="31" s="1"/>
  <c r="AT33" i="20"/>
  <c r="D33" i="30" s="1"/>
  <c r="H1288" i="31" s="1"/>
  <c r="EL33" i="21"/>
  <c r="EK34" i="21"/>
  <c r="EV33" i="21"/>
  <c r="EW33" i="21" s="1"/>
  <c r="EX33" i="21" s="1"/>
  <c r="EY33" i="21" s="1"/>
  <c r="N33" i="25"/>
  <c r="H358" i="31" s="1"/>
  <c r="L32" i="25"/>
  <c r="H297" i="31" s="1"/>
  <c r="FK29" i="21"/>
  <c r="FM29" i="21" s="1"/>
  <c r="FN29" i="21" s="1"/>
  <c r="FO29" i="21" s="1"/>
  <c r="FP29" i="21" s="1"/>
  <c r="FQ29" i="21" s="1"/>
  <c r="FB29" i="21"/>
  <c r="FW28" i="21"/>
  <c r="FX28" i="21" s="1"/>
  <c r="FY28" i="21" s="1"/>
  <c r="FZ28" i="21" s="1"/>
  <c r="X33" i="10"/>
  <c r="C33" i="25" s="1"/>
  <c r="H28" i="31" s="1"/>
  <c r="FL26" i="10"/>
  <c r="O30" i="29" l="1"/>
  <c r="H1225" i="31" s="1"/>
  <c r="M30" i="29"/>
  <c r="H1165" i="31" s="1"/>
  <c r="D31" i="29"/>
  <c r="H896" i="31" s="1"/>
  <c r="AT32" i="21"/>
  <c r="D30" i="28"/>
  <c r="H505" i="31" s="1"/>
  <c r="AT31" i="18"/>
  <c r="O29" i="28"/>
  <c r="H834" i="31" s="1"/>
  <c r="D30" i="25"/>
  <c r="H55" i="31" s="1"/>
  <c r="AT31" i="10"/>
  <c r="O29" i="25"/>
  <c r="H384" i="31" s="1"/>
  <c r="JU36" i="18"/>
  <c r="MA36" i="10"/>
  <c r="MB36" i="10" s="1"/>
  <c r="MD36" i="10" s="1"/>
  <c r="MO36" i="10" s="1"/>
  <c r="MP36" i="10" s="1"/>
  <c r="MQ36" i="10" s="1"/>
  <c r="R36" i="25" s="1"/>
  <c r="H1651" i="31" s="1"/>
  <c r="JU35" i="21"/>
  <c r="LM22" i="10"/>
  <c r="LN22" i="10" s="1"/>
  <c r="LO22" i="10" s="1"/>
  <c r="Q22" i="25" s="1"/>
  <c r="H437" i="31" s="1"/>
  <c r="LA22" i="10"/>
  <c r="DM21" i="10"/>
  <c r="DX28" i="21"/>
  <c r="DZ26" i="18"/>
  <c r="EB26" i="18"/>
  <c r="DY21" i="10"/>
  <c r="EA21" i="10" s="1"/>
  <c r="DQ28" i="21"/>
  <c r="CS29" i="18"/>
  <c r="DO28" i="21"/>
  <c r="DM27" i="18"/>
  <c r="EC26" i="18"/>
  <c r="ED26" i="18" s="1"/>
  <c r="EE26" i="18" s="1"/>
  <c r="EF26" i="18" s="1"/>
  <c r="K26" i="28" s="1"/>
  <c r="H711" i="31" s="1"/>
  <c r="CS31" i="10"/>
  <c r="CT32" i="21"/>
  <c r="CU32" i="21" s="1"/>
  <c r="CW32" i="21" s="1"/>
  <c r="CX32" i="21" s="1"/>
  <c r="CY32" i="21" s="1"/>
  <c r="CZ32" i="21" s="1"/>
  <c r="H32" i="29" s="1"/>
  <c r="H1017" i="31" s="1"/>
  <c r="CL29" i="10"/>
  <c r="BZ36" i="10"/>
  <c r="CA36" i="10" s="1"/>
  <c r="CC36" i="10" s="1"/>
  <c r="CD36" i="10" s="1"/>
  <c r="DD29" i="10"/>
  <c r="DE29" i="10" s="1"/>
  <c r="DD31" i="18"/>
  <c r="BF35" i="18"/>
  <c r="BG35" i="18" s="1"/>
  <c r="CC35" i="21"/>
  <c r="CD35" i="21" s="1"/>
  <c r="CE35" i="21" s="1"/>
  <c r="CF35" i="21" s="1"/>
  <c r="F35" i="29" s="1"/>
  <c r="H960" i="31" s="1"/>
  <c r="CB35" i="21"/>
  <c r="DE30" i="21"/>
  <c r="BE35" i="21"/>
  <c r="FK33" i="20"/>
  <c r="FM33" i="20" s="1"/>
  <c r="FN33" i="20" s="1"/>
  <c r="FO33" i="20" s="1"/>
  <c r="FP33" i="20" s="1"/>
  <c r="FQ33" i="20" s="1"/>
  <c r="FA33" i="20"/>
  <c r="FT33" i="20"/>
  <c r="FV33" i="20" s="1"/>
  <c r="FW33" i="20" s="1"/>
  <c r="FX33" i="20" s="1"/>
  <c r="FY33" i="20" s="1"/>
  <c r="FZ33" i="20" s="1"/>
  <c r="DY32" i="20"/>
  <c r="EA32" i="20" s="1"/>
  <c r="EC32" i="20" s="1"/>
  <c r="ED32" i="20" s="1"/>
  <c r="EE32" i="20" s="1"/>
  <c r="EF32" i="20" s="1"/>
  <c r="K32" i="30" s="1"/>
  <c r="H1497" i="31" s="1"/>
  <c r="DP28" i="20"/>
  <c r="DQ28" i="20" s="1"/>
  <c r="DM29" i="20" s="1"/>
  <c r="DC35" i="20"/>
  <c r="CV32" i="20"/>
  <c r="CW32" i="20"/>
  <c r="CX32" i="20" s="1"/>
  <c r="CY32" i="20" s="1"/>
  <c r="CZ32" i="20" s="1"/>
  <c r="H32" i="30" s="1"/>
  <c r="H1407" i="31" s="1"/>
  <c r="CK33" i="20"/>
  <c r="CM33" i="20" s="1"/>
  <c r="CN33" i="20" s="1"/>
  <c r="CO33" i="20" s="1"/>
  <c r="CP33" i="20" s="1"/>
  <c r="G33" i="30" s="1"/>
  <c r="H1378" i="31" s="1"/>
  <c r="BH36" i="20"/>
  <c r="O33" i="30"/>
  <c r="H1618" i="31" s="1"/>
  <c r="AT34" i="20"/>
  <c r="D34" i="30" s="1"/>
  <c r="H1289" i="31" s="1"/>
  <c r="M33" i="30"/>
  <c r="H1558" i="31" s="1"/>
  <c r="EN34" i="21"/>
  <c r="FD29" i="21"/>
  <c r="FE29" i="21" s="1"/>
  <c r="FF29" i="21" s="1"/>
  <c r="FG29" i="21" s="1"/>
  <c r="FH29" i="21" s="1"/>
  <c r="N34" i="25"/>
  <c r="H359" i="31" s="1"/>
  <c r="L33" i="25"/>
  <c r="H298" i="31" s="1"/>
  <c r="FU28" i="21"/>
  <c r="FL29" i="21"/>
  <c r="X34" i="10"/>
  <c r="C34" i="25" s="1"/>
  <c r="H29" i="31" s="1"/>
  <c r="FJ27" i="10"/>
  <c r="M31" i="29" l="1"/>
  <c r="H1166" i="31" s="1"/>
  <c r="D32" i="29"/>
  <c r="H897" i="31" s="1"/>
  <c r="AT33" i="21"/>
  <c r="O31" i="29"/>
  <c r="H1226" i="31" s="1"/>
  <c r="M30" i="28"/>
  <c r="H775" i="31" s="1"/>
  <c r="D31" i="28"/>
  <c r="H506" i="31" s="1"/>
  <c r="AT32" i="18"/>
  <c r="O30" i="28"/>
  <c r="H835" i="31" s="1"/>
  <c r="M30" i="25"/>
  <c r="H325" i="31" s="1"/>
  <c r="D31" i="25"/>
  <c r="H56" i="31" s="1"/>
  <c r="AT32" i="10"/>
  <c r="O30" i="25"/>
  <c r="H385" i="31" s="1"/>
  <c r="JR36" i="21"/>
  <c r="JS36" i="21" s="1"/>
  <c r="JT36" i="21" s="1"/>
  <c r="JV36" i="21" s="1"/>
  <c r="KG36" i="21" s="1"/>
  <c r="KH36" i="21" s="1"/>
  <c r="KI36" i="21" s="1"/>
  <c r="P36" i="29" s="1"/>
  <c r="H1711" i="31" s="1"/>
  <c r="MC36" i="10"/>
  <c r="KY22" i="10"/>
  <c r="KW23" i="10" s="1"/>
  <c r="DG29" i="10"/>
  <c r="DH29" i="10" s="1"/>
  <c r="DI29" i="10" s="1"/>
  <c r="DJ29" i="10" s="1"/>
  <c r="I29" i="25" s="1"/>
  <c r="H204" i="31" s="1"/>
  <c r="EC21" i="10"/>
  <c r="ED21" i="10" s="1"/>
  <c r="EE21" i="10" s="1"/>
  <c r="EF21" i="10" s="1"/>
  <c r="K21" i="25" s="1"/>
  <c r="H256" i="31" s="1"/>
  <c r="CT29" i="18"/>
  <c r="CU29" i="18" s="1"/>
  <c r="DZ21" i="10"/>
  <c r="EB21" i="10"/>
  <c r="DY28" i="21"/>
  <c r="EA28" i="21" s="1"/>
  <c r="CI30" i="10"/>
  <c r="CJ30" i="10" s="1"/>
  <c r="CK30" i="10" s="1"/>
  <c r="CM30" i="10" s="1"/>
  <c r="CN30" i="10" s="1"/>
  <c r="CO30" i="10" s="1"/>
  <c r="CP30" i="10" s="1"/>
  <c r="G30" i="25" s="1"/>
  <c r="H145" i="31" s="1"/>
  <c r="CT31" i="10"/>
  <c r="CU31" i="10" s="1"/>
  <c r="CW31" i="10" s="1"/>
  <c r="CX31" i="10" s="1"/>
  <c r="CY31" i="10" s="1"/>
  <c r="CZ31" i="10" s="1"/>
  <c r="H31" i="25" s="1"/>
  <c r="H176" i="31" s="1"/>
  <c r="DN27" i="18"/>
  <c r="DP27" i="18" s="1"/>
  <c r="DX27" i="18"/>
  <c r="DN21" i="10"/>
  <c r="DP21" i="10" s="1"/>
  <c r="DG30" i="21"/>
  <c r="DH30" i="21" s="1"/>
  <c r="DI30" i="21" s="1"/>
  <c r="DJ30" i="21" s="1"/>
  <c r="I30" i="29" s="1"/>
  <c r="H1045" i="31" s="1"/>
  <c r="CV32" i="21"/>
  <c r="DM29" i="21"/>
  <c r="CE36" i="10"/>
  <c r="CF36" i="10" s="1"/>
  <c r="F36" i="25" s="1"/>
  <c r="H121" i="31" s="1"/>
  <c r="DF29" i="10"/>
  <c r="CB36" i="10"/>
  <c r="DE31" i="18"/>
  <c r="BI35" i="18"/>
  <c r="BT35" i="18" s="1"/>
  <c r="BU35" i="18" s="1"/>
  <c r="BV35" i="18" s="1"/>
  <c r="E35" i="28" s="1"/>
  <c r="H540" i="31" s="1"/>
  <c r="BH35" i="18"/>
  <c r="BY36" i="21"/>
  <c r="DF30" i="21"/>
  <c r="BF35" i="21"/>
  <c r="BG35" i="21" s="1"/>
  <c r="FB33" i="20"/>
  <c r="FD33" i="20" s="1"/>
  <c r="FE33" i="20" s="1"/>
  <c r="FF33" i="20" s="1"/>
  <c r="FG33" i="20" s="1"/>
  <c r="FH33" i="20" s="1"/>
  <c r="FU33" i="20"/>
  <c r="FL33" i="20"/>
  <c r="EB32" i="20"/>
  <c r="DX33" i="20" s="1"/>
  <c r="DZ32" i="20"/>
  <c r="DR28" i="20"/>
  <c r="DS28" i="20" s="1"/>
  <c r="DT28" i="20" s="1"/>
  <c r="DU28" i="20" s="1"/>
  <c r="J28" i="30" s="1"/>
  <c r="H1463" i="31" s="1"/>
  <c r="DO28" i="20"/>
  <c r="DD35" i="20"/>
  <c r="CS33" i="20"/>
  <c r="CL33" i="20"/>
  <c r="O34" i="30"/>
  <c r="H1619" i="31" s="1"/>
  <c r="M34" i="30"/>
  <c r="H1559" i="31" s="1"/>
  <c r="AT35" i="20"/>
  <c r="D35" i="30" s="1"/>
  <c r="H1290" i="31" s="1"/>
  <c r="EV34" i="21"/>
  <c r="EW34" i="21" s="1"/>
  <c r="EX34" i="21" s="1"/>
  <c r="EY34" i="21" s="1"/>
  <c r="EJ35" i="21"/>
  <c r="EL34" i="21"/>
  <c r="FC29" i="21"/>
  <c r="FA30" i="21" s="1"/>
  <c r="N35" i="25"/>
  <c r="H360" i="31" s="1"/>
  <c r="L34" i="25"/>
  <c r="H299" i="31" s="1"/>
  <c r="FS29" i="21"/>
  <c r="FJ30" i="21"/>
  <c r="X35" i="10"/>
  <c r="C35" i="25" s="1"/>
  <c r="H30" i="31" s="1"/>
  <c r="FK27" i="10"/>
  <c r="FM27" i="10" s="1"/>
  <c r="D33" i="29" l="1"/>
  <c r="H898" i="31" s="1"/>
  <c r="AT34" i="21"/>
  <c r="O32" i="29"/>
  <c r="H1227" i="31" s="1"/>
  <c r="M32" i="29"/>
  <c r="H1167" i="31" s="1"/>
  <c r="D32" i="28"/>
  <c r="H507" i="31" s="1"/>
  <c r="AT33" i="18"/>
  <c r="O31" i="28"/>
  <c r="H836" i="31" s="1"/>
  <c r="M31" i="28"/>
  <c r="H776" i="31" s="1"/>
  <c r="D32" i="25"/>
  <c r="H57" i="31" s="1"/>
  <c r="AT33" i="10"/>
  <c r="O31" i="25"/>
  <c r="H386" i="31" s="1"/>
  <c r="M31" i="25"/>
  <c r="H326" i="31" s="1"/>
  <c r="JU36" i="21"/>
  <c r="KX23" i="10"/>
  <c r="KZ23" i="10" s="1"/>
  <c r="LB23" i="10" s="1"/>
  <c r="CL30" i="10"/>
  <c r="CI31" i="10" s="1"/>
  <c r="DR27" i="18"/>
  <c r="DS27" i="18" s="1"/>
  <c r="DT27" i="18" s="1"/>
  <c r="DU27" i="18" s="1"/>
  <c r="J27" i="28" s="1"/>
  <c r="H682" i="31" s="1"/>
  <c r="DG31" i="18"/>
  <c r="DH31" i="18" s="1"/>
  <c r="DI31" i="18" s="1"/>
  <c r="DJ31" i="18" s="1"/>
  <c r="I31" i="28" s="1"/>
  <c r="H656" i="31" s="1"/>
  <c r="CS33" i="21"/>
  <c r="DO21" i="10"/>
  <c r="DQ21" i="10"/>
  <c r="DO27" i="18"/>
  <c r="DQ27" i="18"/>
  <c r="DN29" i="21"/>
  <c r="EC28" i="21"/>
  <c r="ED28" i="21" s="1"/>
  <c r="EE28" i="21" s="1"/>
  <c r="EF28" i="21" s="1"/>
  <c r="K28" i="29" s="1"/>
  <c r="H1103" i="31" s="1"/>
  <c r="CW29" i="18"/>
  <c r="CX29" i="18" s="1"/>
  <c r="CY29" i="18" s="1"/>
  <c r="CZ29" i="18" s="1"/>
  <c r="H29" i="28" s="1"/>
  <c r="H624" i="31" s="1"/>
  <c r="DR21" i="10"/>
  <c r="DS21" i="10" s="1"/>
  <c r="DT21" i="10" s="1"/>
  <c r="DU21" i="10" s="1"/>
  <c r="J21" i="25" s="1"/>
  <c r="H226" i="31" s="1"/>
  <c r="DX22" i="10"/>
  <c r="DY27" i="18"/>
  <c r="EA27" i="18" s="1"/>
  <c r="CV31" i="10"/>
  <c r="DZ28" i="21"/>
  <c r="EB28" i="21"/>
  <c r="CV29" i="18"/>
  <c r="DC30" i="10"/>
  <c r="DF31" i="18"/>
  <c r="BE36" i="18"/>
  <c r="BZ36" i="21"/>
  <c r="CA36" i="21" s="1"/>
  <c r="DC31" i="21"/>
  <c r="BI35" i="21"/>
  <c r="BT35" i="21" s="1"/>
  <c r="BU35" i="21" s="1"/>
  <c r="BV35" i="21" s="1"/>
  <c r="E35" i="29" s="1"/>
  <c r="H930" i="31" s="1"/>
  <c r="BH35" i="21"/>
  <c r="FJ34" i="20"/>
  <c r="FS34" i="20"/>
  <c r="FC33" i="20"/>
  <c r="DY33" i="20"/>
  <c r="EA33" i="20" s="1"/>
  <c r="EC33" i="20" s="1"/>
  <c r="ED33" i="20" s="1"/>
  <c r="EE33" i="20" s="1"/>
  <c r="EF33" i="20" s="1"/>
  <c r="K33" i="30" s="1"/>
  <c r="H1498" i="31" s="1"/>
  <c r="DN29" i="20"/>
  <c r="DE35" i="20"/>
  <c r="CT33" i="20"/>
  <c r="CI34" i="20"/>
  <c r="AT36" i="20"/>
  <c r="D36" i="30" s="1"/>
  <c r="H1291" i="31" s="1"/>
  <c r="O35" i="30"/>
  <c r="H1620" i="31" s="1"/>
  <c r="M35" i="30"/>
  <c r="H1560" i="31" s="1"/>
  <c r="EK35" i="21"/>
  <c r="IT36" i="10"/>
  <c r="N36" i="25" s="1"/>
  <c r="H361" i="31" s="1"/>
  <c r="L35" i="25"/>
  <c r="H300" i="31" s="1"/>
  <c r="FB30" i="21"/>
  <c r="FD30" i="21" s="1"/>
  <c r="FE30" i="21" s="1"/>
  <c r="FF30" i="21" s="1"/>
  <c r="FG30" i="21" s="1"/>
  <c r="FH30" i="21" s="1"/>
  <c r="FK30" i="21"/>
  <c r="FM30" i="21" s="1"/>
  <c r="FN30" i="21" s="1"/>
  <c r="FO30" i="21" s="1"/>
  <c r="FP30" i="21" s="1"/>
  <c r="FQ30" i="21" s="1"/>
  <c r="FT29" i="21"/>
  <c r="X36" i="10"/>
  <c r="C36" i="25" s="1"/>
  <c r="H31" i="31" s="1"/>
  <c r="FN27" i="10"/>
  <c r="FO27" i="10" s="1"/>
  <c r="FP27" i="10" s="1"/>
  <c r="FQ27" i="10" s="1"/>
  <c r="O33" i="29" l="1"/>
  <c r="H1228" i="31" s="1"/>
  <c r="M33" i="29"/>
  <c r="H1168" i="31" s="1"/>
  <c r="D34" i="29"/>
  <c r="H899" i="31" s="1"/>
  <c r="AT35" i="21"/>
  <c r="O32" i="28"/>
  <c r="H837" i="31" s="1"/>
  <c r="M32" i="28"/>
  <c r="H777" i="31" s="1"/>
  <c r="D33" i="28"/>
  <c r="H508" i="31" s="1"/>
  <c r="AT34" i="18"/>
  <c r="O32" i="25"/>
  <c r="H387" i="31" s="1"/>
  <c r="M32" i="25"/>
  <c r="H327" i="31" s="1"/>
  <c r="D33" i="25"/>
  <c r="H58" i="31" s="1"/>
  <c r="AT34" i="10"/>
  <c r="LM23" i="10"/>
  <c r="LN23" i="10" s="1"/>
  <c r="LO23" i="10" s="1"/>
  <c r="LA23" i="10"/>
  <c r="DX29" i="21"/>
  <c r="EB27" i="18"/>
  <c r="DZ27" i="18"/>
  <c r="DM28" i="18"/>
  <c r="CT33" i="21"/>
  <c r="CU33" i="21" s="1"/>
  <c r="CW33" i="21" s="1"/>
  <c r="CX33" i="21" s="1"/>
  <c r="CY33" i="21" s="1"/>
  <c r="CZ33" i="21" s="1"/>
  <c r="H33" i="29" s="1"/>
  <c r="H1018" i="31" s="1"/>
  <c r="CJ31" i="10"/>
  <c r="CS32" i="10"/>
  <c r="CT32" i="10" s="1"/>
  <c r="CU32" i="10" s="1"/>
  <c r="CW32" i="10" s="1"/>
  <c r="CX32" i="10" s="1"/>
  <c r="CY32" i="10" s="1"/>
  <c r="CZ32" i="10" s="1"/>
  <c r="H32" i="25" s="1"/>
  <c r="H177" i="31" s="1"/>
  <c r="DY22" i="10"/>
  <c r="DP29" i="21"/>
  <c r="DR29" i="21" s="1"/>
  <c r="DS29" i="21" s="1"/>
  <c r="DT29" i="21" s="1"/>
  <c r="DU29" i="21" s="1"/>
  <c r="J29" i="29" s="1"/>
  <c r="H1074" i="31" s="1"/>
  <c r="DM22" i="10"/>
  <c r="CS30" i="18"/>
  <c r="EC27" i="18"/>
  <c r="ED27" i="18" s="1"/>
  <c r="EE27" i="18" s="1"/>
  <c r="EF27" i="18" s="1"/>
  <c r="K27" i="28" s="1"/>
  <c r="H712" i="31" s="1"/>
  <c r="DD30" i="10"/>
  <c r="DC32" i="18"/>
  <c r="BF36" i="18"/>
  <c r="BG36" i="18" s="1"/>
  <c r="CC36" i="21"/>
  <c r="CD36" i="21" s="1"/>
  <c r="CE36" i="21" s="1"/>
  <c r="CF36" i="21" s="1"/>
  <c r="F36" i="29" s="1"/>
  <c r="H961" i="31" s="1"/>
  <c r="CB36" i="21"/>
  <c r="DD31" i="21"/>
  <c r="DE31" i="21" s="1"/>
  <c r="BE36" i="21"/>
  <c r="FA34" i="20"/>
  <c r="FK34" i="20"/>
  <c r="FM34" i="20" s="1"/>
  <c r="FN34" i="20" s="1"/>
  <c r="FO34" i="20" s="1"/>
  <c r="FP34" i="20" s="1"/>
  <c r="FQ34" i="20" s="1"/>
  <c r="FT34" i="20"/>
  <c r="FV34" i="20" s="1"/>
  <c r="FW34" i="20" s="1"/>
  <c r="FX34" i="20" s="1"/>
  <c r="FY34" i="20" s="1"/>
  <c r="FZ34" i="20" s="1"/>
  <c r="EB33" i="20"/>
  <c r="DX34" i="20" s="1"/>
  <c r="DY34" i="20" s="1"/>
  <c r="DZ33" i="20"/>
  <c r="DP29" i="20"/>
  <c r="DR29" i="20" s="1"/>
  <c r="DS29" i="20" s="1"/>
  <c r="DT29" i="20" s="1"/>
  <c r="DU29" i="20" s="1"/>
  <c r="J29" i="30" s="1"/>
  <c r="H1464" i="31" s="1"/>
  <c r="DF35" i="20"/>
  <c r="DC36" i="20" s="1"/>
  <c r="DG35" i="20"/>
  <c r="DH35" i="20" s="1"/>
  <c r="DI35" i="20" s="1"/>
  <c r="DJ35" i="20" s="1"/>
  <c r="I35" i="30" s="1"/>
  <c r="H1440" i="31" s="1"/>
  <c r="CU33" i="20"/>
  <c r="CW33" i="20" s="1"/>
  <c r="CX33" i="20" s="1"/>
  <c r="CY33" i="20" s="1"/>
  <c r="CZ33" i="20" s="1"/>
  <c r="H33" i="30" s="1"/>
  <c r="H1408" i="31" s="1"/>
  <c r="CJ34" i="20"/>
  <c r="CK34" i="20" s="1"/>
  <c r="CM34" i="20" s="1"/>
  <c r="CN34" i="20" s="1"/>
  <c r="CO34" i="20" s="1"/>
  <c r="CP34" i="20" s="1"/>
  <c r="G34" i="30" s="1"/>
  <c r="H1379" i="31" s="1"/>
  <c r="HQ36" i="20"/>
  <c r="M36" i="30" s="1"/>
  <c r="H1561" i="31" s="1"/>
  <c r="JG36" i="20"/>
  <c r="O36" i="30" s="1"/>
  <c r="H1621" i="31" s="1"/>
  <c r="FV29" i="21"/>
  <c r="FU29" i="21" s="1"/>
  <c r="EN35" i="21"/>
  <c r="EJ36" i="21" s="1"/>
  <c r="GZ36" i="10"/>
  <c r="L36" i="25" s="1"/>
  <c r="H301" i="31" s="1"/>
  <c r="FL30" i="21"/>
  <c r="FC30" i="21"/>
  <c r="FL27" i="10"/>
  <c r="D35" i="29" l="1"/>
  <c r="H900" i="31" s="1"/>
  <c r="AT36" i="21"/>
  <c r="D36" i="29" s="1"/>
  <c r="H901" i="31" s="1"/>
  <c r="M34" i="29"/>
  <c r="H1169" i="31" s="1"/>
  <c r="O34" i="29"/>
  <c r="H1229" i="31" s="1"/>
  <c r="D34" i="28"/>
  <c r="H509" i="31" s="1"/>
  <c r="AT35" i="18"/>
  <c r="O33" i="28"/>
  <c r="H838" i="31" s="1"/>
  <c r="M33" i="28"/>
  <c r="H778" i="31" s="1"/>
  <c r="M33" i="25"/>
  <c r="H328" i="31" s="1"/>
  <c r="D34" i="25"/>
  <c r="H59" i="31" s="1"/>
  <c r="AT35" i="10"/>
  <c r="O33" i="25"/>
  <c r="H388" i="31" s="1"/>
  <c r="LO24" i="10"/>
  <c r="Q23" i="25"/>
  <c r="H438" i="31" s="1"/>
  <c r="KY23" i="10"/>
  <c r="DG31" i="21"/>
  <c r="DH31" i="21" s="1"/>
  <c r="DI31" i="21" s="1"/>
  <c r="DJ31" i="21" s="1"/>
  <c r="I31" i="29" s="1"/>
  <c r="H1046" i="31" s="1"/>
  <c r="DO29" i="21"/>
  <c r="DN22" i="10"/>
  <c r="CV32" i="10"/>
  <c r="CV33" i="21"/>
  <c r="DX28" i="18"/>
  <c r="CT30" i="18"/>
  <c r="CU30" i="18" s="1"/>
  <c r="EA22" i="10"/>
  <c r="CK31" i="10"/>
  <c r="CM31" i="10" s="1"/>
  <c r="CN31" i="10" s="1"/>
  <c r="CO31" i="10" s="1"/>
  <c r="CP31" i="10" s="1"/>
  <c r="G31" i="25" s="1"/>
  <c r="H146" i="31" s="1"/>
  <c r="DQ29" i="21"/>
  <c r="DN28" i="18"/>
  <c r="DY29" i="21"/>
  <c r="EA29" i="21" s="1"/>
  <c r="DE30" i="10"/>
  <c r="DD32" i="18"/>
  <c r="DE32" i="18" s="1"/>
  <c r="BI36" i="18"/>
  <c r="BT36" i="18" s="1"/>
  <c r="BU36" i="18" s="1"/>
  <c r="BV36" i="18" s="1"/>
  <c r="E36" i="28" s="1"/>
  <c r="H541" i="31" s="1"/>
  <c r="BH36" i="18"/>
  <c r="DF31" i="21"/>
  <c r="BF36" i="21"/>
  <c r="BG36" i="21" s="1"/>
  <c r="FL34" i="20"/>
  <c r="FB34" i="20"/>
  <c r="FD34" i="20" s="1"/>
  <c r="FE34" i="20" s="1"/>
  <c r="FF34" i="20" s="1"/>
  <c r="FG34" i="20" s="1"/>
  <c r="FH34" i="20" s="1"/>
  <c r="FU34" i="20"/>
  <c r="EA34" i="20"/>
  <c r="EC34" i="20" s="1"/>
  <c r="ED34" i="20" s="1"/>
  <c r="EE34" i="20" s="1"/>
  <c r="EF34" i="20" s="1"/>
  <c r="K34" i="30" s="1"/>
  <c r="H1499" i="31" s="1"/>
  <c r="DQ29" i="20"/>
  <c r="DM30" i="20" s="1"/>
  <c r="DN30" i="20" s="1"/>
  <c r="DO29" i="20"/>
  <c r="DD36" i="20"/>
  <c r="DE36" i="20" s="1"/>
  <c r="DG36" i="20" s="1"/>
  <c r="DH36" i="20" s="1"/>
  <c r="DI36" i="20" s="1"/>
  <c r="DJ36" i="20" s="1"/>
  <c r="I36" i="30" s="1"/>
  <c r="H1441" i="31" s="1"/>
  <c r="CV33" i="20"/>
  <c r="CL34" i="20"/>
  <c r="EL35" i="21"/>
  <c r="FW29" i="21"/>
  <c r="FX29" i="21" s="1"/>
  <c r="FY29" i="21" s="1"/>
  <c r="FZ29" i="21" s="1"/>
  <c r="EK36" i="21"/>
  <c r="EN36" i="21" s="1"/>
  <c r="EV35" i="21"/>
  <c r="EW35" i="21" s="1"/>
  <c r="EX35" i="21" s="1"/>
  <c r="EY35" i="21" s="1"/>
  <c r="FA31" i="21"/>
  <c r="FS30" i="21"/>
  <c r="FJ31" i="21"/>
  <c r="FJ28" i="10"/>
  <c r="M35" i="29" l="1"/>
  <c r="H1170" i="31" s="1"/>
  <c r="HQ36" i="21"/>
  <c r="M36" i="29" s="1"/>
  <c r="H1171" i="31" s="1"/>
  <c r="O35" i="29"/>
  <c r="H1230" i="31" s="1"/>
  <c r="JG36" i="21"/>
  <c r="O36" i="29" s="1"/>
  <c r="H1231" i="31" s="1"/>
  <c r="O34" i="28"/>
  <c r="H839" i="31" s="1"/>
  <c r="M34" i="28"/>
  <c r="H779" i="31" s="1"/>
  <c r="D35" i="28"/>
  <c r="H510" i="31" s="1"/>
  <c r="AT36" i="18"/>
  <c r="D36" i="28" s="1"/>
  <c r="H511" i="31" s="1"/>
  <c r="O34" i="25"/>
  <c r="H389" i="31" s="1"/>
  <c r="M34" i="25"/>
  <c r="H329" i="31" s="1"/>
  <c r="D35" i="25"/>
  <c r="H60" i="31" s="1"/>
  <c r="AT36" i="10"/>
  <c r="D36" i="25" s="1"/>
  <c r="H61" i="31" s="1"/>
  <c r="LO25" i="10"/>
  <c r="Q24" i="25"/>
  <c r="H439" i="31" s="1"/>
  <c r="KX24" i="10"/>
  <c r="CW30" i="18"/>
  <c r="CX30" i="18" s="1"/>
  <c r="CY30" i="18" s="1"/>
  <c r="CZ30" i="18" s="1"/>
  <c r="H30" i="28" s="1"/>
  <c r="H625" i="31" s="1"/>
  <c r="DG30" i="10"/>
  <c r="DH30" i="10" s="1"/>
  <c r="DI30" i="10" s="1"/>
  <c r="DJ30" i="10" s="1"/>
  <c r="I30" i="25" s="1"/>
  <c r="H205" i="31" s="1"/>
  <c r="DG32" i="18"/>
  <c r="DH32" i="18" s="1"/>
  <c r="DI32" i="18" s="1"/>
  <c r="DJ32" i="18" s="1"/>
  <c r="I32" i="28" s="1"/>
  <c r="H657" i="31" s="1"/>
  <c r="EC22" i="10"/>
  <c r="ED22" i="10" s="1"/>
  <c r="EE22" i="10" s="1"/>
  <c r="EF22" i="10" s="1"/>
  <c r="K22" i="25" s="1"/>
  <c r="H257" i="31" s="1"/>
  <c r="DY28" i="18"/>
  <c r="EA28" i="18" s="1"/>
  <c r="EB22" i="10"/>
  <c r="DP28" i="18"/>
  <c r="DO28" i="18" s="1"/>
  <c r="CS34" i="21"/>
  <c r="CT34" i="21" s="1"/>
  <c r="CU34" i="21" s="1"/>
  <c r="CW34" i="21" s="1"/>
  <c r="CX34" i="21" s="1"/>
  <c r="CY34" i="21" s="1"/>
  <c r="CZ34" i="21" s="1"/>
  <c r="H34" i="29" s="1"/>
  <c r="H1019" i="31" s="1"/>
  <c r="DZ22" i="10"/>
  <c r="EC29" i="21"/>
  <c r="ED29" i="21" s="1"/>
  <c r="EE29" i="21" s="1"/>
  <c r="EF29" i="21" s="1"/>
  <c r="K29" i="29" s="1"/>
  <c r="H1104" i="31" s="1"/>
  <c r="DM30" i="21"/>
  <c r="DN30" i="21" s="1"/>
  <c r="CV30" i="18"/>
  <c r="CS33" i="10"/>
  <c r="CT33" i="10" s="1"/>
  <c r="CU33" i="10" s="1"/>
  <c r="CW33" i="10" s="1"/>
  <c r="CX33" i="10" s="1"/>
  <c r="CY33" i="10" s="1"/>
  <c r="CZ33" i="10" s="1"/>
  <c r="H33" i="25" s="1"/>
  <c r="H178" i="31" s="1"/>
  <c r="EB29" i="21"/>
  <c r="DZ29" i="21"/>
  <c r="DP22" i="10"/>
  <c r="DQ22" i="10" s="1"/>
  <c r="CL31" i="10"/>
  <c r="DF30" i="10"/>
  <c r="DF32" i="18"/>
  <c r="DC32" i="21"/>
  <c r="BI36" i="21"/>
  <c r="BT36" i="21" s="1"/>
  <c r="BU36" i="21" s="1"/>
  <c r="BV36" i="21" s="1"/>
  <c r="E36" i="29" s="1"/>
  <c r="H931" i="31" s="1"/>
  <c r="BH36" i="21"/>
  <c r="FS35" i="20"/>
  <c r="FC34" i="20"/>
  <c r="FJ35" i="20"/>
  <c r="EB34" i="20"/>
  <c r="DX35" i="20" s="1"/>
  <c r="DZ34" i="20"/>
  <c r="DP30" i="20"/>
  <c r="DR30" i="20" s="1"/>
  <c r="DS30" i="20" s="1"/>
  <c r="DT30" i="20" s="1"/>
  <c r="DU30" i="20" s="1"/>
  <c r="J30" i="30" s="1"/>
  <c r="H1465" i="31" s="1"/>
  <c r="DF36" i="20"/>
  <c r="CS34" i="20"/>
  <c r="CI35" i="20"/>
  <c r="EL36" i="21"/>
  <c r="EV36" i="21"/>
  <c r="EW36" i="21" s="1"/>
  <c r="EX36" i="21" s="1"/>
  <c r="EY36" i="21" s="1"/>
  <c r="FT30" i="21"/>
  <c r="FV30" i="21" s="1"/>
  <c r="FK31" i="21"/>
  <c r="FM31" i="21" s="1"/>
  <c r="FN31" i="21" s="1"/>
  <c r="FO31" i="21" s="1"/>
  <c r="FP31" i="21" s="1"/>
  <c r="FQ31" i="21" s="1"/>
  <c r="FB31" i="21"/>
  <c r="FD31" i="21" s="1"/>
  <c r="FE31" i="21" s="1"/>
  <c r="FF31" i="21" s="1"/>
  <c r="FG31" i="21" s="1"/>
  <c r="FH31" i="21" s="1"/>
  <c r="FK28" i="10"/>
  <c r="FM28" i="10" s="1"/>
  <c r="F3" i="28" l="1"/>
  <c r="C3" i="28"/>
  <c r="L3" i="28"/>
  <c r="D3" i="28"/>
  <c r="E3" i="28"/>
  <c r="N3" i="28"/>
  <c r="O35" i="28"/>
  <c r="H840" i="31" s="1"/>
  <c r="JG36" i="18"/>
  <c r="O36" i="28" s="1"/>
  <c r="M35" i="28"/>
  <c r="H780" i="31" s="1"/>
  <c r="HQ36" i="18"/>
  <c r="M36" i="28" s="1"/>
  <c r="M35" i="25"/>
  <c r="H330" i="31" s="1"/>
  <c r="HY36" i="10"/>
  <c r="M36" i="25" s="1"/>
  <c r="H331" i="31" s="1"/>
  <c r="O35" i="25"/>
  <c r="H390" i="31" s="1"/>
  <c r="JO36" i="10"/>
  <c r="O36" i="25" s="1"/>
  <c r="H391" i="31" s="1"/>
  <c r="LO26" i="10"/>
  <c r="Q25" i="25"/>
  <c r="H440" i="31" s="1"/>
  <c r="EC28" i="18"/>
  <c r="ED28" i="18" s="1"/>
  <c r="EE28" i="18" s="1"/>
  <c r="EF28" i="18" s="1"/>
  <c r="K28" i="28" s="1"/>
  <c r="H713" i="31" s="1"/>
  <c r="DM23" i="10"/>
  <c r="CS31" i="18"/>
  <c r="DR28" i="18"/>
  <c r="DS28" i="18" s="1"/>
  <c r="DT28" i="18" s="1"/>
  <c r="DU28" i="18" s="1"/>
  <c r="J28" i="28" s="1"/>
  <c r="H683" i="31" s="1"/>
  <c r="DQ28" i="18"/>
  <c r="DX30" i="21"/>
  <c r="DX23" i="10"/>
  <c r="EB28" i="18"/>
  <c r="DZ28" i="18"/>
  <c r="CI32" i="10"/>
  <c r="CJ32" i="10" s="1"/>
  <c r="CK32" i="10" s="1"/>
  <c r="CM32" i="10" s="1"/>
  <c r="CN32" i="10" s="1"/>
  <c r="CO32" i="10" s="1"/>
  <c r="CP32" i="10" s="1"/>
  <c r="G32" i="25" s="1"/>
  <c r="H147" i="31" s="1"/>
  <c r="CV33" i="10"/>
  <c r="DP30" i="21"/>
  <c r="DO30" i="21" s="1"/>
  <c r="CV34" i="21"/>
  <c r="DR22" i="10"/>
  <c r="DS22" i="10" s="1"/>
  <c r="DT22" i="10" s="1"/>
  <c r="DU22" i="10" s="1"/>
  <c r="J22" i="25" s="1"/>
  <c r="H227" i="31" s="1"/>
  <c r="DO22" i="10"/>
  <c r="DC31" i="10"/>
  <c r="DC33" i="18"/>
  <c r="DD32" i="21"/>
  <c r="DE32" i="21" s="1"/>
  <c r="FK35" i="20"/>
  <c r="FM35" i="20" s="1"/>
  <c r="FN35" i="20" s="1"/>
  <c r="FO35" i="20" s="1"/>
  <c r="FP35" i="20" s="1"/>
  <c r="FQ35" i="20" s="1"/>
  <c r="FT35" i="20"/>
  <c r="FV35" i="20" s="1"/>
  <c r="FW35" i="20" s="1"/>
  <c r="FX35" i="20" s="1"/>
  <c r="FY35" i="20" s="1"/>
  <c r="FZ35" i="20" s="1"/>
  <c r="FA35" i="20"/>
  <c r="DQ30" i="20"/>
  <c r="DM31" i="20" s="1"/>
  <c r="DN31" i="20" s="1"/>
  <c r="DO30" i="20"/>
  <c r="DY35" i="20"/>
  <c r="EA35" i="20" s="1"/>
  <c r="EC35" i="20" s="1"/>
  <c r="ED35" i="20" s="1"/>
  <c r="EE35" i="20" s="1"/>
  <c r="EF35" i="20" s="1"/>
  <c r="K35" i="30" s="1"/>
  <c r="H1500" i="31" s="1"/>
  <c r="CT34" i="20"/>
  <c r="CJ35" i="20"/>
  <c r="FW30" i="21"/>
  <c r="FX30" i="21" s="1"/>
  <c r="FY30" i="21" s="1"/>
  <c r="FZ30" i="21" s="1"/>
  <c r="FL31" i="21"/>
  <c r="FC31" i="21"/>
  <c r="FU30" i="21"/>
  <c r="FN28" i="10"/>
  <c r="FO28" i="10" s="1"/>
  <c r="FP28" i="10" s="1"/>
  <c r="FQ28" i="10" s="1"/>
  <c r="M3" i="29"/>
  <c r="O3" i="29"/>
  <c r="D3" i="29"/>
  <c r="F3" i="29"/>
  <c r="L3" i="29"/>
  <c r="E3" i="29"/>
  <c r="C3" i="29"/>
  <c r="N3" i="29"/>
  <c r="H841" i="31" l="1"/>
  <c r="O3" i="28"/>
  <c r="H781" i="31"/>
  <c r="M3" i="28"/>
  <c r="LO27" i="10"/>
  <c r="Q26" i="25"/>
  <c r="H441" i="31" s="1"/>
  <c r="KY24" i="10"/>
  <c r="CL32" i="10"/>
  <c r="CI33" i="10" s="1"/>
  <c r="CJ33" i="10" s="1"/>
  <c r="CK33" i="10" s="1"/>
  <c r="CM33" i="10" s="1"/>
  <c r="CN33" i="10" s="1"/>
  <c r="CO33" i="10" s="1"/>
  <c r="CP33" i="10" s="1"/>
  <c r="G33" i="25" s="1"/>
  <c r="H148" i="31" s="1"/>
  <c r="CS34" i="10"/>
  <c r="CT34" i="10" s="1"/>
  <c r="CU34" i="10" s="1"/>
  <c r="CW34" i="10" s="1"/>
  <c r="CX34" i="10" s="1"/>
  <c r="CY34" i="10" s="1"/>
  <c r="CZ34" i="10" s="1"/>
  <c r="H34" i="25" s="1"/>
  <c r="H179" i="31" s="1"/>
  <c r="DX29" i="18"/>
  <c r="CS35" i="21"/>
  <c r="DY30" i="21"/>
  <c r="EA30" i="21" s="1"/>
  <c r="DN23" i="10"/>
  <c r="DP23" i="10" s="1"/>
  <c r="DG32" i="21"/>
  <c r="DH32" i="21" s="1"/>
  <c r="DI32" i="21" s="1"/>
  <c r="DJ32" i="21" s="1"/>
  <c r="I32" i="29" s="1"/>
  <c r="H1047" i="31" s="1"/>
  <c r="DY23" i="10"/>
  <c r="EA23" i="10" s="1"/>
  <c r="DM29" i="18"/>
  <c r="CT31" i="18"/>
  <c r="CU31" i="18" s="1"/>
  <c r="DR30" i="21"/>
  <c r="DS30" i="21" s="1"/>
  <c r="DT30" i="21" s="1"/>
  <c r="DU30" i="21" s="1"/>
  <c r="J30" i="29" s="1"/>
  <c r="H1075" i="31" s="1"/>
  <c r="DQ30" i="21"/>
  <c r="DD31" i="10"/>
  <c r="DD33" i="18"/>
  <c r="DF32" i="21"/>
  <c r="FU35" i="20"/>
  <c r="FB35" i="20"/>
  <c r="FL35" i="20"/>
  <c r="DZ35" i="20"/>
  <c r="DP31" i="20"/>
  <c r="DR31" i="20" s="1"/>
  <c r="DS31" i="20" s="1"/>
  <c r="DT31" i="20" s="1"/>
  <c r="DU31" i="20" s="1"/>
  <c r="J31" i="30" s="1"/>
  <c r="H1466" i="31" s="1"/>
  <c r="EB35" i="20"/>
  <c r="DX36" i="20" s="1"/>
  <c r="CU34" i="20"/>
  <c r="CW34" i="20" s="1"/>
  <c r="CX34" i="20" s="1"/>
  <c r="CY34" i="20" s="1"/>
  <c r="CZ34" i="20" s="1"/>
  <c r="H34" i="30" s="1"/>
  <c r="H1409" i="31" s="1"/>
  <c r="CK35" i="20"/>
  <c r="CM35" i="20" s="1"/>
  <c r="CN35" i="20" s="1"/>
  <c r="CO35" i="20" s="1"/>
  <c r="CP35" i="20" s="1"/>
  <c r="G35" i="30" s="1"/>
  <c r="H1380" i="31" s="1"/>
  <c r="FS31" i="21"/>
  <c r="FA32" i="21"/>
  <c r="FJ32" i="21"/>
  <c r="FL28" i="10"/>
  <c r="LO28" i="10" l="1"/>
  <c r="Q27" i="25"/>
  <c r="H442" i="31" s="1"/>
  <c r="KX25" i="10"/>
  <c r="DR23" i="10"/>
  <c r="DS23" i="10" s="1"/>
  <c r="DT23" i="10" s="1"/>
  <c r="DU23" i="10" s="1"/>
  <c r="J23" i="25" s="1"/>
  <c r="H228" i="31" s="1"/>
  <c r="CW31" i="18"/>
  <c r="CX31" i="18" s="1"/>
  <c r="CY31" i="18" s="1"/>
  <c r="CZ31" i="18" s="1"/>
  <c r="H31" i="28" s="1"/>
  <c r="H626" i="31" s="1"/>
  <c r="EC23" i="10"/>
  <c r="ED23" i="10" s="1"/>
  <c r="EE23" i="10" s="1"/>
  <c r="EF23" i="10" s="1"/>
  <c r="K23" i="25" s="1"/>
  <c r="H258" i="31" s="1"/>
  <c r="EC30" i="21"/>
  <c r="ED30" i="21" s="1"/>
  <c r="EE30" i="21" s="1"/>
  <c r="EF30" i="21" s="1"/>
  <c r="K30" i="29" s="1"/>
  <c r="H1105" i="31" s="1"/>
  <c r="CL33" i="10"/>
  <c r="CV31" i="18"/>
  <c r="DZ23" i="10"/>
  <c r="EB23" i="10"/>
  <c r="DO23" i="10"/>
  <c r="DQ23" i="10"/>
  <c r="DY29" i="18"/>
  <c r="EA29" i="18" s="1"/>
  <c r="DM31" i="21"/>
  <c r="CV34" i="10"/>
  <c r="DN29" i="18"/>
  <c r="DP29" i="18" s="1"/>
  <c r="DZ30" i="21"/>
  <c r="EB30" i="21"/>
  <c r="CT35" i="21"/>
  <c r="DE31" i="10"/>
  <c r="DE33" i="18"/>
  <c r="DF33" i="18" s="1"/>
  <c r="DC33" i="21"/>
  <c r="FJ36" i="20"/>
  <c r="FS36" i="20"/>
  <c r="FD35" i="20"/>
  <c r="FE35" i="20" s="1"/>
  <c r="FF35" i="20" s="1"/>
  <c r="FG35" i="20" s="1"/>
  <c r="FH35" i="20" s="1"/>
  <c r="DO31" i="20"/>
  <c r="DQ31" i="20"/>
  <c r="DM32" i="20" s="1"/>
  <c r="DN32" i="20" s="1"/>
  <c r="CV34" i="20"/>
  <c r="CS35" i="20" s="1"/>
  <c r="CL35" i="20"/>
  <c r="FB32" i="21"/>
  <c r="FD32" i="21" s="1"/>
  <c r="FE32" i="21" s="1"/>
  <c r="FF32" i="21" s="1"/>
  <c r="FG32" i="21" s="1"/>
  <c r="FH32" i="21" s="1"/>
  <c r="FK32" i="21"/>
  <c r="FM32" i="21" s="1"/>
  <c r="FT31" i="21"/>
  <c r="FV31" i="21" s="1"/>
  <c r="FJ29" i="10"/>
  <c r="LO29" i="10" l="1"/>
  <c r="Q28" i="25"/>
  <c r="H443" i="31" s="1"/>
  <c r="KY25" i="10"/>
  <c r="DG31" i="10"/>
  <c r="DH31" i="10" s="1"/>
  <c r="DI31" i="10" s="1"/>
  <c r="DJ31" i="10" s="1"/>
  <c r="I31" i="25" s="1"/>
  <c r="H206" i="31" s="1"/>
  <c r="DX31" i="21"/>
  <c r="DY31" i="21" s="1"/>
  <c r="EA31" i="21" s="1"/>
  <c r="CS35" i="10"/>
  <c r="CT35" i="10" s="1"/>
  <c r="CU35" i="10" s="1"/>
  <c r="CW35" i="10" s="1"/>
  <c r="CX35" i="10" s="1"/>
  <c r="CY35" i="10" s="1"/>
  <c r="CZ35" i="10" s="1"/>
  <c r="H35" i="25" s="1"/>
  <c r="H180" i="31" s="1"/>
  <c r="DZ29" i="18"/>
  <c r="EB29" i="18"/>
  <c r="DR29" i="18"/>
  <c r="DS29" i="18" s="1"/>
  <c r="DT29" i="18" s="1"/>
  <c r="DU29" i="18" s="1"/>
  <c r="J29" i="28" s="1"/>
  <c r="H684" i="31" s="1"/>
  <c r="DX24" i="10"/>
  <c r="DG33" i="18"/>
  <c r="DH33" i="18" s="1"/>
  <c r="DI33" i="18" s="1"/>
  <c r="DJ33" i="18" s="1"/>
  <c r="I33" i="28" s="1"/>
  <c r="H658" i="31" s="1"/>
  <c r="DM24" i="10"/>
  <c r="CS32" i="18"/>
  <c r="EC29" i="18"/>
  <c r="ED29" i="18" s="1"/>
  <c r="EE29" i="18" s="1"/>
  <c r="EF29" i="18" s="1"/>
  <c r="K29" i="28" s="1"/>
  <c r="H714" i="31" s="1"/>
  <c r="CU35" i="21"/>
  <c r="CW35" i="21" s="1"/>
  <c r="CX35" i="21" s="1"/>
  <c r="CY35" i="21" s="1"/>
  <c r="CZ35" i="21" s="1"/>
  <c r="H35" i="29" s="1"/>
  <c r="H1020" i="31" s="1"/>
  <c r="DO29" i="18"/>
  <c r="DQ29" i="18"/>
  <c r="DN31" i="21"/>
  <c r="CI34" i="10"/>
  <c r="DF31" i="10"/>
  <c r="DC34" i="18"/>
  <c r="DD33" i="21"/>
  <c r="DE33" i="21" s="1"/>
  <c r="FT36" i="20"/>
  <c r="FV36" i="20" s="1"/>
  <c r="FW36" i="20" s="1"/>
  <c r="FX36" i="20" s="1"/>
  <c r="FY36" i="20" s="1"/>
  <c r="FZ36" i="20" s="1"/>
  <c r="FK36" i="20"/>
  <c r="FC35" i="20"/>
  <c r="DP32" i="20"/>
  <c r="DO32" i="20" s="1"/>
  <c r="DY36" i="20"/>
  <c r="CT35" i="20"/>
  <c r="CU35" i="20" s="1"/>
  <c r="CI36" i="20"/>
  <c r="FW31" i="21"/>
  <c r="FX31" i="21" s="1"/>
  <c r="FY31" i="21" s="1"/>
  <c r="FZ31" i="21" s="1"/>
  <c r="FN32" i="21"/>
  <c r="FO32" i="21" s="1"/>
  <c r="FP32" i="21" s="1"/>
  <c r="FQ32" i="21" s="1"/>
  <c r="FL32" i="21"/>
  <c r="FU31" i="21"/>
  <c r="FC32" i="21"/>
  <c r="FK29" i="10"/>
  <c r="FM29" i="10" s="1"/>
  <c r="LO30" i="10" l="1"/>
  <c r="Q29" i="25"/>
  <c r="H444" i="31" s="1"/>
  <c r="DZ31" i="21"/>
  <c r="EB31" i="21"/>
  <c r="DX32" i="21" s="1"/>
  <c r="DG33" i="21"/>
  <c r="DH33" i="21" s="1"/>
  <c r="DI33" i="21" s="1"/>
  <c r="DJ33" i="21" s="1"/>
  <c r="I33" i="29" s="1"/>
  <c r="H1048" i="31" s="1"/>
  <c r="DX30" i="18"/>
  <c r="EC31" i="21"/>
  <c r="ED31" i="21" s="1"/>
  <c r="EE31" i="21" s="1"/>
  <c r="EF31" i="21" s="1"/>
  <c r="K31" i="29" s="1"/>
  <c r="H1106" i="31" s="1"/>
  <c r="CT32" i="18"/>
  <c r="CU32" i="18" s="1"/>
  <c r="DP31" i="21"/>
  <c r="DR31" i="21" s="1"/>
  <c r="DS31" i="21" s="1"/>
  <c r="DT31" i="21" s="1"/>
  <c r="DU31" i="21" s="1"/>
  <c r="J31" i="29" s="1"/>
  <c r="H1076" i="31" s="1"/>
  <c r="DM30" i="18"/>
  <c r="DN24" i="10"/>
  <c r="DP24" i="10" s="1"/>
  <c r="CV35" i="21"/>
  <c r="CV35" i="10"/>
  <c r="CJ34" i="10"/>
  <c r="DY24" i="10"/>
  <c r="DC32" i="10"/>
  <c r="DD34" i="18"/>
  <c r="DF33" i="21"/>
  <c r="FU36" i="20"/>
  <c r="FA36" i="20"/>
  <c r="FM36" i="20"/>
  <c r="FN36" i="20" s="1"/>
  <c r="FO36" i="20" s="1"/>
  <c r="FP36" i="20" s="1"/>
  <c r="FQ36" i="20" s="1"/>
  <c r="EA36" i="20"/>
  <c r="EC36" i="20" s="1"/>
  <c r="ED36" i="20" s="1"/>
  <c r="EE36" i="20" s="1"/>
  <c r="EF36" i="20" s="1"/>
  <c r="K36" i="30" s="1"/>
  <c r="H1501" i="31" s="1"/>
  <c r="DR32" i="20"/>
  <c r="DS32" i="20" s="1"/>
  <c r="DT32" i="20" s="1"/>
  <c r="DU32" i="20" s="1"/>
  <c r="J32" i="30" s="1"/>
  <c r="H1467" i="31" s="1"/>
  <c r="DQ32" i="20"/>
  <c r="DM33" i="20" s="1"/>
  <c r="CV35" i="20"/>
  <c r="CW35" i="20"/>
  <c r="CX35" i="20" s="1"/>
  <c r="CY35" i="20" s="1"/>
  <c r="CZ35" i="20" s="1"/>
  <c r="H35" i="30" s="1"/>
  <c r="H1410" i="31" s="1"/>
  <c r="CJ36" i="20"/>
  <c r="CK36" i="20" s="1"/>
  <c r="CM36" i="20" s="1"/>
  <c r="CN36" i="20" s="1"/>
  <c r="CO36" i="20" s="1"/>
  <c r="CP36" i="20" s="1"/>
  <c r="G36" i="30" s="1"/>
  <c r="H1381" i="31" s="1"/>
  <c r="FA33" i="21"/>
  <c r="FJ33" i="21"/>
  <c r="FS32" i="21"/>
  <c r="FN29" i="10"/>
  <c r="FO29" i="10" s="1"/>
  <c r="FP29" i="10" s="1"/>
  <c r="FQ29" i="10" s="1"/>
  <c r="LO31" i="10" l="1"/>
  <c r="Q30" i="25"/>
  <c r="H445" i="31" s="1"/>
  <c r="KX26" i="10"/>
  <c r="DQ31" i="21"/>
  <c r="DM32" i="21" s="1"/>
  <c r="CS36" i="21"/>
  <c r="DN30" i="18"/>
  <c r="DP30" i="18" s="1"/>
  <c r="CW32" i="18"/>
  <c r="CX32" i="18" s="1"/>
  <c r="CY32" i="18" s="1"/>
  <c r="CZ32" i="18" s="1"/>
  <c r="H32" i="28" s="1"/>
  <c r="H627" i="31" s="1"/>
  <c r="DO31" i="21"/>
  <c r="CS36" i="10"/>
  <c r="CT36" i="10" s="1"/>
  <c r="CU36" i="10" s="1"/>
  <c r="CW36" i="10" s="1"/>
  <c r="CX36" i="10" s="1"/>
  <c r="CY36" i="10" s="1"/>
  <c r="CZ36" i="10" s="1"/>
  <c r="H36" i="25" s="1"/>
  <c r="H181" i="31" s="1"/>
  <c r="DY32" i="21"/>
  <c r="EA32" i="21" s="1"/>
  <c r="DR24" i="10"/>
  <c r="DS24" i="10" s="1"/>
  <c r="DT24" i="10" s="1"/>
  <c r="DU24" i="10" s="1"/>
  <c r="J24" i="25" s="1"/>
  <c r="H229" i="31" s="1"/>
  <c r="CV32" i="18"/>
  <c r="FL36" i="20"/>
  <c r="EA24" i="10"/>
  <c r="EB24" i="10" s="1"/>
  <c r="CK34" i="10"/>
  <c r="CM34" i="10" s="1"/>
  <c r="CN34" i="10" s="1"/>
  <c r="CO34" i="10" s="1"/>
  <c r="CP34" i="10" s="1"/>
  <c r="G34" i="25" s="1"/>
  <c r="H149" i="31" s="1"/>
  <c r="DO24" i="10"/>
  <c r="DQ24" i="10"/>
  <c r="DY30" i="18"/>
  <c r="EA30" i="18" s="1"/>
  <c r="DD32" i="10"/>
  <c r="DE32" i="10" s="1"/>
  <c r="DE34" i="18"/>
  <c r="DF34" i="18" s="1"/>
  <c r="DC34" i="21"/>
  <c r="FB36" i="20"/>
  <c r="FD36" i="20" s="1"/>
  <c r="FE36" i="20" s="1"/>
  <c r="FF36" i="20" s="1"/>
  <c r="FG36" i="20" s="1"/>
  <c r="FH36" i="20" s="1"/>
  <c r="EB36" i="20"/>
  <c r="DZ36" i="20"/>
  <c r="DN33" i="20"/>
  <c r="CS36" i="20"/>
  <c r="CL36" i="20"/>
  <c r="FT32" i="21"/>
  <c r="FV32" i="21" s="1"/>
  <c r="FB33" i="21"/>
  <c r="FD33" i="21" s="1"/>
  <c r="FE33" i="21" s="1"/>
  <c r="FF33" i="21" s="1"/>
  <c r="FG33" i="21" s="1"/>
  <c r="FH33" i="21" s="1"/>
  <c r="FK33" i="21"/>
  <c r="FM33" i="21" s="1"/>
  <c r="FL29" i="10"/>
  <c r="LO32" i="10" l="1"/>
  <c r="Q31" i="25"/>
  <c r="H446" i="31" s="1"/>
  <c r="CL34" i="10"/>
  <c r="CI35" i="10" s="1"/>
  <c r="CJ35" i="10" s="1"/>
  <c r="CK35" i="10" s="1"/>
  <c r="CM35" i="10" s="1"/>
  <c r="CN35" i="10" s="1"/>
  <c r="CO35" i="10" s="1"/>
  <c r="CP35" i="10" s="1"/>
  <c r="G35" i="25" s="1"/>
  <c r="H150" i="31" s="1"/>
  <c r="DG32" i="10"/>
  <c r="DH32" i="10" s="1"/>
  <c r="DI32" i="10" s="1"/>
  <c r="DJ32" i="10" s="1"/>
  <c r="I32" i="25" s="1"/>
  <c r="H207" i="31" s="1"/>
  <c r="CS33" i="18"/>
  <c r="EC32" i="21"/>
  <c r="ED32" i="21" s="1"/>
  <c r="EE32" i="21" s="1"/>
  <c r="EF32" i="21" s="1"/>
  <c r="K32" i="29" s="1"/>
  <c r="H1107" i="31" s="1"/>
  <c r="DO30" i="18"/>
  <c r="DQ30" i="18"/>
  <c r="DN32" i="21"/>
  <c r="DP32" i="21" s="1"/>
  <c r="DR32" i="21" s="1"/>
  <c r="DS32" i="21" s="1"/>
  <c r="DT32" i="21" s="1"/>
  <c r="DU32" i="21" s="1"/>
  <c r="J32" i="29" s="1"/>
  <c r="H1077" i="31" s="1"/>
  <c r="DM25" i="10"/>
  <c r="DR30" i="18"/>
  <c r="DS30" i="18" s="1"/>
  <c r="DT30" i="18" s="1"/>
  <c r="DU30" i="18" s="1"/>
  <c r="J30" i="28" s="1"/>
  <c r="H685" i="31" s="1"/>
  <c r="EC30" i="18"/>
  <c r="ED30" i="18" s="1"/>
  <c r="EE30" i="18" s="1"/>
  <c r="EF30" i="18" s="1"/>
  <c r="K30" i="28" s="1"/>
  <c r="H715" i="31" s="1"/>
  <c r="EB32" i="21"/>
  <c r="DZ32" i="21"/>
  <c r="DG34" i="18"/>
  <c r="DH34" i="18" s="1"/>
  <c r="DI34" i="18" s="1"/>
  <c r="DJ34" i="18" s="1"/>
  <c r="I34" i="28" s="1"/>
  <c r="H659" i="31" s="1"/>
  <c r="EB30" i="18"/>
  <c r="DZ30" i="18"/>
  <c r="EC24" i="10"/>
  <c r="ED24" i="10" s="1"/>
  <c r="EE24" i="10" s="1"/>
  <c r="EF24" i="10" s="1"/>
  <c r="K24" i="25" s="1"/>
  <c r="H259" i="31" s="1"/>
  <c r="CV36" i="10"/>
  <c r="CT36" i="21"/>
  <c r="CU36" i="21" s="1"/>
  <c r="CW36" i="21" s="1"/>
  <c r="CX36" i="21" s="1"/>
  <c r="CY36" i="21" s="1"/>
  <c r="CZ36" i="21" s="1"/>
  <c r="H36" i="29" s="1"/>
  <c r="H1021" i="31" s="1"/>
  <c r="DZ24" i="10"/>
  <c r="DX25" i="10" s="1"/>
  <c r="DF32" i="10"/>
  <c r="DC35" i="18"/>
  <c r="DD34" i="21"/>
  <c r="DE34" i="21" s="1"/>
  <c r="FC36" i="20"/>
  <c r="DP33" i="20"/>
  <c r="DR33" i="20" s="1"/>
  <c r="DS33" i="20" s="1"/>
  <c r="DT33" i="20" s="1"/>
  <c r="DU33" i="20" s="1"/>
  <c r="J33" i="30" s="1"/>
  <c r="H1468" i="31" s="1"/>
  <c r="CT36" i="20"/>
  <c r="CU36" i="20" s="1"/>
  <c r="CW36" i="20" s="1"/>
  <c r="CX36" i="20" s="1"/>
  <c r="CY36" i="20" s="1"/>
  <c r="CZ36" i="20" s="1"/>
  <c r="H36" i="30" s="1"/>
  <c r="H1411" i="31" s="1"/>
  <c r="FW32" i="21"/>
  <c r="FX32" i="21" s="1"/>
  <c r="FY32" i="21" s="1"/>
  <c r="FZ32" i="21" s="1"/>
  <c r="FN33" i="21"/>
  <c r="FO33" i="21" s="1"/>
  <c r="FP33" i="21" s="1"/>
  <c r="FQ33" i="21" s="1"/>
  <c r="FC33" i="21"/>
  <c r="FL33" i="21"/>
  <c r="FU32" i="21"/>
  <c r="FJ30" i="10"/>
  <c r="LO33" i="10" l="1"/>
  <c r="Q32" i="25"/>
  <c r="H447" i="31" s="1"/>
  <c r="KY26" i="10"/>
  <c r="CL35" i="10"/>
  <c r="CI36" i="10" s="1"/>
  <c r="DY25" i="10"/>
  <c r="EA25" i="10" s="1"/>
  <c r="DG34" i="21"/>
  <c r="DH34" i="21" s="1"/>
  <c r="DI34" i="21" s="1"/>
  <c r="DJ34" i="21" s="1"/>
  <c r="I34" i="29" s="1"/>
  <c r="H1049" i="31" s="1"/>
  <c r="DO32" i="21"/>
  <c r="DQ32" i="21"/>
  <c r="CV36" i="21"/>
  <c r="DM31" i="18"/>
  <c r="DX31" i="18"/>
  <c r="DX33" i="21"/>
  <c r="DN25" i="10"/>
  <c r="DP25" i="10" s="1"/>
  <c r="CT33" i="18"/>
  <c r="CU33" i="18" s="1"/>
  <c r="DC33" i="10"/>
  <c r="DD35" i="18"/>
  <c r="DE35" i="18" s="1"/>
  <c r="DF34" i="21"/>
  <c r="DQ33" i="20"/>
  <c r="DM34" i="20" s="1"/>
  <c r="DO33" i="20"/>
  <c r="CV36" i="20"/>
  <c r="FS33" i="21"/>
  <c r="FJ34" i="21"/>
  <c r="FA34" i="21"/>
  <c r="FK30" i="10"/>
  <c r="FM30" i="10" s="1"/>
  <c r="H3" i="29"/>
  <c r="LO34" i="10" l="1"/>
  <c r="Q33" i="25"/>
  <c r="H448" i="31" s="1"/>
  <c r="KX27" i="10"/>
  <c r="CW33" i="18"/>
  <c r="CX33" i="18" s="1"/>
  <c r="CY33" i="18" s="1"/>
  <c r="CZ33" i="18" s="1"/>
  <c r="H33" i="28" s="1"/>
  <c r="H628" i="31" s="1"/>
  <c r="DR25" i="10"/>
  <c r="DS25" i="10" s="1"/>
  <c r="DT25" i="10" s="1"/>
  <c r="DU25" i="10" s="1"/>
  <c r="J25" i="25" s="1"/>
  <c r="H230" i="31" s="1"/>
  <c r="EC25" i="10"/>
  <c r="ED25" i="10" s="1"/>
  <c r="EE25" i="10" s="1"/>
  <c r="EF25" i="10" s="1"/>
  <c r="K25" i="25" s="1"/>
  <c r="H260" i="31" s="1"/>
  <c r="DZ25" i="10"/>
  <c r="DN31" i="18"/>
  <c r="DP31" i="18" s="1"/>
  <c r="DY31" i="18"/>
  <c r="CJ36" i="10"/>
  <c r="DG35" i="18"/>
  <c r="DH35" i="18" s="1"/>
  <c r="DI35" i="18" s="1"/>
  <c r="DJ35" i="18" s="1"/>
  <c r="I35" i="28" s="1"/>
  <c r="H660" i="31" s="1"/>
  <c r="DM33" i="21"/>
  <c r="DO25" i="10"/>
  <c r="DQ25" i="10"/>
  <c r="CV33" i="18"/>
  <c r="DY33" i="21"/>
  <c r="EA33" i="21" s="1"/>
  <c r="EB25" i="10"/>
  <c r="DD33" i="10"/>
  <c r="DF35" i="18"/>
  <c r="DC35" i="21"/>
  <c r="DN34" i="20"/>
  <c r="FK34" i="21"/>
  <c r="FM34" i="21" s="1"/>
  <c r="FN34" i="21" s="1"/>
  <c r="FO34" i="21" s="1"/>
  <c r="FP34" i="21" s="1"/>
  <c r="FQ34" i="21" s="1"/>
  <c r="FB34" i="21"/>
  <c r="FD34" i="21" s="1"/>
  <c r="FE34" i="21" s="1"/>
  <c r="FF34" i="21" s="1"/>
  <c r="FG34" i="21" s="1"/>
  <c r="FH34" i="21" s="1"/>
  <c r="FT33" i="21"/>
  <c r="FV33" i="21" s="1"/>
  <c r="FN30" i="10"/>
  <c r="FO30" i="10" s="1"/>
  <c r="FP30" i="10" s="1"/>
  <c r="FQ30" i="10" s="1"/>
  <c r="LO35" i="10" l="1"/>
  <c r="Q34" i="25"/>
  <c r="H449" i="31" s="1"/>
  <c r="CS34" i="18"/>
  <c r="DN33" i="21"/>
  <c r="DP33" i="21" s="1"/>
  <c r="DR33" i="21" s="1"/>
  <c r="DS33" i="21" s="1"/>
  <c r="DT33" i="21" s="1"/>
  <c r="DU33" i="21" s="1"/>
  <c r="J33" i="29" s="1"/>
  <c r="H1078" i="31" s="1"/>
  <c r="DR31" i="18"/>
  <c r="DS31" i="18" s="1"/>
  <c r="DT31" i="18" s="1"/>
  <c r="DU31" i="18" s="1"/>
  <c r="J31" i="28" s="1"/>
  <c r="H686" i="31" s="1"/>
  <c r="DM26" i="10"/>
  <c r="EC33" i="21"/>
  <c r="ED33" i="21" s="1"/>
  <c r="EE33" i="21" s="1"/>
  <c r="EF33" i="21" s="1"/>
  <c r="K33" i="29" s="1"/>
  <c r="H1108" i="31" s="1"/>
  <c r="EA31" i="18"/>
  <c r="DX26" i="10"/>
  <c r="EB33" i="21"/>
  <c r="DZ33" i="21"/>
  <c r="CK36" i="10"/>
  <c r="CM36" i="10" s="1"/>
  <c r="CN36" i="10" s="1"/>
  <c r="CO36" i="10" s="1"/>
  <c r="CP36" i="10" s="1"/>
  <c r="G36" i="25" s="1"/>
  <c r="H151" i="31" s="1"/>
  <c r="DO31" i="18"/>
  <c r="DQ31" i="18"/>
  <c r="DE33" i="10"/>
  <c r="DC36" i="18"/>
  <c r="DD35" i="21"/>
  <c r="DP34" i="20"/>
  <c r="DR34" i="20" s="1"/>
  <c r="DS34" i="20" s="1"/>
  <c r="DT34" i="20" s="1"/>
  <c r="DU34" i="20" s="1"/>
  <c r="J34" i="30" s="1"/>
  <c r="H1469" i="31" s="1"/>
  <c r="FW33" i="21"/>
  <c r="FX33" i="21" s="1"/>
  <c r="FY33" i="21" s="1"/>
  <c r="FZ33" i="21" s="1"/>
  <c r="FC34" i="21"/>
  <c r="FU33" i="21"/>
  <c r="FL34" i="21"/>
  <c r="FL30" i="10"/>
  <c r="LO36" i="10" l="1"/>
  <c r="Q36" i="25" s="1"/>
  <c r="H451" i="31" s="1"/>
  <c r="Q35" i="25"/>
  <c r="H450" i="31" s="1"/>
  <c r="KY27" i="10"/>
  <c r="DY26" i="10"/>
  <c r="EA26" i="10" s="1"/>
  <c r="DN26" i="10"/>
  <c r="DP26" i="10" s="1"/>
  <c r="EC31" i="18"/>
  <c r="ED31" i="18" s="1"/>
  <c r="EE31" i="18" s="1"/>
  <c r="EF31" i="18" s="1"/>
  <c r="K31" i="28" s="1"/>
  <c r="H716" i="31" s="1"/>
  <c r="EB31" i="18"/>
  <c r="DO33" i="21"/>
  <c r="DQ33" i="21"/>
  <c r="DM32" i="18"/>
  <c r="DX34" i="21"/>
  <c r="DZ31" i="18"/>
  <c r="DG33" i="10"/>
  <c r="DH33" i="10" s="1"/>
  <c r="DI33" i="10" s="1"/>
  <c r="DJ33" i="10" s="1"/>
  <c r="I33" i="25" s="1"/>
  <c r="H208" i="31" s="1"/>
  <c r="CL36" i="10"/>
  <c r="CT34" i="18"/>
  <c r="CU34" i="18" s="1"/>
  <c r="DF33" i="10"/>
  <c r="DD36" i="18"/>
  <c r="DE36" i="18" s="1"/>
  <c r="DE35" i="21"/>
  <c r="DO34" i="20"/>
  <c r="DQ34" i="20"/>
  <c r="DM35" i="20" s="1"/>
  <c r="FA35" i="21"/>
  <c r="FJ35" i="21"/>
  <c r="FS34" i="21"/>
  <c r="FJ31" i="10"/>
  <c r="KX28" i="10" l="1"/>
  <c r="DR26" i="10"/>
  <c r="DS26" i="10" s="1"/>
  <c r="DT26" i="10" s="1"/>
  <c r="DU26" i="10" s="1"/>
  <c r="J26" i="25" s="1"/>
  <c r="H231" i="31" s="1"/>
  <c r="DG36" i="18"/>
  <c r="DH36" i="18" s="1"/>
  <c r="DI36" i="18" s="1"/>
  <c r="DJ36" i="18" s="1"/>
  <c r="I36" i="28" s="1"/>
  <c r="H661" i="31" s="1"/>
  <c r="DG35" i="21"/>
  <c r="DH35" i="21" s="1"/>
  <c r="DI35" i="21" s="1"/>
  <c r="DJ35" i="21" s="1"/>
  <c r="I35" i="29" s="1"/>
  <c r="H1050" i="31" s="1"/>
  <c r="DN32" i="18"/>
  <c r="CW34" i="18"/>
  <c r="CX34" i="18" s="1"/>
  <c r="CY34" i="18" s="1"/>
  <c r="CZ34" i="18" s="1"/>
  <c r="H34" i="28" s="1"/>
  <c r="H629" i="31" s="1"/>
  <c r="DX32" i="18"/>
  <c r="DO26" i="10"/>
  <c r="DQ26" i="10"/>
  <c r="CV34" i="18"/>
  <c r="DM34" i="21"/>
  <c r="EC26" i="10"/>
  <c r="ED26" i="10" s="1"/>
  <c r="EE26" i="10" s="1"/>
  <c r="EF26" i="10" s="1"/>
  <c r="K26" i="25" s="1"/>
  <c r="H261" i="31" s="1"/>
  <c r="DY34" i="21"/>
  <c r="EA34" i="21" s="1"/>
  <c r="EB26" i="10"/>
  <c r="DZ26" i="10"/>
  <c r="DC34" i="10"/>
  <c r="DF36" i="18"/>
  <c r="DF35" i="21"/>
  <c r="FK35" i="21"/>
  <c r="FM35" i="21" s="1"/>
  <c r="FT34" i="21"/>
  <c r="FV34" i="21" s="1"/>
  <c r="FW34" i="21" s="1"/>
  <c r="FX34" i="21" s="1"/>
  <c r="FY34" i="21" s="1"/>
  <c r="FZ34" i="21" s="1"/>
  <c r="FB35" i="21"/>
  <c r="FD35" i="21" s="1"/>
  <c r="FE35" i="21" s="1"/>
  <c r="FF35" i="21" s="1"/>
  <c r="FG35" i="21" s="1"/>
  <c r="FH35" i="21" s="1"/>
  <c r="FK31" i="10"/>
  <c r="FM31" i="10" s="1"/>
  <c r="KY28" i="10" l="1"/>
  <c r="CS35" i="18"/>
  <c r="DY32" i="18"/>
  <c r="DX27" i="10"/>
  <c r="DM27" i="10"/>
  <c r="EC34" i="21"/>
  <c r="ED34" i="21" s="1"/>
  <c r="EE34" i="21" s="1"/>
  <c r="EF34" i="21" s="1"/>
  <c r="K34" i="29" s="1"/>
  <c r="H1109" i="31" s="1"/>
  <c r="DZ34" i="21"/>
  <c r="EB34" i="21"/>
  <c r="DN34" i="21"/>
  <c r="DP34" i="21" s="1"/>
  <c r="DR34" i="21" s="1"/>
  <c r="DS34" i="21" s="1"/>
  <c r="DT34" i="21" s="1"/>
  <c r="DU34" i="21" s="1"/>
  <c r="J34" i="29" s="1"/>
  <c r="H1079" i="31" s="1"/>
  <c r="DP32" i="18"/>
  <c r="DQ32" i="18" s="1"/>
  <c r="DD34" i="10"/>
  <c r="DC36" i="21"/>
  <c r="DN35" i="20"/>
  <c r="FN35" i="21"/>
  <c r="FO35" i="21" s="1"/>
  <c r="FP35" i="21" s="1"/>
  <c r="FQ35" i="21" s="1"/>
  <c r="FU34" i="21"/>
  <c r="FC35" i="21"/>
  <c r="FL35" i="21"/>
  <c r="FN31" i="10"/>
  <c r="FO31" i="10" s="1"/>
  <c r="FP31" i="10" s="1"/>
  <c r="FQ31" i="10" s="1"/>
  <c r="I3" i="28"/>
  <c r="DM33" i="18" l="1"/>
  <c r="DY27" i="10"/>
  <c r="EA27" i="10" s="1"/>
  <c r="DX35" i="21"/>
  <c r="DY35" i="21" s="1"/>
  <c r="EA35" i="21" s="1"/>
  <c r="DR32" i="18"/>
  <c r="DS32" i="18" s="1"/>
  <c r="DT32" i="18" s="1"/>
  <c r="DU32" i="18" s="1"/>
  <c r="J32" i="28" s="1"/>
  <c r="H687" i="31" s="1"/>
  <c r="DN27" i="10"/>
  <c r="DO32" i="18"/>
  <c r="CT35" i="18"/>
  <c r="CU35" i="18" s="1"/>
  <c r="DO34" i="21"/>
  <c r="DQ34" i="21"/>
  <c r="EA32" i="18"/>
  <c r="DE34" i="10"/>
  <c r="DD36" i="21"/>
  <c r="DE36" i="21" s="1"/>
  <c r="DP35" i="20"/>
  <c r="DR35" i="20" s="1"/>
  <c r="DS35" i="20" s="1"/>
  <c r="DT35" i="20" s="1"/>
  <c r="DU35" i="20" s="1"/>
  <c r="J35" i="30" s="1"/>
  <c r="H1470" i="31" s="1"/>
  <c r="FS35" i="21"/>
  <c r="FJ36" i="21"/>
  <c r="FA36" i="21"/>
  <c r="FL31" i="10"/>
  <c r="KX29" i="10" l="1"/>
  <c r="EC27" i="10"/>
  <c r="ED27" i="10" s="1"/>
  <c r="EE27" i="10" s="1"/>
  <c r="EF27" i="10" s="1"/>
  <c r="K27" i="25" s="1"/>
  <c r="H262" i="31" s="1"/>
  <c r="DG36" i="21"/>
  <c r="DH36" i="21" s="1"/>
  <c r="DI36" i="21" s="1"/>
  <c r="DJ36" i="21" s="1"/>
  <c r="I36" i="29" s="1"/>
  <c r="H1051" i="31" s="1"/>
  <c r="EC32" i="18"/>
  <c r="ED32" i="18" s="1"/>
  <c r="EE32" i="18" s="1"/>
  <c r="EF32" i="18" s="1"/>
  <c r="K32" i="28" s="1"/>
  <c r="H717" i="31" s="1"/>
  <c r="DG34" i="10"/>
  <c r="DH34" i="10" s="1"/>
  <c r="DI34" i="10" s="1"/>
  <c r="DJ34" i="10" s="1"/>
  <c r="I34" i="25" s="1"/>
  <c r="H209" i="31" s="1"/>
  <c r="CV35" i="18"/>
  <c r="EB35" i="21"/>
  <c r="EC35" i="21"/>
  <c r="ED35" i="21" s="1"/>
  <c r="EE35" i="21" s="1"/>
  <c r="EF35" i="21" s="1"/>
  <c r="K35" i="29" s="1"/>
  <c r="H1110" i="31" s="1"/>
  <c r="DZ27" i="10"/>
  <c r="EB27" i="10"/>
  <c r="DM35" i="21"/>
  <c r="DZ32" i="18"/>
  <c r="CW35" i="18"/>
  <c r="CX35" i="18" s="1"/>
  <c r="CY35" i="18" s="1"/>
  <c r="CZ35" i="18" s="1"/>
  <c r="H35" i="28" s="1"/>
  <c r="H630" i="31" s="1"/>
  <c r="DZ35" i="21"/>
  <c r="DP27" i="10"/>
  <c r="EB32" i="18"/>
  <c r="DN33" i="18"/>
  <c r="DP33" i="18" s="1"/>
  <c r="DF34" i="10"/>
  <c r="DF36" i="21"/>
  <c r="DQ35" i="20"/>
  <c r="DM36" i="20" s="1"/>
  <c r="DN36" i="20" s="1"/>
  <c r="DO35" i="20"/>
  <c r="FK36" i="21"/>
  <c r="FM36" i="21" s="1"/>
  <c r="FN36" i="21" s="1"/>
  <c r="FO36" i="21" s="1"/>
  <c r="FP36" i="21" s="1"/>
  <c r="FQ36" i="21" s="1"/>
  <c r="FB36" i="21"/>
  <c r="FD36" i="21" s="1"/>
  <c r="FE36" i="21" s="1"/>
  <c r="FF36" i="21" s="1"/>
  <c r="FG36" i="21" s="1"/>
  <c r="FH36" i="21" s="1"/>
  <c r="FT35" i="21"/>
  <c r="FV35" i="21" s="1"/>
  <c r="FJ32" i="10"/>
  <c r="KY29" i="10" l="1"/>
  <c r="DX28" i="10"/>
  <c r="DR27" i="10"/>
  <c r="DS27" i="10" s="1"/>
  <c r="DT27" i="10" s="1"/>
  <c r="DU27" i="10" s="1"/>
  <c r="J27" i="25" s="1"/>
  <c r="H232" i="31" s="1"/>
  <c r="DQ27" i="10"/>
  <c r="DX33" i="18"/>
  <c r="DO33" i="18"/>
  <c r="DQ33" i="18"/>
  <c r="DO27" i="10"/>
  <c r="DX36" i="21"/>
  <c r="DR33" i="18"/>
  <c r="DS33" i="18" s="1"/>
  <c r="DT33" i="18" s="1"/>
  <c r="DU33" i="18" s="1"/>
  <c r="J33" i="28" s="1"/>
  <c r="H688" i="31" s="1"/>
  <c r="DN35" i="21"/>
  <c r="DP35" i="21" s="1"/>
  <c r="DR35" i="21" s="1"/>
  <c r="DS35" i="21" s="1"/>
  <c r="DT35" i="21" s="1"/>
  <c r="DU35" i="21" s="1"/>
  <c r="J35" i="29" s="1"/>
  <c r="H1080" i="31" s="1"/>
  <c r="CS36" i="18"/>
  <c r="DC35" i="10"/>
  <c r="DP36" i="20"/>
  <c r="DR36" i="20" s="1"/>
  <c r="DS36" i="20" s="1"/>
  <c r="DT36" i="20" s="1"/>
  <c r="DU36" i="20" s="1"/>
  <c r="J36" i="30" s="1"/>
  <c r="H1471" i="31" s="1"/>
  <c r="FW35" i="21"/>
  <c r="FX35" i="21" s="1"/>
  <c r="FY35" i="21" s="1"/>
  <c r="FZ35" i="21" s="1"/>
  <c r="FC36" i="21"/>
  <c r="FU35" i="21"/>
  <c r="FL36" i="21"/>
  <c r="FK32" i="10"/>
  <c r="FM32" i="10" s="1"/>
  <c r="I3" i="29"/>
  <c r="CT36" i="18" l="1"/>
  <c r="DY33" i="18"/>
  <c r="EA33" i="18" s="1"/>
  <c r="DO35" i="21"/>
  <c r="DQ35" i="21"/>
  <c r="DM34" i="18"/>
  <c r="DM28" i="10"/>
  <c r="DY36" i="21"/>
  <c r="EA36" i="21" s="1"/>
  <c r="DY28" i="10"/>
  <c r="EA28" i="10" s="1"/>
  <c r="DD35" i="10"/>
  <c r="DQ36" i="20"/>
  <c r="DO36" i="20"/>
  <c r="FS36" i="21"/>
  <c r="FN32" i="10"/>
  <c r="FO32" i="10" s="1"/>
  <c r="FP32" i="10" s="1"/>
  <c r="FQ32" i="10" s="1"/>
  <c r="G3" i="30"/>
  <c r="F3" i="30"/>
  <c r="M3" i="30"/>
  <c r="L3" i="30"/>
  <c r="J3" i="30"/>
  <c r="N3" i="30"/>
  <c r="H3" i="30"/>
  <c r="I3" i="30"/>
  <c r="K3" i="30"/>
  <c r="C3" i="30"/>
  <c r="E3" i="30"/>
  <c r="O3" i="30"/>
  <c r="D3" i="30"/>
  <c r="C4" i="30" l="1"/>
  <c r="J4" i="30"/>
  <c r="H4" i="30"/>
  <c r="N4" i="30"/>
  <c r="L4" i="30"/>
  <c r="F4" i="30"/>
  <c r="E4" i="30"/>
  <c r="D4" i="30"/>
  <c r="O4" i="30"/>
  <c r="M4" i="30"/>
  <c r="I4" i="30"/>
  <c r="K4" i="30"/>
  <c r="G4" i="30"/>
  <c r="KX30" i="10"/>
  <c r="EC36" i="21"/>
  <c r="ED36" i="21" s="1"/>
  <c r="EE36" i="21" s="1"/>
  <c r="EF36" i="21" s="1"/>
  <c r="K36" i="29" s="1"/>
  <c r="H1111" i="31" s="1"/>
  <c r="EC33" i="18"/>
  <c r="ED33" i="18" s="1"/>
  <c r="EE33" i="18" s="1"/>
  <c r="EF33" i="18" s="1"/>
  <c r="K33" i="28" s="1"/>
  <c r="H718" i="31" s="1"/>
  <c r="EB36" i="21"/>
  <c r="DZ36" i="21"/>
  <c r="DN34" i="18"/>
  <c r="DP34" i="18" s="1"/>
  <c r="DZ33" i="18"/>
  <c r="EB33" i="18"/>
  <c r="EC28" i="10"/>
  <c r="ED28" i="10" s="1"/>
  <c r="EE28" i="10" s="1"/>
  <c r="EF28" i="10" s="1"/>
  <c r="K28" i="25" s="1"/>
  <c r="H263" i="31" s="1"/>
  <c r="DM36" i="21"/>
  <c r="EB28" i="10"/>
  <c r="DZ28" i="10"/>
  <c r="DN28" i="10"/>
  <c r="DP28" i="10" s="1"/>
  <c r="CU36" i="18"/>
  <c r="DE35" i="10"/>
  <c r="FT36" i="21"/>
  <c r="FV36" i="21" s="1"/>
  <c r="FL32" i="10"/>
  <c r="KY30" i="10" l="1"/>
  <c r="DR28" i="10"/>
  <c r="DS28" i="10" s="1"/>
  <c r="DT28" i="10" s="1"/>
  <c r="DU28" i="10" s="1"/>
  <c r="J28" i="25" s="1"/>
  <c r="H233" i="31" s="1"/>
  <c r="CW36" i="18"/>
  <c r="CX36" i="18" s="1"/>
  <c r="CY36" i="18" s="1"/>
  <c r="CZ36" i="18" s="1"/>
  <c r="H36" i="28" s="1"/>
  <c r="H631" i="31" s="1"/>
  <c r="DX29" i="10"/>
  <c r="DR34" i="18"/>
  <c r="DS34" i="18" s="1"/>
  <c r="DT34" i="18" s="1"/>
  <c r="DU34" i="18" s="1"/>
  <c r="J34" i="28" s="1"/>
  <c r="H689" i="31" s="1"/>
  <c r="CV36" i="18"/>
  <c r="DO34" i="18"/>
  <c r="DQ34" i="18"/>
  <c r="DO28" i="10"/>
  <c r="DQ28" i="10"/>
  <c r="DX34" i="18"/>
  <c r="DG35" i="10"/>
  <c r="DH35" i="10" s="1"/>
  <c r="DI35" i="10" s="1"/>
  <c r="DJ35" i="10" s="1"/>
  <c r="I35" i="25" s="1"/>
  <c r="H210" i="31" s="1"/>
  <c r="DN36" i="21"/>
  <c r="DP36" i="21" s="1"/>
  <c r="DR36" i="21" s="1"/>
  <c r="DS36" i="21" s="1"/>
  <c r="DT36" i="21" s="1"/>
  <c r="DU36" i="21" s="1"/>
  <c r="J36" i="29" s="1"/>
  <c r="H1081" i="31" s="1"/>
  <c r="DF35" i="10"/>
  <c r="FW36" i="21"/>
  <c r="FX36" i="21" s="1"/>
  <c r="FY36" i="21" s="1"/>
  <c r="FZ36" i="21" s="1"/>
  <c r="FU36" i="21"/>
  <c r="FJ33" i="10"/>
  <c r="K3" i="29"/>
  <c r="DO36" i="21" l="1"/>
  <c r="DQ36" i="21"/>
  <c r="DM35" i="18"/>
  <c r="DY34" i="18"/>
  <c r="DM29" i="10"/>
  <c r="DY29" i="10"/>
  <c r="EA29" i="10" s="1"/>
  <c r="DC36" i="10"/>
  <c r="FK33" i="10"/>
  <c r="FM33" i="10" s="1"/>
  <c r="J3" i="29"/>
  <c r="H3" i="28"/>
  <c r="J4" i="29" l="1"/>
  <c r="I4" i="29"/>
  <c r="G4" i="29"/>
  <c r="L4" i="29"/>
  <c r="F4" i="29"/>
  <c r="H4" i="29"/>
  <c r="D4" i="29"/>
  <c r="C4" i="29"/>
  <c r="M4" i="29"/>
  <c r="O4" i="29"/>
  <c r="N4" i="29"/>
  <c r="E4" i="29"/>
  <c r="K4" i="29"/>
  <c r="EC29" i="10"/>
  <c r="ED29" i="10" s="1"/>
  <c r="EE29" i="10" s="1"/>
  <c r="EF29" i="10" s="1"/>
  <c r="K29" i="25" s="1"/>
  <c r="H264" i="31" s="1"/>
  <c r="DN29" i="10"/>
  <c r="DP29" i="10" s="1"/>
  <c r="DN35" i="18"/>
  <c r="EB29" i="10"/>
  <c r="DZ29" i="10"/>
  <c r="EA34" i="18"/>
  <c r="EB34" i="18" s="1"/>
  <c r="DD36" i="10"/>
  <c r="DE36" i="10" s="1"/>
  <c r="FN33" i="10"/>
  <c r="FO33" i="10" s="1"/>
  <c r="FP33" i="10" s="1"/>
  <c r="FQ33" i="10" s="1"/>
  <c r="KX31" i="10" l="1"/>
  <c r="DG36" i="10"/>
  <c r="DH36" i="10" s="1"/>
  <c r="DI36" i="10" s="1"/>
  <c r="DJ36" i="10" s="1"/>
  <c r="I36" i="25" s="1"/>
  <c r="H211" i="31" s="1"/>
  <c r="EC34" i="18"/>
  <c r="ED34" i="18" s="1"/>
  <c r="EE34" i="18" s="1"/>
  <c r="EF34" i="18" s="1"/>
  <c r="K34" i="28" s="1"/>
  <c r="H719" i="31" s="1"/>
  <c r="DZ34" i="18"/>
  <c r="DO29" i="10"/>
  <c r="DQ29" i="10"/>
  <c r="DX35" i="18"/>
  <c r="DR29" i="10"/>
  <c r="DS29" i="10" s="1"/>
  <c r="DT29" i="10" s="1"/>
  <c r="DU29" i="10" s="1"/>
  <c r="J29" i="25" s="1"/>
  <c r="H234" i="31" s="1"/>
  <c r="DX30" i="10"/>
  <c r="DP35" i="18"/>
  <c r="DQ35" i="18" s="1"/>
  <c r="DF36" i="10"/>
  <c r="FL33" i="10"/>
  <c r="DM36" i="18" l="1"/>
  <c r="DY35" i="18"/>
  <c r="EA35" i="18" s="1"/>
  <c r="DY30" i="10"/>
  <c r="EA30" i="10" s="1"/>
  <c r="DO35" i="18"/>
  <c r="DM30" i="10"/>
  <c r="DR35" i="18"/>
  <c r="DS35" i="18" s="1"/>
  <c r="DT35" i="18" s="1"/>
  <c r="DU35" i="18" s="1"/>
  <c r="J35" i="28" s="1"/>
  <c r="H690" i="31" s="1"/>
  <c r="FJ34" i="10"/>
  <c r="KY31" i="10" l="1"/>
  <c r="EC35" i="18"/>
  <c r="ED35" i="18" s="1"/>
  <c r="EE35" i="18" s="1"/>
  <c r="EF35" i="18" s="1"/>
  <c r="K35" i="28" s="1"/>
  <c r="H720" i="31" s="1"/>
  <c r="DZ35" i="18"/>
  <c r="DN30" i="10"/>
  <c r="EB35" i="18"/>
  <c r="DZ30" i="10"/>
  <c r="EB30" i="10"/>
  <c r="EC30" i="10"/>
  <c r="ED30" i="10" s="1"/>
  <c r="EE30" i="10" s="1"/>
  <c r="EF30" i="10" s="1"/>
  <c r="K30" i="25" s="1"/>
  <c r="H265" i="31" s="1"/>
  <c r="DN36" i="18"/>
  <c r="DP36" i="18" s="1"/>
  <c r="FK34" i="10"/>
  <c r="FM34" i="10" s="1"/>
  <c r="KX32" i="10" l="1"/>
  <c r="DX31" i="10"/>
  <c r="DO36" i="18"/>
  <c r="DQ36" i="18"/>
  <c r="DR36" i="18"/>
  <c r="DS36" i="18" s="1"/>
  <c r="DT36" i="18" s="1"/>
  <c r="DU36" i="18" s="1"/>
  <c r="J36" i="28" s="1"/>
  <c r="H691" i="31" s="1"/>
  <c r="DX36" i="18"/>
  <c r="DP30" i="10"/>
  <c r="DQ30" i="10" s="1"/>
  <c r="FN34" i="10"/>
  <c r="FO34" i="10" s="1"/>
  <c r="FP34" i="10" s="1"/>
  <c r="FQ34" i="10" s="1"/>
  <c r="KY32" i="10" l="1"/>
  <c r="DM31" i="10"/>
  <c r="DY36" i="18"/>
  <c r="DR30" i="10"/>
  <c r="DS30" i="10" s="1"/>
  <c r="DT30" i="10" s="1"/>
  <c r="DU30" i="10" s="1"/>
  <c r="J30" i="25" s="1"/>
  <c r="H235" i="31" s="1"/>
  <c r="DO30" i="10"/>
  <c r="DY31" i="10"/>
  <c r="EA31" i="10" s="1"/>
  <c r="FL34" i="10"/>
  <c r="J3" i="28"/>
  <c r="EC31" i="10" l="1"/>
  <c r="ED31" i="10" s="1"/>
  <c r="EE31" i="10" s="1"/>
  <c r="EF31" i="10" s="1"/>
  <c r="K31" i="25" s="1"/>
  <c r="H266" i="31" s="1"/>
  <c r="EA36" i="18"/>
  <c r="DZ36" i="18" s="1"/>
  <c r="DZ31" i="10"/>
  <c r="EB31" i="10"/>
  <c r="DN31" i="10"/>
  <c r="DP31" i="10" s="1"/>
  <c r="FJ35" i="10"/>
  <c r="KX33" i="10" l="1"/>
  <c r="DO31" i="10"/>
  <c r="DQ31" i="10"/>
  <c r="DX32" i="10"/>
  <c r="EC36" i="18"/>
  <c r="ED36" i="18" s="1"/>
  <c r="EE36" i="18" s="1"/>
  <c r="EF36" i="18" s="1"/>
  <c r="K36" i="28" s="1"/>
  <c r="H721" i="31" s="1"/>
  <c r="EB36" i="18"/>
  <c r="DR31" i="10"/>
  <c r="DS31" i="10" s="1"/>
  <c r="DT31" i="10" s="1"/>
  <c r="DU31" i="10" s="1"/>
  <c r="J31" i="25" s="1"/>
  <c r="H236" i="31" s="1"/>
  <c r="FK35" i="10"/>
  <c r="FM35" i="10" s="1"/>
  <c r="DY32" i="10" l="1"/>
  <c r="DM32" i="10"/>
  <c r="FN35" i="10"/>
  <c r="FO35" i="10" s="1"/>
  <c r="FP35" i="10" s="1"/>
  <c r="FQ35" i="10" s="1"/>
  <c r="K3" i="28"/>
  <c r="K4" i="28" l="1"/>
  <c r="J4" i="28"/>
  <c r="H4" i="28"/>
  <c r="G4" i="28"/>
  <c r="F4" i="28"/>
  <c r="I4" i="28"/>
  <c r="D4" i="28"/>
  <c r="E4" i="28"/>
  <c r="C4" i="28"/>
  <c r="O4" i="28"/>
  <c r="L4" i="28"/>
  <c r="N4" i="28"/>
  <c r="M4" i="28"/>
  <c r="KY33" i="10"/>
  <c r="DN32" i="10"/>
  <c r="DP32" i="10" s="1"/>
  <c r="EA32" i="10"/>
  <c r="EB32" i="10" s="1"/>
  <c r="FL35" i="10"/>
  <c r="FB14" i="10"/>
  <c r="FD14" i="10" s="1"/>
  <c r="KX34" i="10" l="1"/>
  <c r="DX33" i="10"/>
  <c r="DR32" i="10"/>
  <c r="DS32" i="10" s="1"/>
  <c r="DT32" i="10" s="1"/>
  <c r="DU32" i="10" s="1"/>
  <c r="J32" i="25" s="1"/>
  <c r="H237" i="31" s="1"/>
  <c r="DZ32" i="10"/>
  <c r="EC32" i="10"/>
  <c r="ED32" i="10" s="1"/>
  <c r="EE32" i="10" s="1"/>
  <c r="EF32" i="10" s="1"/>
  <c r="K32" i="25" s="1"/>
  <c r="H267" i="31" s="1"/>
  <c r="DO32" i="10"/>
  <c r="DQ32" i="10"/>
  <c r="FE14" i="10"/>
  <c r="FF14" i="10" s="1"/>
  <c r="FG14" i="10" s="1"/>
  <c r="FH14" i="10" s="1"/>
  <c r="EN14" i="10"/>
  <c r="FV14" i="10"/>
  <c r="FJ36" i="10"/>
  <c r="FC14" i="10"/>
  <c r="KY34" i="10" l="1"/>
  <c r="DM33" i="10"/>
  <c r="DY33" i="10"/>
  <c r="EL14" i="10"/>
  <c r="EJ15" i="10"/>
  <c r="EV14" i="10"/>
  <c r="EW14" i="10" s="1"/>
  <c r="EX14" i="10" s="1"/>
  <c r="EY14" i="10" s="1"/>
  <c r="FK36" i="10"/>
  <c r="FM36" i="10" s="1"/>
  <c r="FA15" i="10"/>
  <c r="EA33" i="10" l="1"/>
  <c r="DN33" i="10"/>
  <c r="DP33" i="10" s="1"/>
  <c r="EK15" i="10"/>
  <c r="EN15" i="10" s="1"/>
  <c r="FN36" i="10"/>
  <c r="FO36" i="10" s="1"/>
  <c r="FP36" i="10" s="1"/>
  <c r="FQ36" i="10" s="1"/>
  <c r="FB15" i="10"/>
  <c r="FD15" i="10" s="1"/>
  <c r="FE15" i="10" s="1"/>
  <c r="FF15" i="10" s="1"/>
  <c r="FG15" i="10" s="1"/>
  <c r="FH15" i="10" s="1"/>
  <c r="KX35" i="10" l="1"/>
  <c r="DR33" i="10"/>
  <c r="DS33" i="10" s="1"/>
  <c r="DT33" i="10" s="1"/>
  <c r="DU33" i="10" s="1"/>
  <c r="J33" i="25" s="1"/>
  <c r="H238" i="31" s="1"/>
  <c r="EC33" i="10"/>
  <c r="ED33" i="10" s="1"/>
  <c r="EE33" i="10" s="1"/>
  <c r="EF33" i="10" s="1"/>
  <c r="K33" i="25" s="1"/>
  <c r="H268" i="31" s="1"/>
  <c r="DZ33" i="10"/>
  <c r="DO33" i="10"/>
  <c r="DQ33" i="10"/>
  <c r="EB33" i="10"/>
  <c r="EV15" i="10"/>
  <c r="EW15" i="10" s="1"/>
  <c r="EX15" i="10" s="1"/>
  <c r="EY15" i="10" s="1"/>
  <c r="EJ16" i="10"/>
  <c r="EL15" i="10"/>
  <c r="FL36" i="10"/>
  <c r="FC15" i="10"/>
  <c r="DX34" i="10" l="1"/>
  <c r="DM34" i="10"/>
  <c r="EK16" i="10"/>
  <c r="EN16" i="10" s="1"/>
  <c r="EV16" i="10" s="1"/>
  <c r="EW16" i="10" s="1"/>
  <c r="EX16" i="10" s="1"/>
  <c r="EY16" i="10" s="1"/>
  <c r="FA16" i="10"/>
  <c r="KY35" i="10" l="1"/>
  <c r="DN34" i="10"/>
  <c r="DP34" i="10" s="1"/>
  <c r="DY34" i="10"/>
  <c r="EA34" i="10" s="1"/>
  <c r="EJ17" i="10"/>
  <c r="EK17" i="10" s="1"/>
  <c r="EN17" i="10" s="1"/>
  <c r="EL16" i="10"/>
  <c r="FB16" i="10"/>
  <c r="FD16" i="10" s="1"/>
  <c r="FE16" i="10" s="1"/>
  <c r="FF16" i="10" s="1"/>
  <c r="FG16" i="10" s="1"/>
  <c r="FH16" i="10" s="1"/>
  <c r="KX36" i="10" l="1"/>
  <c r="DR34" i="10"/>
  <c r="DS34" i="10" s="1"/>
  <c r="DT34" i="10" s="1"/>
  <c r="DU34" i="10" s="1"/>
  <c r="J34" i="25" s="1"/>
  <c r="H239" i="31" s="1"/>
  <c r="EB34" i="10"/>
  <c r="DZ34" i="10"/>
  <c r="EC34" i="10"/>
  <c r="ED34" i="10" s="1"/>
  <c r="EE34" i="10" s="1"/>
  <c r="EF34" i="10" s="1"/>
  <c r="K34" i="25" s="1"/>
  <c r="H269" i="31" s="1"/>
  <c r="DO34" i="10"/>
  <c r="DQ34" i="10"/>
  <c r="EV17" i="10"/>
  <c r="EW17" i="10" s="1"/>
  <c r="EX17" i="10" s="1"/>
  <c r="EY17" i="10" s="1"/>
  <c r="EJ18" i="10"/>
  <c r="EL17" i="10"/>
  <c r="FC16" i="10"/>
  <c r="KY36" i="10" l="1"/>
  <c r="DM35" i="10"/>
  <c r="DX35" i="10"/>
  <c r="EK18" i="10"/>
  <c r="EN18" i="10" s="1"/>
  <c r="EV18" i="10" s="1"/>
  <c r="EW18" i="10" s="1"/>
  <c r="EX18" i="10" s="1"/>
  <c r="EY18" i="10" s="1"/>
  <c r="FA17" i="10"/>
  <c r="DY35" i="10" l="1"/>
  <c r="EA35" i="10" s="1"/>
  <c r="DN35" i="10"/>
  <c r="DP35" i="10" s="1"/>
  <c r="EL18" i="10"/>
  <c r="EJ19" i="10"/>
  <c r="FB17" i="10"/>
  <c r="DR35" i="10" l="1"/>
  <c r="DS35" i="10" s="1"/>
  <c r="DT35" i="10" s="1"/>
  <c r="DU35" i="10" s="1"/>
  <c r="J35" i="25" s="1"/>
  <c r="H240" i="31" s="1"/>
  <c r="DO35" i="10"/>
  <c r="DQ35" i="10"/>
  <c r="EC35" i="10"/>
  <c r="ED35" i="10" s="1"/>
  <c r="EE35" i="10" s="1"/>
  <c r="EF35" i="10" s="1"/>
  <c r="K35" i="25" s="1"/>
  <c r="H270" i="31" s="1"/>
  <c r="EB35" i="10"/>
  <c r="DZ35" i="10"/>
  <c r="EK19" i="10"/>
  <c r="EN19" i="10" s="1"/>
  <c r="FD17" i="10"/>
  <c r="FE17" i="10" s="1"/>
  <c r="FF17" i="10" s="1"/>
  <c r="FG17" i="10" s="1"/>
  <c r="FH17" i="10" s="1"/>
  <c r="DX36" i="10" l="1"/>
  <c r="DM36" i="10"/>
  <c r="EV19" i="10"/>
  <c r="EW19" i="10" s="1"/>
  <c r="EX19" i="10" s="1"/>
  <c r="EY19" i="10" s="1"/>
  <c r="EJ20" i="10"/>
  <c r="EL19" i="10"/>
  <c r="FC17" i="10"/>
  <c r="DN36" i="10" l="1"/>
  <c r="DP36" i="10" s="1"/>
  <c r="DY36" i="10"/>
  <c r="EA36" i="10" s="1"/>
  <c r="EK20" i="10"/>
  <c r="EN20" i="10" s="1"/>
  <c r="FA18" i="10"/>
  <c r="DR36" i="10" l="1"/>
  <c r="DS36" i="10" s="1"/>
  <c r="DT36" i="10" s="1"/>
  <c r="DU36" i="10" s="1"/>
  <c r="J36" i="25" s="1"/>
  <c r="H241" i="31" s="1"/>
  <c r="DZ36" i="10"/>
  <c r="EB36" i="10"/>
  <c r="EC36" i="10"/>
  <c r="ED36" i="10" s="1"/>
  <c r="EE36" i="10" s="1"/>
  <c r="EF36" i="10" s="1"/>
  <c r="K36" i="25" s="1"/>
  <c r="H271" i="31" s="1"/>
  <c r="DO36" i="10"/>
  <c r="DQ36" i="10"/>
  <c r="EV20" i="10"/>
  <c r="EW20" i="10" s="1"/>
  <c r="EX20" i="10" s="1"/>
  <c r="EY20" i="10" s="1"/>
  <c r="EJ21" i="10"/>
  <c r="EL20" i="10"/>
  <c r="FB18" i="10"/>
  <c r="FD18" i="10" s="1"/>
  <c r="FE18" i="10" s="1"/>
  <c r="FF18" i="10" s="1"/>
  <c r="FG18" i="10" s="1"/>
  <c r="FH18" i="10" s="1"/>
  <c r="EK21" i="10" l="1"/>
  <c r="FC18" i="10"/>
  <c r="EN21" i="10" l="1"/>
  <c r="FA19" i="10"/>
  <c r="EV21" i="10" l="1"/>
  <c r="EW21" i="10" s="1"/>
  <c r="EX21" i="10" s="1"/>
  <c r="EY21" i="10" s="1"/>
  <c r="EJ22" i="10"/>
  <c r="EL21" i="10"/>
  <c r="FB19" i="10"/>
  <c r="FD19" i="10" s="1"/>
  <c r="FE19" i="10" s="1"/>
  <c r="FF19" i="10" s="1"/>
  <c r="FG19" i="10" s="1"/>
  <c r="FH19" i="10" s="1"/>
  <c r="EK22" i="10" l="1"/>
  <c r="FC19" i="10"/>
  <c r="EN22" i="10" l="1"/>
  <c r="FA20" i="10"/>
  <c r="EV22" i="10" l="1"/>
  <c r="EW22" i="10" s="1"/>
  <c r="EX22" i="10" s="1"/>
  <c r="EY22" i="10" s="1"/>
  <c r="EJ23" i="10"/>
  <c r="EL22" i="10"/>
  <c r="FB20" i="10"/>
  <c r="EK23" i="10" l="1"/>
  <c r="EN23" i="10" s="1"/>
  <c r="EV23" i="10" s="1"/>
  <c r="EW23" i="10" s="1"/>
  <c r="EX23" i="10" s="1"/>
  <c r="EY23" i="10" s="1"/>
  <c r="FD20" i="10"/>
  <c r="FE20" i="10" s="1"/>
  <c r="FF20" i="10" s="1"/>
  <c r="FG20" i="10" s="1"/>
  <c r="FH20" i="10" s="1"/>
  <c r="EJ24" i="10" l="1"/>
  <c r="EK24" i="10" s="1"/>
  <c r="EL23" i="10"/>
  <c r="FC20" i="10"/>
  <c r="EN24" i="10" l="1"/>
  <c r="FA21" i="10"/>
  <c r="EV24" i="10" l="1"/>
  <c r="EW24" i="10" s="1"/>
  <c r="EX24" i="10" s="1"/>
  <c r="EY24" i="10" s="1"/>
  <c r="EJ25" i="10"/>
  <c r="EL24" i="10"/>
  <c r="FB21" i="10"/>
  <c r="FD21" i="10" s="1"/>
  <c r="FE21" i="10" s="1"/>
  <c r="FF21" i="10" s="1"/>
  <c r="FG21" i="10" s="1"/>
  <c r="FH21" i="10" s="1"/>
  <c r="EK25" i="10" l="1"/>
  <c r="FC21" i="10"/>
  <c r="EN25" i="10" l="1"/>
  <c r="FA22" i="10"/>
  <c r="EV25" i="10" l="1"/>
  <c r="EW25" i="10" s="1"/>
  <c r="EX25" i="10" s="1"/>
  <c r="EY25" i="10" s="1"/>
  <c r="EJ26" i="10"/>
  <c r="EL25" i="10"/>
  <c r="FB22" i="10"/>
  <c r="FD22" i="10" s="1"/>
  <c r="FE22" i="10" s="1"/>
  <c r="FF22" i="10" s="1"/>
  <c r="FG22" i="10" s="1"/>
  <c r="FH22" i="10" s="1"/>
  <c r="EK26" i="10" l="1"/>
  <c r="EN26" i="10" s="1"/>
  <c r="EV26" i="10" s="1"/>
  <c r="EW26" i="10" s="1"/>
  <c r="EX26" i="10" s="1"/>
  <c r="EY26" i="10" s="1"/>
  <c r="FC22" i="10"/>
  <c r="EL26" i="10" l="1"/>
  <c r="EJ27" i="10"/>
  <c r="FA23" i="10"/>
  <c r="EK27" i="10" l="1"/>
  <c r="FB23" i="10"/>
  <c r="EN27" i="10" l="1"/>
  <c r="FD23" i="10"/>
  <c r="FE23" i="10" s="1"/>
  <c r="FF23" i="10" s="1"/>
  <c r="FG23" i="10" s="1"/>
  <c r="FH23" i="10" s="1"/>
  <c r="EV27" i="10" l="1"/>
  <c r="EW27" i="10" s="1"/>
  <c r="EX27" i="10" s="1"/>
  <c r="EY27" i="10" s="1"/>
  <c r="EJ28" i="10"/>
  <c r="EL27" i="10"/>
  <c r="FC23" i="10"/>
  <c r="EK28" i="10" l="1"/>
  <c r="FA24" i="10"/>
  <c r="EN28" i="10" l="1"/>
  <c r="FB24" i="10"/>
  <c r="FD24" i="10" s="1"/>
  <c r="FE24" i="10" s="1"/>
  <c r="FF24" i="10" s="1"/>
  <c r="FG24" i="10" s="1"/>
  <c r="FH24" i="10" s="1"/>
  <c r="EV28" i="10" l="1"/>
  <c r="EW28" i="10" s="1"/>
  <c r="EX28" i="10" s="1"/>
  <c r="EY28" i="10" s="1"/>
  <c r="EJ29" i="10"/>
  <c r="EL28" i="10"/>
  <c r="FC24" i="10"/>
  <c r="EK29" i="10" l="1"/>
  <c r="EN29" i="10" s="1"/>
  <c r="FA25" i="10"/>
  <c r="EV29" i="10" l="1"/>
  <c r="EW29" i="10" s="1"/>
  <c r="EX29" i="10" s="1"/>
  <c r="EY29" i="10" s="1"/>
  <c r="EJ30" i="10"/>
  <c r="EL29" i="10"/>
  <c r="FB25" i="10"/>
  <c r="FD25" i="10" s="1"/>
  <c r="FE25" i="10" s="1"/>
  <c r="FF25" i="10" s="1"/>
  <c r="FG25" i="10" s="1"/>
  <c r="FH25" i="10" s="1"/>
  <c r="EK30" i="10" l="1"/>
  <c r="EN30" i="10" s="1"/>
  <c r="EV30" i="10" s="1"/>
  <c r="EW30" i="10" s="1"/>
  <c r="EX30" i="10" s="1"/>
  <c r="EY30" i="10" s="1"/>
  <c r="FC25" i="10"/>
  <c r="EL30" i="10" l="1"/>
  <c r="EJ31" i="10"/>
  <c r="FA26" i="10"/>
  <c r="EK31" i="10" l="1"/>
  <c r="EN31" i="10" s="1"/>
  <c r="FB26" i="10"/>
  <c r="FD26" i="10" s="1"/>
  <c r="FE26" i="10" s="1"/>
  <c r="FF26" i="10" s="1"/>
  <c r="FG26" i="10" s="1"/>
  <c r="FH26" i="10" s="1"/>
  <c r="EV31" i="10" l="1"/>
  <c r="EW31" i="10" s="1"/>
  <c r="EX31" i="10" s="1"/>
  <c r="EY31" i="10" s="1"/>
  <c r="EJ32" i="10"/>
  <c r="EL31" i="10"/>
  <c r="FC26" i="10"/>
  <c r="EK32" i="10" l="1"/>
  <c r="FA27" i="10"/>
  <c r="EN32" i="10" l="1"/>
  <c r="FB27" i="10"/>
  <c r="EV32" i="10" l="1"/>
  <c r="EW32" i="10" s="1"/>
  <c r="EX32" i="10" s="1"/>
  <c r="EY32" i="10" s="1"/>
  <c r="EJ33" i="10"/>
  <c r="EL32" i="10"/>
  <c r="FD27" i="10"/>
  <c r="FE27" i="10" s="1"/>
  <c r="FF27" i="10" s="1"/>
  <c r="FG27" i="10" s="1"/>
  <c r="FH27" i="10" s="1"/>
  <c r="EK33" i="10" l="1"/>
  <c r="EN33" i="10" s="1"/>
  <c r="FC27" i="10"/>
  <c r="FA28" i="10" s="1"/>
  <c r="EL33" i="10" l="1"/>
  <c r="EV33" i="10"/>
  <c r="EW33" i="10" s="1"/>
  <c r="EX33" i="10" s="1"/>
  <c r="EY33" i="10" s="1"/>
  <c r="EJ34" i="10"/>
  <c r="FB28" i="10"/>
  <c r="EK34" i="10" l="1"/>
  <c r="EN34" i="10" s="1"/>
  <c r="FD28" i="10"/>
  <c r="FE28" i="10" s="1"/>
  <c r="FF28" i="10" s="1"/>
  <c r="FG28" i="10" s="1"/>
  <c r="FH28" i="10" s="1"/>
  <c r="EJ35" i="10" l="1"/>
  <c r="EV34" i="10"/>
  <c r="EW34" i="10" s="1"/>
  <c r="EX34" i="10" s="1"/>
  <c r="EY34" i="10" s="1"/>
  <c r="EL34" i="10"/>
  <c r="FC28" i="10"/>
  <c r="EK35" i="10" l="1"/>
  <c r="FA29" i="10"/>
  <c r="EN35" i="10" l="1"/>
  <c r="EV35" i="10" s="1"/>
  <c r="EW35" i="10" s="1"/>
  <c r="EX35" i="10" s="1"/>
  <c r="EY35" i="10" s="1"/>
  <c r="FB29" i="10"/>
  <c r="EJ36" i="10" l="1"/>
  <c r="EK36" i="10" s="1"/>
  <c r="EN36" i="10" s="1"/>
  <c r="EV36" i="10" s="1"/>
  <c r="EW36" i="10" s="1"/>
  <c r="EX36" i="10" s="1"/>
  <c r="EY36" i="10" s="1"/>
  <c r="EL35" i="10"/>
  <c r="FD29" i="10"/>
  <c r="FE29" i="10" s="1"/>
  <c r="FF29" i="10" s="1"/>
  <c r="FG29" i="10" s="1"/>
  <c r="FH29" i="10" s="1"/>
  <c r="EL36" i="10" l="1"/>
  <c r="FC29" i="10"/>
  <c r="FA30" i="10" s="1"/>
  <c r="FB30" i="10" l="1"/>
  <c r="FD30" i="10" l="1"/>
  <c r="FE30" i="10" s="1"/>
  <c r="FF30" i="10" s="1"/>
  <c r="FG30" i="10" s="1"/>
  <c r="FH30" i="10" s="1"/>
  <c r="FC30" i="10" l="1"/>
  <c r="FA31" i="10" l="1"/>
  <c r="FB31" i="10" l="1"/>
  <c r="FD31" i="10" s="1"/>
  <c r="FE31" i="10" s="1"/>
  <c r="FF31" i="10" s="1"/>
  <c r="FG31" i="10" s="1"/>
  <c r="FH31" i="10" s="1"/>
  <c r="FC31" i="10" l="1"/>
  <c r="FA32" i="10" l="1"/>
  <c r="FB32" i="10" l="1"/>
  <c r="FD32" i="10" s="1"/>
  <c r="FE32" i="10" s="1"/>
  <c r="FF32" i="10" s="1"/>
  <c r="FG32" i="10" s="1"/>
  <c r="FH32" i="10" s="1"/>
  <c r="FC32" i="10" l="1"/>
  <c r="FA33" i="10" l="1"/>
  <c r="FB33" i="10" l="1"/>
  <c r="FD33" i="10" l="1"/>
  <c r="FE33" i="10" s="1"/>
  <c r="FF33" i="10" s="1"/>
  <c r="FG33" i="10" s="1"/>
  <c r="FH33" i="10" s="1"/>
  <c r="FC33" i="10" l="1"/>
  <c r="FA34" i="10" l="1"/>
  <c r="FB34" i="10" l="1"/>
  <c r="FD34" i="10" l="1"/>
  <c r="FE34" i="10" s="1"/>
  <c r="FF34" i="10" s="1"/>
  <c r="FG34" i="10" s="1"/>
  <c r="FH34" i="10" s="1"/>
  <c r="FC34" i="10" l="1"/>
  <c r="FA35" i="10" l="1"/>
  <c r="FB35" i="10" l="1"/>
  <c r="FD35" i="10" l="1"/>
  <c r="FE35" i="10" s="1"/>
  <c r="FF35" i="10" s="1"/>
  <c r="FG35" i="10" s="1"/>
  <c r="FH35" i="10" s="1"/>
  <c r="FC35" i="10" l="1"/>
  <c r="FA36" i="10" l="1"/>
  <c r="FB36" i="10" l="1"/>
  <c r="FD36" i="10" s="1"/>
  <c r="FE36" i="10" s="1"/>
  <c r="FF36" i="10" s="1"/>
  <c r="FG36" i="10" s="1"/>
  <c r="FH36" i="10" s="1"/>
  <c r="FC36" i="10" l="1"/>
  <c r="FU14" i="10"/>
  <c r="FS15" i="10" s="1"/>
  <c r="FW14" i="10"/>
  <c r="FX14" i="10" s="1"/>
  <c r="FY14" i="10" s="1"/>
  <c r="FZ14" i="10" s="1"/>
  <c r="FT15" i="10" l="1"/>
  <c r="FV15" i="10" l="1"/>
  <c r="FW15" i="10" s="1"/>
  <c r="FX15" i="10" s="1"/>
  <c r="FY15" i="10" s="1"/>
  <c r="FZ15" i="10" s="1"/>
  <c r="FU15" i="10" l="1"/>
  <c r="FS16" i="10" s="1"/>
  <c r="FT16" i="10" l="1"/>
  <c r="FV16" i="10" l="1"/>
  <c r="FW16" i="10" s="1"/>
  <c r="FX16" i="10" s="1"/>
  <c r="FY16" i="10" s="1"/>
  <c r="FZ16" i="10" s="1"/>
  <c r="FU16" i="10" l="1"/>
  <c r="FS17" i="10" s="1"/>
  <c r="FT17" i="10" l="1"/>
  <c r="FV17" i="10" l="1"/>
  <c r="FW17" i="10" s="1"/>
  <c r="FX17" i="10" s="1"/>
  <c r="FY17" i="10" s="1"/>
  <c r="FZ17" i="10" s="1"/>
  <c r="FU17" i="10" l="1"/>
  <c r="FS18" i="10" s="1"/>
  <c r="FT18" i="10" l="1"/>
  <c r="FV18" i="10" s="1"/>
  <c r="FW18" i="10" l="1"/>
  <c r="FX18" i="10" s="1"/>
  <c r="FY18" i="10" s="1"/>
  <c r="FZ18" i="10" s="1"/>
  <c r="FU18" i="10" l="1"/>
  <c r="FS19" i="10" l="1"/>
  <c r="FT19" i="10" l="1"/>
  <c r="FV19" i="10" s="1"/>
  <c r="FW19" i="10" l="1"/>
  <c r="FX19" i="10" s="1"/>
  <c r="FY19" i="10" s="1"/>
  <c r="FZ19" i="10" s="1"/>
  <c r="FU19" i="10" l="1"/>
  <c r="FS20" i="10" l="1"/>
  <c r="FT20" i="10" l="1"/>
  <c r="FV20" i="10" s="1"/>
  <c r="FW20" i="10" l="1"/>
  <c r="FX20" i="10" s="1"/>
  <c r="FY20" i="10" s="1"/>
  <c r="FZ20" i="10" s="1"/>
  <c r="FU20" i="10"/>
  <c r="FS21" i="10" l="1"/>
  <c r="FT21" i="10" l="1"/>
  <c r="FV21" i="10" s="1"/>
  <c r="FW21" i="10" l="1"/>
  <c r="FX21" i="10" s="1"/>
  <c r="FY21" i="10" s="1"/>
  <c r="FZ21" i="10" s="1"/>
  <c r="FU21" i="10"/>
  <c r="FS22" i="10" l="1"/>
  <c r="FT22" i="10" l="1"/>
  <c r="FV22" i="10" s="1"/>
  <c r="FW22" i="10" l="1"/>
  <c r="FX22" i="10" s="1"/>
  <c r="FY22" i="10" s="1"/>
  <c r="FZ22" i="10" s="1"/>
  <c r="FU22" i="10"/>
  <c r="FS23" i="10" l="1"/>
  <c r="FT23" i="10" l="1"/>
  <c r="FV23" i="10" s="1"/>
  <c r="FW23" i="10" l="1"/>
  <c r="FX23" i="10" s="1"/>
  <c r="FY23" i="10" s="1"/>
  <c r="FZ23" i="10" s="1"/>
  <c r="FU23" i="10"/>
  <c r="FS24" i="10" l="1"/>
  <c r="FT24" i="10" l="1"/>
  <c r="FV24" i="10" l="1"/>
  <c r="FW24" i="10" s="1"/>
  <c r="FX24" i="10" s="1"/>
  <c r="FY24" i="10" s="1"/>
  <c r="FZ24" i="10" s="1"/>
  <c r="FU24" i="10" l="1"/>
  <c r="FS25" i="10" s="1"/>
  <c r="FT25" i="10" l="1"/>
  <c r="FV25" i="10" l="1"/>
  <c r="FW25" i="10" s="1"/>
  <c r="FX25" i="10" s="1"/>
  <c r="FY25" i="10" s="1"/>
  <c r="FZ25" i="10" s="1"/>
  <c r="FU25" i="10" l="1"/>
  <c r="FS26" i="10" s="1"/>
  <c r="FT26" i="10" l="1"/>
  <c r="FV26" i="10" s="1"/>
  <c r="FW26" i="10" l="1"/>
  <c r="FX26" i="10" s="1"/>
  <c r="FY26" i="10" s="1"/>
  <c r="FZ26" i="10" s="1"/>
  <c r="FU26" i="10" l="1"/>
  <c r="FS27" i="10" l="1"/>
  <c r="FT27" i="10" l="1"/>
  <c r="FV27" i="10" s="1"/>
  <c r="FW27" i="10" s="1"/>
  <c r="FX27" i="10" s="1"/>
  <c r="FY27" i="10" s="1"/>
  <c r="FZ27" i="10" s="1"/>
  <c r="FU27" i="10" l="1"/>
  <c r="FS28" i="10" l="1"/>
  <c r="FT28" i="10" l="1"/>
  <c r="FV28" i="10" s="1"/>
  <c r="FW28" i="10" l="1"/>
  <c r="FX28" i="10" s="1"/>
  <c r="FY28" i="10" s="1"/>
  <c r="FZ28" i="10" s="1"/>
  <c r="FU28" i="10"/>
  <c r="FS29" i="10" l="1"/>
  <c r="FT29" i="10" l="1"/>
  <c r="FV29" i="10" l="1"/>
  <c r="FW29" i="10" s="1"/>
  <c r="FX29" i="10" s="1"/>
  <c r="FY29" i="10" s="1"/>
  <c r="FZ29" i="10" s="1"/>
  <c r="FU29" i="10" l="1"/>
  <c r="FS30" i="10" s="1"/>
  <c r="FT30" i="10" l="1"/>
  <c r="FV30" i="10" s="1"/>
  <c r="FW30" i="10" s="1"/>
  <c r="FX30" i="10" s="1"/>
  <c r="FY30" i="10" s="1"/>
  <c r="FZ30" i="10" s="1"/>
  <c r="FU30" i="10" l="1"/>
  <c r="FS31" i="10" l="1"/>
  <c r="FT31" i="10" l="1"/>
  <c r="FV31" i="10" s="1"/>
  <c r="FW31" i="10" s="1"/>
  <c r="FX31" i="10" s="1"/>
  <c r="FY31" i="10" s="1"/>
  <c r="FZ31" i="10" s="1"/>
  <c r="FU31" i="10" l="1"/>
  <c r="FS32" i="10" l="1"/>
  <c r="FT32" i="10" l="1"/>
  <c r="FV32" i="10" s="1"/>
  <c r="FW32" i="10" l="1"/>
  <c r="FX32" i="10" s="1"/>
  <c r="FY32" i="10" s="1"/>
  <c r="FZ32" i="10" s="1"/>
  <c r="FU32" i="10" l="1"/>
  <c r="FS33" i="10" l="1"/>
  <c r="FT33" i="10" l="1"/>
  <c r="FV33" i="10" s="1"/>
  <c r="FW33" i="10" s="1"/>
  <c r="FX33" i="10" s="1"/>
  <c r="FY33" i="10" s="1"/>
  <c r="FZ33" i="10" s="1"/>
  <c r="FU33" i="10" l="1"/>
  <c r="FS34" i="10" l="1"/>
  <c r="FT34" i="10" l="1"/>
  <c r="FV34" i="10" l="1"/>
  <c r="FW34" i="10" s="1"/>
  <c r="FX34" i="10" s="1"/>
  <c r="FY34" i="10" s="1"/>
  <c r="FZ34" i="10" s="1"/>
  <c r="FU34" i="10" l="1"/>
  <c r="FS35" i="10" s="1"/>
  <c r="FT35" i="10" l="1"/>
  <c r="FV35" i="10" s="1"/>
  <c r="FW35" i="10" l="1"/>
  <c r="FX35" i="10" s="1"/>
  <c r="FY35" i="10" s="1"/>
  <c r="FZ35" i="10" s="1"/>
  <c r="FU35" i="10" l="1"/>
  <c r="FS36" i="10" l="1"/>
  <c r="FT36" i="10" l="1"/>
  <c r="FV36" i="10" s="1"/>
  <c r="FW36" i="10" s="1"/>
  <c r="FX36" i="10" s="1"/>
  <c r="FY36" i="10" s="1"/>
  <c r="FZ36" i="10" s="1"/>
  <c r="FU36" i="10" l="1"/>
  <c r="EL16" i="18" l="1"/>
  <c r="EV16" i="18"/>
  <c r="EW16" i="18" s="1"/>
  <c r="EX16" i="18" s="1"/>
  <c r="EY16" i="18" s="1"/>
  <c r="FA17" i="18" l="1"/>
  <c r="EK17" i="18"/>
  <c r="EN17" i="18" s="1"/>
  <c r="FB17" i="18" l="1"/>
  <c r="FD17" i="18" s="1"/>
  <c r="FE17" i="18" s="1"/>
  <c r="FF17" i="18" s="1"/>
  <c r="FG17" i="18" s="1"/>
  <c r="FH17" i="18" s="1"/>
  <c r="FN17" i="18"/>
  <c r="FO17" i="18" s="1"/>
  <c r="FP17" i="18" s="1"/>
  <c r="FQ17" i="18" s="1"/>
  <c r="FL17" i="18"/>
  <c r="FC17" i="18" l="1"/>
  <c r="FA18" i="18" s="1"/>
  <c r="EV17" i="18"/>
  <c r="EW17" i="18" s="1"/>
  <c r="EX17" i="18" s="1"/>
  <c r="EY17" i="18" s="1"/>
  <c r="EJ18" i="18"/>
  <c r="FJ18" i="18"/>
  <c r="FW17" i="18"/>
  <c r="FX17" i="18" s="1"/>
  <c r="FY17" i="18" s="1"/>
  <c r="FZ17" i="18" s="1"/>
  <c r="FU17" i="18"/>
  <c r="EL17" i="18"/>
  <c r="FS18" i="18" l="1"/>
  <c r="FB18" i="18"/>
  <c r="FD18" i="18" s="1"/>
  <c r="FE18" i="18" s="1"/>
  <c r="FF18" i="18" s="1"/>
  <c r="FG18" i="18" s="1"/>
  <c r="FH18" i="18" s="1"/>
  <c r="FK18" i="18"/>
  <c r="EK18" i="18"/>
  <c r="FM18" i="18" l="1"/>
  <c r="FN18" i="18" s="1"/>
  <c r="FO18" i="18" s="1"/>
  <c r="FP18" i="18" s="1"/>
  <c r="FQ18" i="18" s="1"/>
  <c r="EN18" i="18"/>
  <c r="EV18" i="18" s="1"/>
  <c r="EW18" i="18" s="1"/>
  <c r="EX18" i="18" s="1"/>
  <c r="EY18" i="18" s="1"/>
  <c r="FC18" i="18"/>
  <c r="FT18" i="18"/>
  <c r="EL18" i="18" l="1"/>
  <c r="EJ19" i="18"/>
  <c r="EK19" i="18" s="1"/>
  <c r="FV18" i="18"/>
  <c r="FW18" i="18" s="1"/>
  <c r="FX18" i="18" s="1"/>
  <c r="FY18" i="18" s="1"/>
  <c r="FZ18" i="18" s="1"/>
  <c r="FL18" i="18"/>
  <c r="FJ19" i="18" s="1"/>
  <c r="FA19" i="18"/>
  <c r="EN19" i="18" l="1"/>
  <c r="EV19" i="18" s="1"/>
  <c r="EW19" i="18" s="1"/>
  <c r="EX19" i="18" s="1"/>
  <c r="EY19" i="18" s="1"/>
  <c r="FU18" i="18"/>
  <c r="FS19" i="18" s="1"/>
  <c r="FB19" i="18"/>
  <c r="FD19" i="18" s="1"/>
  <c r="FK19" i="18"/>
  <c r="FM19" i="18" s="1"/>
  <c r="EL19" i="18" l="1"/>
  <c r="EJ20" i="18"/>
  <c r="FT19" i="18"/>
  <c r="FN19" i="18"/>
  <c r="FO19" i="18" s="1"/>
  <c r="FP19" i="18" s="1"/>
  <c r="FQ19" i="18" s="1"/>
  <c r="FE19" i="18"/>
  <c r="FF19" i="18" s="1"/>
  <c r="FG19" i="18" s="1"/>
  <c r="FH19" i="18" s="1"/>
  <c r="EK20" i="18" l="1"/>
  <c r="EN20" i="18" s="1"/>
  <c r="EV20" i="18" s="1"/>
  <c r="EW20" i="18" s="1"/>
  <c r="EX20" i="18" s="1"/>
  <c r="EY20" i="18" s="1"/>
  <c r="FV19" i="18"/>
  <c r="FW19" i="18" s="1"/>
  <c r="FX19" i="18" s="1"/>
  <c r="FY19" i="18" s="1"/>
  <c r="FZ19" i="18" s="1"/>
  <c r="FL19" i="18"/>
  <c r="FJ20" i="18" s="1"/>
  <c r="FC19" i="18"/>
  <c r="EL20" i="18" l="1"/>
  <c r="EJ21" i="18"/>
  <c r="EK21" i="18" s="1"/>
  <c r="FU19" i="18"/>
  <c r="FS20" i="18" s="1"/>
  <c r="FK20" i="18"/>
  <c r="FM20" i="18" s="1"/>
  <c r="FA20" i="18"/>
  <c r="FN20" i="18" l="1"/>
  <c r="FO20" i="18" s="1"/>
  <c r="FP20" i="18" s="1"/>
  <c r="FQ20" i="18" s="1"/>
  <c r="EN21" i="18"/>
  <c r="EJ22" i="18" s="1"/>
  <c r="FL20" i="18"/>
  <c r="FB20" i="18"/>
  <c r="FD20" i="18" s="1"/>
  <c r="FT20" i="18"/>
  <c r="FV20" i="18" s="1"/>
  <c r="EL21" i="18" l="1"/>
  <c r="FW20" i="18"/>
  <c r="FX20" i="18" s="1"/>
  <c r="FY20" i="18" s="1"/>
  <c r="FZ20" i="18" s="1"/>
  <c r="EV21" i="18"/>
  <c r="EW21" i="18" s="1"/>
  <c r="EX21" i="18" s="1"/>
  <c r="EY21" i="18" s="1"/>
  <c r="FU20" i="18"/>
  <c r="EK22" i="18"/>
  <c r="EN22" i="18" s="1"/>
  <c r="FJ21" i="18"/>
  <c r="FE20" i="18"/>
  <c r="FF20" i="18" s="1"/>
  <c r="FG20" i="18" s="1"/>
  <c r="FH20" i="18" s="1"/>
  <c r="EV22" i="18" l="1"/>
  <c r="EW22" i="18" s="1"/>
  <c r="EX22" i="18" s="1"/>
  <c r="EY22" i="18" s="1"/>
  <c r="FK21" i="18"/>
  <c r="FM21" i="18" s="1"/>
  <c r="FS21" i="18"/>
  <c r="FC20" i="18"/>
  <c r="FN21" i="18" l="1"/>
  <c r="FO21" i="18" s="1"/>
  <c r="FP21" i="18" s="1"/>
  <c r="FQ21" i="18" s="1"/>
  <c r="EL22" i="18"/>
  <c r="EJ23" i="18"/>
  <c r="FA21" i="18"/>
  <c r="FL21" i="18"/>
  <c r="FT21" i="18"/>
  <c r="FV21" i="18" s="1"/>
  <c r="FW21" i="18" l="1"/>
  <c r="FX21" i="18" s="1"/>
  <c r="FY21" i="18" s="1"/>
  <c r="FZ21" i="18" s="1"/>
  <c r="EK23" i="18"/>
  <c r="EN23" i="18" s="1"/>
  <c r="EV23" i="18" s="1"/>
  <c r="EW23" i="18" s="1"/>
  <c r="EX23" i="18" s="1"/>
  <c r="EY23" i="18" s="1"/>
  <c r="FJ22" i="18"/>
  <c r="FB21" i="18"/>
  <c r="FU21" i="18"/>
  <c r="EJ24" i="18" l="1"/>
  <c r="FD21" i="18"/>
  <c r="FC21" i="18" s="1"/>
  <c r="EL23" i="18"/>
  <c r="FK22" i="18"/>
  <c r="FS22" i="18"/>
  <c r="FM22" i="18" l="1"/>
  <c r="FL22" i="18" s="1"/>
  <c r="EK24" i="18"/>
  <c r="EN24" i="18" s="1"/>
  <c r="EJ25" i="18" s="1"/>
  <c r="FE21" i="18"/>
  <c r="FF21" i="18" s="1"/>
  <c r="FG21" i="18" s="1"/>
  <c r="FH21" i="18" s="1"/>
  <c r="FT22" i="18"/>
  <c r="FV22" i="18" s="1"/>
  <c r="FA22" i="18"/>
  <c r="FW22" i="18" l="1"/>
  <c r="FX22" i="18" s="1"/>
  <c r="FY22" i="18" s="1"/>
  <c r="FZ22" i="18" s="1"/>
  <c r="FN22" i="18"/>
  <c r="FO22" i="18" s="1"/>
  <c r="FP22" i="18" s="1"/>
  <c r="FQ22" i="18" s="1"/>
  <c r="EK25" i="18"/>
  <c r="EN25" i="18" s="1"/>
  <c r="EV25" i="18" s="1"/>
  <c r="EW25" i="18" s="1"/>
  <c r="EX25" i="18" s="1"/>
  <c r="EL24" i="18"/>
  <c r="EV24" i="18"/>
  <c r="EW24" i="18" s="1"/>
  <c r="EX24" i="18" s="1"/>
  <c r="EY24" i="18" s="1"/>
  <c r="FB22" i="18"/>
  <c r="FD22" i="18" s="1"/>
  <c r="FE22" i="18" s="1"/>
  <c r="FF22" i="18" s="1"/>
  <c r="FG22" i="18" s="1"/>
  <c r="FH22" i="18" s="1"/>
  <c r="FJ23" i="18"/>
  <c r="FU22" i="18"/>
  <c r="EY25" i="18" l="1"/>
  <c r="EL25" i="18"/>
  <c r="EJ26" i="18"/>
  <c r="FK23" i="18"/>
  <c r="FM23" i="18" s="1"/>
  <c r="FN23" i="18" s="1"/>
  <c r="FO23" i="18" s="1"/>
  <c r="FP23" i="18" s="1"/>
  <c r="FQ23" i="18" s="1"/>
  <c r="FS23" i="18"/>
  <c r="FC22" i="18"/>
  <c r="EK26" i="18" l="1"/>
  <c r="FL23" i="18"/>
  <c r="FA23" i="18"/>
  <c r="FT23" i="18"/>
  <c r="FV23" i="18" s="1"/>
  <c r="FW23" i="18" l="1"/>
  <c r="FX23" i="18" s="1"/>
  <c r="FY23" i="18" s="1"/>
  <c r="FZ23" i="18" s="1"/>
  <c r="EN26" i="18"/>
  <c r="EJ27" i="18" s="1"/>
  <c r="EK27" i="18" s="1"/>
  <c r="FJ24" i="18"/>
  <c r="FU23" i="18"/>
  <c r="FB23" i="18"/>
  <c r="FD23" i="18" s="1"/>
  <c r="FE23" i="18" s="1"/>
  <c r="FF23" i="18" s="1"/>
  <c r="FG23" i="18" s="1"/>
  <c r="FH23" i="18" s="1"/>
  <c r="EV26" i="18" l="1"/>
  <c r="EW26" i="18" s="1"/>
  <c r="EX26" i="18" s="1"/>
  <c r="EY26" i="18" s="1"/>
  <c r="EN27" i="18"/>
  <c r="EV27" i="18" s="1"/>
  <c r="EW27" i="18" s="1"/>
  <c r="EX27" i="18" s="1"/>
  <c r="EL26" i="18"/>
  <c r="FK24" i="18"/>
  <c r="FM24" i="18" s="1"/>
  <c r="FC23" i="18"/>
  <c r="FS24" i="18"/>
  <c r="EL27" i="18" l="1"/>
  <c r="EY27" i="18"/>
  <c r="EJ28" i="18"/>
  <c r="EK28" i="18" s="1"/>
  <c r="FA24" i="18"/>
  <c r="FT24" i="18"/>
  <c r="FV24" i="18" s="1"/>
  <c r="FN24" i="18"/>
  <c r="FO24" i="18" s="1"/>
  <c r="FP24" i="18" s="1"/>
  <c r="FQ24" i="18" s="1"/>
  <c r="EN28" i="18" l="1"/>
  <c r="FL24" i="18"/>
  <c r="FW24" i="18"/>
  <c r="FX24" i="18" s="1"/>
  <c r="FY24" i="18" s="1"/>
  <c r="FZ24" i="18" s="1"/>
  <c r="FB24" i="18"/>
  <c r="FD24" i="18" s="1"/>
  <c r="FJ25" i="18" l="1"/>
  <c r="EV28" i="18"/>
  <c r="EW28" i="18" s="1"/>
  <c r="EX28" i="18" s="1"/>
  <c r="EY28" i="18" s="1"/>
  <c r="EJ29" i="18"/>
  <c r="FU24" i="18"/>
  <c r="FE24" i="18"/>
  <c r="FF24" i="18" s="1"/>
  <c r="FG24" i="18" s="1"/>
  <c r="FH24" i="18" s="1"/>
  <c r="EL28" i="18"/>
  <c r="FS25" i="18" l="1"/>
  <c r="FK25" i="18"/>
  <c r="EK29" i="18"/>
  <c r="EN29" i="18" s="1"/>
  <c r="FC24" i="18"/>
  <c r="FM25" i="18" l="1"/>
  <c r="FN25" i="18" s="1"/>
  <c r="FO25" i="18" s="1"/>
  <c r="FP25" i="18" s="1"/>
  <c r="FQ25" i="18" s="1"/>
  <c r="EV29" i="18"/>
  <c r="EW29" i="18" s="1"/>
  <c r="EX29" i="18" s="1"/>
  <c r="EY29" i="18" s="1"/>
  <c r="EL29" i="18"/>
  <c r="FT25" i="18"/>
  <c r="EJ30" i="18"/>
  <c r="FA25" i="18"/>
  <c r="FV25" i="18" l="1"/>
  <c r="FW25" i="18" s="1"/>
  <c r="FX25" i="18" s="1"/>
  <c r="FY25" i="18" s="1"/>
  <c r="FZ25" i="18" s="1"/>
  <c r="FL25" i="18"/>
  <c r="FJ26" i="18" s="1"/>
  <c r="EK30" i="18"/>
  <c r="EN30" i="18" s="1"/>
  <c r="FB25" i="18"/>
  <c r="FU25" i="18" l="1"/>
  <c r="FS26" i="18" s="1"/>
  <c r="EV30" i="18"/>
  <c r="EW30" i="18" s="1"/>
  <c r="EX30" i="18" s="1"/>
  <c r="EY30" i="18" s="1"/>
  <c r="FD25" i="18"/>
  <c r="FE25" i="18" s="1"/>
  <c r="FF25" i="18" s="1"/>
  <c r="FG25" i="18" s="1"/>
  <c r="FH25" i="18" s="1"/>
  <c r="EL30" i="18"/>
  <c r="FK26" i="18"/>
  <c r="EJ31" i="18"/>
  <c r="FC25" i="18" l="1"/>
  <c r="FA26" i="18" s="1"/>
  <c r="FM26" i="18"/>
  <c r="FL26" i="18" s="1"/>
  <c r="FT26" i="18"/>
  <c r="EK31" i="18"/>
  <c r="EN31" i="18" s="1"/>
  <c r="FV26" i="18" l="1"/>
  <c r="FW26" i="18" s="1"/>
  <c r="FX26" i="18" s="1"/>
  <c r="FY26" i="18" s="1"/>
  <c r="FZ26" i="18" s="1"/>
  <c r="FN26" i="18"/>
  <c r="FO26" i="18" s="1"/>
  <c r="FP26" i="18" s="1"/>
  <c r="FQ26" i="18" s="1"/>
  <c r="EV31" i="18"/>
  <c r="EW31" i="18" s="1"/>
  <c r="EX31" i="18" s="1"/>
  <c r="EY31" i="18" s="1"/>
  <c r="EL31" i="18"/>
  <c r="FJ27" i="18"/>
  <c r="EJ32" i="18"/>
  <c r="FB26" i="18"/>
  <c r="FD26" i="18" s="1"/>
  <c r="FE26" i="18" s="1"/>
  <c r="FF26" i="18" s="1"/>
  <c r="FG26" i="18" s="1"/>
  <c r="FH26" i="18" s="1"/>
  <c r="FU26" i="18" l="1"/>
  <c r="FS27" i="18" s="1"/>
  <c r="FK27" i="18"/>
  <c r="FM27" i="18" s="1"/>
  <c r="FC26" i="18"/>
  <c r="EK32" i="18"/>
  <c r="EN32" i="18" s="1"/>
  <c r="FN27" i="18" l="1"/>
  <c r="FO27" i="18" s="1"/>
  <c r="FP27" i="18" s="1"/>
  <c r="FQ27" i="18" s="1"/>
  <c r="FL27" i="18"/>
  <c r="FT27" i="18"/>
  <c r="FV27" i="18" s="1"/>
  <c r="FW27" i="18" s="1"/>
  <c r="FX27" i="18" s="1"/>
  <c r="FY27" i="18" s="1"/>
  <c r="FZ27" i="18" s="1"/>
  <c r="FA27" i="18"/>
  <c r="FB27" i="18" l="1"/>
  <c r="FD27" i="18" s="1"/>
  <c r="EV32" i="18"/>
  <c r="EW32" i="18" s="1"/>
  <c r="EX32" i="18" s="1"/>
  <c r="EY32" i="18" s="1"/>
  <c r="EJ33" i="18"/>
  <c r="FJ28" i="18"/>
  <c r="FU27" i="18"/>
  <c r="EL32" i="18"/>
  <c r="FE27" i="18" l="1"/>
  <c r="FF27" i="18" s="1"/>
  <c r="FG27" i="18" s="1"/>
  <c r="FH27" i="18" s="1"/>
  <c r="FK28" i="18"/>
  <c r="FM28" i="18" s="1"/>
  <c r="FN28" i="18" s="1"/>
  <c r="FO28" i="18" s="1"/>
  <c r="FP28" i="18" s="1"/>
  <c r="FQ28" i="18" s="1"/>
  <c r="EK33" i="18"/>
  <c r="EN33" i="18" s="1"/>
  <c r="FS28" i="18"/>
  <c r="FC27" i="18"/>
  <c r="FT28" i="18" l="1"/>
  <c r="FL28" i="18"/>
  <c r="FA28" i="18"/>
  <c r="FV28" i="18" l="1"/>
  <c r="FU28" i="18" s="1"/>
  <c r="FB28" i="18"/>
  <c r="FD28" i="18" s="1"/>
  <c r="FE28" i="18" s="1"/>
  <c r="FF28" i="18" s="1"/>
  <c r="FG28" i="18" s="1"/>
  <c r="FH28" i="18" s="1"/>
  <c r="FJ29" i="18"/>
  <c r="EV33" i="18"/>
  <c r="EW33" i="18" s="1"/>
  <c r="EX33" i="18" s="1"/>
  <c r="EY33" i="18" s="1"/>
  <c r="EJ34" i="18"/>
  <c r="EL33" i="18"/>
  <c r="FW28" i="18" l="1"/>
  <c r="FX28" i="18" s="1"/>
  <c r="FY28" i="18" s="1"/>
  <c r="FZ28" i="18" s="1"/>
  <c r="FC28" i="18"/>
  <c r="EK34" i="18"/>
  <c r="EN34" i="18" s="1"/>
  <c r="FK29" i="18"/>
  <c r="FS29" i="18"/>
  <c r="FM29" i="18" l="1"/>
  <c r="FN29" i="18" s="1"/>
  <c r="FO29" i="18" s="1"/>
  <c r="FP29" i="18" s="1"/>
  <c r="FQ29" i="18" s="1"/>
  <c r="EV34" i="18"/>
  <c r="EW34" i="18" s="1"/>
  <c r="EX34" i="18" s="1"/>
  <c r="EY34" i="18" s="1"/>
  <c r="FA29" i="18"/>
  <c r="EJ35" i="18"/>
  <c r="FT29" i="18"/>
  <c r="FV29" i="18" s="1"/>
  <c r="FW29" i="18" s="1"/>
  <c r="FX29" i="18" s="1"/>
  <c r="FY29" i="18" s="1"/>
  <c r="FZ29" i="18" s="1"/>
  <c r="EL34" i="18"/>
  <c r="FL29" i="18" l="1"/>
  <c r="FJ30" i="18" s="1"/>
  <c r="EK35" i="18"/>
  <c r="EN35" i="18" s="1"/>
  <c r="FU29" i="18"/>
  <c r="FB29" i="18"/>
  <c r="FD29" i="18" l="1"/>
  <c r="FE29" i="18" s="1"/>
  <c r="FF29" i="18" s="1"/>
  <c r="FG29" i="18" s="1"/>
  <c r="FH29" i="18" s="1"/>
  <c r="EV35" i="18"/>
  <c r="EW35" i="18" s="1"/>
  <c r="EX35" i="18" s="1"/>
  <c r="EY35" i="18" s="1"/>
  <c r="EL35" i="18"/>
  <c r="EJ36" i="18"/>
  <c r="FS30" i="18"/>
  <c r="FK30" i="18"/>
  <c r="FM30" i="18" s="1"/>
  <c r="FC29" i="18" l="1"/>
  <c r="FA30" i="18" s="1"/>
  <c r="FN30" i="18"/>
  <c r="FO30" i="18" s="1"/>
  <c r="FP30" i="18" s="1"/>
  <c r="FQ30" i="18" s="1"/>
  <c r="EK36" i="18"/>
  <c r="EN36" i="18" s="1"/>
  <c r="EV36" i="18" s="1"/>
  <c r="EW36" i="18" s="1"/>
  <c r="EX36" i="18" s="1"/>
  <c r="EY36" i="18" s="1"/>
  <c r="FT30" i="18"/>
  <c r="FV30" i="18" s="1"/>
  <c r="FL30" i="18"/>
  <c r="EL36" i="18" l="1"/>
  <c r="FJ31" i="18"/>
  <c r="FB30" i="18"/>
  <c r="FD30" i="18" s="1"/>
  <c r="FW30" i="18"/>
  <c r="FX30" i="18" s="1"/>
  <c r="FY30" i="18" s="1"/>
  <c r="FZ30" i="18" s="1"/>
  <c r="FU30" i="18" l="1"/>
  <c r="FE30" i="18"/>
  <c r="FF30" i="18" s="1"/>
  <c r="FG30" i="18" s="1"/>
  <c r="FH30" i="18" s="1"/>
  <c r="FK31" i="18"/>
  <c r="FM31" i="18" s="1"/>
  <c r="FN31" i="18" l="1"/>
  <c r="FO31" i="18" s="1"/>
  <c r="FP31" i="18" s="1"/>
  <c r="FQ31" i="18" s="1"/>
  <c r="FS31" i="18"/>
  <c r="FC30" i="18"/>
  <c r="FA31" i="18" l="1"/>
  <c r="FT31" i="18"/>
  <c r="FV31" i="18" s="1"/>
  <c r="FW31" i="18" s="1"/>
  <c r="FX31" i="18" s="1"/>
  <c r="FY31" i="18" s="1"/>
  <c r="FZ31" i="18" s="1"/>
  <c r="FL31" i="18"/>
  <c r="FU31" i="18" l="1"/>
  <c r="FJ32" i="18"/>
  <c r="FB31" i="18"/>
  <c r="FD31" i="18" l="1"/>
  <c r="FE31" i="18" s="1"/>
  <c r="FF31" i="18" s="1"/>
  <c r="FG31" i="18" s="1"/>
  <c r="FH31" i="18" s="1"/>
  <c r="FK32" i="18"/>
  <c r="FM32" i="18" s="1"/>
  <c r="FN32" i="18" s="1"/>
  <c r="FO32" i="18" s="1"/>
  <c r="FP32" i="18" s="1"/>
  <c r="FQ32" i="18" s="1"/>
  <c r="FS32" i="18"/>
  <c r="FC31" i="18" l="1"/>
  <c r="FA32" i="18" s="1"/>
  <c r="FT32" i="18"/>
  <c r="FL32" i="18"/>
  <c r="FV32" i="18" l="1"/>
  <c r="FW32" i="18" s="1"/>
  <c r="FX32" i="18" s="1"/>
  <c r="FY32" i="18" s="1"/>
  <c r="FZ32" i="18" s="1"/>
  <c r="FB32" i="18"/>
  <c r="FD32" i="18" s="1"/>
  <c r="FE32" i="18" s="1"/>
  <c r="FF32" i="18" s="1"/>
  <c r="FG32" i="18" s="1"/>
  <c r="FH32" i="18" s="1"/>
  <c r="FJ33" i="18"/>
  <c r="FU32" i="18" l="1"/>
  <c r="FS33" i="18" s="1"/>
  <c r="FK33" i="18"/>
  <c r="FM33" i="18" s="1"/>
  <c r="FN33" i="18" s="1"/>
  <c r="FO33" i="18" s="1"/>
  <c r="FP33" i="18" s="1"/>
  <c r="FQ33" i="18" s="1"/>
  <c r="FC32" i="18"/>
  <c r="FL33" i="18" l="1"/>
  <c r="FA33" i="18"/>
  <c r="FT33" i="18"/>
  <c r="FV33" i="18" l="1"/>
  <c r="FW33" i="18" s="1"/>
  <c r="FX33" i="18" s="1"/>
  <c r="FY33" i="18" s="1"/>
  <c r="FZ33" i="18" s="1"/>
  <c r="FB33" i="18"/>
  <c r="FD33" i="18" s="1"/>
  <c r="FE33" i="18" s="1"/>
  <c r="FF33" i="18" s="1"/>
  <c r="FG33" i="18" s="1"/>
  <c r="FH33" i="18" s="1"/>
  <c r="FJ34" i="18"/>
  <c r="FU33" i="18" l="1"/>
  <c r="FS34" i="18" s="1"/>
  <c r="FK34" i="18"/>
  <c r="FM34" i="18" s="1"/>
  <c r="FN34" i="18" s="1"/>
  <c r="FO34" i="18" s="1"/>
  <c r="FP34" i="18" s="1"/>
  <c r="FQ34" i="18" s="1"/>
  <c r="FC33" i="18"/>
  <c r="FA34" i="18" l="1"/>
  <c r="FT34" i="18"/>
  <c r="FV34" i="18" s="1"/>
  <c r="FL34" i="18"/>
  <c r="FW34" i="18" l="1"/>
  <c r="FX34" i="18" s="1"/>
  <c r="FY34" i="18" s="1"/>
  <c r="FZ34" i="18" s="1"/>
  <c r="FJ35" i="18"/>
  <c r="FU34" i="18"/>
  <c r="FB34" i="18"/>
  <c r="FD34" i="18" l="1"/>
  <c r="FC34" i="18" s="1"/>
  <c r="FK35" i="18"/>
  <c r="FM35" i="18" s="1"/>
  <c r="FS35" i="18"/>
  <c r="FE34" i="18" l="1"/>
  <c r="FF34" i="18" s="1"/>
  <c r="FG34" i="18" s="1"/>
  <c r="FH34" i="18" s="1"/>
  <c r="FA35" i="18"/>
  <c r="FT35" i="18"/>
  <c r="FV35" i="18" s="1"/>
  <c r="FN35" i="18"/>
  <c r="FO35" i="18" s="1"/>
  <c r="FP35" i="18" s="1"/>
  <c r="FQ35" i="18" s="1"/>
  <c r="FW35" i="18" l="1"/>
  <c r="FX35" i="18" s="1"/>
  <c r="FY35" i="18" s="1"/>
  <c r="FZ35" i="18" s="1"/>
  <c r="FB35" i="18"/>
  <c r="FD35" i="18" s="1"/>
  <c r="FE35" i="18" s="1"/>
  <c r="FF35" i="18" s="1"/>
  <c r="FG35" i="18" s="1"/>
  <c r="FH35" i="18" s="1"/>
  <c r="FU35" i="18"/>
  <c r="FL35" i="18"/>
  <c r="FJ36" i="18" l="1"/>
  <c r="FS36" i="18"/>
  <c r="FC35" i="18"/>
  <c r="FK36" i="18" l="1"/>
  <c r="FM36" i="18" s="1"/>
  <c r="FN36" i="18" s="1"/>
  <c r="FO36" i="18" s="1"/>
  <c r="FP36" i="18" s="1"/>
  <c r="FQ36" i="18" s="1"/>
  <c r="FT36" i="18"/>
  <c r="FV36" i="18" s="1"/>
  <c r="FA36" i="18"/>
  <c r="FW36" i="18" l="1"/>
  <c r="FX36" i="18" s="1"/>
  <c r="FY36" i="18" s="1"/>
  <c r="FZ36" i="18" s="1"/>
  <c r="FU36" i="18"/>
  <c r="FB36" i="18"/>
  <c r="FD36" i="18" s="1"/>
  <c r="FL36" i="18"/>
  <c r="FE36" i="18" l="1"/>
  <c r="FF36" i="18" s="1"/>
  <c r="FG36" i="18" s="1"/>
  <c r="FH36" i="18" s="1"/>
  <c r="FC36" i="18" l="1"/>
  <c r="BI14" i="10" l="1"/>
  <c r="BT14" i="10" s="1"/>
  <c r="BU14" i="10" s="1"/>
  <c r="BV14" i="10" s="1"/>
  <c r="E14" i="25" s="1"/>
  <c r="H69" i="31" s="1"/>
  <c r="BH14" i="10"/>
  <c r="BE15" i="10" s="1"/>
  <c r="BF15" i="10" l="1"/>
  <c r="BG15" i="10" s="1"/>
  <c r="BI15" i="10" l="1"/>
  <c r="BT15" i="10" s="1"/>
  <c r="BU15" i="10" s="1"/>
  <c r="BV15" i="10" s="1"/>
  <c r="E15" i="25" s="1"/>
  <c r="H70" i="31" s="1"/>
  <c r="BH15" i="10"/>
  <c r="BE16" i="10" l="1"/>
  <c r="BF16" i="10" l="1"/>
  <c r="BG16" i="10" s="1"/>
  <c r="BI16" i="10" s="1"/>
  <c r="BT16" i="10" s="1"/>
  <c r="BU16" i="10" s="1"/>
  <c r="BV16" i="10" s="1"/>
  <c r="E16" i="25" s="1"/>
  <c r="H71" i="31" s="1"/>
  <c r="BH16" i="10" l="1"/>
  <c r="BE17" i="10" l="1"/>
  <c r="BF17" i="10" l="1"/>
  <c r="BG17" i="10" s="1"/>
  <c r="BI17" i="10" s="1"/>
  <c r="BT17" i="10" s="1"/>
  <c r="BU17" i="10" s="1"/>
  <c r="BV17" i="10" s="1"/>
  <c r="E17" i="25" s="1"/>
  <c r="H72" i="31" s="1"/>
  <c r="BH17" i="10" l="1"/>
  <c r="BE18" i="10" l="1"/>
  <c r="BF18" i="10" l="1"/>
  <c r="BG18" i="10" s="1"/>
  <c r="BI18" i="10" s="1"/>
  <c r="BT18" i="10" s="1"/>
  <c r="BU18" i="10" s="1"/>
  <c r="BV18" i="10" s="1"/>
  <c r="E18" i="25" s="1"/>
  <c r="H73" i="31" s="1"/>
  <c r="BH18" i="10" l="1"/>
  <c r="BE19" i="10" l="1"/>
  <c r="BF19" i="10" l="1"/>
  <c r="BG19" i="10" l="1"/>
  <c r="BI19" i="10" s="1"/>
  <c r="BT19" i="10" s="1"/>
  <c r="BU19" i="10" s="1"/>
  <c r="BV19" i="10" s="1"/>
  <c r="E19" i="25" s="1"/>
  <c r="H74" i="31" s="1"/>
  <c r="BH19" i="10" l="1"/>
  <c r="BE20" i="10" s="1"/>
  <c r="BF20" i="10" l="1"/>
  <c r="BG20" i="10" l="1"/>
  <c r="BI20" i="10" s="1"/>
  <c r="BT20" i="10" s="1"/>
  <c r="BU20" i="10" s="1"/>
  <c r="BV20" i="10" s="1"/>
  <c r="E20" i="25" s="1"/>
  <c r="H75" i="31" s="1"/>
  <c r="BH20" i="10" l="1"/>
  <c r="BE21" i="10" s="1"/>
  <c r="BF21" i="10" l="1"/>
  <c r="BG21" i="10" s="1"/>
  <c r="BI21" i="10" l="1"/>
  <c r="BT21" i="10" s="1"/>
  <c r="BU21" i="10" s="1"/>
  <c r="BV21" i="10" s="1"/>
  <c r="E21" i="25" s="1"/>
  <c r="H76" i="31" s="1"/>
  <c r="BH21" i="10"/>
  <c r="BE22" i="10" l="1"/>
  <c r="BF22" i="10" l="1"/>
  <c r="BG22" i="10" s="1"/>
  <c r="BI22" i="10" s="1"/>
  <c r="BT22" i="10" s="1"/>
  <c r="BU22" i="10" s="1"/>
  <c r="BV22" i="10" s="1"/>
  <c r="E22" i="25" s="1"/>
  <c r="H77" i="31" s="1"/>
  <c r="BH22" i="10" l="1"/>
  <c r="BE23" i="10" l="1"/>
  <c r="BF23" i="10" l="1"/>
  <c r="BG23" i="10" s="1"/>
  <c r="BI23" i="10" s="1"/>
  <c r="BT23" i="10" s="1"/>
  <c r="BU23" i="10" s="1"/>
  <c r="BV23" i="10" s="1"/>
  <c r="E23" i="25" s="1"/>
  <c r="H78" i="31" s="1"/>
  <c r="BH23" i="10" l="1"/>
  <c r="BE24" i="10" l="1"/>
  <c r="BF24" i="10" l="1"/>
  <c r="BG24" i="10" s="1"/>
  <c r="BI24" i="10" s="1"/>
  <c r="BT24" i="10" s="1"/>
  <c r="BU24" i="10" s="1"/>
  <c r="BV24" i="10" s="1"/>
  <c r="E24" i="25" s="1"/>
  <c r="H79" i="31" s="1"/>
  <c r="BH24" i="10" l="1"/>
  <c r="BE25" i="10" l="1"/>
  <c r="BF25" i="10" l="1"/>
  <c r="BG25" i="10" s="1"/>
  <c r="BI25" i="10" s="1"/>
  <c r="BT25" i="10" s="1"/>
  <c r="BU25" i="10" s="1"/>
  <c r="BV25" i="10" s="1"/>
  <c r="E25" i="25" s="1"/>
  <c r="H80" i="31" s="1"/>
  <c r="BH25" i="10" l="1"/>
  <c r="BE26" i="10" l="1"/>
  <c r="BF26" i="10" l="1"/>
  <c r="BG26" i="10" s="1"/>
  <c r="BI26" i="10" s="1"/>
  <c r="BT26" i="10" s="1"/>
  <c r="BU26" i="10" s="1"/>
  <c r="BV26" i="10" s="1"/>
  <c r="E26" i="25" s="1"/>
  <c r="H81" i="31" s="1"/>
  <c r="BH26" i="10" l="1"/>
  <c r="BE27" i="10" l="1"/>
  <c r="BF27" i="10" l="1"/>
  <c r="BG27" i="10" s="1"/>
  <c r="BI27" i="10" s="1"/>
  <c r="BT27" i="10" s="1"/>
  <c r="BU27" i="10" s="1"/>
  <c r="BV27" i="10" s="1"/>
  <c r="E27" i="25" s="1"/>
  <c r="H82" i="31" s="1"/>
  <c r="BH27" i="10" l="1"/>
  <c r="BE28" i="10" l="1"/>
  <c r="BF28" i="10" l="1"/>
  <c r="BG28" i="10" s="1"/>
  <c r="BI28" i="10" s="1"/>
  <c r="BT28" i="10" s="1"/>
  <c r="BU28" i="10" s="1"/>
  <c r="BV28" i="10" s="1"/>
  <c r="E28" i="25" s="1"/>
  <c r="H83" i="31" s="1"/>
  <c r="BH28" i="10" l="1"/>
  <c r="BE29" i="10" l="1"/>
  <c r="BF29" i="10" l="1"/>
  <c r="BG29" i="10" s="1"/>
  <c r="BI29" i="10" s="1"/>
  <c r="BT29" i="10" s="1"/>
  <c r="BU29" i="10" s="1"/>
  <c r="BV29" i="10" s="1"/>
  <c r="E29" i="25" s="1"/>
  <c r="H84" i="31" s="1"/>
  <c r="BH29" i="10" l="1"/>
  <c r="BE30" i="10" l="1"/>
  <c r="BF30" i="10" l="1"/>
  <c r="BG30" i="10" s="1"/>
  <c r="BI30" i="10" s="1"/>
  <c r="BT30" i="10" s="1"/>
  <c r="BU30" i="10" s="1"/>
  <c r="BV30" i="10" s="1"/>
  <c r="E30" i="25" s="1"/>
  <c r="H85" i="31" s="1"/>
  <c r="BH30" i="10" l="1"/>
  <c r="BE31" i="10" l="1"/>
  <c r="BF31" i="10" l="1"/>
  <c r="BG31" i="10" s="1"/>
  <c r="BI31" i="10" s="1"/>
  <c r="BT31" i="10" s="1"/>
  <c r="BU31" i="10" s="1"/>
  <c r="BV31" i="10" s="1"/>
  <c r="E31" i="25" s="1"/>
  <c r="H86" i="31" s="1"/>
  <c r="BH31" i="10" l="1"/>
  <c r="BE32" i="10" l="1"/>
  <c r="BF32" i="10" l="1"/>
  <c r="BG32" i="10" s="1"/>
  <c r="BI32" i="10" s="1"/>
  <c r="BT32" i="10" s="1"/>
  <c r="BU32" i="10" s="1"/>
  <c r="BV32" i="10" s="1"/>
  <c r="E32" i="25" s="1"/>
  <c r="H87" i="31" s="1"/>
  <c r="BH32" i="10" l="1"/>
  <c r="BE33" i="10" l="1"/>
  <c r="BF33" i="10" l="1"/>
  <c r="BG33" i="10" s="1"/>
  <c r="BI33" i="10" s="1"/>
  <c r="BT33" i="10" s="1"/>
  <c r="BU33" i="10" s="1"/>
  <c r="BV33" i="10" s="1"/>
  <c r="E33" i="25" s="1"/>
  <c r="H88" i="31" s="1"/>
  <c r="BH33" i="10" l="1"/>
  <c r="BE34" i="10" l="1"/>
  <c r="BF34" i="10" l="1"/>
  <c r="BG34" i="10" s="1"/>
  <c r="BI34" i="10" s="1"/>
  <c r="BT34" i="10" s="1"/>
  <c r="BU34" i="10" s="1"/>
  <c r="BV34" i="10" s="1"/>
  <c r="E34" i="25" s="1"/>
  <c r="H89" i="31" s="1"/>
  <c r="BH34" i="10" l="1"/>
  <c r="BE35" i="10" l="1"/>
  <c r="BF35" i="10" l="1"/>
  <c r="BG35" i="10" s="1"/>
  <c r="BI35" i="10" s="1"/>
  <c r="BT35" i="10" s="1"/>
  <c r="BU35" i="10" s="1"/>
  <c r="BV35" i="10" s="1"/>
  <c r="E35" i="25" s="1"/>
  <c r="H90" i="31" s="1"/>
  <c r="BH35" i="10" l="1"/>
  <c r="BE36" i="10" l="1"/>
  <c r="BF36" i="10" l="1"/>
  <c r="BG36" i="10" s="1"/>
  <c r="BI36" i="10" s="1"/>
  <c r="BT36" i="10" s="1"/>
  <c r="BU36" i="10" s="1"/>
  <c r="BV36" i="10" s="1"/>
  <c r="E36" i="25" s="1"/>
  <c r="H91" i="31" s="1"/>
  <c r="BH36" i="10" l="1"/>
  <c r="F3" i="25"/>
  <c r="D3" i="25"/>
  <c r="E3" i="25"/>
  <c r="K3" i="25"/>
  <c r="C3" i="25"/>
  <c r="L3" i="25"/>
  <c r="H3" i="25"/>
  <c r="P3" i="25"/>
  <c r="Q3" i="25"/>
  <c r="M3" i="25"/>
  <c r="J3" i="25"/>
  <c r="N3" i="25"/>
  <c r="O3" i="25"/>
  <c r="I3" i="25"/>
  <c r="G3" i="25"/>
  <c r="P4" i="25" l="1"/>
  <c r="F4" i="25"/>
  <c r="O4" i="25"/>
  <c r="N4" i="25"/>
  <c r="C4" i="25"/>
  <c r="M4" i="25"/>
  <c r="L4" i="25"/>
  <c r="H4" i="25"/>
  <c r="G4" i="25"/>
  <c r="Q4" i="25"/>
  <c r="I4" i="25"/>
  <c r="J4" i="25"/>
  <c r="K4" i="25"/>
  <c r="E4" i="25"/>
  <c r="D4" i="25"/>
</calcChain>
</file>

<file path=xl/comments1.xml><?xml version="1.0" encoding="utf-8"?>
<comments xmlns="http://schemas.openxmlformats.org/spreadsheetml/2006/main">
  <authors>
    <author>Marcu, Mircea I.</author>
  </authors>
  <commentList>
    <comment ref="C8" authorId="0">
      <text>
        <r>
          <rPr>
            <b/>
            <sz val="9"/>
            <color indexed="81"/>
            <rFont val="Tahoma"/>
            <family val="2"/>
          </rPr>
          <t>Marcu, Mircea I.:</t>
        </r>
        <r>
          <rPr>
            <sz val="9"/>
            <color indexed="81"/>
            <rFont val="Tahoma"/>
            <family val="2"/>
          </rPr>
          <t xml:space="preserve">
Only 2013 is correct here. I left 2012 as an example of how tax calculations could be adapted to reflect other years. A previous version used NBER's tax simulator TAXSIM to approximate taxes. At the time TAXSIM only included parameters up to 2012.</t>
        </r>
      </text>
    </comment>
  </commentList>
</comments>
</file>

<file path=xl/comments2.xml><?xml version="1.0" encoding="utf-8"?>
<comments xmlns="http://schemas.openxmlformats.org/spreadsheetml/2006/main">
  <authors>
    <author>Marcu, Mircea I.</author>
  </authors>
  <commentList>
    <comment ref="P20" authorId="0">
      <text>
        <r>
          <rPr>
            <b/>
            <sz val="9"/>
            <color indexed="81"/>
            <rFont val="Tahoma"/>
            <family val="2"/>
          </rPr>
          <t>Marcu, Mircea I.:</t>
        </r>
        <r>
          <rPr>
            <sz val="9"/>
            <color indexed="81"/>
            <rFont val="Tahoma"/>
            <family val="2"/>
          </rPr>
          <t xml:space="preserve">
Very few military physicians are promoted to O7, a couple in a generation, so O6 is the highest grade I will use.</t>
        </r>
      </text>
    </comment>
    <comment ref="C37" authorId="0">
      <text>
        <r>
          <rPr>
            <b/>
            <sz val="9"/>
            <color indexed="81"/>
            <rFont val="Tahoma"/>
            <family val="2"/>
          </rPr>
          <t>Marcu, Mircea I.:</t>
        </r>
        <r>
          <rPr>
            <sz val="9"/>
            <color indexed="81"/>
            <rFont val="Tahoma"/>
            <family val="2"/>
          </rPr>
          <t xml:space="preserve">
This one is needed for USU, for the 4 years of medical school even for localities other than DC.</t>
        </r>
      </text>
    </comment>
    <comment ref="H37" authorId="0">
      <text>
        <r>
          <rPr>
            <b/>
            <sz val="9"/>
            <color indexed="81"/>
            <rFont val="Tahoma"/>
            <family val="2"/>
          </rPr>
          <t>Marcu, Mircea I.:</t>
        </r>
        <r>
          <rPr>
            <sz val="9"/>
            <color indexed="81"/>
            <rFont val="Tahoma"/>
            <family val="2"/>
          </rPr>
          <t xml:space="preserve">
This one is needed for USU, for the 4 years of medical school even for localities other than DC.</t>
        </r>
      </text>
    </comment>
    <comment ref="M37" authorId="0">
      <text>
        <r>
          <rPr>
            <b/>
            <sz val="9"/>
            <color indexed="81"/>
            <rFont val="Tahoma"/>
            <family val="2"/>
          </rPr>
          <t>Marcu, Mircea I.:</t>
        </r>
        <r>
          <rPr>
            <sz val="9"/>
            <color indexed="81"/>
            <rFont val="Tahoma"/>
            <family val="2"/>
          </rPr>
          <t xml:space="preserve">
This one is needed for USU, for the 4 years of medical school even for localities other than DC.</t>
        </r>
      </text>
    </comment>
    <comment ref="C74" authorId="0">
      <text>
        <r>
          <rPr>
            <b/>
            <sz val="9"/>
            <color indexed="81"/>
            <rFont val="Tahoma"/>
            <family val="2"/>
          </rPr>
          <t>Marcu, Mircea I.:</t>
        </r>
        <r>
          <rPr>
            <sz val="9"/>
            <color indexed="81"/>
            <rFont val="Tahoma"/>
            <family val="2"/>
          </rPr>
          <t xml:space="preserve">
From 2013 AAMC debt fact card</t>
        </r>
      </text>
    </comment>
    <comment ref="C85" authorId="0">
      <text>
        <r>
          <rPr>
            <b/>
            <sz val="9"/>
            <color indexed="81"/>
            <rFont val="Tahoma"/>
            <family val="2"/>
          </rPr>
          <t>Marcu, Mircea I.:</t>
        </r>
        <r>
          <rPr>
            <sz val="9"/>
            <color indexed="81"/>
            <rFont val="Tahoma"/>
            <family val="2"/>
          </rPr>
          <t xml:space="preserve">
It is 264k in the MedLoans Calculator, but Instructor median salary was 224k, while Assist Prof median salary was 400k in 2012/2013 in AAMC report</t>
        </r>
      </text>
    </comment>
    <comment ref="G85" authorId="0">
      <text>
        <r>
          <rPr>
            <b/>
            <sz val="9"/>
            <color indexed="81"/>
            <rFont val="Tahoma"/>
            <family val="2"/>
          </rPr>
          <t>Marcu, Mircea I.:</t>
        </r>
        <r>
          <rPr>
            <sz val="9"/>
            <color indexed="81"/>
            <rFont val="Tahoma"/>
            <family val="2"/>
          </rPr>
          <t xml:space="preserve">
It is 264k in the MedLoans Calculator, but Instructor median salary was 224k, while Assist Prof median salary was 400k in 2012/2013 in AAMC report</t>
        </r>
      </text>
    </comment>
    <comment ref="J85" authorId="0">
      <text>
        <r>
          <rPr>
            <b/>
            <sz val="9"/>
            <color indexed="81"/>
            <rFont val="Tahoma"/>
            <family val="2"/>
          </rPr>
          <t>Marcu, Mircea I.:</t>
        </r>
        <r>
          <rPr>
            <sz val="9"/>
            <color indexed="81"/>
            <rFont val="Tahoma"/>
            <family val="2"/>
          </rPr>
          <t xml:space="preserve">
It is 264k in the MedLoans Calculator, but Instructor median salary was 224k, while Assist Prof median salary was 400k in 2012/2013 in AAMC report</t>
        </r>
      </text>
    </comment>
    <comment ref="M85" authorId="0">
      <text>
        <r>
          <rPr>
            <b/>
            <sz val="9"/>
            <color indexed="81"/>
            <rFont val="Tahoma"/>
            <family val="2"/>
          </rPr>
          <t>Marcu, Mircea I.:</t>
        </r>
        <r>
          <rPr>
            <sz val="9"/>
            <color indexed="81"/>
            <rFont val="Tahoma"/>
            <family val="2"/>
          </rPr>
          <t xml:space="preserve">
It is 264k in the MedLoans Calculator, but Instructor median salary was 224k, while Assist Prof median salary was 400k in 2012/2013 in AAMC report</t>
        </r>
      </text>
    </comment>
    <comment ref="C88" authorId="0">
      <text>
        <r>
          <rPr>
            <b/>
            <sz val="9"/>
            <color indexed="81"/>
            <rFont val="Tahoma"/>
            <family val="2"/>
          </rPr>
          <t>Marcu, Mircea I.:</t>
        </r>
        <r>
          <rPr>
            <sz val="9"/>
            <color indexed="81"/>
            <rFont val="Tahoma"/>
            <family val="2"/>
          </rPr>
          <t xml:space="preserve">
From AAMC debt fact card 2014. Although this is for the class graduating in 2014, I did not index the amount because the yearly amount is already at the annual Stafford loan limit. This is a conservative approach, consistent with our general approach of not favoring military careers.</t>
        </r>
      </text>
    </comment>
    <comment ref="C92" authorId="0">
      <text>
        <r>
          <rPr>
            <b/>
            <sz val="9"/>
            <color indexed="81"/>
            <rFont val="Tahoma"/>
            <family val="2"/>
          </rPr>
          <t>Marcu, Mircea I.:</t>
        </r>
        <r>
          <rPr>
            <sz val="9"/>
            <color indexed="81"/>
            <rFont val="Tahoma"/>
            <family val="2"/>
          </rPr>
          <t xml:space="preserve">
PAYE montly loan payments are limited to 10%*(AGI-150%*FPL)</t>
        </r>
      </text>
    </comment>
    <comment ref="C103" authorId="0">
      <text>
        <r>
          <rPr>
            <b/>
            <sz val="9"/>
            <color indexed="81"/>
            <rFont val="Tahoma"/>
            <family val="2"/>
          </rPr>
          <t>Marcu, Mircea I.:</t>
        </r>
        <r>
          <rPr>
            <sz val="9"/>
            <color indexed="81"/>
            <rFont val="Tahoma"/>
            <family val="2"/>
          </rPr>
          <t xml:space="preserve">
From MedLoans Calculator, used to check for Partial Financial Hardship to determine eligibility for PAYE and IBR. I will adjust it with growth rate of borrowed amount to get the equivalent number for the first year of repayment (it remains fixed afterwards).</t>
        </r>
      </text>
    </comment>
    <comment ref="D103" authorId="0">
      <text>
        <r>
          <rPr>
            <b/>
            <sz val="9"/>
            <color indexed="81"/>
            <rFont val="Tahoma"/>
            <family val="2"/>
          </rPr>
          <t>Marcu, Mircea I.:</t>
        </r>
        <r>
          <rPr>
            <sz val="9"/>
            <color indexed="81"/>
            <rFont val="Tahoma"/>
            <family val="2"/>
          </rPr>
          <t xml:space="preserve">
It would have been 2736 if I used forward looking numbers in the AAMC MedLoans Calculator</t>
        </r>
      </text>
    </comment>
    <comment ref="C116" authorId="0">
      <text>
        <r>
          <rPr>
            <b/>
            <sz val="9"/>
            <color indexed="81"/>
            <rFont val="Tahoma"/>
            <family val="2"/>
          </rPr>
          <t>Marcu, Mircea I.:</t>
        </r>
        <r>
          <rPr>
            <sz val="9"/>
            <color indexed="81"/>
            <rFont val="Tahoma"/>
            <family val="2"/>
          </rPr>
          <t xml:space="preserve">
I've seen about 135k quoted on many blogs by NHSC graduates for the previous year.</t>
        </r>
      </text>
    </comment>
    <comment ref="C143" authorId="0">
      <text>
        <r>
          <rPr>
            <b/>
            <sz val="9"/>
            <color indexed="81"/>
            <rFont val="Tahoma"/>
            <family val="2"/>
          </rPr>
          <t>Marcu, Mircea I.:</t>
        </r>
        <r>
          <rPr>
            <sz val="9"/>
            <color indexed="81"/>
            <rFont val="Tahoma"/>
            <family val="2"/>
          </rPr>
          <t xml:space="preserve">
Either 2013 (revised without TAXSIM so year corresponds) or 2012 (old results using TAXSIM before Academic Medicine)</t>
        </r>
      </text>
    </comment>
    <comment ref="C146" authorId="0">
      <text>
        <r>
          <rPr>
            <b/>
            <sz val="9"/>
            <color indexed="81"/>
            <rFont val="Tahoma"/>
            <family val="2"/>
          </rPr>
          <t>Marcu, Mircea I.:</t>
        </r>
        <r>
          <rPr>
            <sz val="9"/>
            <color indexed="81"/>
            <rFont val="Tahoma"/>
            <family val="2"/>
          </rPr>
          <t xml:space="preserve">
Introduced in 2013</t>
        </r>
      </text>
    </comment>
  </commentList>
</comments>
</file>

<file path=xl/comments3.xml><?xml version="1.0" encoding="utf-8"?>
<comments xmlns="http://schemas.openxmlformats.org/spreadsheetml/2006/main">
  <authors>
    <author>Marcu, Mircea I.</author>
  </authors>
  <commentList>
    <comment ref="GH2" authorId="0">
      <text>
        <r>
          <rPr>
            <b/>
            <sz val="9"/>
            <color indexed="81"/>
            <rFont val="Tahoma"/>
            <family val="2"/>
          </rPr>
          <t>Marcu, Mircea I.:</t>
        </r>
        <r>
          <rPr>
            <sz val="9"/>
            <color indexed="81"/>
            <rFont val="Tahoma"/>
            <family val="2"/>
          </rPr>
          <t xml:space="preserve">
This sum excludes the necessary 23rd year, so it's the next row's numbers that have to be compared, this one doesn’t count.
</t>
        </r>
      </text>
    </comment>
    <comment ref="JQ4" authorId="0">
      <text>
        <r>
          <rPr>
            <b/>
            <sz val="9"/>
            <color indexed="81"/>
            <rFont val="Tahoma"/>
            <family val="2"/>
          </rPr>
          <t>Marcu, Mircea I.:</t>
        </r>
        <r>
          <rPr>
            <sz val="9"/>
            <color indexed="81"/>
            <rFont val="Tahoma"/>
            <family val="2"/>
          </rPr>
          <t xml:space="preserve">
Only 180 NHSC applications accepted in 2013</t>
        </r>
      </text>
    </comment>
    <comment ref="AZ5" authorId="0">
      <text>
        <r>
          <rPr>
            <b/>
            <sz val="9"/>
            <color indexed="81"/>
            <rFont val="Tahoma"/>
            <family val="2"/>
          </rPr>
          <t>Marcu, Mircea I.:</t>
        </r>
        <r>
          <rPr>
            <sz val="9"/>
            <color indexed="81"/>
            <rFont val="Tahoma"/>
            <family val="2"/>
          </rPr>
          <t xml:space="preserve">
For PAYE and IBR calculations.</t>
        </r>
      </text>
    </comment>
    <comment ref="BD5" authorId="0">
      <text>
        <r>
          <rPr>
            <b/>
            <sz val="9"/>
            <color indexed="81"/>
            <rFont val="Tahoma"/>
            <family val="2"/>
          </rPr>
          <t>Marcu, Mircea I.:</t>
        </r>
        <r>
          <rPr>
            <sz val="9"/>
            <color indexed="81"/>
            <rFont val="Tahoma"/>
            <family val="2"/>
          </rPr>
          <t xml:space="preserve">
MedLoans calculator assumes two disbursements per year</t>
        </r>
      </text>
    </comment>
    <comment ref="EI5" authorId="0">
      <text>
        <r>
          <rPr>
            <b/>
            <sz val="9"/>
            <color indexed="81"/>
            <rFont val="Tahoma"/>
            <family val="2"/>
          </rPr>
          <t>Marcu, Mircea I.:</t>
        </r>
        <r>
          <rPr>
            <sz val="9"/>
            <color indexed="81"/>
            <rFont val="Tahoma"/>
            <family val="2"/>
          </rPr>
          <t xml:space="preserve">
MedLoans calculator assumes two disbursements per year</t>
        </r>
      </text>
    </comment>
    <comment ref="EQ5" authorId="0">
      <text>
        <r>
          <rPr>
            <b/>
            <sz val="9"/>
            <color indexed="81"/>
            <rFont val="Tahoma"/>
            <family val="2"/>
          </rPr>
          <t>Marcu, Mircea I.:</t>
        </r>
        <r>
          <rPr>
            <sz val="9"/>
            <color indexed="81"/>
            <rFont val="Tahoma"/>
            <family val="2"/>
          </rPr>
          <t xml:space="preserve">
Fed and state taxes will vary with the loan repayment scenario if income below 75000, but because I assume forbearance the first repayment year is when physician gets starting salary which is much higher than 75000 (even if 75k would be adjusted for growth rate).</t>
        </r>
      </text>
    </comment>
    <comment ref="KR5" authorId="0">
      <text>
        <r>
          <rPr>
            <b/>
            <sz val="9"/>
            <color indexed="81"/>
            <rFont val="Tahoma"/>
            <family val="2"/>
          </rPr>
          <t>Marcu, Mircea I.:</t>
        </r>
        <r>
          <rPr>
            <sz val="9"/>
            <color indexed="81"/>
            <rFont val="Tahoma"/>
            <family val="2"/>
          </rPr>
          <t xml:space="preserve">
For PAYE and IBR calculations.</t>
        </r>
      </text>
    </comment>
    <comment ref="KV5" authorId="0">
      <text>
        <r>
          <rPr>
            <b/>
            <sz val="9"/>
            <color indexed="81"/>
            <rFont val="Tahoma"/>
            <family val="2"/>
          </rPr>
          <t>Marcu, Mircea I.:</t>
        </r>
        <r>
          <rPr>
            <sz val="9"/>
            <color indexed="81"/>
            <rFont val="Tahoma"/>
            <family val="2"/>
          </rPr>
          <t xml:space="preserve">
MedLoans calculator assumes two disbursements per year</t>
        </r>
      </text>
    </comment>
    <comment ref="D7" authorId="0">
      <text>
        <r>
          <rPr>
            <b/>
            <sz val="9"/>
            <color indexed="81"/>
            <rFont val="Tahoma"/>
            <family val="2"/>
          </rPr>
          <t>Marcu, Mircea I.:</t>
        </r>
        <r>
          <rPr>
            <sz val="9"/>
            <color indexed="81"/>
            <rFont val="Tahoma"/>
            <family val="2"/>
          </rPr>
          <t xml:space="preserve">
The 4 years of USU medical school count only after 20 years for pay calculation</t>
        </r>
      </text>
    </comment>
    <comment ref="Z7" authorId="0">
      <text>
        <r>
          <rPr>
            <b/>
            <sz val="9"/>
            <color indexed="81"/>
            <rFont val="Tahoma"/>
            <family val="2"/>
          </rPr>
          <t>Marcu, Mircea I.:</t>
        </r>
        <r>
          <rPr>
            <sz val="9"/>
            <color indexed="81"/>
            <rFont val="Tahoma"/>
            <family val="2"/>
          </rPr>
          <t xml:space="preserve">
The 1.5 years of service during HPSP medical school count only after 20 years for pay calculation</t>
        </r>
      </text>
    </comment>
    <comment ref="BD7" authorId="0">
      <text>
        <r>
          <rPr>
            <b/>
            <sz val="9"/>
            <color indexed="81"/>
            <rFont val="Tahoma"/>
            <family val="2"/>
          </rPr>
          <t>Marcu, Mircea I.:</t>
        </r>
        <r>
          <rPr>
            <sz val="9"/>
            <color indexed="81"/>
            <rFont val="Tahoma"/>
            <family val="2"/>
          </rPr>
          <t xml:space="preserve">
Median Debt of 175k for 2013 graduating class, 180k for 2014  includes undergraduate debt, but medical students borrow less than the full cost of attendance and spend some family money during medical school which cancels out with undergraduate debt,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
I revised the numbers to account for the shorter 9 months first two academic years, longer 11 months last two. Total is 40 months, so I divided the debt accordingly.
Perhaps not surprising, 9 months out of the total 40 from a total debt of 180k amounts exactly to 40500, the 9 month Stafford loan annual debt limit for medical students.</t>
        </r>
      </text>
    </comment>
    <comment ref="EI7" authorId="0">
      <text>
        <r>
          <rPr>
            <b/>
            <sz val="9"/>
            <color indexed="81"/>
            <rFont val="Tahoma"/>
            <family val="2"/>
          </rPr>
          <t>Marcu, Mircea I.:</t>
        </r>
        <r>
          <rPr>
            <sz val="9"/>
            <color indexed="81"/>
            <rFont val="Tahoma"/>
            <family val="2"/>
          </rPr>
          <t xml:space="preserve">
Median Debt of 175k + accrued interest gives 201600, divided by 4. Most medical students borrow less than the full cost of attendance, hence median debt divided by 4 provides a good comparison according to Jay and Julie of AAMC.</t>
        </r>
      </text>
    </comment>
    <comment ref="KV7" authorId="0">
      <text>
        <r>
          <rPr>
            <b/>
            <sz val="9"/>
            <color indexed="81"/>
            <rFont val="Tahoma"/>
            <family val="2"/>
          </rPr>
          <t>Marcu, Mircea I.:</t>
        </r>
        <r>
          <rPr>
            <sz val="9"/>
            <color indexed="81"/>
            <rFont val="Tahoma"/>
            <family val="2"/>
          </rPr>
          <t xml:space="preserve">
Median Debt of 175k for 2013 graduating class, 180k for 2014  includes undergraduate debt, but medical students borrow less than the full cost of attendance and spend some family money during medical school which cancels out with undergraduate debt,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
I revised the numbers to account for the shorter 9 months first two academic years, longer 11 months last two. Total is 40 months, so I divided the debt accordingly.
Perhaps not surprising, 9 months out of the total 40 from a total debt of 180k amounts exactly to 40500, the 9 month Stafford loan annual debt limit for medical students.</t>
        </r>
      </text>
    </comment>
    <comment ref="LY7" authorId="0">
      <text>
        <r>
          <rPr>
            <b/>
            <sz val="9"/>
            <color indexed="81"/>
            <rFont val="Tahoma"/>
            <family val="2"/>
          </rPr>
          <t>Marcu, Mircea I.:</t>
        </r>
        <r>
          <rPr>
            <sz val="9"/>
            <color indexed="81"/>
            <rFont val="Tahoma"/>
            <family val="2"/>
          </rPr>
          <t xml:space="preserve">
Median Debt of 175k for 2013 graduating class, 180k for 2014  includes undergraduate debt, but medical students borrow less than the full cost of attendance and spend some family money during medical school which cancels out with undergraduate debt,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
I revised the numbers to account for the shorter 9 months first two academic years, longer 11 months last two. Total is 40 months, so I divided the debt accordingly.
Perhaps not surprising, 9 months out of the total 40 from a total debt of 180k amounts exactly to 40500, the 9 month Stafford loan annual debt limit for medical students.</t>
        </r>
      </text>
    </comment>
    <comment ref="BD8" authorId="0">
      <text>
        <r>
          <rPr>
            <b/>
            <sz val="9"/>
            <color indexed="81"/>
            <rFont val="Tahoma"/>
            <family val="2"/>
          </rPr>
          <t>Marcu, Mircea I.:</t>
        </r>
        <r>
          <rPr>
            <sz val="9"/>
            <color indexed="81"/>
            <rFont val="Tahoma"/>
            <family val="2"/>
          </rPr>
          <t xml:space="preserve">
$40,500 is the annual limit and 224,000 is the cumulative limit on Stafford Loans for medical school. These are limits for 9 month school years. If someone were enrolled in a 12 month school year, the limit would be greater ($47,167). See http://www.staffordloan.com/stafford-loan-info/stafford-loan-limits.php .
The first two academic years are shorter, 9 month years. The last two include clinical rotations and are 11 months. Total 40 months.</t>
        </r>
      </text>
    </comment>
    <comment ref="JR8" authorId="0">
      <text>
        <r>
          <rPr>
            <b/>
            <sz val="9"/>
            <color indexed="81"/>
            <rFont val="Tahoma"/>
            <family val="2"/>
          </rPr>
          <t>Marcu, Mircea I.:</t>
        </r>
        <r>
          <rPr>
            <sz val="9"/>
            <color indexed="81"/>
            <rFont val="Tahoma"/>
            <family val="2"/>
          </rPr>
          <t xml:space="preserve">
Does the stipend change in subsequent yeas (adjusted for inflation etc…)?</t>
        </r>
      </text>
    </comment>
    <comment ref="KV8" authorId="0">
      <text>
        <r>
          <rPr>
            <b/>
            <sz val="9"/>
            <color indexed="81"/>
            <rFont val="Tahoma"/>
            <family val="2"/>
          </rPr>
          <t>Marcu, Mircea I.:</t>
        </r>
        <r>
          <rPr>
            <sz val="9"/>
            <color indexed="81"/>
            <rFont val="Tahoma"/>
            <family val="2"/>
          </rPr>
          <t xml:space="preserve">
$40,500 is the annual limit and 224,000 is the cumulative limit on Stafford Loans for medical school. These are limits for 9 month school years. If someone were enrolled in a 12 month school year, the limit would be greater ($47,167). See http://www.staffordloan.com/stafford-loan-info/stafford-loan-limits.php .
The first two academic years are shorter, 9 month years. The last two include clinical rotations and are 11 months. Total 40 months.</t>
        </r>
      </text>
    </comment>
    <comment ref="LY8" authorId="0">
      <text>
        <r>
          <rPr>
            <b/>
            <sz val="9"/>
            <color indexed="81"/>
            <rFont val="Tahoma"/>
            <family val="2"/>
          </rPr>
          <t>Marcu, Mircea I.:</t>
        </r>
        <r>
          <rPr>
            <sz val="9"/>
            <color indexed="81"/>
            <rFont val="Tahoma"/>
            <family val="2"/>
          </rPr>
          <t xml:space="preserve">
$40,500 is the annual limit and 224,000 is the cumulative limit on Stafford Loans for medical school. These are limits for 9 month school years. If someone were enrolled in a 12 month school year, the limit would be greater ($47,167). See http://www.staffordloan.com/stafford-loan-info/stafford-loan-limits.php .
The first two academic years are shorter, 9 month years. The last two include clinical rotations and are 11 months. Total 40 months.</t>
        </r>
      </text>
    </comment>
    <comment ref="EL10" authorId="0">
      <text>
        <r>
          <rPr>
            <b/>
            <sz val="9"/>
            <color indexed="81"/>
            <rFont val="Tahoma"/>
            <family val="2"/>
          </rPr>
          <t>Marcu, Mircea I.:</t>
        </r>
        <r>
          <rPr>
            <sz val="9"/>
            <color indexed="81"/>
            <rFont val="Tahoma"/>
            <family val="2"/>
          </rPr>
          <t xml:space="preserve">
According to AAMC, total balance including accrued interest is $201600 at the end of Med school.</t>
        </r>
      </text>
    </comment>
    <comment ref="AW11" authorId="0">
      <text>
        <r>
          <rPr>
            <b/>
            <sz val="9"/>
            <color indexed="81"/>
            <rFont val="Tahoma"/>
            <family val="2"/>
          </rPr>
          <t>Marcu, Mircea I.:</t>
        </r>
        <r>
          <rPr>
            <sz val="9"/>
            <color indexed="81"/>
            <rFont val="Tahoma"/>
            <family val="2"/>
          </rPr>
          <t xml:space="preserve">
Median 1st year resident salary acording to AAMC, inflated by assumed growth rate for 4 years</t>
        </r>
      </text>
    </comment>
    <comment ref="BE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BF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C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D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M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N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P11"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DX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Y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EA11"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EH11" authorId="0">
      <text>
        <r>
          <rPr>
            <b/>
            <sz val="9"/>
            <color indexed="81"/>
            <rFont val="Tahoma"/>
            <family val="2"/>
          </rPr>
          <t>Marcu, Mircea I.:</t>
        </r>
        <r>
          <rPr>
            <sz val="9"/>
            <color indexed="81"/>
            <rFont val="Tahoma"/>
            <family val="2"/>
          </rPr>
          <t xml:space="preserve">
I have not taken 6 month grace period after unsubsidized Stafford loans into account</t>
        </r>
      </text>
    </comment>
    <comment ref="EO11" authorId="0">
      <text>
        <r>
          <rPr>
            <b/>
            <sz val="9"/>
            <color indexed="81"/>
            <rFont val="Tahoma"/>
            <family val="2"/>
          </rPr>
          <t>Marcu, Mircea I.:</t>
        </r>
        <r>
          <rPr>
            <sz val="9"/>
            <color indexed="81"/>
            <rFont val="Tahoma"/>
            <family val="2"/>
          </rPr>
          <t xml:space="preserve">
This column is what I used in TAXSIM, and nothing else</t>
        </r>
      </text>
    </comment>
    <comment ref="EQ11" authorId="0">
      <text>
        <r>
          <rPr>
            <b/>
            <sz val="9"/>
            <color indexed="81"/>
            <rFont val="Tahoma"/>
            <family val="2"/>
          </rPr>
          <t>Marcu, Mircea I.:</t>
        </r>
        <r>
          <rPr>
            <sz val="9"/>
            <color indexed="81"/>
            <rFont val="Tahoma"/>
            <family val="2"/>
          </rPr>
          <t xml:space="preserve">
Fed Tax, FICA, and State  Tax are manual, will not update automatically</t>
        </r>
      </text>
    </comment>
    <comment ref="JR11" authorId="0">
      <text>
        <r>
          <rPr>
            <b/>
            <sz val="9"/>
            <color indexed="81"/>
            <rFont val="Tahoma"/>
            <family val="2"/>
          </rPr>
          <t>Marcu, Mircea I.:</t>
        </r>
        <r>
          <rPr>
            <sz val="9"/>
            <color indexed="81"/>
            <rFont val="Tahoma"/>
            <family val="2"/>
          </rPr>
          <t xml:space="preserve">
Median 1st year resident salary acording to AAMC, inflated by assumed growth rate for 4 years</t>
        </r>
      </text>
    </comment>
    <comment ref="KO11" authorId="0">
      <text>
        <r>
          <rPr>
            <b/>
            <sz val="9"/>
            <color indexed="81"/>
            <rFont val="Tahoma"/>
            <family val="2"/>
          </rPr>
          <t>Marcu, Mircea I.:</t>
        </r>
        <r>
          <rPr>
            <sz val="9"/>
            <color indexed="81"/>
            <rFont val="Tahoma"/>
            <family val="2"/>
          </rPr>
          <t xml:space="preserve">
Median 1st year resident salary acording to AAMC, inflated by assumed growth rate for 4 years</t>
        </r>
      </text>
    </comment>
    <comment ref="KW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KX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KZ11"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LR11" authorId="0">
      <text>
        <r>
          <rPr>
            <b/>
            <sz val="9"/>
            <color indexed="81"/>
            <rFont val="Tahoma"/>
            <family val="2"/>
          </rPr>
          <t>Marcu, Mircea I.:</t>
        </r>
        <r>
          <rPr>
            <sz val="9"/>
            <color indexed="81"/>
            <rFont val="Tahoma"/>
            <family val="2"/>
          </rPr>
          <t xml:space="preserve">
Median 1st year resident salary acording to AAMC, inflated by assumed growth rate for 4 years</t>
        </r>
      </text>
    </comment>
    <comment ref="LZ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MA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E12" authorId="0">
      <text>
        <r>
          <rPr>
            <b/>
            <sz val="9"/>
            <color indexed="81"/>
            <rFont val="Tahoma"/>
            <family val="2"/>
          </rPr>
          <t>Marcu, Mircea I.:</t>
        </r>
        <r>
          <rPr>
            <sz val="9"/>
            <color indexed="81"/>
            <rFont val="Tahoma"/>
            <family val="2"/>
          </rPr>
          <t xml:space="preserve">
VSP increases significantly immediately after internship. ASP starts only after residency.</t>
        </r>
      </text>
    </comment>
    <comment ref="AW12" authorId="0">
      <text>
        <r>
          <rPr>
            <b/>
            <sz val="9"/>
            <color indexed="81"/>
            <rFont val="Tahoma"/>
            <family val="2"/>
          </rPr>
          <t>Marcu, Mircea I.:</t>
        </r>
        <r>
          <rPr>
            <sz val="9"/>
            <color indexed="81"/>
            <rFont val="Tahoma"/>
            <family val="2"/>
          </rPr>
          <t xml:space="preserve">
Increase every year by 7% (growth rate + inflation historically). Perhaps 6% I suggested going forward.</t>
        </r>
      </text>
    </comment>
    <comment ref="BE12" authorId="0">
      <text>
        <r>
          <rPr>
            <b/>
            <sz val="9"/>
            <color indexed="81"/>
            <rFont val="Tahoma"/>
            <family val="2"/>
          </rPr>
          <t>Marcu, Mircea I.:</t>
        </r>
        <r>
          <rPr>
            <sz val="9"/>
            <color indexed="81"/>
            <rFont val="Tahoma"/>
            <family val="2"/>
          </rPr>
          <t xml:space="preserve">
This is the balance at the end of the 6m grace period. I am assuming that interest capitalizes only at the end of residency, a la Salie Mae, which is most advantageous for civilian alternatives.</t>
        </r>
      </text>
    </comment>
    <comment ref="JR12" authorId="0">
      <text>
        <r>
          <rPr>
            <b/>
            <sz val="9"/>
            <color indexed="81"/>
            <rFont val="Tahoma"/>
            <family val="2"/>
          </rPr>
          <t>Marcu, Mircea I.:</t>
        </r>
        <r>
          <rPr>
            <sz val="9"/>
            <color indexed="81"/>
            <rFont val="Tahoma"/>
            <family val="2"/>
          </rPr>
          <t xml:space="preserve">
Increase every year by 7% (growth rate + inflation historically). Perhaps 6% I suggested going forward.</t>
        </r>
      </text>
    </comment>
    <comment ref="KO12" authorId="0">
      <text>
        <r>
          <rPr>
            <b/>
            <sz val="9"/>
            <color indexed="81"/>
            <rFont val="Tahoma"/>
            <family val="2"/>
          </rPr>
          <t>Marcu, Mircea I.:</t>
        </r>
        <r>
          <rPr>
            <sz val="9"/>
            <color indexed="81"/>
            <rFont val="Tahoma"/>
            <family val="2"/>
          </rPr>
          <t xml:space="preserve">
Increase every year by 7% (growth rate + inflation historically). Perhaps 6% I suggested going forward.</t>
        </r>
      </text>
    </comment>
    <comment ref="LR12" authorId="0">
      <text>
        <r>
          <rPr>
            <b/>
            <sz val="9"/>
            <color indexed="81"/>
            <rFont val="Tahoma"/>
            <family val="2"/>
          </rPr>
          <t>Marcu, Mircea I.:</t>
        </r>
        <r>
          <rPr>
            <sz val="9"/>
            <color indexed="81"/>
            <rFont val="Tahoma"/>
            <family val="2"/>
          </rPr>
          <t xml:space="preserve">
Increase every year by 7% (growth rate + inflation historically). Perhaps 6% I suggested going forward.</t>
        </r>
      </text>
    </comment>
    <comment ref="LZ12" authorId="0">
      <text>
        <r>
          <rPr>
            <b/>
            <sz val="9"/>
            <color indexed="81"/>
            <rFont val="Tahoma"/>
            <family val="2"/>
          </rPr>
          <t>Marcu, Mircea I.:</t>
        </r>
        <r>
          <rPr>
            <sz val="9"/>
            <color indexed="81"/>
            <rFont val="Tahoma"/>
            <family val="2"/>
          </rPr>
          <t xml:space="preserve">
This is the balance at the end of the 6m grace period. I am assuming that interest capitalizes only at the end of residency, a la Salie Mae, which is most advantageous for civilian alternatives.</t>
        </r>
      </text>
    </comment>
    <comment ref="BC14"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BX14"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H14"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R14"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EH14"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KL14" authorId="0">
      <text>
        <r>
          <rPr>
            <b/>
            <sz val="9"/>
            <color indexed="81"/>
            <rFont val="Tahoma"/>
            <family val="2"/>
          </rPr>
          <t>Marcu, Mircea I.:</t>
        </r>
        <r>
          <rPr>
            <sz val="9"/>
            <color indexed="81"/>
            <rFont val="Tahoma"/>
            <family val="2"/>
          </rPr>
          <t xml:space="preserve">
About 29 years old here if graduating college at 22, medical school at 26, and finishes residence at 29. Say 29.5 when starts public service, so I will average the first two VA physician income brackets from FedScope
</t>
        </r>
      </text>
    </comment>
    <comment ref="LX14"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K15"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DM15" authorId="0">
      <text>
        <r>
          <rPr>
            <b/>
            <sz val="9"/>
            <color indexed="81"/>
            <rFont val="Tahoma"/>
            <family val="2"/>
          </rPr>
          <t>Marcu, Mircea I.:</t>
        </r>
        <r>
          <rPr>
            <sz val="9"/>
            <color indexed="81"/>
            <rFont val="Tahoma"/>
            <family val="2"/>
          </rPr>
          <t xml:space="preserve">
Partial Financial Hardship (PFH) ends this year, so accumulated accrued uncapitalized interest capitalizes.</t>
        </r>
      </text>
    </comment>
    <comment ref="JR18" authorId="0">
      <text>
        <r>
          <rPr>
            <b/>
            <sz val="9"/>
            <color indexed="81"/>
            <rFont val="Tahoma"/>
            <family val="2"/>
          </rPr>
          <t xml:space="preserve">Marcu, Mircea I.:
</t>
        </r>
        <r>
          <rPr>
            <sz val="9"/>
            <color indexed="81"/>
            <rFont val="Tahoma"/>
            <family val="2"/>
          </rPr>
          <t>Is there an adjustment upwards after service obligation is fulfilled? Depends if physician remains in same position / changes position and/or service area. By not adjusting income I am assuming they remain in the same position and their salary does not increase to retain them.</t>
        </r>
      </text>
    </comment>
    <comment ref="E20" authorId="0">
      <text>
        <r>
          <rPr>
            <b/>
            <sz val="9"/>
            <color indexed="81"/>
            <rFont val="Tahoma"/>
            <family val="2"/>
          </rPr>
          <t>Marcu, Mircea I.:</t>
        </r>
        <r>
          <rPr>
            <sz val="9"/>
            <color indexed="81"/>
            <rFont val="Tahoma"/>
            <family val="2"/>
          </rPr>
          <t xml:space="preserve">
End of 7 year commitment. Within 18 months of fulfilling ADO, physician may qualify for ECISP, then transition to ISP+MSP setup when they become eligible. I have not included ECISP because I think it is temporary (did it expire already?).</t>
        </r>
      </text>
    </comment>
    <comment ref="GE28" authorId="0">
      <text>
        <r>
          <rPr>
            <b/>
            <sz val="9"/>
            <color indexed="81"/>
            <rFont val="Tahoma"/>
            <family val="2"/>
          </rPr>
          <t>Marcu, Mircea I.:</t>
        </r>
        <r>
          <rPr>
            <sz val="9"/>
            <color indexed="81"/>
            <rFont val="Tahoma"/>
            <family val="2"/>
          </rPr>
          <t xml:space="preserve">
End of 4 year contract</t>
        </r>
      </text>
    </comment>
    <comment ref="HD29" authorId="0">
      <text>
        <r>
          <rPr>
            <b/>
            <sz val="9"/>
            <color indexed="81"/>
            <rFont val="Tahoma"/>
            <family val="2"/>
          </rPr>
          <t>Marcu, Mircea I.:</t>
        </r>
        <r>
          <rPr>
            <sz val="9"/>
            <color indexed="81"/>
            <rFont val="Tahoma"/>
            <family val="2"/>
          </rPr>
          <t xml:space="preserve">
End of 4 year contract</t>
        </r>
      </text>
    </comment>
    <comment ref="D31" authorId="0">
      <text>
        <r>
          <rPr>
            <b/>
            <sz val="9"/>
            <color indexed="81"/>
            <rFont val="Tahoma"/>
            <family val="2"/>
          </rPr>
          <t>Marcu, Mircea I.:</t>
        </r>
        <r>
          <rPr>
            <sz val="9"/>
            <color indexed="81"/>
            <rFont val="Tahoma"/>
            <family val="2"/>
          </rPr>
          <t xml:space="preserve">
After 20 years, the 4 years of USU medical school apply for pay computation</t>
        </r>
      </text>
    </comment>
    <comment ref="Z31" authorId="0">
      <text>
        <r>
          <rPr>
            <b/>
            <sz val="9"/>
            <color indexed="81"/>
            <rFont val="Tahoma"/>
            <family val="2"/>
          </rPr>
          <t>Marcu, Mircea I.:</t>
        </r>
        <r>
          <rPr>
            <sz val="9"/>
            <color indexed="81"/>
            <rFont val="Tahoma"/>
            <family val="2"/>
          </rPr>
          <t xml:space="preserve">
After 20 years, the 1.5 years of service from the medical school years apply for pay computation</t>
        </r>
      </text>
    </comment>
    <comment ref="GD31" authorId="0">
      <text>
        <r>
          <rPr>
            <b/>
            <sz val="9"/>
            <color indexed="81"/>
            <rFont val="Tahoma"/>
            <family val="2"/>
          </rPr>
          <t>Marcu, Mircea I.:</t>
        </r>
        <r>
          <rPr>
            <sz val="9"/>
            <color indexed="81"/>
            <rFont val="Tahoma"/>
            <family val="2"/>
          </rPr>
          <t xml:space="preserve"> 
Eligible to retire after 20 years of service and USU gets 2.5% of the highest 3 years Basic Pay for every year of service adjusted for growth rate and inflation in retirement pay + a percentage of civilian physician pay also adjusted for growth and inflation</t>
        </r>
      </text>
    </comment>
    <comment ref="HC31" authorId="0">
      <text>
        <r>
          <rPr>
            <b/>
            <sz val="9"/>
            <color indexed="81"/>
            <rFont val="Tahoma"/>
            <family val="2"/>
          </rPr>
          <t>Marcu, Mircea I.:</t>
        </r>
        <r>
          <rPr>
            <sz val="9"/>
            <color indexed="81"/>
            <rFont val="Tahoma"/>
            <family val="2"/>
          </rPr>
          <t xml:space="preserve">
Eligible to retire after at least 20 years of service and HPSP. Would get 2.5% of highest 3 years average Basic Pay adjusted for growth rate and inflation in retirement pay + a percentage of civilian physician pay also adjusted for growth and inflation</t>
        </r>
      </text>
    </comment>
    <comment ref="HL31" authorId="0">
      <text>
        <r>
          <rPr>
            <b/>
            <sz val="9"/>
            <color indexed="81"/>
            <rFont val="Tahoma"/>
            <family val="2"/>
          </rPr>
          <t>Marcu, Mircea I.:</t>
        </r>
        <r>
          <rPr>
            <sz val="9"/>
            <color indexed="81"/>
            <rFont val="Tahoma"/>
            <family val="2"/>
          </rPr>
          <t xml:space="preserve">
From here on non-taxable earnings are zero after retirement from the military.</t>
        </r>
      </text>
    </comment>
    <comment ref="AA32" authorId="0">
      <text>
        <r>
          <rPr>
            <b/>
            <sz val="9"/>
            <color indexed="81"/>
            <rFont val="Tahoma"/>
            <family val="2"/>
          </rPr>
          <t>Marcu, Mircea I.:</t>
        </r>
        <r>
          <rPr>
            <sz val="9"/>
            <color indexed="81"/>
            <rFont val="Tahoma"/>
            <family val="2"/>
          </rPr>
          <t xml:space="preserve">
O6&gt;20 for first 6 months, O6&gt;22 for last 6 months</t>
        </r>
      </text>
    </comment>
    <comment ref="GD32" authorId="0">
      <text>
        <r>
          <rPr>
            <b/>
            <sz val="9"/>
            <color indexed="81"/>
            <rFont val="Tahoma"/>
            <family val="2"/>
          </rPr>
          <t>Marcu, Mircea I.:</t>
        </r>
        <r>
          <rPr>
            <sz val="9"/>
            <color indexed="81"/>
            <rFont val="Tahoma"/>
            <family val="2"/>
          </rPr>
          <t xml:space="preserve">
Last year of 4 year contract</t>
        </r>
      </text>
    </comment>
    <comment ref="GH33" authorId="0">
      <text>
        <r>
          <rPr>
            <b/>
            <sz val="9"/>
            <color indexed="81"/>
            <rFont val="Tahoma"/>
            <family val="2"/>
          </rPr>
          <t>Marcu, Mircea I.:</t>
        </r>
        <r>
          <rPr>
            <sz val="9"/>
            <color indexed="81"/>
            <rFont val="Tahoma"/>
            <family val="2"/>
          </rPr>
          <t xml:space="preserve">
Not worth staying the 23rd year even if we add the MSP for 4 year contract, which requires another 4 full years…
the pension gain is only around 6k in 2013 USD. Should subtract MSP from this one discounted to 2013 USD.
</t>
        </r>
      </text>
    </comment>
    <comment ref="HC33" authorId="0">
      <text>
        <r>
          <rPr>
            <b/>
            <sz val="9"/>
            <color indexed="81"/>
            <rFont val="Tahoma"/>
            <family val="2"/>
          </rPr>
          <t>Marcu, Mircea I.:</t>
        </r>
        <r>
          <rPr>
            <sz val="9"/>
            <color indexed="81"/>
            <rFont val="Tahoma"/>
            <family val="2"/>
          </rPr>
          <t xml:space="preserve">
Last year of 4 year contract</t>
        </r>
      </text>
    </comment>
    <comment ref="AA34" authorId="0">
      <text>
        <r>
          <rPr>
            <b/>
            <sz val="9"/>
            <color indexed="81"/>
            <rFont val="Tahoma"/>
            <family val="2"/>
          </rPr>
          <t>Marcu, Mircea I.:</t>
        </r>
        <r>
          <rPr>
            <sz val="9"/>
            <color indexed="81"/>
            <rFont val="Tahoma"/>
            <family val="2"/>
          </rPr>
          <t xml:space="preserve">
O6&gt;22 for first 6 months, O6&gt;24 for last 6 months</t>
        </r>
      </text>
    </comment>
    <comment ref="HK34" authorId="0">
      <text>
        <r>
          <rPr>
            <b/>
            <sz val="9"/>
            <color indexed="81"/>
            <rFont val="Tahoma"/>
            <family val="2"/>
          </rPr>
          <t>Marcu, Mircea I.:</t>
        </r>
        <r>
          <rPr>
            <sz val="9"/>
            <color indexed="81"/>
            <rFont val="Tahoma"/>
            <family val="2"/>
          </rPr>
          <t xml:space="preserve">
I generalized including an annual percentage at which private portion of retired military physicians pay approaches that of private physicians. </t>
        </r>
      </text>
    </comment>
    <comment ref="AA36" authorId="0">
      <text>
        <r>
          <rPr>
            <b/>
            <sz val="9"/>
            <color indexed="81"/>
            <rFont val="Tahoma"/>
            <family val="2"/>
          </rPr>
          <t>Marcu, Mircea I.:</t>
        </r>
        <r>
          <rPr>
            <sz val="9"/>
            <color indexed="81"/>
            <rFont val="Tahoma"/>
            <family val="2"/>
          </rPr>
          <t xml:space="preserve">
O6&gt;24 for first 6 months, O6&gt;26 for last 6 months</t>
        </r>
      </text>
    </comment>
  </commentList>
</comments>
</file>

<file path=xl/comments4.xml><?xml version="1.0" encoding="utf-8"?>
<comments xmlns="http://schemas.openxmlformats.org/spreadsheetml/2006/main">
  <authors>
    <author>Marcu, Mircea I.</author>
  </authors>
  <commentList>
    <comment ref="AZ5" authorId="0">
      <text>
        <r>
          <rPr>
            <b/>
            <sz val="9"/>
            <color indexed="81"/>
            <rFont val="Tahoma"/>
            <family val="2"/>
          </rPr>
          <t>Marcu, Mircea I.:</t>
        </r>
        <r>
          <rPr>
            <sz val="9"/>
            <color indexed="81"/>
            <rFont val="Tahoma"/>
            <family val="2"/>
          </rPr>
          <t xml:space="preserve">
For PAYE and IBR calculations.</t>
        </r>
      </text>
    </comment>
    <comment ref="BD5" authorId="0">
      <text>
        <r>
          <rPr>
            <b/>
            <sz val="9"/>
            <color indexed="81"/>
            <rFont val="Tahoma"/>
            <family val="2"/>
          </rPr>
          <t>Marcu, Mircea I.:</t>
        </r>
        <r>
          <rPr>
            <sz val="9"/>
            <color indexed="81"/>
            <rFont val="Tahoma"/>
            <family val="2"/>
          </rPr>
          <t xml:space="preserve">
MedLoans calculator assumes two disbursements per year</t>
        </r>
      </text>
    </comment>
    <comment ref="EI5" authorId="0">
      <text>
        <r>
          <rPr>
            <b/>
            <sz val="9"/>
            <color indexed="81"/>
            <rFont val="Tahoma"/>
            <family val="2"/>
          </rPr>
          <t>Marcu, Mircea I.:</t>
        </r>
        <r>
          <rPr>
            <sz val="9"/>
            <color indexed="81"/>
            <rFont val="Tahoma"/>
            <family val="2"/>
          </rPr>
          <t xml:space="preserve">
MedLoans calculator assumes two disbursements per year</t>
        </r>
      </text>
    </comment>
    <comment ref="EQ5" authorId="0">
      <text>
        <r>
          <rPr>
            <b/>
            <sz val="9"/>
            <color indexed="81"/>
            <rFont val="Tahoma"/>
            <family val="2"/>
          </rPr>
          <t>Marcu, Mircea I.:</t>
        </r>
        <r>
          <rPr>
            <sz val="9"/>
            <color indexed="81"/>
            <rFont val="Tahoma"/>
            <family val="2"/>
          </rPr>
          <t xml:space="preserve">
Fed and state taxes will vary with the loan repayment scenario if income below 75000, but because I assume forbearance the first repayment year is when physician gets starting salary which is much higher than 75000 (even if 75k would be adjusted for growth rate).</t>
        </r>
      </text>
    </comment>
    <comment ref="D7" authorId="0">
      <text>
        <r>
          <rPr>
            <b/>
            <sz val="9"/>
            <color indexed="81"/>
            <rFont val="Tahoma"/>
            <family val="2"/>
          </rPr>
          <t>Marcu, Mircea I.:</t>
        </r>
        <r>
          <rPr>
            <sz val="9"/>
            <color indexed="81"/>
            <rFont val="Tahoma"/>
            <family val="2"/>
          </rPr>
          <t xml:space="preserve">
The 4 years of USU medical school count only after 20 years for pay calculation</t>
        </r>
      </text>
    </comment>
    <comment ref="Z7" authorId="0">
      <text>
        <r>
          <rPr>
            <b/>
            <sz val="9"/>
            <color indexed="81"/>
            <rFont val="Tahoma"/>
            <family val="2"/>
          </rPr>
          <t>Marcu, Mircea I.:</t>
        </r>
        <r>
          <rPr>
            <sz val="9"/>
            <color indexed="81"/>
            <rFont val="Tahoma"/>
            <family val="2"/>
          </rPr>
          <t xml:space="preserve">
The 1.5 years of service during HPSP medical school count only after 20 years for pay calculation</t>
        </r>
      </text>
    </comment>
    <comment ref="BD7" authorId="0">
      <text>
        <r>
          <rPr>
            <b/>
            <sz val="9"/>
            <color indexed="81"/>
            <rFont val="Tahoma"/>
            <family val="2"/>
          </rPr>
          <t>Marcu, Mircea I.:</t>
        </r>
        <r>
          <rPr>
            <sz val="9"/>
            <color indexed="81"/>
            <rFont val="Tahoma"/>
            <family val="2"/>
          </rPr>
          <t xml:space="preserve">
Median Debt of 175k for 2013 graduating class, 180k for 2014  includes undergraduate debt, but medical students borrow less than the full cost of attendance and spend some family money during medical school which cancels out with undergraduate debt,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
I revised the numbers to account for the shorter 9 months first two academic years, longer 11 months last two. Total is 40 months, so I divided the debt accordingly.
Perhaps not surprising, 9 months out of the total 40 from a total debt of 180k amounts exactly to 40500, the 9 month Stafford loan annual debt limit for medical students.</t>
        </r>
      </text>
    </comment>
    <comment ref="EI7" authorId="0">
      <text>
        <r>
          <rPr>
            <b/>
            <sz val="9"/>
            <color indexed="81"/>
            <rFont val="Tahoma"/>
            <family val="2"/>
          </rPr>
          <t>Marcu, Mircea I.:</t>
        </r>
        <r>
          <rPr>
            <sz val="9"/>
            <color indexed="81"/>
            <rFont val="Tahoma"/>
            <family val="2"/>
          </rPr>
          <t xml:space="preserve">
Median Debt of 175k + accrued interest gives 201600, divided by 4. Most medical students borrow less than the full cost of attendance, hence median debt provides a good comparison according to Jay and Julie.</t>
        </r>
      </text>
    </comment>
    <comment ref="JQ7" authorId="0">
      <text>
        <r>
          <rPr>
            <b/>
            <sz val="9"/>
            <color indexed="81"/>
            <rFont val="Tahoma"/>
            <family val="2"/>
          </rPr>
          <t>Marcu, Mircea I.:</t>
        </r>
        <r>
          <rPr>
            <sz val="9"/>
            <color indexed="81"/>
            <rFont val="Tahoma"/>
            <family val="2"/>
          </rPr>
          <t xml:space="preserve">
Median Debt of 175k for 2013 graduating class, 180k for 2014  includes undergraduate debt, but medical students borrow less than the full cost of attendance and spend some family money during medical school which cancels out with undergraduate debt,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
I revised the numbers to account for the shorter 9 months first two academic years, longer 11 months last two. Total is 40 months, so I divided the debt accordingly.
Perhaps not surprising, 9 months out of the total 40 from a total debt of 180k amounts exactly to 40500, the 9 month Stafford loan annual debt limit for medical students.</t>
        </r>
      </text>
    </comment>
    <comment ref="BD8" authorId="0">
      <text>
        <r>
          <rPr>
            <b/>
            <sz val="9"/>
            <color indexed="81"/>
            <rFont val="Tahoma"/>
            <family val="2"/>
          </rPr>
          <t>Marcu, Mircea I.:</t>
        </r>
        <r>
          <rPr>
            <sz val="9"/>
            <color indexed="81"/>
            <rFont val="Tahoma"/>
            <family val="2"/>
          </rPr>
          <t xml:space="preserve">
$40,500 is the annual limit and 224,000 is the cumulative limit on Stafford Loans for medical school. These are limits for 9 month school years. If someone were enrolled in a 12 month school year, the limit would be greater ($47,167). See http://www.staffordloan.com/stafford-loan-info/stafford-loan-limits.php .
The first two academic years are shorter, 9 month years. The last two include clinical rotations and are 11 months. Total 40 months.</t>
        </r>
      </text>
    </comment>
    <comment ref="JQ8" authorId="0">
      <text>
        <r>
          <rPr>
            <b/>
            <sz val="9"/>
            <color indexed="81"/>
            <rFont val="Tahoma"/>
            <family val="2"/>
          </rPr>
          <t>Marcu, Mircea I.:</t>
        </r>
        <r>
          <rPr>
            <sz val="9"/>
            <color indexed="81"/>
            <rFont val="Tahoma"/>
            <family val="2"/>
          </rPr>
          <t xml:space="preserve">
$40,500 is the annual limit and 224,000 is the cumulative limit on Stafford Loans for medical school. These are limits for 9 month school years. If someone were enrolled in a 12 month school year, the limit would be greater ($47,167). See http://www.staffordloan.com/stafford-loan-info/stafford-loan-limits.php .
The first two academic years are shorter, 9 month years. The last two include clinical rotations and are 11 months. Total 40 months.</t>
        </r>
      </text>
    </comment>
    <comment ref="EL10" authorId="0">
      <text>
        <r>
          <rPr>
            <b/>
            <sz val="9"/>
            <color indexed="81"/>
            <rFont val="Tahoma"/>
            <family val="2"/>
          </rPr>
          <t>Marcu, Mircea I.:</t>
        </r>
        <r>
          <rPr>
            <sz val="9"/>
            <color indexed="81"/>
            <rFont val="Tahoma"/>
            <family val="2"/>
          </rPr>
          <t xml:space="preserve">
According to AAMC, total balance including accrued interest is $201600 at the end of Med school.</t>
        </r>
      </text>
    </comment>
    <comment ref="AW11" authorId="0">
      <text>
        <r>
          <rPr>
            <b/>
            <sz val="9"/>
            <color indexed="81"/>
            <rFont val="Tahoma"/>
            <family val="2"/>
          </rPr>
          <t>Marcu, Mircea I.:</t>
        </r>
        <r>
          <rPr>
            <sz val="9"/>
            <color indexed="81"/>
            <rFont val="Tahoma"/>
            <family val="2"/>
          </rPr>
          <t xml:space="preserve">
Median 1st year resident salary acording to AAMC, inflated by assumed growth rate for 4 years</t>
        </r>
      </text>
    </comment>
    <comment ref="BE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BF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C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D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M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N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P11"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DX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Y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EA11"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EH11" authorId="0">
      <text>
        <r>
          <rPr>
            <b/>
            <sz val="9"/>
            <color indexed="81"/>
            <rFont val="Tahoma"/>
            <family val="2"/>
          </rPr>
          <t>Marcu, Mircea I.:</t>
        </r>
        <r>
          <rPr>
            <sz val="9"/>
            <color indexed="81"/>
            <rFont val="Tahoma"/>
            <family val="2"/>
          </rPr>
          <t xml:space="preserve">
I have not taken 6 month grace period after unsubsidized Stafford loans into account</t>
        </r>
      </text>
    </comment>
    <comment ref="JR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JS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AW12" authorId="0">
      <text>
        <r>
          <rPr>
            <b/>
            <sz val="9"/>
            <color indexed="81"/>
            <rFont val="Tahoma"/>
            <family val="2"/>
          </rPr>
          <t>Marcu, Mircea I.:</t>
        </r>
        <r>
          <rPr>
            <sz val="9"/>
            <color indexed="81"/>
            <rFont val="Tahoma"/>
            <family val="2"/>
          </rPr>
          <t xml:space="preserve">
Increase every year by 7% (growth rate + inflation historically). Perhaps 6% I suggested going forward.</t>
        </r>
      </text>
    </comment>
    <comment ref="BE12" authorId="0">
      <text>
        <r>
          <rPr>
            <b/>
            <sz val="9"/>
            <color indexed="81"/>
            <rFont val="Tahoma"/>
            <family val="2"/>
          </rPr>
          <t>Marcu, Mircea I.:</t>
        </r>
        <r>
          <rPr>
            <sz val="9"/>
            <color indexed="81"/>
            <rFont val="Tahoma"/>
            <family val="2"/>
          </rPr>
          <t xml:space="preserve">
This is the balance at the end of the 6m grace period. I am assuming that interest capitalizes only at the end of residency, a la Salie Mae, which is most advantageous for civilian alternatives.</t>
        </r>
      </text>
    </comment>
    <comment ref="JR12" authorId="0">
      <text>
        <r>
          <rPr>
            <b/>
            <sz val="9"/>
            <color indexed="81"/>
            <rFont val="Tahoma"/>
            <family val="2"/>
          </rPr>
          <t>Marcu, Mircea I.:</t>
        </r>
        <r>
          <rPr>
            <sz val="9"/>
            <color indexed="81"/>
            <rFont val="Tahoma"/>
            <family val="2"/>
          </rPr>
          <t xml:space="preserve">
This is the balance at the end of the 6m grace period. I am assuming that interest capitalizes only at the end of residency, a la Salie Mae, which is most advantageous for civilian alternatives.</t>
        </r>
      </text>
    </comment>
    <comment ref="CK15"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DM15" authorId="0">
      <text>
        <r>
          <rPr>
            <b/>
            <sz val="9"/>
            <color indexed="81"/>
            <rFont val="Tahoma"/>
            <family val="2"/>
          </rPr>
          <t>Marcu, Mircea I.:</t>
        </r>
        <r>
          <rPr>
            <sz val="9"/>
            <color indexed="81"/>
            <rFont val="Tahoma"/>
            <family val="2"/>
          </rPr>
          <t xml:space="preserve">
Partial Financial Hardship (PFH) ends this year, so accumulated accrued uncapitalized interest capitalizes.</t>
        </r>
      </text>
    </comment>
    <comment ref="E16" authorId="0">
      <text>
        <r>
          <rPr>
            <b/>
            <sz val="9"/>
            <color indexed="81"/>
            <rFont val="Tahoma"/>
            <family val="2"/>
          </rPr>
          <t>Marcu, Mircea I.:</t>
        </r>
        <r>
          <rPr>
            <sz val="9"/>
            <color indexed="81"/>
            <rFont val="Tahoma"/>
            <family val="2"/>
          </rPr>
          <t xml:space="preserve">
Service starts only after residency (both residencies in the case of cardiologists)</t>
        </r>
      </text>
    </comment>
    <comment ref="BC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H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R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U16"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EH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JP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AA19" authorId="0">
      <text>
        <r>
          <rPr>
            <b/>
            <sz val="9"/>
            <color indexed="81"/>
            <rFont val="Tahoma"/>
            <family val="2"/>
          </rPr>
          <t>Marcu, Mircea I.:</t>
        </r>
        <r>
          <rPr>
            <sz val="9"/>
            <color indexed="81"/>
            <rFont val="Tahoma"/>
            <family val="2"/>
          </rPr>
          <t xml:space="preserve">
End of 4 year service obligation for HPSP.</t>
        </r>
      </text>
    </comment>
    <comment ref="E22" authorId="0">
      <text>
        <r>
          <rPr>
            <b/>
            <sz val="9"/>
            <color indexed="81"/>
            <rFont val="Tahoma"/>
            <family val="2"/>
          </rPr>
          <t>Marcu, Mircea I.:</t>
        </r>
        <r>
          <rPr>
            <sz val="9"/>
            <color indexed="81"/>
            <rFont val="Tahoma"/>
            <family val="2"/>
          </rPr>
          <t xml:space="preserve">
Last of 7 years of military service obligation for USU</t>
        </r>
      </text>
    </comment>
    <comment ref="D31" authorId="0">
      <text>
        <r>
          <rPr>
            <b/>
            <sz val="9"/>
            <color indexed="81"/>
            <rFont val="Tahoma"/>
            <family val="2"/>
          </rPr>
          <t>Marcu, Mircea I.:</t>
        </r>
        <r>
          <rPr>
            <sz val="9"/>
            <color indexed="81"/>
            <rFont val="Tahoma"/>
            <family val="2"/>
          </rPr>
          <t xml:space="preserve">
After 20 years, the 4 years of USU medical school apply for pay computation</t>
        </r>
      </text>
    </comment>
    <comment ref="G31" authorId="0">
      <text>
        <r>
          <rPr>
            <b/>
            <sz val="9"/>
            <color indexed="81"/>
            <rFont val="Tahoma"/>
            <family val="2"/>
          </rPr>
          <t>Marcu, Mircea I.:</t>
        </r>
        <r>
          <rPr>
            <sz val="9"/>
            <color indexed="81"/>
            <rFont val="Tahoma"/>
            <family val="2"/>
          </rPr>
          <t xml:space="preserve">
Not sure here if jump in years of service for pay computation that increases BP leads to lower VSP</t>
        </r>
      </text>
    </comment>
    <comment ref="Z31" authorId="0">
      <text>
        <r>
          <rPr>
            <b/>
            <sz val="9"/>
            <color indexed="81"/>
            <rFont val="Tahoma"/>
            <family val="2"/>
          </rPr>
          <t>Marcu, Mircea I.:</t>
        </r>
        <r>
          <rPr>
            <sz val="9"/>
            <color indexed="81"/>
            <rFont val="Tahoma"/>
            <family val="2"/>
          </rPr>
          <t xml:space="preserve">
After 20 years, the 1.5 years of service from the medical school years apply for pay computation</t>
        </r>
      </text>
    </comment>
    <comment ref="GY31" authorId="0">
      <text>
        <r>
          <rPr>
            <b/>
            <sz val="9"/>
            <color indexed="81"/>
            <rFont val="Tahoma"/>
            <family val="2"/>
          </rPr>
          <t>Marcu, Mircea I.:</t>
        </r>
        <r>
          <rPr>
            <sz val="9"/>
            <color indexed="81"/>
            <rFont val="Tahoma"/>
            <family val="2"/>
          </rPr>
          <t xml:space="preserve">
Retires at end of 4 year contract</t>
        </r>
      </text>
    </comment>
    <comment ref="AA32" authorId="0">
      <text>
        <r>
          <rPr>
            <b/>
            <sz val="9"/>
            <color indexed="81"/>
            <rFont val="Tahoma"/>
            <family val="2"/>
          </rPr>
          <t>Marcu, Mircea I.:</t>
        </r>
        <r>
          <rPr>
            <sz val="9"/>
            <color indexed="81"/>
            <rFont val="Tahoma"/>
            <family val="2"/>
          </rPr>
          <t xml:space="preserve">
O6&gt;20 for first 6 months, O6&gt;22 for last 6 months</t>
        </r>
      </text>
    </comment>
    <comment ref="AA34" authorId="0">
      <text>
        <r>
          <rPr>
            <b/>
            <sz val="9"/>
            <color indexed="81"/>
            <rFont val="Tahoma"/>
            <family val="2"/>
          </rPr>
          <t>Marcu, Mircea I.:</t>
        </r>
        <r>
          <rPr>
            <sz val="9"/>
            <color indexed="81"/>
            <rFont val="Tahoma"/>
            <family val="2"/>
          </rPr>
          <t xml:space="preserve">
O6&gt;22 for first 6 months, O6&gt;24 for last 6 months</t>
        </r>
      </text>
    </comment>
    <comment ref="AA36" authorId="0">
      <text>
        <r>
          <rPr>
            <b/>
            <sz val="9"/>
            <color indexed="81"/>
            <rFont val="Tahoma"/>
            <family val="2"/>
          </rPr>
          <t>Marcu, Mircea I.:</t>
        </r>
        <r>
          <rPr>
            <sz val="9"/>
            <color indexed="81"/>
            <rFont val="Tahoma"/>
            <family val="2"/>
          </rPr>
          <t xml:space="preserve">
O6&gt;24 for first 6 months, O6&gt;26 for last 6 months</t>
        </r>
      </text>
    </comment>
  </commentList>
</comments>
</file>

<file path=xl/comments5.xml><?xml version="1.0" encoding="utf-8"?>
<comments xmlns="http://schemas.openxmlformats.org/spreadsheetml/2006/main">
  <authors>
    <author>Marcu, Mircea I.</author>
  </authors>
  <commentList>
    <comment ref="AZ5" authorId="0">
      <text>
        <r>
          <rPr>
            <b/>
            <sz val="9"/>
            <color indexed="81"/>
            <rFont val="Tahoma"/>
            <family val="2"/>
          </rPr>
          <t>Marcu, Mircea I.:</t>
        </r>
        <r>
          <rPr>
            <sz val="9"/>
            <color indexed="81"/>
            <rFont val="Tahoma"/>
            <family val="2"/>
          </rPr>
          <t xml:space="preserve">
For PAYE and IBR calculations.</t>
        </r>
      </text>
    </comment>
    <comment ref="BD5" authorId="0">
      <text>
        <r>
          <rPr>
            <b/>
            <sz val="9"/>
            <color indexed="81"/>
            <rFont val="Tahoma"/>
            <family val="2"/>
          </rPr>
          <t>Marcu, Mircea I.:</t>
        </r>
        <r>
          <rPr>
            <sz val="9"/>
            <color indexed="81"/>
            <rFont val="Tahoma"/>
            <family val="2"/>
          </rPr>
          <t xml:space="preserve">
MedLoans calculator assumes two disbursements per year</t>
        </r>
      </text>
    </comment>
    <comment ref="EI5" authorId="0">
      <text>
        <r>
          <rPr>
            <b/>
            <sz val="9"/>
            <color indexed="81"/>
            <rFont val="Tahoma"/>
            <family val="2"/>
          </rPr>
          <t>Marcu, Mircea I.:</t>
        </r>
        <r>
          <rPr>
            <sz val="9"/>
            <color indexed="81"/>
            <rFont val="Tahoma"/>
            <family val="2"/>
          </rPr>
          <t xml:space="preserve">
MedLoans calculator assumes two disbursements per year</t>
        </r>
      </text>
    </comment>
    <comment ref="EQ5" authorId="0">
      <text>
        <r>
          <rPr>
            <b/>
            <sz val="9"/>
            <color indexed="81"/>
            <rFont val="Tahoma"/>
            <family val="2"/>
          </rPr>
          <t>Marcu, Mircea I.:</t>
        </r>
        <r>
          <rPr>
            <sz val="9"/>
            <color indexed="81"/>
            <rFont val="Tahoma"/>
            <family val="2"/>
          </rPr>
          <t xml:space="preserve">
Fed and state taxes will vary with the loan repayment scenario if income below 75000, but because I assume forbearance the first repayment year is when physician gets starting salary which is much higher than 75000 (even if 75k would be adjusted for growth rate).</t>
        </r>
      </text>
    </comment>
    <comment ref="D7" authorId="0">
      <text>
        <r>
          <rPr>
            <b/>
            <sz val="9"/>
            <color indexed="81"/>
            <rFont val="Tahoma"/>
            <family val="2"/>
          </rPr>
          <t>Marcu, Mircea I.:</t>
        </r>
        <r>
          <rPr>
            <sz val="9"/>
            <color indexed="81"/>
            <rFont val="Tahoma"/>
            <family val="2"/>
          </rPr>
          <t xml:space="preserve">
The 4 years of USU medical school count only after 20 years for pay calculation</t>
        </r>
      </text>
    </comment>
    <comment ref="Z7" authorId="0">
      <text>
        <r>
          <rPr>
            <b/>
            <sz val="9"/>
            <color indexed="81"/>
            <rFont val="Tahoma"/>
            <family val="2"/>
          </rPr>
          <t>Marcu, Mircea I.:</t>
        </r>
        <r>
          <rPr>
            <sz val="9"/>
            <color indexed="81"/>
            <rFont val="Tahoma"/>
            <family val="2"/>
          </rPr>
          <t xml:space="preserve">
The 1.5 years of service during HPSP medical school count only after 20 years for pay calculation</t>
        </r>
      </text>
    </comment>
    <comment ref="BD7" authorId="0">
      <text>
        <r>
          <rPr>
            <b/>
            <sz val="9"/>
            <color indexed="81"/>
            <rFont val="Tahoma"/>
            <family val="2"/>
          </rPr>
          <t>Marcu, Mircea I.:</t>
        </r>
        <r>
          <rPr>
            <sz val="9"/>
            <color indexed="81"/>
            <rFont val="Tahoma"/>
            <family val="2"/>
          </rPr>
          <t xml:space="preserve">
Median Debt of 175k for 2013 graduating class, 180k for 2014  includes undergraduate debt, but medical students borrow less than the full cost of attendance and spend some family money during medical school which cancels out with undergraduate debt,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
I revised the numbers to account for the shorter 9 months first two academic years, longer 11 months last two. Total is 40 months, so I divided the debt accordingly.
Perhaps not surprising, 9 months out of the total 40 from a total debt of 180k amounts exactly to 40500, the 9 month Stafford loan annual debt limit for medical students.</t>
        </r>
      </text>
    </comment>
    <comment ref="EI7" authorId="0">
      <text>
        <r>
          <rPr>
            <b/>
            <sz val="9"/>
            <color indexed="81"/>
            <rFont val="Tahoma"/>
            <family val="2"/>
          </rPr>
          <t>Marcu, Mircea I.:</t>
        </r>
        <r>
          <rPr>
            <sz val="9"/>
            <color indexed="81"/>
            <rFont val="Tahoma"/>
            <family val="2"/>
          </rPr>
          <t xml:space="preserve">
Median Debt of 175k + accrued interest gives 201600, divided by 4. Most medical students borrow less than the full cost of attendance, hence median debt provides a good comparison according to Jay and Julie.</t>
        </r>
      </text>
    </comment>
    <comment ref="JQ7" authorId="0">
      <text>
        <r>
          <rPr>
            <b/>
            <sz val="9"/>
            <color indexed="81"/>
            <rFont val="Tahoma"/>
            <family val="2"/>
          </rPr>
          <t>Marcu, Mircea I.:</t>
        </r>
        <r>
          <rPr>
            <sz val="9"/>
            <color indexed="81"/>
            <rFont val="Tahoma"/>
            <family val="2"/>
          </rPr>
          <t xml:space="preserve">
Median Debt of 175k for 2013 graduating class, 180k for 2014  includes undergraduate debt, but medical students borrow less than the full cost of attendance and spend some family money during medical school which cancels out with undergraduate debt,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
I revised the numbers to account for the shorter 9 months first two academic years, longer 11 months last two. Total is 40 months, so I divided the debt accordingly.
Perhaps not surprising, 9 months out of the total 40 from a total debt of 180k amounts exactly to 40500, the 9 month Stafford loan annual debt limit for medical students.</t>
        </r>
      </text>
    </comment>
    <comment ref="BD8" authorId="0">
      <text>
        <r>
          <rPr>
            <b/>
            <sz val="9"/>
            <color indexed="81"/>
            <rFont val="Tahoma"/>
            <family val="2"/>
          </rPr>
          <t>Marcu, Mircea I.:</t>
        </r>
        <r>
          <rPr>
            <sz val="9"/>
            <color indexed="81"/>
            <rFont val="Tahoma"/>
            <family val="2"/>
          </rPr>
          <t xml:space="preserve">
$40,500 is the annual limit and 224,000 is the cumulative limit on Stafford Loans for medical school. These are limits for 9 month school years. If someone were enrolled in a 12 month school year, the limit would be greater ($47,167). See http://www.staffordloan.com/stafford-loan-info/stafford-loan-limits.php .
The first two academic years are shorter, 9 month years. The last two include clinical rotations and are 11 months. Total 40 months.</t>
        </r>
      </text>
    </comment>
    <comment ref="JQ8" authorId="0">
      <text>
        <r>
          <rPr>
            <b/>
            <sz val="9"/>
            <color indexed="81"/>
            <rFont val="Tahoma"/>
            <family val="2"/>
          </rPr>
          <t>Marcu, Mircea I.:</t>
        </r>
        <r>
          <rPr>
            <sz val="9"/>
            <color indexed="81"/>
            <rFont val="Tahoma"/>
            <family val="2"/>
          </rPr>
          <t xml:space="preserve">
$40,500 is the annual limit and 224,000 is the cumulative limit on Stafford Loans for medical school. These are limits for 9 month school years. If someone were enrolled in a 12 month school year, the limit would be greater ($47,167). See http://www.staffordloan.com/stafford-loan-info/stafford-loan-limits.php .
The first two academic years are shorter, 9 month years. The last two include clinical rotations and are 11 months. Total 40 months.</t>
        </r>
      </text>
    </comment>
    <comment ref="EL10" authorId="0">
      <text>
        <r>
          <rPr>
            <b/>
            <sz val="9"/>
            <color indexed="81"/>
            <rFont val="Tahoma"/>
            <family val="2"/>
          </rPr>
          <t>Marcu, Mircea I.:</t>
        </r>
        <r>
          <rPr>
            <sz val="9"/>
            <color indexed="81"/>
            <rFont val="Tahoma"/>
            <family val="2"/>
          </rPr>
          <t xml:space="preserve">
According to AAMC, total balance including accrued interest is $201600 at the end of Med school.</t>
        </r>
      </text>
    </comment>
    <comment ref="AW11" authorId="0">
      <text>
        <r>
          <rPr>
            <b/>
            <sz val="9"/>
            <color indexed="81"/>
            <rFont val="Tahoma"/>
            <family val="2"/>
          </rPr>
          <t>Marcu, Mircea I.:</t>
        </r>
        <r>
          <rPr>
            <sz val="9"/>
            <color indexed="81"/>
            <rFont val="Tahoma"/>
            <family val="2"/>
          </rPr>
          <t xml:space="preserve">
Median 1st year resident salary acording to AAMC, inflated by assumed growth rate for 4 years</t>
        </r>
      </text>
    </comment>
    <comment ref="BE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BF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C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D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M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N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P11"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DX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Y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EA11"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EH11" authorId="0">
      <text>
        <r>
          <rPr>
            <b/>
            <sz val="9"/>
            <color indexed="81"/>
            <rFont val="Tahoma"/>
            <family val="2"/>
          </rPr>
          <t>Marcu, Mircea I.:</t>
        </r>
        <r>
          <rPr>
            <sz val="9"/>
            <color indexed="81"/>
            <rFont val="Tahoma"/>
            <family val="2"/>
          </rPr>
          <t xml:space="preserve">
I have not taken 6 month grace period after unsubsidized Stafford loans into account</t>
        </r>
      </text>
    </comment>
    <comment ref="JR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JS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AW12" authorId="0">
      <text>
        <r>
          <rPr>
            <b/>
            <sz val="9"/>
            <color indexed="81"/>
            <rFont val="Tahoma"/>
            <family val="2"/>
          </rPr>
          <t>Marcu, Mircea I.:</t>
        </r>
        <r>
          <rPr>
            <sz val="9"/>
            <color indexed="81"/>
            <rFont val="Tahoma"/>
            <family val="2"/>
          </rPr>
          <t xml:space="preserve">
Increase every year by 7% (growth rate + inflation historically). Perhaps 6% I suggested going forward.</t>
        </r>
      </text>
    </comment>
    <comment ref="BE12" authorId="0">
      <text>
        <r>
          <rPr>
            <b/>
            <sz val="9"/>
            <color indexed="81"/>
            <rFont val="Tahoma"/>
            <family val="2"/>
          </rPr>
          <t>Marcu, Mircea I.:</t>
        </r>
        <r>
          <rPr>
            <sz val="9"/>
            <color indexed="81"/>
            <rFont val="Tahoma"/>
            <family val="2"/>
          </rPr>
          <t xml:space="preserve">
This is the balance at the end of the 6m grace period. I am assuming that interest capitalizes only at the end of residency, a la Salie Mae, which is most advantageous for civilian alternatives.</t>
        </r>
      </text>
    </comment>
    <comment ref="JR12" authorId="0">
      <text>
        <r>
          <rPr>
            <b/>
            <sz val="9"/>
            <color indexed="81"/>
            <rFont val="Tahoma"/>
            <family val="2"/>
          </rPr>
          <t>Marcu, Mircea I.:</t>
        </r>
        <r>
          <rPr>
            <sz val="9"/>
            <color indexed="81"/>
            <rFont val="Tahoma"/>
            <family val="2"/>
          </rPr>
          <t xml:space="preserve">
This is the balance at the end of the 6m grace period. I am assuming that interest capitalizes only at the end of residency, a la Salie Mae, which is most advantageous for civilian alternatives.</t>
        </r>
      </text>
    </comment>
    <comment ref="CK15"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DM15" authorId="0">
      <text>
        <r>
          <rPr>
            <b/>
            <sz val="9"/>
            <color indexed="81"/>
            <rFont val="Tahoma"/>
            <family val="2"/>
          </rPr>
          <t>Marcu, Mircea I.:</t>
        </r>
        <r>
          <rPr>
            <sz val="9"/>
            <color indexed="81"/>
            <rFont val="Tahoma"/>
            <family val="2"/>
          </rPr>
          <t xml:space="preserve">
Partial Financial Hardship (PFH) ends this year, so accumulated accrued uncapitalized interest capitalizes.</t>
        </r>
      </text>
    </comment>
    <comment ref="E16" authorId="0">
      <text>
        <r>
          <rPr>
            <b/>
            <sz val="9"/>
            <color indexed="81"/>
            <rFont val="Tahoma"/>
            <family val="2"/>
          </rPr>
          <t>Marcu, Mircea I.:</t>
        </r>
        <r>
          <rPr>
            <sz val="9"/>
            <color indexed="81"/>
            <rFont val="Tahoma"/>
            <family val="2"/>
          </rPr>
          <t xml:space="preserve">
Service starts only after residency (both residencies in the case of cardiologists)</t>
        </r>
      </text>
    </comment>
    <comment ref="BC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H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R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U16"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EH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JP16"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AA19" authorId="0">
      <text>
        <r>
          <rPr>
            <b/>
            <sz val="9"/>
            <color indexed="81"/>
            <rFont val="Tahoma"/>
            <family val="2"/>
          </rPr>
          <t>Marcu, Mircea I.:</t>
        </r>
        <r>
          <rPr>
            <sz val="9"/>
            <color indexed="81"/>
            <rFont val="Tahoma"/>
            <family val="2"/>
          </rPr>
          <t xml:space="preserve">
End of 4 year service obligation for HPSP.</t>
        </r>
      </text>
    </comment>
    <comment ref="E22" authorId="0">
      <text>
        <r>
          <rPr>
            <b/>
            <sz val="9"/>
            <color indexed="81"/>
            <rFont val="Tahoma"/>
            <family val="2"/>
          </rPr>
          <t>Marcu, Mircea I.:</t>
        </r>
        <r>
          <rPr>
            <sz val="9"/>
            <color indexed="81"/>
            <rFont val="Tahoma"/>
            <family val="2"/>
          </rPr>
          <t xml:space="preserve">
Last of 7 years of military service obligation for USU</t>
        </r>
      </text>
    </comment>
    <comment ref="D31" authorId="0">
      <text>
        <r>
          <rPr>
            <b/>
            <sz val="9"/>
            <color indexed="81"/>
            <rFont val="Tahoma"/>
            <family val="2"/>
          </rPr>
          <t>Marcu, Mircea I.:</t>
        </r>
        <r>
          <rPr>
            <sz val="9"/>
            <color indexed="81"/>
            <rFont val="Tahoma"/>
            <family val="2"/>
          </rPr>
          <t xml:space="preserve">
After 20 years, the 4 years of USU medical school apply for pay computation</t>
        </r>
      </text>
    </comment>
    <comment ref="G31" authorId="0">
      <text>
        <r>
          <rPr>
            <b/>
            <sz val="9"/>
            <color indexed="81"/>
            <rFont val="Tahoma"/>
            <family val="2"/>
          </rPr>
          <t>Marcu, Mircea I.:</t>
        </r>
        <r>
          <rPr>
            <sz val="9"/>
            <color indexed="81"/>
            <rFont val="Tahoma"/>
            <family val="2"/>
          </rPr>
          <t xml:space="preserve">
Not sure here if jump in years of service for pay computation that increases BP leads to lower VSP</t>
        </r>
      </text>
    </comment>
    <comment ref="Z31" authorId="0">
      <text>
        <r>
          <rPr>
            <b/>
            <sz val="9"/>
            <color indexed="81"/>
            <rFont val="Tahoma"/>
            <family val="2"/>
          </rPr>
          <t>Marcu, Mircea I.:</t>
        </r>
        <r>
          <rPr>
            <sz val="9"/>
            <color indexed="81"/>
            <rFont val="Tahoma"/>
            <family val="2"/>
          </rPr>
          <t xml:space="preserve">
After 20 years, the 1.5 years of service from the medical school years apply for pay computation</t>
        </r>
      </text>
    </comment>
    <comment ref="AA32" authorId="0">
      <text>
        <r>
          <rPr>
            <b/>
            <sz val="9"/>
            <color indexed="81"/>
            <rFont val="Tahoma"/>
            <family val="2"/>
          </rPr>
          <t>Marcu, Mircea I.:</t>
        </r>
        <r>
          <rPr>
            <sz val="9"/>
            <color indexed="81"/>
            <rFont val="Tahoma"/>
            <family val="2"/>
          </rPr>
          <t xml:space="preserve">
O6&gt;20 for first 6 months, O6&gt;22 for last 6 months</t>
        </r>
      </text>
    </comment>
    <comment ref="AA34" authorId="0">
      <text>
        <r>
          <rPr>
            <b/>
            <sz val="9"/>
            <color indexed="81"/>
            <rFont val="Tahoma"/>
            <family val="2"/>
          </rPr>
          <t>Marcu, Mircea I.:</t>
        </r>
        <r>
          <rPr>
            <sz val="9"/>
            <color indexed="81"/>
            <rFont val="Tahoma"/>
            <family val="2"/>
          </rPr>
          <t xml:space="preserve">
O6&gt;22 for first 6 months, O6&gt;24 for last 6 months</t>
        </r>
      </text>
    </comment>
    <comment ref="AA36" authorId="0">
      <text>
        <r>
          <rPr>
            <b/>
            <sz val="9"/>
            <color indexed="81"/>
            <rFont val="Tahoma"/>
            <family val="2"/>
          </rPr>
          <t>Marcu, Mircea I.:</t>
        </r>
        <r>
          <rPr>
            <sz val="9"/>
            <color indexed="81"/>
            <rFont val="Tahoma"/>
            <family val="2"/>
          </rPr>
          <t xml:space="preserve">
O6&gt;24 for first 6 months, O6&gt;26 for last 6 months</t>
        </r>
      </text>
    </comment>
  </commentList>
</comments>
</file>

<file path=xl/comments6.xml><?xml version="1.0" encoding="utf-8"?>
<comments xmlns="http://schemas.openxmlformats.org/spreadsheetml/2006/main">
  <authors>
    <author>Marcu, Mircea I.</author>
  </authors>
  <commentList>
    <comment ref="AZ5" authorId="0">
      <text>
        <r>
          <rPr>
            <b/>
            <sz val="9"/>
            <color indexed="81"/>
            <rFont val="Tahoma"/>
            <family val="2"/>
          </rPr>
          <t>Marcu, Mircea I.:</t>
        </r>
        <r>
          <rPr>
            <sz val="9"/>
            <color indexed="81"/>
            <rFont val="Tahoma"/>
            <family val="2"/>
          </rPr>
          <t xml:space="preserve">
For PAYE and IBR calculations.</t>
        </r>
      </text>
    </comment>
    <comment ref="BD5" authorId="0">
      <text>
        <r>
          <rPr>
            <b/>
            <sz val="9"/>
            <color indexed="81"/>
            <rFont val="Tahoma"/>
            <family val="2"/>
          </rPr>
          <t>Marcu, Mircea I.:</t>
        </r>
        <r>
          <rPr>
            <sz val="9"/>
            <color indexed="81"/>
            <rFont val="Tahoma"/>
            <family val="2"/>
          </rPr>
          <t xml:space="preserve">
MedLoans calculator assumes two disbursements per year</t>
        </r>
      </text>
    </comment>
    <comment ref="EI5" authorId="0">
      <text>
        <r>
          <rPr>
            <b/>
            <sz val="9"/>
            <color indexed="81"/>
            <rFont val="Tahoma"/>
            <family val="2"/>
          </rPr>
          <t>Marcu, Mircea I.:</t>
        </r>
        <r>
          <rPr>
            <sz val="9"/>
            <color indexed="81"/>
            <rFont val="Tahoma"/>
            <family val="2"/>
          </rPr>
          <t xml:space="preserve">
MedLoans calculator assumes two disbursements per year</t>
        </r>
      </text>
    </comment>
    <comment ref="EQ5" authorId="0">
      <text>
        <r>
          <rPr>
            <b/>
            <sz val="9"/>
            <color indexed="81"/>
            <rFont val="Tahoma"/>
            <family val="2"/>
          </rPr>
          <t>Marcu, Mircea I.:</t>
        </r>
        <r>
          <rPr>
            <sz val="9"/>
            <color indexed="81"/>
            <rFont val="Tahoma"/>
            <family val="2"/>
          </rPr>
          <t xml:space="preserve">
Fed and state taxes will vary with the loan repayment scenario if income below 75000, but because I assume forbearance the first repayment year is when physician gets starting salary which is much higher than 75000 (even if 75k would be adjusted for growth rate).</t>
        </r>
      </text>
    </comment>
    <comment ref="D7" authorId="0">
      <text>
        <r>
          <rPr>
            <b/>
            <sz val="9"/>
            <color indexed="81"/>
            <rFont val="Tahoma"/>
            <family val="2"/>
          </rPr>
          <t>Marcu, Mircea I.:</t>
        </r>
        <r>
          <rPr>
            <sz val="9"/>
            <color indexed="81"/>
            <rFont val="Tahoma"/>
            <family val="2"/>
          </rPr>
          <t xml:space="preserve">
The 4 years of USU medical school count only after 20 years for pay calculation</t>
        </r>
      </text>
    </comment>
    <comment ref="Z7" authorId="0">
      <text>
        <r>
          <rPr>
            <b/>
            <sz val="9"/>
            <color indexed="81"/>
            <rFont val="Tahoma"/>
            <family val="2"/>
          </rPr>
          <t>Marcu, Mircea I.:</t>
        </r>
        <r>
          <rPr>
            <sz val="9"/>
            <color indexed="81"/>
            <rFont val="Tahoma"/>
            <family val="2"/>
          </rPr>
          <t xml:space="preserve">
The 1.5 years of service during HPSP medical school count only after 20 years for pay calculation</t>
        </r>
      </text>
    </comment>
    <comment ref="BD7" authorId="0">
      <text>
        <r>
          <rPr>
            <b/>
            <sz val="9"/>
            <color indexed="81"/>
            <rFont val="Tahoma"/>
            <family val="2"/>
          </rPr>
          <t>Marcu, Mircea I.:</t>
        </r>
        <r>
          <rPr>
            <sz val="9"/>
            <color indexed="81"/>
            <rFont val="Tahoma"/>
            <family val="2"/>
          </rPr>
          <t xml:space="preserve">
Median Debt of 175k for 2013 graduating class, 180k for 2014  includes undergraduate debt, but medical students borrow less than the full cost of attendance and spend some family money during medical school which cancels out with undergraduate debt,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
I revised the numbers to account for the shorter 9 months first two academic years, longer 11 months last two. Total is 40 months, so I divided the debt accordingly.
Perhaps not surprising, 9 months out of the total 40 from a total debt of 180k amounts exactly to 40500, the 9 month Stafford loan annual debt limit for medical students.</t>
        </r>
      </text>
    </comment>
    <comment ref="EI7" authorId="0">
      <text>
        <r>
          <rPr>
            <b/>
            <sz val="9"/>
            <color indexed="81"/>
            <rFont val="Tahoma"/>
            <family val="2"/>
          </rPr>
          <t>Marcu, Mircea I.:</t>
        </r>
        <r>
          <rPr>
            <sz val="9"/>
            <color indexed="81"/>
            <rFont val="Tahoma"/>
            <family val="2"/>
          </rPr>
          <t xml:space="preserve">
Median Debt of 175k for 2013 graduating class which includes undergraduate debt, but medical students borrow less than the full cost of attendance and spend some family money,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t>
        </r>
      </text>
    </comment>
    <comment ref="JQ7" authorId="0">
      <text>
        <r>
          <rPr>
            <b/>
            <sz val="9"/>
            <color indexed="81"/>
            <rFont val="Tahoma"/>
            <family val="2"/>
          </rPr>
          <t>Marcu, Mircea I.:</t>
        </r>
        <r>
          <rPr>
            <sz val="9"/>
            <color indexed="81"/>
            <rFont val="Tahoma"/>
            <family val="2"/>
          </rPr>
          <t xml:space="preserve">
Median Debt of 175k for 2013 graduating class, 180k for 2014  includes undergraduate debt, but medical students borrow less than the full cost of attendance and spend some family money during medical school which cancels out with undergraduate debt, hence median debt provides a good comparison to military careers according to Jay and Julie from AAMC. They also thought dividing by 4 would be accurate enough for the purpose of this study, without getting into the fact that more money is borrowed in latter years when school is longer due to clinical rotations.
I revised the numbers to account for the shorter 9 months first two academic years, longer 11 months last two. Total is 40 months, so I divided the debt accordingly.
Perhaps not surprising, 9 months out of the total 40 from a total debt of 180k amounts exactly to 40500, the 9 month Stafford loan annual debt limit for medical students.</t>
        </r>
      </text>
    </comment>
    <comment ref="BD8" authorId="0">
      <text>
        <r>
          <rPr>
            <b/>
            <sz val="9"/>
            <color indexed="81"/>
            <rFont val="Tahoma"/>
            <family val="2"/>
          </rPr>
          <t>Marcu, Mircea I.:</t>
        </r>
        <r>
          <rPr>
            <sz val="9"/>
            <color indexed="81"/>
            <rFont val="Tahoma"/>
            <family val="2"/>
          </rPr>
          <t xml:space="preserve">
$40,500 is the annual limit and 224,000 is the cumulative limit on Stafford Loans for medical school. These are limits for 9 month school years. If someone were enrolled in a 12 month school year, the limit would be greater ($47,167). See http://www.staffordloan.com/stafford-loan-info/stafford-loan-limits.php .
The first two academic years are shorter, 9 month years. The last two include clinical rotations and are 11 months. Total 40 months.</t>
        </r>
      </text>
    </comment>
    <comment ref="JQ8" authorId="0">
      <text>
        <r>
          <rPr>
            <b/>
            <sz val="9"/>
            <color indexed="81"/>
            <rFont val="Tahoma"/>
            <family val="2"/>
          </rPr>
          <t>Marcu, Mircea I.:</t>
        </r>
        <r>
          <rPr>
            <sz val="9"/>
            <color indexed="81"/>
            <rFont val="Tahoma"/>
            <family val="2"/>
          </rPr>
          <t xml:space="preserve">
$40,500 is the annual limit and 224,000 is the cumulative limit on Stafford Loans for medical school. These are limits for 9 month school years. If someone were enrolled in a 12 month school year, the limit would be greater ($47,167). See http://www.staffordloan.com/stafford-loan-info/stafford-loan-limits.php .
The first two academic years are shorter, 9 month years. The last two include clinical rotations and are 11 months. Total 40 months.</t>
        </r>
      </text>
    </comment>
    <comment ref="EL10" authorId="0">
      <text>
        <r>
          <rPr>
            <b/>
            <sz val="9"/>
            <color indexed="81"/>
            <rFont val="Tahoma"/>
            <family val="2"/>
          </rPr>
          <t>Marcu, Mircea I.:</t>
        </r>
        <r>
          <rPr>
            <sz val="9"/>
            <color indexed="81"/>
            <rFont val="Tahoma"/>
            <family val="2"/>
          </rPr>
          <t xml:space="preserve">
According to AAMC, total balance including accrued interest is $201600 at the end of Med school.</t>
        </r>
      </text>
    </comment>
    <comment ref="AW11" authorId="0">
      <text>
        <r>
          <rPr>
            <b/>
            <sz val="9"/>
            <color indexed="81"/>
            <rFont val="Tahoma"/>
            <family val="2"/>
          </rPr>
          <t>Marcu, Mircea I.:</t>
        </r>
        <r>
          <rPr>
            <sz val="9"/>
            <color indexed="81"/>
            <rFont val="Tahoma"/>
            <family val="2"/>
          </rPr>
          <t xml:space="preserve">
Median 1st year resident salary acording to AAMC, inflated by assumed growth rate for 4 years</t>
        </r>
      </text>
    </comment>
    <comment ref="BE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BF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C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D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M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N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DP11"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DX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DY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EA11"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EH11" authorId="0">
      <text>
        <r>
          <rPr>
            <b/>
            <sz val="9"/>
            <color indexed="81"/>
            <rFont val="Tahoma"/>
            <family val="2"/>
          </rPr>
          <t>Marcu, Mircea I.:</t>
        </r>
        <r>
          <rPr>
            <sz val="9"/>
            <color indexed="81"/>
            <rFont val="Tahoma"/>
            <family val="2"/>
          </rPr>
          <t xml:space="preserve">
I have not taken 6 month grace period after unsubsidized Stafford loans into account</t>
        </r>
      </text>
    </comment>
    <comment ref="JR11" authorId="0">
      <text>
        <r>
          <rPr>
            <b/>
            <sz val="9"/>
            <color indexed="81"/>
            <rFont val="Tahoma"/>
            <family val="2"/>
          </rPr>
          <t>Marcu, Mircea I.:</t>
        </r>
        <r>
          <rPr>
            <sz val="9"/>
            <color indexed="81"/>
            <rFont val="Tahoma"/>
            <family val="2"/>
          </rPr>
          <t xml:space="preserve">
Capitalization occurs at the end of medical school after the 6m  grace period, so in the middle of this year (in winter, December most likely from what I have read, since students enter medical school in summer). </t>
        </r>
      </text>
    </comment>
    <comment ref="JS11" authorId="0">
      <text>
        <r>
          <rPr>
            <b/>
            <sz val="9"/>
            <color indexed="81"/>
            <rFont val="Tahoma"/>
            <family val="2"/>
          </rPr>
          <t>Marcu, Mircea I.:</t>
        </r>
        <r>
          <rPr>
            <sz val="9"/>
            <color indexed="81"/>
            <rFont val="Tahoma"/>
            <family val="2"/>
          </rPr>
          <t xml:space="preserve">
Interest on uncapitalized debt for first 6m, then interest on loan balance at the end of the 6 m grace period when interest capitalizes.</t>
        </r>
      </text>
    </comment>
    <comment ref="AW12" authorId="0">
      <text>
        <r>
          <rPr>
            <b/>
            <sz val="9"/>
            <color indexed="81"/>
            <rFont val="Tahoma"/>
            <family val="2"/>
          </rPr>
          <t>Marcu, Mircea I.:</t>
        </r>
        <r>
          <rPr>
            <sz val="9"/>
            <color indexed="81"/>
            <rFont val="Tahoma"/>
            <family val="2"/>
          </rPr>
          <t xml:space="preserve">
Increase every year by 7% (growth rate + inflation historically). Perhaps 6% I suggested going forward.</t>
        </r>
      </text>
    </comment>
    <comment ref="BE12" authorId="0">
      <text>
        <r>
          <rPr>
            <b/>
            <sz val="9"/>
            <color indexed="81"/>
            <rFont val="Tahoma"/>
            <family val="2"/>
          </rPr>
          <t>Marcu, Mircea I.:</t>
        </r>
        <r>
          <rPr>
            <sz val="9"/>
            <color indexed="81"/>
            <rFont val="Tahoma"/>
            <family val="2"/>
          </rPr>
          <t xml:space="preserve">
This is the balance at the end of the 6m grace period. I am assuming that interest capitalizes only at the end of residency, a la Salie Mae, which is most advantageous for civilian alternatives.</t>
        </r>
      </text>
    </comment>
    <comment ref="JR12" authorId="0">
      <text>
        <r>
          <rPr>
            <b/>
            <sz val="9"/>
            <color indexed="81"/>
            <rFont val="Tahoma"/>
            <family val="2"/>
          </rPr>
          <t>Marcu, Mircea I.:</t>
        </r>
        <r>
          <rPr>
            <sz val="9"/>
            <color indexed="81"/>
            <rFont val="Tahoma"/>
            <family val="2"/>
          </rPr>
          <t xml:space="preserve">
This is the balance at the end of the 6m grace period. I am assuming that interest capitalizes only at the end of residency, a la Salie Mae, which is most advantageous for civilian alternatives.</t>
        </r>
      </text>
    </comment>
    <comment ref="E15" authorId="0">
      <text>
        <r>
          <rPr>
            <b/>
            <sz val="9"/>
            <color indexed="81"/>
            <rFont val="Tahoma"/>
            <family val="2"/>
          </rPr>
          <t>Marcu, Mircea I.:</t>
        </r>
        <r>
          <rPr>
            <sz val="9"/>
            <color indexed="81"/>
            <rFont val="Tahoma"/>
            <family val="2"/>
          </rPr>
          <t xml:space="preserve">
Service starts only after residency (both residencies in the case of cardiologists)</t>
        </r>
      </text>
    </comment>
    <comment ref="BC15"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BX15"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H15"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K15"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CR15"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CU15" authorId="0">
      <text>
        <r>
          <rPr>
            <b/>
            <sz val="9"/>
            <color indexed="81"/>
            <rFont val="Tahoma"/>
            <family val="2"/>
          </rPr>
          <t>Marcu, Mircea I.:</t>
        </r>
        <r>
          <rPr>
            <sz val="9"/>
            <color indexed="81"/>
            <rFont val="Tahoma"/>
            <family val="2"/>
          </rPr>
          <t xml:space="preserve">
Eligibility is checked in the IF statement based on the initial discretionary income when beginning repayment</t>
        </r>
      </text>
    </comment>
    <comment ref="DM15" authorId="0">
      <text>
        <r>
          <rPr>
            <b/>
            <sz val="9"/>
            <color indexed="81"/>
            <rFont val="Tahoma"/>
            <family val="2"/>
          </rPr>
          <t>Marcu, Mircea I.:</t>
        </r>
        <r>
          <rPr>
            <sz val="9"/>
            <color indexed="81"/>
            <rFont val="Tahoma"/>
            <family val="2"/>
          </rPr>
          <t xml:space="preserve">
Partial Financial Hardship (PFH) ends this year, so accumulated accrued uncapitalized interest capitalizes.</t>
        </r>
      </text>
    </comment>
    <comment ref="EH15"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JP15" authorId="0">
      <text>
        <r>
          <rPr>
            <b/>
            <sz val="9"/>
            <color indexed="81"/>
            <rFont val="Tahoma"/>
            <family val="2"/>
          </rPr>
          <t>Marcu, Mircea I.:</t>
        </r>
        <r>
          <rPr>
            <sz val="9"/>
            <color indexed="81"/>
            <rFont val="Tahoma"/>
            <family val="2"/>
          </rPr>
          <t xml:space="preserve">
According to AAMC, capitation usually occurs at the end of the forbearance period, though the regulations allow it to occur every quarter during forbearance.</t>
        </r>
      </text>
    </comment>
    <comment ref="AA18" authorId="0">
      <text>
        <r>
          <rPr>
            <b/>
            <sz val="9"/>
            <color indexed="81"/>
            <rFont val="Tahoma"/>
            <family val="2"/>
          </rPr>
          <t>Marcu, Mircea I.:</t>
        </r>
        <r>
          <rPr>
            <sz val="9"/>
            <color indexed="81"/>
            <rFont val="Tahoma"/>
            <family val="2"/>
          </rPr>
          <t xml:space="preserve">
End of 4 year service obligation for HPSP.</t>
        </r>
      </text>
    </comment>
    <comment ref="E21" authorId="0">
      <text>
        <r>
          <rPr>
            <b/>
            <sz val="9"/>
            <color indexed="81"/>
            <rFont val="Tahoma"/>
            <family val="2"/>
          </rPr>
          <t>Marcu, Mircea I.:</t>
        </r>
        <r>
          <rPr>
            <sz val="9"/>
            <color indexed="81"/>
            <rFont val="Tahoma"/>
            <family val="2"/>
          </rPr>
          <t xml:space="preserve">
Last of 7 years of military service obligation for USU</t>
        </r>
      </text>
    </comment>
    <comment ref="D31" authorId="0">
      <text>
        <r>
          <rPr>
            <b/>
            <sz val="9"/>
            <color indexed="81"/>
            <rFont val="Tahoma"/>
            <family val="2"/>
          </rPr>
          <t>Marcu, Mircea I.:</t>
        </r>
        <r>
          <rPr>
            <sz val="9"/>
            <color indexed="81"/>
            <rFont val="Tahoma"/>
            <family val="2"/>
          </rPr>
          <t xml:space="preserve">
After 20 years, the 4 years of USU medical school apply for pay computation</t>
        </r>
      </text>
    </comment>
    <comment ref="G31" authorId="0">
      <text>
        <r>
          <rPr>
            <b/>
            <sz val="9"/>
            <color indexed="81"/>
            <rFont val="Tahoma"/>
            <family val="2"/>
          </rPr>
          <t>Marcu, Mircea I.:</t>
        </r>
        <r>
          <rPr>
            <sz val="9"/>
            <color indexed="81"/>
            <rFont val="Tahoma"/>
            <family val="2"/>
          </rPr>
          <t xml:space="preserve">
Not sure here if jump in years of service for pay computation that increases BP leads to lower VSP</t>
        </r>
      </text>
    </comment>
    <comment ref="Z31" authorId="0">
      <text>
        <r>
          <rPr>
            <b/>
            <sz val="9"/>
            <color indexed="81"/>
            <rFont val="Tahoma"/>
            <family val="2"/>
          </rPr>
          <t>Marcu, Mircea I.:</t>
        </r>
        <r>
          <rPr>
            <sz val="9"/>
            <color indexed="81"/>
            <rFont val="Tahoma"/>
            <family val="2"/>
          </rPr>
          <t xml:space="preserve">
After 20 years, the 1.5 years of service from the medical school years apply for pay computation</t>
        </r>
      </text>
    </comment>
    <comment ref="AA32" authorId="0">
      <text>
        <r>
          <rPr>
            <b/>
            <sz val="9"/>
            <color indexed="81"/>
            <rFont val="Tahoma"/>
            <family val="2"/>
          </rPr>
          <t>Marcu, Mircea I.:</t>
        </r>
        <r>
          <rPr>
            <sz val="9"/>
            <color indexed="81"/>
            <rFont val="Tahoma"/>
            <family val="2"/>
          </rPr>
          <t xml:space="preserve">
O6&gt;20 for first 6 months, O6&gt;22 for last 6 months</t>
        </r>
      </text>
    </comment>
    <comment ref="AA34" authorId="0">
      <text>
        <r>
          <rPr>
            <b/>
            <sz val="9"/>
            <color indexed="81"/>
            <rFont val="Tahoma"/>
            <family val="2"/>
          </rPr>
          <t>Marcu, Mircea I.:</t>
        </r>
        <r>
          <rPr>
            <sz val="9"/>
            <color indexed="81"/>
            <rFont val="Tahoma"/>
            <family val="2"/>
          </rPr>
          <t xml:space="preserve">
O6&gt;22 for first 6 months, O6&gt;24 for last 6 months</t>
        </r>
      </text>
    </comment>
    <comment ref="AA36" authorId="0">
      <text>
        <r>
          <rPr>
            <b/>
            <sz val="9"/>
            <color indexed="81"/>
            <rFont val="Tahoma"/>
            <family val="2"/>
          </rPr>
          <t>Marcu, Mircea I.:</t>
        </r>
        <r>
          <rPr>
            <sz val="9"/>
            <color indexed="81"/>
            <rFont val="Tahoma"/>
            <family val="2"/>
          </rPr>
          <t xml:space="preserve">
O6&gt;24 for first 6 months, O6&gt;26 for last 6 months</t>
        </r>
      </text>
    </comment>
  </commentList>
</comments>
</file>

<file path=xl/sharedStrings.xml><?xml version="1.0" encoding="utf-8"?>
<sst xmlns="http://schemas.openxmlformats.org/spreadsheetml/2006/main" count="5442" uniqueCount="555">
  <si>
    <t>Med School</t>
  </si>
  <si>
    <t>Residency</t>
  </si>
  <si>
    <t>Year</t>
  </si>
  <si>
    <t>Health Professions Scholarship Program</t>
  </si>
  <si>
    <t>Uniformed Sevices University</t>
  </si>
  <si>
    <t>General Surgery</t>
  </si>
  <si>
    <t>Cardiology</t>
  </si>
  <si>
    <t>HPSP</t>
  </si>
  <si>
    <t>USU</t>
  </si>
  <si>
    <t>Inflation</t>
  </si>
  <si>
    <t>Med School (O1&gt; 2 yrs)</t>
  </si>
  <si>
    <t>Internal Medicine</t>
  </si>
  <si>
    <r>
      <t>Internship/Residency (O3&lt;=2 = (BP+BAH+BAS</t>
    </r>
    <r>
      <rPr>
        <sz val="9"/>
        <color rgb="FFFF0000"/>
        <rFont val="Calibri"/>
        <family val="2"/>
        <scheme val="minor"/>
      </rPr>
      <t>+VSP)*12</t>
    </r>
    <r>
      <rPr>
        <sz val="9"/>
        <color theme="1"/>
        <rFont val="Calibri"/>
        <family val="2"/>
        <scheme val="minor"/>
      </rPr>
      <t>)</t>
    </r>
  </si>
  <si>
    <t>Med School (O1 &gt; 3 yrs)</t>
  </si>
  <si>
    <t>Stafford + Other loan if needed</t>
  </si>
  <si>
    <t>Med School (O1&lt;=2 yrs)</t>
  </si>
  <si>
    <t>IBR</t>
  </si>
  <si>
    <t>Scenario</t>
  </si>
  <si>
    <t>Service (O3&gt;3 = (BP+BAH+BAS+VSP+BCPSP)*12)+ASP</t>
  </si>
  <si>
    <t>Service (O3&gt;4 = (BP+BAH+BAS+VSP+BCPSP)*12)+ASP</t>
  </si>
  <si>
    <t>Service (O4&gt;6 = (BP+BAH+BAS+VSP+BCPSP)*12)+ASP</t>
  </si>
  <si>
    <t>Service (O4&gt;8 = (BP+BAH+BAS+VSP+BCPSP)*12)+ASP</t>
  </si>
  <si>
    <r>
      <t>Multi-Year (O4&gt;10 = (BP+BAH+BAS+VSP+BCPSP)*12+ASP+ISP</t>
    </r>
    <r>
      <rPr>
        <sz val="9"/>
        <color rgb="FFFF0000"/>
        <rFont val="Calibri"/>
        <family val="2"/>
        <scheme val="minor"/>
      </rPr>
      <t>+MSP</t>
    </r>
    <r>
      <rPr>
        <sz val="9"/>
        <color theme="1"/>
        <rFont val="Calibri"/>
        <family val="2"/>
        <scheme val="minor"/>
      </rPr>
      <t>)</t>
    </r>
  </si>
  <si>
    <r>
      <t>Multi-Year (O5&gt;12 = (BP+BAH+BAS+VSP+BCPSP)*12+ASP+ISP</t>
    </r>
    <r>
      <rPr>
        <sz val="9"/>
        <color rgb="FFFF0000"/>
        <rFont val="Calibri"/>
        <family val="2"/>
        <scheme val="minor"/>
      </rPr>
      <t>+MSP</t>
    </r>
    <r>
      <rPr>
        <sz val="9"/>
        <color theme="1"/>
        <rFont val="Calibri"/>
        <family val="2"/>
        <scheme val="minor"/>
      </rPr>
      <t>)</t>
    </r>
  </si>
  <si>
    <r>
      <t>Multi-Year (O5&gt;14 = (BP+BAH+BAS+VSP+BCPSP)*12+ASP+ISP</t>
    </r>
    <r>
      <rPr>
        <sz val="9"/>
        <color rgb="FFFF0000"/>
        <rFont val="Calibri"/>
        <family val="2"/>
        <scheme val="minor"/>
      </rPr>
      <t>+MSP</t>
    </r>
    <r>
      <rPr>
        <sz val="9"/>
        <color theme="1"/>
        <rFont val="Calibri"/>
        <family val="2"/>
        <scheme val="minor"/>
      </rPr>
      <t>)</t>
    </r>
  </si>
  <si>
    <t>INPUT DATA COMMON FOR ALL WORKSHEETS</t>
  </si>
  <si>
    <t>Pay Grade</t>
  </si>
  <si>
    <t>2 or less</t>
  </si>
  <si>
    <t>Over 2</t>
  </si>
  <si>
    <t>Over 3</t>
  </si>
  <si>
    <t>Over 4</t>
  </si>
  <si>
    <t>Over 6</t>
  </si>
  <si>
    <t>Over 8</t>
  </si>
  <si>
    <t>Over 10</t>
  </si>
  <si>
    <t>Over 12</t>
  </si>
  <si>
    <t>Over 14</t>
  </si>
  <si>
    <t>Over 16</t>
  </si>
  <si>
    <t>Over 18</t>
  </si>
  <si>
    <t>O8</t>
  </si>
  <si>
    <t>O7</t>
  </si>
  <si>
    <t>O6</t>
  </si>
  <si>
    <t>O5</t>
  </si>
  <si>
    <t>O4</t>
  </si>
  <si>
    <t>O3</t>
  </si>
  <si>
    <t>O2</t>
  </si>
  <si>
    <t>O1</t>
  </si>
  <si>
    <t>W/ D</t>
  </si>
  <si>
    <t>W/o D</t>
  </si>
  <si>
    <t>Washington, DC</t>
  </si>
  <si>
    <t>Over 20</t>
  </si>
  <si>
    <t>Over 22</t>
  </si>
  <si>
    <t>Over 24</t>
  </si>
  <si>
    <t>Over 26</t>
  </si>
  <si>
    <t>Over 28</t>
  </si>
  <si>
    <t>Over 30</t>
  </si>
  <si>
    <t>Over 32</t>
  </si>
  <si>
    <t>Over 34</t>
  </si>
  <si>
    <t>Over 36</t>
  </si>
  <si>
    <t>Over 38</t>
  </si>
  <si>
    <t>Over 40</t>
  </si>
  <si>
    <t>Thru O6</t>
  </si>
  <si>
    <t>Above O6</t>
  </si>
  <si>
    <t>Under 3</t>
  </si>
  <si>
    <t>[3-6)</t>
  </si>
  <si>
    <t>[6-8)</t>
  </si>
  <si>
    <t>[8-10)</t>
  </si>
  <si>
    <t>[10-12)</t>
  </si>
  <si>
    <t>[12-14)</t>
  </si>
  <si>
    <t>[14-18)</t>
  </si>
  <si>
    <t>[18-22)</t>
  </si>
  <si>
    <t>22 and Over</t>
  </si>
  <si>
    <t>Intern</t>
  </si>
  <si>
    <t>All Grades</t>
  </si>
  <si>
    <t>Under 10</t>
  </si>
  <si>
    <t>18 and Over</t>
  </si>
  <si>
    <t>Officers (all grades)</t>
  </si>
  <si>
    <t>Specialty</t>
  </si>
  <si>
    <t>Annual Amount</t>
  </si>
  <si>
    <t>One year ISP without MSP</t>
  </si>
  <si>
    <t>One year ISP with MSP</t>
  </si>
  <si>
    <t>2 year contract</t>
  </si>
  <si>
    <t>3 year contract</t>
  </si>
  <si>
    <t>4 year contract</t>
  </si>
  <si>
    <t>All Eligibles</t>
  </si>
  <si>
    <t>Additional Special Pay (ASP), 2013, annual, taxable</t>
  </si>
  <si>
    <t>Variable Special Pay (VSP), 2013, monthly, taxable</t>
  </si>
  <si>
    <t>Board Certified Pay Special Pay (BCPSP), 2013, monthly, taxable</t>
  </si>
  <si>
    <t>Incentive Special Pay (ISP), annual, taxable</t>
  </si>
  <si>
    <t>Multiyear Special Pay (MSP), annual, taxable</t>
  </si>
  <si>
    <t>Pay Grades</t>
  </si>
  <si>
    <t>Basic Allowance for Subsistence (BAS), 2013, monthly, non-taxable</t>
  </si>
  <si>
    <t>Military Pay Growth Rate</t>
  </si>
  <si>
    <t>Stafford Loan Rate</t>
  </si>
  <si>
    <t>Basic Allowance for Housing (BAH), 2013, monthly, non-taxable</t>
  </si>
  <si>
    <t>Basic Pay (BP) Effective Jan 1, 2013, monthly, taxable</t>
  </si>
  <si>
    <t>FICA</t>
  </si>
  <si>
    <t>State Tax</t>
  </si>
  <si>
    <t>HPSP Taxable Earnings</t>
  </si>
  <si>
    <t>HPSP Non-Taxable Earnings</t>
  </si>
  <si>
    <t>HPSP Total Gross Earnings</t>
  </si>
  <si>
    <t>MILITARY SPECIALTY SPECIFIC INPUT DATA</t>
  </si>
  <si>
    <t>MILITARY PAY CONSTANT ACROSS SPECIALTIES</t>
  </si>
  <si>
    <t>Uniformed Sevices University (USU)</t>
  </si>
  <si>
    <t>Health Professions Scholarship Program (HPSP</t>
  </si>
  <si>
    <t>HEALTH PROFESSIONS SCHOLARSHIP PROGRAM (HPSP)</t>
  </si>
  <si>
    <t>Stipend, 2013, monthly, taxable but not subject to FICA</t>
  </si>
  <si>
    <t>Assumed to be the same during all medical school years</t>
  </si>
  <si>
    <t>Signing Bonus</t>
  </si>
  <si>
    <t>1st year only</t>
  </si>
  <si>
    <t>Private Practice</t>
  </si>
  <si>
    <t>FEDERAL GUARANTEED LOANS</t>
  </si>
  <si>
    <t>Median Stipend</t>
  </si>
  <si>
    <t>Resident/Fellow Stipends, 2013</t>
  </si>
  <si>
    <t>Approximate Monthly Payment</t>
  </si>
  <si>
    <t>PAYE</t>
  </si>
  <si>
    <t>1st Post-MD Year</t>
  </si>
  <si>
    <t>2nd Post-MD Year</t>
  </si>
  <si>
    <t>3rd Post-MD Year</t>
  </si>
  <si>
    <t>4th Post-MD Year</t>
  </si>
  <si>
    <t>Median Salary</t>
  </si>
  <si>
    <t>Median Starting Salary, 2013</t>
  </si>
  <si>
    <t>Fed Income Tax</t>
  </si>
  <si>
    <t>Last year it was 1%, the previous year it was 1.7%</t>
  </si>
  <si>
    <t>Will be "variable fixed" starting next year (adjusted 1 July every year, remains fixed afterwards for duration of loan)</t>
  </si>
  <si>
    <t>Real Discount Rate</t>
  </si>
  <si>
    <t>From the US Panel on Cost Effectiveness in Health and Medicine recommendation. EPA cites 1, 3, 5, 7% as ranges.</t>
  </si>
  <si>
    <t>AAMC assumed 3% annual rate of inflation, but there is strong deflationary pressure and the Fed target is at 2%</t>
  </si>
  <si>
    <t>AAMC assumed 1.2% annual increase above inflation but that is based on historical data during a period of fast health expense increases</t>
  </si>
  <si>
    <t xml:space="preserve">For families/households with more than 8 persons, add $4,020 for each additional person. </t>
  </si>
  <si>
    <t>Persons in Family / Household</t>
  </si>
  <si>
    <t>Poverty Guideline</t>
  </si>
  <si>
    <t>Federal Poverty Guidelines, 2013 (Contiguous US States)</t>
  </si>
  <si>
    <t>Accrued Interest</t>
  </si>
  <si>
    <t>End of Year Loan Balance</t>
  </si>
  <si>
    <t>Amount Borrowed (at the beginning of the year)</t>
  </si>
  <si>
    <t>Federal Poverty Level</t>
  </si>
  <si>
    <t>Median Student Debt</t>
  </si>
  <si>
    <t>Loan Timeline</t>
  </si>
  <si>
    <t>Standard Loan Repayment (10 years)</t>
  </si>
  <si>
    <t>150% FPL</t>
  </si>
  <si>
    <t>Forbearance</t>
  </si>
  <si>
    <t>Repayment</t>
  </si>
  <si>
    <t>Grace/Forbearance</t>
  </si>
  <si>
    <t>Borrow</t>
  </si>
  <si>
    <t>Capitalization/Repayment</t>
  </si>
  <si>
    <t>Federal Poverty Level Growth Rate</t>
  </si>
  <si>
    <t>Principal (beginning of year)</t>
  </si>
  <si>
    <t>Monthly</t>
  </si>
  <si>
    <t>According to AAMC, it has been 7% per year (includes real growth + inflation)</t>
  </si>
  <si>
    <t>Amount Borrowed Growth Rate</t>
  </si>
  <si>
    <t>Resident Pay Growth (after 1st year of residency)</t>
  </si>
  <si>
    <t>Annual growth rate of amount borrowed during medical school. I assume it is similar to inflation, and it actually is I think median debt does increase at about 2%)</t>
  </si>
  <si>
    <t>Growth rate of physician starting salary between 2013 and 2020, during medical school and residency</t>
  </si>
  <si>
    <t>TAXSIM assumes 2.5% growth in tax parameters after 2013, but I think it's because of historical inflation. I will use 2%, the current inflation target.</t>
  </si>
  <si>
    <t>1st Year Resident Pay Growth Rate while in medical school (2013 to 2017) for civilians</t>
  </si>
  <si>
    <t>Physician starting salary growth rate (Civilian,  between 2013 and 2020)</t>
  </si>
  <si>
    <t>Taxable Gross Earnings in 2013 USD</t>
  </si>
  <si>
    <t>Effective Tax Rate</t>
  </si>
  <si>
    <t>FGL Total After Tax Earnings in 2013 USD</t>
  </si>
  <si>
    <t>Net Pay in 2013 USD</t>
  </si>
  <si>
    <t>Loan Payment PAYE in 2013 USD</t>
  </si>
  <si>
    <t>PV of Net Pay (Discounted)</t>
  </si>
  <si>
    <t>USU Taxable Gross Earnings in 2013 USD</t>
  </si>
  <si>
    <t>USU Non-Taxable Gross Earnings in 2013 USD</t>
  </si>
  <si>
    <t>Effective Tax Rate out of taxable portion</t>
  </si>
  <si>
    <t>USU Total After Tax Earnings in 2013 USD</t>
  </si>
  <si>
    <t>PV of USU After Tax Earnings</t>
  </si>
  <si>
    <t>NPV of USU Cash Flow (cumulative)</t>
  </si>
  <si>
    <t>HPSP Taxable Gross Earnings in 2013 USD</t>
  </si>
  <si>
    <t>HPSP Non-Taxable Gross Earnings in 2013 USD</t>
  </si>
  <si>
    <t>HPSP Total After Tax Earnings in 2013 USD</t>
  </si>
  <si>
    <t>PV of HPSP After Tax Earnings</t>
  </si>
  <si>
    <t>NPV of HPSP Cash Flow (cumulative)</t>
  </si>
  <si>
    <t>Year (calendar)</t>
  </si>
  <si>
    <t>NPV of PAYE cash flow (cumulative)</t>
  </si>
  <si>
    <t>Loan Payment PAYE (Pay As You Earn)</t>
  </si>
  <si>
    <t>Non-Taxable Gross Earnings in 2013 USD</t>
  </si>
  <si>
    <t>Orthopedics</t>
  </si>
  <si>
    <r>
      <t>Multi-Year (O5&gt;16 = (BP+BAH+BAS+VSP+BCPSP)*12+ASP+ISP</t>
    </r>
    <r>
      <rPr>
        <sz val="9"/>
        <color rgb="FFFF0000"/>
        <rFont val="Calibri"/>
        <family val="2"/>
        <scheme val="minor"/>
      </rPr>
      <t>+MSP</t>
    </r>
    <r>
      <rPr>
        <sz val="9"/>
        <color theme="1"/>
        <rFont val="Calibri"/>
        <family val="2"/>
        <scheme val="minor"/>
      </rPr>
      <t>)</t>
    </r>
  </si>
  <si>
    <r>
      <t>Multi-Year (O6&gt;18= (BP+BAH+BAS+VSP+BCPSP)*12+ASP+ISP</t>
    </r>
    <r>
      <rPr>
        <sz val="9"/>
        <color rgb="FFFF0000"/>
        <rFont val="Calibri"/>
        <family val="2"/>
        <scheme val="minor"/>
      </rPr>
      <t>+MSP</t>
    </r>
    <r>
      <rPr>
        <sz val="9"/>
        <color theme="1"/>
        <rFont val="Calibri"/>
        <family val="2"/>
        <scheme val="minor"/>
      </rPr>
      <t>)</t>
    </r>
  </si>
  <si>
    <t>Years of military service (at end of year)</t>
  </si>
  <si>
    <r>
      <t>Multi-Year (O6&gt;24 = (BP+BAH+BAS+VSP+BCPSP)*12+ASP+ISP</t>
    </r>
    <r>
      <rPr>
        <sz val="9"/>
        <color rgb="FFFF0000"/>
        <rFont val="Calibri"/>
        <family val="2"/>
        <scheme val="minor"/>
      </rPr>
      <t>+MSP</t>
    </r>
    <r>
      <rPr>
        <sz val="9"/>
        <color theme="1"/>
        <rFont val="Calibri"/>
        <family val="2"/>
        <scheme val="minor"/>
      </rPr>
      <t>)</t>
    </r>
  </si>
  <si>
    <r>
      <t>Multi-Year (O6&gt;26 = (BP+BAH+BAS+VSP+BCPSP)*12+ASP+ISP</t>
    </r>
    <r>
      <rPr>
        <sz val="9"/>
        <color rgb="FFFF0000"/>
        <rFont val="Calibri"/>
        <family val="2"/>
        <scheme val="minor"/>
      </rPr>
      <t>+MSP</t>
    </r>
    <r>
      <rPr>
        <sz val="9"/>
        <color theme="1"/>
        <rFont val="Calibri"/>
        <family val="2"/>
        <scheme val="minor"/>
      </rPr>
      <t>)</t>
    </r>
  </si>
  <si>
    <t>Time</t>
  </si>
  <si>
    <t>USU Taxable Earnings (from 2013 military pay table unchanged)</t>
  </si>
  <si>
    <t>USU Non-Taxable Earnings (from 2013 military pay table unchanged)</t>
  </si>
  <si>
    <t>USU Total Gross Earnings (from 2013 military pay table unchanged)</t>
  </si>
  <si>
    <t>HPSP Taxable Earnings (from 2013 military  pay table unchanged)</t>
  </si>
  <si>
    <t>HPSP Non-Taxable Earnings (from 2013 military pay table unchanged)</t>
  </si>
  <si>
    <t>HPSP Total Gross Earnings (from 2013 military pay table unchanged)</t>
  </si>
  <si>
    <t>PSLF</t>
  </si>
  <si>
    <t>Annual</t>
  </si>
  <si>
    <t>FGL Taxable Gross Earnings (current, that is, respective year USD)</t>
  </si>
  <si>
    <t>FGL Non-Taxable Gross Earnings (current, that is, respective year USD)</t>
  </si>
  <si>
    <t>FGL Total Gross Earnings (current, that is, respective year USD)</t>
  </si>
  <si>
    <t>fedtax</t>
  </si>
  <si>
    <t>fica2</t>
  </si>
  <si>
    <t>statetax</t>
  </si>
  <si>
    <t>Federally Guaranteed Loans (FGL) Standard Loan Repayment (10 years)</t>
  </si>
  <si>
    <t>Loan Payment Standard 10 years (Annuity formula)</t>
  </si>
  <si>
    <t>Loan Payment STD in 2013 USD</t>
  </si>
  <si>
    <t>NPV of STD10 cash flow (cumulative)</t>
  </si>
  <si>
    <t>Loan Payment EXT in 2013 USD</t>
  </si>
  <si>
    <t>Federally Guaranteed Loans (FGL) Extended Loan Repayment (EXT) (25 years)</t>
  </si>
  <si>
    <t>Loan Payment Extended 25 years (Annuity formula)</t>
  </si>
  <si>
    <t>NPV of EXT cash flow (cumulative)</t>
  </si>
  <si>
    <t>Loan Payment IBR (Annuity formula)</t>
  </si>
  <si>
    <t>NPV of IBR cash flow (cumulative)</t>
  </si>
  <si>
    <t>Federally Guaranteed Loans (FGL) Income Based Repayment (IBR) (if qualified)</t>
  </si>
  <si>
    <t>Loan Payment IBR in 2013 USD</t>
  </si>
  <si>
    <t>THESE NO LONGER APPLY SINCE I COMPUTED THE STANDARD 10 YEAR REPAYMENT MYSELF BEGINNING WITH VERSION 19</t>
  </si>
  <si>
    <t>Service (O4&gt;6 = (BP+BAH+BAS+VSP+BCPSP)*12+ASP)</t>
  </si>
  <si>
    <t>Service (O4&gt;8 = (BP+BAH+BAS+VSP+BCPSP)*12+ASP)</t>
  </si>
  <si>
    <t>Service (O4&gt;10 = (BP+BAH+BAS+VSP+BCPSP)*12+ASP)</t>
  </si>
  <si>
    <t>STD10</t>
  </si>
  <si>
    <t xml:space="preserve">Starting Salary = </t>
  </si>
  <si>
    <t>Retired Military Salary as % of Civilian</t>
  </si>
  <si>
    <t>Retired O6&gt;20 Military in Private Practice</t>
  </si>
  <si>
    <t xml:space="preserve">Taxable Earnings </t>
  </si>
  <si>
    <t>Non-Taxable Earnings</t>
  </si>
  <si>
    <t xml:space="preserve">Total Gross Earnings </t>
  </si>
  <si>
    <t>Total After Tax Earnings in 2013 USD</t>
  </si>
  <si>
    <t>PV of After Tax Earnings</t>
  </si>
  <si>
    <t>NPV of Ret20USU Cash Flow (cumulative)</t>
  </si>
  <si>
    <t>Civilian Practice after USU20 (Ret20USU)</t>
  </si>
  <si>
    <t>NPV of Ret20HPSP Cash Flow (cumulative)</t>
  </si>
  <si>
    <t>Civilian Practice after HPSP20 (Ret20HPSP)</t>
  </si>
  <si>
    <t>Ophthalmology</t>
  </si>
  <si>
    <t>Ret20USU</t>
  </si>
  <si>
    <t>Ret20HPSP</t>
  </si>
  <si>
    <t>NATIONAL HEALTH SERVICE CORPS (NHSC)</t>
  </si>
  <si>
    <t>Stipend, Taxable</t>
  </si>
  <si>
    <t>2013-2014</t>
  </si>
  <si>
    <t>NHSC 4 years</t>
  </si>
  <si>
    <t>NHSC4 Taxable Gross Earnings (current, that is, respective year USD)</t>
  </si>
  <si>
    <t>NHSC4 Non-Taxable Gross Earnings (current, that is, respective year USD)</t>
  </si>
  <si>
    <t>NHSC4 Total Gross Earnings (current, that is, respective year USD)</t>
  </si>
  <si>
    <t>NHSC4 Taxable Gross Earnings in 2013 USD</t>
  </si>
  <si>
    <t>NHSC4 Non-Taxable Gross Earnings in 2013 USD</t>
  </si>
  <si>
    <t>NHSC4 Total After Tax Earnings in 2013 USD</t>
  </si>
  <si>
    <t>PV of NHSC4 After Tax Earnings</t>
  </si>
  <si>
    <t>NPV of NHSC4 Cash Flow (cumulative)</t>
  </si>
  <si>
    <t>NHSC Service</t>
  </si>
  <si>
    <t>NHSC4</t>
  </si>
  <si>
    <t>NPV of USUPriv Cash Flow (cumulative)</t>
  </si>
  <si>
    <t>Civilian Practice immediately after USU service (USUPriv)</t>
  </si>
  <si>
    <t>Civilian Private Practice Immediately After Fulfilling Military Service Obligation for Uniformed Services University</t>
  </si>
  <si>
    <t>Civilian Private Practice Immediately After Fulfilling Military Service Obligation for Heath Professionals Scholarship Program</t>
  </si>
  <si>
    <t>Civilian Practice immediately after HPSP service (HPSPPriv)</t>
  </si>
  <si>
    <t>NPV of HPSPPriv Cash Flow (cumulative)</t>
  </si>
  <si>
    <t>USUPriv</t>
  </si>
  <si>
    <t>HPSPPriv</t>
  </si>
  <si>
    <t>RANK</t>
  </si>
  <si>
    <t>Ratio to Max</t>
  </si>
  <si>
    <t>Non-Military Pay Real Rate Increase</t>
  </si>
  <si>
    <t>See AAMC stipend survey report for this and C9.</t>
  </si>
  <si>
    <t>Residency (O3&gt;2 = (BP+BAH+BAS+VSP)*12)</t>
  </si>
  <si>
    <t>Residency (O3&lt;=2 = (BP+BAH+BAS+VSP)*12)</t>
  </si>
  <si>
    <t>Internship/Residency (O3&lt;=2 = (BP+BAH+BAS+VSP)*12)</t>
  </si>
  <si>
    <r>
      <t>Multi-Year (O6&gt;28 = (BP+BAH+BAS+VSP+BCPSP)*12+ASP+ISP</t>
    </r>
    <r>
      <rPr>
        <sz val="9"/>
        <color rgb="FFFF0000"/>
        <rFont val="Calibri"/>
        <family val="2"/>
        <scheme val="minor"/>
      </rPr>
      <t>+MSP</t>
    </r>
    <r>
      <rPr>
        <sz val="9"/>
        <color theme="1"/>
        <rFont val="Calibri"/>
        <family val="2"/>
        <scheme val="minor"/>
      </rPr>
      <t>)</t>
    </r>
  </si>
  <si>
    <t>Multi-Year (O4&gt;6 = (BP+BAH+BAS+VSP+BCPSP)*12+ASP+ISP+MSP)</t>
  </si>
  <si>
    <t>Multi-Year (O4&gt;8 = (BP+BAH+BAS+VSP+BCPSP)*12+ASP+ISP+MSP)</t>
  </si>
  <si>
    <t>Multi-Year (O4&gt;10 = (BP+BAH+BAS+VSP+BCPSP)*12+ASP+ISP+MSP)</t>
  </si>
  <si>
    <t>Multi-Year (O5&gt;12 = (BP+BAH+BAS+VSP+BCPSP)*12+ASP+ISP+MSP)</t>
  </si>
  <si>
    <t>Multi-Year (O5&gt;14 = (BP+BAH+BAS+VSP+BCPSP)*12+ASP+ISP+MSP)</t>
  </si>
  <si>
    <t>Multi-Year (O5&gt;16 = (BP+BAH+BAS+VSP+BCPSP)*12+ASP+ISP+MSP)</t>
  </si>
  <si>
    <t>Multi-Year (O6&gt;18= (BP+BAH+BAS+VSP+BCPSP)*12+ASP+ISP+MSP)</t>
  </si>
  <si>
    <t>Multi-Year (O6&gt;20 = (BP+BAH+BAS+VSP+BCPSP)*12+ASP+ISP+MSP)</t>
  </si>
  <si>
    <t>Multi-Year (0.5*O6&gt;20+0.5*O6&gt;22 = (BP+BAH+BAS+VSP+BCPSP)*12+ASP+ISP+MSP)</t>
  </si>
  <si>
    <t>Multi-Year (O6&gt;22 = (BP+BAH+BAS+VSP+BCPSP)*12+ASP+ISP+MSP)</t>
  </si>
  <si>
    <t>Multi-Year (0.5*O6&gt;22+0.5*O6&gt;24 = (BP+BAH+BAS+VSP+BCPSP)*12+ASP+ISP+MSP)</t>
  </si>
  <si>
    <t>Multi-Year (O6&gt;24 = (BP+BAH+BAS+VSP+BCPSP)*12+ASP+ISP+MSP)</t>
  </si>
  <si>
    <t>Multi-Year (0.5*O6&gt;24+0.5*O6&gt;26 = (BP+BAH+BAS+VSP+BCPSP)*12+ASP+ISP+MSP)</t>
  </si>
  <si>
    <t>Service (O3&gt;4 = (BP+BAH+BAS+VSP)*12)+ASP</t>
  </si>
  <si>
    <t>Residency (O3&gt;3 = (BP+BAH+BAS+VSP)*12)</t>
  </si>
  <si>
    <t>Residency (O3&gt;4 = (BP+BAH+BAS+VSP)*12)</t>
  </si>
  <si>
    <t>Multi-Year (O6&gt;26 = (BP+BAH+BAS+VSP+BCPSP)*12+ASP+ISP+MSP)</t>
  </si>
  <si>
    <t>Multi-Year (O6&gt;28 = (BP+BAH+BAS+VSP+BCPSP)*12+ASP+ISP+MSP)</t>
  </si>
  <si>
    <t>Multi-Year (O4&gt;8 = (BP+BAH+BAS+VSP+BCPSP)*12+ASP)+ISP+MSP</t>
  </si>
  <si>
    <t>Multi-Year (O5&gt;12 = (BP+BAH+BAS+VSP+BCPSP)*12+ASP)+ISP+MSP</t>
  </si>
  <si>
    <t>Residency (O3&gt;3 = (BP+BAH+BAS+VSP+BCPSP)*12)</t>
  </si>
  <si>
    <t>Residency (O3&gt;4 = (BP+BAH+BAS+VSP+BCPSP)*12)</t>
  </si>
  <si>
    <t>Multi-Year (O4&gt;10 = (BP+BAH+BAS+VSP+BCPSP)*12+ASP)+ISP+MSP</t>
  </si>
  <si>
    <t>Basic Pay</t>
  </si>
  <si>
    <t>3+3</t>
  </si>
  <si>
    <t>4+3</t>
  </si>
  <si>
    <t>4+2</t>
  </si>
  <si>
    <t>3+2</t>
  </si>
  <si>
    <t>4+4</t>
  </si>
  <si>
    <t>What is the best combination of contracts for different remaining years? When I look at whether it is worth staying another year I should add the impact of a higher BP on pension and subtract the deferred portion of private pay.</t>
  </si>
  <si>
    <t>4+1</t>
  </si>
  <si>
    <t>USU Retiremement at</t>
  </si>
  <si>
    <t>HPSP retirement at</t>
  </si>
  <si>
    <t>Service obligation ends at end of year</t>
  </si>
  <si>
    <t>Optimal Retirement from the Military</t>
  </si>
  <si>
    <t>Remaining years to be split among contracts</t>
  </si>
  <si>
    <t>Best combination of contracts</t>
  </si>
  <si>
    <t>Difference between best combination of contracts and 4+4</t>
  </si>
  <si>
    <t>I assumed a life expectancy of 80 years, that individuals enter medical school at 22 and retirement from the military with 20 years of service would be at 53 years old, which means another 27 years etc.</t>
  </si>
  <si>
    <t>If it's 6 more years one wants to stay in the military, they're never worse off with 4 year+2 yearcontracts than with two three year contracts (even with discounting, because more money comes sooner with the 4 year contract combination)</t>
  </si>
  <si>
    <t>If it's 5 more years one wants to stay in the military, they're never worse off with 4 year contract followed by a year with no MSP than with a 3+2 year contract</t>
  </si>
  <si>
    <t>Discounted cumulative annual pension in currency equivalent of the first year when military physicians can retire (after 20 years)</t>
  </si>
  <si>
    <t>MSP pay from best combination of contracts for retirement after respective number of years, expressed in currency equivalent for the year when last contract starts</t>
  </si>
  <si>
    <t>Discounted cumulative annual pension in that retirement year's currency</t>
  </si>
  <si>
    <t>Annual difference between private sector pay and 4+4 military pay in 2013 USD</t>
  </si>
  <si>
    <t>Ret 21 (4+3)</t>
  </si>
  <si>
    <t>Ret 22 (4+4)</t>
  </si>
  <si>
    <t>Discounted cumulative annual pension in 2013 USD</t>
  </si>
  <si>
    <t>Only differences excluding pension are below in this and the next three columns 
Discounted Ret 20 (4+2) in 2013 USD</t>
  </si>
  <si>
    <t>Figure out optimal retirement time</t>
  </si>
  <si>
    <t>Ret 23 (4+4+1)</t>
  </si>
  <si>
    <t>It is optimal to retire at 22, though the difference is very small in 2013USD after discounting). Note that this doesn't take taxes into account.</t>
  </si>
  <si>
    <t>Only differences excluding pension are below in this and the next three columns 
Discounted Ret 20 (4+1) in 2013 USD</t>
  </si>
  <si>
    <t>Ret 21 (4+2)</t>
  </si>
  <si>
    <t>Ret 22 (4+3)</t>
  </si>
  <si>
    <t>Ret 23 (4+4)</t>
  </si>
  <si>
    <t>Loan Timeline, Forbearance</t>
  </si>
  <si>
    <t>FORBEARANCE DURING RESIDENCY</t>
  </si>
  <si>
    <t>Standard 10 year</t>
  </si>
  <si>
    <t>Capitaliz/Forbearance (6m grace period doesn’t matter for loan repayment here due to forbearance during residency)</t>
  </si>
  <si>
    <t>Corrected</t>
  </si>
  <si>
    <t>After Jan 2015</t>
  </si>
  <si>
    <t>Federally Guaranteed Loans (FGL) Paye as You Earn (PAYE) (if qualified)</t>
  </si>
  <si>
    <t xml:space="preserve">Loan Payment IBR </t>
  </si>
  <si>
    <t>NPV of STD cash flow (cumulative)</t>
  </si>
  <si>
    <t>New</t>
  </si>
  <si>
    <t>REPAYMENT DURING RESIDENCY</t>
  </si>
  <si>
    <t xml:space="preserve">Loan Payment IBR No Forbearance </t>
  </si>
  <si>
    <t>Capitaliz/Repayment (6m grace period doesn’t matter for loan repayment here due to forbearance during residency)</t>
  </si>
  <si>
    <t>Federally Guaranteed Loans (FGL) STANDARD 10 YEAR REPAYMENT</t>
  </si>
  <si>
    <t>Principal after 6m grace period</t>
  </si>
  <si>
    <t>Std 10 year loan payment</t>
  </si>
  <si>
    <t>Loan Timeline,  No Forbearance</t>
  </si>
  <si>
    <t>Loan Timeline, No Forbearance</t>
  </si>
  <si>
    <t>NPV of PAYE cash flow  w/out forbearance (cumulative)</t>
  </si>
  <si>
    <t>Loan Payment PAYE (Pay As You Earn) No Forbearance</t>
  </si>
  <si>
    <t>Max interest that can be capitalized per PAYE is 10% of balance when entering PAYE.</t>
  </si>
  <si>
    <t>Standard 10 Year Loan Payment No Forbearance</t>
  </si>
  <si>
    <t>Civilian Private Practice at the end of 4 year contract after 20+ Years of Military Service and Uniformed Services University</t>
  </si>
  <si>
    <t>Civilian Private Practice at the end of 4 year contrac after 20+ Years of Military Service and Heath Professionals Scholarship Program</t>
  </si>
  <si>
    <t>Civilian Private Practice at the end of 4 year contrac after 20+ Years of Military Service and Uniformed Services University</t>
  </si>
  <si>
    <t>Civilian Private Practice at the end of 4 year contrac after 20 Years of Military Service and Uniformed Services University</t>
  </si>
  <si>
    <t>Accumulated Accrued Uncapitalized Interest at End of Year</t>
  </si>
  <si>
    <t>Alt=400000</t>
  </si>
  <si>
    <t>National Median Starting Salary, 2012</t>
  </si>
  <si>
    <t>Northeast Median Starting Salary, 2012</t>
  </si>
  <si>
    <t>DC</t>
  </si>
  <si>
    <t>San Antonio</t>
  </si>
  <si>
    <t>Southern Region Median Starting Salary, 2012</t>
  </si>
  <si>
    <t>Alt=401000</t>
  </si>
  <si>
    <t>PUBLIC SERVICE LOAN FORGIVENESS (PSLF)</t>
  </si>
  <si>
    <t>25-29</t>
  </si>
  <si>
    <t>30-34</t>
  </si>
  <si>
    <t>35-39</t>
  </si>
  <si>
    <t>40-44</t>
  </si>
  <si>
    <t>45-49</t>
  </si>
  <si>
    <t>50-54</t>
  </si>
  <si>
    <t>55-59</t>
  </si>
  <si>
    <t>60-64</t>
  </si>
  <si>
    <t>65 or more</t>
  </si>
  <si>
    <t>Age - All</t>
  </si>
  <si>
    <t>Average Salary as values, Jun 2013</t>
  </si>
  <si>
    <t>VA-DEPARTMENT OF VETERANS AFFAIRS</t>
  </si>
  <si>
    <t>Int Med (Pay Table 1)</t>
  </si>
  <si>
    <t>Ophtha (Pay Table 3)</t>
  </si>
  <si>
    <t>Gen Surg (Pay Table 4)</t>
  </si>
  <si>
    <t>Ortho (Pay Table 5)</t>
  </si>
  <si>
    <t>Public Service</t>
  </si>
  <si>
    <t>PSLF Taxable Gross Earnings (current, that is, respective year USD)</t>
  </si>
  <si>
    <t>PSLF Non-Taxable Gross Earnings (current, that is, respective year USD)</t>
  </si>
  <si>
    <t>PSLF Total Gross Earnings (current, that is, respective year USD)</t>
  </si>
  <si>
    <t>VA Step</t>
  </si>
  <si>
    <t>6 &lt; y &lt;= 8</t>
  </si>
  <si>
    <t>4 &lt; y &lt;= 6</t>
  </si>
  <si>
    <t>2&lt; y &lt;= 4</t>
  </si>
  <si>
    <t>y &lt;= 2</t>
  </si>
  <si>
    <t>12 &lt; y &lt;= 14</t>
  </si>
  <si>
    <t>10 &lt; y &lt;= 12</t>
  </si>
  <si>
    <t>8 &lt; y &lt;= 10</t>
  </si>
  <si>
    <t>14 &lt; y &lt;= 16</t>
  </si>
  <si>
    <t>16 &lt; y &lt;= 18</t>
  </si>
  <si>
    <t>18 &lt; y &lt;= 20</t>
  </si>
  <si>
    <t>20 &lt; y &lt;= 22</t>
  </si>
  <si>
    <t>22 &lt; y &lt;= 24</t>
  </si>
  <si>
    <t>VA Service</t>
  </si>
  <si>
    <t>Age beginning of year</t>
  </si>
  <si>
    <t>PSLF (Forgiveness)</t>
  </si>
  <si>
    <t>PUBLIC SERVICE LOAN FPRGIVENESS (PSLF) + PAYE + Private Practice</t>
  </si>
  <si>
    <t>PSLF Total After Tax Earnings in 2013 USD</t>
  </si>
  <si>
    <t>NPV of STD10R cash flow w/out forbearance (cumulative)</t>
  </si>
  <si>
    <t>NPV of IBRR cash flow w/out forbearance (cumulative)</t>
  </si>
  <si>
    <t>NPV of PAYER cash flow  w/out forbearance (cumulative)</t>
  </si>
  <si>
    <t>Loan Payment in 2013 USD</t>
  </si>
  <si>
    <t>EXT</t>
  </si>
  <si>
    <t>STD10R</t>
  </si>
  <si>
    <t>IBRR</t>
  </si>
  <si>
    <t>PAYER</t>
  </si>
  <si>
    <t>Age</t>
  </si>
  <si>
    <t>VA Physician Earnings in 2013 USD (Interpolated)</t>
  </si>
  <si>
    <t>City</t>
  </si>
  <si>
    <t>Concatenation</t>
  </si>
  <si>
    <t>Calendar Year</t>
  </si>
  <si>
    <t>NPV</t>
  </si>
  <si>
    <t>Row Labels</t>
  </si>
  <si>
    <t>Column Labels</t>
  </si>
  <si>
    <t>(Multiple Items)</t>
  </si>
  <si>
    <t>Prior to Jan 2015. We corrected a few things. I kept these here for comparison and especially so I don’t have to change the other programs.</t>
  </si>
  <si>
    <t>ZERO BORROWING</t>
  </si>
  <si>
    <t>ZERO</t>
  </si>
  <si>
    <t>NPV of Zero Borrowing (cumulative)</t>
  </si>
  <si>
    <t>NHSC Starting Salary</t>
  </si>
  <si>
    <t>Sum of NPV</t>
  </si>
  <si>
    <t>fiitax</t>
  </si>
  <si>
    <t>fica</t>
  </si>
  <si>
    <t>siitax</t>
  </si>
  <si>
    <t>Federal and State Tax Calculation Parameters</t>
  </si>
  <si>
    <t>Fed Std Ded</t>
  </si>
  <si>
    <t>Fed Exemption</t>
  </si>
  <si>
    <t>Fed Exemption Limit</t>
  </si>
  <si>
    <t>State Std Deduction</t>
  </si>
  <si>
    <t>State Exemption</t>
  </si>
  <si>
    <t>Locality</t>
  </si>
  <si>
    <t>Highest</t>
  </si>
  <si>
    <t>Marginal Income Tax Rate</t>
  </si>
  <si>
    <t>Max State Tax</t>
  </si>
  <si>
    <t>State Income Tax Thresholds</t>
  </si>
  <si>
    <t>Federal Income Tax Thresholds</t>
  </si>
  <si>
    <t>Max Federal Tax</t>
  </si>
  <si>
    <t>Medicare Tax Rate</t>
  </si>
  <si>
    <t>FICA Employee Rate</t>
  </si>
  <si>
    <t>FICA Employee Limit</t>
  </si>
  <si>
    <t>State Taxable Income</t>
  </si>
  <si>
    <t>Fed Taxable Income</t>
  </si>
  <si>
    <t>FICA Employee</t>
  </si>
  <si>
    <t>Mock Income (for checking income tax formulas)</t>
  </si>
  <si>
    <t>Federal Taxable Income</t>
  </si>
  <si>
    <t>Note: When using NBER, I was incorrectly dividing the total FICA Tax by 2 for 2012. It works for 2013, but in 2012 the employee rate was stilll (temporarily) 4.2%, not 6.2%)</t>
  </si>
  <si>
    <t>Note that my tax calculations do not take into account student loan interest deduction and tuition and fees.</t>
  </si>
  <si>
    <t>AMT Exemption</t>
  </si>
  <si>
    <t>AMT</t>
  </si>
  <si>
    <t>AMT Rate 1</t>
  </si>
  <si>
    <t>AMT Rate 2</t>
  </si>
  <si>
    <t>Fed IIT Liability</t>
  </si>
  <si>
    <t>Fed Regular Tax</t>
  </si>
  <si>
    <t>Difference between AMT tax rates applied to AMT Rate Threshold</t>
  </si>
  <si>
    <t>AMT Exemption Threshold 1</t>
  </si>
  <si>
    <t>AMT Exemption Threshold 2</t>
  </si>
  <si>
    <t>AMT Rate Threshold</t>
  </si>
  <si>
    <t>AMT Exemption if Full</t>
  </si>
  <si>
    <t>Fed Individual Income Tax Liability</t>
  </si>
  <si>
    <t>Alternative Minimum Tax (AMT)</t>
  </si>
  <si>
    <t>Alternative Minimum Tax (AMT) Exemption</t>
  </si>
  <si>
    <t>Average of NPV</t>
  </si>
  <si>
    <t>Summary Table with 30-year NPV</t>
  </si>
  <si>
    <t>Location:</t>
  </si>
  <si>
    <t>San Antonio, TX</t>
  </si>
  <si>
    <t>SCENARIO: INTERNAL MEDICINE, SINGLE</t>
  </si>
  <si>
    <t>SCENARIO: ORTHOPEDICS, SINGLE</t>
  </si>
  <si>
    <t>SCENARIO: GENERAL SURGERY, SINGLE</t>
  </si>
  <si>
    <t>SCENARIO: OPHTHALMOLOGY, SINGLE</t>
  </si>
  <si>
    <t>Locality Choice</t>
  </si>
  <si>
    <t>Do not change the values in cells X2:X3. Instead, pick a value in cell G1 from the drop-down menu</t>
  </si>
  <si>
    <t>Title:</t>
  </si>
  <si>
    <t>SCENARIO:</t>
  </si>
  <si>
    <t>OPHTHALMOLOGY</t>
  </si>
  <si>
    <t>INTERNAL MEDICINE</t>
  </si>
  <si>
    <t>ORTHOPEDICS</t>
  </si>
  <si>
    <t>GENERAL SURGERY</t>
  </si>
  <si>
    <t>Tax Year</t>
  </si>
  <si>
    <t>Tax Year:</t>
  </si>
  <si>
    <t>Do not change the values in cells V2:V3. Instead, pick a value in cell V1 from the drop-down menu</t>
  </si>
  <si>
    <t>Change the year between 2012 and 2013 in cell K1 and the thresholds and tax rates will automatically adjust and change all results in the file except pivot tables and charts that have to be refreshed to incorporate the changes.</t>
  </si>
  <si>
    <t>Yearly percent at which private portion of retired military physician salaries gets closer to the salaries of private physicians.</t>
  </si>
  <si>
    <t>Instructions</t>
  </si>
  <si>
    <t>Please do not insert rows or columns into the &lt;InputData&gt; sheet or change the location of the input parameters - they are read by macros in an accompanying Excel file.</t>
  </si>
  <si>
    <t>The calculations are done on separate sheets for each of four specialties: Internal Medicine, Orthopedics, General Surgery, and Ophthalmology.</t>
  </si>
  <si>
    <t>Please see the formulas in those sheets for details of the calculations.</t>
  </si>
  <si>
    <t>One additional sheet for each specialty whose name starts with "Graph" contains a summary table and graph for the specialty.</t>
  </si>
  <si>
    <t>The pivot table and chart in the &lt;PivotChart&gt; sheet allows the user to quickly visualize the scenarios of his/her choice.</t>
  </si>
  <si>
    <t>The pivot table and chart in the &lt;PivotChart&gt; sheet has to be refreshed after parameters are changed to reflect the new results.</t>
  </si>
  <si>
    <t>This file contains the detailed calculations for each medical education financing scenario.</t>
  </si>
  <si>
    <t>All calculations in the other sheets update automatically when changing parameters in the &lt;InputData&gt; sheet.</t>
  </si>
  <si>
    <t>There is a companion Excel file with Visual Basic programs which allows one to run alternative scenarios with different parameters in batch mode.</t>
  </si>
  <si>
    <t>Those programs will only work if Excel Macros are enabled.</t>
  </si>
  <si>
    <t>Annual % increase in Retired Military Salary % of Civilian Practice Salary</t>
  </si>
  <si>
    <t>Location</t>
  </si>
  <si>
    <t xml:space="preserve">    Internal Medicine</t>
  </si>
  <si>
    <t xml:space="preserve">    General Surgery</t>
  </si>
  <si>
    <t xml:space="preserve">    Ophthalmology</t>
  </si>
  <si>
    <t xml:space="preserve">    Orthopedics</t>
  </si>
  <si>
    <t xml:space="preserve">    Inflation</t>
  </si>
  <si>
    <t xml:space="preserve">    Military Pay Growth Rate</t>
  </si>
  <si>
    <t xml:space="preserve">    Real Discount Rate</t>
  </si>
  <si>
    <t>Military Pay</t>
  </si>
  <si>
    <t>Student Debt</t>
  </si>
  <si>
    <t xml:space="preserve">    Median Student Debt</t>
  </si>
  <si>
    <t xml:space="preserve">    Amount Borrowed Growth Rate</t>
  </si>
  <si>
    <t>Resident Pay</t>
  </si>
  <si>
    <t xml:space="preserve">    Resident Pay Growth (after 1st year of residency)</t>
  </si>
  <si>
    <t>Inflation and Discount Rates</t>
  </si>
  <si>
    <t xml:space="preserve">    Loan Interest Rate (Unsubsidized Stafford)</t>
  </si>
  <si>
    <t xml:space="preserve">    NHSC Starting Salary (Internal Medicine only)</t>
  </si>
  <si>
    <t xml:space="preserve">    Retired Military Salary as % of Private Sector Salary</t>
  </si>
  <si>
    <t xml:space="preserve">    Retired Military Salary % Annual Catch-up to
    Private Sector Salary (0% means no catch-up)</t>
  </si>
  <si>
    <t>Private Sector Physician Median Starting Salary (2013)</t>
  </si>
  <si>
    <t xml:space="preserve">    Private Sector Physician Pay Real Growth Rate (after first year)</t>
  </si>
  <si>
    <t>National Health Service Corps</t>
  </si>
  <si>
    <t>MAIN PARAMATERS</t>
  </si>
  <si>
    <t>Medical Student Debt, 2014</t>
  </si>
  <si>
    <t xml:space="preserve">    Private Sector Physician Starting Salary Growth Rate
    (between 2013 and 2020)</t>
  </si>
  <si>
    <t xml:space="preserve">    Civilian 1st Year Resident Pay Growth Rate
    (2013 to 2017 during medical school)</t>
  </si>
  <si>
    <t>It is recommended that you change the &lt;MainParameters&gt; sheet and only change parameters in the &lt;InputData&gt; sheet that do not appear in &lt;MainParameters&gt;.</t>
  </si>
  <si>
    <t>All the parameters for the calculations are in the &lt;InputData&gt; sheet. The most important ones can also be controlled from the &lt;MainParameters&gt; sheet.</t>
  </si>
  <si>
    <t>Changing &lt;MainParameters&gt; will be reflected in the &lt;InputData&gt; sheet. The parameters in &lt;InputData&gt; are the ones that ultimately enter the calculations.</t>
  </si>
  <si>
    <t>It is recommended to create a backup copy of this file before running batch scenarios using the code in the other Excel file.</t>
  </si>
  <si>
    <t>All calculations in the other sheets update automatically except the pivot charts on the last two sheets which have to be refreshed (click anywhere in the table area, then Options&gt;Refresh).</t>
  </si>
  <si>
    <t>You can modify the main parameters below. Additional parameters can be changed in the InputData sheet.</t>
  </si>
  <si>
    <t>SELF Pay (Full scholarship or family pays for medical school)</t>
  </si>
  <si>
    <t>USU30</t>
  </si>
  <si>
    <t>HPSP30</t>
  </si>
  <si>
    <t>STD10r</t>
  </si>
  <si>
    <t>IBRr</t>
  </si>
  <si>
    <t>PAYEr</t>
  </si>
  <si>
    <t>USU20</t>
  </si>
  <si>
    <t>HPSP20</t>
  </si>
  <si>
    <t>USUim</t>
  </si>
  <si>
    <t>HPSPim</t>
  </si>
  <si>
    <t>SELF</t>
  </si>
  <si>
    <t>NHSC</t>
  </si>
  <si>
    <t>The Net Present Values (NPV) throughout 30 years for each scenario for all specialties are summarized in the &lt;PivotData&gt; sheet together with the main parameters they are based upon.</t>
  </si>
  <si>
    <t>The PivotChart in the &lt;PivotTableNPV30&gt; sheet which summarizes only the year 30 NPV values for each scenario also has to be refreshed after each parameter change.</t>
  </si>
  <si>
    <t>Please see the &lt;ReadMe&gt; sheet in that other program file for instructions on how to use the programs to run batch simulations.</t>
  </si>
  <si>
    <t>All calculations in the other sheets will update automatically except for pivot charts that have to be refreshed.</t>
  </si>
  <si>
    <t>InputData!C3</t>
  </si>
  <si>
    <t>InputData!C7</t>
  </si>
  <si>
    <t>InputData!G1</t>
  </si>
  <si>
    <t>InputData!K1</t>
  </si>
  <si>
    <t>InputData!C5</t>
  </si>
  <si>
    <t>InputData!C13</t>
  </si>
  <si>
    <t>InputData!E3</t>
  </si>
  <si>
    <t>InputData!C88</t>
  </si>
  <si>
    <t>InputData!C10</t>
  </si>
  <si>
    <t>InputData!C6</t>
  </si>
  <si>
    <t>InputData!C11</t>
  </si>
  <si>
    <t>InputData!C9</t>
  </si>
  <si>
    <t>InputData!C81</t>
  </si>
  <si>
    <t>InputData!C82</t>
  </si>
  <si>
    <t>InputData!C84</t>
  </si>
  <si>
    <t>InputData!C85</t>
  </si>
  <si>
    <t>InputData!C4</t>
  </si>
  <si>
    <t>*Note: all growth rates are nominal except when real growth rate is specified, which means growth above inflation.</t>
  </si>
  <si>
    <t>InputData!C12</t>
  </si>
  <si>
    <t>InputData!C116</t>
  </si>
  <si>
    <t>Corresponding cell in InputData sheet</t>
  </si>
  <si>
    <t>Parameter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</si>
</sst>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quot;$&quot;#,##0"/>
    <numFmt numFmtId="165" formatCode="_(&quot;$&quot;* #,##0_);_(&quot;$&quot;* \(#,##0\);_(&quot;$&quot;* &quot;-&quot;??_);_(@_)"/>
    <numFmt numFmtId="166" formatCode="0.0%"/>
    <numFmt numFmtId="167" formatCode="&quot;$&quot;#,##0.00"/>
    <numFmt numFmtId="168" formatCode="\$#,##0"/>
  </numFmts>
  <fonts count="21" x14ac:knownFonts="1">
    <font>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9"/>
      <color theme="1"/>
      <name val="Calibri"/>
      <family val="2"/>
      <scheme val="minor"/>
    </font>
    <font>
      <sz val="9"/>
      <color rgb="FFFF0000"/>
      <name val="Calibri"/>
      <family val="2"/>
      <scheme val="minor"/>
    </font>
    <font>
      <sz val="14"/>
      <color theme="1"/>
      <name val="Calibri"/>
      <family val="2"/>
      <scheme val="minor"/>
    </font>
    <font>
      <sz val="10"/>
      <color rgb="FF444444"/>
      <name val="Lucida Sans Unicode"/>
      <family val="2"/>
    </font>
    <font>
      <b/>
      <sz val="12"/>
      <color theme="1"/>
      <name val="Calibri"/>
      <family val="2"/>
      <scheme val="minor"/>
    </font>
    <font>
      <sz val="11"/>
      <color rgb="FFFF0000"/>
      <name val="Calibri"/>
      <family val="2"/>
      <scheme val="minor"/>
    </font>
    <font>
      <sz val="9"/>
      <name val="Calibri"/>
      <family val="2"/>
      <scheme val="minor"/>
    </font>
    <font>
      <b/>
      <sz val="11"/>
      <color rgb="FF000000"/>
      <name val="Calibri"/>
      <family val="2"/>
    </font>
    <font>
      <b/>
      <sz val="8"/>
      <color rgb="FF000000"/>
      <name val="Calibri"/>
      <family val="2"/>
    </font>
    <font>
      <b/>
      <sz val="8"/>
      <color rgb="FF00000A"/>
      <name val="Calibri"/>
      <family val="2"/>
    </font>
    <font>
      <sz val="8"/>
      <color rgb="FF000000"/>
      <name val="Calibri"/>
      <family val="2"/>
    </font>
    <font>
      <sz val="11"/>
      <color theme="1"/>
      <name val="Calibri"/>
      <family val="2"/>
    </font>
    <font>
      <sz val="9"/>
      <color rgb="FF000000"/>
      <name val="Calibri"/>
      <family val="2"/>
    </font>
    <font>
      <sz val="11"/>
      <name val="Calibri"/>
      <family val="2"/>
      <scheme val="minor"/>
    </font>
    <font>
      <b/>
      <sz val="11"/>
      <color theme="1"/>
      <name val="Calibri"/>
      <family val="2"/>
      <scheme val="minor"/>
    </font>
    <font>
      <b/>
      <sz val="20"/>
      <color theme="1"/>
      <name val="Calibri"/>
      <family val="2"/>
      <scheme val="minor"/>
    </font>
    <font>
      <b/>
      <sz val="14"/>
      <color theme="1"/>
      <name val="Calibri"/>
      <family val="2"/>
      <scheme val="minor"/>
    </font>
  </fonts>
  <fills count="21">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5" tint="0.39997558519241921"/>
        <bgColor indexed="64"/>
      </patternFill>
    </fill>
    <fill>
      <patternFill patternType="solid">
        <fgColor rgb="FFFF000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bgColor indexed="64"/>
      </patternFill>
    </fill>
    <fill>
      <patternFill patternType="solid">
        <fgColor theme="2" tint="-0.249977111117893"/>
        <bgColor indexed="64"/>
      </patternFill>
    </fill>
    <fill>
      <patternFill patternType="solid">
        <fgColor rgb="FFC0D6EC"/>
        <bgColor rgb="FFC0D6EC"/>
      </patternFill>
    </fill>
    <fill>
      <patternFill patternType="solid">
        <fgColor rgb="FFD3D3D3"/>
        <bgColor rgb="FFD3D3D3"/>
      </patternFill>
    </fill>
    <fill>
      <patternFill patternType="solid">
        <fgColor theme="3" tint="0.79998168889431442"/>
        <bgColor indexed="64"/>
      </patternFill>
    </fill>
    <fill>
      <patternFill patternType="solid">
        <fgColor rgb="FFFFFF00"/>
        <bgColor rgb="FF000000"/>
      </patternFill>
    </fill>
  </fills>
  <borders count="1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A2C4E0"/>
      </top>
      <bottom/>
      <diagonal/>
    </border>
    <border>
      <left style="thin">
        <color rgb="FFA2C4E0"/>
      </left>
      <right/>
      <top style="thin">
        <color rgb="FFA2C4E0"/>
      </top>
      <bottom style="thin">
        <color rgb="FFA2C4E0"/>
      </bottom>
      <diagonal/>
    </border>
    <border>
      <left style="thin">
        <color rgb="FFA2C4E0"/>
      </left>
      <right style="thin">
        <color rgb="FFA2C4E0"/>
      </right>
      <top style="thin">
        <color rgb="FFA2C4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3" fillId="0" borderId="0" applyFont="0" applyFill="0" applyBorder="0" applyAlignment="0" applyProtection="0"/>
    <xf numFmtId="44" fontId="3" fillId="0" borderId="0" applyFont="0" applyFill="0" applyBorder="0" applyAlignment="0" applyProtection="0"/>
  </cellStyleXfs>
  <cellXfs count="229">
    <xf numFmtId="0" fontId="0" fillId="0" borderId="0" xfId="0"/>
    <xf numFmtId="0" fontId="4" fillId="0" borderId="4" xfId="0" applyFont="1" applyBorder="1" applyAlignment="1">
      <alignment wrapText="1"/>
    </xf>
    <xf numFmtId="0" fontId="4" fillId="0" borderId="0" xfId="0" applyFont="1" applyBorder="1" applyAlignment="1">
      <alignment wrapText="1"/>
    </xf>
    <xf numFmtId="0" fontId="4" fillId="0" borderId="4" xfId="0" applyFont="1" applyBorder="1"/>
    <xf numFmtId="0" fontId="4" fillId="0" borderId="0" xfId="0" applyFont="1" applyBorder="1"/>
    <xf numFmtId="164" fontId="4" fillId="0" borderId="0" xfId="0" applyNumberFormat="1" applyFont="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0" fillId="2" borderId="0" xfId="0" applyFill="1" applyBorder="1"/>
    <xf numFmtId="0" fontId="0" fillId="0" borderId="0" xfId="0" applyFill="1" applyBorder="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6" xfId="0" applyFill="1" applyBorder="1"/>
    <xf numFmtId="2" fontId="0" fillId="0" borderId="0" xfId="0" applyNumberFormat="1" applyBorder="1"/>
    <xf numFmtId="2" fontId="0" fillId="0" borderId="7" xfId="0" applyNumberFormat="1" applyBorder="1"/>
    <xf numFmtId="2" fontId="0" fillId="0" borderId="5" xfId="0" applyNumberFormat="1" applyBorder="1"/>
    <xf numFmtId="2" fontId="0" fillId="0" borderId="8" xfId="0" applyNumberFormat="1" applyBorder="1"/>
    <xf numFmtId="0" fontId="0" fillId="0" borderId="0" xfId="0" applyFill="1"/>
    <xf numFmtId="0" fontId="0" fillId="0" borderId="8" xfId="0" applyFill="1" applyBorder="1"/>
    <xf numFmtId="9" fontId="0" fillId="0" borderId="0" xfId="1" applyFont="1"/>
    <xf numFmtId="0" fontId="6" fillId="4" borderId="7" xfId="0" applyFont="1" applyFill="1" applyBorder="1"/>
    <xf numFmtId="0" fontId="4" fillId="0" borderId="0" xfId="0" applyFont="1" applyFill="1" applyBorder="1" applyAlignment="1">
      <alignment wrapText="1"/>
    </xf>
    <xf numFmtId="9" fontId="0" fillId="0" borderId="7" xfId="1" applyFont="1" applyBorder="1"/>
    <xf numFmtId="0" fontId="0" fillId="0" borderId="11" xfId="0" applyBorder="1"/>
    <xf numFmtId="0" fontId="0" fillId="2" borderId="9" xfId="0" applyFill="1" applyBorder="1"/>
    <xf numFmtId="164" fontId="4" fillId="0" borderId="0" xfId="0" applyNumberFormat="1" applyFont="1" applyFill="1"/>
    <xf numFmtId="0" fontId="0" fillId="2" borderId="2" xfId="0" applyFill="1" applyBorder="1" applyAlignment="1">
      <alignment horizontal="left"/>
    </xf>
    <xf numFmtId="0" fontId="0" fillId="2" borderId="3" xfId="0" applyFill="1" applyBorder="1" applyAlignment="1">
      <alignment horizontal="left"/>
    </xf>
    <xf numFmtId="10" fontId="0" fillId="0" borderId="3" xfId="1" applyNumberFormat="1" applyFont="1" applyBorder="1"/>
    <xf numFmtId="10" fontId="0" fillId="0" borderId="5" xfId="1" applyNumberFormat="1" applyFont="1" applyBorder="1"/>
    <xf numFmtId="0" fontId="7" fillId="2" borderId="6" xfId="0" applyFont="1" applyFill="1" applyBorder="1"/>
    <xf numFmtId="0" fontId="0" fillId="2" borderId="4" xfId="0" applyFill="1" applyBorder="1" applyAlignment="1">
      <alignment horizontal="center"/>
    </xf>
    <xf numFmtId="0" fontId="4" fillId="0" borderId="1" xfId="0" applyFont="1" applyFill="1" applyBorder="1" applyAlignment="1">
      <alignment wrapText="1"/>
    </xf>
    <xf numFmtId="0" fontId="4" fillId="0" borderId="4" xfId="0" applyFont="1" applyFill="1" applyBorder="1" applyAlignment="1">
      <alignment wrapText="1"/>
    </xf>
    <xf numFmtId="0" fontId="4" fillId="0" borderId="4" xfId="0" applyFont="1" applyFill="1" applyBorder="1"/>
    <xf numFmtId="9" fontId="4" fillId="0" borderId="0" xfId="1" applyFont="1" applyFill="1"/>
    <xf numFmtId="9" fontId="4" fillId="0" borderId="0" xfId="1" applyFont="1"/>
    <xf numFmtId="0" fontId="0" fillId="0" borderId="7" xfId="0" applyFill="1" applyBorder="1"/>
    <xf numFmtId="0" fontId="4" fillId="5" borderId="4" xfId="0" applyFont="1" applyFill="1" applyBorder="1"/>
    <xf numFmtId="0" fontId="4" fillId="0" borderId="7" xfId="0" applyFont="1" applyBorder="1"/>
    <xf numFmtId="164" fontId="4" fillId="5" borderId="0" xfId="0" applyNumberFormat="1" applyFont="1" applyFill="1"/>
    <xf numFmtId="2" fontId="0" fillId="0" borderId="0" xfId="0" applyNumberFormat="1" applyFill="1" applyBorder="1"/>
    <xf numFmtId="0" fontId="4" fillId="0" borderId="0" xfId="0" applyFont="1" applyFill="1" applyBorder="1"/>
    <xf numFmtId="0" fontId="4" fillId="0" borderId="5" xfId="0" applyFont="1" applyBorder="1" applyAlignment="1">
      <alignment wrapText="1"/>
    </xf>
    <xf numFmtId="0" fontId="4" fillId="0" borderId="5" xfId="0" applyFont="1" applyBorder="1"/>
    <xf numFmtId="0" fontId="8" fillId="0" borderId="2" xfId="0" applyFont="1" applyBorder="1"/>
    <xf numFmtId="0" fontId="4" fillId="0" borderId="0" xfId="0" applyFont="1"/>
    <xf numFmtId="0" fontId="4" fillId="0" borderId="0" xfId="0" applyFont="1" applyAlignment="1">
      <alignment wrapText="1"/>
    </xf>
    <xf numFmtId="0" fontId="8" fillId="0" borderId="0" xfId="0" applyFont="1"/>
    <xf numFmtId="0" fontId="4" fillId="0" borderId="6" xfId="0" applyFont="1" applyFill="1" applyBorder="1"/>
    <xf numFmtId="0" fontId="4" fillId="0" borderId="2" xfId="0" applyFont="1" applyBorder="1"/>
    <xf numFmtId="0" fontId="4" fillId="0" borderId="2" xfId="0" applyFont="1" applyBorder="1" applyAlignment="1">
      <alignment wrapText="1"/>
    </xf>
    <xf numFmtId="0" fontId="0" fillId="2" borderId="0" xfId="0" applyFill="1"/>
    <xf numFmtId="164" fontId="4" fillId="6" borderId="0" xfId="0" applyNumberFormat="1" applyFont="1" applyFill="1"/>
    <xf numFmtId="0" fontId="0" fillId="7" borderId="10" xfId="0" applyFill="1" applyBorder="1"/>
    <xf numFmtId="0" fontId="0" fillId="8" borderId="9" xfId="0" applyFill="1" applyBorder="1"/>
    <xf numFmtId="0" fontId="0" fillId="8" borderId="10" xfId="0" applyFill="1" applyBorder="1"/>
    <xf numFmtId="0" fontId="0" fillId="9" borderId="9" xfId="0" applyFill="1" applyBorder="1"/>
    <xf numFmtId="0" fontId="8" fillId="9" borderId="10" xfId="0" applyFont="1" applyFill="1" applyBorder="1" applyAlignment="1">
      <alignment wrapText="1"/>
    </xf>
    <xf numFmtId="0" fontId="4" fillId="9" borderId="10" xfId="0" applyFont="1" applyFill="1" applyBorder="1" applyAlignment="1">
      <alignment wrapText="1"/>
    </xf>
    <xf numFmtId="0" fontId="0" fillId="9" borderId="10" xfId="0" applyFill="1" applyBorder="1"/>
    <xf numFmtId="0" fontId="8" fillId="8" borderId="10" xfId="0" applyFont="1" applyFill="1" applyBorder="1"/>
    <xf numFmtId="0" fontId="8" fillId="7" borderId="1" xfId="0" applyFont="1" applyFill="1" applyBorder="1" applyAlignment="1"/>
    <xf numFmtId="0" fontId="0" fillId="7" borderId="0" xfId="0" applyFill="1"/>
    <xf numFmtId="0" fontId="4" fillId="6" borderId="0" xfId="0" applyFont="1" applyFill="1" applyBorder="1" applyAlignment="1">
      <alignment wrapText="1"/>
    </xf>
    <xf numFmtId="0" fontId="0" fillId="3" borderId="2" xfId="0" applyFill="1" applyBorder="1"/>
    <xf numFmtId="0" fontId="0" fillId="3" borderId="3" xfId="0" applyFill="1" applyBorder="1"/>
    <xf numFmtId="0" fontId="0" fillId="3" borderId="0" xfId="0" applyFill="1" applyBorder="1"/>
    <xf numFmtId="0" fontId="0" fillId="3" borderId="5" xfId="0" applyFill="1" applyBorder="1"/>
    <xf numFmtId="0" fontId="0" fillId="3" borderId="7" xfId="0" applyFill="1" applyBorder="1"/>
    <xf numFmtId="0" fontId="0" fillId="3" borderId="8" xfId="0" applyFill="1" applyBorder="1"/>
    <xf numFmtId="0" fontId="0" fillId="3" borderId="0" xfId="0" applyFill="1"/>
    <xf numFmtId="0" fontId="4" fillId="2" borderId="0" xfId="0" applyFont="1" applyFill="1"/>
    <xf numFmtId="0" fontId="4" fillId="0" borderId="0" xfId="0" applyFont="1" applyFill="1"/>
    <xf numFmtId="0" fontId="4" fillId="0" borderId="7" xfId="0" applyFont="1" applyBorder="1" applyAlignment="1">
      <alignment horizontal="center"/>
    </xf>
    <xf numFmtId="165" fontId="0" fillId="0" borderId="0" xfId="2" applyNumberFormat="1" applyFont="1"/>
    <xf numFmtId="0" fontId="4" fillId="10" borderId="4" xfId="0" applyFont="1" applyFill="1" applyBorder="1"/>
    <xf numFmtId="164" fontId="4" fillId="10" borderId="0" xfId="0" applyNumberFormat="1" applyFont="1" applyFill="1"/>
    <xf numFmtId="0" fontId="8" fillId="10" borderId="10" xfId="0" applyFont="1" applyFill="1" applyBorder="1" applyAlignment="1"/>
    <xf numFmtId="0" fontId="9" fillId="2" borderId="1" xfId="0" applyFont="1" applyFill="1" applyBorder="1"/>
    <xf numFmtId="0" fontId="0" fillId="11" borderId="10" xfId="0" applyFill="1" applyBorder="1"/>
    <xf numFmtId="0" fontId="8" fillId="11" borderId="9" xfId="0" applyFont="1" applyFill="1" applyBorder="1" applyAlignment="1"/>
    <xf numFmtId="0" fontId="4" fillId="0" borderId="1" xfId="0" applyFont="1" applyBorder="1" applyAlignment="1">
      <alignment wrapText="1"/>
    </xf>
    <xf numFmtId="0" fontId="4" fillId="7" borderId="4" xfId="0" applyFont="1" applyFill="1" applyBorder="1"/>
    <xf numFmtId="0" fontId="4" fillId="0" borderId="7" xfId="0" applyFont="1" applyFill="1" applyBorder="1"/>
    <xf numFmtId="164" fontId="4" fillId="0" borderId="7" xfId="0" applyNumberFormat="1" applyFont="1" applyBorder="1"/>
    <xf numFmtId="1" fontId="4" fillId="0" borderId="4" xfId="0" applyNumberFormat="1" applyFont="1" applyBorder="1"/>
    <xf numFmtId="0" fontId="0" fillId="7" borderId="4" xfId="0" applyFill="1" applyBorder="1"/>
    <xf numFmtId="0" fontId="8" fillId="7" borderId="10" xfId="0" applyFont="1" applyFill="1" applyBorder="1" applyAlignment="1"/>
    <xf numFmtId="0" fontId="10" fillId="0" borderId="7" xfId="0" applyFont="1" applyBorder="1"/>
    <xf numFmtId="0" fontId="10" fillId="0" borderId="0" xfId="0" applyFont="1" applyBorder="1"/>
    <xf numFmtId="0" fontId="10" fillId="5" borderId="0" xfId="0" applyFont="1" applyFill="1" applyBorder="1"/>
    <xf numFmtId="0" fontId="10" fillId="0" borderId="0" xfId="0" applyFont="1" applyFill="1" applyBorder="1"/>
    <xf numFmtId="164" fontId="4" fillId="0" borderId="0" xfId="0" applyNumberFormat="1" applyFont="1" applyBorder="1"/>
    <xf numFmtId="0" fontId="0" fillId="12" borderId="0" xfId="0" applyFill="1"/>
    <xf numFmtId="0" fontId="0" fillId="12" borderId="0" xfId="0" applyFill="1" applyBorder="1"/>
    <xf numFmtId="0" fontId="0" fillId="12" borderId="7" xfId="0" applyFill="1" applyBorder="1"/>
    <xf numFmtId="0" fontId="0" fillId="12" borderId="4" xfId="0" applyFill="1" applyBorder="1"/>
    <xf numFmtId="0" fontId="0" fillId="0" borderId="0" xfId="0" applyBorder="1" applyAlignment="1">
      <alignment horizontal="right"/>
    </xf>
    <xf numFmtId="0" fontId="0" fillId="0" borderId="7" xfId="0" applyBorder="1" applyAlignment="1">
      <alignment horizontal="right"/>
    </xf>
    <xf numFmtId="0" fontId="0" fillId="0" borderId="5" xfId="0" applyBorder="1" applyAlignment="1">
      <alignment horizontal="right"/>
    </xf>
    <xf numFmtId="0" fontId="0" fillId="0" borderId="8" xfId="0" applyBorder="1" applyAlignment="1">
      <alignment horizontal="right"/>
    </xf>
    <xf numFmtId="0" fontId="0" fillId="0" borderId="4" xfId="0" applyBorder="1" applyAlignment="1">
      <alignment horizontal="right"/>
    </xf>
    <xf numFmtId="0" fontId="0" fillId="12" borderId="4" xfId="0" applyFill="1" applyBorder="1" applyAlignment="1">
      <alignment horizontal="right"/>
    </xf>
    <xf numFmtId="0" fontId="0" fillId="0" borderId="6" xfId="0" applyBorder="1" applyAlignment="1">
      <alignment horizontal="right"/>
    </xf>
    <xf numFmtId="164" fontId="4" fillId="0" borderId="4" xfId="0" applyNumberFormat="1" applyFont="1" applyBorder="1"/>
    <xf numFmtId="164" fontId="4" fillId="0" borderId="6" xfId="0" applyNumberFormat="1" applyFont="1" applyBorder="1"/>
    <xf numFmtId="164" fontId="4" fillId="3" borderId="0" xfId="0" applyNumberFormat="1" applyFont="1" applyFill="1" applyBorder="1"/>
    <xf numFmtId="164" fontId="4" fillId="0" borderId="0" xfId="0" applyNumberFormat="1" applyFont="1" applyFill="1" applyBorder="1"/>
    <xf numFmtId="164" fontId="0" fillId="0" borderId="0" xfId="0" applyNumberFormat="1"/>
    <xf numFmtId="0" fontId="4" fillId="13" borderId="0" xfId="0" applyFont="1" applyFill="1" applyBorder="1" applyAlignment="1">
      <alignment wrapText="1"/>
    </xf>
    <xf numFmtId="164" fontId="4" fillId="3" borderId="0" xfId="0" applyNumberFormat="1" applyFont="1" applyFill="1"/>
    <xf numFmtId="164" fontId="0" fillId="3" borderId="0" xfId="0" applyNumberFormat="1" applyFill="1"/>
    <xf numFmtId="164" fontId="4" fillId="13" borderId="0" xfId="0" applyNumberFormat="1" applyFont="1" applyFill="1" applyBorder="1"/>
    <xf numFmtId="164" fontId="0" fillId="4" borderId="0" xfId="0" applyNumberFormat="1" applyFill="1"/>
    <xf numFmtId="0" fontId="4" fillId="2" borderId="0" xfId="0" applyFont="1" applyFill="1" applyBorder="1"/>
    <xf numFmtId="0" fontId="4" fillId="2" borderId="7" xfId="0" applyFont="1" applyFill="1" applyBorder="1"/>
    <xf numFmtId="0" fontId="4" fillId="2" borderId="4" xfId="0" applyFont="1" applyFill="1" applyBorder="1"/>
    <xf numFmtId="0" fontId="4" fillId="2" borderId="10" xfId="0" applyFont="1" applyFill="1" applyBorder="1"/>
    <xf numFmtId="164" fontId="4" fillId="14" borderId="0" xfId="0" applyNumberFormat="1" applyFont="1" applyFill="1"/>
    <xf numFmtId="0" fontId="0" fillId="7" borderId="0" xfId="0" applyFill="1" applyBorder="1"/>
    <xf numFmtId="0" fontId="0" fillId="15" borderId="0" xfId="0" applyFill="1" applyBorder="1"/>
    <xf numFmtId="167" fontId="0" fillId="0" borderId="0" xfId="0" applyNumberFormat="1"/>
    <xf numFmtId="0" fontId="0" fillId="16" borderId="0" xfId="0" applyFill="1"/>
    <xf numFmtId="0" fontId="4" fillId="16" borderId="0" xfId="0" applyFont="1" applyFill="1" applyBorder="1" applyAlignment="1">
      <alignment wrapText="1"/>
    </xf>
    <xf numFmtId="0" fontId="4" fillId="16" borderId="0" xfId="0" applyFont="1" applyFill="1"/>
    <xf numFmtId="164" fontId="4" fillId="16" borderId="0" xfId="0" applyNumberFormat="1" applyFont="1" applyFill="1"/>
    <xf numFmtId="164" fontId="4" fillId="0" borderId="7" xfId="0" applyNumberFormat="1" applyFont="1" applyFill="1" applyBorder="1"/>
    <xf numFmtId="164" fontId="4" fillId="16" borderId="7" xfId="0" applyNumberFormat="1" applyFont="1" applyFill="1" applyBorder="1"/>
    <xf numFmtId="164" fontId="4" fillId="0" borderId="5" xfId="0" applyNumberFormat="1" applyFont="1" applyFill="1" applyBorder="1"/>
    <xf numFmtId="164" fontId="4" fillId="0" borderId="8" xfId="0" applyNumberFormat="1" applyFont="1" applyFill="1" applyBorder="1"/>
    <xf numFmtId="0" fontId="12" fillId="17" borderId="13" xfId="0" applyFont="1" applyFill="1" applyBorder="1" applyAlignment="1">
      <alignment horizontal="center"/>
    </xf>
    <xf numFmtId="0" fontId="13" fillId="18" borderId="13" xfId="0" applyFont="1" applyFill="1" applyBorder="1" applyAlignment="1">
      <alignment horizontal="center"/>
    </xf>
    <xf numFmtId="168" fontId="14" fillId="0" borderId="13" xfId="0" applyNumberFormat="1" applyFont="1" applyFill="1" applyBorder="1" applyAlignment="1">
      <alignment horizontal="right"/>
    </xf>
    <xf numFmtId="168" fontId="12" fillId="18" borderId="13" xfId="0" applyNumberFormat="1" applyFont="1" applyFill="1" applyBorder="1" applyAlignment="1">
      <alignment horizontal="right"/>
    </xf>
    <xf numFmtId="0" fontId="12" fillId="17" borderId="14" xfId="0" applyFont="1" applyFill="1" applyBorder="1" applyAlignment="1">
      <alignment horizontal="left"/>
    </xf>
    <xf numFmtId="0" fontId="11" fillId="0" borderId="12" xfId="0" applyFont="1" applyFill="1" applyBorder="1" applyAlignment="1">
      <alignment horizontal="left"/>
    </xf>
    <xf numFmtId="168" fontId="0" fillId="0" borderId="0" xfId="0" applyNumberFormat="1"/>
    <xf numFmtId="0" fontId="0" fillId="5" borderId="0" xfId="0" applyFill="1"/>
    <xf numFmtId="0" fontId="0" fillId="5" borderId="7" xfId="0" applyFill="1" applyBorder="1"/>
    <xf numFmtId="0" fontId="0" fillId="5" borderId="10" xfId="0" applyFill="1" applyBorder="1"/>
    <xf numFmtId="0" fontId="0" fillId="5" borderId="9" xfId="0" applyFill="1" applyBorder="1"/>
    <xf numFmtId="0" fontId="0" fillId="5" borderId="4" xfId="0" applyFill="1" applyBorder="1"/>
    <xf numFmtId="0" fontId="0" fillId="5" borderId="6" xfId="0" applyFill="1" applyBorder="1"/>
    <xf numFmtId="0" fontId="0" fillId="2" borderId="1" xfId="0" applyFill="1" applyBorder="1" applyAlignment="1">
      <alignment horizontal="right"/>
    </xf>
    <xf numFmtId="168" fontId="0" fillId="19" borderId="0" xfId="0" applyNumberFormat="1" applyFill="1" applyBorder="1"/>
    <xf numFmtId="168" fontId="0" fillId="19" borderId="7" xfId="0" applyNumberFormat="1" applyFill="1" applyBorder="1"/>
    <xf numFmtId="0" fontId="15" fillId="0" borderId="0" xfId="0" applyFont="1" applyFill="1" applyBorder="1"/>
    <xf numFmtId="0" fontId="15" fillId="20" borderId="9" xfId="0" applyFont="1" applyFill="1" applyBorder="1"/>
    <xf numFmtId="0" fontId="16" fillId="0" borderId="1" xfId="0" applyFont="1" applyFill="1" applyBorder="1" applyAlignment="1">
      <alignment wrapText="1"/>
    </xf>
    <xf numFmtId="0" fontId="16" fillId="0" borderId="4" xfId="0" applyFont="1" applyFill="1" applyBorder="1"/>
    <xf numFmtId="0" fontId="4" fillId="3" borderId="10" xfId="0" applyFont="1" applyFill="1" applyBorder="1"/>
    <xf numFmtId="0" fontId="0" fillId="3" borderId="10" xfId="0" applyFill="1" applyBorder="1"/>
    <xf numFmtId="10" fontId="0" fillId="0" borderId="0" xfId="0" applyNumberFormat="1"/>
    <xf numFmtId="0" fontId="0" fillId="19" borderId="0" xfId="0" applyFill="1" applyAlignment="1">
      <alignment wrapText="1"/>
    </xf>
    <xf numFmtId="164" fontId="0" fillId="0" borderId="11" xfId="0" applyNumberFormat="1" applyBorder="1"/>
    <xf numFmtId="0" fontId="0" fillId="5" borderId="0" xfId="0" applyFill="1" applyAlignment="1">
      <alignment wrapText="1"/>
    </xf>
    <xf numFmtId="0" fontId="0" fillId="19" borderId="5" xfId="0" applyFill="1" applyBorder="1" applyAlignment="1">
      <alignment wrapText="1"/>
    </xf>
    <xf numFmtId="164" fontId="4" fillId="0" borderId="5" xfId="0" applyNumberFormat="1" applyFont="1" applyBorder="1"/>
    <xf numFmtId="164" fontId="4" fillId="0" borderId="8" xfId="0" applyNumberFormat="1" applyFont="1" applyBorder="1"/>
    <xf numFmtId="0" fontId="4" fillId="0" borderId="0" xfId="0" pivotButton="1" applyFont="1"/>
    <xf numFmtId="0" fontId="4" fillId="0" borderId="0" xfId="0" applyFont="1" applyAlignment="1">
      <alignment horizontal="left"/>
    </xf>
    <xf numFmtId="0" fontId="0" fillId="0" borderId="0" xfId="0" applyBorder="1" applyAlignment="1">
      <alignment wrapText="1"/>
    </xf>
    <xf numFmtId="164" fontId="0" fillId="0" borderId="0" xfId="0" applyNumberFormat="1" applyBorder="1"/>
    <xf numFmtId="164" fontId="0" fillId="0" borderId="4" xfId="0" applyNumberFormat="1" applyBorder="1"/>
    <xf numFmtId="10" fontId="0" fillId="0" borderId="0" xfId="1" applyNumberFormat="1" applyFont="1" applyBorder="1"/>
    <xf numFmtId="164" fontId="0" fillId="0" borderId="5" xfId="0" applyNumberFormat="1" applyBorder="1"/>
    <xf numFmtId="10" fontId="0" fillId="0" borderId="7" xfId="1" applyNumberFormat="1" applyFont="1" applyBorder="1"/>
    <xf numFmtId="167" fontId="0" fillId="0" borderId="5" xfId="0" applyNumberFormat="1" applyBorder="1"/>
    <xf numFmtId="167" fontId="0" fillId="0" borderId="8" xfId="0" applyNumberFormat="1" applyBorder="1"/>
    <xf numFmtId="0" fontId="0" fillId="2" borderId="1" xfId="0" applyFill="1" applyBorder="1" applyAlignment="1">
      <alignment wrapText="1"/>
    </xf>
    <xf numFmtId="0" fontId="0" fillId="2" borderId="2" xfId="0" applyFill="1" applyBorder="1" applyAlignment="1">
      <alignment wrapText="1"/>
    </xf>
    <xf numFmtId="0" fontId="0" fillId="2" borderId="3" xfId="0" applyFill="1" applyBorder="1" applyAlignment="1">
      <alignment wrapText="1"/>
    </xf>
    <xf numFmtId="164" fontId="0" fillId="0" borderId="6" xfId="0" applyNumberFormat="1" applyBorder="1"/>
    <xf numFmtId="0" fontId="17" fillId="0" borderId="0" xfId="0" applyFont="1"/>
    <xf numFmtId="0" fontId="17" fillId="12" borderId="3" xfId="0" applyFont="1" applyFill="1" applyBorder="1"/>
    <xf numFmtId="0" fontId="0" fillId="2" borderId="4" xfId="0" applyFill="1" applyBorder="1" applyAlignment="1">
      <alignment wrapText="1"/>
    </xf>
    <xf numFmtId="0" fontId="0" fillId="0" borderId="5" xfId="1" applyNumberFormat="1" applyFont="1" applyBorder="1"/>
    <xf numFmtId="9" fontId="0" fillId="0" borderId="5" xfId="1" applyFont="1" applyBorder="1"/>
    <xf numFmtId="0" fontId="0" fillId="2" borderId="6" xfId="0" applyFill="1" applyBorder="1" applyAlignment="1">
      <alignment wrapText="1"/>
    </xf>
    <xf numFmtId="9" fontId="0" fillId="0" borderId="8" xfId="1" applyFont="1" applyBorder="1"/>
    <xf numFmtId="164" fontId="0" fillId="0" borderId="8" xfId="0" applyNumberFormat="1" applyBorder="1"/>
    <xf numFmtId="0" fontId="9" fillId="0" borderId="0" xfId="0" applyFont="1"/>
    <xf numFmtId="0" fontId="0" fillId="0" borderId="0" xfId="0" pivotButton="1"/>
    <xf numFmtId="0" fontId="0" fillId="0" borderId="0" xfId="0" applyAlignment="1">
      <alignment horizontal="left"/>
    </xf>
    <xf numFmtId="0" fontId="6" fillId="0" borderId="0" xfId="0" applyFont="1"/>
    <xf numFmtId="0" fontId="6" fillId="0" borderId="7" xfId="0" applyFont="1" applyBorder="1"/>
    <xf numFmtId="0" fontId="6" fillId="12" borderId="7" xfId="0" applyFont="1" applyFill="1" applyBorder="1"/>
    <xf numFmtId="0" fontId="0" fillId="12" borderId="3" xfId="0" applyFill="1" applyBorder="1"/>
    <xf numFmtId="164" fontId="4" fillId="3" borderId="5" xfId="0" applyNumberFormat="1" applyFont="1" applyFill="1" applyBorder="1"/>
    <xf numFmtId="164" fontId="4" fillId="3" borderId="8" xfId="0" applyNumberFormat="1" applyFont="1" applyFill="1" applyBorder="1"/>
    <xf numFmtId="0" fontId="0" fillId="0" borderId="3" xfId="0" applyFill="1" applyBorder="1"/>
    <xf numFmtId="0" fontId="9" fillId="0" borderId="3" xfId="0" applyFont="1" applyFill="1" applyBorder="1"/>
    <xf numFmtId="164" fontId="0" fillId="3" borderId="5" xfId="0" applyNumberFormat="1" applyFill="1" applyBorder="1"/>
    <xf numFmtId="164" fontId="0" fillId="3" borderId="8" xfId="0" applyNumberFormat="1" applyFill="1" applyBorder="1"/>
    <xf numFmtId="10" fontId="0" fillId="3" borderId="0" xfId="1" applyNumberFormat="1" applyFont="1" applyFill="1" applyBorder="1"/>
    <xf numFmtId="10" fontId="0" fillId="3" borderId="7" xfId="1" applyNumberFormat="1" applyFont="1" applyFill="1" applyBorder="1"/>
    <xf numFmtId="0" fontId="0" fillId="2" borderId="15" xfId="0" applyFill="1" applyBorder="1"/>
    <xf numFmtId="0" fontId="0" fillId="3" borderId="16" xfId="0" applyFill="1" applyBorder="1"/>
    <xf numFmtId="0" fontId="0" fillId="3" borderId="17" xfId="0" applyFill="1" applyBorder="1"/>
    <xf numFmtId="10" fontId="0" fillId="0" borderId="18" xfId="0" applyNumberFormat="1" applyBorder="1"/>
    <xf numFmtId="0" fontId="0" fillId="0" borderId="0" xfId="0"/>
    <xf numFmtId="0" fontId="19" fillId="0" borderId="0" xfId="0" applyFont="1"/>
    <xf numFmtId="0" fontId="18" fillId="0" borderId="0" xfId="0" applyFont="1"/>
    <xf numFmtId="0" fontId="18" fillId="0" borderId="0" xfId="0" applyFont="1" applyFill="1" applyBorder="1" applyAlignment="1">
      <alignment vertical="top" wrapText="1"/>
    </xf>
    <xf numFmtId="0" fontId="18" fillId="0" borderId="0" xfId="0" applyFont="1" applyFill="1" applyAlignment="1">
      <alignment vertical="top"/>
    </xf>
    <xf numFmtId="0" fontId="0" fillId="0" borderId="0" xfId="0" applyFont="1" applyFill="1" applyBorder="1" applyAlignment="1">
      <alignment vertical="top" wrapText="1"/>
    </xf>
    <xf numFmtId="0" fontId="0" fillId="0" borderId="0" xfId="0" applyFont="1" applyFill="1" applyAlignment="1">
      <alignment vertical="top" wrapText="1"/>
    </xf>
    <xf numFmtId="0" fontId="0" fillId="0" borderId="0" xfId="0" applyFont="1" applyFill="1" applyAlignment="1">
      <alignment vertical="top"/>
    </xf>
    <xf numFmtId="0" fontId="0" fillId="0" borderId="0" xfId="0" applyFont="1" applyFill="1" applyBorder="1" applyAlignment="1">
      <alignment vertical="top"/>
    </xf>
    <xf numFmtId="164" fontId="0" fillId="0" borderId="0" xfId="0" applyNumberFormat="1" applyFont="1" applyFill="1" applyBorder="1" applyAlignment="1">
      <alignment vertical="top"/>
    </xf>
    <xf numFmtId="9" fontId="0" fillId="0" borderId="0" xfId="1" applyFont="1" applyFill="1" applyBorder="1" applyAlignment="1">
      <alignment vertical="top"/>
    </xf>
    <xf numFmtId="166" fontId="0" fillId="0" borderId="8" xfId="1" applyNumberFormat="1" applyFont="1" applyBorder="1"/>
    <xf numFmtId="0" fontId="0" fillId="2" borderId="0" xfId="0" applyFill="1" applyAlignment="1"/>
    <xf numFmtId="0" fontId="20" fillId="0" borderId="0" xfId="0" applyFont="1" applyFill="1"/>
    <xf numFmtId="0" fontId="0" fillId="0" borderId="0" xfId="0" applyFont="1" applyFill="1"/>
    <xf numFmtId="9" fontId="0" fillId="0" borderId="0" xfId="0" applyNumberFormat="1" applyFont="1" applyFill="1" applyAlignment="1">
      <alignment vertical="top"/>
    </xf>
    <xf numFmtId="164" fontId="0" fillId="0" borderId="0" xfId="0" applyNumberFormat="1" applyFont="1" applyFill="1" applyAlignment="1">
      <alignment vertical="top"/>
    </xf>
    <xf numFmtId="10" fontId="0" fillId="0" borderId="0" xfId="0" applyNumberFormat="1" applyFont="1" applyFill="1" applyAlignment="1">
      <alignment vertical="top"/>
    </xf>
    <xf numFmtId="0" fontId="18" fillId="0" borderId="0" xfId="0" applyFont="1" applyFill="1"/>
    <xf numFmtId="0" fontId="0" fillId="0" borderId="4" xfId="0" applyFill="1" applyBorder="1"/>
    <xf numFmtId="0" fontId="18" fillId="0" borderId="0" xfId="0" applyFont="1" applyFill="1" applyAlignment="1">
      <alignment wrapText="1"/>
    </xf>
  </cellXfs>
  <cellStyles count="3">
    <cellStyle name="Currency" xfId="2" builtinId="4"/>
    <cellStyle name="Normal" xfId="0" builtinId="0"/>
    <cellStyle name="Percent" xfId="1" builtinId="5"/>
  </cellStyles>
  <dxfs count="1">
    <dxf>
      <font>
        <sz val="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Net Present Value of Cash Flows</a:t>
            </a:r>
          </a:p>
          <a:p>
            <a:pPr>
              <a:defRPr sz="1400"/>
            </a:pPr>
            <a:r>
              <a:rPr lang="en-US" sz="1400"/>
              <a:t>Internal Medicine</a:t>
            </a:r>
          </a:p>
        </c:rich>
      </c:tx>
      <c:overlay val="0"/>
    </c:title>
    <c:autoTitleDeleted val="0"/>
    <c:plotArea>
      <c:layout/>
      <c:lineChart>
        <c:grouping val="standard"/>
        <c:varyColors val="0"/>
        <c:ser>
          <c:idx val="3"/>
          <c:order val="0"/>
          <c:tx>
            <c:strRef>
              <c:f>Graph_IntMed!$C$6</c:f>
              <c:strCache>
                <c:ptCount val="1"/>
                <c:pt idx="0">
                  <c:v>USU30</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Graph_IntMed!$C$7:$C$36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423874.97502869397</c:v>
                </c:pt>
                <c:pt idx="8">
                  <c:v>484834.5605219836</c:v>
                </c:pt>
                <c:pt idx="9">
                  <c:v>543487.76383678697</c:v>
                </c:pt>
                <c:pt idx="10">
                  <c:v>607173.55986387469</c:v>
                </c:pt>
                <c:pt idx="11">
                  <c:v>668444.78607626876</c:v>
                </c:pt>
                <c:pt idx="12">
                  <c:v>728871.24943829409</c:v>
                </c:pt>
                <c:pt idx="13">
                  <c:v>787006.42688072962</c:v>
                </c:pt>
                <c:pt idx="14">
                  <c:v>866692.12305053731</c:v>
                </c:pt>
                <c:pt idx="15">
                  <c:v>943313.86216143309</c:v>
                </c:pt>
                <c:pt idx="16">
                  <c:v>1019655.3707134107</c:v>
                </c:pt>
                <c:pt idx="17">
                  <c:v>1093061.2692764015</c:v>
                </c:pt>
                <c:pt idx="18">
                  <c:v>1164922.7432174559</c:v>
                </c:pt>
                <c:pt idx="19">
                  <c:v>1234020.8995299013</c:v>
                </c:pt>
                <c:pt idx="20">
                  <c:v>1302270.4267230788</c:v>
                </c:pt>
                <c:pt idx="21">
                  <c:v>1367895.4297844293</c:v>
                </c:pt>
                <c:pt idx="22">
                  <c:v>1434930.3930117351</c:v>
                </c:pt>
                <c:pt idx="23">
                  <c:v>1499381.6004349594</c:v>
                </c:pt>
                <c:pt idx="24">
                  <c:v>1564183.7950563659</c:v>
                </c:pt>
                <c:pt idx="25">
                  <c:v>1626488.1289464189</c:v>
                </c:pt>
                <c:pt idx="26">
                  <c:v>1687886.8066189096</c:v>
                </c:pt>
                <c:pt idx="27">
                  <c:v>1746918.784065299</c:v>
                </c:pt>
                <c:pt idx="28">
                  <c:v>1803675.3459129347</c:v>
                </c:pt>
                <c:pt idx="29">
                  <c:v>1858244.2542448989</c:v>
                </c:pt>
              </c:numCache>
            </c:numRef>
          </c:val>
          <c:smooth val="0"/>
        </c:ser>
        <c:ser>
          <c:idx val="4"/>
          <c:order val="1"/>
          <c:tx>
            <c:strRef>
              <c:f>Graph_IntMed!$D$6</c:f>
              <c:strCache>
                <c:ptCount val="1"/>
                <c:pt idx="0">
                  <c:v>HPSP30</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Graph_IntMed!$D$7:$D$36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331751.25271802075</c:v>
                </c:pt>
                <c:pt idx="8">
                  <c:v>392710.83821131039</c:v>
                </c:pt>
                <c:pt idx="9">
                  <c:v>451364.04152611369</c:v>
                </c:pt>
                <c:pt idx="10">
                  <c:v>515049.83755320142</c:v>
                </c:pt>
                <c:pt idx="11">
                  <c:v>600551.07119948231</c:v>
                </c:pt>
                <c:pt idx="12">
                  <c:v>684313.1123290431</c:v>
                </c:pt>
                <c:pt idx="13">
                  <c:v>764854.60947290598</c:v>
                </c:pt>
                <c:pt idx="14">
                  <c:v>844540.30564271368</c:v>
                </c:pt>
                <c:pt idx="15">
                  <c:v>921162.04475360946</c:v>
                </c:pt>
                <c:pt idx="16">
                  <c:v>997503.55330558703</c:v>
                </c:pt>
                <c:pt idx="17">
                  <c:v>1070909.4518685779</c:v>
                </c:pt>
                <c:pt idx="18">
                  <c:v>1142770.9258096323</c:v>
                </c:pt>
                <c:pt idx="19">
                  <c:v>1211869.0821220777</c:v>
                </c:pt>
                <c:pt idx="20">
                  <c:v>1280118.6093152552</c:v>
                </c:pt>
                <c:pt idx="21">
                  <c:v>1345743.6123766056</c:v>
                </c:pt>
                <c:pt idx="22">
                  <c:v>1412778.5756039114</c:v>
                </c:pt>
                <c:pt idx="23">
                  <c:v>1477229.7830271358</c:v>
                </c:pt>
                <c:pt idx="24">
                  <c:v>1540644.7934748186</c:v>
                </c:pt>
                <c:pt idx="25">
                  <c:v>1601881.2511785394</c:v>
                </c:pt>
                <c:pt idx="26">
                  <c:v>1661012.8912972515</c:v>
                </c:pt>
                <c:pt idx="27">
                  <c:v>1718236.1268433037</c:v>
                </c:pt>
                <c:pt idx="28">
                  <c:v>1773610.2067569182</c:v>
                </c:pt>
                <c:pt idx="29">
                  <c:v>1827514.5868415183</c:v>
                </c:pt>
              </c:numCache>
            </c:numRef>
          </c:val>
          <c:smooth val="0"/>
        </c:ser>
        <c:ser>
          <c:idx val="0"/>
          <c:order val="2"/>
          <c:tx>
            <c:strRef>
              <c:f>Graph_IntMed!$E$6</c:f>
              <c:strCache>
                <c:ptCount val="1"/>
                <c:pt idx="0">
                  <c:v>STD10</c:v>
                </c:pt>
              </c:strCache>
            </c:strRef>
          </c:tx>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Graph_IntMed!$E$7:$E$36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-3236.2026610360772</c:v>
                </c:pt>
                <c:pt idx="8">
                  <c:v>75540.188423989472</c:v>
                </c:pt>
                <c:pt idx="9">
                  <c:v>153409.53622958992</c:v>
                </c:pt>
                <c:pt idx="10">
                  <c:v>230358.72231171071</c:v>
                </c:pt>
                <c:pt idx="11">
                  <c:v>306376.37954801781</c:v>
                </c:pt>
                <c:pt idx="12">
                  <c:v>381452.78567243472</c:v>
                </c:pt>
                <c:pt idx="13">
                  <c:v>455579.76237585605</c:v>
                </c:pt>
                <c:pt idx="14">
                  <c:v>528692.1950825532</c:v>
                </c:pt>
                <c:pt idx="15">
                  <c:v>600784.66425864561</c:v>
                </c:pt>
                <c:pt idx="16">
                  <c:v>671855.95062953397</c:v>
                </c:pt>
                <c:pt idx="17">
                  <c:v>756455.63936790894</c:v>
                </c:pt>
                <c:pt idx="18">
                  <c:v>839334.12678126583</c:v>
                </c:pt>
                <c:pt idx="19">
                  <c:v>920526.97892195347</c:v>
                </c:pt>
                <c:pt idx="20">
                  <c:v>1000069.0115462184</c:v>
                </c:pt>
                <c:pt idx="21">
                  <c:v>1077994.3063673258</c:v>
                </c:pt>
                <c:pt idx="22">
                  <c:v>1154336.2269450962</c:v>
                </c:pt>
                <c:pt idx="23">
                  <c:v>1229127.4342202926</c:v>
                </c:pt>
                <c:pt idx="24">
                  <c:v>1302399.901702096</c:v>
                </c:pt>
                <c:pt idx="25">
                  <c:v>1374184.9303166976</c:v>
                </c:pt>
                <c:pt idx="26">
                  <c:v>1444513.1629248548</c:v>
                </c:pt>
                <c:pt idx="27">
                  <c:v>1513414.5985160603</c:v>
                </c:pt>
                <c:pt idx="28">
                  <c:v>1580918.6060867952</c:v>
                </c:pt>
                <c:pt idx="29">
                  <c:v>1647053.9382101544</c:v>
                </c:pt>
              </c:numCache>
            </c:numRef>
          </c:val>
          <c:smooth val="0"/>
        </c:ser>
        <c:ser>
          <c:idx val="1"/>
          <c:order val="3"/>
          <c:tx>
            <c:strRef>
              <c:f>Graph_IntMed!$F$6</c:f>
              <c:strCache>
                <c:ptCount val="1"/>
                <c:pt idx="0">
                  <c:v>EXT</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Graph_IntMed!$F$7:$F$36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6739.1724907189346</c:v>
                </c:pt>
                <c:pt idx="8">
                  <c:v>95010.495187923254</c:v>
                </c:pt>
                <c:pt idx="9">
                  <c:v>181917.47064646371</c:v>
                </c:pt>
                <c:pt idx="10">
                  <c:v>267469.0055320682</c:v>
                </c:pt>
                <c:pt idx="11">
                  <c:v>351674.6970378249</c:v>
                </c:pt>
                <c:pt idx="12">
                  <c:v>434544.77750970959</c:v>
                </c:pt>
                <c:pt idx="13">
                  <c:v>516090.06217759667</c:v>
                </c:pt>
                <c:pt idx="14">
                  <c:v>596263.51521978376</c:v>
                </c:pt>
                <c:pt idx="15">
                  <c:v>675076.92513020895</c:v>
                </c:pt>
                <c:pt idx="16">
                  <c:v>752545.45187263051</c:v>
                </c:pt>
                <c:pt idx="17">
                  <c:v>828684.55019145983</c:v>
                </c:pt>
                <c:pt idx="18">
                  <c:v>903509.93421670911</c:v>
                </c:pt>
                <c:pt idx="19">
                  <c:v>977037.54422137199</c:v>
                </c:pt>
                <c:pt idx="20">
                  <c:v>1049283.5154178578</c:v>
                </c:pt>
                <c:pt idx="21">
                  <c:v>1120264.1486857776</c:v>
                </c:pt>
                <c:pt idx="22">
                  <c:v>1189995.8831287792</c:v>
                </c:pt>
                <c:pt idx="23">
                  <c:v>1258495.270363267</c:v>
                </c:pt>
                <c:pt idx="24">
                  <c:v>1325778.9504467184</c:v>
                </c:pt>
                <c:pt idx="25">
                  <c:v>1391863.629357958</c:v>
                </c:pt>
                <c:pt idx="26">
                  <c:v>1456766.0579461628</c:v>
                </c:pt>
                <c:pt idx="27">
                  <c:v>1520503.0122695668</c:v>
                </c:pt>
                <c:pt idx="28">
                  <c:v>1583091.2752488288</c:v>
                </c:pt>
                <c:pt idx="29">
                  <c:v>1644547.6195638184</c:v>
                </c:pt>
              </c:numCache>
            </c:numRef>
          </c:val>
          <c:smooth val="0"/>
        </c:ser>
        <c:ser>
          <c:idx val="2"/>
          <c:order val="4"/>
          <c:tx>
            <c:strRef>
              <c:f>Graph_IntMed!$G$6</c:f>
              <c:strCache>
                <c:ptCount val="1"/>
                <c:pt idx="0">
                  <c:v>IBR</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Graph_IntMed!$G$7:$G$36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931.05610505286313</c:v>
                </c:pt>
                <c:pt idx="8">
                  <c:v>83092.354772599268</c:v>
                </c:pt>
                <c:pt idx="9">
                  <c:v>163612.96321193108</c:v>
                </c:pt>
                <c:pt idx="10">
                  <c:v>242525.91641303879</c:v>
                </c:pt>
                <c:pt idx="11">
                  <c:v>319863.57643868041</c:v>
                </c:pt>
                <c:pt idx="12">
                  <c:v>395657.64635249873</c:v>
                </c:pt>
                <c:pt idx="13">
                  <c:v>469939.18385267572</c:v>
                </c:pt>
                <c:pt idx="14">
                  <c:v>543051.61655937287</c:v>
                </c:pt>
                <c:pt idx="15">
                  <c:v>615144.08573546528</c:v>
                </c:pt>
                <c:pt idx="16">
                  <c:v>686215.37210635364</c:v>
                </c:pt>
                <c:pt idx="17">
                  <c:v>756265.3400506035</c:v>
                </c:pt>
                <c:pt idx="18">
                  <c:v>837960.69110832852</c:v>
                </c:pt>
                <c:pt idx="19">
                  <c:v>919153.54324901616</c:v>
                </c:pt>
                <c:pt idx="20">
                  <c:v>998695.57587328111</c:v>
                </c:pt>
                <c:pt idx="21">
                  <c:v>1076620.8706943886</c:v>
                </c:pt>
                <c:pt idx="22">
                  <c:v>1152962.791272159</c:v>
                </c:pt>
                <c:pt idx="23">
                  <c:v>1227753.9985473554</c:v>
                </c:pt>
                <c:pt idx="24">
                  <c:v>1301026.4660291588</c:v>
                </c:pt>
                <c:pt idx="25">
                  <c:v>1372811.4946437604</c:v>
                </c:pt>
                <c:pt idx="26">
                  <c:v>1443139.7272519176</c:v>
                </c:pt>
                <c:pt idx="27">
                  <c:v>1512041.1628431231</c:v>
                </c:pt>
                <c:pt idx="28">
                  <c:v>1579545.170413858</c:v>
                </c:pt>
                <c:pt idx="29">
                  <c:v>1645680.5025372172</c:v>
                </c:pt>
              </c:numCache>
            </c:numRef>
          </c:val>
          <c:smooth val="0"/>
        </c:ser>
        <c:ser>
          <c:idx val="5"/>
          <c:order val="5"/>
          <c:tx>
            <c:strRef>
              <c:f>Graph_IntMed!$H$6</c:f>
              <c:strCache>
                <c:ptCount val="1"/>
                <c:pt idx="0">
                  <c:v>PAYE</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Graph_IntMed!$H$7:$H$36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7487.2162338921626</c:v>
                </c:pt>
                <c:pt idx="8">
                  <c:v>96082.792218022878</c:v>
                </c:pt>
                <c:pt idx="9">
                  <c:v>182917.9907679187</c:v>
                </c:pt>
                <c:pt idx="10">
                  <c:v>268028.00508655154</c:v>
                </c:pt>
                <c:pt idx="11">
                  <c:v>351447.31862481689</c:v>
                </c:pt>
                <c:pt idx="12">
                  <c:v>433209.71957171493</c:v>
                </c:pt>
                <c:pt idx="13">
                  <c:v>513348.31504370773</c:v>
                </c:pt>
                <c:pt idx="14">
                  <c:v>591837.16036597476</c:v>
                </c:pt>
                <c:pt idx="15">
                  <c:v>668707.99457149941</c:v>
                </c:pt>
                <c:pt idx="16">
                  <c:v>743994.84475145221</c:v>
                </c:pt>
                <c:pt idx="17">
                  <c:v>817731.0037685649</c:v>
                </c:pt>
                <c:pt idx="18">
                  <c:v>889949.0466061132</c:v>
                </c:pt>
                <c:pt idx="19">
                  <c:v>960680.84633946687</c:v>
                </c:pt>
                <c:pt idx="20">
                  <c:v>1029957.5897392638</c:v>
                </c:pt>
                <c:pt idx="21">
                  <c:v>1097809.7925150397</c:v>
                </c:pt>
                <c:pt idx="22">
                  <c:v>1164267.3142079234</c:v>
                </c:pt>
                <c:pt idx="23">
                  <c:v>1229359.3727407956</c:v>
                </c:pt>
                <c:pt idx="24">
                  <c:v>1294380.4163218858</c:v>
                </c:pt>
                <c:pt idx="25">
                  <c:v>1366165.4449364874</c:v>
                </c:pt>
                <c:pt idx="26">
                  <c:v>1436493.6775446446</c:v>
                </c:pt>
                <c:pt idx="27">
                  <c:v>1505395.1131358501</c:v>
                </c:pt>
                <c:pt idx="28">
                  <c:v>1572899.120706585</c:v>
                </c:pt>
                <c:pt idx="29">
                  <c:v>1639034.4528299442</c:v>
                </c:pt>
              </c:numCache>
            </c:numRef>
          </c:val>
          <c:smooth val="0"/>
        </c:ser>
        <c:ser>
          <c:idx val="6"/>
          <c:order val="6"/>
          <c:tx>
            <c:strRef>
              <c:f>Graph_IntMed!$L$6</c:f>
              <c:strCache>
                <c:ptCount val="1"/>
                <c:pt idx="0">
                  <c:v>USU20</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Graph_IntMed!$L$7:$L$36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423874.97502869397</c:v>
                </c:pt>
                <c:pt idx="8">
                  <c:v>484834.5605219836</c:v>
                </c:pt>
                <c:pt idx="9">
                  <c:v>543487.76383678697</c:v>
                </c:pt>
                <c:pt idx="10">
                  <c:v>607173.55986387469</c:v>
                </c:pt>
                <c:pt idx="11">
                  <c:v>668444.78607626876</c:v>
                </c:pt>
                <c:pt idx="12">
                  <c:v>728871.24943829409</c:v>
                </c:pt>
                <c:pt idx="13">
                  <c:v>787006.42688072962</c:v>
                </c:pt>
                <c:pt idx="14">
                  <c:v>866692.12305053731</c:v>
                </c:pt>
                <c:pt idx="15">
                  <c:v>943313.86216143309</c:v>
                </c:pt>
                <c:pt idx="16">
                  <c:v>1019655.3707134107</c:v>
                </c:pt>
                <c:pt idx="17">
                  <c:v>1093061.2692764015</c:v>
                </c:pt>
                <c:pt idx="18">
                  <c:v>1164922.7432174559</c:v>
                </c:pt>
                <c:pt idx="19">
                  <c:v>1234020.8995299013</c:v>
                </c:pt>
                <c:pt idx="20">
                  <c:v>1302270.4267230788</c:v>
                </c:pt>
                <c:pt idx="21">
                  <c:v>1367895.4297844293</c:v>
                </c:pt>
                <c:pt idx="22">
                  <c:v>1434930.3930117351</c:v>
                </c:pt>
                <c:pt idx="23">
                  <c:v>1499381.6004349594</c:v>
                </c:pt>
                <c:pt idx="24">
                  <c:v>1555783.4704518379</c:v>
                </c:pt>
                <c:pt idx="25">
                  <c:v>1610012.1067875663</c:v>
                </c:pt>
                <c:pt idx="26">
                  <c:v>1688901.5760365392</c:v>
                </c:pt>
                <c:pt idx="27">
                  <c:v>1765909.0832181347</c:v>
                </c:pt>
                <c:pt idx="28">
                  <c:v>1841084.0246325182</c:v>
                </c:pt>
                <c:pt idx="29">
                  <c:v>1914474.3584127922</c:v>
                </c:pt>
              </c:numCache>
            </c:numRef>
          </c:val>
          <c:smooth val="0"/>
        </c:ser>
        <c:ser>
          <c:idx val="7"/>
          <c:order val="7"/>
          <c:tx>
            <c:strRef>
              <c:f>Graph_IntMed!$M$6</c:f>
              <c:strCache>
                <c:ptCount val="1"/>
                <c:pt idx="0">
                  <c:v>HPSP20</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Graph_IntMed!$M$7:$M$36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331751.25271802075</c:v>
                </c:pt>
                <c:pt idx="8">
                  <c:v>392710.83821131039</c:v>
                </c:pt>
                <c:pt idx="9">
                  <c:v>451364.04152611369</c:v>
                </c:pt>
                <c:pt idx="10">
                  <c:v>515049.83755320142</c:v>
                </c:pt>
                <c:pt idx="11">
                  <c:v>600551.07119948231</c:v>
                </c:pt>
                <c:pt idx="12">
                  <c:v>684313.1123290431</c:v>
                </c:pt>
                <c:pt idx="13">
                  <c:v>764854.60947290598</c:v>
                </c:pt>
                <c:pt idx="14">
                  <c:v>844540.30564271368</c:v>
                </c:pt>
                <c:pt idx="15">
                  <c:v>921162.04475360946</c:v>
                </c:pt>
                <c:pt idx="16">
                  <c:v>997503.55330558703</c:v>
                </c:pt>
                <c:pt idx="17">
                  <c:v>1070909.4518685779</c:v>
                </c:pt>
                <c:pt idx="18">
                  <c:v>1142770.9258096323</c:v>
                </c:pt>
                <c:pt idx="19">
                  <c:v>1211869.0821220777</c:v>
                </c:pt>
                <c:pt idx="20">
                  <c:v>1280118.6093152552</c:v>
                </c:pt>
                <c:pt idx="21">
                  <c:v>1345743.6123766056</c:v>
                </c:pt>
                <c:pt idx="22">
                  <c:v>1412778.5756039114</c:v>
                </c:pt>
                <c:pt idx="23">
                  <c:v>1477229.7830271358</c:v>
                </c:pt>
                <c:pt idx="24">
                  <c:v>1532244.4688702906</c:v>
                </c:pt>
                <c:pt idx="25">
                  <c:v>1585405.2290196868</c:v>
                </c:pt>
                <c:pt idx="26">
                  <c:v>1636773.2535569523</c:v>
                </c:pt>
                <c:pt idx="27">
                  <c:v>1714340.0495104855</c:v>
                </c:pt>
                <c:pt idx="28">
                  <c:v>1790052.6662148526</c:v>
                </c:pt>
                <c:pt idx="29">
                  <c:v>1863959.8970471765</c:v>
                </c:pt>
              </c:numCache>
            </c:numRef>
          </c:val>
          <c:smooth val="0"/>
        </c:ser>
        <c:ser>
          <c:idx val="8"/>
          <c:order val="8"/>
          <c:tx>
            <c:strRef>
              <c:f>Graph_IntMed!$N$6</c:f>
              <c:strCache>
                <c:ptCount val="1"/>
                <c:pt idx="0">
                  <c:v>USUim</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Graph_IntMed!$N$7:$N$36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423874.97502869397</c:v>
                </c:pt>
                <c:pt idx="8">
                  <c:v>484834.5605219836</c:v>
                </c:pt>
                <c:pt idx="9">
                  <c:v>543487.76383678697</c:v>
                </c:pt>
                <c:pt idx="10">
                  <c:v>607173.55986387469</c:v>
                </c:pt>
                <c:pt idx="11">
                  <c:v>668444.78607626876</c:v>
                </c:pt>
                <c:pt idx="12">
                  <c:v>728871.24943829409</c:v>
                </c:pt>
                <c:pt idx="13">
                  <c:v>787006.42688072962</c:v>
                </c:pt>
                <c:pt idx="14">
                  <c:v>868135.23805063753</c:v>
                </c:pt>
                <c:pt idx="15">
                  <c:v>947664.69639162696</c:v>
                </c:pt>
                <c:pt idx="16">
                  <c:v>1025626.4120104356</c:v>
                </c:pt>
                <c:pt idx="17">
                  <c:v>1102051.367919029</c:v>
                </c:pt>
                <c:pt idx="18">
                  <c:v>1176969.9325428705</c:v>
                </c:pt>
                <c:pt idx="19">
                  <c:v>1250411.8719777474</c:v>
                </c:pt>
                <c:pt idx="20">
                  <c:v>1322406.3620002642</c:v>
                </c:pt>
                <c:pt idx="21">
                  <c:v>1392981.9998370076</c:v>
                </c:pt>
                <c:pt idx="22">
                  <c:v>1462166.8156972844</c:v>
                </c:pt>
                <c:pt idx="23">
                  <c:v>1529988.2840742352</c:v>
                </c:pt>
                <c:pt idx="24">
                  <c:v>1596466.4092454289</c:v>
                </c:pt>
                <c:pt idx="25">
                  <c:v>1661590.317947668</c:v>
                </c:pt>
                <c:pt idx="26">
                  <c:v>1725388.0408378227</c:v>
                </c:pt>
                <c:pt idx="27">
                  <c:v>1787887.0159211827</c:v>
                </c:pt>
                <c:pt idx="28">
                  <c:v>1849114.1014254023</c:v>
                </c:pt>
                <c:pt idx="29">
                  <c:v>1909095.5883855114</c:v>
                </c:pt>
              </c:numCache>
            </c:numRef>
          </c:val>
          <c:smooth val="0"/>
        </c:ser>
        <c:ser>
          <c:idx val="9"/>
          <c:order val="9"/>
          <c:tx>
            <c:strRef>
              <c:f>Graph_IntMed!$O$6</c:f>
              <c:strCache>
                <c:ptCount val="1"/>
                <c:pt idx="0">
                  <c:v>HPSPim</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Graph_IntMed!$O$7:$O$36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331751.25271802075</c:v>
                </c:pt>
                <c:pt idx="8">
                  <c:v>392710.83821131039</c:v>
                </c:pt>
                <c:pt idx="9">
                  <c:v>451364.04152611369</c:v>
                </c:pt>
                <c:pt idx="10">
                  <c:v>515049.83755320142</c:v>
                </c:pt>
                <c:pt idx="11">
                  <c:v>601172.8318493634</c:v>
                </c:pt>
                <c:pt idx="12">
                  <c:v>685597.75146305724</c:v>
                </c:pt>
                <c:pt idx="13">
                  <c:v>768358.16542832518</c:v>
                </c:pt>
                <c:pt idx="14">
                  <c:v>849486.97659823322</c:v>
                </c:pt>
                <c:pt idx="15">
                  <c:v>929016.43493922264</c:v>
                </c:pt>
                <c:pt idx="16">
                  <c:v>1006978.1505580313</c:v>
                </c:pt>
                <c:pt idx="17">
                  <c:v>1083403.1064666247</c:v>
                </c:pt>
                <c:pt idx="18">
                  <c:v>1158321.6710904662</c:v>
                </c:pt>
                <c:pt idx="19">
                  <c:v>1231763.6105253431</c:v>
                </c:pt>
                <c:pt idx="20">
                  <c:v>1303758.1005478599</c:v>
                </c:pt>
                <c:pt idx="21">
                  <c:v>1374333.7383846033</c:v>
                </c:pt>
                <c:pt idx="22">
                  <c:v>1443518.5542448801</c:v>
                </c:pt>
                <c:pt idx="23">
                  <c:v>1511340.0226218309</c:v>
                </c:pt>
                <c:pt idx="24">
                  <c:v>1577818.1477930245</c:v>
                </c:pt>
                <c:pt idx="25">
                  <c:v>1642942.0564952637</c:v>
                </c:pt>
                <c:pt idx="26">
                  <c:v>1706739.7793854184</c:v>
                </c:pt>
                <c:pt idx="27">
                  <c:v>1769238.7544687784</c:v>
                </c:pt>
                <c:pt idx="28">
                  <c:v>1830465.839972998</c:v>
                </c:pt>
                <c:pt idx="29">
                  <c:v>1890447.3269331071</c:v>
                </c:pt>
              </c:numCache>
            </c:numRef>
          </c:val>
          <c:smooth val="0"/>
        </c:ser>
        <c:ser>
          <c:idx val="10"/>
          <c:order val="10"/>
          <c:tx>
            <c:strRef>
              <c:f>Graph_IntMed!$P$6</c:f>
              <c:strCache>
                <c:ptCount val="1"/>
                <c:pt idx="0">
                  <c:v>NHSC</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Graph_IntMed!$P$7:$P$36</c:f>
              <c:numCache>
                <c:formatCode>"$"#,##0</c:formatCode>
                <c:ptCount val="30"/>
                <c:pt idx="0">
                  <c:v>13737.898000000001</c:v>
                </c:pt>
                <c:pt idx="1">
                  <c:v>26833.174984580241</c:v>
                </c:pt>
                <c:pt idx="2">
                  <c:v>39316.22701228669</c:v>
                </c:pt>
                <c:pt idx="3">
                  <c:v>51216.002327239214</c:v>
                </c:pt>
                <c:pt idx="4">
                  <c:v>87102.330929145042</c:v>
                </c:pt>
                <c:pt idx="5">
                  <c:v>123087.45323780252</c:v>
                </c:pt>
                <c:pt idx="6">
                  <c:v>159178.72767926601</c:v>
                </c:pt>
                <c:pt idx="7">
                  <c:v>241485.8266800486</c:v>
                </c:pt>
                <c:pt idx="8">
                  <c:v>322160.04281040467</c:v>
                </c:pt>
                <c:pt idx="9">
                  <c:v>401233.94730921235</c:v>
                </c:pt>
                <c:pt idx="10">
                  <c:v>478739.45662979071</c:v>
                </c:pt>
                <c:pt idx="11">
                  <c:v>554707.84574874945</c:v>
                </c:pt>
                <c:pt idx="12">
                  <c:v>629169.76120019332</c:v>
                </c:pt>
                <c:pt idx="13">
                  <c:v>702155.23384106648</c:v>
                </c:pt>
                <c:pt idx="14">
                  <c:v>773693.69135329383</c:v>
                </c:pt>
                <c:pt idx="15">
                  <c:v>843113.05724170024</c:v>
                </c:pt>
                <c:pt idx="16">
                  <c:v>911162.91751483921</c:v>
                </c:pt>
                <c:pt idx="17">
                  <c:v>977870.3681825801</c:v>
                </c:pt>
                <c:pt idx="18">
                  <c:v>1043261.9668840171</c:v>
                </c:pt>
                <c:pt idx="19">
                  <c:v>1107363.7436498699</c:v>
                </c:pt>
                <c:pt idx="20">
                  <c:v>1170201.2114478534</c:v>
                </c:pt>
                <c:pt idx="21">
                  <c:v>1231799.3765154462</c:v>
                </c:pt>
                <c:pt idx="22">
                  <c:v>1292182.7484843994</c:v>
                </c:pt>
                <c:pt idx="23">
                  <c:v>1351375.3503012287</c:v>
                </c:pt>
                <c:pt idx="24">
                  <c:v>1409400.7279478563</c:v>
                </c:pt>
                <c:pt idx="25">
                  <c:v>1466281.9599664717</c:v>
                </c:pt>
                <c:pt idx="26">
                  <c:v>1522041.6667926034</c:v>
                </c:pt>
                <c:pt idx="27">
                  <c:v>1576702.0199003082</c:v>
                </c:pt>
                <c:pt idx="28">
                  <c:v>1630284.7507633036</c:v>
                </c:pt>
                <c:pt idx="29">
                  <c:v>1682811.1596357916</c:v>
                </c:pt>
              </c:numCache>
            </c:numRef>
          </c:val>
          <c:smooth val="0"/>
        </c:ser>
        <c:ser>
          <c:idx val="11"/>
          <c:order val="11"/>
          <c:tx>
            <c:strRef>
              <c:f>Graph_IntMed!$Q$6</c:f>
              <c:strCache>
                <c:ptCount val="1"/>
                <c:pt idx="0">
                  <c:v>PSLF</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Graph_IntMed!$Q$7:$Q$36</c:f>
              <c:numCache>
                <c:formatCode>"$"#,##0</c:formatCode>
                <c:ptCount val="30"/>
                <c:pt idx="0">
                  <c:v>-43015.05</c:v>
                </c:pt>
                <c:pt idx="1">
                  <c:v>-86352.285865219877</c:v>
                </c:pt>
                <c:pt idx="2">
                  <c:v>-138541.19578403595</c:v>
                </c:pt>
                <c:pt idx="3">
                  <c:v>-190867.3802890821</c:v>
                </c:pt>
                <c:pt idx="4">
                  <c:v>-157911.19312249741</c:v>
                </c:pt>
                <c:pt idx="5">
                  <c:v>-124940.73121601366</c:v>
                </c:pt>
                <c:pt idx="6">
                  <c:v>-91947.694234953364</c:v>
                </c:pt>
                <c:pt idx="7">
                  <c:v>-7203.3353537460498</c:v>
                </c:pt>
                <c:pt idx="8">
                  <c:v>76047.069009965111</c:v>
                </c:pt>
                <c:pt idx="9">
                  <c:v>157792.6553459086</c:v>
                </c:pt>
                <c:pt idx="10">
                  <c:v>238025.62422551654</c:v>
                </c:pt>
                <c:pt idx="11">
                  <c:v>315972.89442811173</c:v>
                </c:pt>
                <c:pt idx="12">
                  <c:v>391691.51370933955</c:v>
                </c:pt>
                <c:pt idx="13">
                  <c:v>465237.5280574917</c:v>
                </c:pt>
                <c:pt idx="14">
                  <c:v>536665.9741005844</c:v>
                </c:pt>
                <c:pt idx="15">
                  <c:v>606030.87359118427</c:v>
                </c:pt>
                <c:pt idx="16">
                  <c:v>672847.30892490898</c:v>
                </c:pt>
                <c:pt idx="17">
                  <c:v>749272.26483350236</c:v>
                </c:pt>
                <c:pt idx="18">
                  <c:v>824190.82945734379</c:v>
                </c:pt>
                <c:pt idx="19">
                  <c:v>897632.76889222057</c:v>
                </c:pt>
                <c:pt idx="20">
                  <c:v>969627.25891473726</c:v>
                </c:pt>
                <c:pt idx="21">
                  <c:v>1040202.8967514804</c:v>
                </c:pt>
                <c:pt idx="22">
                  <c:v>1109387.7126117572</c:v>
                </c:pt>
                <c:pt idx="23">
                  <c:v>1177209.1809887078</c:v>
                </c:pt>
                <c:pt idx="24">
                  <c:v>1243687.3061599014</c:v>
                </c:pt>
                <c:pt idx="25">
                  <c:v>1308811.2148621404</c:v>
                </c:pt>
                <c:pt idx="26">
                  <c:v>1372608.9377522951</c:v>
                </c:pt>
                <c:pt idx="27">
                  <c:v>1435107.912835655</c:v>
                </c:pt>
                <c:pt idx="28">
                  <c:v>1496334.9983398747</c:v>
                </c:pt>
                <c:pt idx="29">
                  <c:v>1556316.4852999835</c:v>
                </c:pt>
              </c:numCache>
            </c:numRef>
          </c:val>
          <c:smooth val="0"/>
        </c:ser>
        <c:ser>
          <c:idx val="12"/>
          <c:order val="12"/>
          <c:tx>
            <c:strRef>
              <c:f>Graph_IntMed!$I$6</c:f>
              <c:strCache>
                <c:ptCount val="1"/>
                <c:pt idx="0">
                  <c:v>STD10r</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Graph_IntMed!$I$7:$I$36</c:f>
              <c:numCache>
                <c:formatCode>"$"#,##0</c:formatCode>
                <c:ptCount val="30"/>
                <c:pt idx="0">
                  <c:v>-43015.05</c:v>
                </c:pt>
                <c:pt idx="1">
                  <c:v>-86352.285865219877</c:v>
                </c:pt>
                <c:pt idx="2">
                  <c:v>-138541.19578403595</c:v>
                </c:pt>
                <c:pt idx="3">
                  <c:v>-190867.38028908212</c:v>
                </c:pt>
                <c:pt idx="4">
                  <c:v>-166943.9067383607</c:v>
                </c:pt>
                <c:pt idx="5">
                  <c:v>-153732.16164497906</c:v>
                </c:pt>
                <c:pt idx="6">
                  <c:v>-139317.43128811088</c:v>
                </c:pt>
                <c:pt idx="7">
                  <c:v>-56445.777537569098</c:v>
                </c:pt>
                <c:pt idx="8">
                  <c:v>25379.539375100256</c:v>
                </c:pt>
                <c:pt idx="9">
                  <c:v>106150.96773242716</c:v>
                </c:pt>
                <c:pt idx="10">
                  <c:v>185862.46159269992</c:v>
                </c:pt>
                <c:pt idx="11">
                  <c:v>264509.38570331881</c:v>
                </c:pt>
                <c:pt idx="12">
                  <c:v>342088.42544120597</c:v>
                </c:pt>
                <c:pt idx="13">
                  <c:v>418597.50152923632</c:v>
                </c:pt>
                <c:pt idx="14">
                  <c:v>501279.62493496819</c:v>
                </c:pt>
                <c:pt idx="15">
                  <c:v>589431.49917268381</c:v>
                </c:pt>
                <c:pt idx="16">
                  <c:v>675788.72220988013</c:v>
                </c:pt>
                <c:pt idx="17">
                  <c:v>760388.41094825533</c:v>
                </c:pt>
                <c:pt idx="18">
                  <c:v>843266.89836161223</c:v>
                </c:pt>
                <c:pt idx="19">
                  <c:v>924459.75050229987</c:v>
                </c:pt>
                <c:pt idx="20">
                  <c:v>1004001.7831265648</c:v>
                </c:pt>
                <c:pt idx="21">
                  <c:v>1081927.0779476722</c:v>
                </c:pt>
                <c:pt idx="22">
                  <c:v>1158268.9985254426</c:v>
                </c:pt>
                <c:pt idx="23">
                  <c:v>1233060.205800639</c:v>
                </c:pt>
                <c:pt idx="24">
                  <c:v>1306332.6732824424</c:v>
                </c:pt>
                <c:pt idx="25">
                  <c:v>1378117.701897044</c:v>
                </c:pt>
                <c:pt idx="26">
                  <c:v>1448445.9345052012</c:v>
                </c:pt>
                <c:pt idx="27">
                  <c:v>1517347.3700964067</c:v>
                </c:pt>
                <c:pt idx="28">
                  <c:v>1584851.3776671416</c:v>
                </c:pt>
                <c:pt idx="29">
                  <c:v>1650986.7097905008</c:v>
                </c:pt>
              </c:numCache>
            </c:numRef>
          </c:val>
          <c:smooth val="0"/>
        </c:ser>
        <c:ser>
          <c:idx val="13"/>
          <c:order val="13"/>
          <c:tx>
            <c:strRef>
              <c:f>Graph_IntMed!$J$6</c:f>
              <c:strCache>
                <c:ptCount val="1"/>
                <c:pt idx="0">
                  <c:v>IBRr</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Graph_IntMed!$J$7:$J$36</c:f>
              <c:numCache>
                <c:formatCode>"$"#,##0</c:formatCode>
                <c:ptCount val="30"/>
                <c:pt idx="0">
                  <c:v>-43015.05</c:v>
                </c:pt>
                <c:pt idx="1">
                  <c:v>-86352.285865219877</c:v>
                </c:pt>
                <c:pt idx="2">
                  <c:v>-138541.19578403595</c:v>
                </c:pt>
                <c:pt idx="3">
                  <c:v>-190867.38028908212</c:v>
                </c:pt>
                <c:pt idx="4">
                  <c:v>-159376.263840158</c:v>
                </c:pt>
                <c:pt idx="5">
                  <c:v>-127913.13213476112</c:v>
                </c:pt>
                <c:pt idx="6">
                  <c:v>-96469.213883902426</c:v>
                </c:pt>
                <c:pt idx="7">
                  <c:v>-12633.502841794281</c:v>
                </c:pt>
                <c:pt idx="8">
                  <c:v>69527.795825752124</c:v>
                </c:pt>
                <c:pt idx="9">
                  <c:v>150299.22418307903</c:v>
                </c:pt>
                <c:pt idx="10">
                  <c:v>230010.71804335178</c:v>
                </c:pt>
                <c:pt idx="11">
                  <c:v>308657.64215397066</c:v>
                </c:pt>
                <c:pt idx="12">
                  <c:v>386236.68189185776</c:v>
                </c:pt>
                <c:pt idx="13">
                  <c:v>462745.75797988812</c:v>
                </c:pt>
                <c:pt idx="14">
                  <c:v>538125.56112691364</c:v>
                </c:pt>
                <c:pt idx="15">
                  <c:v>612376.1974839773</c:v>
                </c:pt>
                <c:pt idx="16">
                  <c:v>685501.70732809161</c:v>
                </c:pt>
                <c:pt idx="17">
                  <c:v>757506.96127388917</c:v>
                </c:pt>
                <c:pt idx="18">
                  <c:v>839266.72817268269</c:v>
                </c:pt>
                <c:pt idx="19">
                  <c:v>920459.58031337033</c:v>
                </c:pt>
                <c:pt idx="20">
                  <c:v>1000001.6129376353</c:v>
                </c:pt>
                <c:pt idx="21">
                  <c:v>1077926.9077587428</c:v>
                </c:pt>
                <c:pt idx="22">
                  <c:v>1154268.8283365131</c:v>
                </c:pt>
                <c:pt idx="23">
                  <c:v>1229060.0356117096</c:v>
                </c:pt>
                <c:pt idx="24">
                  <c:v>1302332.503093513</c:v>
                </c:pt>
                <c:pt idx="25">
                  <c:v>1374117.5317081145</c:v>
                </c:pt>
                <c:pt idx="26">
                  <c:v>1444445.7643162718</c:v>
                </c:pt>
                <c:pt idx="27">
                  <c:v>1513347.1999074772</c:v>
                </c:pt>
                <c:pt idx="28">
                  <c:v>1580851.2074782122</c:v>
                </c:pt>
                <c:pt idx="29">
                  <c:v>1646986.5396015714</c:v>
                </c:pt>
              </c:numCache>
            </c:numRef>
          </c:val>
          <c:smooth val="0"/>
        </c:ser>
        <c:ser>
          <c:idx val="14"/>
          <c:order val="14"/>
          <c:tx>
            <c:strRef>
              <c:f>Graph_IntMed!$K$6</c:f>
              <c:strCache>
                <c:ptCount val="1"/>
                <c:pt idx="0">
                  <c:v>PAYEr</c:v>
                </c:pt>
              </c:strCache>
            </c:strRef>
          </c:tx>
          <c:marker>
            <c:symbol val="none"/>
          </c:marker>
          <c:cat>
            <c:numRef>
              <c:f>Graph_IntMed!$B$7:$B$36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Graph_IntMed!$K$7:$K$36</c:f>
              <c:numCache>
                <c:formatCode>"$"#,##0</c:formatCode>
                <c:ptCount val="30"/>
                <c:pt idx="0">
                  <c:v>-43015.05</c:v>
                </c:pt>
                <c:pt idx="1">
                  <c:v>-86352.285865219877</c:v>
                </c:pt>
                <c:pt idx="2">
                  <c:v>-138541.19578403595</c:v>
                </c:pt>
                <c:pt idx="3">
                  <c:v>-190867.38028908212</c:v>
                </c:pt>
                <c:pt idx="4">
                  <c:v>-157911.19312249744</c:v>
                </c:pt>
                <c:pt idx="5">
                  <c:v>-124940.73121601369</c:v>
                </c:pt>
                <c:pt idx="6">
                  <c:v>-91947.694234953393</c:v>
                </c:pt>
                <c:pt idx="7">
                  <c:v>-1555.8230640059483</c:v>
                </c:pt>
                <c:pt idx="8">
                  <c:v>87039.752920124767</c:v>
                </c:pt>
                <c:pt idx="9">
                  <c:v>173874.95147002058</c:v>
                </c:pt>
                <c:pt idx="10">
                  <c:v>258984.96578865341</c:v>
                </c:pt>
                <c:pt idx="11">
                  <c:v>342404.27932691877</c:v>
                </c:pt>
                <c:pt idx="12">
                  <c:v>424166.6802738168</c:v>
                </c:pt>
                <c:pt idx="13">
                  <c:v>504305.2757458096</c:v>
                </c:pt>
                <c:pt idx="14">
                  <c:v>582794.1210680767</c:v>
                </c:pt>
                <c:pt idx="15">
                  <c:v>659664.95527360134</c:v>
                </c:pt>
                <c:pt idx="16">
                  <c:v>734951.80545355415</c:v>
                </c:pt>
                <c:pt idx="17">
                  <c:v>808687.96447066683</c:v>
                </c:pt>
                <c:pt idx="18">
                  <c:v>880906.00730821514</c:v>
                </c:pt>
                <c:pt idx="19">
                  <c:v>951637.8070415688</c:v>
                </c:pt>
                <c:pt idx="20">
                  <c:v>1020914.5504413657</c:v>
                </c:pt>
                <c:pt idx="21">
                  <c:v>1088766.7532171416</c:v>
                </c:pt>
                <c:pt idx="22">
                  <c:v>1155268.7507974799</c:v>
                </c:pt>
                <c:pt idx="23">
                  <c:v>1225067.8718296164</c:v>
                </c:pt>
                <c:pt idx="24">
                  <c:v>1298340.3393114198</c:v>
                </c:pt>
                <c:pt idx="25">
                  <c:v>1370125.3679260213</c:v>
                </c:pt>
                <c:pt idx="26">
                  <c:v>1440453.6005341785</c:v>
                </c:pt>
                <c:pt idx="27">
                  <c:v>1509355.036125384</c:v>
                </c:pt>
                <c:pt idx="28">
                  <c:v>1576859.043696119</c:v>
                </c:pt>
                <c:pt idx="29">
                  <c:v>1642994.3758194782</c:v>
                </c:pt>
              </c:numCache>
            </c:numRef>
          </c:val>
          <c:smooth val="0"/>
        </c:ser>
        <c:ser>
          <c:idx val="15"/>
          <c:order val="15"/>
          <c:tx>
            <c:strRef>
              <c:f>Graph_IntMed!$R$6</c:f>
              <c:strCache>
                <c:ptCount val="1"/>
                <c:pt idx="0">
                  <c:v>SELF</c:v>
                </c:pt>
              </c:strCache>
            </c:strRef>
          </c:tx>
          <c:marker>
            <c:symbol val="none"/>
          </c:marker>
          <c:val>
            <c:numRef>
              <c:f>Graph_IntMed!$R$7:$R$36</c:f>
              <c:numCache>
                <c:formatCode>"$"#,##0</c:formatCode>
                <c:ptCount val="30"/>
                <c:pt idx="0">
                  <c:v>0</c:v>
                </c:pt>
                <c:pt idx="1">
                  <c:v>0</c:v>
                </c:pt>
                <c:pt idx="2">
                  <c:v>0</c:v>
                </c:pt>
                <c:pt idx="3">
                  <c:v>0</c:v>
                </c:pt>
                <c:pt idx="4">
                  <c:v>35886.328601905836</c:v>
                </c:pt>
                <c:pt idx="5">
                  <c:v>71871.450910563319</c:v>
                </c:pt>
                <c:pt idx="6">
                  <c:v>107962.72535202681</c:v>
                </c:pt>
                <c:pt idx="7">
                  <c:v>211466.91678065286</c:v>
                </c:pt>
                <c:pt idx="8">
                  <c:v>312931.04739795218</c:v>
                </c:pt>
                <c:pt idx="9">
                  <c:v>412395.426168976</c:v>
                </c:pt>
                <c:pt idx="10">
                  <c:v>509899.56272265909</c:v>
                </c:pt>
                <c:pt idx="11">
                  <c:v>605482.18328617187</c:v>
                </c:pt>
                <c:pt idx="12">
                  <c:v>699181.24629922933</c:v>
                </c:pt>
                <c:pt idx="13">
                  <c:v>791033.95771485369</c:v>
                </c:pt>
                <c:pt idx="14">
                  <c:v>881018.40137929213</c:v>
                </c:pt>
                <c:pt idx="15">
                  <c:v>969170.27561700775</c:v>
                </c:pt>
                <c:pt idx="16">
                  <c:v>1055527.4986542042</c:v>
                </c:pt>
                <c:pt idx="17">
                  <c:v>1140127.1873925794</c:v>
                </c:pt>
                <c:pt idx="18">
                  <c:v>1223005.6748059362</c:v>
                </c:pt>
                <c:pt idx="19">
                  <c:v>1304198.5269466238</c:v>
                </c:pt>
                <c:pt idx="20">
                  <c:v>1383740.5595708888</c:v>
                </c:pt>
                <c:pt idx="21">
                  <c:v>1461665.8543919963</c:v>
                </c:pt>
                <c:pt idx="22">
                  <c:v>1538007.7749697666</c:v>
                </c:pt>
                <c:pt idx="23">
                  <c:v>1612798.9822449631</c:v>
                </c:pt>
                <c:pt idx="24">
                  <c:v>1686071.4497267664</c:v>
                </c:pt>
                <c:pt idx="25">
                  <c:v>1757856.478341368</c:v>
                </c:pt>
                <c:pt idx="26">
                  <c:v>1828184.7109495252</c:v>
                </c:pt>
                <c:pt idx="27">
                  <c:v>1897086.1465407307</c:v>
                </c:pt>
                <c:pt idx="28">
                  <c:v>1964590.1541114657</c:v>
                </c:pt>
                <c:pt idx="29">
                  <c:v>2030725.4862348249</c:v>
                </c:pt>
              </c:numCache>
            </c:numRef>
          </c:val>
          <c:smooth val="0"/>
        </c:ser>
        <c:dLbls>
          <c:showLegendKey val="0"/>
          <c:showVal val="0"/>
          <c:showCatName val="0"/>
          <c:showSerName val="0"/>
          <c:showPercent val="0"/>
          <c:showBubbleSize val="0"/>
        </c:dLbls>
        <c:marker val="1"/>
        <c:smooth val="0"/>
        <c:axId val="105695872"/>
        <c:axId val="105705856"/>
      </c:lineChart>
      <c:catAx>
        <c:axId val="105695872"/>
        <c:scaling>
          <c:orientation val="minMax"/>
        </c:scaling>
        <c:delete val="0"/>
        <c:axPos val="b"/>
        <c:numFmt formatCode="General" sourceLinked="1"/>
        <c:majorTickMark val="out"/>
        <c:minorTickMark val="none"/>
        <c:tickLblPos val="nextTo"/>
        <c:txPr>
          <a:bodyPr/>
          <a:lstStyle/>
          <a:p>
            <a:pPr>
              <a:defRPr sz="900"/>
            </a:pPr>
            <a:endParaRPr lang="en-US"/>
          </a:p>
        </c:txPr>
        <c:crossAx val="105705856"/>
        <c:crosses val="autoZero"/>
        <c:auto val="1"/>
        <c:lblAlgn val="ctr"/>
        <c:lblOffset val="100"/>
        <c:noMultiLvlLbl val="0"/>
      </c:catAx>
      <c:valAx>
        <c:axId val="105705856"/>
        <c:scaling>
          <c:orientation val="minMax"/>
        </c:scaling>
        <c:delete val="0"/>
        <c:axPos val="l"/>
        <c:majorGridlines/>
        <c:numFmt formatCode="&quot;$&quot;#,##0" sourceLinked="1"/>
        <c:majorTickMark val="out"/>
        <c:minorTickMark val="none"/>
        <c:tickLblPos val="nextTo"/>
        <c:txPr>
          <a:bodyPr/>
          <a:lstStyle/>
          <a:p>
            <a:pPr>
              <a:defRPr sz="900"/>
            </a:pPr>
            <a:endParaRPr lang="en-US"/>
          </a:p>
        </c:txPr>
        <c:crossAx val="105695872"/>
        <c:crosses val="autoZero"/>
        <c:crossBetween val="between"/>
      </c:valAx>
    </c:plotArea>
    <c:legend>
      <c:legendPos val="r"/>
      <c:layout>
        <c:manualLayout>
          <c:xMode val="edge"/>
          <c:yMode val="edge"/>
          <c:x val="0.8204630571497542"/>
          <c:y val="0.15452953013002238"/>
          <c:w val="0.16624614008575883"/>
          <c:h val="0.83077550656625043"/>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Net Present Value of Cash Flows</a:t>
            </a:r>
          </a:p>
          <a:p>
            <a:pPr>
              <a:defRPr sz="1400"/>
            </a:pPr>
            <a:r>
              <a:rPr lang="en-US" sz="1400"/>
              <a:t>Orthopedics</a:t>
            </a:r>
          </a:p>
        </c:rich>
      </c:tx>
      <c:overlay val="0"/>
    </c:title>
    <c:autoTitleDeleted val="0"/>
    <c:plotArea>
      <c:layout/>
      <c:lineChart>
        <c:grouping val="standard"/>
        <c:varyColors val="0"/>
        <c:ser>
          <c:idx val="3"/>
          <c:order val="0"/>
          <c:tx>
            <c:strRef>
              <c:f>Graph_Ortho!$C$6</c:f>
              <c:strCache>
                <c:ptCount val="1"/>
                <c:pt idx="0">
                  <c:v>USU30</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Graph_Ortho!$C$7:$C$36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414930.34262192424</c:v>
                </c:pt>
                <c:pt idx="8">
                  <c:v>467290.95730725891</c:v>
                </c:pt>
                <c:pt idx="9">
                  <c:v>524763.22436689748</c:v>
                </c:pt>
                <c:pt idx="10">
                  <c:v>588449.02039398521</c:v>
                </c:pt>
                <c:pt idx="11">
                  <c:v>649720.24660637928</c:v>
                </c:pt>
                <c:pt idx="12">
                  <c:v>710146.70996840461</c:v>
                </c:pt>
                <c:pt idx="13">
                  <c:v>768281.88741084014</c:v>
                </c:pt>
                <c:pt idx="14">
                  <c:v>826352.17485501105</c:v>
                </c:pt>
                <c:pt idx="15">
                  <c:v>882219.71152208454</c:v>
                </c:pt>
                <c:pt idx="16">
                  <c:v>974779.41682908288</c:v>
                </c:pt>
                <c:pt idx="17">
                  <c:v>1063770.2894446102</c:v>
                </c:pt>
                <c:pt idx="18">
                  <c:v>1150608.1740209903</c:v>
                </c:pt>
                <c:pt idx="19">
                  <c:v>1234097.8783941285</c:v>
                </c:pt>
                <c:pt idx="20">
                  <c:v>1316176.8706719119</c:v>
                </c:pt>
                <c:pt idx="21">
                  <c:v>1395091.1499527714</c:v>
                </c:pt>
                <c:pt idx="22">
                  <c:v>1475405.5243788979</c:v>
                </c:pt>
                <c:pt idx="23">
                  <c:v>1552669.9961114028</c:v>
                </c:pt>
                <c:pt idx="24">
                  <c:v>1629635.0245071498</c:v>
                </c:pt>
                <c:pt idx="25">
                  <c:v>1703676.4952129005</c:v>
                </c:pt>
                <c:pt idx="26">
                  <c:v>1776295.7581278048</c:v>
                </c:pt>
                <c:pt idx="27">
                  <c:v>1846156.4918973981</c:v>
                </c:pt>
                <c:pt idx="28">
                  <c:v>1913363.9061486991</c:v>
                </c:pt>
                <c:pt idx="29">
                  <c:v>1978019.1852871627</c:v>
                </c:pt>
              </c:numCache>
            </c:numRef>
          </c:val>
          <c:smooth val="0"/>
        </c:ser>
        <c:ser>
          <c:idx val="4"/>
          <c:order val="1"/>
          <c:tx>
            <c:strRef>
              <c:f>Graph_Ortho!$D$6</c:f>
              <c:strCache>
                <c:ptCount val="1"/>
                <c:pt idx="0">
                  <c:v>HPSP30</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Graph_Ortho!$D$7:$D$36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322806.62031125103</c:v>
                </c:pt>
                <c:pt idx="8">
                  <c:v>375167.2349965857</c:v>
                </c:pt>
                <c:pt idx="9">
                  <c:v>432639.50205622433</c:v>
                </c:pt>
                <c:pt idx="10">
                  <c:v>496325.29808331205</c:v>
                </c:pt>
                <c:pt idx="11">
                  <c:v>557596.52429570619</c:v>
                </c:pt>
                <c:pt idx="12">
                  <c:v>618022.98765773152</c:v>
                </c:pt>
                <c:pt idx="13">
                  <c:v>716840.47971472831</c:v>
                </c:pt>
                <c:pt idx="14">
                  <c:v>814088.82472675224</c:v>
                </c:pt>
                <c:pt idx="15">
                  <c:v>907587.63972209394</c:v>
                </c:pt>
                <c:pt idx="16">
                  <c:v>1000147.3450290923</c:v>
                </c:pt>
                <c:pt idx="17">
                  <c:v>1089138.2176446195</c:v>
                </c:pt>
                <c:pt idx="18">
                  <c:v>1175976.1022209995</c:v>
                </c:pt>
                <c:pt idx="19">
                  <c:v>1259465.8065941378</c:v>
                </c:pt>
                <c:pt idx="20">
                  <c:v>1341544.7988719211</c:v>
                </c:pt>
                <c:pt idx="21">
                  <c:v>1420459.0781527807</c:v>
                </c:pt>
                <c:pt idx="22">
                  <c:v>1500773.4525789071</c:v>
                </c:pt>
                <c:pt idx="23">
                  <c:v>1578037.924311412</c:v>
                </c:pt>
                <c:pt idx="24">
                  <c:v>1653714.0806648121</c:v>
                </c:pt>
                <c:pt idx="25">
                  <c:v>1726763.3574086342</c:v>
                </c:pt>
                <c:pt idx="26">
                  <c:v>1797276.2516254494</c:v>
                </c:pt>
                <c:pt idx="27">
                  <c:v>1865453.5926725743</c:v>
                </c:pt>
                <c:pt idx="28">
                  <c:v>1931358.4612365635</c:v>
                </c:pt>
                <c:pt idx="29">
                  <c:v>1995386.6720244554</c:v>
                </c:pt>
              </c:numCache>
            </c:numRef>
          </c:val>
          <c:smooth val="0"/>
        </c:ser>
        <c:ser>
          <c:idx val="0"/>
          <c:order val="2"/>
          <c:tx>
            <c:strRef>
              <c:f>Graph_Ortho!$E$6</c:f>
              <c:strCache>
                <c:ptCount val="1"/>
                <c:pt idx="0">
                  <c:v>STD10</c:v>
                </c:pt>
              </c:strCache>
            </c:strRef>
          </c:tx>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Graph_Ortho!$E$7:$E$36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-10374.82525529444</c:v>
                </c:pt>
                <c:pt idx="9">
                  <c:v>179323.95170836631</c:v>
                </c:pt>
                <c:pt idx="10">
                  <c:v>363952.81750987977</c:v>
                </c:pt>
                <c:pt idx="11">
                  <c:v>545345.23911094514</c:v>
                </c:pt>
                <c:pt idx="12">
                  <c:v>723541.12475207844</c:v>
                </c:pt>
                <c:pt idx="13">
                  <c:v>898580.88213356538</c:v>
                </c:pt>
                <c:pt idx="14">
                  <c:v>1070505.3425774858</c:v>
                </c:pt>
                <c:pt idx="15">
                  <c:v>1239355.6899829344</c:v>
                </c:pt>
                <c:pt idx="16">
                  <c:v>1405173.3943175671</c:v>
                </c:pt>
                <c:pt idx="17">
                  <c:v>1568000.149401597</c:v>
                </c:pt>
                <c:pt idx="18">
                  <c:v>1727877.8147527021</c:v>
                </c:pt>
                <c:pt idx="19">
                  <c:v>1899447.4990734544</c:v>
                </c:pt>
                <c:pt idx="20">
                  <c:v>2067448.9585559273</c:v>
                </c:pt>
                <c:pt idx="21">
                  <c:v>2231958.1034429604</c:v>
                </c:pt>
                <c:pt idx="22">
                  <c:v>2393049.1823844654</c:v>
                </c:pt>
                <c:pt idx="23">
                  <c:v>2550794.8200610806</c:v>
                </c:pt>
                <c:pt idx="24">
                  <c:v>2705266.0539232129</c:v>
                </c:pt>
                <c:pt idx="25">
                  <c:v>2856532.3700670889</c:v>
                </c:pt>
                <c:pt idx="26">
                  <c:v>3004661.7382688913</c:v>
                </c:pt>
                <c:pt idx="27">
                  <c:v>3149720.6461975216</c:v>
                </c:pt>
                <c:pt idx="28">
                  <c:v>3291774.1328260093</c:v>
                </c:pt>
                <c:pt idx="29">
                  <c:v>3430885.8210610845</c:v>
                </c:pt>
              </c:numCache>
            </c:numRef>
          </c:val>
          <c:smooth val="0"/>
        </c:ser>
        <c:ser>
          <c:idx val="1"/>
          <c:order val="3"/>
          <c:tx>
            <c:strRef>
              <c:f>Graph_Ortho!$F$6</c:f>
              <c:strCache>
                <c:ptCount val="1"/>
                <c:pt idx="0">
                  <c:v>EXT</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Graph_Ortho!$F$7:$F$36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-10374.82525529444</c:v>
                </c:pt>
                <c:pt idx="9">
                  <c:v>189333.20745435558</c:v>
                </c:pt>
                <c:pt idx="10">
                  <c:v>383489.25367276347</c:v>
                </c:pt>
                <c:pt idx="11">
                  <c:v>573949.99853377021</c:v>
                </c:pt>
                <c:pt idx="12">
                  <c:v>760777.45019426523</c:v>
                </c:pt>
                <c:pt idx="13">
                  <c:v>944033.05187364062</c:v>
                </c:pt>
                <c:pt idx="14">
                  <c:v>1123777.6572803333</c:v>
                </c:pt>
                <c:pt idx="15">
                  <c:v>1300071.5083625116</c:v>
                </c:pt>
                <c:pt idx="16">
                  <c:v>1472974.2152449549</c:v>
                </c:pt>
                <c:pt idx="17">
                  <c:v>1642544.738221437</c:v>
                </c:pt>
                <c:pt idx="18">
                  <c:v>1808841.3716788169</c:v>
                </c:pt>
                <c:pt idx="19">
                  <c:v>1971921.7298355901</c:v>
                </c:pt>
                <c:pt idx="20">
                  <c:v>2131842.734183874</c:v>
                </c:pt>
                <c:pt idx="21">
                  <c:v>2288660.6025297032</c:v>
                </c:pt>
                <c:pt idx="22">
                  <c:v>2442430.8395321216</c:v>
                </c:pt>
                <c:pt idx="23">
                  <c:v>2593208.2286468805</c:v>
                </c:pt>
                <c:pt idx="24">
                  <c:v>2741046.8253856013</c:v>
                </c:pt>
                <c:pt idx="25">
                  <c:v>2885999.9518060698</c:v>
                </c:pt>
                <c:pt idx="26">
                  <c:v>3028120.1921538766</c:v>
                </c:pt>
                <c:pt idx="27">
                  <c:v>3167459.3895799411</c:v>
                </c:pt>
                <c:pt idx="28">
                  <c:v>3304068.6438625641</c:v>
                </c:pt>
                <c:pt idx="29">
                  <c:v>3437998.3100665477</c:v>
                </c:pt>
              </c:numCache>
            </c:numRef>
          </c:val>
          <c:smooth val="0"/>
        </c:ser>
        <c:ser>
          <c:idx val="2"/>
          <c:order val="4"/>
          <c:tx>
            <c:strRef>
              <c:f>Graph_Ortho!$G$6</c:f>
              <c:strCache>
                <c:ptCount val="1"/>
                <c:pt idx="0">
                  <c:v>IBR</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Graph_Ortho!$G$7:$G$36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-10374.82525529444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ser>
        <c:ser>
          <c:idx val="5"/>
          <c:order val="5"/>
          <c:tx>
            <c:strRef>
              <c:f>Graph_Ortho!$H$6</c:f>
              <c:strCache>
                <c:ptCount val="1"/>
                <c:pt idx="0">
                  <c:v>PAYE</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Graph_Ortho!$H$7:$H$36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-10374.82525529444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ser>
        <c:ser>
          <c:idx val="6"/>
          <c:order val="6"/>
          <c:tx>
            <c:strRef>
              <c:f>Graph_Ortho!$L$6</c:f>
              <c:strCache>
                <c:ptCount val="1"/>
                <c:pt idx="0">
                  <c:v>USU20</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Graph_Ortho!$L$7:$L$36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414930.34262192424</c:v>
                </c:pt>
                <c:pt idx="8">
                  <c:v>467290.95730725891</c:v>
                </c:pt>
                <c:pt idx="9">
                  <c:v>524763.22436689748</c:v>
                </c:pt>
                <c:pt idx="10">
                  <c:v>588449.02039398521</c:v>
                </c:pt>
                <c:pt idx="11">
                  <c:v>649720.24660637928</c:v>
                </c:pt>
                <c:pt idx="12">
                  <c:v>710146.70996840461</c:v>
                </c:pt>
                <c:pt idx="13">
                  <c:v>768281.88741084014</c:v>
                </c:pt>
                <c:pt idx="14">
                  <c:v>826352.17485501105</c:v>
                </c:pt>
                <c:pt idx="15">
                  <c:v>882219.71152208454</c:v>
                </c:pt>
                <c:pt idx="16">
                  <c:v>974779.41682908288</c:v>
                </c:pt>
                <c:pt idx="17">
                  <c:v>1063770.2894446102</c:v>
                </c:pt>
                <c:pt idx="18">
                  <c:v>1150608.1740209903</c:v>
                </c:pt>
                <c:pt idx="19">
                  <c:v>1234097.8783941285</c:v>
                </c:pt>
                <c:pt idx="20">
                  <c:v>1316176.8706719119</c:v>
                </c:pt>
                <c:pt idx="21">
                  <c:v>1395091.1499527714</c:v>
                </c:pt>
                <c:pt idx="22">
                  <c:v>1475405.5243788979</c:v>
                </c:pt>
                <c:pt idx="23">
                  <c:v>1552669.9961114028</c:v>
                </c:pt>
                <c:pt idx="24">
                  <c:v>1705481.9991630497</c:v>
                </c:pt>
                <c:pt idx="25">
                  <c:v>1854894.3558943362</c:v>
                </c:pt>
                <c:pt idx="26">
                  <c:v>2000987.6367556402</c:v>
                </c:pt>
                <c:pt idx="27">
                  <c:v>2143840.3436232582</c:v>
                </c:pt>
                <c:pt idx="28">
                  <c:v>2283528.9678259324</c:v>
                </c:pt>
                <c:pt idx="29">
                  <c:v>2420128.0464000385</c:v>
                </c:pt>
              </c:numCache>
            </c:numRef>
          </c:val>
          <c:smooth val="0"/>
        </c:ser>
        <c:ser>
          <c:idx val="7"/>
          <c:order val="7"/>
          <c:tx>
            <c:strRef>
              <c:f>Graph_Ortho!$M$6</c:f>
              <c:strCache>
                <c:ptCount val="1"/>
                <c:pt idx="0">
                  <c:v>HPSP20</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Graph_Ortho!$M$7:$M$36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322806.62031125103</c:v>
                </c:pt>
                <c:pt idx="8">
                  <c:v>375167.2349965857</c:v>
                </c:pt>
                <c:pt idx="9">
                  <c:v>432639.50205622433</c:v>
                </c:pt>
                <c:pt idx="10">
                  <c:v>496325.29808331205</c:v>
                </c:pt>
                <c:pt idx="11">
                  <c:v>557596.52429570619</c:v>
                </c:pt>
                <c:pt idx="12">
                  <c:v>618022.98765773152</c:v>
                </c:pt>
                <c:pt idx="13">
                  <c:v>716840.47971472831</c:v>
                </c:pt>
                <c:pt idx="14">
                  <c:v>814088.82472675224</c:v>
                </c:pt>
                <c:pt idx="15">
                  <c:v>907587.63972209394</c:v>
                </c:pt>
                <c:pt idx="16">
                  <c:v>1000147.3450290923</c:v>
                </c:pt>
                <c:pt idx="17">
                  <c:v>1089138.2176446195</c:v>
                </c:pt>
                <c:pt idx="18">
                  <c:v>1175976.1022209995</c:v>
                </c:pt>
                <c:pt idx="19">
                  <c:v>1259465.8065941378</c:v>
                </c:pt>
                <c:pt idx="20">
                  <c:v>1341544.7988719211</c:v>
                </c:pt>
                <c:pt idx="21">
                  <c:v>1420459.0781527807</c:v>
                </c:pt>
                <c:pt idx="22">
                  <c:v>1500773.4525789071</c:v>
                </c:pt>
                <c:pt idx="23">
                  <c:v>1578037.924311412</c:v>
                </c:pt>
                <c:pt idx="24">
                  <c:v>1645313.7560602841</c:v>
                </c:pt>
                <c:pt idx="25">
                  <c:v>1796055.4613695571</c:v>
                </c:pt>
                <c:pt idx="26">
                  <c:v>1943426.7186859977</c:v>
                </c:pt>
                <c:pt idx="27">
                  <c:v>2087508.015140221</c:v>
                </c:pt>
                <c:pt idx="28">
                  <c:v>2228377.7505959617</c:v>
                </c:pt>
                <c:pt idx="29">
                  <c:v>2366112.2968700458</c:v>
                </c:pt>
              </c:numCache>
            </c:numRef>
          </c:val>
          <c:smooth val="0"/>
        </c:ser>
        <c:ser>
          <c:idx val="8"/>
          <c:order val="8"/>
          <c:tx>
            <c:strRef>
              <c:f>Graph_Ortho!$N$6</c:f>
              <c:strCache>
                <c:ptCount val="1"/>
                <c:pt idx="0">
                  <c:v>USUim</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Graph_Ortho!$N$7:$N$36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414930.34262192424</c:v>
                </c:pt>
                <c:pt idx="8">
                  <c:v>467290.95730725891</c:v>
                </c:pt>
                <c:pt idx="9">
                  <c:v>524763.22436689748</c:v>
                </c:pt>
                <c:pt idx="10">
                  <c:v>588449.02039398521</c:v>
                </c:pt>
                <c:pt idx="11">
                  <c:v>649720.24660637928</c:v>
                </c:pt>
                <c:pt idx="12">
                  <c:v>710146.70996840461</c:v>
                </c:pt>
                <c:pt idx="13">
                  <c:v>768281.88741084014</c:v>
                </c:pt>
                <c:pt idx="14">
                  <c:v>826352.17485501105</c:v>
                </c:pt>
                <c:pt idx="15">
                  <c:v>882219.71152208454</c:v>
                </c:pt>
                <c:pt idx="16">
                  <c:v>1048406.4156635554</c:v>
                </c:pt>
                <c:pt idx="17">
                  <c:v>1211270.301562984</c:v>
                </c:pt>
                <c:pt idx="18">
                  <c:v>1370878.3940361971</c:v>
                </c:pt>
                <c:pt idx="19">
                  <c:v>1527296.3491767438</c:v>
                </c:pt>
                <c:pt idx="20">
                  <c:v>1680573.0623043731</c:v>
                </c:pt>
                <c:pt idx="21">
                  <c:v>1830652.6096796938</c:v>
                </c:pt>
                <c:pt idx="22">
                  <c:v>1977597.0243940295</c:v>
                </c:pt>
                <c:pt idx="23">
                  <c:v>2121473.3834165572</c:v>
                </c:pt>
                <c:pt idx="24">
                  <c:v>2262347.2852648785</c:v>
                </c:pt>
                <c:pt idx="25">
                  <c:v>2400282.8837481551</c:v>
                </c:pt>
                <c:pt idx="26">
                  <c:v>2535342.920910154</c:v>
                </c:pt>
                <c:pt idx="27">
                  <c:v>2667588.7591919182</c:v>
                </c:pt>
                <c:pt idx="28">
                  <c:v>2797080.4128332823</c:v>
                </c:pt>
                <c:pt idx="29">
                  <c:v>2923876.5785319619</c:v>
                </c:pt>
              </c:numCache>
            </c:numRef>
          </c:val>
          <c:smooth val="0"/>
        </c:ser>
        <c:ser>
          <c:idx val="9"/>
          <c:order val="9"/>
          <c:tx>
            <c:strRef>
              <c:f>Graph_Ortho!$O$6</c:f>
              <c:strCache>
                <c:ptCount val="1"/>
                <c:pt idx="0">
                  <c:v>HPSPim</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Graph_Ortho!$O$7:$O$36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322806.62031125103</c:v>
                </c:pt>
                <c:pt idx="8">
                  <c:v>375167.2349965857</c:v>
                </c:pt>
                <c:pt idx="9">
                  <c:v>432639.50205622433</c:v>
                </c:pt>
                <c:pt idx="10">
                  <c:v>496325.29808331205</c:v>
                </c:pt>
                <c:pt idx="11">
                  <c:v>557596.52429570619</c:v>
                </c:pt>
                <c:pt idx="12">
                  <c:v>618022.98765773152</c:v>
                </c:pt>
                <c:pt idx="13">
                  <c:v>794594.42207939131</c:v>
                </c:pt>
                <c:pt idx="14">
                  <c:v>967633.45788471692</c:v>
                </c:pt>
                <c:pt idx="15">
                  <c:v>1137211.4028487925</c:v>
                </c:pt>
                <c:pt idx="16">
                  <c:v>1303398.1069902633</c:v>
                </c:pt>
                <c:pt idx="17">
                  <c:v>1466261.9928896918</c:v>
                </c:pt>
                <c:pt idx="18">
                  <c:v>1625870.0853629049</c:v>
                </c:pt>
                <c:pt idx="19">
                  <c:v>1782288.0405034516</c:v>
                </c:pt>
                <c:pt idx="20">
                  <c:v>1935564.753631081</c:v>
                </c:pt>
                <c:pt idx="21">
                  <c:v>2085644.3010064017</c:v>
                </c:pt>
                <c:pt idx="22">
                  <c:v>2232588.7157207374</c:v>
                </c:pt>
                <c:pt idx="23">
                  <c:v>2376465.0747432653</c:v>
                </c:pt>
                <c:pt idx="24">
                  <c:v>2517338.9765915866</c:v>
                </c:pt>
                <c:pt idx="25">
                  <c:v>2655274.5750748636</c:v>
                </c:pt>
                <c:pt idx="26">
                  <c:v>2790334.6122368625</c:v>
                </c:pt>
                <c:pt idx="27">
                  <c:v>2922580.4505186267</c:v>
                </c:pt>
                <c:pt idx="28">
                  <c:v>3052072.1041599908</c:v>
                </c:pt>
                <c:pt idx="29">
                  <c:v>3178868.2698586704</c:v>
                </c:pt>
              </c:numCache>
            </c:numRef>
          </c:val>
          <c:smooth val="0"/>
        </c:ser>
        <c:ser>
          <c:idx val="12"/>
          <c:order val="10"/>
          <c:tx>
            <c:strRef>
              <c:f>Graph_Ortho!$I$6</c:f>
              <c:strCache>
                <c:ptCount val="1"/>
                <c:pt idx="0">
                  <c:v>STD10r</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Graph_Ortho!$I$7:$I$36</c:f>
              <c:numCache>
                <c:formatCode>"$"#,##0</c:formatCode>
                <c:ptCount val="30"/>
                <c:pt idx="0">
                  <c:v>-43015.05</c:v>
                </c:pt>
                <c:pt idx="1">
                  <c:v>-86352.285865219877</c:v>
                </c:pt>
                <c:pt idx="2">
                  <c:v>-138541.19578403595</c:v>
                </c:pt>
                <c:pt idx="3">
                  <c:v>-190867.38028908212</c:v>
                </c:pt>
                <c:pt idx="4">
                  <c:v>-166943.9067383607</c:v>
                </c:pt>
                <c:pt idx="5">
                  <c:v>-153732.16164497906</c:v>
                </c:pt>
                <c:pt idx="6">
                  <c:v>-139317.43128811088</c:v>
                </c:pt>
                <c:pt idx="7">
                  <c:v>-123745.30670550409</c:v>
                </c:pt>
                <c:pt idx="8">
                  <c:v>-107058.95298906429</c:v>
                </c:pt>
                <c:pt idx="9">
                  <c:v>87863.568967704094</c:v>
                </c:pt>
                <c:pt idx="10">
                  <c:v>277464.58876989112</c:v>
                </c:pt>
                <c:pt idx="11">
                  <c:v>463589.69074471772</c:v>
                </c:pt>
                <c:pt idx="12">
                  <c:v>646290.31689009734</c:v>
                </c:pt>
                <c:pt idx="13">
                  <c:v>825617.85316388041</c:v>
                </c:pt>
                <c:pt idx="14">
                  <c:v>1008925.9006590984</c:v>
                </c:pt>
                <c:pt idx="15">
                  <c:v>1195562.186870947</c:v>
                </c:pt>
                <c:pt idx="16">
                  <c:v>1378309.2066504685</c:v>
                </c:pt>
                <c:pt idx="17">
                  <c:v>1557249.9113298617</c:v>
                </c:pt>
                <c:pt idx="18">
                  <c:v>1732465.4308551182</c:v>
                </c:pt>
                <c:pt idx="19">
                  <c:v>1904035.1151758707</c:v>
                </c:pt>
                <c:pt idx="20">
                  <c:v>2072036.5746583436</c:v>
                </c:pt>
                <c:pt idx="21">
                  <c:v>2236545.719545377</c:v>
                </c:pt>
                <c:pt idx="22">
                  <c:v>2397636.7984868819</c:v>
                </c:pt>
                <c:pt idx="23">
                  <c:v>2555382.4361634972</c:v>
                </c:pt>
                <c:pt idx="24">
                  <c:v>2709853.6700256295</c:v>
                </c:pt>
                <c:pt idx="25">
                  <c:v>2861119.9861695054</c:v>
                </c:pt>
                <c:pt idx="26">
                  <c:v>3009249.3543713079</c:v>
                </c:pt>
                <c:pt idx="27">
                  <c:v>3154308.2622999381</c:v>
                </c:pt>
                <c:pt idx="28">
                  <c:v>3296361.7489284258</c:v>
                </c:pt>
                <c:pt idx="29">
                  <c:v>3435473.437163501</c:v>
                </c:pt>
              </c:numCache>
            </c:numRef>
          </c:val>
          <c:smooth val="0"/>
        </c:ser>
        <c:ser>
          <c:idx val="13"/>
          <c:order val="11"/>
          <c:tx>
            <c:strRef>
              <c:f>Graph_Ortho!$J$6</c:f>
              <c:strCache>
                <c:ptCount val="1"/>
                <c:pt idx="0">
                  <c:v>IBRr</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Graph_Ortho!$J$7:$J$36</c:f>
              <c:numCache>
                <c:formatCode>"$"#,##0</c:formatCode>
                <c:ptCount val="30"/>
                <c:pt idx="0">
                  <c:v>-43015.05</c:v>
                </c:pt>
                <c:pt idx="1">
                  <c:v>-86352.285865219877</c:v>
                </c:pt>
                <c:pt idx="2">
                  <c:v>-138541.19578403595</c:v>
                </c:pt>
                <c:pt idx="3">
                  <c:v>-190867.38028908212</c:v>
                </c:pt>
                <c:pt idx="4">
                  <c:v>-159376.263840158</c:v>
                </c:pt>
                <c:pt idx="5">
                  <c:v>-127913.13213476112</c:v>
                </c:pt>
                <c:pt idx="6">
                  <c:v>-96469.213883902426</c:v>
                </c:pt>
                <c:pt idx="7">
                  <c:v>-65035.922086779574</c:v>
                </c:pt>
                <c:pt idx="8">
                  <c:v>-33604.8480262374</c:v>
                </c:pt>
                <c:pt idx="9">
                  <c:v>161317.67393053099</c:v>
                </c:pt>
                <c:pt idx="10">
                  <c:v>350918.69373271801</c:v>
                </c:pt>
                <c:pt idx="11">
                  <c:v>537043.79570754466</c:v>
                </c:pt>
                <c:pt idx="12">
                  <c:v>719744.42185292428</c:v>
                </c:pt>
                <c:pt idx="13">
                  <c:v>899071.95812670735</c:v>
                </c:pt>
                <c:pt idx="14">
                  <c:v>1075077.6853632189</c:v>
                </c:pt>
                <c:pt idx="15">
                  <c:v>1247812.7336944155</c:v>
                </c:pt>
                <c:pt idx="16">
                  <c:v>1417328.040280855</c:v>
                </c:pt>
                <c:pt idx="17">
                  <c:v>1583674.3101676705</c:v>
                </c:pt>
                <c:pt idx="18">
                  <c:v>1746901.9800902449</c:v>
                </c:pt>
                <c:pt idx="19">
                  <c:v>1907061.1850633086</c:v>
                </c:pt>
                <c:pt idx="20">
                  <c:v>2065128.3330121893</c:v>
                </c:pt>
                <c:pt idx="21">
                  <c:v>2229637.4778992226</c:v>
                </c:pt>
                <c:pt idx="22">
                  <c:v>2390728.5568407276</c:v>
                </c:pt>
                <c:pt idx="23">
                  <c:v>2548474.1945173428</c:v>
                </c:pt>
                <c:pt idx="24">
                  <c:v>2702945.4283794751</c:v>
                </c:pt>
                <c:pt idx="25">
                  <c:v>2854211.7445233511</c:v>
                </c:pt>
                <c:pt idx="26">
                  <c:v>3002341.1127251536</c:v>
                </c:pt>
                <c:pt idx="27">
                  <c:v>3147400.0206537838</c:v>
                </c:pt>
                <c:pt idx="28">
                  <c:v>3289453.5072822715</c:v>
                </c:pt>
                <c:pt idx="29">
                  <c:v>3428565.1955173467</c:v>
                </c:pt>
              </c:numCache>
            </c:numRef>
          </c:val>
          <c:smooth val="0"/>
        </c:ser>
        <c:ser>
          <c:idx val="14"/>
          <c:order val="12"/>
          <c:tx>
            <c:strRef>
              <c:f>Graph_Ortho!$K$6</c:f>
              <c:strCache>
                <c:ptCount val="1"/>
                <c:pt idx="0">
                  <c:v>PAYEr</c:v>
                </c:pt>
              </c:strCache>
            </c:strRef>
          </c:tx>
          <c:marker>
            <c:symbol val="none"/>
          </c:marker>
          <c:cat>
            <c:numRef>
              <c:f>Graph_Ortho!$B$7:$B$36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Graph_Ortho!$K$7:$K$36</c:f>
              <c:numCache>
                <c:formatCode>"$"#,##0</c:formatCode>
                <c:ptCount val="30"/>
                <c:pt idx="0">
                  <c:v>-43015.05</c:v>
                </c:pt>
                <c:pt idx="1">
                  <c:v>-86352.285865219877</c:v>
                </c:pt>
                <c:pt idx="2">
                  <c:v>-138541.19578403595</c:v>
                </c:pt>
                <c:pt idx="3">
                  <c:v>-190867.38028908212</c:v>
                </c:pt>
                <c:pt idx="4">
                  <c:v>-157911.19312249744</c:v>
                </c:pt>
                <c:pt idx="5">
                  <c:v>-124940.73121601369</c:v>
                </c:pt>
                <c:pt idx="6">
                  <c:v>-91947.694234953393</c:v>
                </c:pt>
                <c:pt idx="7">
                  <c:v>-58923.94561664114</c:v>
                </c:pt>
                <c:pt idx="8">
                  <c:v>-25861.507102589763</c:v>
                </c:pt>
                <c:pt idx="9">
                  <c:v>169061.01485417862</c:v>
                </c:pt>
                <c:pt idx="10">
                  <c:v>358662.03465636563</c:v>
                </c:pt>
                <c:pt idx="11">
                  <c:v>544787.13663119229</c:v>
                </c:pt>
                <c:pt idx="12">
                  <c:v>727487.76277657191</c:v>
                </c:pt>
                <c:pt idx="13">
                  <c:v>906815.29905035498</c:v>
                </c:pt>
                <c:pt idx="14">
                  <c:v>1082821.0262868665</c:v>
                </c:pt>
                <c:pt idx="15">
                  <c:v>1255556.0746180634</c:v>
                </c:pt>
                <c:pt idx="16">
                  <c:v>1425071.3812045029</c:v>
                </c:pt>
                <c:pt idx="17">
                  <c:v>1591417.6510913183</c:v>
                </c:pt>
                <c:pt idx="18">
                  <c:v>1754645.3210138928</c:v>
                </c:pt>
                <c:pt idx="19">
                  <c:v>1914804.5259869564</c:v>
                </c:pt>
                <c:pt idx="20">
                  <c:v>2071945.0685194114</c:v>
                </c:pt>
                <c:pt idx="21">
                  <c:v>2230156.7488444285</c:v>
                </c:pt>
                <c:pt idx="22">
                  <c:v>2391247.8277859334</c:v>
                </c:pt>
                <c:pt idx="23">
                  <c:v>2548993.4654625487</c:v>
                </c:pt>
                <c:pt idx="24">
                  <c:v>2703464.699324681</c:v>
                </c:pt>
                <c:pt idx="25">
                  <c:v>2854731.0154685569</c:v>
                </c:pt>
                <c:pt idx="26">
                  <c:v>3002860.3836703594</c:v>
                </c:pt>
                <c:pt idx="27">
                  <c:v>3147919.2915989896</c:v>
                </c:pt>
                <c:pt idx="28">
                  <c:v>3289972.7782274773</c:v>
                </c:pt>
                <c:pt idx="29">
                  <c:v>3429084.4664625525</c:v>
                </c:pt>
              </c:numCache>
            </c:numRef>
          </c:val>
          <c:smooth val="0"/>
        </c:ser>
        <c:ser>
          <c:idx val="10"/>
          <c:order val="13"/>
          <c:tx>
            <c:strRef>
              <c:f>Graph_Ortho!$P$6</c:f>
              <c:strCache>
                <c:ptCount val="1"/>
                <c:pt idx="0">
                  <c:v>SELF</c:v>
                </c:pt>
              </c:strCache>
            </c:strRef>
          </c:tx>
          <c:marker>
            <c:symbol val="none"/>
          </c:marker>
          <c:val>
            <c:numRef>
              <c:f>Graph_Ortho!$P$7:$P$36</c:f>
              <c:numCache>
                <c:formatCode>"$"#,##0</c:formatCode>
                <c:ptCount val="30"/>
                <c:pt idx="0">
                  <c:v>0</c:v>
                </c:pt>
                <c:pt idx="1">
                  <c:v>0</c:v>
                </c:pt>
                <c:pt idx="2">
                  <c:v>0</c:v>
                </c:pt>
                <c:pt idx="3">
                  <c:v>0</c:v>
                </c:pt>
                <c:pt idx="4">
                  <c:v>35886.328601905836</c:v>
                </c:pt>
                <c:pt idx="5">
                  <c:v>71871.450910563319</c:v>
                </c:pt>
                <c:pt idx="6">
                  <c:v>107962.72535202681</c:v>
                </c:pt>
                <c:pt idx="7">
                  <c:v>144167.38761271787</c:v>
                </c:pt>
                <c:pt idx="8">
                  <c:v>180492.55503378765</c:v>
                </c:pt>
                <c:pt idx="9">
                  <c:v>394108.02740425291</c:v>
                </c:pt>
                <c:pt idx="10">
                  <c:v>601501.68989985029</c:v>
                </c:pt>
                <c:pt idx="11">
                  <c:v>804562.48832757084</c:v>
                </c:pt>
                <c:pt idx="12">
                  <c:v>1003383.1377481208</c:v>
                </c:pt>
                <c:pt idx="13">
                  <c:v>1198054.309349498</c:v>
                </c:pt>
                <c:pt idx="14">
                  <c:v>1388664.6771034226</c:v>
                </c:pt>
                <c:pt idx="15">
                  <c:v>1575300.9633152713</c:v>
                </c:pt>
                <c:pt idx="16">
                  <c:v>1758047.9830947928</c:v>
                </c:pt>
                <c:pt idx="17">
                  <c:v>1936988.687774186</c:v>
                </c:pt>
                <c:pt idx="18">
                  <c:v>2112204.2072994425</c:v>
                </c:pt>
                <c:pt idx="19">
                  <c:v>2283773.891620195</c:v>
                </c:pt>
                <c:pt idx="20">
                  <c:v>2451775.3511026679</c:v>
                </c:pt>
                <c:pt idx="21">
                  <c:v>2616284.4959897012</c:v>
                </c:pt>
                <c:pt idx="22">
                  <c:v>2777375.5749312062</c:v>
                </c:pt>
                <c:pt idx="23">
                  <c:v>2935121.2126078214</c:v>
                </c:pt>
                <c:pt idx="24">
                  <c:v>3089592.4464699537</c:v>
                </c:pt>
                <c:pt idx="25">
                  <c:v>3240858.7626138297</c:v>
                </c:pt>
                <c:pt idx="26">
                  <c:v>3388988.1308156322</c:v>
                </c:pt>
                <c:pt idx="27">
                  <c:v>3534047.0387442624</c:v>
                </c:pt>
                <c:pt idx="28">
                  <c:v>3676100.5253727501</c:v>
                </c:pt>
                <c:pt idx="29">
                  <c:v>3815212.2136078253</c:v>
                </c:pt>
              </c:numCache>
            </c:numRef>
          </c:val>
          <c:smooth val="0"/>
        </c:ser>
        <c:dLbls>
          <c:showLegendKey val="0"/>
          <c:showVal val="0"/>
          <c:showCatName val="0"/>
          <c:showSerName val="0"/>
          <c:showPercent val="0"/>
          <c:showBubbleSize val="0"/>
        </c:dLbls>
        <c:marker val="1"/>
        <c:smooth val="0"/>
        <c:axId val="130166784"/>
        <c:axId val="130168320"/>
      </c:lineChart>
      <c:catAx>
        <c:axId val="130166784"/>
        <c:scaling>
          <c:orientation val="minMax"/>
        </c:scaling>
        <c:delete val="0"/>
        <c:axPos val="b"/>
        <c:numFmt formatCode="General" sourceLinked="1"/>
        <c:majorTickMark val="out"/>
        <c:minorTickMark val="none"/>
        <c:tickLblPos val="nextTo"/>
        <c:txPr>
          <a:bodyPr/>
          <a:lstStyle/>
          <a:p>
            <a:pPr>
              <a:defRPr sz="900"/>
            </a:pPr>
            <a:endParaRPr lang="en-US"/>
          </a:p>
        </c:txPr>
        <c:crossAx val="130168320"/>
        <c:crosses val="autoZero"/>
        <c:auto val="1"/>
        <c:lblAlgn val="ctr"/>
        <c:lblOffset val="100"/>
        <c:noMultiLvlLbl val="0"/>
      </c:catAx>
      <c:valAx>
        <c:axId val="130168320"/>
        <c:scaling>
          <c:orientation val="minMax"/>
        </c:scaling>
        <c:delete val="0"/>
        <c:axPos val="l"/>
        <c:majorGridlines/>
        <c:numFmt formatCode="&quot;$&quot;#,##0" sourceLinked="1"/>
        <c:majorTickMark val="out"/>
        <c:minorTickMark val="none"/>
        <c:tickLblPos val="nextTo"/>
        <c:txPr>
          <a:bodyPr/>
          <a:lstStyle/>
          <a:p>
            <a:pPr>
              <a:defRPr sz="900"/>
            </a:pPr>
            <a:endParaRPr lang="en-US"/>
          </a:p>
        </c:txPr>
        <c:crossAx val="130166784"/>
        <c:crosses val="autoZero"/>
        <c:crossBetween val="between"/>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Net Present Value of Cash Flows</a:t>
            </a:r>
          </a:p>
          <a:p>
            <a:pPr>
              <a:defRPr sz="1400"/>
            </a:pPr>
            <a:r>
              <a:rPr lang="en-US" sz="1400"/>
              <a:t>General Surgery</a:t>
            </a:r>
          </a:p>
        </c:rich>
      </c:tx>
      <c:overlay val="0"/>
    </c:title>
    <c:autoTitleDeleted val="0"/>
    <c:plotArea>
      <c:layout/>
      <c:lineChart>
        <c:grouping val="standard"/>
        <c:varyColors val="0"/>
        <c:ser>
          <c:idx val="3"/>
          <c:order val="0"/>
          <c:tx>
            <c:strRef>
              <c:f>Graph_GenSurg!$C$6</c:f>
              <c:strCache>
                <c:ptCount val="1"/>
                <c:pt idx="0">
                  <c:v>USU30</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Graph_GenSurg!$C$7:$C$36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414930.34262192424</c:v>
                </c:pt>
                <c:pt idx="8">
                  <c:v>467290.95730725891</c:v>
                </c:pt>
                <c:pt idx="9">
                  <c:v>524763.22436689748</c:v>
                </c:pt>
                <c:pt idx="10">
                  <c:v>588449.02039398521</c:v>
                </c:pt>
                <c:pt idx="11">
                  <c:v>649720.24660637928</c:v>
                </c:pt>
                <c:pt idx="12">
                  <c:v>710146.70996840461</c:v>
                </c:pt>
                <c:pt idx="13">
                  <c:v>768281.88741084014</c:v>
                </c:pt>
                <c:pt idx="14">
                  <c:v>826352.17485501105</c:v>
                </c:pt>
                <c:pt idx="15">
                  <c:v>882219.71152208454</c:v>
                </c:pt>
                <c:pt idx="16">
                  <c:v>978461.73437005491</c:v>
                </c:pt>
                <c:pt idx="17">
                  <c:v>1071048.7796929423</c:v>
                </c:pt>
                <c:pt idx="18">
                  <c:v>1161307.7998215966</c:v>
                </c:pt>
                <c:pt idx="19">
                  <c:v>1248134.0153951729</c:v>
                </c:pt>
                <c:pt idx="20">
                  <c:v>1333348.9572154491</c:v>
                </c:pt>
                <c:pt idx="21">
                  <c:v>1415327.8931591159</c:v>
                </c:pt>
                <c:pt idx="22">
                  <c:v>1498396.6243776204</c:v>
                </c:pt>
                <c:pt idx="23">
                  <c:v>1578309.0119299442</c:v>
                </c:pt>
                <c:pt idx="24">
                  <c:v>1657819.6285400614</c:v>
                </c:pt>
                <c:pt idx="25">
                  <c:v>1734308.3142624823</c:v>
                </c:pt>
                <c:pt idx="26">
                  <c:v>1809280.2205876636</c:v>
                </c:pt>
                <c:pt idx="27">
                  <c:v>1881402.6808415323</c:v>
                </c:pt>
                <c:pt idx="28">
                  <c:v>1950784.4180978953</c:v>
                </c:pt>
                <c:pt idx="29">
                  <c:v>2017529.9944333059</c:v>
                </c:pt>
              </c:numCache>
            </c:numRef>
          </c:val>
          <c:smooth val="0"/>
        </c:ser>
        <c:ser>
          <c:idx val="4"/>
          <c:order val="1"/>
          <c:tx>
            <c:strRef>
              <c:f>Graph_GenSurg!$D$6</c:f>
              <c:strCache>
                <c:ptCount val="1"/>
                <c:pt idx="0">
                  <c:v>HPSP30</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Graph_GenSurg!$D$7:$D$36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322806.62031125103</c:v>
                </c:pt>
                <c:pt idx="8">
                  <c:v>375167.2349965857</c:v>
                </c:pt>
                <c:pt idx="9">
                  <c:v>432639.50205622433</c:v>
                </c:pt>
                <c:pt idx="10">
                  <c:v>496325.29808331205</c:v>
                </c:pt>
                <c:pt idx="11">
                  <c:v>557596.52429570619</c:v>
                </c:pt>
                <c:pt idx="12">
                  <c:v>618022.98765773152</c:v>
                </c:pt>
                <c:pt idx="13">
                  <c:v>721067.05610948522</c:v>
                </c:pt>
                <c:pt idx="14">
                  <c:v>822364.88356813905</c:v>
                </c:pt>
                <c:pt idx="15">
                  <c:v>919769.91837037029</c:v>
                </c:pt>
                <c:pt idx="16">
                  <c:v>1016011.9412183407</c:v>
                </c:pt>
                <c:pt idx="17">
                  <c:v>1108598.9865412279</c:v>
                </c:pt>
                <c:pt idx="18">
                  <c:v>1198858.0066698822</c:v>
                </c:pt>
                <c:pt idx="19">
                  <c:v>1285684.2222434585</c:v>
                </c:pt>
                <c:pt idx="20">
                  <c:v>1370899.1640637347</c:v>
                </c:pt>
                <c:pt idx="21">
                  <c:v>1452878.1000074015</c:v>
                </c:pt>
                <c:pt idx="22">
                  <c:v>1535946.831225906</c:v>
                </c:pt>
                <c:pt idx="23">
                  <c:v>1615859.2187782298</c:v>
                </c:pt>
                <c:pt idx="24">
                  <c:v>1694080.9633460001</c:v>
                </c:pt>
                <c:pt idx="25">
                  <c:v>1769577.4551064922</c:v>
                </c:pt>
                <c:pt idx="26">
                  <c:v>1842442.9927335843</c:v>
                </c:pt>
                <c:pt idx="27">
                  <c:v>1912884.899740577</c:v>
                </c:pt>
                <c:pt idx="28">
                  <c:v>1980982.1339384695</c:v>
                </c:pt>
                <c:pt idx="29">
                  <c:v>2047110.2782878459</c:v>
                </c:pt>
              </c:numCache>
            </c:numRef>
          </c:val>
          <c:smooth val="0"/>
        </c:ser>
        <c:ser>
          <c:idx val="0"/>
          <c:order val="2"/>
          <c:tx>
            <c:strRef>
              <c:f>Graph_GenSurg!$E$6</c:f>
              <c:strCache>
                <c:ptCount val="1"/>
                <c:pt idx="0">
                  <c:v>STD10</c:v>
                </c:pt>
              </c:strCache>
            </c:strRef>
          </c:tx>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Graph_GenSurg!$E$7:$E$36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-10374.82525529444</c:v>
                </c:pt>
                <c:pt idx="9">
                  <c:v>126716.25647772686</c:v>
                </c:pt>
                <c:pt idx="10">
                  <c:v>260269.6900164836</c:v>
                </c:pt>
                <c:pt idx="11">
                  <c:v>391777.7557580428</c:v>
                </c:pt>
                <c:pt idx="12">
                  <c:v>521251.48525104066</c:v>
                </c:pt>
                <c:pt idx="13">
                  <c:v>648703.13655583677</c:v>
                </c:pt>
                <c:pt idx="14">
                  <c:v>774146.09946589032</c:v>
                </c:pt>
                <c:pt idx="15">
                  <c:v>897594.80603016564</c:v>
                </c:pt>
                <c:pt idx="16">
                  <c:v>1019064.6461057672</c:v>
                </c:pt>
                <c:pt idx="17">
                  <c:v>1138571.8876833811</c:v>
                </c:pt>
                <c:pt idx="18">
                  <c:v>1256133.6017408238</c:v>
                </c:pt>
                <c:pt idx="19">
                  <c:v>1386366.7291935086</c:v>
                </c:pt>
                <c:pt idx="20">
                  <c:v>1513987.4631040455</c:v>
                </c:pt>
                <c:pt idx="21">
                  <c:v>1639048.7395783607</c:v>
                </c:pt>
                <c:pt idx="22">
                  <c:v>1761602.4068749619</c:v>
                </c:pt>
                <c:pt idx="23">
                  <c:v>1881699.2481882281</c:v>
                </c:pt>
                <c:pt idx="24">
                  <c:v>1999389.0039426489</c:v>
                </c:pt>
                <c:pt idx="25">
                  <c:v>2114720.393608836</c:v>
                </c:pt>
                <c:pt idx="26">
                  <c:v>2227741.1370518808</c:v>
                </c:pt>
                <c:pt idx="27">
                  <c:v>2338497.9754223884</c:v>
                </c:pt>
                <c:pt idx="28">
                  <c:v>2447036.6916002822</c:v>
                </c:pt>
                <c:pt idx="29">
                  <c:v>2553402.130201248</c:v>
                </c:pt>
              </c:numCache>
            </c:numRef>
          </c:val>
          <c:smooth val="0"/>
        </c:ser>
        <c:ser>
          <c:idx val="1"/>
          <c:order val="3"/>
          <c:tx>
            <c:strRef>
              <c:f>Graph_GenSurg!$F$6</c:f>
              <c:strCache>
                <c:ptCount val="1"/>
                <c:pt idx="0">
                  <c:v>EXT</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Graph_GenSurg!$F$7:$F$36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-10374.82525529444</c:v>
                </c:pt>
                <c:pt idx="9">
                  <c:v>136725.51222371613</c:v>
                </c:pt>
                <c:pt idx="10">
                  <c:v>279806.1261793673</c:v>
                </c:pt>
                <c:pt idx="11">
                  <c:v>420382.51518086786</c:v>
                </c:pt>
                <c:pt idx="12">
                  <c:v>558487.81069322745</c:v>
                </c:pt>
                <c:pt idx="13">
                  <c:v>694155.30629591213</c:v>
                </c:pt>
                <c:pt idx="14">
                  <c:v>827418.41416873795</c:v>
                </c:pt>
                <c:pt idx="15">
                  <c:v>958310.624409743</c:v>
                </c:pt>
                <c:pt idx="16">
                  <c:v>1086865.467033155</c:v>
                </c:pt>
                <c:pt idx="17">
                  <c:v>1213116.4765032213</c:v>
                </c:pt>
                <c:pt idx="18">
                  <c:v>1337097.158666939</c:v>
                </c:pt>
                <c:pt idx="19">
                  <c:v>1458840.9599556448</c:v>
                </c:pt>
                <c:pt idx="20">
                  <c:v>1578381.2387319924</c:v>
                </c:pt>
                <c:pt idx="21">
                  <c:v>1695751.2386651034</c:v>
                </c:pt>
                <c:pt idx="22">
                  <c:v>1810984.0640226183</c:v>
                </c:pt>
                <c:pt idx="23">
                  <c:v>1924112.656774028</c:v>
                </c:pt>
                <c:pt idx="24">
                  <c:v>2035169.775405037</c:v>
                </c:pt>
                <c:pt idx="25">
                  <c:v>2144187.9753478169</c:v>
                </c:pt>
                <c:pt idx="26">
                  <c:v>2251199.5909368666</c:v>
                </c:pt>
                <c:pt idx="27">
                  <c:v>2356236.7188048083</c:v>
                </c:pt>
                <c:pt idx="28">
                  <c:v>2459331.2026368375</c:v>
                </c:pt>
                <c:pt idx="29">
                  <c:v>2560514.6192067116</c:v>
                </c:pt>
              </c:numCache>
            </c:numRef>
          </c:val>
          <c:smooth val="0"/>
        </c:ser>
        <c:ser>
          <c:idx val="2"/>
          <c:order val="4"/>
          <c:tx>
            <c:strRef>
              <c:f>Graph_GenSurg!$G$6</c:f>
              <c:strCache>
                <c:ptCount val="1"/>
                <c:pt idx="0">
                  <c:v>IBR</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Graph_GenSurg!$G$7:$G$36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-10374.82525529444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ser>
        <c:ser>
          <c:idx val="5"/>
          <c:order val="5"/>
          <c:tx>
            <c:strRef>
              <c:f>Graph_GenSurg!$H$6</c:f>
              <c:strCache>
                <c:ptCount val="1"/>
                <c:pt idx="0">
                  <c:v>PAYE</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Graph_GenSurg!$H$7:$H$36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-10374.82525529444</c:v>
                </c:pt>
                <c:pt idx="9">
                  <c:v>128657.86812640875</c:v>
                </c:pt>
                <c:pt idx="10">
                  <c:v>263641.06558437302</c:v>
                </c:pt>
                <c:pt idx="11">
                  <c:v>395888.60255888291</c:v>
                </c:pt>
                <c:pt idx="12">
                  <c:v>525456.70967841556</c:v>
                </c:pt>
                <c:pt idx="13">
                  <c:v>652908.36098321166</c:v>
                </c:pt>
                <c:pt idx="14">
                  <c:v>778351.32389326522</c:v>
                </c:pt>
                <c:pt idx="15">
                  <c:v>901800.03045754053</c:v>
                </c:pt>
                <c:pt idx="16">
                  <c:v>1023269.8705331421</c:v>
                </c:pt>
                <c:pt idx="17">
                  <c:v>1142777.1121107559</c:v>
                </c:pt>
                <c:pt idx="18">
                  <c:v>1260338.8261681986</c:v>
                </c:pt>
                <c:pt idx="19">
                  <c:v>1385921.4729329767</c:v>
                </c:pt>
                <c:pt idx="20">
                  <c:v>1513542.2068435135</c:v>
                </c:pt>
                <c:pt idx="21">
                  <c:v>1638603.4833178287</c:v>
                </c:pt>
                <c:pt idx="22">
                  <c:v>1761157.15061443</c:v>
                </c:pt>
                <c:pt idx="23">
                  <c:v>1881253.9919276962</c:v>
                </c:pt>
                <c:pt idx="24">
                  <c:v>1998943.7476821169</c:v>
                </c:pt>
                <c:pt idx="25">
                  <c:v>2114275.137348304</c:v>
                </c:pt>
                <c:pt idx="26">
                  <c:v>2227295.8807913489</c:v>
                </c:pt>
                <c:pt idx="27">
                  <c:v>2338052.7191618565</c:v>
                </c:pt>
                <c:pt idx="28">
                  <c:v>2446591.4353397503</c:v>
                </c:pt>
                <c:pt idx="29">
                  <c:v>2552956.873940716</c:v>
                </c:pt>
              </c:numCache>
            </c:numRef>
          </c:val>
          <c:smooth val="0"/>
        </c:ser>
        <c:ser>
          <c:idx val="6"/>
          <c:order val="6"/>
          <c:tx>
            <c:strRef>
              <c:f>Graph_GenSurg!$L$6</c:f>
              <c:strCache>
                <c:ptCount val="1"/>
                <c:pt idx="0">
                  <c:v>USU20</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Graph_GenSurg!$L$7:$L$36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414930.34262192424</c:v>
                </c:pt>
                <c:pt idx="8">
                  <c:v>467290.95730725891</c:v>
                </c:pt>
                <c:pt idx="9">
                  <c:v>524763.22436689748</c:v>
                </c:pt>
                <c:pt idx="10">
                  <c:v>588449.02039398521</c:v>
                </c:pt>
                <c:pt idx="11">
                  <c:v>649720.24660637928</c:v>
                </c:pt>
                <c:pt idx="12">
                  <c:v>710146.70996840461</c:v>
                </c:pt>
                <c:pt idx="13">
                  <c:v>768281.88741084014</c:v>
                </c:pt>
                <c:pt idx="14">
                  <c:v>826352.17485501105</c:v>
                </c:pt>
                <c:pt idx="15">
                  <c:v>882219.71152208454</c:v>
                </c:pt>
                <c:pt idx="16">
                  <c:v>978461.73437005491</c:v>
                </c:pt>
                <c:pt idx="17">
                  <c:v>1071048.7796929423</c:v>
                </c:pt>
                <c:pt idx="18">
                  <c:v>1161307.7998215966</c:v>
                </c:pt>
                <c:pt idx="19">
                  <c:v>1248134.0153951729</c:v>
                </c:pt>
                <c:pt idx="20">
                  <c:v>1333348.9572154491</c:v>
                </c:pt>
                <c:pt idx="21">
                  <c:v>1415327.8931591159</c:v>
                </c:pt>
                <c:pt idx="22">
                  <c:v>1498396.6243776204</c:v>
                </c:pt>
                <c:pt idx="23">
                  <c:v>1578309.0119299442</c:v>
                </c:pt>
                <c:pt idx="24">
                  <c:v>1698037.379055026</c:v>
                </c:pt>
                <c:pt idx="25">
                  <c:v>1815114.7006283237</c:v>
                </c:pt>
                <c:pt idx="26">
                  <c:v>1929604.2010729213</c:v>
                </c:pt>
                <c:pt idx="27">
                  <c:v>2041567.4446933223</c:v>
                </c:pt>
                <c:pt idx="28">
                  <c:v>2151064.3840643219</c:v>
                </c:pt>
                <c:pt idx="29">
                  <c:v>2258153.4068709724</c:v>
                </c:pt>
              </c:numCache>
            </c:numRef>
          </c:val>
          <c:smooth val="0"/>
        </c:ser>
        <c:ser>
          <c:idx val="7"/>
          <c:order val="7"/>
          <c:tx>
            <c:strRef>
              <c:f>Graph_GenSurg!$M$6</c:f>
              <c:strCache>
                <c:ptCount val="1"/>
                <c:pt idx="0">
                  <c:v>HPSP20</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Graph_GenSurg!$M$7:$M$36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322806.62031125103</c:v>
                </c:pt>
                <c:pt idx="8">
                  <c:v>375167.2349965857</c:v>
                </c:pt>
                <c:pt idx="9">
                  <c:v>432639.50205622433</c:v>
                </c:pt>
                <c:pt idx="10">
                  <c:v>496325.29808331205</c:v>
                </c:pt>
                <c:pt idx="11">
                  <c:v>557596.52429570619</c:v>
                </c:pt>
                <c:pt idx="12">
                  <c:v>618022.98765773152</c:v>
                </c:pt>
                <c:pt idx="13">
                  <c:v>721067.05610948522</c:v>
                </c:pt>
                <c:pt idx="14">
                  <c:v>822364.88356813905</c:v>
                </c:pt>
                <c:pt idx="15">
                  <c:v>919769.91837037029</c:v>
                </c:pt>
                <c:pt idx="16">
                  <c:v>1016011.9412183407</c:v>
                </c:pt>
                <c:pt idx="17">
                  <c:v>1108598.9865412279</c:v>
                </c:pt>
                <c:pt idx="18">
                  <c:v>1198858.0066698822</c:v>
                </c:pt>
                <c:pt idx="19">
                  <c:v>1285684.2222434585</c:v>
                </c:pt>
                <c:pt idx="20">
                  <c:v>1370899.1640637347</c:v>
                </c:pt>
                <c:pt idx="21">
                  <c:v>1452878.1000074015</c:v>
                </c:pt>
                <c:pt idx="22">
                  <c:v>1535946.831225906</c:v>
                </c:pt>
                <c:pt idx="23">
                  <c:v>1615859.2187782298</c:v>
                </c:pt>
                <c:pt idx="24">
                  <c:v>1685680.638741472</c:v>
                </c:pt>
                <c:pt idx="25">
                  <c:v>1804236.1418124291</c:v>
                </c:pt>
                <c:pt idx="26">
                  <c:v>1920146.7000455626</c:v>
                </c:pt>
                <c:pt idx="27">
                  <c:v>2033476.0852673547</c:v>
                </c:pt>
                <c:pt idx="28">
                  <c:v>2144286.3722658101</c:v>
                </c:pt>
                <c:pt idx="29">
                  <c:v>2252637.9889271441</c:v>
                </c:pt>
              </c:numCache>
            </c:numRef>
          </c:val>
          <c:smooth val="0"/>
        </c:ser>
        <c:ser>
          <c:idx val="8"/>
          <c:order val="8"/>
          <c:tx>
            <c:strRef>
              <c:f>Graph_GenSurg!$N$6</c:f>
              <c:strCache>
                <c:ptCount val="1"/>
                <c:pt idx="0">
                  <c:v>USUim</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Graph_GenSurg!$N$7:$N$36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414930.34262192424</c:v>
                </c:pt>
                <c:pt idx="8">
                  <c:v>467290.95730725891</c:v>
                </c:pt>
                <c:pt idx="9">
                  <c:v>524763.22436689748</c:v>
                </c:pt>
                <c:pt idx="10">
                  <c:v>588449.02039398521</c:v>
                </c:pt>
                <c:pt idx="11">
                  <c:v>649720.24660637928</c:v>
                </c:pt>
                <c:pt idx="12">
                  <c:v>710146.70996840461</c:v>
                </c:pt>
                <c:pt idx="13">
                  <c:v>768281.88741084014</c:v>
                </c:pt>
                <c:pt idx="14">
                  <c:v>826352.17485501105</c:v>
                </c:pt>
                <c:pt idx="15">
                  <c:v>882219.71152208454</c:v>
                </c:pt>
                <c:pt idx="16">
                  <c:v>1007454.018888279</c:v>
                </c:pt>
                <c:pt idx="17">
                  <c:v>1130168.4961844955</c:v>
                </c:pt>
                <c:pt idx="18">
                  <c:v>1250414.4233604418</c:v>
                </c:pt>
                <c:pt idx="19">
                  <c:v>1368242.0203664133</c:v>
                </c:pt>
                <c:pt idx="20">
                  <c:v>1483700.4695252702</c:v>
                </c:pt>
                <c:pt idx="21">
                  <c:v>1596837.937419507</c:v>
                </c:pt>
                <c:pt idx="22">
                  <c:v>1707701.5963042667</c:v>
                </c:pt>
                <c:pt idx="23">
                  <c:v>1816337.6450569041</c:v>
                </c:pt>
                <c:pt idx="24">
                  <c:v>1922791.3296734532</c:v>
                </c:pt>
                <c:pt idx="25">
                  <c:v>2027106.9633221193</c:v>
                </c:pt>
                <c:pt idx="26">
                  <c:v>2129327.9459636728</c:v>
                </c:pt>
                <c:pt idx="27">
                  <c:v>2229496.7835484045</c:v>
                </c:pt>
                <c:pt idx="28">
                  <c:v>2327655.106799067</c:v>
                </c:pt>
                <c:pt idx="29">
                  <c:v>2423843.6895890217</c:v>
                </c:pt>
              </c:numCache>
            </c:numRef>
          </c:val>
          <c:smooth val="0"/>
        </c:ser>
        <c:ser>
          <c:idx val="9"/>
          <c:order val="9"/>
          <c:tx>
            <c:strRef>
              <c:f>Graph_GenSurg!$O$6</c:f>
              <c:strCache>
                <c:ptCount val="1"/>
                <c:pt idx="0">
                  <c:v>HPSPim</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Graph_GenSurg!$O$7:$O$36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322806.62031125103</c:v>
                </c:pt>
                <c:pt idx="8">
                  <c:v>375167.2349965857</c:v>
                </c:pt>
                <c:pt idx="9">
                  <c:v>432639.50205622433</c:v>
                </c:pt>
                <c:pt idx="10">
                  <c:v>496325.29808331205</c:v>
                </c:pt>
                <c:pt idx="11">
                  <c:v>557596.52429570619</c:v>
                </c:pt>
                <c:pt idx="12">
                  <c:v>618022.98765773152</c:v>
                </c:pt>
                <c:pt idx="13">
                  <c:v>751135.41100229369</c:v>
                </c:pt>
                <c:pt idx="14">
                  <c:v>881567.57320262177</c:v>
                </c:pt>
                <c:pt idx="15">
                  <c:v>1009374.0734559153</c:v>
                </c:pt>
                <c:pt idx="16">
                  <c:v>1134608.3808221098</c:v>
                </c:pt>
                <c:pt idx="17">
                  <c:v>1257322.8581183262</c:v>
                </c:pt>
                <c:pt idx="18">
                  <c:v>1377568.7852942725</c:v>
                </c:pt>
                <c:pt idx="19">
                  <c:v>1495396.3823002439</c:v>
                </c:pt>
                <c:pt idx="20">
                  <c:v>1610854.8314591008</c:v>
                </c:pt>
                <c:pt idx="21">
                  <c:v>1723992.2993533376</c:v>
                </c:pt>
                <c:pt idx="22">
                  <c:v>1834855.9582380974</c:v>
                </c:pt>
                <c:pt idx="23">
                  <c:v>1943492.0069907347</c:v>
                </c:pt>
                <c:pt idx="24">
                  <c:v>2049945.6916072839</c:v>
                </c:pt>
                <c:pt idx="25">
                  <c:v>2154261.32525595</c:v>
                </c:pt>
                <c:pt idx="26">
                  <c:v>2256482.3078975035</c:v>
                </c:pt>
                <c:pt idx="27">
                  <c:v>2356651.1454822351</c:v>
                </c:pt>
                <c:pt idx="28">
                  <c:v>2454809.4687328977</c:v>
                </c:pt>
                <c:pt idx="29">
                  <c:v>2550998.0515228524</c:v>
                </c:pt>
              </c:numCache>
            </c:numRef>
          </c:val>
          <c:smooth val="0"/>
        </c:ser>
        <c:ser>
          <c:idx val="12"/>
          <c:order val="10"/>
          <c:tx>
            <c:strRef>
              <c:f>Graph_GenSurg!$I$6</c:f>
              <c:strCache>
                <c:ptCount val="1"/>
                <c:pt idx="0">
                  <c:v>STD10r</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Graph_GenSurg!$I$7:$I$36</c:f>
              <c:numCache>
                <c:formatCode>"$"#,##0</c:formatCode>
                <c:ptCount val="30"/>
                <c:pt idx="0">
                  <c:v>-43015.05</c:v>
                </c:pt>
                <c:pt idx="1">
                  <c:v>-86352.285865219877</c:v>
                </c:pt>
                <c:pt idx="2">
                  <c:v>-138541.19578403595</c:v>
                </c:pt>
                <c:pt idx="3">
                  <c:v>-190867.38028908212</c:v>
                </c:pt>
                <c:pt idx="4">
                  <c:v>-166943.9067383607</c:v>
                </c:pt>
                <c:pt idx="5">
                  <c:v>-153732.16164497906</c:v>
                </c:pt>
                <c:pt idx="6">
                  <c:v>-139317.43128811088</c:v>
                </c:pt>
                <c:pt idx="7">
                  <c:v>-123745.30670550409</c:v>
                </c:pt>
                <c:pt idx="8">
                  <c:v>-107058.95298906429</c:v>
                </c:pt>
                <c:pt idx="9">
                  <c:v>35255.873737064641</c:v>
                </c:pt>
                <c:pt idx="10">
                  <c:v>173781.4612764949</c:v>
                </c:pt>
                <c:pt idx="11">
                  <c:v>310022.20739181532</c:v>
                </c:pt>
                <c:pt idx="12">
                  <c:v>444000.67738905957</c:v>
                </c:pt>
                <c:pt idx="13">
                  <c:v>575740.10758615192</c:v>
                </c:pt>
                <c:pt idx="14">
                  <c:v>712566.65754750289</c:v>
                </c:pt>
                <c:pt idx="15">
                  <c:v>853801.30291817838</c:v>
                </c:pt>
                <c:pt idx="16">
                  <c:v>992200.45843866875</c:v>
                </c:pt>
                <c:pt idx="17">
                  <c:v>1127821.6496116458</c:v>
                </c:pt>
                <c:pt idx="18">
                  <c:v>1260721.2178432399</c:v>
                </c:pt>
                <c:pt idx="19">
                  <c:v>1390954.3452959249</c:v>
                </c:pt>
                <c:pt idx="20">
                  <c:v>1518575.0792064618</c:v>
                </c:pt>
                <c:pt idx="21">
                  <c:v>1643636.355680777</c:v>
                </c:pt>
                <c:pt idx="22">
                  <c:v>1766190.0229773782</c:v>
                </c:pt>
                <c:pt idx="23">
                  <c:v>1886286.8642906444</c:v>
                </c:pt>
                <c:pt idx="24">
                  <c:v>2003976.6200450652</c:v>
                </c:pt>
                <c:pt idx="25">
                  <c:v>2119308.0097112525</c:v>
                </c:pt>
                <c:pt idx="26">
                  <c:v>2232328.7531542974</c:v>
                </c:pt>
                <c:pt idx="27">
                  <c:v>2343085.5915248049</c:v>
                </c:pt>
                <c:pt idx="28">
                  <c:v>2451624.3077026987</c:v>
                </c:pt>
                <c:pt idx="29">
                  <c:v>2557989.7463036645</c:v>
                </c:pt>
              </c:numCache>
            </c:numRef>
          </c:val>
          <c:smooth val="0"/>
        </c:ser>
        <c:ser>
          <c:idx val="13"/>
          <c:order val="11"/>
          <c:tx>
            <c:strRef>
              <c:f>Graph_GenSurg!$J$6</c:f>
              <c:strCache>
                <c:ptCount val="1"/>
                <c:pt idx="0">
                  <c:v>IBRr</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Graph_GenSurg!$J$7:$J$36</c:f>
              <c:numCache>
                <c:formatCode>"$"#,##0</c:formatCode>
                <c:ptCount val="30"/>
                <c:pt idx="0">
                  <c:v>-43015.05</c:v>
                </c:pt>
                <c:pt idx="1">
                  <c:v>-86352.285865219877</c:v>
                </c:pt>
                <c:pt idx="2">
                  <c:v>-138541.19578403595</c:v>
                </c:pt>
                <c:pt idx="3">
                  <c:v>-190867.38028908212</c:v>
                </c:pt>
                <c:pt idx="4">
                  <c:v>-159376.263840158</c:v>
                </c:pt>
                <c:pt idx="5">
                  <c:v>-127913.13213476112</c:v>
                </c:pt>
                <c:pt idx="6">
                  <c:v>-96469.213883902426</c:v>
                </c:pt>
                <c:pt idx="7">
                  <c:v>-65035.922086779574</c:v>
                </c:pt>
                <c:pt idx="8">
                  <c:v>-33604.8480262374</c:v>
                </c:pt>
                <c:pt idx="9">
                  <c:v>108709.97869989154</c:v>
                </c:pt>
                <c:pt idx="10">
                  <c:v>247235.56623932181</c:v>
                </c:pt>
                <c:pt idx="11">
                  <c:v>383476.3123546422</c:v>
                </c:pt>
                <c:pt idx="12">
                  <c:v>517454.78235188645</c:v>
                </c:pt>
                <c:pt idx="13">
                  <c:v>649194.21254897874</c:v>
                </c:pt>
                <c:pt idx="14">
                  <c:v>778718.44225162338</c:v>
                </c:pt>
                <c:pt idx="15">
                  <c:v>906051.8497416469</c:v>
                </c:pt>
                <c:pt idx="16">
                  <c:v>1031219.2920690553</c:v>
                </c:pt>
                <c:pt idx="17">
                  <c:v>1154246.0484494548</c:v>
                </c:pt>
                <c:pt idx="18">
                  <c:v>1275157.7670783671</c:v>
                </c:pt>
                <c:pt idx="19">
                  <c:v>1393980.4151833632</c:v>
                </c:pt>
                <c:pt idx="20">
                  <c:v>1511666.8375603079</c:v>
                </c:pt>
                <c:pt idx="21">
                  <c:v>1636728.1140346231</c:v>
                </c:pt>
                <c:pt idx="22">
                  <c:v>1759281.7813312244</c:v>
                </c:pt>
                <c:pt idx="23">
                  <c:v>1879378.6226444906</c:v>
                </c:pt>
                <c:pt idx="24">
                  <c:v>1997068.3783989113</c:v>
                </c:pt>
                <c:pt idx="25">
                  <c:v>2112399.7680650987</c:v>
                </c:pt>
                <c:pt idx="26">
                  <c:v>2225420.5115081435</c:v>
                </c:pt>
                <c:pt idx="27">
                  <c:v>2336177.3498786511</c:v>
                </c:pt>
                <c:pt idx="28">
                  <c:v>2444716.0660565449</c:v>
                </c:pt>
                <c:pt idx="29">
                  <c:v>2551081.5046575107</c:v>
                </c:pt>
              </c:numCache>
            </c:numRef>
          </c:val>
          <c:smooth val="0"/>
        </c:ser>
        <c:ser>
          <c:idx val="14"/>
          <c:order val="12"/>
          <c:tx>
            <c:strRef>
              <c:f>Graph_GenSurg!$K$6</c:f>
              <c:strCache>
                <c:ptCount val="1"/>
                <c:pt idx="0">
                  <c:v>PAYEr</c:v>
                </c:pt>
              </c:strCache>
            </c:strRef>
          </c:tx>
          <c:marker>
            <c:symbol val="none"/>
          </c:marker>
          <c:cat>
            <c:numRef>
              <c:f>Graph_GenSurg!$B$7:$B$36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Graph_GenSurg!$K$7:$K$36</c:f>
              <c:numCache>
                <c:formatCode>"$"#,##0</c:formatCode>
                <c:ptCount val="30"/>
                <c:pt idx="0">
                  <c:v>-43015.05</c:v>
                </c:pt>
                <c:pt idx="1">
                  <c:v>-86352.285865219877</c:v>
                </c:pt>
                <c:pt idx="2">
                  <c:v>-138541.19578403595</c:v>
                </c:pt>
                <c:pt idx="3">
                  <c:v>-190867.38028908212</c:v>
                </c:pt>
                <c:pt idx="4">
                  <c:v>-157911.19312249744</c:v>
                </c:pt>
                <c:pt idx="5">
                  <c:v>-124940.73121601369</c:v>
                </c:pt>
                <c:pt idx="6">
                  <c:v>-91947.694234953393</c:v>
                </c:pt>
                <c:pt idx="7">
                  <c:v>-58923.94561664114</c:v>
                </c:pt>
                <c:pt idx="8">
                  <c:v>-25861.507102589763</c:v>
                </c:pt>
                <c:pt idx="9">
                  <c:v>116453.31962353917</c:v>
                </c:pt>
                <c:pt idx="10">
                  <c:v>254978.90716296944</c:v>
                </c:pt>
                <c:pt idx="11">
                  <c:v>391219.65327828983</c:v>
                </c:pt>
                <c:pt idx="12">
                  <c:v>525198.12327553402</c:v>
                </c:pt>
                <c:pt idx="13">
                  <c:v>656937.55347262637</c:v>
                </c:pt>
                <c:pt idx="14">
                  <c:v>786461.783175271</c:v>
                </c:pt>
                <c:pt idx="15">
                  <c:v>913795.19066529453</c:v>
                </c:pt>
                <c:pt idx="16">
                  <c:v>1038962.6329927029</c:v>
                </c:pt>
                <c:pt idx="17">
                  <c:v>1161989.3893731025</c:v>
                </c:pt>
                <c:pt idx="18">
                  <c:v>1282901.1080020147</c:v>
                </c:pt>
                <c:pt idx="19">
                  <c:v>1401723.7561070109</c:v>
                </c:pt>
                <c:pt idx="20">
                  <c:v>1518483.5730675298</c:v>
                </c:pt>
                <c:pt idx="21">
                  <c:v>1637247.3849798292</c:v>
                </c:pt>
                <c:pt idx="22">
                  <c:v>1759801.0522764304</c:v>
                </c:pt>
                <c:pt idx="23">
                  <c:v>1879897.8935896966</c:v>
                </c:pt>
                <c:pt idx="24">
                  <c:v>1997587.6493441174</c:v>
                </c:pt>
                <c:pt idx="25">
                  <c:v>2112919.0390103045</c:v>
                </c:pt>
                <c:pt idx="26">
                  <c:v>2225939.7824533493</c:v>
                </c:pt>
                <c:pt idx="27">
                  <c:v>2336696.6208238569</c:v>
                </c:pt>
                <c:pt idx="28">
                  <c:v>2445235.3370017507</c:v>
                </c:pt>
                <c:pt idx="29">
                  <c:v>2551600.7756027165</c:v>
                </c:pt>
              </c:numCache>
            </c:numRef>
          </c:val>
          <c:smooth val="0"/>
        </c:ser>
        <c:ser>
          <c:idx val="10"/>
          <c:order val="13"/>
          <c:tx>
            <c:strRef>
              <c:f>Graph_GenSurg!$P$6</c:f>
              <c:strCache>
                <c:ptCount val="1"/>
                <c:pt idx="0">
                  <c:v>SELF</c:v>
                </c:pt>
              </c:strCache>
            </c:strRef>
          </c:tx>
          <c:marker>
            <c:symbol val="none"/>
          </c:marker>
          <c:val>
            <c:numRef>
              <c:f>Graph_GenSurg!$P$7:$P$36</c:f>
              <c:numCache>
                <c:formatCode>"$"#,##0</c:formatCode>
                <c:ptCount val="30"/>
                <c:pt idx="0">
                  <c:v>0</c:v>
                </c:pt>
                <c:pt idx="1">
                  <c:v>0</c:v>
                </c:pt>
                <c:pt idx="2">
                  <c:v>0</c:v>
                </c:pt>
                <c:pt idx="3">
                  <c:v>0</c:v>
                </c:pt>
                <c:pt idx="4">
                  <c:v>35886.328601905836</c:v>
                </c:pt>
                <c:pt idx="5">
                  <c:v>71871.450910563319</c:v>
                </c:pt>
                <c:pt idx="6">
                  <c:v>107962.72535202681</c:v>
                </c:pt>
                <c:pt idx="7">
                  <c:v>144167.38761271787</c:v>
                </c:pt>
                <c:pt idx="8">
                  <c:v>180492.55503378765</c:v>
                </c:pt>
                <c:pt idx="9">
                  <c:v>341500.33217361348</c:v>
                </c:pt>
                <c:pt idx="10">
                  <c:v>497818.56240645412</c:v>
                </c:pt>
                <c:pt idx="11">
                  <c:v>650995.00497466838</c:v>
                </c:pt>
                <c:pt idx="12">
                  <c:v>801093.49824708293</c:v>
                </c:pt>
                <c:pt idx="13">
                  <c:v>948176.56377176929</c:v>
                </c:pt>
                <c:pt idx="14">
                  <c:v>1092305.4339918268</c:v>
                </c:pt>
                <c:pt idx="15">
                  <c:v>1233540.0793625023</c:v>
                </c:pt>
                <c:pt idx="16">
                  <c:v>1371939.2348829927</c:v>
                </c:pt>
                <c:pt idx="17">
                  <c:v>1507560.4260559699</c:v>
                </c:pt>
                <c:pt idx="18">
                  <c:v>1640459.994287564</c:v>
                </c:pt>
                <c:pt idx="19">
                  <c:v>1770693.121740249</c:v>
                </c:pt>
                <c:pt idx="20">
                  <c:v>1898313.8556507858</c:v>
                </c:pt>
                <c:pt idx="21">
                  <c:v>2023375.1321251011</c:v>
                </c:pt>
                <c:pt idx="22">
                  <c:v>2145928.7994217025</c:v>
                </c:pt>
                <c:pt idx="23">
                  <c:v>2266025.6407349687</c:v>
                </c:pt>
                <c:pt idx="24">
                  <c:v>2383715.3964893892</c:v>
                </c:pt>
                <c:pt idx="25">
                  <c:v>2499046.7861555764</c:v>
                </c:pt>
                <c:pt idx="26">
                  <c:v>2612067.5295986212</c:v>
                </c:pt>
                <c:pt idx="27">
                  <c:v>2722824.3679691288</c:v>
                </c:pt>
                <c:pt idx="28">
                  <c:v>2831363.0841470226</c:v>
                </c:pt>
                <c:pt idx="29">
                  <c:v>2937728.5227479883</c:v>
                </c:pt>
              </c:numCache>
            </c:numRef>
          </c:val>
          <c:smooth val="0"/>
        </c:ser>
        <c:dLbls>
          <c:showLegendKey val="0"/>
          <c:showVal val="0"/>
          <c:showCatName val="0"/>
          <c:showSerName val="0"/>
          <c:showPercent val="0"/>
          <c:showBubbleSize val="0"/>
        </c:dLbls>
        <c:marker val="1"/>
        <c:smooth val="0"/>
        <c:axId val="130255488"/>
        <c:axId val="130261376"/>
      </c:lineChart>
      <c:catAx>
        <c:axId val="130255488"/>
        <c:scaling>
          <c:orientation val="minMax"/>
        </c:scaling>
        <c:delete val="0"/>
        <c:axPos val="b"/>
        <c:numFmt formatCode="General" sourceLinked="1"/>
        <c:majorTickMark val="out"/>
        <c:minorTickMark val="none"/>
        <c:tickLblPos val="nextTo"/>
        <c:txPr>
          <a:bodyPr/>
          <a:lstStyle/>
          <a:p>
            <a:pPr>
              <a:defRPr sz="900"/>
            </a:pPr>
            <a:endParaRPr lang="en-US"/>
          </a:p>
        </c:txPr>
        <c:crossAx val="130261376"/>
        <c:crosses val="autoZero"/>
        <c:auto val="1"/>
        <c:lblAlgn val="ctr"/>
        <c:lblOffset val="100"/>
        <c:noMultiLvlLbl val="0"/>
      </c:catAx>
      <c:valAx>
        <c:axId val="130261376"/>
        <c:scaling>
          <c:orientation val="minMax"/>
        </c:scaling>
        <c:delete val="0"/>
        <c:axPos val="l"/>
        <c:majorGridlines/>
        <c:numFmt formatCode="&quot;$&quot;#,##0" sourceLinked="1"/>
        <c:majorTickMark val="out"/>
        <c:minorTickMark val="none"/>
        <c:tickLblPos val="nextTo"/>
        <c:txPr>
          <a:bodyPr/>
          <a:lstStyle/>
          <a:p>
            <a:pPr>
              <a:defRPr sz="900"/>
            </a:pPr>
            <a:endParaRPr lang="en-US"/>
          </a:p>
        </c:txPr>
        <c:crossAx val="130255488"/>
        <c:crosses val="autoZero"/>
        <c:crossBetween val="between"/>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Net Present Value of Cash Flows</a:t>
            </a:r>
          </a:p>
          <a:p>
            <a:pPr>
              <a:defRPr sz="1400"/>
            </a:pPr>
            <a:r>
              <a:rPr lang="en-US" sz="1400"/>
              <a:t>Ophthalmology</a:t>
            </a:r>
          </a:p>
        </c:rich>
      </c:tx>
      <c:overlay val="0"/>
    </c:title>
    <c:autoTitleDeleted val="0"/>
    <c:plotArea>
      <c:layout/>
      <c:lineChart>
        <c:grouping val="standard"/>
        <c:varyColors val="0"/>
        <c:ser>
          <c:idx val="3"/>
          <c:order val="0"/>
          <c:tx>
            <c:strRef>
              <c:f>Graph_Ophtha!$C$6</c:f>
              <c:strCache>
                <c:ptCount val="1"/>
                <c:pt idx="0">
                  <c:v>USU30</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Graph_Ophtha!$C$7:$C$36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414930.34262192424</c:v>
                </c:pt>
                <c:pt idx="8">
                  <c:v>474661.52056107915</c:v>
                </c:pt>
                <c:pt idx="9">
                  <c:v>533314.72387588245</c:v>
                </c:pt>
                <c:pt idx="10">
                  <c:v>597000.51990297018</c:v>
                </c:pt>
                <c:pt idx="11">
                  <c:v>658271.74611536425</c:v>
                </c:pt>
                <c:pt idx="12">
                  <c:v>718698.20947738958</c:v>
                </c:pt>
                <c:pt idx="13">
                  <c:v>776833.3869198251</c:v>
                </c:pt>
                <c:pt idx="14">
                  <c:v>834903.67436399602</c:v>
                </c:pt>
                <c:pt idx="15">
                  <c:v>911525.4134748918</c:v>
                </c:pt>
                <c:pt idx="16">
                  <c:v>987866.92202686938</c:v>
                </c:pt>
                <c:pt idx="17">
                  <c:v>1061272.8205898602</c:v>
                </c:pt>
                <c:pt idx="18">
                  <c:v>1133134.2945309146</c:v>
                </c:pt>
                <c:pt idx="19">
                  <c:v>1202232.45084336</c:v>
                </c:pt>
                <c:pt idx="20">
                  <c:v>1270481.9780365375</c:v>
                </c:pt>
                <c:pt idx="21">
                  <c:v>1336106.981097888</c:v>
                </c:pt>
                <c:pt idx="22">
                  <c:v>1403141.9443251938</c:v>
                </c:pt>
                <c:pt idx="23">
                  <c:v>1467593.1517484181</c:v>
                </c:pt>
                <c:pt idx="24">
                  <c:v>1532395.3463698246</c:v>
                </c:pt>
                <c:pt idx="25">
                  <c:v>1594699.6802598776</c:v>
                </c:pt>
                <c:pt idx="26">
                  <c:v>1656098.3579323683</c:v>
                </c:pt>
                <c:pt idx="27">
                  <c:v>1715130.3353787577</c:v>
                </c:pt>
                <c:pt idx="28">
                  <c:v>1771886.8972263935</c:v>
                </c:pt>
                <c:pt idx="29">
                  <c:v>1826455.8055583576</c:v>
                </c:pt>
              </c:numCache>
            </c:numRef>
          </c:val>
          <c:smooth val="0"/>
        </c:ser>
        <c:ser>
          <c:idx val="4"/>
          <c:order val="1"/>
          <c:tx>
            <c:strRef>
              <c:f>Graph_Ophtha!$D$6</c:f>
              <c:strCache>
                <c:ptCount val="1"/>
                <c:pt idx="0">
                  <c:v>HPSP30</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Graph_Ophtha!$D$7:$D$36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322806.62031125103</c:v>
                </c:pt>
                <c:pt idx="8">
                  <c:v>382537.79825040593</c:v>
                </c:pt>
                <c:pt idx="9">
                  <c:v>441191.00156520924</c:v>
                </c:pt>
                <c:pt idx="10">
                  <c:v>504876.79759229696</c:v>
                </c:pt>
                <c:pt idx="11">
                  <c:v>566148.02380469104</c:v>
                </c:pt>
                <c:pt idx="12">
                  <c:v>649910.06493425183</c:v>
                </c:pt>
                <c:pt idx="13">
                  <c:v>730451.56207811472</c:v>
                </c:pt>
                <c:pt idx="14">
                  <c:v>810137.25824792241</c:v>
                </c:pt>
                <c:pt idx="15">
                  <c:v>886758.99735881819</c:v>
                </c:pt>
                <c:pt idx="16">
                  <c:v>963100.50591079576</c:v>
                </c:pt>
                <c:pt idx="17">
                  <c:v>1036506.4044737867</c:v>
                </c:pt>
                <c:pt idx="18">
                  <c:v>1108367.8784148411</c:v>
                </c:pt>
                <c:pt idx="19">
                  <c:v>1177466.0347272865</c:v>
                </c:pt>
                <c:pt idx="20">
                  <c:v>1245715.561920464</c:v>
                </c:pt>
                <c:pt idx="21">
                  <c:v>1311340.5649818145</c:v>
                </c:pt>
                <c:pt idx="22">
                  <c:v>1378375.5282091203</c:v>
                </c:pt>
                <c:pt idx="23">
                  <c:v>1442826.7356323446</c:v>
                </c:pt>
                <c:pt idx="24">
                  <c:v>1506241.7460800274</c:v>
                </c:pt>
                <c:pt idx="25">
                  <c:v>1567478.2037837482</c:v>
                </c:pt>
                <c:pt idx="26">
                  <c:v>1626609.8439024603</c:v>
                </c:pt>
                <c:pt idx="27">
                  <c:v>1683833.0794485125</c:v>
                </c:pt>
                <c:pt idx="28">
                  <c:v>1739207.1593621271</c:v>
                </c:pt>
                <c:pt idx="29">
                  <c:v>1793111.5394467271</c:v>
                </c:pt>
              </c:numCache>
            </c:numRef>
          </c:val>
          <c:smooth val="0"/>
        </c:ser>
        <c:ser>
          <c:idx val="0"/>
          <c:order val="2"/>
          <c:tx>
            <c:strRef>
              <c:f>Graph_Ophtha!$E$6</c:f>
              <c:strCache>
                <c:ptCount val="1"/>
                <c:pt idx="0">
                  <c:v>STD10</c:v>
                </c:pt>
              </c:strCache>
            </c:strRef>
          </c:tx>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Graph_Ophtha!$E$7:$E$36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49311.506904871334</c:v>
                </c:pt>
                <c:pt idx="9">
                  <c:v>137774.12263404956</c:v>
                </c:pt>
                <c:pt idx="10">
                  <c:v>225072.94742145418</c:v>
                </c:pt>
                <c:pt idx="11">
                  <c:v>311201.80632194114</c:v>
                </c:pt>
                <c:pt idx="12">
                  <c:v>396156.0857399379</c:v>
                </c:pt>
                <c:pt idx="13">
                  <c:v>479932.63217074517</c:v>
                </c:pt>
                <c:pt idx="14">
                  <c:v>562529.65636689821</c:v>
                </c:pt>
                <c:pt idx="15">
                  <c:v>643946.64265647193</c:v>
                </c:pt>
                <c:pt idx="16">
                  <c:v>724184.26315362856</c:v>
                </c:pt>
                <c:pt idx="17">
                  <c:v>803244.2966144738</c:v>
                </c:pt>
                <c:pt idx="18">
                  <c:v>895722.96041725646</c:v>
                </c:pt>
                <c:pt idx="19">
                  <c:v>986327.75019463617</c:v>
                </c:pt>
                <c:pt idx="20">
                  <c:v>1075097.1726587953</c:v>
                </c:pt>
                <c:pt idx="21">
                  <c:v>1162068.92810725</c:v>
                </c:pt>
                <c:pt idx="22">
                  <c:v>1247279.927731439</c:v>
                </c:pt>
                <c:pt idx="23">
                  <c:v>1330766.3105423402</c:v>
                </c:pt>
                <c:pt idx="24">
                  <c:v>1412563.4599218932</c:v>
                </c:pt>
                <c:pt idx="25">
                  <c:v>1492706.0198087986</c:v>
                </c:pt>
                <c:pt idx="26">
                  <c:v>1571227.9105270572</c:v>
                </c:pt>
                <c:pt idx="27">
                  <c:v>1648162.3442654212</c:v>
                </c:pt>
                <c:pt idx="28">
                  <c:v>1723541.8402157233</c:v>
                </c:pt>
                <c:pt idx="29">
                  <c:v>1797398.2393778737</c:v>
                </c:pt>
              </c:numCache>
            </c:numRef>
          </c:val>
          <c:smooth val="0"/>
        </c:ser>
        <c:ser>
          <c:idx val="1"/>
          <c:order val="3"/>
          <c:tx>
            <c:strRef>
              <c:f>Graph_Ophtha!$F$6</c:f>
              <c:strCache>
                <c:ptCount val="1"/>
                <c:pt idx="0">
                  <c:v>EXT</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Graph_Ophtha!$F$7:$F$36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59316.834754328898</c:v>
                </c:pt>
                <c:pt idx="9">
                  <c:v>157302.89218297176</c:v>
                </c:pt>
                <c:pt idx="10">
                  <c:v>253666.48158056545</c:v>
                </c:pt>
                <c:pt idx="11">
                  <c:v>348423.51924574788</c:v>
                </c:pt>
                <c:pt idx="12">
                  <c:v>441590.41884715937</c:v>
                </c:pt>
                <c:pt idx="13">
                  <c:v>533184.04140914371</c:v>
                </c:pt>
                <c:pt idx="14">
                  <c:v>623221.64825442783</c:v>
                </c:pt>
                <c:pt idx="15">
                  <c:v>711720.85674953286</c:v>
                </c:pt>
                <c:pt idx="16">
                  <c:v>798699.59870636137</c:v>
                </c:pt>
                <c:pt idx="17">
                  <c:v>884176.08130072244</c:v>
                </c:pt>
                <c:pt idx="18">
                  <c:v>968168.75037551322</c:v>
                </c:pt>
                <c:pt idx="19">
                  <c:v>1050696.2560028909</c:v>
                </c:pt>
                <c:pt idx="20">
                  <c:v>1131777.4201860658</c:v>
                </c:pt>
                <c:pt idx="21">
                  <c:v>1211431.2065873246</c:v>
                </c:pt>
                <c:pt idx="22">
                  <c:v>1289676.6921745862</c:v>
                </c:pt>
                <c:pt idx="23">
                  <c:v>1366533.040684205</c:v>
                </c:pt>
                <c:pt idx="24">
                  <c:v>1442019.4778028762</c:v>
                </c:pt>
                <c:pt idx="25">
                  <c:v>1516155.2679763967</c:v>
                </c:pt>
                <c:pt idx="26">
                  <c:v>1588959.6927576817</c:v>
                </c:pt>
                <c:pt idx="27">
                  <c:v>1660452.0306108622</c:v>
                </c:pt>
                <c:pt idx="28">
                  <c:v>1730651.5380924954</c:v>
                </c:pt>
                <c:pt idx="29">
                  <c:v>1799577.4323349155</c:v>
                </c:pt>
              </c:numCache>
            </c:numRef>
          </c:val>
          <c:smooth val="0"/>
        </c:ser>
        <c:ser>
          <c:idx val="2"/>
          <c:order val="4"/>
          <c:tx>
            <c:strRef>
              <c:f>Graph_Ophtha!$G$6</c:f>
              <c:strCache>
                <c:ptCount val="1"/>
                <c:pt idx="0">
                  <c:v>IBR</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Graph_Ophtha!$G$7:$G$36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49775.138679855969</c:v>
                </c:pt>
                <c:pt idx="9">
                  <c:v>139424.42404595815</c:v>
                </c:pt>
                <c:pt idx="10">
                  <c:v>227217.99473273015</c:v>
                </c:pt>
                <c:pt idx="11">
                  <c:v>313346.85363321711</c:v>
                </c:pt>
                <c:pt idx="12">
                  <c:v>398301.13305121387</c:v>
                </c:pt>
                <c:pt idx="13">
                  <c:v>482077.67948202114</c:v>
                </c:pt>
                <c:pt idx="14">
                  <c:v>564674.70367817418</c:v>
                </c:pt>
                <c:pt idx="15">
                  <c:v>646091.68996774789</c:v>
                </c:pt>
                <c:pt idx="16">
                  <c:v>726329.31046490453</c:v>
                </c:pt>
                <c:pt idx="17">
                  <c:v>805389.34392574977</c:v>
                </c:pt>
                <c:pt idx="18">
                  <c:v>895502.45899216679</c:v>
                </c:pt>
                <c:pt idx="19">
                  <c:v>986107.24876954639</c:v>
                </c:pt>
                <c:pt idx="20">
                  <c:v>1074876.6712337055</c:v>
                </c:pt>
                <c:pt idx="21">
                  <c:v>1161848.4266821602</c:v>
                </c:pt>
                <c:pt idx="22">
                  <c:v>1247059.4263063492</c:v>
                </c:pt>
                <c:pt idx="23">
                  <c:v>1330545.8091172504</c:v>
                </c:pt>
                <c:pt idx="24">
                  <c:v>1412342.9584968034</c:v>
                </c:pt>
                <c:pt idx="25">
                  <c:v>1492485.5183837088</c:v>
                </c:pt>
                <c:pt idx="26">
                  <c:v>1571007.4091019675</c:v>
                </c:pt>
                <c:pt idx="27">
                  <c:v>1647941.8428403314</c:v>
                </c:pt>
                <c:pt idx="28">
                  <c:v>1723321.3387906335</c:v>
                </c:pt>
                <c:pt idx="29">
                  <c:v>1797177.7379527839</c:v>
                </c:pt>
              </c:numCache>
            </c:numRef>
          </c:val>
          <c:smooth val="0"/>
        </c:ser>
        <c:ser>
          <c:idx val="5"/>
          <c:order val="5"/>
          <c:tx>
            <c:strRef>
              <c:f>Graph_Ophtha!$H$6</c:f>
              <c:strCache>
                <c:ptCount val="1"/>
                <c:pt idx="0">
                  <c:v>PAYE</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Graph_Ophtha!$H$7:$H$36</c:f>
              <c:numCache>
                <c:formatCode>"$"#,##0</c:formatCode>
                <c:ptCount val="30"/>
                <c:pt idx="0">
                  <c:v>-43015.05</c:v>
                </c:pt>
                <c:pt idx="1">
                  <c:v>-86352.285865219877</c:v>
                </c:pt>
                <c:pt idx="2">
                  <c:v>-138541.19578403595</c:v>
                </c:pt>
                <c:pt idx="3">
                  <c:v>-190867.38028908212</c:v>
                </c:pt>
                <c:pt idx="4">
                  <c:v>-154981.05168717628</c:v>
                </c:pt>
                <c:pt idx="5">
                  <c:v>-118995.92937851879</c:v>
                </c:pt>
                <c:pt idx="6">
                  <c:v>-82904.654937055282</c:v>
                </c:pt>
                <c:pt idx="7">
                  <c:v>-46699.992676364229</c:v>
                </c:pt>
                <c:pt idx="8">
                  <c:v>57589.698042638192</c:v>
                </c:pt>
                <c:pt idx="9">
                  <c:v>154428.7145918037</c:v>
                </c:pt>
                <c:pt idx="10">
                  <c:v>249277.3278397276</c:v>
                </c:pt>
                <c:pt idx="11">
                  <c:v>342177.23323576653</c:v>
                </c:pt>
                <c:pt idx="12">
                  <c:v>433169.23096464132</c:v>
                </c:pt>
                <c:pt idx="13">
                  <c:v>522293.24576395075</c:v>
                </c:pt>
                <c:pt idx="14">
                  <c:v>609588.34628718451</c:v>
                </c:pt>
                <c:pt idx="15">
                  <c:v>695092.76402306871</c:v>
                </c:pt>
                <c:pt idx="16">
                  <c:v>778843.91178180533</c:v>
                </c:pt>
                <c:pt idx="17">
                  <c:v>860878.40175851015</c:v>
                </c:pt>
                <c:pt idx="18">
                  <c:v>941232.0631838938</c:v>
                </c:pt>
                <c:pt idx="19">
                  <c:v>1019939.959571988</c:v>
                </c:pt>
                <c:pt idx="20">
                  <c:v>1097036.4055744717</c:v>
                </c:pt>
                <c:pt idx="21">
                  <c:v>1172554.9834509208</c:v>
                </c:pt>
                <c:pt idx="22">
                  <c:v>1246528.5591640724</c:v>
                </c:pt>
                <c:pt idx="23">
                  <c:v>1325078.7423982376</c:v>
                </c:pt>
                <c:pt idx="24">
                  <c:v>1406875.8917777906</c:v>
                </c:pt>
                <c:pt idx="25">
                  <c:v>1487018.451664696</c:v>
                </c:pt>
                <c:pt idx="26">
                  <c:v>1565540.3423829547</c:v>
                </c:pt>
                <c:pt idx="27">
                  <c:v>1642474.7761213186</c:v>
                </c:pt>
                <c:pt idx="28">
                  <c:v>1717854.2720716207</c:v>
                </c:pt>
                <c:pt idx="29">
                  <c:v>1791710.6712337711</c:v>
                </c:pt>
              </c:numCache>
            </c:numRef>
          </c:val>
          <c:smooth val="0"/>
        </c:ser>
        <c:ser>
          <c:idx val="6"/>
          <c:order val="6"/>
          <c:tx>
            <c:strRef>
              <c:f>Graph_Ophtha!$L$6</c:f>
              <c:strCache>
                <c:ptCount val="1"/>
                <c:pt idx="0">
                  <c:v>USU20</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Graph_Ophtha!$L$7:$L$36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414930.34262192424</c:v>
                </c:pt>
                <c:pt idx="8">
                  <c:v>474661.52056107915</c:v>
                </c:pt>
                <c:pt idx="9">
                  <c:v>533314.72387588245</c:v>
                </c:pt>
                <c:pt idx="10">
                  <c:v>597000.51990297018</c:v>
                </c:pt>
                <c:pt idx="11">
                  <c:v>658271.74611536425</c:v>
                </c:pt>
                <c:pt idx="12">
                  <c:v>718698.20947738958</c:v>
                </c:pt>
                <c:pt idx="13">
                  <c:v>776833.3869198251</c:v>
                </c:pt>
                <c:pt idx="14">
                  <c:v>834903.67436399602</c:v>
                </c:pt>
                <c:pt idx="15">
                  <c:v>911525.4134748918</c:v>
                </c:pt>
                <c:pt idx="16">
                  <c:v>987866.92202686938</c:v>
                </c:pt>
                <c:pt idx="17">
                  <c:v>1061272.8205898602</c:v>
                </c:pt>
                <c:pt idx="18">
                  <c:v>1133134.2945309146</c:v>
                </c:pt>
                <c:pt idx="19">
                  <c:v>1202232.45084336</c:v>
                </c:pt>
                <c:pt idx="20">
                  <c:v>1270481.9780365375</c:v>
                </c:pt>
                <c:pt idx="21">
                  <c:v>1336106.981097888</c:v>
                </c:pt>
                <c:pt idx="22">
                  <c:v>1403141.9443251938</c:v>
                </c:pt>
                <c:pt idx="23">
                  <c:v>1467593.1517484181</c:v>
                </c:pt>
                <c:pt idx="24">
                  <c:v>1523995.0217652966</c:v>
                </c:pt>
                <c:pt idx="25">
                  <c:v>1578223.658101025</c:v>
                </c:pt>
                <c:pt idx="26">
                  <c:v>1631858.7201920692</c:v>
                </c:pt>
                <c:pt idx="27">
                  <c:v>1717503.0837172905</c:v>
                </c:pt>
                <c:pt idx="28">
                  <c:v>1801118.7436484366</c:v>
                </c:pt>
                <c:pt idx="29">
                  <c:v>1882758.5391579724</c:v>
                </c:pt>
              </c:numCache>
            </c:numRef>
          </c:val>
          <c:smooth val="0"/>
        </c:ser>
        <c:ser>
          <c:idx val="7"/>
          <c:order val="7"/>
          <c:tx>
            <c:strRef>
              <c:f>Graph_Ophtha!$M$6</c:f>
              <c:strCache>
                <c:ptCount val="1"/>
                <c:pt idx="0">
                  <c:v>HPSP20</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Graph_Ophtha!$M$7:$M$36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322806.62031125103</c:v>
                </c:pt>
                <c:pt idx="8">
                  <c:v>382537.79825040593</c:v>
                </c:pt>
                <c:pt idx="9">
                  <c:v>441191.00156520924</c:v>
                </c:pt>
                <c:pt idx="10">
                  <c:v>504876.79759229696</c:v>
                </c:pt>
                <c:pt idx="11">
                  <c:v>566148.02380469104</c:v>
                </c:pt>
                <c:pt idx="12">
                  <c:v>649910.06493425183</c:v>
                </c:pt>
                <c:pt idx="13">
                  <c:v>730451.56207811472</c:v>
                </c:pt>
                <c:pt idx="14">
                  <c:v>810137.25824792241</c:v>
                </c:pt>
                <c:pt idx="15">
                  <c:v>886758.99735881819</c:v>
                </c:pt>
                <c:pt idx="16">
                  <c:v>963100.50591079576</c:v>
                </c:pt>
                <c:pt idx="17">
                  <c:v>1036506.4044737867</c:v>
                </c:pt>
                <c:pt idx="18">
                  <c:v>1108367.8784148411</c:v>
                </c:pt>
                <c:pt idx="19">
                  <c:v>1177466.0347272865</c:v>
                </c:pt>
                <c:pt idx="20">
                  <c:v>1245715.561920464</c:v>
                </c:pt>
                <c:pt idx="21">
                  <c:v>1311340.5649818145</c:v>
                </c:pt>
                <c:pt idx="22">
                  <c:v>1378375.5282091203</c:v>
                </c:pt>
                <c:pt idx="23">
                  <c:v>1442826.7356323446</c:v>
                </c:pt>
                <c:pt idx="24">
                  <c:v>1530251.7570200455</c:v>
                </c:pt>
                <c:pt idx="25">
                  <c:v>1615659.1317919896</c:v>
                </c:pt>
                <c:pt idx="26">
                  <c:v>1699099.6647842797</c:v>
                </c:pt>
                <c:pt idx="27">
                  <c:v>1780622.7442357517</c:v>
                </c:pt>
                <c:pt idx="28">
                  <c:v>1860276.385401919</c:v>
                </c:pt>
                <c:pt idx="29">
                  <c:v>1938107.2727136358</c:v>
                </c:pt>
              </c:numCache>
            </c:numRef>
          </c:val>
          <c:smooth val="0"/>
        </c:ser>
        <c:ser>
          <c:idx val="8"/>
          <c:order val="8"/>
          <c:tx>
            <c:strRef>
              <c:f>Graph_Ophtha!$N$6</c:f>
              <c:strCache>
                <c:ptCount val="1"/>
                <c:pt idx="0">
                  <c:v>USUim</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Graph_Ophtha!$N$7:$N$36</c:f>
              <c:numCache>
                <c:formatCode>"$"#,##0</c:formatCode>
                <c:ptCount val="30"/>
                <c:pt idx="0">
                  <c:v>54056.194799999997</c:v>
                </c:pt>
                <c:pt idx="1">
                  <c:v>106041.93556527697</c:v>
                </c:pt>
                <c:pt idx="2">
                  <c:v>157045.52189700573</c:v>
                </c:pt>
                <c:pt idx="3">
                  <c:v>211251.55229740124</c:v>
                </c:pt>
                <c:pt idx="4">
                  <c:v>261213.54479899554</c:v>
                </c:pt>
                <c:pt idx="5">
                  <c:v>311474.37448667729</c:v>
                </c:pt>
                <c:pt idx="6">
                  <c:v>363115.97670968575</c:v>
                </c:pt>
                <c:pt idx="7">
                  <c:v>414930.34262192424</c:v>
                </c:pt>
                <c:pt idx="8">
                  <c:v>474661.52056107915</c:v>
                </c:pt>
                <c:pt idx="9">
                  <c:v>533314.72387588245</c:v>
                </c:pt>
                <c:pt idx="10">
                  <c:v>597000.51990297018</c:v>
                </c:pt>
                <c:pt idx="11">
                  <c:v>658271.74611536425</c:v>
                </c:pt>
                <c:pt idx="12">
                  <c:v>718698.20947738958</c:v>
                </c:pt>
                <c:pt idx="13">
                  <c:v>776833.3869198251</c:v>
                </c:pt>
                <c:pt idx="14">
                  <c:v>834903.67436399602</c:v>
                </c:pt>
                <c:pt idx="15">
                  <c:v>924104.6861849085</c:v>
                </c:pt>
                <c:pt idx="16">
                  <c:v>1011490.4754801411</c:v>
                </c:pt>
                <c:pt idx="17">
                  <c:v>1097098.5625107086</c:v>
                </c:pt>
                <c:pt idx="18">
                  <c:v>1180965.6757007246</c:v>
                </c:pt>
                <c:pt idx="19">
                  <c:v>1263127.7687989213</c:v>
                </c:pt>
                <c:pt idx="20">
                  <c:v>1343620.0376560381</c:v>
                </c:pt>
                <c:pt idx="21">
                  <c:v>1422476.9366270003</c:v>
                </c:pt>
                <c:pt idx="22">
                  <c:v>1499732.1946065892</c:v>
                </c:pt>
                <c:pt idx="23">
                  <c:v>1575418.8307070979</c:v>
                </c:pt>
                <c:pt idx="24">
                  <c:v>1649569.1695862662</c:v>
                </c:pt>
                <c:pt idx="25">
                  <c:v>1722214.8564335785</c:v>
                </c:pt>
                <c:pt idx="26">
                  <c:v>1793386.8716228246</c:v>
                </c:pt>
                <c:pt idx="27">
                  <c:v>1863115.5450386272</c:v>
                </c:pt>
                <c:pt idx="28">
                  <c:v>1931430.5700844573</c:v>
                </c:pt>
                <c:pt idx="29">
                  <c:v>1998361.0173794786</c:v>
                </c:pt>
              </c:numCache>
            </c:numRef>
          </c:val>
          <c:smooth val="0"/>
        </c:ser>
        <c:ser>
          <c:idx val="9"/>
          <c:order val="9"/>
          <c:tx>
            <c:strRef>
              <c:f>Graph_Ophtha!$O$6</c:f>
              <c:strCache>
                <c:ptCount val="1"/>
                <c:pt idx="0">
                  <c:v>HPSPim</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Graph_Ophtha!$O$7:$O$36</c:f>
              <c:numCache>
                <c:formatCode>"$"#,##0</c:formatCode>
                <c:ptCount val="30"/>
                <c:pt idx="0">
                  <c:v>43551.744866529771</c:v>
                </c:pt>
                <c:pt idx="1">
                  <c:v>69389.851463288214</c:v>
                </c:pt>
                <c:pt idx="2">
                  <c:v>94384.024082394724</c:v>
                </c:pt>
                <c:pt idx="3">
                  <c:v>119127.82998672797</c:v>
                </c:pt>
                <c:pt idx="4">
                  <c:v>169089.82248832227</c:v>
                </c:pt>
                <c:pt idx="5">
                  <c:v>219350.65217600405</c:v>
                </c:pt>
                <c:pt idx="6">
                  <c:v>270992.25439901254</c:v>
                </c:pt>
                <c:pt idx="7">
                  <c:v>322806.62031125103</c:v>
                </c:pt>
                <c:pt idx="8">
                  <c:v>382537.79825040593</c:v>
                </c:pt>
                <c:pt idx="9">
                  <c:v>441191.00156520924</c:v>
                </c:pt>
                <c:pt idx="10">
                  <c:v>504876.79759229696</c:v>
                </c:pt>
                <c:pt idx="11">
                  <c:v>566148.02380469104</c:v>
                </c:pt>
                <c:pt idx="12">
                  <c:v>661028.00888502866</c:v>
                </c:pt>
                <c:pt idx="13">
                  <c:v>753975.28206454159</c:v>
                </c:pt>
                <c:pt idx="14">
                  <c:v>845029.8460638409</c:v>
                </c:pt>
                <c:pt idx="15">
                  <c:v>934230.8578847535</c:v>
                </c:pt>
                <c:pt idx="16">
                  <c:v>1021616.6471799861</c:v>
                </c:pt>
                <c:pt idx="17">
                  <c:v>1107224.7342105536</c:v>
                </c:pt>
                <c:pt idx="18">
                  <c:v>1191091.8474005696</c:v>
                </c:pt>
                <c:pt idx="19">
                  <c:v>1273253.9404987663</c:v>
                </c:pt>
                <c:pt idx="20">
                  <c:v>1353746.2093558831</c:v>
                </c:pt>
                <c:pt idx="21">
                  <c:v>1432603.1083268453</c:v>
                </c:pt>
                <c:pt idx="22">
                  <c:v>1509858.3663064342</c:v>
                </c:pt>
                <c:pt idx="23">
                  <c:v>1585545.0024069429</c:v>
                </c:pt>
                <c:pt idx="24">
                  <c:v>1659695.3412861112</c:v>
                </c:pt>
                <c:pt idx="25">
                  <c:v>1732341.0281334235</c:v>
                </c:pt>
                <c:pt idx="26">
                  <c:v>1803513.0433226696</c:v>
                </c:pt>
                <c:pt idx="27">
                  <c:v>1873241.7167384722</c:v>
                </c:pt>
                <c:pt idx="28">
                  <c:v>1941556.7417843023</c:v>
                </c:pt>
                <c:pt idx="29">
                  <c:v>2008487.1890793233</c:v>
                </c:pt>
              </c:numCache>
            </c:numRef>
          </c:val>
          <c:smooth val="0"/>
        </c:ser>
        <c:ser>
          <c:idx val="12"/>
          <c:order val="10"/>
          <c:tx>
            <c:strRef>
              <c:f>Graph_Ophtha!$I$6</c:f>
              <c:strCache>
                <c:ptCount val="1"/>
                <c:pt idx="0">
                  <c:v>STD10r</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Graph_Ophtha!$I$7:$I$36</c:f>
              <c:numCache>
                <c:formatCode>"$"#,##0</c:formatCode>
                <c:ptCount val="30"/>
                <c:pt idx="0">
                  <c:v>-43015.05</c:v>
                </c:pt>
                <c:pt idx="1">
                  <c:v>-86352.285865219877</c:v>
                </c:pt>
                <c:pt idx="2">
                  <c:v>-138541.19578403595</c:v>
                </c:pt>
                <c:pt idx="3">
                  <c:v>-190867.38028908212</c:v>
                </c:pt>
                <c:pt idx="4">
                  <c:v>-166943.9067383607</c:v>
                </c:pt>
                <c:pt idx="5">
                  <c:v>-153732.16164497906</c:v>
                </c:pt>
                <c:pt idx="6">
                  <c:v>-139317.43128811088</c:v>
                </c:pt>
                <c:pt idx="7">
                  <c:v>-123745.30670550409</c:v>
                </c:pt>
                <c:pt idx="8">
                  <c:v>-23465.310965567187</c:v>
                </c:pt>
                <c:pt idx="9">
                  <c:v>69060.217536028053</c:v>
                </c:pt>
                <c:pt idx="10">
                  <c:v>160226.27321284544</c:v>
                </c:pt>
                <c:pt idx="11">
                  <c:v>250036.10573736887</c:v>
                </c:pt>
                <c:pt idx="12">
                  <c:v>338494.07221422391</c:v>
                </c:pt>
                <c:pt idx="13">
                  <c:v>425605.5577834837</c:v>
                </c:pt>
                <c:pt idx="14">
                  <c:v>518679.22085480281</c:v>
                </c:pt>
                <c:pt idx="15">
                  <c:v>617018.87907838821</c:v>
                </c:pt>
                <c:pt idx="16">
                  <c:v>713364.12563114322</c:v>
                </c:pt>
                <c:pt idx="17">
                  <c:v>807755.99428673275</c:v>
                </c:pt>
                <c:pt idx="18">
                  <c:v>900234.65808951552</c:v>
                </c:pt>
                <c:pt idx="19">
                  <c:v>990839.44786689524</c:v>
                </c:pt>
                <c:pt idx="20">
                  <c:v>1079608.8703310543</c:v>
                </c:pt>
                <c:pt idx="21">
                  <c:v>1166580.6257795091</c:v>
                </c:pt>
                <c:pt idx="22">
                  <c:v>1251791.6254036981</c:v>
                </c:pt>
                <c:pt idx="23">
                  <c:v>1335278.0082145992</c:v>
                </c:pt>
                <c:pt idx="24">
                  <c:v>1417075.1575941523</c:v>
                </c:pt>
                <c:pt idx="25">
                  <c:v>1497217.7174810576</c:v>
                </c:pt>
                <c:pt idx="26">
                  <c:v>1575739.6081993163</c:v>
                </c:pt>
                <c:pt idx="27">
                  <c:v>1652674.0419376802</c:v>
                </c:pt>
                <c:pt idx="28">
                  <c:v>1728053.5378879823</c:v>
                </c:pt>
                <c:pt idx="29">
                  <c:v>1801909.9370501328</c:v>
                </c:pt>
              </c:numCache>
            </c:numRef>
          </c:val>
          <c:smooth val="0"/>
        </c:ser>
        <c:ser>
          <c:idx val="13"/>
          <c:order val="11"/>
          <c:tx>
            <c:strRef>
              <c:f>Graph_Ophtha!$J$6</c:f>
              <c:strCache>
                <c:ptCount val="1"/>
                <c:pt idx="0">
                  <c:v>IBRr</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Graph_Ophtha!$J$7:$J$36</c:f>
              <c:numCache>
                <c:formatCode>"$"#,##0</c:formatCode>
                <c:ptCount val="30"/>
                <c:pt idx="0">
                  <c:v>-43015.05</c:v>
                </c:pt>
                <c:pt idx="1">
                  <c:v>-86352.285865219877</c:v>
                </c:pt>
                <c:pt idx="2">
                  <c:v>-138541.19578403595</c:v>
                </c:pt>
                <c:pt idx="3">
                  <c:v>-190867.38028908212</c:v>
                </c:pt>
                <c:pt idx="4">
                  <c:v>-159376.263840158</c:v>
                </c:pt>
                <c:pt idx="5">
                  <c:v>-127913.13213476112</c:v>
                </c:pt>
                <c:pt idx="6">
                  <c:v>-96469.213883902426</c:v>
                </c:pt>
                <c:pt idx="7">
                  <c:v>-65035.922086779574</c:v>
                </c:pt>
                <c:pt idx="8">
                  <c:v>35244.073653157327</c:v>
                </c:pt>
                <c:pt idx="9">
                  <c:v>127769.60215475256</c:v>
                </c:pt>
                <c:pt idx="10">
                  <c:v>218935.65783156993</c:v>
                </c:pt>
                <c:pt idx="11">
                  <c:v>308745.49035609339</c:v>
                </c:pt>
                <c:pt idx="12">
                  <c:v>397203.45683294843</c:v>
                </c:pt>
                <c:pt idx="13">
                  <c:v>484314.94240220822</c:v>
                </c:pt>
                <c:pt idx="14">
                  <c:v>570086.28521482099</c:v>
                </c:pt>
                <c:pt idx="15">
                  <c:v>654524.7055577545</c:v>
                </c:pt>
                <c:pt idx="16">
                  <c:v>737638.23891742749</c:v>
                </c:pt>
                <c:pt idx="17">
                  <c:v>819435.67278043949</c:v>
                </c:pt>
                <c:pt idx="18">
                  <c:v>899926.48698054033</c:v>
                </c:pt>
                <c:pt idx="19">
                  <c:v>984875.28177740646</c:v>
                </c:pt>
                <c:pt idx="20">
                  <c:v>1073644.7042415654</c:v>
                </c:pt>
                <c:pt idx="21">
                  <c:v>1160616.4596900202</c:v>
                </c:pt>
                <c:pt idx="22">
                  <c:v>1245827.4593142092</c:v>
                </c:pt>
                <c:pt idx="23">
                  <c:v>1329313.8421251103</c:v>
                </c:pt>
                <c:pt idx="24">
                  <c:v>1411110.9915046634</c:v>
                </c:pt>
                <c:pt idx="25">
                  <c:v>1491253.5513915687</c:v>
                </c:pt>
                <c:pt idx="26">
                  <c:v>1569775.4421098274</c:v>
                </c:pt>
                <c:pt idx="27">
                  <c:v>1646709.8758481913</c:v>
                </c:pt>
                <c:pt idx="28">
                  <c:v>1722089.3717984934</c:v>
                </c:pt>
                <c:pt idx="29">
                  <c:v>1795945.7709606439</c:v>
                </c:pt>
              </c:numCache>
            </c:numRef>
          </c:val>
          <c:smooth val="0"/>
        </c:ser>
        <c:ser>
          <c:idx val="14"/>
          <c:order val="12"/>
          <c:tx>
            <c:strRef>
              <c:f>Graph_Ophtha!$K$6</c:f>
              <c:strCache>
                <c:ptCount val="1"/>
                <c:pt idx="0">
                  <c:v>PAYEr</c:v>
                </c:pt>
              </c:strCache>
            </c:strRef>
          </c:tx>
          <c:marker>
            <c:symbol val="none"/>
          </c:marker>
          <c:cat>
            <c:numRef>
              <c:f>Graph_Ophtha!$B$7:$B$36</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Graph_Ophtha!$K$7:$K$36</c:f>
              <c:numCache>
                <c:formatCode>"$"#,##0</c:formatCode>
                <c:ptCount val="30"/>
                <c:pt idx="0">
                  <c:v>-43015.05</c:v>
                </c:pt>
                <c:pt idx="1">
                  <c:v>-86352.285865219877</c:v>
                </c:pt>
                <c:pt idx="2">
                  <c:v>-138541.19578403595</c:v>
                </c:pt>
                <c:pt idx="3">
                  <c:v>-190867.38028908212</c:v>
                </c:pt>
                <c:pt idx="4">
                  <c:v>-157911.19312249744</c:v>
                </c:pt>
                <c:pt idx="5">
                  <c:v>-124940.73121601369</c:v>
                </c:pt>
                <c:pt idx="6">
                  <c:v>-91947.694234953393</c:v>
                </c:pt>
                <c:pt idx="7">
                  <c:v>-58923.94561664114</c:v>
                </c:pt>
                <c:pt idx="8">
                  <c:v>45365.745102361281</c:v>
                </c:pt>
                <c:pt idx="9">
                  <c:v>142204.76165152679</c:v>
                </c:pt>
                <c:pt idx="10">
                  <c:v>237053.37489945069</c:v>
                </c:pt>
                <c:pt idx="11">
                  <c:v>329953.28029548959</c:v>
                </c:pt>
                <c:pt idx="12">
                  <c:v>420945.27802436438</c:v>
                </c:pt>
                <c:pt idx="13">
                  <c:v>510069.29282367381</c:v>
                </c:pt>
                <c:pt idx="14">
                  <c:v>597364.39334690757</c:v>
                </c:pt>
                <c:pt idx="15">
                  <c:v>682868.81108279177</c:v>
                </c:pt>
                <c:pt idx="16">
                  <c:v>766619.95884152851</c:v>
                </c:pt>
                <c:pt idx="17">
                  <c:v>848654.44881823333</c:v>
                </c:pt>
                <c:pt idx="18">
                  <c:v>929145.26301833417</c:v>
                </c:pt>
                <c:pt idx="19">
                  <c:v>1008339.573448025</c:v>
                </c:pt>
                <c:pt idx="20">
                  <c:v>1086248.0789621661</c:v>
                </c:pt>
                <c:pt idx="21">
                  <c:v>1162882.0113095187</c:v>
                </c:pt>
                <c:pt idx="22">
                  <c:v>1245670.1882869587</c:v>
                </c:pt>
                <c:pt idx="23">
                  <c:v>1329156.5710978599</c:v>
                </c:pt>
                <c:pt idx="24">
                  <c:v>1410953.7204774129</c:v>
                </c:pt>
                <c:pt idx="25">
                  <c:v>1491096.2803643183</c:v>
                </c:pt>
                <c:pt idx="26">
                  <c:v>1569618.171082577</c:v>
                </c:pt>
                <c:pt idx="27">
                  <c:v>1646552.6048209409</c:v>
                </c:pt>
                <c:pt idx="28">
                  <c:v>1721932.100771243</c:v>
                </c:pt>
                <c:pt idx="29">
                  <c:v>1795788.4999333934</c:v>
                </c:pt>
              </c:numCache>
            </c:numRef>
          </c:val>
          <c:smooth val="0"/>
        </c:ser>
        <c:ser>
          <c:idx val="10"/>
          <c:order val="13"/>
          <c:tx>
            <c:strRef>
              <c:f>Graph_Ophtha!$P$6</c:f>
              <c:strCache>
                <c:ptCount val="1"/>
                <c:pt idx="0">
                  <c:v>SELF</c:v>
                </c:pt>
              </c:strCache>
            </c:strRef>
          </c:tx>
          <c:marker>
            <c:symbol val="none"/>
          </c:marker>
          <c:val>
            <c:numRef>
              <c:f>Graph_Ophtha!$P$7:$P$36</c:f>
              <c:numCache>
                <c:formatCode>"$"#,##0</c:formatCode>
                <c:ptCount val="30"/>
                <c:pt idx="0">
                  <c:v>0</c:v>
                </c:pt>
                <c:pt idx="1">
                  <c:v>0</c:v>
                </c:pt>
                <c:pt idx="2">
                  <c:v>0</c:v>
                </c:pt>
                <c:pt idx="3">
                  <c:v>0</c:v>
                </c:pt>
                <c:pt idx="4">
                  <c:v>35886.328601905836</c:v>
                </c:pt>
                <c:pt idx="5">
                  <c:v>71871.450910563319</c:v>
                </c:pt>
                <c:pt idx="6">
                  <c:v>107962.72535202681</c:v>
                </c:pt>
                <c:pt idx="7">
                  <c:v>144167.38761271787</c:v>
                </c:pt>
                <c:pt idx="8">
                  <c:v>264086.19705728476</c:v>
                </c:pt>
                <c:pt idx="9">
                  <c:v>375304.67597257695</c:v>
                </c:pt>
                <c:pt idx="10">
                  <c:v>484263.37434280466</c:v>
                </c:pt>
                <c:pt idx="11">
                  <c:v>591008.90332022205</c:v>
                </c:pt>
                <c:pt idx="12">
                  <c:v>695586.89307224739</c:v>
                </c:pt>
                <c:pt idx="13">
                  <c:v>798042.01396910124</c:v>
                </c:pt>
                <c:pt idx="14">
                  <c:v>898417.99729912693</c:v>
                </c:pt>
                <c:pt idx="15">
                  <c:v>996757.65552271239</c:v>
                </c:pt>
                <c:pt idx="16">
                  <c:v>1093102.9020754674</c:v>
                </c:pt>
                <c:pt idx="17">
                  <c:v>1187494.770731057</c:v>
                </c:pt>
                <c:pt idx="18">
                  <c:v>1279973.4345338398</c:v>
                </c:pt>
                <c:pt idx="19">
                  <c:v>1370578.2243112195</c:v>
                </c:pt>
                <c:pt idx="20">
                  <c:v>1459347.6467753786</c:v>
                </c:pt>
                <c:pt idx="21">
                  <c:v>1546319.4022238334</c:v>
                </c:pt>
                <c:pt idx="22">
                  <c:v>1631530.4018480224</c:v>
                </c:pt>
                <c:pt idx="23">
                  <c:v>1715016.7846589235</c:v>
                </c:pt>
                <c:pt idx="24">
                  <c:v>1796813.9340384766</c:v>
                </c:pt>
                <c:pt idx="25">
                  <c:v>1876956.4939253819</c:v>
                </c:pt>
                <c:pt idx="26">
                  <c:v>1955478.3846436406</c:v>
                </c:pt>
                <c:pt idx="27">
                  <c:v>2032412.8183820045</c:v>
                </c:pt>
                <c:pt idx="28">
                  <c:v>2107792.3143323064</c:v>
                </c:pt>
                <c:pt idx="29">
                  <c:v>2181648.7134944568</c:v>
                </c:pt>
              </c:numCache>
            </c:numRef>
          </c:val>
          <c:smooth val="0"/>
        </c:ser>
        <c:dLbls>
          <c:showLegendKey val="0"/>
          <c:showVal val="0"/>
          <c:showCatName val="0"/>
          <c:showSerName val="0"/>
          <c:showPercent val="0"/>
          <c:showBubbleSize val="0"/>
        </c:dLbls>
        <c:marker val="1"/>
        <c:smooth val="0"/>
        <c:axId val="130850176"/>
        <c:axId val="130864256"/>
      </c:lineChart>
      <c:catAx>
        <c:axId val="130850176"/>
        <c:scaling>
          <c:orientation val="minMax"/>
        </c:scaling>
        <c:delete val="0"/>
        <c:axPos val="b"/>
        <c:numFmt formatCode="General" sourceLinked="1"/>
        <c:majorTickMark val="out"/>
        <c:minorTickMark val="none"/>
        <c:tickLblPos val="nextTo"/>
        <c:txPr>
          <a:bodyPr/>
          <a:lstStyle/>
          <a:p>
            <a:pPr>
              <a:defRPr sz="900"/>
            </a:pPr>
            <a:endParaRPr lang="en-US"/>
          </a:p>
        </c:txPr>
        <c:crossAx val="130864256"/>
        <c:crosses val="autoZero"/>
        <c:auto val="1"/>
        <c:lblAlgn val="ctr"/>
        <c:lblOffset val="100"/>
        <c:noMultiLvlLbl val="0"/>
      </c:catAx>
      <c:valAx>
        <c:axId val="130864256"/>
        <c:scaling>
          <c:orientation val="minMax"/>
        </c:scaling>
        <c:delete val="0"/>
        <c:axPos val="l"/>
        <c:majorGridlines/>
        <c:numFmt formatCode="&quot;$&quot;#,##0" sourceLinked="1"/>
        <c:majorTickMark val="out"/>
        <c:minorTickMark val="none"/>
        <c:tickLblPos val="nextTo"/>
        <c:txPr>
          <a:bodyPr/>
          <a:lstStyle/>
          <a:p>
            <a:pPr>
              <a:defRPr sz="900"/>
            </a:pPr>
            <a:endParaRPr lang="en-US"/>
          </a:p>
        </c:txPr>
        <c:crossAx val="130850176"/>
        <c:crosses val="autoZero"/>
        <c:crossBetween val="between"/>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[FINAL.Kellermann.SD Appendix 1.Acad Med.2017.xlsx]PivotChart!PivotTable1</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marker>
          <c:symbol val="none"/>
        </c:marker>
      </c:pivotFmt>
      <c:pivotFmt>
        <c:idx val="66"/>
      </c:pivotFmt>
      <c:pivotFmt>
        <c:idx val="67"/>
      </c:pivotFmt>
      <c:pivotFmt>
        <c:idx val="68"/>
      </c:pivotFmt>
      <c:pivotFmt>
        <c:idx val="69"/>
        <c:marker>
          <c:symbol val="none"/>
        </c:marker>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marker>
          <c:symbol val="none"/>
        </c:marker>
      </c:pivotFmt>
      <c:pivotFmt>
        <c:idx val="92"/>
      </c:pivotFmt>
      <c:pivotFmt>
        <c:idx val="93"/>
      </c:pivotFmt>
      <c:pivotFmt>
        <c:idx val="94"/>
      </c:pivotFmt>
      <c:pivotFmt>
        <c:idx val="95"/>
        <c:marker>
          <c:symbol val="none"/>
        </c:marker>
      </c:pivotFmt>
      <c:pivotFmt>
        <c:idx val="96"/>
      </c:pivotFmt>
      <c:pivotFmt>
        <c:idx val="97"/>
      </c:pivotFmt>
      <c:pivotFmt>
        <c:idx val="98"/>
      </c:pivotFmt>
      <c:pivotFmt>
        <c:idx val="99"/>
      </c:pivotFmt>
      <c:pivotFmt>
        <c:idx val="100"/>
      </c:pivotFmt>
      <c:pivotFmt>
        <c:idx val="101"/>
      </c:pivotFmt>
      <c:pivotFmt>
        <c:idx val="102"/>
      </c:pivotFmt>
      <c:pivotFmt>
        <c:idx val="103"/>
        <c:marker>
          <c:symbol val="none"/>
        </c:marker>
      </c:pivotFmt>
      <c:pivotFmt>
        <c:idx val="104"/>
      </c:pivotFmt>
      <c:pivotFmt>
        <c:idx val="105"/>
      </c:pivotFmt>
      <c:pivotFmt>
        <c:idx val="106"/>
      </c:pivotFmt>
      <c:pivotFmt>
        <c:idx val="107"/>
        <c:marker>
          <c:symbol val="none"/>
        </c:marker>
      </c:pivotFmt>
      <c:pivotFmt>
        <c:idx val="108"/>
      </c:pivotFmt>
      <c:pivotFmt>
        <c:idx val="109"/>
      </c:pivotFmt>
      <c:pivotFmt>
        <c:idx val="110"/>
      </c:pivotFmt>
      <c:pivotFmt>
        <c:idx val="111"/>
        <c:marker>
          <c:symbol val="none"/>
        </c:marker>
      </c:pivotFmt>
      <c:pivotFmt>
        <c:idx val="112"/>
      </c:pivotFmt>
      <c:pivotFmt>
        <c:idx val="113"/>
      </c:pivotFmt>
      <c:pivotFmt>
        <c:idx val="114"/>
      </c:pivotFmt>
      <c:pivotFmt>
        <c:idx val="115"/>
      </c:pivotFmt>
      <c:pivotFmt>
        <c:idx val="116"/>
        <c:marker>
          <c:symbol val="none"/>
        </c:marker>
      </c:pivotFmt>
      <c:pivotFmt>
        <c:idx val="117"/>
        <c:marker>
          <c:symbol val="none"/>
        </c:marker>
      </c:pivotFmt>
    </c:pivotFmts>
    <c:plotArea>
      <c:layout/>
      <c:lineChart>
        <c:grouping val="standard"/>
        <c:varyColors val="0"/>
        <c:ser>
          <c:idx val="0"/>
          <c:order val="0"/>
          <c:tx>
            <c:strRef>
              <c:f>PivotChart!$C$7:$C$9</c:f>
              <c:strCache>
                <c:ptCount val="1"/>
                <c:pt idx="0">
                  <c:v>HPSP - Orthopedics</c:v>
                </c:pt>
              </c:strCache>
            </c:strRef>
          </c:tx>
          <c:marker>
            <c:symbol val="none"/>
          </c:marker>
          <c:cat>
            <c:strRef>
              <c:f>PivotChart!$B$10:$B$39</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cat>
          <c:val>
            <c:numRef>
              <c:f>PivotChart!$C$10:$C$39</c:f>
              <c:numCache>
                <c:formatCode>"$"#,##0</c:formatCode>
                <c:ptCount val="30"/>
                <c:pt idx="0">
                  <c:v>41042.997114989732</c:v>
                </c:pt>
                <c:pt idx="1">
                  <c:v>65715.375570480697</c:v>
                </c:pt>
                <c:pt idx="2">
                  <c:v>89584.222784524245</c:v>
                </c:pt>
                <c:pt idx="3">
                  <c:v>113201.76547692725</c:v>
                </c:pt>
                <c:pt idx="4">
                  <c:v>172355.01813676453</c:v>
                </c:pt>
                <c:pt idx="5">
                  <c:v>231206.76875199139</c:v>
                </c:pt>
                <c:pt idx="6">
                  <c:v>290708.52795933932</c:v>
                </c:pt>
                <c:pt idx="7">
                  <c:v>349825.65045436658</c:v>
                </c:pt>
                <c:pt idx="8">
                  <c:v>408904.59985710343</c:v>
                </c:pt>
                <c:pt idx="9">
                  <c:v>471953.95108422253</c:v>
                </c:pt>
                <c:pt idx="10">
                  <c:v>541327.20941598632</c:v>
                </c:pt>
                <c:pt idx="11">
                  <c:v>608078.02384247107</c:v>
                </c:pt>
                <c:pt idx="12">
                  <c:v>673597.37306204333</c:v>
                </c:pt>
                <c:pt idx="13">
                  <c:v>773630.78206361749</c:v>
                </c:pt>
                <c:pt idx="14">
                  <c:v>871850.45654646866</c:v>
                </c:pt>
                <c:pt idx="15">
                  <c:v>966279.93883621902</c:v>
                </c:pt>
                <c:pt idx="16">
                  <c:v>1059516.6866780506</c:v>
                </c:pt>
                <c:pt idx="17">
                  <c:v>1149155.4916677554</c:v>
                </c:pt>
                <c:pt idx="18">
                  <c:v>1236502.5322987135</c:v>
                </c:pt>
                <c:pt idx="19">
                  <c:v>1320478.9395890867</c:v>
                </c:pt>
                <c:pt idx="20">
                  <c:v>1402866.2655214679</c:v>
                </c:pt>
                <c:pt idx="21">
                  <c:v>1482074.3454296263</c:v>
                </c:pt>
                <c:pt idx="22">
                  <c:v>1562330.6533316253</c:v>
                </c:pt>
                <c:pt idx="23">
                  <c:v>1639489.8047236078</c:v>
                </c:pt>
                <c:pt idx="24">
                  <c:v>1714993.6687792735</c:v>
                </c:pt>
                <c:pt idx="25">
                  <c:v>1787826.4369198149</c:v>
                </c:pt>
                <c:pt idx="26">
                  <c:v>1858081.8368783763</c:v>
                </c:pt>
                <c:pt idx="27">
                  <c:v>1925964.611017541</c:v>
                </c:pt>
                <c:pt idx="28">
                  <c:v>1991553.2544192688</c:v>
                </c:pt>
                <c:pt idx="29">
                  <c:v>2055217.7482521208</c:v>
                </c:pt>
              </c:numCache>
            </c:numRef>
          </c:val>
          <c:smooth val="0"/>
        </c:ser>
        <c:ser>
          <c:idx val="1"/>
          <c:order val="1"/>
          <c:tx>
            <c:strRef>
              <c:f>PivotChart!$D$7:$D$9</c:f>
              <c:strCache>
                <c:ptCount val="1"/>
                <c:pt idx="0">
                  <c:v>HPSPPriv - Orthopedics</c:v>
                </c:pt>
              </c:strCache>
            </c:strRef>
          </c:tx>
          <c:marker>
            <c:symbol val="none"/>
          </c:marker>
          <c:cat>
            <c:strRef>
              <c:f>PivotChart!$B$10:$B$39</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cat>
          <c:val>
            <c:numRef>
              <c:f>PivotChart!$D$10:$D$39</c:f>
              <c:numCache>
                <c:formatCode>"$"#,##0</c:formatCode>
                <c:ptCount val="30"/>
                <c:pt idx="0">
                  <c:v>41042.997114989732</c:v>
                </c:pt>
                <c:pt idx="1">
                  <c:v>65715.375570480697</c:v>
                </c:pt>
                <c:pt idx="2">
                  <c:v>89584.222784524245</c:v>
                </c:pt>
                <c:pt idx="3">
                  <c:v>113201.76547692725</c:v>
                </c:pt>
                <c:pt idx="4">
                  <c:v>172355.01813676453</c:v>
                </c:pt>
                <c:pt idx="5">
                  <c:v>231206.76875199139</c:v>
                </c:pt>
                <c:pt idx="6">
                  <c:v>290708.52795933932</c:v>
                </c:pt>
                <c:pt idx="7">
                  <c:v>349825.65045436658</c:v>
                </c:pt>
                <c:pt idx="8">
                  <c:v>408904.59985710343</c:v>
                </c:pt>
                <c:pt idx="9">
                  <c:v>471953.95108422253</c:v>
                </c:pt>
                <c:pt idx="10">
                  <c:v>541327.20941598632</c:v>
                </c:pt>
                <c:pt idx="11">
                  <c:v>608078.02384247107</c:v>
                </c:pt>
                <c:pt idx="12">
                  <c:v>673597.37306204333</c:v>
                </c:pt>
                <c:pt idx="13">
                  <c:v>832079.91047086322</c:v>
                </c:pt>
                <c:pt idx="14">
                  <c:v>987456.09105822339</c:v>
                </c:pt>
                <c:pt idx="15">
                  <c:v>1139786.7904635807</c:v>
                </c:pt>
                <c:pt idx="16">
                  <c:v>1289131.6916568251</c:v>
                </c:pt>
                <c:pt idx="17">
                  <c:v>1435549.3082956921</c:v>
                </c:pt>
                <c:pt idx="18">
                  <c:v>1579097.0076260108</c:v>
                </c:pt>
                <c:pt idx="19">
                  <c:v>1719831.0329337267</c:v>
                </c:pt>
                <c:pt idx="20">
                  <c:v>1857806.5255574645</c:v>
                </c:pt>
                <c:pt idx="21">
                  <c:v>1993077.5464702256</c:v>
                </c:pt>
                <c:pt idx="22">
                  <c:v>2125697.0974386455</c:v>
                </c:pt>
                <c:pt idx="23">
                  <c:v>2255717.1417680765</c:v>
                </c:pt>
                <c:pt idx="24">
                  <c:v>2383188.6246415903</c:v>
                </c:pt>
                <c:pt idx="25">
                  <c:v>2508161.4930608477</c:v>
                </c:pt>
                <c:pt idx="26">
                  <c:v>2630684.7153966217</c:v>
                </c:pt>
                <c:pt idx="27">
                  <c:v>2750806.3005566061</c:v>
                </c:pt>
                <c:pt idx="28">
                  <c:v>2868573.3167779972</c:v>
                </c:pt>
                <c:pt idx="29">
                  <c:v>2984031.9100521905</c:v>
                </c:pt>
              </c:numCache>
            </c:numRef>
          </c:val>
          <c:smooth val="0"/>
        </c:ser>
        <c:ser>
          <c:idx val="2"/>
          <c:order val="2"/>
          <c:tx>
            <c:strRef>
              <c:f>PivotChart!$E$7:$E$9</c:f>
              <c:strCache>
                <c:ptCount val="1"/>
                <c:pt idx="0">
                  <c:v>Ret20HPSP - Orthopedics</c:v>
                </c:pt>
              </c:strCache>
            </c:strRef>
          </c:tx>
          <c:marker>
            <c:symbol val="none"/>
          </c:marker>
          <c:cat>
            <c:strRef>
              <c:f>PivotChart!$B$10:$B$39</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cat>
          <c:val>
            <c:numRef>
              <c:f>PivotChart!$E$10:$E$39</c:f>
              <c:numCache>
                <c:formatCode>"$"#,##0</c:formatCode>
                <c:ptCount val="30"/>
                <c:pt idx="0">
                  <c:v>41042.997114989732</c:v>
                </c:pt>
                <c:pt idx="1">
                  <c:v>65715.375570480697</c:v>
                </c:pt>
                <c:pt idx="2">
                  <c:v>89584.222784524245</c:v>
                </c:pt>
                <c:pt idx="3">
                  <c:v>113201.76547692725</c:v>
                </c:pt>
                <c:pt idx="4">
                  <c:v>172355.01813676453</c:v>
                </c:pt>
                <c:pt idx="5">
                  <c:v>231206.76875199139</c:v>
                </c:pt>
                <c:pt idx="6">
                  <c:v>290708.52795933932</c:v>
                </c:pt>
                <c:pt idx="7">
                  <c:v>349825.65045436658</c:v>
                </c:pt>
                <c:pt idx="8">
                  <c:v>408904.59985710343</c:v>
                </c:pt>
                <c:pt idx="9">
                  <c:v>471953.95108422253</c:v>
                </c:pt>
                <c:pt idx="10">
                  <c:v>541327.20941598632</c:v>
                </c:pt>
                <c:pt idx="11">
                  <c:v>608078.02384247107</c:v>
                </c:pt>
                <c:pt idx="12">
                  <c:v>673597.37306204333</c:v>
                </c:pt>
                <c:pt idx="13">
                  <c:v>773630.78206361749</c:v>
                </c:pt>
                <c:pt idx="14">
                  <c:v>871850.45654646866</c:v>
                </c:pt>
                <c:pt idx="15">
                  <c:v>966279.93883621902</c:v>
                </c:pt>
                <c:pt idx="16">
                  <c:v>1059516.6866780506</c:v>
                </c:pt>
                <c:pt idx="17">
                  <c:v>1149155.4916677554</c:v>
                </c:pt>
                <c:pt idx="18">
                  <c:v>1236502.5322987135</c:v>
                </c:pt>
                <c:pt idx="19">
                  <c:v>1320478.9395890867</c:v>
                </c:pt>
                <c:pt idx="20">
                  <c:v>1402866.2655214679</c:v>
                </c:pt>
                <c:pt idx="21">
                  <c:v>1482074.3454296263</c:v>
                </c:pt>
                <c:pt idx="22">
                  <c:v>1562330.6533316253</c:v>
                </c:pt>
                <c:pt idx="23">
                  <c:v>1639489.8047236078</c:v>
                </c:pt>
                <c:pt idx="24">
                  <c:v>1700805.4804452304</c:v>
                </c:pt>
                <c:pt idx="25">
                  <c:v>1838892.4064063355</c:v>
                </c:pt>
                <c:pt idx="26">
                  <c:v>1973881.3400405822</c:v>
                </c:pt>
                <c:pt idx="27">
                  <c:v>2105846.5049927123</c:v>
                </c:pt>
                <c:pt idx="28">
                  <c:v>2234860.1955087534</c:v>
                </c:pt>
                <c:pt idx="29">
                  <c:v>2360992.8312217486</c:v>
                </c:pt>
              </c:numCache>
            </c:numRef>
          </c:val>
          <c:smooth val="0"/>
        </c:ser>
        <c:ser>
          <c:idx val="3"/>
          <c:order val="3"/>
          <c:tx>
            <c:strRef>
              <c:f>PivotChart!$F$7:$F$9</c:f>
              <c:strCache>
                <c:ptCount val="1"/>
                <c:pt idx="0">
                  <c:v>Ret20USU - Orthopedics</c:v>
                </c:pt>
              </c:strCache>
            </c:strRef>
          </c:tx>
          <c:marker>
            <c:symbol val="none"/>
          </c:marker>
          <c:cat>
            <c:strRef>
              <c:f>PivotChart!$B$10:$B$39</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cat>
          <c:val>
            <c:numRef>
              <c:f>PivotChart!$F$10:$F$39</c:f>
              <c:numCache>
                <c:formatCode>"$"#,##0</c:formatCode>
                <c:ptCount val="30"/>
                <c:pt idx="0">
                  <c:v>52525.686799999996</c:v>
                </c:pt>
                <c:pt idx="1">
                  <c:v>103045.21008954883</c:v>
                </c:pt>
                <c:pt idx="2">
                  <c:v>152565.98092317433</c:v>
                </c:pt>
                <c:pt idx="3">
                  <c:v>204951.40008844491</c:v>
                </c:pt>
                <c:pt idx="4">
                  <c:v>264104.65274828218</c:v>
                </c:pt>
                <c:pt idx="5">
                  <c:v>322956.40336350905</c:v>
                </c:pt>
                <c:pt idx="6">
                  <c:v>382458.16257085698</c:v>
                </c:pt>
                <c:pt idx="7">
                  <c:v>441575.28506588424</c:v>
                </c:pt>
                <c:pt idx="8">
                  <c:v>500654.23446862109</c:v>
                </c:pt>
                <c:pt idx="9">
                  <c:v>563703.58569574018</c:v>
                </c:pt>
                <c:pt idx="10">
                  <c:v>633076.84402750398</c:v>
                </c:pt>
                <c:pt idx="11">
                  <c:v>699827.65845398873</c:v>
                </c:pt>
                <c:pt idx="12">
                  <c:v>765347.00767356099</c:v>
                </c:pt>
                <c:pt idx="13">
                  <c:v>828389.49004259263</c:v>
                </c:pt>
                <c:pt idx="14">
                  <c:v>890951.83217297471</c:v>
                </c:pt>
                <c:pt idx="15">
                  <c:v>951136.17356786923</c:v>
                </c:pt>
                <c:pt idx="16">
                  <c:v>1044372.9214097006</c:v>
                </c:pt>
                <c:pt idx="17">
                  <c:v>1134011.7263994056</c:v>
                </c:pt>
                <c:pt idx="18">
                  <c:v>1221358.7670303637</c:v>
                </c:pt>
                <c:pt idx="19">
                  <c:v>1305335.1743207369</c:v>
                </c:pt>
                <c:pt idx="20">
                  <c:v>1387722.5002531181</c:v>
                </c:pt>
                <c:pt idx="21">
                  <c:v>1466930.5801612765</c:v>
                </c:pt>
                <c:pt idx="22">
                  <c:v>1547186.8880632753</c:v>
                </c:pt>
                <c:pt idx="23">
                  <c:v>1624346.0394552578</c:v>
                </c:pt>
                <c:pt idx="24">
                  <c:v>1764292.2811773696</c:v>
                </c:pt>
                <c:pt idx="25">
                  <c:v>1901171.7617418771</c:v>
                </c:pt>
                <c:pt idx="26">
                  <c:v>2034999.9112046375</c:v>
                </c:pt>
                <c:pt idx="27">
                  <c:v>2165849.1500067571</c:v>
                </c:pt>
                <c:pt idx="28">
                  <c:v>2293790.0388746825</c:v>
                </c:pt>
                <c:pt idx="29">
                  <c:v>2418891.3309130184</c:v>
                </c:pt>
              </c:numCache>
            </c:numRef>
          </c:val>
          <c:smooth val="0"/>
        </c:ser>
        <c:ser>
          <c:idx val="4"/>
          <c:order val="4"/>
          <c:tx>
            <c:strRef>
              <c:f>PivotChart!$G$7:$G$9</c:f>
              <c:strCache>
                <c:ptCount val="1"/>
                <c:pt idx="0">
                  <c:v>STD10R - Orthopedics</c:v>
                </c:pt>
              </c:strCache>
            </c:strRef>
          </c:tx>
          <c:marker>
            <c:symbol val="none"/>
          </c:marker>
          <c:cat>
            <c:strRef>
              <c:f>PivotChart!$B$10:$B$39</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cat>
          <c:val>
            <c:numRef>
              <c:f>PivotChart!$G$10:$G$39</c:f>
              <c:numCache>
                <c:formatCode>"$"#,##0</c:formatCode>
                <c:ptCount val="30"/>
                <c:pt idx="0">
                  <c:v>-43015.05</c:v>
                </c:pt>
                <c:pt idx="1">
                  <c:v>-86352.285865219877</c:v>
                </c:pt>
                <c:pt idx="2">
                  <c:v>-138541.19578403595</c:v>
                </c:pt>
                <c:pt idx="3">
                  <c:v>-190867.38028908212</c:v>
                </c:pt>
                <c:pt idx="4">
                  <c:v>-169241.36987416679</c:v>
                </c:pt>
                <c:pt idx="5">
                  <c:v>-158404.5549729077</c:v>
                </c:pt>
                <c:pt idx="6">
                  <c:v>-146441.25737997922</c:v>
                </c:pt>
                <c:pt idx="7">
                  <c:v>-133396.14329882836</c:v>
                </c:pt>
                <c:pt idx="8">
                  <c:v>-119311.49158581435</c:v>
                </c:pt>
                <c:pt idx="9">
                  <c:v>54482.279533898298</c:v>
                </c:pt>
                <c:pt idx="10">
                  <c:v>223569.94900884677</c:v>
                </c:pt>
                <c:pt idx="11">
                  <c:v>389851.4948614522</c:v>
                </c:pt>
                <c:pt idx="12">
                  <c:v>553357.43252090481</c:v>
                </c:pt>
                <c:pt idx="13">
                  <c:v>714118.85869195696</c:v>
                </c:pt>
                <c:pt idx="14">
                  <c:v>879469.7034224011</c:v>
                </c:pt>
                <c:pt idx="15">
                  <c:v>1048738.6228295141</c:v>
                </c:pt>
                <c:pt idx="16">
                  <c:v>1214689.6220636952</c:v>
                </c:pt>
                <c:pt idx="17">
                  <c:v>1377387.7269779902</c:v>
                </c:pt>
                <c:pt idx="18">
                  <c:v>1536896.6893234346</c:v>
                </c:pt>
                <c:pt idx="19">
                  <c:v>1693279.0117048032</c:v>
                </c:pt>
                <c:pt idx="20">
                  <c:v>1846595.9720478083</c:v>
                </c:pt>
                <c:pt idx="21">
                  <c:v>1996907.6475873019</c:v>
                </c:pt>
                <c:pt idx="22">
                  <c:v>2144272.9383858517</c:v>
                </c:pt>
                <c:pt idx="23">
                  <c:v>2288749.5903918808</c:v>
                </c:pt>
                <c:pt idx="24">
                  <c:v>2430231.0138037163</c:v>
                </c:pt>
                <c:pt idx="25">
                  <c:v>2568764.2478383589</c:v>
                </c:pt>
                <c:pt idx="26">
                  <c:v>2704412.1693681343</c:v>
                </c:pt>
                <c:pt idx="27">
                  <c:v>2837236.2747378247</c:v>
                </c:pt>
                <c:pt idx="28">
                  <c:v>2967296.7111342554</c:v>
                </c:pt>
                <c:pt idx="29">
                  <c:v>3094652.3072155355</c:v>
                </c:pt>
              </c:numCache>
            </c:numRef>
          </c:val>
          <c:smooth val="0"/>
        </c:ser>
        <c:ser>
          <c:idx val="5"/>
          <c:order val="5"/>
          <c:tx>
            <c:strRef>
              <c:f>PivotChart!$H$7:$H$9</c:f>
              <c:strCache>
                <c:ptCount val="1"/>
                <c:pt idx="0">
                  <c:v>USU - Orthopedics</c:v>
                </c:pt>
              </c:strCache>
            </c:strRef>
          </c:tx>
          <c:marker>
            <c:symbol val="none"/>
          </c:marker>
          <c:cat>
            <c:strRef>
              <c:f>PivotChart!$B$10:$B$39</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cat>
          <c:val>
            <c:numRef>
              <c:f>PivotChart!$H$10:$H$39</c:f>
              <c:numCache>
                <c:formatCode>"$"#,##0</c:formatCode>
                <c:ptCount val="30"/>
                <c:pt idx="0">
                  <c:v>52525.686799999996</c:v>
                </c:pt>
                <c:pt idx="1">
                  <c:v>103045.21008954883</c:v>
                </c:pt>
                <c:pt idx="2">
                  <c:v>152565.98092317433</c:v>
                </c:pt>
                <c:pt idx="3">
                  <c:v>204951.40008844491</c:v>
                </c:pt>
                <c:pt idx="4">
                  <c:v>264104.65274828218</c:v>
                </c:pt>
                <c:pt idx="5">
                  <c:v>322956.40336350905</c:v>
                </c:pt>
                <c:pt idx="6">
                  <c:v>382458.16257085698</c:v>
                </c:pt>
                <c:pt idx="7">
                  <c:v>441575.28506588424</c:v>
                </c:pt>
                <c:pt idx="8">
                  <c:v>500654.23446862109</c:v>
                </c:pt>
                <c:pt idx="9">
                  <c:v>563703.58569574018</c:v>
                </c:pt>
                <c:pt idx="10">
                  <c:v>633076.84402750398</c:v>
                </c:pt>
                <c:pt idx="11">
                  <c:v>699827.65845398873</c:v>
                </c:pt>
                <c:pt idx="12">
                  <c:v>765347.00767356099</c:v>
                </c:pt>
                <c:pt idx="13">
                  <c:v>828389.49004259263</c:v>
                </c:pt>
                <c:pt idx="14">
                  <c:v>890951.83217297471</c:v>
                </c:pt>
                <c:pt idx="15">
                  <c:v>951136.17356786923</c:v>
                </c:pt>
                <c:pt idx="16">
                  <c:v>1044372.9214097006</c:v>
                </c:pt>
                <c:pt idx="17">
                  <c:v>1134011.7263994056</c:v>
                </c:pt>
                <c:pt idx="18">
                  <c:v>1221358.7670303637</c:v>
                </c:pt>
                <c:pt idx="19">
                  <c:v>1305335.1743207369</c:v>
                </c:pt>
                <c:pt idx="20">
                  <c:v>1387722.5002531181</c:v>
                </c:pt>
                <c:pt idx="21">
                  <c:v>1466930.5801612765</c:v>
                </c:pt>
                <c:pt idx="22">
                  <c:v>1547186.8880632753</c:v>
                </c:pt>
                <c:pt idx="23">
                  <c:v>1624346.0394552578</c:v>
                </c:pt>
                <c:pt idx="24">
                  <c:v>1701116.7536358424</c:v>
                </c:pt>
                <c:pt idx="25">
                  <c:v>1774924.762920046</c:v>
                </c:pt>
                <c:pt idx="26">
                  <c:v>1847250.541753022</c:v>
                </c:pt>
                <c:pt idx="27">
                  <c:v>1916785.1548806874</c:v>
                </c:pt>
                <c:pt idx="28">
                  <c:v>1983636.3540727622</c:v>
                </c:pt>
                <c:pt idx="29">
                  <c:v>2047907.7303291105</c:v>
                </c:pt>
              </c:numCache>
            </c:numRef>
          </c:val>
          <c:smooth val="0"/>
        </c:ser>
        <c:ser>
          <c:idx val="6"/>
          <c:order val="6"/>
          <c:tx>
            <c:strRef>
              <c:f>PivotChart!$I$7:$I$9</c:f>
              <c:strCache>
                <c:ptCount val="1"/>
                <c:pt idx="0">
                  <c:v>USUPriv - Orthopedics</c:v>
                </c:pt>
              </c:strCache>
            </c:strRef>
          </c:tx>
          <c:marker>
            <c:symbol val="none"/>
          </c:marker>
          <c:cat>
            <c:strRef>
              <c:f>PivotChart!$B$10:$B$39</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cat>
          <c:val>
            <c:numRef>
              <c:f>PivotChart!$I$10:$I$39</c:f>
              <c:numCache>
                <c:formatCode>"$"#,##0</c:formatCode>
                <c:ptCount val="30"/>
                <c:pt idx="0">
                  <c:v>52525.686799999996</c:v>
                </c:pt>
                <c:pt idx="1">
                  <c:v>103045.21008954883</c:v>
                </c:pt>
                <c:pt idx="2">
                  <c:v>152565.98092317433</c:v>
                </c:pt>
                <c:pt idx="3">
                  <c:v>204951.40008844491</c:v>
                </c:pt>
                <c:pt idx="4">
                  <c:v>264104.65274828218</c:v>
                </c:pt>
                <c:pt idx="5">
                  <c:v>322956.40336350905</c:v>
                </c:pt>
                <c:pt idx="6">
                  <c:v>382458.16257085698</c:v>
                </c:pt>
                <c:pt idx="7">
                  <c:v>441575.28506588424</c:v>
                </c:pt>
                <c:pt idx="8">
                  <c:v>500654.23446862109</c:v>
                </c:pt>
                <c:pt idx="9">
                  <c:v>563703.58569574018</c:v>
                </c:pt>
                <c:pt idx="10">
                  <c:v>633076.84402750398</c:v>
                </c:pt>
                <c:pt idx="11">
                  <c:v>699827.65845398873</c:v>
                </c:pt>
                <c:pt idx="12">
                  <c:v>765347.00767356099</c:v>
                </c:pt>
                <c:pt idx="13">
                  <c:v>828389.49004259263</c:v>
                </c:pt>
                <c:pt idx="14">
                  <c:v>890951.83217297471</c:v>
                </c:pt>
                <c:pt idx="15">
                  <c:v>951136.17356786923</c:v>
                </c:pt>
                <c:pt idx="16">
                  <c:v>1100481.0747611136</c:v>
                </c:pt>
                <c:pt idx="17">
                  <c:v>1246898.6913999806</c:v>
                </c:pt>
                <c:pt idx="18">
                  <c:v>1390446.3907302993</c:v>
                </c:pt>
                <c:pt idx="19">
                  <c:v>1531180.4160380152</c:v>
                </c:pt>
                <c:pt idx="20">
                  <c:v>1669155.9086617529</c:v>
                </c:pt>
                <c:pt idx="21">
                  <c:v>1804426.929574514</c:v>
                </c:pt>
                <c:pt idx="22">
                  <c:v>1937046.480542934</c:v>
                </c:pt>
                <c:pt idx="23">
                  <c:v>2067066.5248723649</c:v>
                </c:pt>
                <c:pt idx="24">
                  <c:v>2194538.0077458788</c:v>
                </c:pt>
                <c:pt idx="25">
                  <c:v>2319510.8761651362</c:v>
                </c:pt>
                <c:pt idx="26">
                  <c:v>2442034.0985009102</c:v>
                </c:pt>
                <c:pt idx="27">
                  <c:v>2562155.6836608946</c:v>
                </c:pt>
                <c:pt idx="28">
                  <c:v>2679922.6998822857</c:v>
                </c:pt>
                <c:pt idx="29">
                  <c:v>2795381.293156479</c:v>
                </c:pt>
              </c:numCache>
            </c:numRef>
          </c:val>
          <c:smooth val="0"/>
        </c:ser>
        <c:ser>
          <c:idx val="7"/>
          <c:order val="7"/>
          <c:tx>
            <c:strRef>
              <c:f>PivotChart!$J$7:$J$9</c:f>
              <c:strCache>
                <c:ptCount val="1"/>
                <c:pt idx="0">
                  <c:v>ZERO - Orthopedics</c:v>
                </c:pt>
              </c:strCache>
            </c:strRef>
          </c:tx>
          <c:marker>
            <c:symbol val="none"/>
          </c:marker>
          <c:cat>
            <c:strRef>
              <c:f>PivotChart!$B$10:$B$39</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cat>
          <c:val>
            <c:numRef>
              <c:f>PivotChart!$J$10:$J$39</c:f>
              <c:numCache>
                <c:formatCode>"$"#,##0</c:formatCode>
                <c:ptCount val="30"/>
                <c:pt idx="0">
                  <c:v>0</c:v>
                </c:pt>
                <c:pt idx="1">
                  <c:v>0</c:v>
                </c:pt>
                <c:pt idx="2">
                  <c:v>0</c:v>
                </c:pt>
                <c:pt idx="3">
                  <c:v>0</c:v>
                </c:pt>
                <c:pt idx="4">
                  <c:v>33588.865466099727</c:v>
                </c:pt>
                <c:pt idx="5">
                  <c:v>67199.057582634647</c:v>
                </c:pt>
                <c:pt idx="6">
                  <c:v>100838.89926015845</c:v>
                </c:pt>
                <c:pt idx="7">
                  <c:v>134516.55101939355</c:v>
                </c:pt>
                <c:pt idx="8">
                  <c:v>168240.01643703756</c:v>
                </c:pt>
                <c:pt idx="9">
                  <c:v>360726.73797044711</c:v>
                </c:pt>
                <c:pt idx="10">
                  <c:v>547607.05013880588</c:v>
                </c:pt>
                <c:pt idx="11">
                  <c:v>730824.29244430526</c:v>
                </c:pt>
                <c:pt idx="12">
                  <c:v>910450.25337892817</c:v>
                </c:pt>
                <c:pt idx="13">
                  <c:v>1086555.3148775743</c:v>
                </c:pt>
                <c:pt idx="14">
                  <c:v>1259208.4798667249</c:v>
                </c:pt>
                <c:pt idx="15">
                  <c:v>1428477.3992738379</c:v>
                </c:pt>
                <c:pt idx="16">
                  <c:v>1594428.398508019</c:v>
                </c:pt>
                <c:pt idx="17">
                  <c:v>1757126.5034223141</c:v>
                </c:pt>
                <c:pt idx="18">
                  <c:v>1916635.4657677584</c:v>
                </c:pt>
                <c:pt idx="19">
                  <c:v>2073017.788149127</c:v>
                </c:pt>
                <c:pt idx="20">
                  <c:v>2226334.7484921319</c:v>
                </c:pt>
                <c:pt idx="21">
                  <c:v>2376646.4240316255</c:v>
                </c:pt>
                <c:pt idx="22">
                  <c:v>2524011.7148301755</c:v>
                </c:pt>
                <c:pt idx="23">
                  <c:v>2668488.3668362042</c:v>
                </c:pt>
                <c:pt idx="24">
                  <c:v>2809969.7902480396</c:v>
                </c:pt>
                <c:pt idx="25">
                  <c:v>2948503.0242826822</c:v>
                </c:pt>
                <c:pt idx="26">
                  <c:v>3084150.9458124577</c:v>
                </c:pt>
                <c:pt idx="27">
                  <c:v>3216975.051182148</c:v>
                </c:pt>
                <c:pt idx="28">
                  <c:v>3347035.4875785788</c:v>
                </c:pt>
                <c:pt idx="29">
                  <c:v>3474391.0836598589</c:v>
                </c:pt>
              </c:numCache>
            </c:numRef>
          </c:val>
          <c:smooth val="0"/>
        </c:ser>
        <c:dLbls>
          <c:showLegendKey val="0"/>
          <c:showVal val="0"/>
          <c:showCatName val="0"/>
          <c:showSerName val="0"/>
          <c:showPercent val="0"/>
          <c:showBubbleSize val="0"/>
        </c:dLbls>
        <c:marker val="1"/>
        <c:smooth val="0"/>
        <c:axId val="135478656"/>
        <c:axId val="135484544"/>
      </c:lineChart>
      <c:catAx>
        <c:axId val="135478656"/>
        <c:scaling>
          <c:orientation val="minMax"/>
        </c:scaling>
        <c:delete val="0"/>
        <c:axPos val="b"/>
        <c:majorTickMark val="out"/>
        <c:minorTickMark val="none"/>
        <c:tickLblPos val="nextTo"/>
        <c:crossAx val="135484544"/>
        <c:crosses val="autoZero"/>
        <c:auto val="1"/>
        <c:lblAlgn val="ctr"/>
        <c:lblOffset val="100"/>
        <c:noMultiLvlLbl val="0"/>
      </c:catAx>
      <c:valAx>
        <c:axId val="135484544"/>
        <c:scaling>
          <c:orientation val="minMax"/>
        </c:scaling>
        <c:delete val="0"/>
        <c:axPos val="l"/>
        <c:majorGridlines/>
        <c:numFmt formatCode="&quot;$&quot;#,##0" sourceLinked="1"/>
        <c:majorTickMark val="out"/>
        <c:minorTickMark val="none"/>
        <c:tickLblPos val="nextTo"/>
        <c:crossAx val="135478656"/>
        <c:crosses val="autoZero"/>
        <c:crossBetween val="between"/>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[FINAL.Kellermann.SD Appendix 1.Acad Med.2017.xlsx]PivotTableNPV30!PivotTable1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PivotTableNPV30!$C$7:$C$8</c:f>
              <c:strCache>
                <c:ptCount val="1"/>
                <c:pt idx="0">
                  <c:v>General Surgery</c:v>
                </c:pt>
              </c:strCache>
            </c:strRef>
          </c:tx>
          <c:invertIfNegative val="0"/>
          <c:cat>
            <c:strRef>
              <c:f>PivotTableNPV30!$B$9:$B$24</c:f>
              <c:strCache>
                <c:ptCount val="16"/>
                <c:pt idx="0">
                  <c:v>EXT</c:v>
                </c:pt>
                <c:pt idx="1">
                  <c:v>HPSP</c:v>
                </c:pt>
                <c:pt idx="2">
                  <c:v>HPSPPriv</c:v>
                </c:pt>
                <c:pt idx="3">
                  <c:v>IBR</c:v>
                </c:pt>
                <c:pt idx="4">
                  <c:v>IBRR</c:v>
                </c:pt>
                <c:pt idx="5">
                  <c:v>NHSC4</c:v>
                </c:pt>
                <c:pt idx="6">
                  <c:v>PAYE</c:v>
                </c:pt>
                <c:pt idx="7">
                  <c:v>PAYER</c:v>
                </c:pt>
                <c:pt idx="8">
                  <c:v>PSLF</c:v>
                </c:pt>
                <c:pt idx="9">
                  <c:v>Ret20HPSP</c:v>
                </c:pt>
                <c:pt idx="10">
                  <c:v>Ret20USU</c:v>
                </c:pt>
                <c:pt idx="11">
                  <c:v>STD10</c:v>
                </c:pt>
                <c:pt idx="12">
                  <c:v>STD10R</c:v>
                </c:pt>
                <c:pt idx="13">
                  <c:v>USU</c:v>
                </c:pt>
                <c:pt idx="14">
                  <c:v>USUPriv</c:v>
                </c:pt>
                <c:pt idx="15">
                  <c:v>ZERO</c:v>
                </c:pt>
              </c:strCache>
            </c:strRef>
          </c:cat>
          <c:val>
            <c:numRef>
              <c:f>PivotTableNPV30!$C$9:$C$24</c:f>
              <c:numCache>
                <c:formatCode>"$"#,##0</c:formatCode>
                <c:ptCount val="16"/>
                <c:pt idx="0">
                  <c:v>2267004.3734828089</c:v>
                </c:pt>
                <c:pt idx="1">
                  <c:v>2103914.5327333035</c:v>
                </c:pt>
                <c:pt idx="2">
                  <c:v>2410856.3005204736</c:v>
                </c:pt>
                <c:pt idx="3">
                  <c:v>#N/A</c:v>
                </c:pt>
                <c:pt idx="4">
                  <c:v>2257571.258933608</c:v>
                </c:pt>
                <c:pt idx="6">
                  <c:v>2259475.9800227731</c:v>
                </c:pt>
                <c:pt idx="7">
                  <c:v>2258090.5298788142</c:v>
                </c:pt>
                <c:pt idx="9">
                  <c:v>2249341.7217765106</c:v>
                </c:pt>
                <c:pt idx="10">
                  <c:v>2260586.0418002941</c:v>
                </c:pt>
                <c:pt idx="11">
                  <c:v>2259891.8844773457</c:v>
                </c:pt>
                <c:pt idx="12">
                  <c:v>2264479.5005797618</c:v>
                </c:pt>
                <c:pt idx="13">
                  <c:v>2085044.203384842</c:v>
                </c:pt>
                <c:pt idx="14">
                  <c:v>2335407.3487364543</c:v>
                </c:pt>
                <c:pt idx="15">
                  <c:v>2644218.2770240861</c:v>
                </c:pt>
              </c:numCache>
            </c:numRef>
          </c:val>
        </c:ser>
        <c:ser>
          <c:idx val="1"/>
          <c:order val="1"/>
          <c:tx>
            <c:strRef>
              <c:f>PivotTableNPV30!$D$7:$D$8</c:f>
              <c:strCache>
                <c:ptCount val="1"/>
                <c:pt idx="0">
                  <c:v>Internal Medicine</c:v>
                </c:pt>
              </c:strCache>
            </c:strRef>
          </c:tx>
          <c:invertIfNegative val="0"/>
          <c:cat>
            <c:strRef>
              <c:f>PivotTableNPV30!$B$9:$B$24</c:f>
              <c:strCache>
                <c:ptCount val="16"/>
                <c:pt idx="0">
                  <c:v>EXT</c:v>
                </c:pt>
                <c:pt idx="1">
                  <c:v>HPSP</c:v>
                </c:pt>
                <c:pt idx="2">
                  <c:v>HPSPPriv</c:v>
                </c:pt>
                <c:pt idx="3">
                  <c:v>IBR</c:v>
                </c:pt>
                <c:pt idx="4">
                  <c:v>IBRR</c:v>
                </c:pt>
                <c:pt idx="5">
                  <c:v>NHSC4</c:v>
                </c:pt>
                <c:pt idx="6">
                  <c:v>PAYE</c:v>
                </c:pt>
                <c:pt idx="7">
                  <c:v>PAYER</c:v>
                </c:pt>
                <c:pt idx="8">
                  <c:v>PSLF</c:v>
                </c:pt>
                <c:pt idx="9">
                  <c:v>Ret20HPSP</c:v>
                </c:pt>
                <c:pt idx="10">
                  <c:v>Ret20USU</c:v>
                </c:pt>
                <c:pt idx="11">
                  <c:v>STD10</c:v>
                </c:pt>
                <c:pt idx="12">
                  <c:v>STD10R</c:v>
                </c:pt>
                <c:pt idx="13">
                  <c:v>USU</c:v>
                </c:pt>
                <c:pt idx="14">
                  <c:v>USUPriv</c:v>
                </c:pt>
                <c:pt idx="15">
                  <c:v>ZERO</c:v>
                </c:pt>
              </c:strCache>
            </c:strRef>
          </c:cat>
          <c:val>
            <c:numRef>
              <c:f>PivotTableNPV30!$D$9:$D$24</c:f>
              <c:numCache>
                <c:formatCode>"$"#,##0</c:formatCode>
                <c:ptCount val="16"/>
                <c:pt idx="0">
                  <c:v>1449100.1703236834</c:v>
                </c:pt>
                <c:pt idx="1">
                  <c:v>1901296.5448733282</c:v>
                </c:pt>
                <c:pt idx="2">
                  <c:v>1796137.7453499995</c:v>
                </c:pt>
                <c:pt idx="3">
                  <c:v>1450081.6207023528</c:v>
                </c:pt>
                <c:pt idx="4">
                  <c:v>1451495.7808301111</c:v>
                </c:pt>
                <c:pt idx="5">
                  <c:v>1537432.0613425472</c:v>
                </c:pt>
                <c:pt idx="6">
                  <c:v>1443303.6732471054</c:v>
                </c:pt>
                <c:pt idx="7">
                  <c:v>1447375.2126063413</c:v>
                </c:pt>
                <c:pt idx="8">
                  <c:v>1382900.734555467</c:v>
                </c:pt>
                <c:pt idx="9">
                  <c:v>1896647.1333663783</c:v>
                </c:pt>
                <c:pt idx="10">
                  <c:v>1950087.0634704037</c:v>
                </c:pt>
                <c:pt idx="11">
                  <c:v>1451606.4889700194</c:v>
                </c:pt>
                <c:pt idx="12">
                  <c:v>1455539.260550366</c:v>
                </c:pt>
                <c:pt idx="13">
                  <c:v>1937289.8639864533</c:v>
                </c:pt>
                <c:pt idx="14">
                  <c:v>1855275.3855593591</c:v>
                </c:pt>
                <c:pt idx="15">
                  <c:v>1835278.0369946901</c:v>
                </c:pt>
              </c:numCache>
            </c:numRef>
          </c:val>
        </c:ser>
        <c:ser>
          <c:idx val="2"/>
          <c:order val="2"/>
          <c:tx>
            <c:strRef>
              <c:f>PivotTableNPV30!$E$7:$E$8</c:f>
              <c:strCache>
                <c:ptCount val="1"/>
                <c:pt idx="0">
                  <c:v>Ophthalmology</c:v>
                </c:pt>
              </c:strCache>
            </c:strRef>
          </c:tx>
          <c:invertIfNegative val="0"/>
          <c:cat>
            <c:strRef>
              <c:f>PivotTableNPV30!$B$9:$B$24</c:f>
              <c:strCache>
                <c:ptCount val="16"/>
                <c:pt idx="0">
                  <c:v>EXT</c:v>
                </c:pt>
                <c:pt idx="1">
                  <c:v>HPSP</c:v>
                </c:pt>
                <c:pt idx="2">
                  <c:v>HPSPPriv</c:v>
                </c:pt>
                <c:pt idx="3">
                  <c:v>IBR</c:v>
                </c:pt>
                <c:pt idx="4">
                  <c:v>IBRR</c:v>
                </c:pt>
                <c:pt idx="5">
                  <c:v>NHSC4</c:v>
                </c:pt>
                <c:pt idx="6">
                  <c:v>PAYE</c:v>
                </c:pt>
                <c:pt idx="7">
                  <c:v>PAYER</c:v>
                </c:pt>
                <c:pt idx="8">
                  <c:v>PSLF</c:v>
                </c:pt>
                <c:pt idx="9">
                  <c:v>Ret20HPSP</c:v>
                </c:pt>
                <c:pt idx="10">
                  <c:v>Ret20USU</c:v>
                </c:pt>
                <c:pt idx="11">
                  <c:v>STD10</c:v>
                </c:pt>
                <c:pt idx="12">
                  <c:v>STD10R</c:v>
                </c:pt>
                <c:pt idx="13">
                  <c:v>USU</c:v>
                </c:pt>
                <c:pt idx="14">
                  <c:v>USUPriv</c:v>
                </c:pt>
                <c:pt idx="15">
                  <c:v>ZERO</c:v>
                </c:pt>
              </c:strCache>
            </c:strRef>
          </c:cat>
          <c:val>
            <c:numRef>
              <c:f>PivotTableNPV30!$E$9:$E$24</c:f>
              <c:numCache>
                <c:formatCode>"$"#,##0</c:formatCode>
                <c:ptCount val="16"/>
                <c:pt idx="0">
                  <c:v>1571112.409183118</c:v>
                </c:pt>
                <c:pt idx="1">
                  <c:v>1870409.3192359314</c:v>
                </c:pt>
                <c:pt idx="2">
                  <c:v>1902649.0275749476</c:v>
                </c:pt>
                <c:pt idx="3">
                  <c:v>1568505.5650767726</c:v>
                </c:pt>
                <c:pt idx="4">
                  <c:v>1567480.7478088478</c:v>
                </c:pt>
                <c:pt idx="6">
                  <c:v>1562761.1128172441</c:v>
                </c:pt>
                <c:pt idx="7">
                  <c:v>1567074.8146849098</c:v>
                </c:pt>
                <c:pt idx="9">
                  <c:v>1956369.4476868878</c:v>
                </c:pt>
                <c:pt idx="10">
                  <c:v>1918294.3805520567</c:v>
                </c:pt>
                <c:pt idx="11">
                  <c:v>1568933.2162260774</c:v>
                </c:pt>
                <c:pt idx="12">
                  <c:v>1573444.9138983367</c:v>
                </c:pt>
                <c:pt idx="13">
                  <c:v>1908719.910044868</c:v>
                </c:pt>
                <c:pt idx="14">
                  <c:v>1937369.1930529587</c:v>
                </c:pt>
                <c:pt idx="15">
                  <c:v>1953183.6903426608</c:v>
                </c:pt>
              </c:numCache>
            </c:numRef>
          </c:val>
        </c:ser>
        <c:ser>
          <c:idx val="3"/>
          <c:order val="3"/>
          <c:tx>
            <c:strRef>
              <c:f>PivotTableNPV30!$F$7:$F$8</c:f>
              <c:strCache>
                <c:ptCount val="1"/>
                <c:pt idx="0">
                  <c:v>Orthopedics</c:v>
                </c:pt>
              </c:strCache>
            </c:strRef>
          </c:tx>
          <c:invertIfNegative val="0"/>
          <c:cat>
            <c:strRef>
              <c:f>PivotTableNPV30!$B$9:$B$24</c:f>
              <c:strCache>
                <c:ptCount val="16"/>
                <c:pt idx="0">
                  <c:v>EXT</c:v>
                </c:pt>
                <c:pt idx="1">
                  <c:v>HPSP</c:v>
                </c:pt>
                <c:pt idx="2">
                  <c:v>HPSPPriv</c:v>
                </c:pt>
                <c:pt idx="3">
                  <c:v>IBR</c:v>
                </c:pt>
                <c:pt idx="4">
                  <c:v>IBRR</c:v>
                </c:pt>
                <c:pt idx="5">
                  <c:v>NHSC4</c:v>
                </c:pt>
                <c:pt idx="6">
                  <c:v>PAYE</c:v>
                </c:pt>
                <c:pt idx="7">
                  <c:v>PAYER</c:v>
                </c:pt>
                <c:pt idx="8">
                  <c:v>PSLF</c:v>
                </c:pt>
                <c:pt idx="9">
                  <c:v>Ret20HPSP</c:v>
                </c:pt>
                <c:pt idx="10">
                  <c:v>Ret20USU</c:v>
                </c:pt>
                <c:pt idx="11">
                  <c:v>STD10</c:v>
                </c:pt>
                <c:pt idx="12">
                  <c:v>STD10R</c:v>
                </c:pt>
                <c:pt idx="13">
                  <c:v>USU</c:v>
                </c:pt>
                <c:pt idx="14">
                  <c:v>USUPriv</c:v>
                </c:pt>
                <c:pt idx="15">
                  <c:v>ZERO</c:v>
                </c:pt>
              </c:strCache>
            </c:strRef>
          </c:cat>
          <c:val>
            <c:numRef>
              <c:f>PivotTableNPV30!$F$9:$F$24</c:f>
              <c:numCache>
                <c:formatCode>"$"#,##0</c:formatCode>
                <c:ptCount val="16"/>
                <c:pt idx="0">
                  <c:v>3097177.1801185822</c:v>
                </c:pt>
                <c:pt idx="1">
                  <c:v>2055217.7482521208</c:v>
                </c:pt>
                <c:pt idx="2">
                  <c:v>2984031.9100521905</c:v>
                </c:pt>
                <c:pt idx="3">
                  <c:v>#N/A</c:v>
                </c:pt>
                <c:pt idx="4">
                  <c:v>3087744.0655693817</c:v>
                </c:pt>
                <c:pt idx="6">
                  <c:v>#N/A</c:v>
                </c:pt>
                <c:pt idx="7">
                  <c:v>3088263.336514588</c:v>
                </c:pt>
                <c:pt idx="9">
                  <c:v>2360992.8312217486</c:v>
                </c:pt>
                <c:pt idx="10">
                  <c:v>2418891.3309130184</c:v>
                </c:pt>
                <c:pt idx="11">
                  <c:v>3090064.6911131195</c:v>
                </c:pt>
                <c:pt idx="12">
                  <c:v>3094652.3072155355</c:v>
                </c:pt>
                <c:pt idx="13">
                  <c:v>2047907.7303291105</c:v>
                </c:pt>
                <c:pt idx="14">
                  <c:v>2795381.293156479</c:v>
                </c:pt>
                <c:pt idx="15">
                  <c:v>3474391.0836598589</c:v>
                </c:pt>
              </c:numCache>
            </c:numRef>
          </c:val>
        </c:ser>
        <c:dLbls>
          <c:showLegendKey val="0"/>
          <c:showVal val="0"/>
          <c:showCatName val="0"/>
          <c:showSerName val="0"/>
          <c:showPercent val="0"/>
          <c:showBubbleSize val="0"/>
        </c:dLbls>
        <c:gapWidth val="150"/>
        <c:shape val="box"/>
        <c:axId val="130904064"/>
        <c:axId val="130905600"/>
        <c:axId val="0"/>
      </c:bar3DChart>
      <c:catAx>
        <c:axId val="130904064"/>
        <c:scaling>
          <c:orientation val="minMax"/>
        </c:scaling>
        <c:delete val="0"/>
        <c:axPos val="b"/>
        <c:majorTickMark val="out"/>
        <c:minorTickMark val="none"/>
        <c:tickLblPos val="nextTo"/>
        <c:crossAx val="130905600"/>
        <c:crosses val="autoZero"/>
        <c:auto val="1"/>
        <c:lblAlgn val="ctr"/>
        <c:lblOffset val="100"/>
        <c:noMultiLvlLbl val="0"/>
      </c:catAx>
      <c:valAx>
        <c:axId val="130905600"/>
        <c:scaling>
          <c:orientation val="minMax"/>
        </c:scaling>
        <c:delete val="0"/>
        <c:axPos val="l"/>
        <c:majorGridlines/>
        <c:numFmt formatCode="&quot;$&quot;#,##0" sourceLinked="1"/>
        <c:majorTickMark val="out"/>
        <c:minorTickMark val="none"/>
        <c:tickLblPos val="nextTo"/>
        <c:crossAx val="130904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18</xdr:col>
      <xdr:colOff>190499</xdr:colOff>
      <xdr:row>4</xdr:row>
      <xdr:rowOff>423861</xdr:rowOff>
    </xdr:from>
    <xdr:to>
      <xdr:col>27</xdr:col>
      <xdr:colOff>437387</xdr:colOff>
      <xdr:row>27</xdr:row>
      <xdr:rowOff>6666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190499</xdr:colOff>
      <xdr:row>4</xdr:row>
      <xdr:rowOff>423861</xdr:rowOff>
    </xdr:from>
    <xdr:to>
      <xdr:col>25</xdr:col>
      <xdr:colOff>437387</xdr:colOff>
      <xdr:row>27</xdr:row>
      <xdr:rowOff>6666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190499</xdr:colOff>
      <xdr:row>4</xdr:row>
      <xdr:rowOff>423861</xdr:rowOff>
    </xdr:from>
    <xdr:to>
      <xdr:col>25</xdr:col>
      <xdr:colOff>437387</xdr:colOff>
      <xdr:row>27</xdr:row>
      <xdr:rowOff>6666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190499</xdr:colOff>
      <xdr:row>4</xdr:row>
      <xdr:rowOff>423861</xdr:rowOff>
    </xdr:from>
    <xdr:to>
      <xdr:col>25</xdr:col>
      <xdr:colOff>437387</xdr:colOff>
      <xdr:row>27</xdr:row>
      <xdr:rowOff>6666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xdr:colOff>
      <xdr:row>42</xdr:row>
      <xdr:rowOff>11430</xdr:rowOff>
    </xdr:from>
    <xdr:to>
      <xdr:col>10</xdr:col>
      <xdr:colOff>0</xdr:colOff>
      <xdr:row>69</xdr:row>
      <xdr:rowOff>167640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609599</xdr:colOff>
      <xdr:row>25</xdr:row>
      <xdr:rowOff>33336</xdr:rowOff>
    </xdr:from>
    <xdr:to>
      <xdr:col>8</xdr:col>
      <xdr:colOff>342900</xdr:colOff>
      <xdr:row>49</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rcu, Mircea I." refreshedDate="42459.808746064817" createdVersion="4" refreshedVersion="4" minRefreshableVersion="3" recordCount="1740">
  <cacheSource type="worksheet">
    <worksheetSource ref="B1:H1741" sheet="PivotData"/>
  </cacheSource>
  <cacheFields count="7">
    <cacheField name="City" numFmtId="0">
      <sharedItems count="2">
        <s v="Washington, DC"/>
        <s v="District of Columbia" u="1"/>
      </sharedItems>
    </cacheField>
    <cacheField name="Specialty" numFmtId="0">
      <sharedItems count="4">
        <s v="Internal Medicine"/>
        <s v="Orthopedics"/>
        <s v="General Surgery"/>
        <s v="Ophthalmology"/>
      </sharedItems>
    </cacheField>
    <cacheField name="Scenario" numFmtId="0">
      <sharedItems containsMixedTypes="1" containsNumber="1" minValue="0" maxValue="1903853.4008999311" count="42">
        <s v="USU"/>
        <s v="HPSP"/>
        <s v="STD10"/>
        <s v="EXT"/>
        <s v="IBR"/>
        <s v="PAYE"/>
        <s v="STD10R"/>
        <s v="IBRR"/>
        <s v="PAYER"/>
        <s v="Ret20USU"/>
        <s v="Ret20HPSP"/>
        <s v="USUPriv"/>
        <s v="HPSPPriv"/>
        <s v="NHSC4"/>
        <s v="PSLF"/>
        <s v="ZERO"/>
        <n v="0" u="1"/>
        <n v="1552530.0237238833" u="1"/>
        <n v="727393.24006518733" u="1"/>
        <n v="1161886.9752121822" u="1"/>
        <n v="244052.41956789655" u="1"/>
        <n v="1625804.1135109039" u="1"/>
        <n v="344855.89378860273" u="1"/>
        <n v="67808.585314956043" u="1"/>
        <n v="1078650.4006331468" u="1"/>
        <n v="1903853.4008999311" u="1"/>
        <n v="135768.18392369579" u="1"/>
        <n v="1323141.0860565407" u="1"/>
        <n v="993622.80301844876" u="1"/>
        <n v="1836533.4435916452" u="1"/>
        <n v="1401233.5011327153" u="1"/>
        <n v="1697540.7840684941" u="1"/>
        <n v="906764.57213252445" u="1"/>
        <n v="33889.517044295724" u="1"/>
        <n v="101765.44856603013" u="1"/>
        <n v="1767773.1119856709" u="1"/>
        <n v="1477684.685477732" u="1"/>
        <n v="818035.20131429343" u="1"/>
        <n v="443563.01303546043" u="1"/>
        <n v="1243371.2467623884" u="1"/>
        <n v="540201.0052362053" u="1"/>
        <n v="634796.29661837686" u="1"/>
      </sharedItems>
    </cacheField>
    <cacheField name="Concatenation" numFmtId="0">
      <sharedItems count="84">
        <s v="Internal Medicine USU"/>
        <s v="Internal Medicine HPSP"/>
        <s v="Internal Medicine STD10"/>
        <s v="Internal Medicine EXT"/>
        <s v="Internal Medicine IBR"/>
        <s v="Internal Medicine PAYE"/>
        <s v="Internal Medicine STD10R"/>
        <s v="Internal Medicine IBRR"/>
        <s v="Internal Medicine PAYER"/>
        <s v="Internal Medicine Ret20USU"/>
        <s v="Internal Medicine Ret20HPSP"/>
        <s v="Internal Medicine USUPriv"/>
        <s v="Internal Medicine HPSPPriv"/>
        <s v="Internal Medicine NHSC4"/>
        <s v="Internal Medicine PSLF"/>
        <s v="Orthopedics USU"/>
        <s v="Orthopedics HPSP"/>
        <s v="Orthopedics STD10"/>
        <s v="Orthopedics EXT"/>
        <s v="Orthopedics IBR"/>
        <s v="Orthopedics PAYE"/>
        <s v="Orthopedics STD10R"/>
        <s v="Orthopedics IBRR"/>
        <s v="Orthopedics PAYER"/>
        <s v="Orthopedics Ret20USU"/>
        <s v="Orthopedics Ret20HPSP"/>
        <s v="Orthopedics USUPriv"/>
        <s v="Orthopedics HPSPPriv"/>
        <s v="General Surgery USU"/>
        <s v="General Surgery HPSP"/>
        <s v="General Surgery STD10"/>
        <s v="General Surgery EXT"/>
        <s v="General Surgery IBR"/>
        <s v="General Surgery PAYE"/>
        <s v="General Surgery STD10R"/>
        <s v="General Surgery IBRR"/>
        <s v="General Surgery PAYER"/>
        <s v="General Surgery Ret20USU"/>
        <s v="General Surgery Ret20HPSP"/>
        <s v="General Surgery USUPriv"/>
        <s v="General Surgery HPSPPriv"/>
        <s v="Ophthalmology USU"/>
        <s v="Ophthalmology HPSP"/>
        <s v="Ophthalmology STD10"/>
        <s v="Ophthalmology EXT"/>
        <s v="Ophthalmology IBR"/>
        <s v="Ophthalmology PAYE"/>
        <s v="Ophthalmology STD10R"/>
        <s v="Ophthalmology IBRR"/>
        <s v="Ophthalmology PAYER"/>
        <s v="Ophthalmology Ret20USU"/>
        <s v="Ophthalmology Ret20HPSP"/>
        <s v="Ophthalmology USUPriv"/>
        <s v="Ophthalmology HPSPPriv"/>
        <s v="Internal Medicine ZERO"/>
        <s v="Orthopedics ZERO"/>
        <s v="General Surgery ZERO"/>
        <s v="Ophthalmology ZERO"/>
        <s v="Ophthalmology 1903853.40089993" u="1"/>
        <s v="Ophthalmology 634796.296618377" u="1"/>
        <s v="Ophthalmology 1161886.97521218" u="1"/>
        <s v="Ophthalmology 1836533.44359165" u="1"/>
        <s v="Ophthalmology 1401233.50113272" u="1"/>
        <s v="Ophthalmology 1625804.1135109" u="1"/>
        <s v="Ophthalmology 906764.572132524" u="1"/>
        <s v="Ophthalmology 818035.201314293" u="1"/>
        <s v="Ophthalmology 1697540.78406849" u="1"/>
        <s v="Ophthalmology 1477684.68547773" u="1"/>
        <s v="Ophthalmology 1767773.11198567" u="1"/>
        <s v="Ophthalmology 0" u="1"/>
        <s v="Ophthalmology 33889.5170442957" u="1"/>
        <s v="Ophthalmology 344855.893788603" u="1"/>
        <s v="Ophthalmology 1323141.08605654" u="1"/>
        <s v="Ophthalmology 727393.240065187" u="1"/>
        <s v="Ophthalmology 135768.183923696" u="1"/>
        <s v="Ophthalmology 1243371.24676239" u="1"/>
        <s v="Ophthalmology 993622.803018449" u="1"/>
        <s v="Ophthalmology 101765.44856603" u="1"/>
        <s v="Ophthalmology 67808.585314956" u="1"/>
        <s v="Ophthalmology 540201.005236205" u="1"/>
        <s v="Ophthalmology 1552530.02372388" u="1"/>
        <s v="Ophthalmology 244052.419567897" u="1"/>
        <s v="Ophthalmology 1078650.40063315" u="1"/>
        <s v="Ophthalmology 443563.01303546" u="1"/>
      </sharedItems>
    </cacheField>
    <cacheField name="Calendar Year" numFmtId="0">
      <sharedItems containsSemiMixedTypes="0" containsString="0" containsNumber="1" containsInteger="1" minValue="2013" maxValue="2042"/>
    </cacheField>
    <cacheField name="Year" numFmtId="0">
      <sharedItems containsSemiMixedTypes="0" containsString="0" containsNumber="1" containsInteger="1" minValue="1" maxValue="30" count="30">
        <n v="1"/>
        <n v="2"/>
        <n v="3"/>
        <n v="4"/>
        <n v="5"/>
        <n v="6"/>
        <n v="7"/>
        <n v="8"/>
        <n v="9"/>
        <n v="10"/>
        <n v="11"/>
        <n v="12"/>
        <n v="13"/>
        <n v="14"/>
        <n v="15"/>
        <n v="16"/>
        <n v="17"/>
        <n v="18"/>
        <n v="19"/>
        <n v="20"/>
        <n v="21"/>
        <n v="22"/>
        <n v="23"/>
        <n v="24"/>
        <n v="25"/>
        <n v="26"/>
        <n v="27"/>
        <n v="28"/>
        <n v="29"/>
        <n v="30"/>
      </sharedItems>
    </cacheField>
    <cacheField name="NPV" numFmtId="164">
      <sharedItems containsMixedTypes="1" containsNumber="1" minValue="-190867.38028908212" maxValue="3474391.083659858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cu, Mircea I." refreshedDate="42459.808789236115" createdVersion="4" refreshedVersion="4" minRefreshableVersion="3" recordCount="1740">
  <cacheSource type="worksheet">
    <worksheetSource ref="B1:Y1741" sheet="PivotData"/>
  </cacheSource>
  <cacheFields count="24">
    <cacheField name="City" numFmtId="0">
      <sharedItems count="2">
        <s v="Washington, DC"/>
        <s v="District of Columbia" u="1"/>
      </sharedItems>
    </cacheField>
    <cacheField name="Specialty" numFmtId="0">
      <sharedItems count="4">
        <s v="Internal Medicine"/>
        <s v="Orthopedics"/>
        <s v="General Surgery"/>
        <s v="Ophthalmology"/>
      </sharedItems>
    </cacheField>
    <cacheField name="Scenario" numFmtId="0">
      <sharedItems count="16">
        <s v="USU"/>
        <s v="HPSP"/>
        <s v="STD10"/>
        <s v="EXT"/>
        <s v="IBR"/>
        <s v="PAYE"/>
        <s v="STD10R"/>
        <s v="IBRR"/>
        <s v="PAYER"/>
        <s v="Ret20USU"/>
        <s v="Ret20HPSP"/>
        <s v="USUPriv"/>
        <s v="HPSPPriv"/>
        <s v="NHSC4"/>
        <s v="PSLF"/>
        <s v="ZERO"/>
      </sharedItems>
    </cacheField>
    <cacheField name="Concatenation" numFmtId="0">
      <sharedItems/>
    </cacheField>
    <cacheField name="Calendar Year" numFmtId="0">
      <sharedItems containsSemiMixedTypes="0" containsString="0" containsNumber="1" containsInteger="1" minValue="2013" maxValue="2042"/>
    </cacheField>
    <cacheField name="Year" numFmtId="0">
      <sharedItems containsSemiMixedTypes="0" containsString="0" containsNumber="1" containsInteger="1" minValue="1" maxValue="30" count="30">
        <n v="1"/>
        <n v="2"/>
        <n v="3"/>
        <n v="4"/>
        <n v="5"/>
        <n v="6"/>
        <n v="7"/>
        <n v="8"/>
        <n v="9"/>
        <n v="10"/>
        <n v="11"/>
        <n v="12"/>
        <n v="13"/>
        <n v="14"/>
        <n v="15"/>
        <n v="16"/>
        <n v="17"/>
        <n v="18"/>
        <n v="19"/>
        <n v="20"/>
        <n v="21"/>
        <n v="22"/>
        <n v="23"/>
        <n v="24"/>
        <n v="25"/>
        <n v="26"/>
        <n v="27"/>
        <n v="28"/>
        <n v="29"/>
        <n v="30"/>
      </sharedItems>
    </cacheField>
    <cacheField name="NPV" numFmtId="164">
      <sharedItems containsMixedTypes="1" containsNumber="1" minValue="-190867.38028908212" maxValue="3474391.0836598589"/>
    </cacheField>
    <cacheField name="Inflation" numFmtId="10">
      <sharedItems containsSemiMixedTypes="0" containsString="0" containsNumber="1" minValue="0.02" maxValue="0.02"/>
    </cacheField>
    <cacheField name="Non-Military Pay Real Rate Increase" numFmtId="10">
      <sharedItems containsSemiMixedTypes="0" containsString="0" containsNumber="1" minValue="0.01" maxValue="0.01"/>
    </cacheField>
    <cacheField name="Military Pay Growth Rate" numFmtId="10">
      <sharedItems containsSemiMixedTypes="0" containsString="0" containsNumber="1" minValue="0.01" maxValue="0.01"/>
    </cacheField>
    <cacheField name="Stafford Loan Rate" numFmtId="10">
      <sharedItems containsSemiMixedTypes="0" containsString="0" containsNumber="1" minValue="6.2100000000000002E-2" maxValue="6.2100000000000002E-2"/>
    </cacheField>
    <cacheField name="Real Discount Rate" numFmtId="10">
      <sharedItems containsSemiMixedTypes="0" containsString="0" containsNumber="1" minValue="0.03" maxValue="0.03"/>
    </cacheField>
    <cacheField name="Federal Poverty Level Growth Rate" numFmtId="10">
      <sharedItems containsSemiMixedTypes="0" containsString="0" containsNumber="1" minValue="0.02" maxValue="0.02"/>
    </cacheField>
    <cacheField name="Resident Pay Growth (after 1st year of residency)" numFmtId="10">
      <sharedItems containsSemiMixedTypes="0" containsString="0" containsNumber="1" minValue="0.06" maxValue="0.06"/>
    </cacheField>
    <cacheField name="Amount Borrowed Growth Rate" numFmtId="10">
      <sharedItems containsSemiMixedTypes="0" containsString="0" containsNumber="1" minValue="0.02" maxValue="0.02"/>
    </cacheField>
    <cacheField name="1st Year Resident Pay Growth Rate while in medical school (2013 to 2017) for civilians" numFmtId="10">
      <sharedItems containsSemiMixedTypes="0" containsString="0" containsNumber="1" minValue="0.02" maxValue="0.02"/>
    </cacheField>
    <cacheField name="Physician starting salary growth rate (Civilian,  between 2013 and 2020)" numFmtId="10">
      <sharedItems containsSemiMixedTypes="0" containsString="0" containsNumber="1" minValue="0.02" maxValue="0.02"/>
    </cacheField>
    <cacheField name="Retired Military Salary as % of Civilian" numFmtId="10">
      <sharedItems containsSemiMixedTypes="0" containsString="0" containsNumber="1" minValue="0.9" maxValue="0.9"/>
    </cacheField>
    <cacheField name="Median Student Debt" numFmtId="164">
      <sharedItems containsSemiMixedTypes="0" containsString="0" containsNumber="1" containsInteger="1" minValue="180000" maxValue="180000"/>
    </cacheField>
    <cacheField name="Internal Medicine" numFmtId="164">
      <sharedItems containsSemiMixedTypes="0" containsString="0" containsNumber="1" containsInteger="1" minValue="176460" maxValue="176460"/>
    </cacheField>
    <cacheField name="General Surgery" numFmtId="164">
      <sharedItems containsSemiMixedTypes="0" containsString="0" containsNumber="1" containsInteger="1" minValue="304980" maxValue="304980"/>
    </cacheField>
    <cacheField name="Ophthalmology" numFmtId="164">
      <sharedItems containsSemiMixedTypes="0" containsString="0" containsNumber="1" containsInteger="1" minValue="210120" maxValue="210120"/>
    </cacheField>
    <cacheField name="Orthopedics" numFmtId="164">
      <sharedItems containsSemiMixedTypes="0" containsString="0" containsNumber="1" containsInteger="1" minValue="408000" maxValue="408000"/>
    </cacheField>
    <cacheField name="NHSC Starting Salary" numFmtId="164">
      <sharedItems containsSemiMixedTypes="0" containsString="0" containsNumber="1" containsInteger="1" minValue="140000" maxValue="14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40">
  <r>
    <x v="0"/>
    <x v="0"/>
    <x v="0"/>
    <x v="0"/>
    <n v="2013"/>
    <x v="0"/>
    <n v="52525.686799999996"/>
  </r>
  <r>
    <x v="0"/>
    <x v="0"/>
    <x v="0"/>
    <x v="0"/>
    <n v="2014"/>
    <x v="1"/>
    <n v="103045.21008954883"/>
  </r>
  <r>
    <x v="0"/>
    <x v="0"/>
    <x v="0"/>
    <x v="0"/>
    <n v="2015"/>
    <x v="2"/>
    <n v="152565.98092317433"/>
  </r>
  <r>
    <x v="0"/>
    <x v="0"/>
    <x v="0"/>
    <x v="0"/>
    <n v="2016"/>
    <x v="3"/>
    <n v="204951.40008844491"/>
  </r>
  <r>
    <x v="0"/>
    <x v="0"/>
    <x v="0"/>
    <x v="0"/>
    <n v="2017"/>
    <x v="4"/>
    <n v="264104.65274828218"/>
  </r>
  <r>
    <x v="0"/>
    <x v="0"/>
    <x v="0"/>
    <x v="0"/>
    <n v="2018"/>
    <x v="5"/>
    <n v="322956.40336350905"/>
  </r>
  <r>
    <x v="0"/>
    <x v="0"/>
    <x v="0"/>
    <x v="0"/>
    <n v="2019"/>
    <x v="6"/>
    <n v="382458.16257085698"/>
  </r>
  <r>
    <x v="0"/>
    <x v="0"/>
    <x v="0"/>
    <x v="0"/>
    <n v="2020"/>
    <x v="7"/>
    <n v="449391.04775539273"/>
  </r>
  <r>
    <x v="0"/>
    <x v="0"/>
    <x v="0"/>
    <x v="0"/>
    <n v="2021"/>
    <x v="8"/>
    <n v="515983.72294949042"/>
  </r>
  <r>
    <x v="0"/>
    <x v="0"/>
    <x v="0"/>
    <x v="0"/>
    <n v="2022"/>
    <x v="9"/>
    <n v="580064.96873661608"/>
  </r>
  <r>
    <x v="0"/>
    <x v="0"/>
    <x v="0"/>
    <x v="0"/>
    <n v="2023"/>
    <x v="10"/>
    <n v="649438.22706837987"/>
  </r>
  <r>
    <x v="0"/>
    <x v="0"/>
    <x v="0"/>
    <x v="0"/>
    <n v="2024"/>
    <x v="11"/>
    <n v="716189.04149486462"/>
  </r>
  <r>
    <x v="0"/>
    <x v="0"/>
    <x v="0"/>
    <x v="0"/>
    <n v="2025"/>
    <x v="12"/>
    <n v="781708.39071443689"/>
  </r>
  <r>
    <x v="0"/>
    <x v="0"/>
    <x v="0"/>
    <x v="0"/>
    <n v="2026"/>
    <x v="13"/>
    <n v="844750.87308346853"/>
  </r>
  <r>
    <x v="0"/>
    <x v="0"/>
    <x v="0"/>
    <x v="0"/>
    <n v="2027"/>
    <x v="14"/>
    <n v="926994.03178796405"/>
  </r>
  <r>
    <x v="0"/>
    <x v="0"/>
    <x v="0"/>
    <x v="0"/>
    <n v="2028"/>
    <x v="15"/>
    <n v="1006071.2758046327"/>
  </r>
  <r>
    <x v="0"/>
    <x v="0"/>
    <x v="0"/>
    <x v="0"/>
    <n v="2029"/>
    <x v="16"/>
    <n v="1084555.7377875769"/>
  </r>
  <r>
    <x v="0"/>
    <x v="0"/>
    <x v="0"/>
    <x v="0"/>
    <n v="2030"/>
    <x v="17"/>
    <n v="1160018.8301040474"/>
  </r>
  <r>
    <x v="0"/>
    <x v="0"/>
    <x v="0"/>
    <x v="0"/>
    <n v="2031"/>
    <x v="18"/>
    <n v="1233744.2611591651"/>
  </r>
  <r>
    <x v="0"/>
    <x v="0"/>
    <x v="0"/>
    <x v="0"/>
    <n v="2032"/>
    <x v="19"/>
    <n v="1304631.5657249202"/>
  </r>
  <r>
    <x v="0"/>
    <x v="0"/>
    <x v="0"/>
    <x v="0"/>
    <n v="2033"/>
    <x v="20"/>
    <n v="1374441.5394505134"/>
  </r>
  <r>
    <x v="0"/>
    <x v="0"/>
    <x v="0"/>
    <x v="0"/>
    <n v="2034"/>
    <x v="21"/>
    <n v="1441564.0686356374"/>
  </r>
  <r>
    <x v="0"/>
    <x v="0"/>
    <x v="0"/>
    <x v="0"/>
    <n v="2035"/>
    <x v="22"/>
    <n v="1509637.5476040263"/>
  </r>
  <r>
    <x v="0"/>
    <x v="0"/>
    <x v="0"/>
    <x v="0"/>
    <n v="2036"/>
    <x v="23"/>
    <n v="1575084.6704190567"/>
  </r>
  <r>
    <x v="0"/>
    <x v="0"/>
    <x v="0"/>
    <x v="0"/>
    <n v="2037"/>
    <x v="24"/>
    <n v="1640595.9624953943"/>
  </r>
  <r>
    <x v="0"/>
    <x v="0"/>
    <x v="0"/>
    <x v="0"/>
    <n v="2038"/>
    <x v="25"/>
    <n v="1703579.6653591816"/>
  </r>
  <r>
    <x v="0"/>
    <x v="0"/>
    <x v="0"/>
    <x v="0"/>
    <n v="2039"/>
    <x v="26"/>
    <n v="1765499.4385909578"/>
  </r>
  <r>
    <x v="0"/>
    <x v="0"/>
    <x v="0"/>
    <x v="0"/>
    <n v="2040"/>
    <x v="27"/>
    <n v="1825030.1818754748"/>
  </r>
  <r>
    <x v="0"/>
    <x v="0"/>
    <x v="0"/>
    <x v="0"/>
    <n v="2041"/>
    <x v="28"/>
    <n v="1882264.106613352"/>
  </r>
  <r>
    <x v="0"/>
    <x v="0"/>
    <x v="0"/>
    <x v="0"/>
    <n v="2042"/>
    <x v="29"/>
    <n v="1937289.8639864533"/>
  </r>
  <r>
    <x v="0"/>
    <x v="0"/>
    <x v="1"/>
    <x v="1"/>
    <n v="2013"/>
    <x v="0"/>
    <n v="41042.997114989732"/>
  </r>
  <r>
    <x v="0"/>
    <x v="0"/>
    <x v="1"/>
    <x v="1"/>
    <n v="2014"/>
    <x v="1"/>
    <n v="65715.375570480697"/>
  </r>
  <r>
    <x v="0"/>
    <x v="0"/>
    <x v="1"/>
    <x v="1"/>
    <n v="2015"/>
    <x v="2"/>
    <n v="89584.222784524245"/>
  </r>
  <r>
    <x v="0"/>
    <x v="0"/>
    <x v="1"/>
    <x v="1"/>
    <n v="2016"/>
    <x v="3"/>
    <n v="113201.76547692725"/>
  </r>
  <r>
    <x v="0"/>
    <x v="0"/>
    <x v="1"/>
    <x v="1"/>
    <n v="2017"/>
    <x v="4"/>
    <n v="172355.01813676453"/>
  </r>
  <r>
    <x v="0"/>
    <x v="0"/>
    <x v="1"/>
    <x v="1"/>
    <n v="2018"/>
    <x v="5"/>
    <n v="231206.76875199139"/>
  </r>
  <r>
    <x v="0"/>
    <x v="0"/>
    <x v="1"/>
    <x v="1"/>
    <n v="2019"/>
    <x v="6"/>
    <n v="290708.52795933932"/>
  </r>
  <r>
    <x v="0"/>
    <x v="0"/>
    <x v="1"/>
    <x v="1"/>
    <n v="2020"/>
    <x v="7"/>
    <n v="357641.41314387508"/>
  </r>
  <r>
    <x v="0"/>
    <x v="0"/>
    <x v="1"/>
    <x v="1"/>
    <n v="2021"/>
    <x v="8"/>
    <n v="424234.08833797276"/>
  </r>
  <r>
    <x v="0"/>
    <x v="0"/>
    <x v="1"/>
    <x v="1"/>
    <n v="2022"/>
    <x v="9"/>
    <n v="488315.33412509848"/>
  </r>
  <r>
    <x v="0"/>
    <x v="0"/>
    <x v="1"/>
    <x v="1"/>
    <n v="2023"/>
    <x v="10"/>
    <n v="557688.59245686233"/>
  </r>
  <r>
    <x v="0"/>
    <x v="0"/>
    <x v="1"/>
    <x v="1"/>
    <n v="2024"/>
    <x v="11"/>
    <n v="646437.49515327194"/>
  </r>
  <r>
    <x v="0"/>
    <x v="0"/>
    <x v="1"/>
    <x v="1"/>
    <n v="2025"/>
    <x v="12"/>
    <n v="733183.9947550724"/>
  </r>
  <r>
    <x v="0"/>
    <x v="0"/>
    <x v="1"/>
    <x v="1"/>
    <n v="2026"/>
    <x v="13"/>
    <n v="816591.30131568294"/>
  </r>
  <r>
    <x v="0"/>
    <x v="0"/>
    <x v="1"/>
    <x v="1"/>
    <n v="2027"/>
    <x v="14"/>
    <n v="898834.46002017846"/>
  </r>
  <r>
    <x v="0"/>
    <x v="0"/>
    <x v="1"/>
    <x v="1"/>
    <n v="2028"/>
    <x v="15"/>
    <n v="977911.70403684711"/>
  </r>
  <r>
    <x v="0"/>
    <x v="0"/>
    <x v="1"/>
    <x v="1"/>
    <n v="2029"/>
    <x v="16"/>
    <n v="1056396.1660197913"/>
  </r>
  <r>
    <x v="0"/>
    <x v="0"/>
    <x v="1"/>
    <x v="1"/>
    <n v="2030"/>
    <x v="17"/>
    <n v="1131859.2583362618"/>
  </r>
  <r>
    <x v="0"/>
    <x v="0"/>
    <x v="1"/>
    <x v="1"/>
    <n v="2031"/>
    <x v="18"/>
    <n v="1205584.6893913795"/>
  </r>
  <r>
    <x v="0"/>
    <x v="0"/>
    <x v="1"/>
    <x v="1"/>
    <n v="2032"/>
    <x v="19"/>
    <n v="1276471.9939571347"/>
  </r>
  <r>
    <x v="0"/>
    <x v="0"/>
    <x v="1"/>
    <x v="1"/>
    <n v="2033"/>
    <x v="20"/>
    <n v="1346281.9676827278"/>
  </r>
  <r>
    <x v="0"/>
    <x v="0"/>
    <x v="1"/>
    <x v="1"/>
    <n v="2034"/>
    <x v="21"/>
    <n v="1413404.4968678518"/>
  </r>
  <r>
    <x v="0"/>
    <x v="0"/>
    <x v="1"/>
    <x v="1"/>
    <n v="2035"/>
    <x v="22"/>
    <n v="1481477.9758362407"/>
  </r>
  <r>
    <x v="0"/>
    <x v="0"/>
    <x v="1"/>
    <x v="1"/>
    <n v="2036"/>
    <x v="23"/>
    <n v="1546925.0986512711"/>
  </r>
  <r>
    <x v="0"/>
    <x v="0"/>
    <x v="1"/>
    <x v="1"/>
    <n v="2037"/>
    <x v="24"/>
    <n v="1611169.5406026901"/>
  </r>
  <r>
    <x v="0"/>
    <x v="0"/>
    <x v="1"/>
    <x v="1"/>
    <n v="2038"/>
    <x v="25"/>
    <n v="1673178.0023228151"/>
  </r>
  <r>
    <x v="0"/>
    <x v="0"/>
    <x v="1"/>
    <x v="1"/>
    <n v="2039"/>
    <x v="26"/>
    <n v="1733027.3966801767"/>
  </r>
  <r>
    <x v="0"/>
    <x v="0"/>
    <x v="1"/>
    <x v="1"/>
    <n v="2040"/>
    <x v="27"/>
    <n v="1790906.300976193"/>
  </r>
  <r>
    <x v="0"/>
    <x v="0"/>
    <x v="1"/>
    <x v="1"/>
    <n v="2041"/>
    <x v="28"/>
    <n v="1846877.6699237232"/>
  </r>
  <r>
    <x v="0"/>
    <x v="0"/>
    <x v="1"/>
    <x v="1"/>
    <n v="2042"/>
    <x v="29"/>
    <n v="1901296.5448733282"/>
  </r>
  <r>
    <x v="0"/>
    <x v="0"/>
    <x v="2"/>
    <x v="2"/>
    <n v="2013"/>
    <x v="0"/>
    <n v="-43015.05"/>
  </r>
  <r>
    <x v="0"/>
    <x v="0"/>
    <x v="2"/>
    <x v="2"/>
    <n v="2014"/>
    <x v="1"/>
    <n v="-86352.285865219877"/>
  </r>
  <r>
    <x v="0"/>
    <x v="0"/>
    <x v="2"/>
    <x v="2"/>
    <n v="2015"/>
    <x v="2"/>
    <n v="-138541.19578403595"/>
  </r>
  <r>
    <x v="0"/>
    <x v="0"/>
    <x v="2"/>
    <x v="2"/>
    <n v="2016"/>
    <x v="3"/>
    <n v="-190867.38028908212"/>
  </r>
  <r>
    <x v="0"/>
    <x v="0"/>
    <x v="2"/>
    <x v="2"/>
    <n v="2017"/>
    <x v="4"/>
    <n v="-157278.5148229824"/>
  </r>
  <r>
    <x v="0"/>
    <x v="0"/>
    <x v="2"/>
    <x v="2"/>
    <n v="2018"/>
    <x v="5"/>
    <n v="-123668.32270644748"/>
  </r>
  <r>
    <x v="0"/>
    <x v="0"/>
    <x v="2"/>
    <x v="2"/>
    <n v="2019"/>
    <x v="6"/>
    <n v="-90028.481028923678"/>
  </r>
  <r>
    <x v="0"/>
    <x v="0"/>
    <x v="2"/>
    <x v="2"/>
    <n v="2020"/>
    <x v="7"/>
    <n v="-20714.962179838069"/>
  </r>
  <r>
    <x v="0"/>
    <x v="0"/>
    <x v="2"/>
    <x v="2"/>
    <n v="2021"/>
    <x v="8"/>
    <n v="47913.37742459173"/>
  </r>
  <r>
    <x v="0"/>
    <x v="0"/>
    <x v="2"/>
    <x v="2"/>
    <n v="2022"/>
    <x v="9"/>
    <n v="115837.38722496877"/>
  </r>
  <r>
    <x v="0"/>
    <x v="0"/>
    <x v="2"/>
    <x v="2"/>
    <n v="2023"/>
    <x v="10"/>
    <n v="183039.8653020332"/>
  </r>
  <r>
    <x v="0"/>
    <x v="0"/>
    <x v="2"/>
    <x v="2"/>
    <n v="2024"/>
    <x v="11"/>
    <n v="249505.44429244066"/>
  </r>
  <r>
    <x v="0"/>
    <x v="0"/>
    <x v="2"/>
    <x v="2"/>
    <n v="2025"/>
    <x v="12"/>
    <n v="315220.48319904122"/>
  </r>
  <r>
    <x v="0"/>
    <x v="0"/>
    <x v="2"/>
    <x v="2"/>
    <n v="2026"/>
    <x v="13"/>
    <n v="380172.96480382944"/>
  </r>
  <r>
    <x v="0"/>
    <x v="0"/>
    <x v="2"/>
    <x v="2"/>
    <n v="2027"/>
    <x v="14"/>
    <n v="444352.39840595011"/>
  </r>
  <r>
    <x v="0"/>
    <x v="0"/>
    <x v="2"/>
    <x v="2"/>
    <n v="2028"/>
    <x v="15"/>
    <n v="507749.72762066982"/>
  </r>
  <r>
    <x v="0"/>
    <x v="0"/>
    <x v="2"/>
    <x v="2"/>
    <n v="2029"/>
    <x v="16"/>
    <n v="570357.24298809574"/>
  </r>
  <r>
    <x v="0"/>
    <x v="0"/>
    <x v="2"/>
    <x v="2"/>
    <n v="2030"/>
    <x v="17"/>
    <n v="646718.21994679701"/>
  </r>
  <r>
    <x v="0"/>
    <x v="0"/>
    <x v="2"/>
    <x v="2"/>
    <n v="2031"/>
    <x v="18"/>
    <n v="721576.92043376062"/>
  </r>
  <r>
    <x v="0"/>
    <x v="0"/>
    <x v="2"/>
    <x v="2"/>
    <n v="2032"/>
    <x v="19"/>
    <n v="794962.94655176369"/>
  </r>
  <r>
    <x v="0"/>
    <x v="0"/>
    <x v="2"/>
    <x v="2"/>
    <n v="2033"/>
    <x v="20"/>
    <n v="866857.5136827518"/>
  </r>
  <r>
    <x v="0"/>
    <x v="0"/>
    <x v="2"/>
    <x v="2"/>
    <n v="2034"/>
    <x v="21"/>
    <n v="937289.96160704037"/>
  </r>
  <r>
    <x v="0"/>
    <x v="0"/>
    <x v="2"/>
    <x v="2"/>
    <n v="2035"/>
    <x v="22"/>
    <n v="1006290.4861775748"/>
  </r>
  <r>
    <x v="0"/>
    <x v="0"/>
    <x v="2"/>
    <x v="2"/>
    <n v="2036"/>
    <x v="23"/>
    <n v="1073888.6467004258"/>
  </r>
  <r>
    <x v="0"/>
    <x v="0"/>
    <x v="2"/>
    <x v="2"/>
    <n v="2037"/>
    <x v="24"/>
    <n v="1140113.3797113812"/>
  </r>
  <r>
    <x v="0"/>
    <x v="0"/>
    <x v="2"/>
    <x v="2"/>
    <n v="2038"/>
    <x v="25"/>
    <n v="1204993.0124446838"/>
  </r>
  <r>
    <x v="0"/>
    <x v="0"/>
    <x v="2"/>
    <x v="2"/>
    <n v="2039"/>
    <x v="26"/>
    <n v="1268555.2760010466"/>
  </r>
  <r>
    <x v="0"/>
    <x v="0"/>
    <x v="2"/>
    <x v="2"/>
    <n v="2040"/>
    <x v="27"/>
    <n v="1330827.3182219123"/>
  </r>
  <r>
    <x v="0"/>
    <x v="0"/>
    <x v="2"/>
    <x v="2"/>
    <n v="2041"/>
    <x v="28"/>
    <n v="1391835.716276749"/>
  </r>
  <r>
    <x v="0"/>
    <x v="0"/>
    <x v="2"/>
    <x v="2"/>
    <n v="2042"/>
    <x v="29"/>
    <n v="1451606.4889700194"/>
  </r>
  <r>
    <x v="0"/>
    <x v="0"/>
    <x v="3"/>
    <x v="3"/>
    <n v="2013"/>
    <x v="0"/>
    <n v="-43015.05"/>
  </r>
  <r>
    <x v="0"/>
    <x v="0"/>
    <x v="3"/>
    <x v="3"/>
    <n v="2014"/>
    <x v="1"/>
    <n v="-86352.285865219877"/>
  </r>
  <r>
    <x v="0"/>
    <x v="0"/>
    <x v="3"/>
    <x v="3"/>
    <n v="2015"/>
    <x v="2"/>
    <n v="-138541.19578403595"/>
  </r>
  <r>
    <x v="0"/>
    <x v="0"/>
    <x v="3"/>
    <x v="3"/>
    <n v="2016"/>
    <x v="3"/>
    <n v="-190867.38028908212"/>
  </r>
  <r>
    <x v="0"/>
    <x v="0"/>
    <x v="3"/>
    <x v="3"/>
    <n v="2017"/>
    <x v="4"/>
    <n v="-157278.5148229824"/>
  </r>
  <r>
    <x v="0"/>
    <x v="0"/>
    <x v="3"/>
    <x v="3"/>
    <n v="2018"/>
    <x v="5"/>
    <n v="-123668.32270644748"/>
  </r>
  <r>
    <x v="0"/>
    <x v="0"/>
    <x v="3"/>
    <x v="3"/>
    <n v="2019"/>
    <x v="6"/>
    <n v="-90028.481028923678"/>
  </r>
  <r>
    <x v="0"/>
    <x v="0"/>
    <x v="3"/>
    <x v="3"/>
    <n v="2020"/>
    <x v="7"/>
    <n v="-10739.587028083057"/>
  </r>
  <r>
    <x v="0"/>
    <x v="0"/>
    <x v="3"/>
    <x v="3"/>
    <n v="2021"/>
    <x v="8"/>
    <n v="67383.684188525513"/>
  </r>
  <r>
    <x v="0"/>
    <x v="0"/>
    <x v="3"/>
    <x v="3"/>
    <n v="2022"/>
    <x v="9"/>
    <n v="144345.32164184254"/>
  </r>
  <r>
    <x v="0"/>
    <x v="0"/>
    <x v="3"/>
    <x v="3"/>
    <n v="2023"/>
    <x v="10"/>
    <n v="220150.14852239069"/>
  </r>
  <r>
    <x v="0"/>
    <x v="0"/>
    <x v="3"/>
    <x v="3"/>
    <n v="2024"/>
    <x v="11"/>
    <n v="294803.76178224775"/>
  </r>
  <r>
    <x v="0"/>
    <x v="0"/>
    <x v="3"/>
    <x v="3"/>
    <n v="2025"/>
    <x v="12"/>
    <n v="368312.47503631603"/>
  </r>
  <r>
    <x v="0"/>
    <x v="0"/>
    <x v="3"/>
    <x v="3"/>
    <n v="2026"/>
    <x v="13"/>
    <n v="440683.26460557"/>
  </r>
  <r>
    <x v="0"/>
    <x v="0"/>
    <x v="3"/>
    <x v="3"/>
    <n v="2027"/>
    <x v="14"/>
    <n v="511923.71854318061"/>
  </r>
  <r>
    <x v="0"/>
    <x v="0"/>
    <x v="3"/>
    <x v="3"/>
    <n v="2028"/>
    <x v="15"/>
    <n v="582041.98849223298"/>
  </r>
  <r>
    <x v="0"/>
    <x v="0"/>
    <x v="3"/>
    <x v="3"/>
    <n v="2029"/>
    <x v="16"/>
    <n v="651046.74423119205"/>
  </r>
  <r>
    <x v="0"/>
    <x v="0"/>
    <x v="3"/>
    <x v="3"/>
    <n v="2030"/>
    <x v="17"/>
    <n v="718947.13077034766"/>
  </r>
  <r>
    <x v="0"/>
    <x v="0"/>
    <x v="3"/>
    <x v="3"/>
    <n v="2031"/>
    <x v="18"/>
    <n v="785752.72786920378"/>
  </r>
  <r>
    <x v="0"/>
    <x v="0"/>
    <x v="3"/>
    <x v="3"/>
    <n v="2032"/>
    <x v="19"/>
    <n v="851473.51185118221"/>
  </r>
  <r>
    <x v="0"/>
    <x v="0"/>
    <x v="3"/>
    <x v="3"/>
    <n v="2033"/>
    <x v="20"/>
    <n v="916072.01755439118"/>
  </r>
  <r>
    <x v="0"/>
    <x v="0"/>
    <x v="3"/>
    <x v="3"/>
    <n v="2034"/>
    <x v="21"/>
    <n v="979559.80392549199"/>
  </r>
  <r>
    <x v="0"/>
    <x v="0"/>
    <x v="3"/>
    <x v="3"/>
    <n v="2035"/>
    <x v="22"/>
    <n v="1041950.1423612579"/>
  </r>
  <r>
    <x v="0"/>
    <x v="0"/>
    <x v="3"/>
    <x v="3"/>
    <n v="2036"/>
    <x v="23"/>
    <n v="1103256.4828434"/>
  </r>
  <r>
    <x v="0"/>
    <x v="0"/>
    <x v="3"/>
    <x v="3"/>
    <n v="2037"/>
    <x v="24"/>
    <n v="1163492.4284560033"/>
  </r>
  <r>
    <x v="0"/>
    <x v="0"/>
    <x v="3"/>
    <x v="3"/>
    <n v="2038"/>
    <x v="25"/>
    <n v="1222671.711485944"/>
  </r>
  <r>
    <x v="0"/>
    <x v="0"/>
    <x v="3"/>
    <x v="3"/>
    <n v="2039"/>
    <x v="26"/>
    <n v="1280808.1710223546"/>
  </r>
  <r>
    <x v="0"/>
    <x v="0"/>
    <x v="3"/>
    <x v="3"/>
    <n v="2040"/>
    <x v="27"/>
    <n v="1337915.7319754187"/>
  </r>
  <r>
    <x v="0"/>
    <x v="0"/>
    <x v="3"/>
    <x v="3"/>
    <n v="2041"/>
    <x v="28"/>
    <n v="1394008.3854387826"/>
  </r>
  <r>
    <x v="0"/>
    <x v="0"/>
    <x v="3"/>
    <x v="3"/>
    <n v="2042"/>
    <x v="29"/>
    <n v="1449100.1703236834"/>
  </r>
  <r>
    <x v="0"/>
    <x v="0"/>
    <x v="4"/>
    <x v="4"/>
    <n v="2013"/>
    <x v="0"/>
    <n v="-43015.05"/>
  </r>
  <r>
    <x v="0"/>
    <x v="0"/>
    <x v="4"/>
    <x v="4"/>
    <n v="2014"/>
    <x v="1"/>
    <n v="-86352.285865219877"/>
  </r>
  <r>
    <x v="0"/>
    <x v="0"/>
    <x v="4"/>
    <x v="4"/>
    <n v="2015"/>
    <x v="2"/>
    <n v="-138541.19578403595"/>
  </r>
  <r>
    <x v="0"/>
    <x v="0"/>
    <x v="4"/>
    <x v="4"/>
    <n v="2016"/>
    <x v="3"/>
    <n v="-190867.38028908212"/>
  </r>
  <r>
    <x v="0"/>
    <x v="0"/>
    <x v="4"/>
    <x v="4"/>
    <n v="2017"/>
    <x v="4"/>
    <n v="-157278.5148229824"/>
  </r>
  <r>
    <x v="0"/>
    <x v="0"/>
    <x v="4"/>
    <x v="4"/>
    <n v="2018"/>
    <x v="5"/>
    <n v="-123668.32270644748"/>
  </r>
  <r>
    <x v="0"/>
    <x v="0"/>
    <x v="4"/>
    <x v="4"/>
    <n v="2019"/>
    <x v="6"/>
    <n v="-90028.481028923678"/>
  </r>
  <r>
    <x v="0"/>
    <x v="0"/>
    <x v="4"/>
    <x v="4"/>
    <n v="2020"/>
    <x v="7"/>
    <n v="-16298.897411278042"/>
  </r>
  <r>
    <x v="0"/>
    <x v="0"/>
    <x v="4"/>
    <x v="4"/>
    <n v="2021"/>
    <x v="8"/>
    <n v="55958.277229075626"/>
  </r>
  <r>
    <x v="0"/>
    <x v="0"/>
    <x v="4"/>
    <x v="4"/>
    <n v="2022"/>
    <x v="9"/>
    <n v="126772.69222534382"/>
  </r>
  <r>
    <x v="0"/>
    <x v="0"/>
    <x v="4"/>
    <x v="4"/>
    <n v="2023"/>
    <x v="10"/>
    <n v="196173.39287449303"/>
  </r>
  <r>
    <x v="0"/>
    <x v="0"/>
    <x v="4"/>
    <x v="4"/>
    <n v="2024"/>
    <x v="11"/>
    <n v="264188.8329415858"/>
  </r>
  <r>
    <x v="0"/>
    <x v="0"/>
    <x v="4"/>
    <x v="4"/>
    <n v="2025"/>
    <x v="12"/>
    <n v="330846.88689969643"/>
  </r>
  <r>
    <x v="0"/>
    <x v="0"/>
    <x v="4"/>
    <x v="4"/>
    <n v="2026"/>
    <x v="13"/>
    <n v="396174.8619111508"/>
  </r>
  <r>
    <x v="0"/>
    <x v="0"/>
    <x v="4"/>
    <x v="4"/>
    <n v="2027"/>
    <x v="14"/>
    <n v="460354.29551327147"/>
  </r>
  <r>
    <x v="0"/>
    <x v="0"/>
    <x v="4"/>
    <x v="4"/>
    <n v="2028"/>
    <x v="15"/>
    <n v="523751.62472799118"/>
  </r>
  <r>
    <x v="0"/>
    <x v="0"/>
    <x v="4"/>
    <x v="4"/>
    <n v="2029"/>
    <x v="16"/>
    <n v="586359.14009541715"/>
  </r>
  <r>
    <x v="0"/>
    <x v="0"/>
    <x v="4"/>
    <x v="4"/>
    <n v="2030"/>
    <x v="17"/>
    <n v="648170.39625999331"/>
  </r>
  <r>
    <x v="0"/>
    <x v="0"/>
    <x v="4"/>
    <x v="4"/>
    <n v="2031"/>
    <x v="18"/>
    <n v="720052.05216609407"/>
  </r>
  <r>
    <x v="0"/>
    <x v="0"/>
    <x v="4"/>
    <x v="4"/>
    <n v="2032"/>
    <x v="19"/>
    <n v="793438.07828409714"/>
  </r>
  <r>
    <x v="0"/>
    <x v="0"/>
    <x v="4"/>
    <x v="4"/>
    <n v="2033"/>
    <x v="20"/>
    <n v="865332.64541508525"/>
  </r>
  <r>
    <x v="0"/>
    <x v="0"/>
    <x v="4"/>
    <x v="4"/>
    <n v="2034"/>
    <x v="21"/>
    <n v="935765.09333937382"/>
  </r>
  <r>
    <x v="0"/>
    <x v="0"/>
    <x v="4"/>
    <x v="4"/>
    <n v="2035"/>
    <x v="22"/>
    <n v="1004765.6179099083"/>
  </r>
  <r>
    <x v="0"/>
    <x v="0"/>
    <x v="4"/>
    <x v="4"/>
    <n v="2036"/>
    <x v="23"/>
    <n v="1072363.7784327592"/>
  </r>
  <r>
    <x v="0"/>
    <x v="0"/>
    <x v="4"/>
    <x v="4"/>
    <n v="2037"/>
    <x v="24"/>
    <n v="1138588.5114437146"/>
  </r>
  <r>
    <x v="0"/>
    <x v="0"/>
    <x v="4"/>
    <x v="4"/>
    <n v="2038"/>
    <x v="25"/>
    <n v="1203468.1441770173"/>
  </r>
  <r>
    <x v="0"/>
    <x v="0"/>
    <x v="4"/>
    <x v="4"/>
    <n v="2039"/>
    <x v="26"/>
    <n v="1267030.4077333801"/>
  </r>
  <r>
    <x v="0"/>
    <x v="0"/>
    <x v="4"/>
    <x v="4"/>
    <n v="2040"/>
    <x v="27"/>
    <n v="1329302.4499542457"/>
  </r>
  <r>
    <x v="0"/>
    <x v="0"/>
    <x v="4"/>
    <x v="4"/>
    <n v="2041"/>
    <x v="28"/>
    <n v="1390310.8480090825"/>
  </r>
  <r>
    <x v="0"/>
    <x v="0"/>
    <x v="4"/>
    <x v="4"/>
    <n v="2042"/>
    <x v="29"/>
    <n v="1450081.6207023528"/>
  </r>
  <r>
    <x v="0"/>
    <x v="0"/>
    <x v="5"/>
    <x v="5"/>
    <n v="2013"/>
    <x v="0"/>
    <n v="-43015.05"/>
  </r>
  <r>
    <x v="0"/>
    <x v="0"/>
    <x v="5"/>
    <x v="5"/>
    <n v="2014"/>
    <x v="1"/>
    <n v="-86352.285865219877"/>
  </r>
  <r>
    <x v="0"/>
    <x v="0"/>
    <x v="5"/>
    <x v="5"/>
    <n v="2015"/>
    <x v="2"/>
    <n v="-138541.19578403595"/>
  </r>
  <r>
    <x v="0"/>
    <x v="0"/>
    <x v="5"/>
    <x v="5"/>
    <n v="2016"/>
    <x v="3"/>
    <n v="-190867.38028908212"/>
  </r>
  <r>
    <x v="0"/>
    <x v="0"/>
    <x v="5"/>
    <x v="5"/>
    <n v="2017"/>
    <x v="4"/>
    <n v="-157278.5148229824"/>
  </r>
  <r>
    <x v="0"/>
    <x v="0"/>
    <x v="5"/>
    <x v="5"/>
    <n v="2018"/>
    <x v="5"/>
    <n v="-123668.32270644748"/>
  </r>
  <r>
    <x v="0"/>
    <x v="0"/>
    <x v="5"/>
    <x v="5"/>
    <n v="2019"/>
    <x v="6"/>
    <n v="-90028.481028923678"/>
  </r>
  <r>
    <x v="0"/>
    <x v="0"/>
    <x v="5"/>
    <x v="5"/>
    <n v="2020"/>
    <x v="7"/>
    <n v="-9825.6726165957662"/>
  </r>
  <r>
    <x v="0"/>
    <x v="0"/>
    <x v="5"/>
    <x v="5"/>
    <n v="2021"/>
    <x v="8"/>
    <n v="68784.470189207874"/>
  </r>
  <r>
    <x v="0"/>
    <x v="0"/>
    <x v="5"/>
    <x v="5"/>
    <n v="2022"/>
    <x v="9"/>
    <n v="145833.76044198681"/>
  </r>
  <r>
    <x v="0"/>
    <x v="0"/>
    <x v="5"/>
    <x v="5"/>
    <n v="2023"/>
    <x v="10"/>
    <n v="221353.37039096188"/>
  </r>
  <r>
    <x v="0"/>
    <x v="0"/>
    <x v="5"/>
    <x v="5"/>
    <n v="2024"/>
    <x v="11"/>
    <n v="295373.84454156144"/>
  </r>
  <r>
    <x v="0"/>
    <x v="0"/>
    <x v="5"/>
    <x v="5"/>
    <n v="2025"/>
    <x v="12"/>
    <n v="367925.11244538217"/>
  </r>
  <r>
    <x v="0"/>
    <x v="0"/>
    <x v="5"/>
    <x v="5"/>
    <n v="2026"/>
    <x v="13"/>
    <n v="439036.50122534885"/>
  </r>
  <r>
    <x v="0"/>
    <x v="0"/>
    <x v="5"/>
    <x v="5"/>
    <n v="2027"/>
    <x v="14"/>
    <n v="508736.74784167367"/>
  </r>
  <r>
    <x v="0"/>
    <x v="0"/>
    <x v="5"/>
    <x v="5"/>
    <n v="2028"/>
    <x v="15"/>
    <n v="577054.01110409445"/>
  </r>
  <r>
    <x v="0"/>
    <x v="0"/>
    <x v="5"/>
    <x v="5"/>
    <n v="2029"/>
    <x v="16"/>
    <n v="644015.88343575038"/>
  </r>
  <r>
    <x v="0"/>
    <x v="0"/>
    <x v="5"/>
    <x v="5"/>
    <n v="2030"/>
    <x v="17"/>
    <n v="709649.4023939399"/>
  </r>
  <r>
    <x v="0"/>
    <x v="0"/>
    <x v="5"/>
    <x v="5"/>
    <n v="2031"/>
    <x v="18"/>
    <n v="773981.06195288966"/>
  </r>
  <r>
    <x v="0"/>
    <x v="0"/>
    <x v="5"/>
    <x v="5"/>
    <n v="2032"/>
    <x v="19"/>
    <n v="837036.82355355355"/>
  </r>
  <r>
    <x v="0"/>
    <x v="0"/>
    <x v="5"/>
    <x v="5"/>
    <n v="2033"/>
    <x v="20"/>
    <n v="898794.32488163724"/>
  </r>
  <r>
    <x v="0"/>
    <x v="0"/>
    <x v="5"/>
    <x v="5"/>
    <n v="2034"/>
    <x v="21"/>
    <n v="959279.38999742118"/>
  </r>
  <r>
    <x v="0"/>
    <x v="0"/>
    <x v="5"/>
    <x v="5"/>
    <n v="2035"/>
    <x v="22"/>
    <n v="1018518.7600328994"/>
  </r>
  <r>
    <x v="0"/>
    <x v="0"/>
    <x v="5"/>
    <x v="5"/>
    <n v="2036"/>
    <x v="23"/>
    <n v="1076538.5996073773"/>
  </r>
  <r>
    <x v="0"/>
    <x v="0"/>
    <x v="5"/>
    <x v="5"/>
    <n v="2037"/>
    <x v="24"/>
    <n v="1133364.5096513533"/>
  </r>
  <r>
    <x v="0"/>
    <x v="0"/>
    <x v="5"/>
    <x v="5"/>
    <n v="2038"/>
    <x v="25"/>
    <n v="1196690.1967217699"/>
  </r>
  <r>
    <x v="0"/>
    <x v="0"/>
    <x v="5"/>
    <x v="5"/>
    <n v="2039"/>
    <x v="26"/>
    <n v="1260252.4602781327"/>
  </r>
  <r>
    <x v="0"/>
    <x v="0"/>
    <x v="5"/>
    <x v="5"/>
    <n v="2040"/>
    <x v="27"/>
    <n v="1322524.5024989983"/>
  </r>
  <r>
    <x v="0"/>
    <x v="0"/>
    <x v="5"/>
    <x v="5"/>
    <n v="2041"/>
    <x v="28"/>
    <n v="1383532.9005538351"/>
  </r>
  <r>
    <x v="0"/>
    <x v="0"/>
    <x v="5"/>
    <x v="5"/>
    <n v="2042"/>
    <x v="29"/>
    <n v="1443303.6732471054"/>
  </r>
  <r>
    <x v="0"/>
    <x v="0"/>
    <x v="6"/>
    <x v="6"/>
    <n v="2013"/>
    <x v="0"/>
    <n v="-43015.05"/>
  </r>
  <r>
    <x v="0"/>
    <x v="0"/>
    <x v="6"/>
    <x v="6"/>
    <n v="2014"/>
    <x v="1"/>
    <n v="-86352.285865219877"/>
  </r>
  <r>
    <x v="0"/>
    <x v="0"/>
    <x v="6"/>
    <x v="6"/>
    <n v="2015"/>
    <x v="2"/>
    <n v="-138541.19578403595"/>
  </r>
  <r>
    <x v="0"/>
    <x v="0"/>
    <x v="6"/>
    <x v="6"/>
    <n v="2016"/>
    <x v="3"/>
    <n v="-190867.38028908212"/>
  </r>
  <r>
    <x v="0"/>
    <x v="0"/>
    <x v="6"/>
    <x v="6"/>
    <n v="2017"/>
    <x v="4"/>
    <n v="-169241.36987416679"/>
  </r>
  <r>
    <x v="0"/>
    <x v="0"/>
    <x v="6"/>
    <x v="6"/>
    <n v="2018"/>
    <x v="5"/>
    <n v="-158404.5549729077"/>
  </r>
  <r>
    <x v="0"/>
    <x v="0"/>
    <x v="6"/>
    <x v="6"/>
    <n v="2019"/>
    <x v="6"/>
    <n v="-146441.25737997922"/>
  </r>
  <r>
    <x v="0"/>
    <x v="0"/>
    <x v="6"/>
    <x v="6"/>
    <n v="2020"/>
    <x v="7"/>
    <n v="-73924.537056371017"/>
  </r>
  <r>
    <x v="0"/>
    <x v="0"/>
    <x v="6"/>
    <x v="6"/>
    <n v="2021"/>
    <x v="8"/>
    <n v="-2247.2716242974129"/>
  </r>
  <r>
    <x v="0"/>
    <x v="0"/>
    <x v="6"/>
    <x v="6"/>
    <n v="2022"/>
    <x v="9"/>
    <n v="68578.818727806065"/>
  </r>
  <r>
    <x v="0"/>
    <x v="0"/>
    <x v="6"/>
    <x v="6"/>
    <n v="2023"/>
    <x v="10"/>
    <n v="138543.60458302245"/>
  </r>
  <r>
    <x v="0"/>
    <x v="0"/>
    <x v="6"/>
    <x v="6"/>
    <n v="2024"/>
    <x v="11"/>
    <n v="207638.45044774169"/>
  </r>
  <r>
    <x v="0"/>
    <x v="0"/>
    <x v="6"/>
    <x v="6"/>
    <n v="2025"/>
    <x v="12"/>
    <n v="275856.12296781247"/>
  </r>
  <r>
    <x v="0"/>
    <x v="0"/>
    <x v="6"/>
    <x v="6"/>
    <n v="2026"/>
    <x v="13"/>
    <n v="343190.70395720971"/>
  </r>
  <r>
    <x v="0"/>
    <x v="0"/>
    <x v="6"/>
    <x v="6"/>
    <n v="2027"/>
    <x v="14"/>
    <n v="416939.8282583651"/>
  </r>
  <r>
    <x v="0"/>
    <x v="0"/>
    <x v="6"/>
    <x v="6"/>
    <n v="2028"/>
    <x v="15"/>
    <n v="496396.56253470801"/>
  </r>
  <r>
    <x v="0"/>
    <x v="0"/>
    <x v="6"/>
    <x v="6"/>
    <n v="2029"/>
    <x v="16"/>
    <n v="574290.01456844201"/>
  </r>
  <r>
    <x v="0"/>
    <x v="0"/>
    <x v="6"/>
    <x v="6"/>
    <n v="2030"/>
    <x v="17"/>
    <n v="650650.99152714352"/>
  </r>
  <r>
    <x v="0"/>
    <x v="0"/>
    <x v="6"/>
    <x v="6"/>
    <n v="2031"/>
    <x v="18"/>
    <n v="725509.69201410725"/>
  </r>
  <r>
    <x v="0"/>
    <x v="0"/>
    <x v="6"/>
    <x v="6"/>
    <n v="2032"/>
    <x v="19"/>
    <n v="798895.71813211031"/>
  </r>
  <r>
    <x v="0"/>
    <x v="0"/>
    <x v="6"/>
    <x v="6"/>
    <n v="2033"/>
    <x v="20"/>
    <n v="870790.28526309843"/>
  </r>
  <r>
    <x v="0"/>
    <x v="0"/>
    <x v="6"/>
    <x v="6"/>
    <n v="2034"/>
    <x v="21"/>
    <n v="941222.733187387"/>
  </r>
  <r>
    <x v="0"/>
    <x v="0"/>
    <x v="6"/>
    <x v="6"/>
    <n v="2035"/>
    <x v="22"/>
    <n v="1010223.2577579215"/>
  </r>
  <r>
    <x v="0"/>
    <x v="0"/>
    <x v="6"/>
    <x v="6"/>
    <n v="2036"/>
    <x v="23"/>
    <n v="1077821.4182807724"/>
  </r>
  <r>
    <x v="0"/>
    <x v="0"/>
    <x v="6"/>
    <x v="6"/>
    <n v="2037"/>
    <x v="24"/>
    <n v="1144046.1512917278"/>
  </r>
  <r>
    <x v="0"/>
    <x v="0"/>
    <x v="6"/>
    <x v="6"/>
    <n v="2038"/>
    <x v="25"/>
    <n v="1208925.7840250304"/>
  </r>
  <r>
    <x v="0"/>
    <x v="0"/>
    <x v="6"/>
    <x v="6"/>
    <n v="2039"/>
    <x v="26"/>
    <n v="1272488.0475813933"/>
  </r>
  <r>
    <x v="0"/>
    <x v="0"/>
    <x v="6"/>
    <x v="6"/>
    <n v="2040"/>
    <x v="27"/>
    <n v="1334760.0898022589"/>
  </r>
  <r>
    <x v="0"/>
    <x v="0"/>
    <x v="6"/>
    <x v="6"/>
    <n v="2041"/>
    <x v="28"/>
    <n v="1395768.4878570957"/>
  </r>
  <r>
    <x v="0"/>
    <x v="0"/>
    <x v="6"/>
    <x v="6"/>
    <n v="2042"/>
    <x v="29"/>
    <n v="1455539.260550366"/>
  </r>
  <r>
    <x v="0"/>
    <x v="0"/>
    <x v="7"/>
    <x v="7"/>
    <n v="2013"/>
    <x v="0"/>
    <n v="-43015.05"/>
  </r>
  <r>
    <x v="0"/>
    <x v="0"/>
    <x v="7"/>
    <x v="7"/>
    <n v="2014"/>
    <x v="1"/>
    <n v="-86352.285865219877"/>
  </r>
  <r>
    <x v="0"/>
    <x v="0"/>
    <x v="7"/>
    <x v="7"/>
    <n v="2015"/>
    <x v="2"/>
    <n v="-138541.19578403595"/>
  </r>
  <r>
    <x v="0"/>
    <x v="0"/>
    <x v="7"/>
    <x v="7"/>
    <n v="2016"/>
    <x v="3"/>
    <n v="-190867.38028908212"/>
  </r>
  <r>
    <x v="0"/>
    <x v="0"/>
    <x v="7"/>
    <x v="7"/>
    <n v="2017"/>
    <x v="4"/>
    <n v="-161673.72697596412"/>
  </r>
  <r>
    <x v="0"/>
    <x v="0"/>
    <x v="7"/>
    <x v="7"/>
    <n v="2018"/>
    <x v="5"/>
    <n v="-132585.52546268981"/>
  </r>
  <r>
    <x v="0"/>
    <x v="0"/>
    <x v="7"/>
    <x v="7"/>
    <n v="2019"/>
    <x v="6"/>
    <n v="-103593.03997577081"/>
  </r>
  <r>
    <x v="0"/>
    <x v="0"/>
    <x v="7"/>
    <x v="7"/>
    <n v="2020"/>
    <x v="7"/>
    <n v="-29863.456358125171"/>
  </r>
  <r>
    <x v="0"/>
    <x v="0"/>
    <x v="7"/>
    <x v="7"/>
    <n v="2021"/>
    <x v="8"/>
    <n v="42393.718282228496"/>
  </r>
  <r>
    <x v="0"/>
    <x v="0"/>
    <x v="7"/>
    <x v="7"/>
    <n v="2022"/>
    <x v="9"/>
    <n v="113219.80863433197"/>
  </r>
  <r>
    <x v="0"/>
    <x v="0"/>
    <x v="7"/>
    <x v="7"/>
    <n v="2023"/>
    <x v="10"/>
    <n v="183184.59448954836"/>
  </r>
  <r>
    <x v="0"/>
    <x v="0"/>
    <x v="7"/>
    <x v="7"/>
    <n v="2024"/>
    <x v="11"/>
    <n v="252279.4403542676"/>
  </r>
  <r>
    <x v="0"/>
    <x v="0"/>
    <x v="7"/>
    <x v="7"/>
    <n v="2025"/>
    <x v="12"/>
    <n v="320497.11287433835"/>
  </r>
  <r>
    <x v="0"/>
    <x v="0"/>
    <x v="7"/>
    <x v="7"/>
    <n v="2026"/>
    <x v="13"/>
    <n v="387831.69386373553"/>
  </r>
  <r>
    <x v="0"/>
    <x v="0"/>
    <x v="7"/>
    <x v="7"/>
    <n v="2027"/>
    <x v="14"/>
    <n v="454278.49790618458"/>
  </r>
  <r>
    <x v="0"/>
    <x v="0"/>
    <x v="7"/>
    <x v="7"/>
    <n v="2028"/>
    <x v="15"/>
    <n v="519833.99430187547"/>
  </r>
  <r>
    <x v="0"/>
    <x v="0"/>
    <x v="7"/>
    <x v="7"/>
    <n v="2029"/>
    <x v="16"/>
    <n v="584495.7331425274"/>
  </r>
  <r>
    <x v="0"/>
    <x v="0"/>
    <x v="7"/>
    <x v="7"/>
    <n v="2030"/>
    <x v="17"/>
    <n v="648262.27530865127"/>
  </r>
  <r>
    <x v="0"/>
    <x v="0"/>
    <x v="7"/>
    <x v="7"/>
    <n v="2031"/>
    <x v="18"/>
    <n v="721466.21229385224"/>
  </r>
  <r>
    <x v="0"/>
    <x v="0"/>
    <x v="7"/>
    <x v="7"/>
    <n v="2032"/>
    <x v="19"/>
    <n v="794852.2384118553"/>
  </r>
  <r>
    <x v="0"/>
    <x v="0"/>
    <x v="7"/>
    <x v="7"/>
    <n v="2033"/>
    <x v="20"/>
    <n v="866746.80554284342"/>
  </r>
  <r>
    <x v="0"/>
    <x v="0"/>
    <x v="7"/>
    <x v="7"/>
    <n v="2034"/>
    <x v="21"/>
    <n v="937179.2534671321"/>
  </r>
  <r>
    <x v="0"/>
    <x v="0"/>
    <x v="7"/>
    <x v="7"/>
    <n v="2035"/>
    <x v="22"/>
    <n v="1006179.7780376666"/>
  </r>
  <r>
    <x v="0"/>
    <x v="0"/>
    <x v="7"/>
    <x v="7"/>
    <n v="2036"/>
    <x v="23"/>
    <n v="1073777.9385605175"/>
  </r>
  <r>
    <x v="0"/>
    <x v="0"/>
    <x v="7"/>
    <x v="7"/>
    <n v="2037"/>
    <x v="24"/>
    <n v="1140002.6715714729"/>
  </r>
  <r>
    <x v="0"/>
    <x v="0"/>
    <x v="7"/>
    <x v="7"/>
    <n v="2038"/>
    <x v="25"/>
    <n v="1204882.3043047755"/>
  </r>
  <r>
    <x v="0"/>
    <x v="0"/>
    <x v="7"/>
    <x v="7"/>
    <n v="2039"/>
    <x v="26"/>
    <n v="1268444.5678611384"/>
  </r>
  <r>
    <x v="0"/>
    <x v="0"/>
    <x v="7"/>
    <x v="7"/>
    <n v="2040"/>
    <x v="27"/>
    <n v="1330716.610082004"/>
  </r>
  <r>
    <x v="0"/>
    <x v="0"/>
    <x v="7"/>
    <x v="7"/>
    <n v="2041"/>
    <x v="28"/>
    <n v="1391725.0081368408"/>
  </r>
  <r>
    <x v="0"/>
    <x v="0"/>
    <x v="7"/>
    <x v="7"/>
    <n v="2042"/>
    <x v="29"/>
    <n v="1451495.7808301111"/>
  </r>
  <r>
    <x v="0"/>
    <x v="0"/>
    <x v="8"/>
    <x v="8"/>
    <n v="2013"/>
    <x v="0"/>
    <n v="-43015.05"/>
  </r>
  <r>
    <x v="0"/>
    <x v="0"/>
    <x v="8"/>
    <x v="8"/>
    <n v="2014"/>
    <x v="1"/>
    <n v="-86352.285865219877"/>
  </r>
  <r>
    <x v="0"/>
    <x v="0"/>
    <x v="8"/>
    <x v="8"/>
    <n v="2015"/>
    <x v="2"/>
    <n v="-138541.19578403595"/>
  </r>
  <r>
    <x v="0"/>
    <x v="0"/>
    <x v="8"/>
    <x v="8"/>
    <n v="2016"/>
    <x v="3"/>
    <n v="-190867.38028908212"/>
  </r>
  <r>
    <x v="0"/>
    <x v="0"/>
    <x v="8"/>
    <x v="8"/>
    <n v="2017"/>
    <x v="4"/>
    <n v="-160208.65625830356"/>
  </r>
  <r>
    <x v="0"/>
    <x v="0"/>
    <x v="8"/>
    <x v="8"/>
    <n v="2018"/>
    <x v="5"/>
    <n v="-129613.12454394237"/>
  </r>
  <r>
    <x v="0"/>
    <x v="0"/>
    <x v="8"/>
    <x v="8"/>
    <n v="2019"/>
    <x v="6"/>
    <n v="-99071.520326821774"/>
  </r>
  <r>
    <x v="0"/>
    <x v="0"/>
    <x v="8"/>
    <x v="8"/>
    <n v="2020"/>
    <x v="7"/>
    <n v="-18868.711914493862"/>
  </r>
  <r>
    <x v="0"/>
    <x v="0"/>
    <x v="8"/>
    <x v="8"/>
    <n v="2021"/>
    <x v="8"/>
    <n v="59741.430891309778"/>
  </r>
  <r>
    <x v="0"/>
    <x v="0"/>
    <x v="8"/>
    <x v="8"/>
    <n v="2022"/>
    <x v="9"/>
    <n v="136790.72114408872"/>
  </r>
  <r>
    <x v="0"/>
    <x v="0"/>
    <x v="8"/>
    <x v="8"/>
    <n v="2023"/>
    <x v="10"/>
    <n v="212310.33109306378"/>
  </r>
  <r>
    <x v="0"/>
    <x v="0"/>
    <x v="8"/>
    <x v="8"/>
    <n v="2024"/>
    <x v="11"/>
    <n v="286330.80524366337"/>
  </r>
  <r>
    <x v="0"/>
    <x v="0"/>
    <x v="8"/>
    <x v="8"/>
    <n v="2025"/>
    <x v="12"/>
    <n v="358882.0731474841"/>
  </r>
  <r>
    <x v="0"/>
    <x v="0"/>
    <x v="8"/>
    <x v="8"/>
    <n v="2026"/>
    <x v="13"/>
    <n v="429993.46192745079"/>
  </r>
  <r>
    <x v="0"/>
    <x v="0"/>
    <x v="8"/>
    <x v="8"/>
    <n v="2027"/>
    <x v="14"/>
    <n v="499693.7085437756"/>
  </r>
  <r>
    <x v="0"/>
    <x v="0"/>
    <x v="8"/>
    <x v="8"/>
    <n v="2028"/>
    <x v="15"/>
    <n v="568010.97180619638"/>
  </r>
  <r>
    <x v="0"/>
    <x v="0"/>
    <x v="8"/>
    <x v="8"/>
    <n v="2029"/>
    <x v="16"/>
    <n v="634972.84413785231"/>
  </r>
  <r>
    <x v="0"/>
    <x v="0"/>
    <x v="8"/>
    <x v="8"/>
    <n v="2030"/>
    <x v="17"/>
    <n v="700606.36309604184"/>
  </r>
  <r>
    <x v="0"/>
    <x v="0"/>
    <x v="8"/>
    <x v="8"/>
    <n v="2031"/>
    <x v="18"/>
    <n v="764938.0226549916"/>
  </r>
  <r>
    <x v="0"/>
    <x v="0"/>
    <x v="8"/>
    <x v="8"/>
    <n v="2032"/>
    <x v="19"/>
    <n v="827993.78425565548"/>
  </r>
  <r>
    <x v="0"/>
    <x v="0"/>
    <x v="8"/>
    <x v="8"/>
    <n v="2033"/>
    <x v="20"/>
    <n v="889751.28558373917"/>
  </r>
  <r>
    <x v="0"/>
    <x v="0"/>
    <x v="8"/>
    <x v="8"/>
    <n v="2034"/>
    <x v="21"/>
    <n v="950236.35069952311"/>
  </r>
  <r>
    <x v="0"/>
    <x v="0"/>
    <x v="8"/>
    <x v="8"/>
    <n v="2035"/>
    <x v="22"/>
    <n v="1009475.7207350014"/>
  </r>
  <r>
    <x v="0"/>
    <x v="0"/>
    <x v="8"/>
    <x v="8"/>
    <n v="2036"/>
    <x v="23"/>
    <n v="1069657.3703367477"/>
  </r>
  <r>
    <x v="0"/>
    <x v="0"/>
    <x v="8"/>
    <x v="8"/>
    <n v="2037"/>
    <x v="24"/>
    <n v="1135882.1033477031"/>
  </r>
  <r>
    <x v="0"/>
    <x v="0"/>
    <x v="8"/>
    <x v="8"/>
    <n v="2038"/>
    <x v="25"/>
    <n v="1200761.7360810058"/>
  </r>
  <r>
    <x v="0"/>
    <x v="0"/>
    <x v="8"/>
    <x v="8"/>
    <n v="2039"/>
    <x v="26"/>
    <n v="1264323.9996373686"/>
  </r>
  <r>
    <x v="0"/>
    <x v="0"/>
    <x v="8"/>
    <x v="8"/>
    <n v="2040"/>
    <x v="27"/>
    <n v="1326596.0418582342"/>
  </r>
  <r>
    <x v="0"/>
    <x v="0"/>
    <x v="8"/>
    <x v="8"/>
    <n v="2041"/>
    <x v="28"/>
    <n v="1387604.439913071"/>
  </r>
  <r>
    <x v="0"/>
    <x v="0"/>
    <x v="8"/>
    <x v="8"/>
    <n v="2042"/>
    <x v="29"/>
    <n v="1447375.2126063413"/>
  </r>
  <r>
    <x v="0"/>
    <x v="0"/>
    <x v="9"/>
    <x v="9"/>
    <n v="2013"/>
    <x v="0"/>
    <n v="52525.686799999996"/>
  </r>
  <r>
    <x v="0"/>
    <x v="0"/>
    <x v="9"/>
    <x v="9"/>
    <n v="2014"/>
    <x v="1"/>
    <n v="103045.21008954883"/>
  </r>
  <r>
    <x v="0"/>
    <x v="0"/>
    <x v="9"/>
    <x v="9"/>
    <n v="2015"/>
    <x v="2"/>
    <n v="152565.98092317433"/>
  </r>
  <r>
    <x v="0"/>
    <x v="0"/>
    <x v="9"/>
    <x v="9"/>
    <n v="2016"/>
    <x v="3"/>
    <n v="204951.40008844491"/>
  </r>
  <r>
    <x v="0"/>
    <x v="0"/>
    <x v="9"/>
    <x v="9"/>
    <n v="2017"/>
    <x v="4"/>
    <n v="264104.65274828218"/>
  </r>
  <r>
    <x v="0"/>
    <x v="0"/>
    <x v="9"/>
    <x v="9"/>
    <n v="2018"/>
    <x v="5"/>
    <n v="322956.40336350905"/>
  </r>
  <r>
    <x v="0"/>
    <x v="0"/>
    <x v="9"/>
    <x v="9"/>
    <n v="2019"/>
    <x v="6"/>
    <n v="382458.16257085698"/>
  </r>
  <r>
    <x v="0"/>
    <x v="0"/>
    <x v="9"/>
    <x v="9"/>
    <n v="2020"/>
    <x v="7"/>
    <n v="449391.04775539273"/>
  </r>
  <r>
    <x v="0"/>
    <x v="0"/>
    <x v="9"/>
    <x v="9"/>
    <n v="2021"/>
    <x v="8"/>
    <n v="515983.72294949042"/>
  </r>
  <r>
    <x v="0"/>
    <x v="0"/>
    <x v="9"/>
    <x v="9"/>
    <n v="2022"/>
    <x v="9"/>
    <n v="580064.96873661608"/>
  </r>
  <r>
    <x v="0"/>
    <x v="0"/>
    <x v="9"/>
    <x v="9"/>
    <n v="2023"/>
    <x v="10"/>
    <n v="649438.22706837987"/>
  </r>
  <r>
    <x v="0"/>
    <x v="0"/>
    <x v="9"/>
    <x v="9"/>
    <n v="2024"/>
    <x v="11"/>
    <n v="716189.04149486462"/>
  </r>
  <r>
    <x v="0"/>
    <x v="0"/>
    <x v="9"/>
    <x v="9"/>
    <n v="2025"/>
    <x v="12"/>
    <n v="781708.39071443689"/>
  </r>
  <r>
    <x v="0"/>
    <x v="0"/>
    <x v="9"/>
    <x v="9"/>
    <n v="2026"/>
    <x v="13"/>
    <n v="844750.87308346853"/>
  </r>
  <r>
    <x v="0"/>
    <x v="0"/>
    <x v="9"/>
    <x v="9"/>
    <n v="2027"/>
    <x v="14"/>
    <n v="926994.03178796405"/>
  </r>
  <r>
    <x v="0"/>
    <x v="0"/>
    <x v="9"/>
    <x v="9"/>
    <n v="2028"/>
    <x v="15"/>
    <n v="1006071.2758046327"/>
  </r>
  <r>
    <x v="0"/>
    <x v="0"/>
    <x v="9"/>
    <x v="9"/>
    <n v="2029"/>
    <x v="16"/>
    <n v="1084555.7377875769"/>
  </r>
  <r>
    <x v="0"/>
    <x v="0"/>
    <x v="9"/>
    <x v="9"/>
    <n v="2030"/>
    <x v="17"/>
    <n v="1160018.8301040474"/>
  </r>
  <r>
    <x v="0"/>
    <x v="0"/>
    <x v="9"/>
    <x v="9"/>
    <n v="2031"/>
    <x v="18"/>
    <n v="1233744.2611591651"/>
  </r>
  <r>
    <x v="0"/>
    <x v="0"/>
    <x v="9"/>
    <x v="9"/>
    <n v="2032"/>
    <x v="19"/>
    <n v="1304631.5657249202"/>
  </r>
  <r>
    <x v="0"/>
    <x v="0"/>
    <x v="9"/>
    <x v="9"/>
    <n v="2033"/>
    <x v="20"/>
    <n v="1374441.5394505134"/>
  </r>
  <r>
    <x v="0"/>
    <x v="0"/>
    <x v="9"/>
    <x v="9"/>
    <n v="2034"/>
    <x v="21"/>
    <n v="1441564.0686356374"/>
  </r>
  <r>
    <x v="0"/>
    <x v="0"/>
    <x v="9"/>
    <x v="9"/>
    <n v="2035"/>
    <x v="22"/>
    <n v="1509637.5476040263"/>
  </r>
  <r>
    <x v="0"/>
    <x v="0"/>
    <x v="9"/>
    <x v="9"/>
    <n v="2036"/>
    <x v="23"/>
    <n v="1575084.6704190567"/>
  </r>
  <r>
    <x v="0"/>
    <x v="0"/>
    <x v="9"/>
    <x v="9"/>
    <n v="2037"/>
    <x v="24"/>
    <n v="1626407.7741613511"/>
  </r>
  <r>
    <x v="0"/>
    <x v="0"/>
    <x v="9"/>
    <x v="9"/>
    <n v="2038"/>
    <x v="25"/>
    <n v="1675751.5853276481"/>
  </r>
  <r>
    <x v="0"/>
    <x v="0"/>
    <x v="9"/>
    <x v="9"/>
    <n v="2039"/>
    <x v="26"/>
    <n v="1746881.81088833"/>
  </r>
  <r>
    <x v="0"/>
    <x v="0"/>
    <x v="9"/>
    <x v="9"/>
    <n v="2040"/>
    <x v="27"/>
    <n v="1816284.0999020864"/>
  </r>
  <r>
    <x v="0"/>
    <x v="0"/>
    <x v="9"/>
    <x v="9"/>
    <n v="2041"/>
    <x v="28"/>
    <n v="1884004.3356644718"/>
  </r>
  <r>
    <x v="0"/>
    <x v="0"/>
    <x v="9"/>
    <x v="9"/>
    <n v="2042"/>
    <x v="29"/>
    <n v="1950087.0634704037"/>
  </r>
  <r>
    <x v="0"/>
    <x v="0"/>
    <x v="10"/>
    <x v="10"/>
    <n v="2013"/>
    <x v="0"/>
    <n v="41042.997114989732"/>
  </r>
  <r>
    <x v="0"/>
    <x v="0"/>
    <x v="10"/>
    <x v="10"/>
    <n v="2014"/>
    <x v="1"/>
    <n v="65715.375570480697"/>
  </r>
  <r>
    <x v="0"/>
    <x v="0"/>
    <x v="10"/>
    <x v="10"/>
    <n v="2015"/>
    <x v="2"/>
    <n v="89584.222784524245"/>
  </r>
  <r>
    <x v="0"/>
    <x v="0"/>
    <x v="10"/>
    <x v="10"/>
    <n v="2016"/>
    <x v="3"/>
    <n v="113201.76547692725"/>
  </r>
  <r>
    <x v="0"/>
    <x v="0"/>
    <x v="10"/>
    <x v="10"/>
    <n v="2017"/>
    <x v="4"/>
    <n v="172355.01813676453"/>
  </r>
  <r>
    <x v="0"/>
    <x v="0"/>
    <x v="10"/>
    <x v="10"/>
    <n v="2018"/>
    <x v="5"/>
    <n v="231206.76875199139"/>
  </r>
  <r>
    <x v="0"/>
    <x v="0"/>
    <x v="10"/>
    <x v="10"/>
    <n v="2019"/>
    <x v="6"/>
    <n v="290708.52795933932"/>
  </r>
  <r>
    <x v="0"/>
    <x v="0"/>
    <x v="10"/>
    <x v="10"/>
    <n v="2020"/>
    <x v="7"/>
    <n v="357641.41314387508"/>
  </r>
  <r>
    <x v="0"/>
    <x v="0"/>
    <x v="10"/>
    <x v="10"/>
    <n v="2021"/>
    <x v="8"/>
    <n v="424234.08833797276"/>
  </r>
  <r>
    <x v="0"/>
    <x v="0"/>
    <x v="10"/>
    <x v="10"/>
    <n v="2022"/>
    <x v="9"/>
    <n v="488315.33412509848"/>
  </r>
  <r>
    <x v="0"/>
    <x v="0"/>
    <x v="10"/>
    <x v="10"/>
    <n v="2023"/>
    <x v="10"/>
    <n v="557688.59245686233"/>
  </r>
  <r>
    <x v="0"/>
    <x v="0"/>
    <x v="10"/>
    <x v="10"/>
    <n v="2024"/>
    <x v="11"/>
    <n v="646437.49515327194"/>
  </r>
  <r>
    <x v="0"/>
    <x v="0"/>
    <x v="10"/>
    <x v="10"/>
    <n v="2025"/>
    <x v="12"/>
    <n v="733183.9947550724"/>
  </r>
  <r>
    <x v="0"/>
    <x v="0"/>
    <x v="10"/>
    <x v="10"/>
    <n v="2026"/>
    <x v="13"/>
    <n v="816591.30131568294"/>
  </r>
  <r>
    <x v="0"/>
    <x v="0"/>
    <x v="10"/>
    <x v="10"/>
    <n v="2027"/>
    <x v="14"/>
    <n v="898834.46002017846"/>
  </r>
  <r>
    <x v="0"/>
    <x v="0"/>
    <x v="10"/>
    <x v="10"/>
    <n v="2028"/>
    <x v="15"/>
    <n v="977911.70403684711"/>
  </r>
  <r>
    <x v="0"/>
    <x v="0"/>
    <x v="10"/>
    <x v="10"/>
    <n v="2029"/>
    <x v="16"/>
    <n v="1056396.1660197913"/>
  </r>
  <r>
    <x v="0"/>
    <x v="0"/>
    <x v="10"/>
    <x v="10"/>
    <n v="2030"/>
    <x v="17"/>
    <n v="1131859.2583362618"/>
  </r>
  <r>
    <x v="0"/>
    <x v="0"/>
    <x v="10"/>
    <x v="10"/>
    <n v="2031"/>
    <x v="18"/>
    <n v="1205584.6893913795"/>
  </r>
  <r>
    <x v="0"/>
    <x v="0"/>
    <x v="10"/>
    <x v="10"/>
    <n v="2032"/>
    <x v="19"/>
    <n v="1276471.9939571347"/>
  </r>
  <r>
    <x v="0"/>
    <x v="0"/>
    <x v="10"/>
    <x v="10"/>
    <n v="2033"/>
    <x v="20"/>
    <n v="1346281.9676827278"/>
  </r>
  <r>
    <x v="0"/>
    <x v="0"/>
    <x v="10"/>
    <x v="10"/>
    <n v="2034"/>
    <x v="21"/>
    <n v="1413404.4968678518"/>
  </r>
  <r>
    <x v="0"/>
    <x v="0"/>
    <x v="10"/>
    <x v="10"/>
    <n v="2035"/>
    <x v="22"/>
    <n v="1481477.9758362407"/>
  </r>
  <r>
    <x v="0"/>
    <x v="0"/>
    <x v="10"/>
    <x v="10"/>
    <n v="2036"/>
    <x v="23"/>
    <n v="1546925.0986512711"/>
  </r>
  <r>
    <x v="0"/>
    <x v="0"/>
    <x v="10"/>
    <x v="10"/>
    <n v="2037"/>
    <x v="24"/>
    <n v="1596981.3522686469"/>
  </r>
  <r>
    <x v="0"/>
    <x v="0"/>
    <x v="10"/>
    <x v="10"/>
    <n v="2038"/>
    <x v="25"/>
    <n v="1645349.9222912814"/>
  </r>
  <r>
    <x v="0"/>
    <x v="0"/>
    <x v="10"/>
    <x v="10"/>
    <n v="2039"/>
    <x v="26"/>
    <n v="1692086.5328922509"/>
  </r>
  <r>
    <x v="0"/>
    <x v="0"/>
    <x v="10"/>
    <x v="10"/>
    <n v="2040"/>
    <x v="27"/>
    <n v="1761958.5220874744"/>
  </r>
  <r>
    <x v="0"/>
    <x v="0"/>
    <x v="10"/>
    <x v="10"/>
    <n v="2041"/>
    <x v="28"/>
    <n v="1830130.306663187"/>
  </r>
  <r>
    <x v="0"/>
    <x v="0"/>
    <x v="10"/>
    <x v="10"/>
    <n v="2042"/>
    <x v="29"/>
    <n v="1896647.1333663783"/>
  </r>
  <r>
    <x v="0"/>
    <x v="0"/>
    <x v="11"/>
    <x v="11"/>
    <n v="2013"/>
    <x v="0"/>
    <n v="52525.686799999996"/>
  </r>
  <r>
    <x v="0"/>
    <x v="0"/>
    <x v="11"/>
    <x v="11"/>
    <n v="2014"/>
    <x v="1"/>
    <n v="103045.21008954883"/>
  </r>
  <r>
    <x v="0"/>
    <x v="0"/>
    <x v="11"/>
    <x v="11"/>
    <n v="2015"/>
    <x v="2"/>
    <n v="152565.98092317433"/>
  </r>
  <r>
    <x v="0"/>
    <x v="0"/>
    <x v="11"/>
    <x v="11"/>
    <n v="2016"/>
    <x v="3"/>
    <n v="204951.40008844491"/>
  </r>
  <r>
    <x v="0"/>
    <x v="0"/>
    <x v="11"/>
    <x v="11"/>
    <n v="2017"/>
    <x v="4"/>
    <n v="264104.65274828218"/>
  </r>
  <r>
    <x v="0"/>
    <x v="0"/>
    <x v="11"/>
    <x v="11"/>
    <n v="2018"/>
    <x v="5"/>
    <n v="322956.40336350905"/>
  </r>
  <r>
    <x v="0"/>
    <x v="0"/>
    <x v="11"/>
    <x v="11"/>
    <n v="2019"/>
    <x v="6"/>
    <n v="382458.16257085698"/>
  </r>
  <r>
    <x v="0"/>
    <x v="0"/>
    <x v="11"/>
    <x v="11"/>
    <n v="2020"/>
    <x v="7"/>
    <n v="449391.04775539273"/>
  </r>
  <r>
    <x v="0"/>
    <x v="0"/>
    <x v="11"/>
    <x v="11"/>
    <n v="2021"/>
    <x v="8"/>
    <n v="515983.72294949042"/>
  </r>
  <r>
    <x v="0"/>
    <x v="0"/>
    <x v="11"/>
    <x v="11"/>
    <n v="2022"/>
    <x v="9"/>
    <n v="580064.96873661608"/>
  </r>
  <r>
    <x v="0"/>
    <x v="0"/>
    <x v="11"/>
    <x v="11"/>
    <n v="2023"/>
    <x v="10"/>
    <n v="649438.22706837987"/>
  </r>
  <r>
    <x v="0"/>
    <x v="0"/>
    <x v="11"/>
    <x v="11"/>
    <n v="2024"/>
    <x v="11"/>
    <n v="716189.04149486462"/>
  </r>
  <r>
    <x v="0"/>
    <x v="0"/>
    <x v="11"/>
    <x v="11"/>
    <n v="2025"/>
    <x v="12"/>
    <n v="781708.39071443689"/>
  </r>
  <r>
    <x v="0"/>
    <x v="0"/>
    <x v="11"/>
    <x v="11"/>
    <n v="2026"/>
    <x v="13"/>
    <n v="844750.87308346853"/>
  </r>
  <r>
    <x v="0"/>
    <x v="0"/>
    <x v="11"/>
    <x v="11"/>
    <n v="2027"/>
    <x v="14"/>
    <n v="917754.60184666456"/>
  </r>
  <r>
    <x v="0"/>
    <x v="0"/>
    <x v="11"/>
    <x v="11"/>
    <n v="2028"/>
    <x v="15"/>
    <n v="989321.41867529578"/>
  </r>
  <r>
    <x v="0"/>
    <x v="0"/>
    <x v="11"/>
    <x v="11"/>
    <n v="2029"/>
    <x v="16"/>
    <n v="1059479.6575249988"/>
  </r>
  <r>
    <x v="0"/>
    <x v="0"/>
    <x v="11"/>
    <x v="11"/>
    <n v="2030"/>
    <x v="17"/>
    <n v="1128257.0921464148"/>
  </r>
  <r>
    <x v="0"/>
    <x v="0"/>
    <x v="11"/>
    <x v="11"/>
    <n v="2031"/>
    <x v="18"/>
    <n v="1195680.9472046674"/>
  </r>
  <r>
    <x v="0"/>
    <x v="0"/>
    <x v="11"/>
    <x v="11"/>
    <n v="2032"/>
    <x v="19"/>
    <n v="1261777.9091768751"/>
  </r>
  <r>
    <x v="0"/>
    <x v="0"/>
    <x v="11"/>
    <x v="11"/>
    <n v="2033"/>
    <x v="20"/>
    <n v="1326574.1370321708"/>
  </r>
  <r>
    <x v="0"/>
    <x v="0"/>
    <x v="11"/>
    <x v="11"/>
    <n v="2034"/>
    <x v="21"/>
    <n v="1390095.2726985977"/>
  </r>
  <r>
    <x v="0"/>
    <x v="0"/>
    <x v="11"/>
    <x v="11"/>
    <n v="2035"/>
    <x v="22"/>
    <n v="1452366.4513211751"/>
  </r>
  <r>
    <x v="0"/>
    <x v="0"/>
    <x v="11"/>
    <x v="11"/>
    <n v="2036"/>
    <x v="23"/>
    <n v="1513412.3113153274"/>
  </r>
  <r>
    <x v="0"/>
    <x v="0"/>
    <x v="11"/>
    <x v="11"/>
    <n v="2037"/>
    <x v="24"/>
    <n v="1573257.0042197963"/>
  </r>
  <r>
    <x v="0"/>
    <x v="0"/>
    <x v="11"/>
    <x v="11"/>
    <n v="2038"/>
    <x v="25"/>
    <n v="1631924.204353062"/>
  </r>
  <r>
    <x v="0"/>
    <x v="0"/>
    <x v="11"/>
    <x v="11"/>
    <n v="2039"/>
    <x v="26"/>
    <n v="1689437.1182772249"/>
  </r>
  <r>
    <x v="0"/>
    <x v="0"/>
    <x v="11"/>
    <x v="11"/>
    <n v="2040"/>
    <x v="27"/>
    <n v="1745818.4940732163"/>
  </r>
  <r>
    <x v="0"/>
    <x v="0"/>
    <x v="11"/>
    <x v="11"/>
    <n v="2041"/>
    <x v="28"/>
    <n v="1801090.6304311254"/>
  </r>
  <r>
    <x v="0"/>
    <x v="0"/>
    <x v="11"/>
    <x v="11"/>
    <n v="2042"/>
    <x v="29"/>
    <n v="1855275.3855593591"/>
  </r>
  <r>
    <x v="0"/>
    <x v="0"/>
    <x v="12"/>
    <x v="12"/>
    <n v="2013"/>
    <x v="0"/>
    <n v="41042.997114989732"/>
  </r>
  <r>
    <x v="0"/>
    <x v="0"/>
    <x v="12"/>
    <x v="12"/>
    <n v="2014"/>
    <x v="1"/>
    <n v="65715.375570480697"/>
  </r>
  <r>
    <x v="0"/>
    <x v="0"/>
    <x v="12"/>
    <x v="12"/>
    <n v="2015"/>
    <x v="2"/>
    <n v="89584.222784524245"/>
  </r>
  <r>
    <x v="0"/>
    <x v="0"/>
    <x v="12"/>
    <x v="12"/>
    <n v="2016"/>
    <x v="3"/>
    <n v="113201.76547692725"/>
  </r>
  <r>
    <x v="0"/>
    <x v="0"/>
    <x v="12"/>
    <x v="12"/>
    <n v="2017"/>
    <x v="4"/>
    <n v="172355.01813676453"/>
  </r>
  <r>
    <x v="0"/>
    <x v="0"/>
    <x v="12"/>
    <x v="12"/>
    <n v="2018"/>
    <x v="5"/>
    <n v="231206.76875199139"/>
  </r>
  <r>
    <x v="0"/>
    <x v="0"/>
    <x v="12"/>
    <x v="12"/>
    <n v="2019"/>
    <x v="6"/>
    <n v="290708.52795933932"/>
  </r>
  <r>
    <x v="0"/>
    <x v="0"/>
    <x v="12"/>
    <x v="12"/>
    <n v="2020"/>
    <x v="7"/>
    <n v="357641.41314387508"/>
  </r>
  <r>
    <x v="0"/>
    <x v="0"/>
    <x v="12"/>
    <x v="12"/>
    <n v="2021"/>
    <x v="8"/>
    <n v="424234.08833797276"/>
  </r>
  <r>
    <x v="0"/>
    <x v="0"/>
    <x v="12"/>
    <x v="12"/>
    <n v="2022"/>
    <x v="9"/>
    <n v="488315.33412509848"/>
  </r>
  <r>
    <x v="0"/>
    <x v="0"/>
    <x v="12"/>
    <x v="12"/>
    <n v="2023"/>
    <x v="10"/>
    <n v="557688.59245686233"/>
  </r>
  <r>
    <x v="0"/>
    <x v="0"/>
    <x v="12"/>
    <x v="12"/>
    <n v="2024"/>
    <x v="11"/>
    <n v="635178.83438932721"/>
  </r>
  <r>
    <x v="0"/>
    <x v="0"/>
    <x v="12"/>
    <x v="12"/>
    <n v="2025"/>
    <x v="12"/>
    <n v="711143.68666971708"/>
  </r>
  <r>
    <x v="0"/>
    <x v="0"/>
    <x v="12"/>
    <x v="12"/>
    <n v="2026"/>
    <x v="13"/>
    <n v="785613.23287410906"/>
  </r>
  <r>
    <x v="0"/>
    <x v="0"/>
    <x v="12"/>
    <x v="12"/>
    <n v="2027"/>
    <x v="14"/>
    <n v="858616.9616373051"/>
  </r>
  <r>
    <x v="0"/>
    <x v="0"/>
    <x v="12"/>
    <x v="12"/>
    <n v="2028"/>
    <x v="15"/>
    <n v="930183.77846593631"/>
  </r>
  <r>
    <x v="0"/>
    <x v="0"/>
    <x v="12"/>
    <x v="12"/>
    <n v="2029"/>
    <x v="16"/>
    <n v="1000342.0173156392"/>
  </r>
  <r>
    <x v="0"/>
    <x v="0"/>
    <x v="12"/>
    <x v="12"/>
    <n v="2030"/>
    <x v="17"/>
    <n v="1069119.4519370552"/>
  </r>
  <r>
    <x v="0"/>
    <x v="0"/>
    <x v="12"/>
    <x v="12"/>
    <n v="2031"/>
    <x v="18"/>
    <n v="1136543.3069953078"/>
  </r>
  <r>
    <x v="0"/>
    <x v="0"/>
    <x v="12"/>
    <x v="12"/>
    <n v="2032"/>
    <x v="19"/>
    <n v="1202640.2689675156"/>
  </r>
  <r>
    <x v="0"/>
    <x v="0"/>
    <x v="12"/>
    <x v="12"/>
    <n v="2033"/>
    <x v="20"/>
    <n v="1267436.4968228112"/>
  </r>
  <r>
    <x v="0"/>
    <x v="0"/>
    <x v="12"/>
    <x v="12"/>
    <n v="2034"/>
    <x v="21"/>
    <n v="1330957.6324892382"/>
  </r>
  <r>
    <x v="0"/>
    <x v="0"/>
    <x v="12"/>
    <x v="12"/>
    <n v="2035"/>
    <x v="22"/>
    <n v="1393228.8111118155"/>
  </r>
  <r>
    <x v="0"/>
    <x v="0"/>
    <x v="12"/>
    <x v="12"/>
    <n v="2036"/>
    <x v="23"/>
    <n v="1454274.6711059678"/>
  </r>
  <r>
    <x v="0"/>
    <x v="0"/>
    <x v="12"/>
    <x v="12"/>
    <n v="2037"/>
    <x v="24"/>
    <n v="1514119.3640104367"/>
  </r>
  <r>
    <x v="0"/>
    <x v="0"/>
    <x v="12"/>
    <x v="12"/>
    <n v="2038"/>
    <x v="25"/>
    <n v="1572786.5641437024"/>
  </r>
  <r>
    <x v="0"/>
    <x v="0"/>
    <x v="12"/>
    <x v="12"/>
    <n v="2039"/>
    <x v="26"/>
    <n v="1630299.4780678654"/>
  </r>
  <r>
    <x v="0"/>
    <x v="0"/>
    <x v="12"/>
    <x v="12"/>
    <n v="2040"/>
    <x v="27"/>
    <n v="1686680.8538638568"/>
  </r>
  <r>
    <x v="0"/>
    <x v="0"/>
    <x v="12"/>
    <x v="12"/>
    <n v="2041"/>
    <x v="28"/>
    <n v="1741952.9902217658"/>
  </r>
  <r>
    <x v="0"/>
    <x v="0"/>
    <x v="12"/>
    <x v="12"/>
    <n v="2042"/>
    <x v="29"/>
    <n v="1796137.7453499995"/>
  </r>
  <r>
    <x v="0"/>
    <x v="0"/>
    <x v="13"/>
    <x v="13"/>
    <n v="2013"/>
    <x v="0"/>
    <n v="13346.178000000002"/>
  </r>
  <r>
    <x v="0"/>
    <x v="0"/>
    <x v="13"/>
    <x v="13"/>
    <n v="2014"/>
    <x v="1"/>
    <n v="26072.922717304398"/>
  </r>
  <r>
    <x v="0"/>
    <x v="0"/>
    <x v="13"/>
    <x v="13"/>
    <n v="2015"/>
    <x v="2"/>
    <n v="38209.387556465677"/>
  </r>
  <r>
    <x v="0"/>
    <x v="0"/>
    <x v="13"/>
    <x v="13"/>
    <n v="2016"/>
    <x v="3"/>
    <n v="49783.341623447806"/>
  </r>
  <r>
    <x v="0"/>
    <x v="0"/>
    <x v="13"/>
    <x v="13"/>
    <n v="2017"/>
    <x v="4"/>
    <n v="83372.207089547534"/>
  </r>
  <r>
    <x v="0"/>
    <x v="0"/>
    <x v="13"/>
    <x v="13"/>
    <n v="2018"/>
    <x v="5"/>
    <n v="116982.39920608245"/>
  </r>
  <r>
    <x v="0"/>
    <x v="0"/>
    <x v="13"/>
    <x v="13"/>
    <n v="2019"/>
    <x v="6"/>
    <n v="150622.24088360625"/>
  </r>
  <r>
    <x v="0"/>
    <x v="0"/>
    <x v="13"/>
    <x v="13"/>
    <n v="2020"/>
    <x v="7"/>
    <n v="225558.9173924299"/>
  </r>
  <r>
    <x v="0"/>
    <x v="0"/>
    <x v="13"/>
    <x v="13"/>
    <n v="2021"/>
    <x v="8"/>
    <n v="299011.07315491041"/>
  </r>
  <r>
    <x v="0"/>
    <x v="0"/>
    <x v="13"/>
    <x v="13"/>
    <n v="2022"/>
    <x v="9"/>
    <n v="371008.25838645565"/>
  </r>
  <r>
    <x v="0"/>
    <x v="0"/>
    <x v="13"/>
    <x v="13"/>
    <n v="2023"/>
    <x v="10"/>
    <n v="441579.4310137041"/>
  </r>
  <r>
    <x v="0"/>
    <x v="0"/>
    <x v="13"/>
    <x v="13"/>
    <n v="2024"/>
    <x v="11"/>
    <n v="510752.96866296558"/>
  </r>
  <r>
    <x v="0"/>
    <x v="0"/>
    <x v="13"/>
    <x v="13"/>
    <n v="2025"/>
    <x v="12"/>
    <n v="578556.6804026739"/>
  </r>
  <r>
    <x v="0"/>
    <x v="0"/>
    <x v="13"/>
    <x v="13"/>
    <n v="2026"/>
    <x v="13"/>
    <n v="645017.8182449931"/>
  </r>
  <r>
    <x v="0"/>
    <x v="0"/>
    <x v="13"/>
    <x v="13"/>
    <n v="2027"/>
    <x v="14"/>
    <n v="710163.08841160848"/>
  </r>
  <r>
    <x v="0"/>
    <x v="0"/>
    <x v="13"/>
    <x v="13"/>
    <n v="2028"/>
    <x v="15"/>
    <n v="773317.7491220684"/>
  </r>
  <r>
    <x v="0"/>
    <x v="0"/>
    <x v="13"/>
    <x v="13"/>
    <n v="2029"/>
    <x v="16"/>
    <n v="835228.77609121124"/>
  </r>
  <r>
    <x v="0"/>
    <x v="0"/>
    <x v="13"/>
    <x v="13"/>
    <n v="2030"/>
    <x v="17"/>
    <n v="895920.70886894106"/>
  </r>
  <r>
    <x v="0"/>
    <x v="0"/>
    <x v="13"/>
    <x v="13"/>
    <n v="2031"/>
    <x v="18"/>
    <n v="955417.60133534425"/>
  </r>
  <r>
    <x v="0"/>
    <x v="0"/>
    <x v="13"/>
    <x v="13"/>
    <n v="2032"/>
    <x v="19"/>
    <n v="1013743.0313547587"/>
  </r>
  <r>
    <x v="0"/>
    <x v="0"/>
    <x v="13"/>
    <x v="13"/>
    <n v="2033"/>
    <x v="20"/>
    <n v="1070920.1102367274"/>
  </r>
  <r>
    <x v="0"/>
    <x v="0"/>
    <x v="13"/>
    <x v="13"/>
    <n v="2034"/>
    <x v="21"/>
    <n v="1126971.4920077359"/>
  </r>
  <r>
    <x v="0"/>
    <x v="0"/>
    <x v="13"/>
    <x v="13"/>
    <n v="2035"/>
    <x v="22"/>
    <n v="1181919.38249755"/>
  </r>
  <r>
    <x v="0"/>
    <x v="0"/>
    <x v="13"/>
    <x v="13"/>
    <n v="2036"/>
    <x v="23"/>
    <n v="1235785.5482438952"/>
  </r>
  <r>
    <x v="0"/>
    <x v="0"/>
    <x v="13"/>
    <x v="13"/>
    <n v="2037"/>
    <x v="24"/>
    <n v="1288591.3252191413"/>
  </r>
  <r>
    <x v="0"/>
    <x v="0"/>
    <x v="13"/>
    <x v="13"/>
    <n v="2038"/>
    <x v="25"/>
    <n v="1340357.6273825807"/>
  </r>
  <r>
    <x v="0"/>
    <x v="0"/>
    <x v="13"/>
    <x v="13"/>
    <n v="2039"/>
    <x v="26"/>
    <n v="1391104.9550618159"/>
  </r>
  <r>
    <x v="0"/>
    <x v="0"/>
    <x v="13"/>
    <x v="13"/>
    <n v="2040"/>
    <x v="27"/>
    <n v="1440853.4031667018"/>
  </r>
  <r>
    <x v="0"/>
    <x v="0"/>
    <x v="13"/>
    <x v="13"/>
    <n v="2041"/>
    <x v="28"/>
    <n v="1489622.6692392132"/>
  </r>
  <r>
    <x v="0"/>
    <x v="0"/>
    <x v="13"/>
    <x v="13"/>
    <n v="2042"/>
    <x v="29"/>
    <n v="1537432.0613425472"/>
  </r>
  <r>
    <x v="0"/>
    <x v="0"/>
    <x v="14"/>
    <x v="14"/>
    <n v="2013"/>
    <x v="0"/>
    <n v="-43015.05"/>
  </r>
  <r>
    <x v="0"/>
    <x v="0"/>
    <x v="14"/>
    <x v="14"/>
    <n v="2014"/>
    <x v="1"/>
    <n v="-86352.285865219877"/>
  </r>
  <r>
    <x v="0"/>
    <x v="0"/>
    <x v="14"/>
    <x v="14"/>
    <n v="2015"/>
    <x v="2"/>
    <n v="-138541.19578403595"/>
  </r>
  <r>
    <x v="0"/>
    <x v="0"/>
    <x v="14"/>
    <x v="14"/>
    <n v="2016"/>
    <x v="3"/>
    <n v="-190867.3802890821"/>
  </r>
  <r>
    <x v="0"/>
    <x v="0"/>
    <x v="14"/>
    <x v="14"/>
    <n v="2017"/>
    <x v="4"/>
    <n v="-160208.65625830353"/>
  </r>
  <r>
    <x v="0"/>
    <x v="0"/>
    <x v="14"/>
    <x v="14"/>
    <n v="2018"/>
    <x v="5"/>
    <n v="-129613.12454394234"/>
  </r>
  <r>
    <x v="0"/>
    <x v="0"/>
    <x v="14"/>
    <x v="14"/>
    <n v="2019"/>
    <x v="6"/>
    <n v="-99071.520326821745"/>
  </r>
  <r>
    <x v="0"/>
    <x v="0"/>
    <x v="14"/>
    <x v="14"/>
    <n v="2020"/>
    <x v="7"/>
    <n v="-23042.576362823413"/>
  </r>
  <r>
    <x v="0"/>
    <x v="0"/>
    <x v="14"/>
    <x v="14"/>
    <n v="2021"/>
    <x v="8"/>
    <n v="51647.781408067793"/>
  </r>
  <r>
    <x v="0"/>
    <x v="0"/>
    <x v="14"/>
    <x v="14"/>
    <n v="2022"/>
    <x v="9"/>
    <n v="124989.66023250126"/>
  </r>
  <r>
    <x v="0"/>
    <x v="0"/>
    <x v="14"/>
    <x v="14"/>
    <n v="2023"/>
    <x v="10"/>
    <n v="196975.92544787517"/>
  </r>
  <r>
    <x v="0"/>
    <x v="0"/>
    <x v="14"/>
    <x v="14"/>
    <n v="2024"/>
    <x v="11"/>
    <n v="266911.51390185131"/>
  </r>
  <r>
    <x v="0"/>
    <x v="0"/>
    <x v="14"/>
    <x v="14"/>
    <n v="2025"/>
    <x v="12"/>
    <n v="334847.59087687067"/>
  </r>
  <r>
    <x v="0"/>
    <x v="0"/>
    <x v="14"/>
    <x v="14"/>
    <n v="2026"/>
    <x v="13"/>
    <n v="400834.42453210562"/>
  </r>
  <r>
    <x v="0"/>
    <x v="0"/>
    <x v="14"/>
    <x v="14"/>
    <n v="2027"/>
    <x v="14"/>
    <n v="464921.37897918624"/>
  </r>
  <r>
    <x v="0"/>
    <x v="0"/>
    <x v="14"/>
    <x v="14"/>
    <n v="2028"/>
    <x v="15"/>
    <n v="527156.90922854689"/>
  </r>
  <r>
    <x v="0"/>
    <x v="0"/>
    <x v="14"/>
    <x v="14"/>
    <n v="2029"/>
    <x v="16"/>
    <n v="587105.00652110798"/>
  </r>
  <r>
    <x v="0"/>
    <x v="0"/>
    <x v="14"/>
    <x v="14"/>
    <n v="2030"/>
    <x v="17"/>
    <n v="655882.44114252401"/>
  </r>
  <r>
    <x v="0"/>
    <x v="0"/>
    <x v="14"/>
    <x v="14"/>
    <n v="2031"/>
    <x v="18"/>
    <n v="723306.29620077647"/>
  </r>
  <r>
    <x v="0"/>
    <x v="0"/>
    <x v="14"/>
    <x v="14"/>
    <n v="2032"/>
    <x v="19"/>
    <n v="789403.25817298423"/>
  </r>
  <r>
    <x v="0"/>
    <x v="0"/>
    <x v="14"/>
    <x v="14"/>
    <n v="2033"/>
    <x v="20"/>
    <n v="854199.48602827976"/>
  </r>
  <r>
    <x v="0"/>
    <x v="0"/>
    <x v="14"/>
    <x v="14"/>
    <n v="2034"/>
    <x v="21"/>
    <n v="917720.62169470661"/>
  </r>
  <r>
    <x v="0"/>
    <x v="0"/>
    <x v="14"/>
    <x v="14"/>
    <n v="2035"/>
    <x v="22"/>
    <n v="979991.80031728384"/>
  </r>
  <r>
    <x v="0"/>
    <x v="0"/>
    <x v="14"/>
    <x v="14"/>
    <n v="2036"/>
    <x v="23"/>
    <n v="1041037.660311436"/>
  </r>
  <r>
    <x v="0"/>
    <x v="0"/>
    <x v="14"/>
    <x v="14"/>
    <n v="2037"/>
    <x v="24"/>
    <n v="1100882.3532159049"/>
  </r>
  <r>
    <x v="0"/>
    <x v="0"/>
    <x v="14"/>
    <x v="14"/>
    <n v="2038"/>
    <x v="25"/>
    <n v="1159549.5533491704"/>
  </r>
  <r>
    <x v="0"/>
    <x v="0"/>
    <x v="14"/>
    <x v="14"/>
    <n v="2039"/>
    <x v="26"/>
    <n v="1217062.4672733333"/>
  </r>
  <r>
    <x v="0"/>
    <x v="0"/>
    <x v="14"/>
    <x v="14"/>
    <n v="2040"/>
    <x v="27"/>
    <n v="1273443.8430693245"/>
  </r>
  <r>
    <x v="0"/>
    <x v="0"/>
    <x v="14"/>
    <x v="14"/>
    <n v="2041"/>
    <x v="28"/>
    <n v="1328715.9794272336"/>
  </r>
  <r>
    <x v="0"/>
    <x v="0"/>
    <x v="14"/>
    <x v="14"/>
    <n v="2042"/>
    <x v="29"/>
    <n v="1382900.734555467"/>
  </r>
  <r>
    <x v="0"/>
    <x v="1"/>
    <x v="0"/>
    <x v="15"/>
    <n v="2013"/>
    <x v="0"/>
    <n v="52525.686799999996"/>
  </r>
  <r>
    <x v="0"/>
    <x v="1"/>
    <x v="0"/>
    <x v="15"/>
    <n v="2014"/>
    <x v="1"/>
    <n v="103045.21008954883"/>
  </r>
  <r>
    <x v="0"/>
    <x v="1"/>
    <x v="0"/>
    <x v="15"/>
    <n v="2015"/>
    <x v="2"/>
    <n v="152565.98092317433"/>
  </r>
  <r>
    <x v="0"/>
    <x v="1"/>
    <x v="0"/>
    <x v="15"/>
    <n v="2016"/>
    <x v="3"/>
    <n v="204951.40008844491"/>
  </r>
  <r>
    <x v="0"/>
    <x v="1"/>
    <x v="0"/>
    <x v="15"/>
    <n v="2017"/>
    <x v="4"/>
    <n v="264104.65274828218"/>
  </r>
  <r>
    <x v="0"/>
    <x v="1"/>
    <x v="0"/>
    <x v="15"/>
    <n v="2018"/>
    <x v="5"/>
    <n v="322956.40336350905"/>
  </r>
  <r>
    <x v="0"/>
    <x v="1"/>
    <x v="0"/>
    <x v="15"/>
    <n v="2019"/>
    <x v="6"/>
    <n v="382458.16257085698"/>
  </r>
  <r>
    <x v="0"/>
    <x v="1"/>
    <x v="0"/>
    <x v="15"/>
    <n v="2020"/>
    <x v="7"/>
    <n v="441575.28506588424"/>
  </r>
  <r>
    <x v="0"/>
    <x v="1"/>
    <x v="0"/>
    <x v="15"/>
    <n v="2021"/>
    <x v="8"/>
    <n v="500654.23446862109"/>
  </r>
  <r>
    <x v="0"/>
    <x v="1"/>
    <x v="0"/>
    <x v="15"/>
    <n v="2022"/>
    <x v="9"/>
    <n v="563703.58569574018"/>
  </r>
  <r>
    <x v="0"/>
    <x v="1"/>
    <x v="0"/>
    <x v="15"/>
    <n v="2023"/>
    <x v="10"/>
    <n v="633076.84402750398"/>
  </r>
  <r>
    <x v="0"/>
    <x v="1"/>
    <x v="0"/>
    <x v="15"/>
    <n v="2024"/>
    <x v="11"/>
    <n v="699827.65845398873"/>
  </r>
  <r>
    <x v="0"/>
    <x v="1"/>
    <x v="0"/>
    <x v="15"/>
    <n v="2025"/>
    <x v="12"/>
    <n v="765347.00767356099"/>
  </r>
  <r>
    <x v="0"/>
    <x v="1"/>
    <x v="0"/>
    <x v="15"/>
    <n v="2026"/>
    <x v="13"/>
    <n v="828389.49004259263"/>
  </r>
  <r>
    <x v="0"/>
    <x v="1"/>
    <x v="0"/>
    <x v="15"/>
    <n v="2027"/>
    <x v="14"/>
    <n v="890951.83217297471"/>
  </r>
  <r>
    <x v="0"/>
    <x v="1"/>
    <x v="0"/>
    <x v="15"/>
    <n v="2028"/>
    <x v="15"/>
    <n v="951136.17356786923"/>
  </r>
  <r>
    <x v="0"/>
    <x v="1"/>
    <x v="0"/>
    <x v="15"/>
    <n v="2029"/>
    <x v="16"/>
    <n v="1044372.9214097006"/>
  </r>
  <r>
    <x v="0"/>
    <x v="1"/>
    <x v="0"/>
    <x v="15"/>
    <n v="2030"/>
    <x v="17"/>
    <n v="1134011.7263994056"/>
  </r>
  <r>
    <x v="0"/>
    <x v="1"/>
    <x v="0"/>
    <x v="15"/>
    <n v="2031"/>
    <x v="18"/>
    <n v="1221358.7670303637"/>
  </r>
  <r>
    <x v="0"/>
    <x v="1"/>
    <x v="0"/>
    <x v="15"/>
    <n v="2032"/>
    <x v="19"/>
    <n v="1305335.1743207369"/>
  </r>
  <r>
    <x v="0"/>
    <x v="1"/>
    <x v="0"/>
    <x v="15"/>
    <n v="2033"/>
    <x v="20"/>
    <n v="1387722.5002531181"/>
  </r>
  <r>
    <x v="0"/>
    <x v="1"/>
    <x v="0"/>
    <x v="15"/>
    <n v="2034"/>
    <x v="21"/>
    <n v="1466930.5801612765"/>
  </r>
  <r>
    <x v="0"/>
    <x v="1"/>
    <x v="0"/>
    <x v="15"/>
    <n v="2035"/>
    <x v="22"/>
    <n v="1547186.8880632753"/>
  </r>
  <r>
    <x v="0"/>
    <x v="1"/>
    <x v="0"/>
    <x v="15"/>
    <n v="2036"/>
    <x v="23"/>
    <n v="1624346.0394552578"/>
  </r>
  <r>
    <x v="0"/>
    <x v="1"/>
    <x v="0"/>
    <x v="15"/>
    <n v="2037"/>
    <x v="24"/>
    <n v="1701116.7536358424"/>
  </r>
  <r>
    <x v="0"/>
    <x v="1"/>
    <x v="0"/>
    <x v="15"/>
    <n v="2038"/>
    <x v="25"/>
    <n v="1774924.762920046"/>
  </r>
  <r>
    <x v="0"/>
    <x v="1"/>
    <x v="0"/>
    <x v="15"/>
    <n v="2039"/>
    <x v="26"/>
    <n v="1847250.541753022"/>
  </r>
  <r>
    <x v="0"/>
    <x v="1"/>
    <x v="0"/>
    <x v="15"/>
    <n v="2040"/>
    <x v="27"/>
    <n v="1916785.1548806874"/>
  </r>
  <r>
    <x v="0"/>
    <x v="1"/>
    <x v="0"/>
    <x v="15"/>
    <n v="2041"/>
    <x v="28"/>
    <n v="1983636.3540727622"/>
  </r>
  <r>
    <x v="0"/>
    <x v="1"/>
    <x v="0"/>
    <x v="15"/>
    <n v="2042"/>
    <x v="29"/>
    <n v="2047907.7303291105"/>
  </r>
  <r>
    <x v="0"/>
    <x v="1"/>
    <x v="1"/>
    <x v="16"/>
    <n v="2013"/>
    <x v="0"/>
    <n v="41042.997114989732"/>
  </r>
  <r>
    <x v="0"/>
    <x v="1"/>
    <x v="1"/>
    <x v="16"/>
    <n v="2014"/>
    <x v="1"/>
    <n v="65715.375570480697"/>
  </r>
  <r>
    <x v="0"/>
    <x v="1"/>
    <x v="1"/>
    <x v="16"/>
    <n v="2015"/>
    <x v="2"/>
    <n v="89584.222784524245"/>
  </r>
  <r>
    <x v="0"/>
    <x v="1"/>
    <x v="1"/>
    <x v="16"/>
    <n v="2016"/>
    <x v="3"/>
    <n v="113201.76547692725"/>
  </r>
  <r>
    <x v="0"/>
    <x v="1"/>
    <x v="1"/>
    <x v="16"/>
    <n v="2017"/>
    <x v="4"/>
    <n v="172355.01813676453"/>
  </r>
  <r>
    <x v="0"/>
    <x v="1"/>
    <x v="1"/>
    <x v="16"/>
    <n v="2018"/>
    <x v="5"/>
    <n v="231206.76875199139"/>
  </r>
  <r>
    <x v="0"/>
    <x v="1"/>
    <x v="1"/>
    <x v="16"/>
    <n v="2019"/>
    <x v="6"/>
    <n v="290708.52795933932"/>
  </r>
  <r>
    <x v="0"/>
    <x v="1"/>
    <x v="1"/>
    <x v="16"/>
    <n v="2020"/>
    <x v="7"/>
    <n v="349825.65045436658"/>
  </r>
  <r>
    <x v="0"/>
    <x v="1"/>
    <x v="1"/>
    <x v="16"/>
    <n v="2021"/>
    <x v="8"/>
    <n v="408904.59985710343"/>
  </r>
  <r>
    <x v="0"/>
    <x v="1"/>
    <x v="1"/>
    <x v="16"/>
    <n v="2022"/>
    <x v="9"/>
    <n v="471953.95108422253"/>
  </r>
  <r>
    <x v="0"/>
    <x v="1"/>
    <x v="1"/>
    <x v="16"/>
    <n v="2023"/>
    <x v="10"/>
    <n v="541327.20941598632"/>
  </r>
  <r>
    <x v="0"/>
    <x v="1"/>
    <x v="1"/>
    <x v="16"/>
    <n v="2024"/>
    <x v="11"/>
    <n v="608078.02384247107"/>
  </r>
  <r>
    <x v="0"/>
    <x v="1"/>
    <x v="1"/>
    <x v="16"/>
    <n v="2025"/>
    <x v="12"/>
    <n v="673597.37306204333"/>
  </r>
  <r>
    <x v="0"/>
    <x v="1"/>
    <x v="1"/>
    <x v="16"/>
    <n v="2026"/>
    <x v="13"/>
    <n v="773630.78206361749"/>
  </r>
  <r>
    <x v="0"/>
    <x v="1"/>
    <x v="1"/>
    <x v="16"/>
    <n v="2027"/>
    <x v="14"/>
    <n v="871850.45654646866"/>
  </r>
  <r>
    <x v="0"/>
    <x v="1"/>
    <x v="1"/>
    <x v="16"/>
    <n v="2028"/>
    <x v="15"/>
    <n v="966279.93883621902"/>
  </r>
  <r>
    <x v="0"/>
    <x v="1"/>
    <x v="1"/>
    <x v="16"/>
    <n v="2029"/>
    <x v="16"/>
    <n v="1059516.6866780506"/>
  </r>
  <r>
    <x v="0"/>
    <x v="1"/>
    <x v="1"/>
    <x v="16"/>
    <n v="2030"/>
    <x v="17"/>
    <n v="1149155.4916677554"/>
  </r>
  <r>
    <x v="0"/>
    <x v="1"/>
    <x v="1"/>
    <x v="16"/>
    <n v="2031"/>
    <x v="18"/>
    <n v="1236502.5322987135"/>
  </r>
  <r>
    <x v="0"/>
    <x v="1"/>
    <x v="1"/>
    <x v="16"/>
    <n v="2032"/>
    <x v="19"/>
    <n v="1320478.9395890867"/>
  </r>
  <r>
    <x v="0"/>
    <x v="1"/>
    <x v="1"/>
    <x v="16"/>
    <n v="2033"/>
    <x v="20"/>
    <n v="1402866.2655214679"/>
  </r>
  <r>
    <x v="0"/>
    <x v="1"/>
    <x v="1"/>
    <x v="16"/>
    <n v="2034"/>
    <x v="21"/>
    <n v="1482074.3454296263"/>
  </r>
  <r>
    <x v="0"/>
    <x v="1"/>
    <x v="1"/>
    <x v="16"/>
    <n v="2035"/>
    <x v="22"/>
    <n v="1562330.6533316253"/>
  </r>
  <r>
    <x v="0"/>
    <x v="1"/>
    <x v="1"/>
    <x v="16"/>
    <n v="2036"/>
    <x v="23"/>
    <n v="1639489.8047236078"/>
  </r>
  <r>
    <x v="0"/>
    <x v="1"/>
    <x v="1"/>
    <x v="16"/>
    <n v="2037"/>
    <x v="24"/>
    <n v="1714993.6687792735"/>
  </r>
  <r>
    <x v="0"/>
    <x v="1"/>
    <x v="1"/>
    <x v="16"/>
    <n v="2038"/>
    <x v="25"/>
    <n v="1787826.4369198149"/>
  </r>
  <r>
    <x v="0"/>
    <x v="1"/>
    <x v="1"/>
    <x v="16"/>
    <n v="2039"/>
    <x v="26"/>
    <n v="1858081.8368783763"/>
  </r>
  <r>
    <x v="0"/>
    <x v="1"/>
    <x v="1"/>
    <x v="16"/>
    <n v="2040"/>
    <x v="27"/>
    <n v="1925964.611017541"/>
  </r>
  <r>
    <x v="0"/>
    <x v="1"/>
    <x v="1"/>
    <x v="16"/>
    <n v="2041"/>
    <x v="28"/>
    <n v="1991553.2544192688"/>
  </r>
  <r>
    <x v="0"/>
    <x v="1"/>
    <x v="1"/>
    <x v="16"/>
    <n v="2042"/>
    <x v="29"/>
    <n v="2055217.7482521208"/>
  </r>
  <r>
    <x v="0"/>
    <x v="1"/>
    <x v="2"/>
    <x v="17"/>
    <n v="2013"/>
    <x v="0"/>
    <n v="-43015.05"/>
  </r>
  <r>
    <x v="0"/>
    <x v="1"/>
    <x v="2"/>
    <x v="17"/>
    <n v="2014"/>
    <x v="1"/>
    <n v="-86352.285865219877"/>
  </r>
  <r>
    <x v="0"/>
    <x v="1"/>
    <x v="2"/>
    <x v="17"/>
    <n v="2015"/>
    <x v="2"/>
    <n v="-138541.19578403595"/>
  </r>
  <r>
    <x v="0"/>
    <x v="1"/>
    <x v="2"/>
    <x v="17"/>
    <n v="2016"/>
    <x v="3"/>
    <n v="-190867.38028908212"/>
  </r>
  <r>
    <x v="0"/>
    <x v="1"/>
    <x v="2"/>
    <x v="17"/>
    <n v="2017"/>
    <x v="4"/>
    <n v="-157278.5148229824"/>
  </r>
  <r>
    <x v="0"/>
    <x v="1"/>
    <x v="2"/>
    <x v="17"/>
    <n v="2018"/>
    <x v="5"/>
    <n v="-123668.32270644748"/>
  </r>
  <r>
    <x v="0"/>
    <x v="1"/>
    <x v="2"/>
    <x v="17"/>
    <n v="2019"/>
    <x v="6"/>
    <n v="-90028.481028923678"/>
  </r>
  <r>
    <x v="0"/>
    <x v="1"/>
    <x v="2"/>
    <x v="17"/>
    <n v="2020"/>
    <x v="7"/>
    <n v="-56350.829269688562"/>
  </r>
  <r>
    <x v="0"/>
    <x v="1"/>
    <x v="2"/>
    <x v="17"/>
    <n v="2021"/>
    <x v="8"/>
    <n v="-22627.363852044567"/>
  </r>
  <r>
    <x v="0"/>
    <x v="1"/>
    <x v="2"/>
    <x v="17"/>
    <n v="2022"/>
    <x v="9"/>
    <n v="145942.66227456048"/>
  </r>
  <r>
    <x v="0"/>
    <x v="1"/>
    <x v="2"/>
    <x v="17"/>
    <n v="2023"/>
    <x v="10"/>
    <n v="310058.17774883541"/>
  </r>
  <r>
    <x v="0"/>
    <x v="1"/>
    <x v="2"/>
    <x v="17"/>
    <n v="2024"/>
    <x v="11"/>
    <n v="471607.04322767968"/>
  </r>
  <r>
    <x v="0"/>
    <x v="1"/>
    <x v="2"/>
    <x v="17"/>
    <n v="2025"/>
    <x v="12"/>
    <n v="630608.24038288603"/>
  </r>
  <r>
    <x v="0"/>
    <x v="1"/>
    <x v="2"/>
    <x v="17"/>
    <n v="2026"/>
    <x v="13"/>
    <n v="787081.88766164205"/>
  </r>
  <r>
    <x v="0"/>
    <x v="1"/>
    <x v="2"/>
    <x v="17"/>
    <n v="2027"/>
    <x v="14"/>
    <n v="941049.14534078876"/>
  </r>
  <r>
    <x v="0"/>
    <x v="1"/>
    <x v="2"/>
    <x v="17"/>
    <n v="2028"/>
    <x v="15"/>
    <n v="1092532.1259415015"/>
  </r>
  <r>
    <x v="0"/>
    <x v="1"/>
    <x v="2"/>
    <x v="17"/>
    <n v="2029"/>
    <x v="16"/>
    <n v="1241553.8097307938"/>
  </r>
  <r>
    <x v="0"/>
    <x v="1"/>
    <x v="2"/>
    <x v="17"/>
    <n v="2030"/>
    <x v="17"/>
    <n v="1388137.9650497255"/>
  </r>
  <r>
    <x v="0"/>
    <x v="1"/>
    <x v="2"/>
    <x v="17"/>
    <n v="2031"/>
    <x v="18"/>
    <n v="1532309.0732210185"/>
  </r>
  <r>
    <x v="0"/>
    <x v="1"/>
    <x v="2"/>
    <x v="17"/>
    <n v="2032"/>
    <x v="19"/>
    <n v="1688691.3956023869"/>
  </r>
  <r>
    <x v="0"/>
    <x v="1"/>
    <x v="2"/>
    <x v="17"/>
    <n v="2033"/>
    <x v="20"/>
    <n v="1842008.355945392"/>
  </r>
  <r>
    <x v="0"/>
    <x v="1"/>
    <x v="2"/>
    <x v="17"/>
    <n v="2034"/>
    <x v="21"/>
    <n v="1992320.0314848856"/>
  </r>
  <r>
    <x v="0"/>
    <x v="1"/>
    <x v="2"/>
    <x v="17"/>
    <n v="2035"/>
    <x v="22"/>
    <n v="2139685.3222834356"/>
  </r>
  <r>
    <x v="0"/>
    <x v="1"/>
    <x v="2"/>
    <x v="17"/>
    <n v="2036"/>
    <x v="23"/>
    <n v="2284161.9742894648"/>
  </r>
  <r>
    <x v="0"/>
    <x v="1"/>
    <x v="2"/>
    <x v="17"/>
    <n v="2037"/>
    <x v="24"/>
    <n v="2425643.3977013002"/>
  </r>
  <r>
    <x v="0"/>
    <x v="1"/>
    <x v="2"/>
    <x v="17"/>
    <n v="2038"/>
    <x v="25"/>
    <n v="2564176.6317359428"/>
  </r>
  <r>
    <x v="0"/>
    <x v="1"/>
    <x v="2"/>
    <x v="17"/>
    <n v="2039"/>
    <x v="26"/>
    <n v="2699824.5532657183"/>
  </r>
  <r>
    <x v="0"/>
    <x v="1"/>
    <x v="2"/>
    <x v="17"/>
    <n v="2040"/>
    <x v="27"/>
    <n v="2832648.6586354086"/>
  </r>
  <r>
    <x v="0"/>
    <x v="1"/>
    <x v="2"/>
    <x v="17"/>
    <n v="2041"/>
    <x v="28"/>
    <n v="2962709.0950318393"/>
  </r>
  <r>
    <x v="0"/>
    <x v="1"/>
    <x v="2"/>
    <x v="17"/>
    <n v="2042"/>
    <x v="29"/>
    <n v="3090064.6911131195"/>
  </r>
  <r>
    <x v="0"/>
    <x v="1"/>
    <x v="3"/>
    <x v="18"/>
    <n v="2013"/>
    <x v="0"/>
    <n v="-43015.05"/>
  </r>
  <r>
    <x v="0"/>
    <x v="1"/>
    <x v="3"/>
    <x v="18"/>
    <n v="2014"/>
    <x v="1"/>
    <n v="-86352.285865219877"/>
  </r>
  <r>
    <x v="0"/>
    <x v="1"/>
    <x v="3"/>
    <x v="18"/>
    <n v="2015"/>
    <x v="2"/>
    <n v="-138541.19578403595"/>
  </r>
  <r>
    <x v="0"/>
    <x v="1"/>
    <x v="3"/>
    <x v="18"/>
    <n v="2016"/>
    <x v="3"/>
    <n v="-190867.38028908212"/>
  </r>
  <r>
    <x v="0"/>
    <x v="1"/>
    <x v="3"/>
    <x v="18"/>
    <n v="2017"/>
    <x v="4"/>
    <n v="-157278.5148229824"/>
  </r>
  <r>
    <x v="0"/>
    <x v="1"/>
    <x v="3"/>
    <x v="18"/>
    <n v="2018"/>
    <x v="5"/>
    <n v="-123668.32270644748"/>
  </r>
  <r>
    <x v="0"/>
    <x v="1"/>
    <x v="3"/>
    <x v="18"/>
    <n v="2019"/>
    <x v="6"/>
    <n v="-90028.481028923678"/>
  </r>
  <r>
    <x v="0"/>
    <x v="1"/>
    <x v="3"/>
    <x v="18"/>
    <n v="2020"/>
    <x v="7"/>
    <n v="-56350.829269688562"/>
  </r>
  <r>
    <x v="0"/>
    <x v="1"/>
    <x v="3"/>
    <x v="18"/>
    <n v="2021"/>
    <x v="8"/>
    <n v="-22627.363852044567"/>
  </r>
  <r>
    <x v="0"/>
    <x v="1"/>
    <x v="3"/>
    <x v="18"/>
    <n v="2022"/>
    <x v="9"/>
    <n v="155951.91802054973"/>
  </r>
  <r>
    <x v="0"/>
    <x v="1"/>
    <x v="3"/>
    <x v="18"/>
    <n v="2023"/>
    <x v="10"/>
    <n v="329594.61391171906"/>
  </r>
  <r>
    <x v="0"/>
    <x v="1"/>
    <x v="3"/>
    <x v="18"/>
    <n v="2024"/>
    <x v="11"/>
    <n v="500211.80265050463"/>
  </r>
  <r>
    <x v="0"/>
    <x v="1"/>
    <x v="3"/>
    <x v="18"/>
    <n v="2025"/>
    <x v="12"/>
    <n v="667844.56582507258"/>
  </r>
  <r>
    <x v="0"/>
    <x v="1"/>
    <x v="3"/>
    <x v="18"/>
    <n v="2026"/>
    <x v="13"/>
    <n v="832534.05740171717"/>
  </r>
  <r>
    <x v="0"/>
    <x v="1"/>
    <x v="3"/>
    <x v="18"/>
    <n v="2027"/>
    <x v="14"/>
    <n v="994321.46004363615"/>
  </r>
  <r>
    <x v="0"/>
    <x v="1"/>
    <x v="3"/>
    <x v="18"/>
    <n v="2028"/>
    <x v="15"/>
    <n v="1153247.9443210787"/>
  </r>
  <r>
    <x v="0"/>
    <x v="1"/>
    <x v="3"/>
    <x v="18"/>
    <n v="2029"/>
    <x v="16"/>
    <n v="1309354.6306581816"/>
  </r>
  <r>
    <x v="0"/>
    <x v="1"/>
    <x v="3"/>
    <x v="18"/>
    <n v="2030"/>
    <x v="17"/>
    <n v="1462682.5538695657"/>
  </r>
  <r>
    <x v="0"/>
    <x v="1"/>
    <x v="3"/>
    <x v="18"/>
    <n v="2031"/>
    <x v="18"/>
    <n v="1613272.6301471335"/>
  </r>
  <r>
    <x v="0"/>
    <x v="1"/>
    <x v="3"/>
    <x v="18"/>
    <n v="2032"/>
    <x v="19"/>
    <n v="1761165.6263645228"/>
  </r>
  <r>
    <x v="0"/>
    <x v="1"/>
    <x v="3"/>
    <x v="18"/>
    <n v="2033"/>
    <x v="20"/>
    <n v="1906402.1315733388"/>
  </r>
  <r>
    <x v="0"/>
    <x v="1"/>
    <x v="3"/>
    <x v="18"/>
    <n v="2034"/>
    <x v="21"/>
    <n v="2049022.5305716281"/>
  </r>
  <r>
    <x v="0"/>
    <x v="1"/>
    <x v="3"/>
    <x v="18"/>
    <n v="2035"/>
    <x v="22"/>
    <n v="2189066.9794310918"/>
  </r>
  <r>
    <x v="0"/>
    <x v="1"/>
    <x v="3"/>
    <x v="18"/>
    <n v="2036"/>
    <x v="23"/>
    <n v="2326575.3828752642"/>
  </r>
  <r>
    <x v="0"/>
    <x v="1"/>
    <x v="3"/>
    <x v="18"/>
    <n v="2037"/>
    <x v="24"/>
    <n v="2461424.1691636876"/>
  </r>
  <r>
    <x v="0"/>
    <x v="1"/>
    <x v="3"/>
    <x v="18"/>
    <n v="2038"/>
    <x v="25"/>
    <n v="2593644.2134749228"/>
  </r>
  <r>
    <x v="0"/>
    <x v="1"/>
    <x v="3"/>
    <x v="18"/>
    <n v="2039"/>
    <x v="26"/>
    <n v="2723283.0071507026"/>
  </r>
  <r>
    <x v="0"/>
    <x v="1"/>
    <x v="3"/>
    <x v="18"/>
    <n v="2040"/>
    <x v="27"/>
    <n v="2850387.4020178276"/>
  </r>
  <r>
    <x v="0"/>
    <x v="1"/>
    <x v="3"/>
    <x v="18"/>
    <n v="2041"/>
    <x v="28"/>
    <n v="2975003.6060683937"/>
  </r>
  <r>
    <x v="0"/>
    <x v="1"/>
    <x v="3"/>
    <x v="18"/>
    <n v="2042"/>
    <x v="29"/>
    <n v="3097177.1801185822"/>
  </r>
  <r>
    <x v="0"/>
    <x v="1"/>
    <x v="4"/>
    <x v="19"/>
    <n v="2013"/>
    <x v="0"/>
    <n v="-43015.05"/>
  </r>
  <r>
    <x v="0"/>
    <x v="1"/>
    <x v="4"/>
    <x v="19"/>
    <n v="2014"/>
    <x v="1"/>
    <n v="-86352.285865219877"/>
  </r>
  <r>
    <x v="0"/>
    <x v="1"/>
    <x v="4"/>
    <x v="19"/>
    <n v="2015"/>
    <x v="2"/>
    <n v="-138541.19578403595"/>
  </r>
  <r>
    <x v="0"/>
    <x v="1"/>
    <x v="4"/>
    <x v="19"/>
    <n v="2016"/>
    <x v="3"/>
    <n v="-190867.38028908212"/>
  </r>
  <r>
    <x v="0"/>
    <x v="1"/>
    <x v="4"/>
    <x v="19"/>
    <n v="2017"/>
    <x v="4"/>
    <n v="-157278.5148229824"/>
  </r>
  <r>
    <x v="0"/>
    <x v="1"/>
    <x v="4"/>
    <x v="19"/>
    <n v="2018"/>
    <x v="5"/>
    <n v="-123668.32270644748"/>
  </r>
  <r>
    <x v="0"/>
    <x v="1"/>
    <x v="4"/>
    <x v="19"/>
    <n v="2019"/>
    <x v="6"/>
    <n v="-90028.481028923678"/>
  </r>
  <r>
    <x v="0"/>
    <x v="1"/>
    <x v="4"/>
    <x v="19"/>
    <n v="2020"/>
    <x v="7"/>
    <n v="-56350.829269688562"/>
  </r>
  <r>
    <x v="0"/>
    <x v="1"/>
    <x v="4"/>
    <x v="19"/>
    <n v="2021"/>
    <x v="8"/>
    <n v="-22627.363852044567"/>
  </r>
  <r>
    <x v="0"/>
    <x v="1"/>
    <x v="4"/>
    <x v="19"/>
    <n v="2022"/>
    <x v="9"/>
    <e v="#VALUE!"/>
  </r>
  <r>
    <x v="0"/>
    <x v="1"/>
    <x v="4"/>
    <x v="19"/>
    <n v="2023"/>
    <x v="10"/>
    <e v="#VALUE!"/>
  </r>
  <r>
    <x v="0"/>
    <x v="1"/>
    <x v="4"/>
    <x v="19"/>
    <n v="2024"/>
    <x v="11"/>
    <e v="#VALUE!"/>
  </r>
  <r>
    <x v="0"/>
    <x v="1"/>
    <x v="4"/>
    <x v="19"/>
    <n v="2025"/>
    <x v="12"/>
    <e v="#VALUE!"/>
  </r>
  <r>
    <x v="0"/>
    <x v="1"/>
    <x v="4"/>
    <x v="19"/>
    <n v="2026"/>
    <x v="13"/>
    <e v="#VALUE!"/>
  </r>
  <r>
    <x v="0"/>
    <x v="1"/>
    <x v="4"/>
    <x v="19"/>
    <n v="2027"/>
    <x v="14"/>
    <e v="#VALUE!"/>
  </r>
  <r>
    <x v="0"/>
    <x v="1"/>
    <x v="4"/>
    <x v="19"/>
    <n v="2028"/>
    <x v="15"/>
    <e v="#VALUE!"/>
  </r>
  <r>
    <x v="0"/>
    <x v="1"/>
    <x v="4"/>
    <x v="19"/>
    <n v="2029"/>
    <x v="16"/>
    <e v="#VALUE!"/>
  </r>
  <r>
    <x v="0"/>
    <x v="1"/>
    <x v="4"/>
    <x v="19"/>
    <n v="2030"/>
    <x v="17"/>
    <e v="#VALUE!"/>
  </r>
  <r>
    <x v="0"/>
    <x v="1"/>
    <x v="4"/>
    <x v="19"/>
    <n v="2031"/>
    <x v="18"/>
    <e v="#VALUE!"/>
  </r>
  <r>
    <x v="0"/>
    <x v="1"/>
    <x v="4"/>
    <x v="19"/>
    <n v="2032"/>
    <x v="19"/>
    <e v="#VALUE!"/>
  </r>
  <r>
    <x v="0"/>
    <x v="1"/>
    <x v="4"/>
    <x v="19"/>
    <n v="2033"/>
    <x v="20"/>
    <e v="#VALUE!"/>
  </r>
  <r>
    <x v="0"/>
    <x v="1"/>
    <x v="4"/>
    <x v="19"/>
    <n v="2034"/>
    <x v="21"/>
    <e v="#VALUE!"/>
  </r>
  <r>
    <x v="0"/>
    <x v="1"/>
    <x v="4"/>
    <x v="19"/>
    <n v="2035"/>
    <x v="22"/>
    <e v="#VALUE!"/>
  </r>
  <r>
    <x v="0"/>
    <x v="1"/>
    <x v="4"/>
    <x v="19"/>
    <n v="2036"/>
    <x v="23"/>
    <e v="#VALUE!"/>
  </r>
  <r>
    <x v="0"/>
    <x v="1"/>
    <x v="4"/>
    <x v="19"/>
    <n v="2037"/>
    <x v="24"/>
    <e v="#VALUE!"/>
  </r>
  <r>
    <x v="0"/>
    <x v="1"/>
    <x v="4"/>
    <x v="19"/>
    <n v="2038"/>
    <x v="25"/>
    <e v="#VALUE!"/>
  </r>
  <r>
    <x v="0"/>
    <x v="1"/>
    <x v="4"/>
    <x v="19"/>
    <n v="2039"/>
    <x v="26"/>
    <e v="#VALUE!"/>
  </r>
  <r>
    <x v="0"/>
    <x v="1"/>
    <x v="4"/>
    <x v="19"/>
    <n v="2040"/>
    <x v="27"/>
    <e v="#VALUE!"/>
  </r>
  <r>
    <x v="0"/>
    <x v="1"/>
    <x v="4"/>
    <x v="19"/>
    <n v="2041"/>
    <x v="28"/>
    <e v="#VALUE!"/>
  </r>
  <r>
    <x v="0"/>
    <x v="1"/>
    <x v="4"/>
    <x v="19"/>
    <n v="2042"/>
    <x v="29"/>
    <e v="#VALUE!"/>
  </r>
  <r>
    <x v="0"/>
    <x v="1"/>
    <x v="5"/>
    <x v="20"/>
    <n v="2013"/>
    <x v="0"/>
    <n v="-43015.05"/>
  </r>
  <r>
    <x v="0"/>
    <x v="1"/>
    <x v="5"/>
    <x v="20"/>
    <n v="2014"/>
    <x v="1"/>
    <n v="-86352.285865219877"/>
  </r>
  <r>
    <x v="0"/>
    <x v="1"/>
    <x v="5"/>
    <x v="20"/>
    <n v="2015"/>
    <x v="2"/>
    <n v="-138541.19578403595"/>
  </r>
  <r>
    <x v="0"/>
    <x v="1"/>
    <x v="5"/>
    <x v="20"/>
    <n v="2016"/>
    <x v="3"/>
    <n v="-190867.38028908212"/>
  </r>
  <r>
    <x v="0"/>
    <x v="1"/>
    <x v="5"/>
    <x v="20"/>
    <n v="2017"/>
    <x v="4"/>
    <n v="-157278.5148229824"/>
  </r>
  <r>
    <x v="0"/>
    <x v="1"/>
    <x v="5"/>
    <x v="20"/>
    <n v="2018"/>
    <x v="5"/>
    <n v="-123668.32270644748"/>
  </r>
  <r>
    <x v="0"/>
    <x v="1"/>
    <x v="5"/>
    <x v="20"/>
    <n v="2019"/>
    <x v="6"/>
    <n v="-90028.481028923678"/>
  </r>
  <r>
    <x v="0"/>
    <x v="1"/>
    <x v="5"/>
    <x v="20"/>
    <n v="2020"/>
    <x v="7"/>
    <n v="-56350.829269688562"/>
  </r>
  <r>
    <x v="0"/>
    <x v="1"/>
    <x v="5"/>
    <x v="20"/>
    <n v="2021"/>
    <x v="8"/>
    <n v="-22627.363852044567"/>
  </r>
  <r>
    <x v="0"/>
    <x v="1"/>
    <x v="5"/>
    <x v="20"/>
    <n v="2022"/>
    <x v="9"/>
    <e v="#VALUE!"/>
  </r>
  <r>
    <x v="0"/>
    <x v="1"/>
    <x v="5"/>
    <x v="20"/>
    <n v="2023"/>
    <x v="10"/>
    <e v="#VALUE!"/>
  </r>
  <r>
    <x v="0"/>
    <x v="1"/>
    <x v="5"/>
    <x v="20"/>
    <n v="2024"/>
    <x v="11"/>
    <e v="#VALUE!"/>
  </r>
  <r>
    <x v="0"/>
    <x v="1"/>
    <x v="5"/>
    <x v="20"/>
    <n v="2025"/>
    <x v="12"/>
    <e v="#VALUE!"/>
  </r>
  <r>
    <x v="0"/>
    <x v="1"/>
    <x v="5"/>
    <x v="20"/>
    <n v="2026"/>
    <x v="13"/>
    <e v="#VALUE!"/>
  </r>
  <r>
    <x v="0"/>
    <x v="1"/>
    <x v="5"/>
    <x v="20"/>
    <n v="2027"/>
    <x v="14"/>
    <e v="#VALUE!"/>
  </r>
  <r>
    <x v="0"/>
    <x v="1"/>
    <x v="5"/>
    <x v="20"/>
    <n v="2028"/>
    <x v="15"/>
    <e v="#VALUE!"/>
  </r>
  <r>
    <x v="0"/>
    <x v="1"/>
    <x v="5"/>
    <x v="20"/>
    <n v="2029"/>
    <x v="16"/>
    <e v="#VALUE!"/>
  </r>
  <r>
    <x v="0"/>
    <x v="1"/>
    <x v="5"/>
    <x v="20"/>
    <n v="2030"/>
    <x v="17"/>
    <e v="#VALUE!"/>
  </r>
  <r>
    <x v="0"/>
    <x v="1"/>
    <x v="5"/>
    <x v="20"/>
    <n v="2031"/>
    <x v="18"/>
    <e v="#VALUE!"/>
  </r>
  <r>
    <x v="0"/>
    <x v="1"/>
    <x v="5"/>
    <x v="20"/>
    <n v="2032"/>
    <x v="19"/>
    <e v="#VALUE!"/>
  </r>
  <r>
    <x v="0"/>
    <x v="1"/>
    <x v="5"/>
    <x v="20"/>
    <n v="2033"/>
    <x v="20"/>
    <e v="#VALUE!"/>
  </r>
  <r>
    <x v="0"/>
    <x v="1"/>
    <x v="5"/>
    <x v="20"/>
    <n v="2034"/>
    <x v="21"/>
    <e v="#VALUE!"/>
  </r>
  <r>
    <x v="0"/>
    <x v="1"/>
    <x v="5"/>
    <x v="20"/>
    <n v="2035"/>
    <x v="22"/>
    <e v="#VALUE!"/>
  </r>
  <r>
    <x v="0"/>
    <x v="1"/>
    <x v="5"/>
    <x v="20"/>
    <n v="2036"/>
    <x v="23"/>
    <e v="#VALUE!"/>
  </r>
  <r>
    <x v="0"/>
    <x v="1"/>
    <x v="5"/>
    <x v="20"/>
    <n v="2037"/>
    <x v="24"/>
    <e v="#VALUE!"/>
  </r>
  <r>
    <x v="0"/>
    <x v="1"/>
    <x v="5"/>
    <x v="20"/>
    <n v="2038"/>
    <x v="25"/>
    <e v="#VALUE!"/>
  </r>
  <r>
    <x v="0"/>
    <x v="1"/>
    <x v="5"/>
    <x v="20"/>
    <n v="2039"/>
    <x v="26"/>
    <e v="#VALUE!"/>
  </r>
  <r>
    <x v="0"/>
    <x v="1"/>
    <x v="5"/>
    <x v="20"/>
    <n v="2040"/>
    <x v="27"/>
    <e v="#VALUE!"/>
  </r>
  <r>
    <x v="0"/>
    <x v="1"/>
    <x v="5"/>
    <x v="20"/>
    <n v="2041"/>
    <x v="28"/>
    <e v="#VALUE!"/>
  </r>
  <r>
    <x v="0"/>
    <x v="1"/>
    <x v="5"/>
    <x v="20"/>
    <n v="2042"/>
    <x v="29"/>
    <e v="#VALUE!"/>
  </r>
  <r>
    <x v="0"/>
    <x v="1"/>
    <x v="6"/>
    <x v="21"/>
    <n v="2013"/>
    <x v="0"/>
    <n v="-43015.05"/>
  </r>
  <r>
    <x v="0"/>
    <x v="1"/>
    <x v="6"/>
    <x v="21"/>
    <n v="2014"/>
    <x v="1"/>
    <n v="-86352.285865219877"/>
  </r>
  <r>
    <x v="0"/>
    <x v="1"/>
    <x v="6"/>
    <x v="21"/>
    <n v="2015"/>
    <x v="2"/>
    <n v="-138541.19578403595"/>
  </r>
  <r>
    <x v="0"/>
    <x v="1"/>
    <x v="6"/>
    <x v="21"/>
    <n v="2016"/>
    <x v="3"/>
    <n v="-190867.38028908212"/>
  </r>
  <r>
    <x v="0"/>
    <x v="1"/>
    <x v="6"/>
    <x v="21"/>
    <n v="2017"/>
    <x v="4"/>
    <n v="-169241.36987416679"/>
  </r>
  <r>
    <x v="0"/>
    <x v="1"/>
    <x v="6"/>
    <x v="21"/>
    <n v="2018"/>
    <x v="5"/>
    <n v="-158404.5549729077"/>
  </r>
  <r>
    <x v="0"/>
    <x v="1"/>
    <x v="6"/>
    <x v="21"/>
    <n v="2019"/>
    <x v="6"/>
    <n v="-146441.25737997922"/>
  </r>
  <r>
    <x v="0"/>
    <x v="1"/>
    <x v="6"/>
    <x v="21"/>
    <n v="2020"/>
    <x v="7"/>
    <n v="-133396.14329882836"/>
  </r>
  <r>
    <x v="0"/>
    <x v="1"/>
    <x v="6"/>
    <x v="21"/>
    <n v="2021"/>
    <x v="8"/>
    <n v="-119311.49158581435"/>
  </r>
  <r>
    <x v="0"/>
    <x v="1"/>
    <x v="6"/>
    <x v="21"/>
    <n v="2022"/>
    <x v="9"/>
    <n v="54482.279533898298"/>
  </r>
  <r>
    <x v="0"/>
    <x v="1"/>
    <x v="6"/>
    <x v="21"/>
    <n v="2023"/>
    <x v="10"/>
    <n v="223569.94900884677"/>
  </r>
  <r>
    <x v="0"/>
    <x v="1"/>
    <x v="6"/>
    <x v="21"/>
    <n v="2024"/>
    <x v="11"/>
    <n v="389851.4948614522"/>
  </r>
  <r>
    <x v="0"/>
    <x v="1"/>
    <x v="6"/>
    <x v="21"/>
    <n v="2025"/>
    <x v="12"/>
    <n v="553357.43252090481"/>
  </r>
  <r>
    <x v="0"/>
    <x v="1"/>
    <x v="6"/>
    <x v="21"/>
    <n v="2026"/>
    <x v="13"/>
    <n v="714118.85869195696"/>
  </r>
  <r>
    <x v="0"/>
    <x v="1"/>
    <x v="6"/>
    <x v="21"/>
    <n v="2027"/>
    <x v="14"/>
    <n v="879469.7034224011"/>
  </r>
  <r>
    <x v="0"/>
    <x v="1"/>
    <x v="6"/>
    <x v="21"/>
    <n v="2028"/>
    <x v="15"/>
    <n v="1048738.6228295141"/>
  </r>
  <r>
    <x v="0"/>
    <x v="1"/>
    <x v="6"/>
    <x v="21"/>
    <n v="2029"/>
    <x v="16"/>
    <n v="1214689.6220636952"/>
  </r>
  <r>
    <x v="0"/>
    <x v="1"/>
    <x v="6"/>
    <x v="21"/>
    <n v="2030"/>
    <x v="17"/>
    <n v="1377387.7269779902"/>
  </r>
  <r>
    <x v="0"/>
    <x v="1"/>
    <x v="6"/>
    <x v="21"/>
    <n v="2031"/>
    <x v="18"/>
    <n v="1536896.6893234346"/>
  </r>
  <r>
    <x v="0"/>
    <x v="1"/>
    <x v="6"/>
    <x v="21"/>
    <n v="2032"/>
    <x v="19"/>
    <n v="1693279.0117048032"/>
  </r>
  <r>
    <x v="0"/>
    <x v="1"/>
    <x v="6"/>
    <x v="21"/>
    <n v="2033"/>
    <x v="20"/>
    <n v="1846595.9720478083"/>
  </r>
  <r>
    <x v="0"/>
    <x v="1"/>
    <x v="6"/>
    <x v="21"/>
    <n v="2034"/>
    <x v="21"/>
    <n v="1996907.6475873019"/>
  </r>
  <r>
    <x v="0"/>
    <x v="1"/>
    <x v="6"/>
    <x v="21"/>
    <n v="2035"/>
    <x v="22"/>
    <n v="2144272.9383858517"/>
  </r>
  <r>
    <x v="0"/>
    <x v="1"/>
    <x v="6"/>
    <x v="21"/>
    <n v="2036"/>
    <x v="23"/>
    <n v="2288749.5903918808"/>
  </r>
  <r>
    <x v="0"/>
    <x v="1"/>
    <x v="6"/>
    <x v="21"/>
    <n v="2037"/>
    <x v="24"/>
    <n v="2430231.0138037163"/>
  </r>
  <r>
    <x v="0"/>
    <x v="1"/>
    <x v="6"/>
    <x v="21"/>
    <n v="2038"/>
    <x v="25"/>
    <n v="2568764.2478383589"/>
  </r>
  <r>
    <x v="0"/>
    <x v="1"/>
    <x v="6"/>
    <x v="21"/>
    <n v="2039"/>
    <x v="26"/>
    <n v="2704412.1693681343"/>
  </r>
  <r>
    <x v="0"/>
    <x v="1"/>
    <x v="6"/>
    <x v="21"/>
    <n v="2040"/>
    <x v="27"/>
    <n v="2837236.2747378247"/>
  </r>
  <r>
    <x v="0"/>
    <x v="1"/>
    <x v="6"/>
    <x v="21"/>
    <n v="2041"/>
    <x v="28"/>
    <n v="2967296.7111342554"/>
  </r>
  <r>
    <x v="0"/>
    <x v="1"/>
    <x v="6"/>
    <x v="21"/>
    <n v="2042"/>
    <x v="29"/>
    <n v="3094652.3072155355"/>
  </r>
  <r>
    <x v="0"/>
    <x v="1"/>
    <x v="7"/>
    <x v="22"/>
    <n v="2013"/>
    <x v="0"/>
    <n v="-43015.05"/>
  </r>
  <r>
    <x v="0"/>
    <x v="1"/>
    <x v="7"/>
    <x v="22"/>
    <n v="2014"/>
    <x v="1"/>
    <n v="-86352.285865219877"/>
  </r>
  <r>
    <x v="0"/>
    <x v="1"/>
    <x v="7"/>
    <x v="22"/>
    <n v="2015"/>
    <x v="2"/>
    <n v="-138541.19578403595"/>
  </r>
  <r>
    <x v="0"/>
    <x v="1"/>
    <x v="7"/>
    <x v="22"/>
    <n v="2016"/>
    <x v="3"/>
    <n v="-190867.38028908212"/>
  </r>
  <r>
    <x v="0"/>
    <x v="1"/>
    <x v="7"/>
    <x v="22"/>
    <n v="2017"/>
    <x v="4"/>
    <n v="-161673.72697596412"/>
  </r>
  <r>
    <x v="0"/>
    <x v="1"/>
    <x v="7"/>
    <x v="22"/>
    <n v="2018"/>
    <x v="5"/>
    <n v="-132585.52546268981"/>
  </r>
  <r>
    <x v="0"/>
    <x v="1"/>
    <x v="7"/>
    <x v="22"/>
    <n v="2019"/>
    <x v="6"/>
    <n v="-103593.03997577081"/>
  </r>
  <r>
    <x v="0"/>
    <x v="1"/>
    <x v="7"/>
    <x v="22"/>
    <n v="2020"/>
    <x v="7"/>
    <n v="-74686.7586801039"/>
  </r>
  <r>
    <x v="0"/>
    <x v="1"/>
    <x v="7"/>
    <x v="22"/>
    <n v="2021"/>
    <x v="8"/>
    <n v="-45857.386622987513"/>
  </r>
  <r>
    <x v="0"/>
    <x v="1"/>
    <x v="7"/>
    <x v="22"/>
    <n v="2022"/>
    <x v="9"/>
    <n v="127936.38449672514"/>
  </r>
  <r>
    <x v="0"/>
    <x v="1"/>
    <x v="7"/>
    <x v="22"/>
    <n v="2023"/>
    <x v="10"/>
    <n v="297024.05397167359"/>
  </r>
  <r>
    <x v="0"/>
    <x v="1"/>
    <x v="7"/>
    <x v="22"/>
    <n v="2024"/>
    <x v="11"/>
    <n v="463305.59982427902"/>
  </r>
  <r>
    <x v="0"/>
    <x v="1"/>
    <x v="7"/>
    <x v="22"/>
    <n v="2025"/>
    <x v="12"/>
    <n v="626811.53748373175"/>
  </r>
  <r>
    <x v="0"/>
    <x v="1"/>
    <x v="7"/>
    <x v="22"/>
    <n v="2026"/>
    <x v="13"/>
    <n v="787572.9636547839"/>
  </r>
  <r>
    <x v="0"/>
    <x v="1"/>
    <x v="7"/>
    <x v="22"/>
    <n v="2027"/>
    <x v="14"/>
    <n v="945621.4881265217"/>
  </r>
  <r>
    <x v="0"/>
    <x v="1"/>
    <x v="7"/>
    <x v="22"/>
    <n v="2028"/>
    <x v="15"/>
    <n v="1100989.1696529826"/>
  </r>
  <r>
    <x v="0"/>
    <x v="1"/>
    <x v="7"/>
    <x v="22"/>
    <n v="2029"/>
    <x v="16"/>
    <n v="1253708.4556940817"/>
  </r>
  <r>
    <x v="0"/>
    <x v="1"/>
    <x v="7"/>
    <x v="22"/>
    <n v="2030"/>
    <x v="17"/>
    <n v="1403812.1258157992"/>
  </r>
  <r>
    <x v="0"/>
    <x v="1"/>
    <x v="7"/>
    <x v="22"/>
    <n v="2031"/>
    <x v="18"/>
    <n v="1551333.2385585615"/>
  </r>
  <r>
    <x v="0"/>
    <x v="1"/>
    <x v="7"/>
    <x v="22"/>
    <n v="2032"/>
    <x v="19"/>
    <n v="1696305.0815922413"/>
  </r>
  <r>
    <x v="0"/>
    <x v="1"/>
    <x v="7"/>
    <x v="22"/>
    <n v="2033"/>
    <x v="20"/>
    <n v="1839687.7304016543"/>
  </r>
  <r>
    <x v="0"/>
    <x v="1"/>
    <x v="7"/>
    <x v="22"/>
    <n v="2034"/>
    <x v="21"/>
    <n v="1989999.4059411478"/>
  </r>
  <r>
    <x v="0"/>
    <x v="1"/>
    <x v="7"/>
    <x v="22"/>
    <n v="2035"/>
    <x v="22"/>
    <n v="2137364.6967396978"/>
  </r>
  <r>
    <x v="0"/>
    <x v="1"/>
    <x v="7"/>
    <x v="22"/>
    <n v="2036"/>
    <x v="23"/>
    <n v="2281841.348745727"/>
  </r>
  <r>
    <x v="0"/>
    <x v="1"/>
    <x v="7"/>
    <x v="22"/>
    <n v="2037"/>
    <x v="24"/>
    <n v="2423322.7721575624"/>
  </r>
  <r>
    <x v="0"/>
    <x v="1"/>
    <x v="7"/>
    <x v="22"/>
    <n v="2038"/>
    <x v="25"/>
    <n v="2561856.006192205"/>
  </r>
  <r>
    <x v="0"/>
    <x v="1"/>
    <x v="7"/>
    <x v="22"/>
    <n v="2039"/>
    <x v="26"/>
    <n v="2697503.9277219805"/>
  </r>
  <r>
    <x v="0"/>
    <x v="1"/>
    <x v="7"/>
    <x v="22"/>
    <n v="2040"/>
    <x v="27"/>
    <n v="2830328.0330916708"/>
  </r>
  <r>
    <x v="0"/>
    <x v="1"/>
    <x v="7"/>
    <x v="22"/>
    <n v="2041"/>
    <x v="28"/>
    <n v="2960388.4694881015"/>
  </r>
  <r>
    <x v="0"/>
    <x v="1"/>
    <x v="7"/>
    <x v="22"/>
    <n v="2042"/>
    <x v="29"/>
    <n v="3087744.0655693817"/>
  </r>
  <r>
    <x v="0"/>
    <x v="1"/>
    <x v="8"/>
    <x v="23"/>
    <n v="2013"/>
    <x v="0"/>
    <n v="-43015.05"/>
  </r>
  <r>
    <x v="0"/>
    <x v="1"/>
    <x v="8"/>
    <x v="23"/>
    <n v="2014"/>
    <x v="1"/>
    <n v="-86352.285865219877"/>
  </r>
  <r>
    <x v="0"/>
    <x v="1"/>
    <x v="8"/>
    <x v="23"/>
    <n v="2015"/>
    <x v="2"/>
    <n v="-138541.19578403595"/>
  </r>
  <r>
    <x v="0"/>
    <x v="1"/>
    <x v="8"/>
    <x v="23"/>
    <n v="2016"/>
    <x v="3"/>
    <n v="-190867.38028908212"/>
  </r>
  <r>
    <x v="0"/>
    <x v="1"/>
    <x v="8"/>
    <x v="23"/>
    <n v="2017"/>
    <x v="4"/>
    <n v="-160208.65625830356"/>
  </r>
  <r>
    <x v="0"/>
    <x v="1"/>
    <x v="8"/>
    <x v="23"/>
    <n v="2018"/>
    <x v="5"/>
    <n v="-129613.12454394237"/>
  </r>
  <r>
    <x v="0"/>
    <x v="1"/>
    <x v="8"/>
    <x v="23"/>
    <n v="2019"/>
    <x v="6"/>
    <n v="-99071.520326821774"/>
  </r>
  <r>
    <x v="0"/>
    <x v="1"/>
    <x v="8"/>
    <x v="23"/>
    <n v="2020"/>
    <x v="7"/>
    <n v="-68574.782209965459"/>
  </r>
  <r>
    <x v="0"/>
    <x v="1"/>
    <x v="8"/>
    <x v="23"/>
    <n v="2021"/>
    <x v="8"/>
    <n v="-38114.045699339869"/>
  </r>
  <r>
    <x v="0"/>
    <x v="1"/>
    <x v="8"/>
    <x v="23"/>
    <n v="2022"/>
    <x v="9"/>
    <n v="135679.72542037279"/>
  </r>
  <r>
    <x v="0"/>
    <x v="1"/>
    <x v="8"/>
    <x v="23"/>
    <n v="2023"/>
    <x v="10"/>
    <n v="304767.39489532122"/>
  </r>
  <r>
    <x v="0"/>
    <x v="1"/>
    <x v="8"/>
    <x v="23"/>
    <n v="2024"/>
    <x v="11"/>
    <n v="471048.94074792665"/>
  </r>
  <r>
    <x v="0"/>
    <x v="1"/>
    <x v="8"/>
    <x v="23"/>
    <n v="2025"/>
    <x v="12"/>
    <n v="634554.87840737938"/>
  </r>
  <r>
    <x v="0"/>
    <x v="1"/>
    <x v="8"/>
    <x v="23"/>
    <n v="2026"/>
    <x v="13"/>
    <n v="795316.30457843153"/>
  </r>
  <r>
    <x v="0"/>
    <x v="1"/>
    <x v="8"/>
    <x v="23"/>
    <n v="2027"/>
    <x v="14"/>
    <n v="953364.82905016933"/>
  </r>
  <r>
    <x v="0"/>
    <x v="1"/>
    <x v="8"/>
    <x v="23"/>
    <n v="2028"/>
    <x v="15"/>
    <n v="1108732.5105766302"/>
  </r>
  <r>
    <x v="0"/>
    <x v="1"/>
    <x v="8"/>
    <x v="23"/>
    <n v="2029"/>
    <x v="16"/>
    <n v="1261451.7966177294"/>
  </r>
  <r>
    <x v="0"/>
    <x v="1"/>
    <x v="8"/>
    <x v="23"/>
    <n v="2030"/>
    <x v="17"/>
    <n v="1411555.4667394469"/>
  </r>
  <r>
    <x v="0"/>
    <x v="1"/>
    <x v="8"/>
    <x v="23"/>
    <n v="2031"/>
    <x v="18"/>
    <n v="1559076.5794822094"/>
  </r>
  <r>
    <x v="0"/>
    <x v="1"/>
    <x v="8"/>
    <x v="23"/>
    <n v="2032"/>
    <x v="19"/>
    <n v="1704048.4225158892"/>
  </r>
  <r>
    <x v="0"/>
    <x v="1"/>
    <x v="8"/>
    <x v="23"/>
    <n v="2033"/>
    <x v="20"/>
    <n v="1846504.4659088764"/>
  </r>
  <r>
    <x v="0"/>
    <x v="1"/>
    <x v="8"/>
    <x v="23"/>
    <n v="2034"/>
    <x v="21"/>
    <n v="1990518.6768863541"/>
  </r>
  <r>
    <x v="0"/>
    <x v="1"/>
    <x v="8"/>
    <x v="23"/>
    <n v="2035"/>
    <x v="22"/>
    <n v="2137883.9676849041"/>
  </r>
  <r>
    <x v="0"/>
    <x v="1"/>
    <x v="8"/>
    <x v="23"/>
    <n v="2036"/>
    <x v="23"/>
    <n v="2282360.6196909333"/>
  </r>
  <r>
    <x v="0"/>
    <x v="1"/>
    <x v="8"/>
    <x v="23"/>
    <n v="2037"/>
    <x v="24"/>
    <n v="2423842.0431027687"/>
  </r>
  <r>
    <x v="0"/>
    <x v="1"/>
    <x v="8"/>
    <x v="23"/>
    <n v="2038"/>
    <x v="25"/>
    <n v="2562375.2771374113"/>
  </r>
  <r>
    <x v="0"/>
    <x v="1"/>
    <x v="8"/>
    <x v="23"/>
    <n v="2039"/>
    <x v="26"/>
    <n v="2698023.1986671868"/>
  </r>
  <r>
    <x v="0"/>
    <x v="1"/>
    <x v="8"/>
    <x v="23"/>
    <n v="2040"/>
    <x v="27"/>
    <n v="2830847.3040368771"/>
  </r>
  <r>
    <x v="0"/>
    <x v="1"/>
    <x v="8"/>
    <x v="23"/>
    <n v="2041"/>
    <x v="28"/>
    <n v="2960907.7404333078"/>
  </r>
  <r>
    <x v="0"/>
    <x v="1"/>
    <x v="8"/>
    <x v="23"/>
    <n v="2042"/>
    <x v="29"/>
    <n v="3088263.336514588"/>
  </r>
  <r>
    <x v="0"/>
    <x v="1"/>
    <x v="9"/>
    <x v="24"/>
    <n v="2013"/>
    <x v="0"/>
    <n v="52525.686799999996"/>
  </r>
  <r>
    <x v="0"/>
    <x v="1"/>
    <x v="9"/>
    <x v="24"/>
    <n v="2014"/>
    <x v="1"/>
    <n v="103045.21008954883"/>
  </r>
  <r>
    <x v="0"/>
    <x v="1"/>
    <x v="9"/>
    <x v="24"/>
    <n v="2015"/>
    <x v="2"/>
    <n v="152565.98092317433"/>
  </r>
  <r>
    <x v="0"/>
    <x v="1"/>
    <x v="9"/>
    <x v="24"/>
    <n v="2016"/>
    <x v="3"/>
    <n v="204951.40008844491"/>
  </r>
  <r>
    <x v="0"/>
    <x v="1"/>
    <x v="9"/>
    <x v="24"/>
    <n v="2017"/>
    <x v="4"/>
    <n v="264104.65274828218"/>
  </r>
  <r>
    <x v="0"/>
    <x v="1"/>
    <x v="9"/>
    <x v="24"/>
    <n v="2018"/>
    <x v="5"/>
    <n v="322956.40336350905"/>
  </r>
  <r>
    <x v="0"/>
    <x v="1"/>
    <x v="9"/>
    <x v="24"/>
    <n v="2019"/>
    <x v="6"/>
    <n v="382458.16257085698"/>
  </r>
  <r>
    <x v="0"/>
    <x v="1"/>
    <x v="9"/>
    <x v="24"/>
    <n v="2020"/>
    <x v="7"/>
    <n v="441575.28506588424"/>
  </r>
  <r>
    <x v="0"/>
    <x v="1"/>
    <x v="9"/>
    <x v="24"/>
    <n v="2021"/>
    <x v="8"/>
    <n v="500654.23446862109"/>
  </r>
  <r>
    <x v="0"/>
    <x v="1"/>
    <x v="9"/>
    <x v="24"/>
    <n v="2022"/>
    <x v="9"/>
    <n v="563703.58569574018"/>
  </r>
  <r>
    <x v="0"/>
    <x v="1"/>
    <x v="9"/>
    <x v="24"/>
    <n v="2023"/>
    <x v="10"/>
    <n v="633076.84402750398"/>
  </r>
  <r>
    <x v="0"/>
    <x v="1"/>
    <x v="9"/>
    <x v="24"/>
    <n v="2024"/>
    <x v="11"/>
    <n v="699827.65845398873"/>
  </r>
  <r>
    <x v="0"/>
    <x v="1"/>
    <x v="9"/>
    <x v="24"/>
    <n v="2025"/>
    <x v="12"/>
    <n v="765347.00767356099"/>
  </r>
  <r>
    <x v="0"/>
    <x v="1"/>
    <x v="9"/>
    <x v="24"/>
    <n v="2026"/>
    <x v="13"/>
    <n v="828389.49004259263"/>
  </r>
  <r>
    <x v="0"/>
    <x v="1"/>
    <x v="9"/>
    <x v="24"/>
    <n v="2027"/>
    <x v="14"/>
    <n v="890951.83217297471"/>
  </r>
  <r>
    <x v="0"/>
    <x v="1"/>
    <x v="9"/>
    <x v="24"/>
    <n v="2028"/>
    <x v="15"/>
    <n v="951136.17356786923"/>
  </r>
  <r>
    <x v="0"/>
    <x v="1"/>
    <x v="9"/>
    <x v="24"/>
    <n v="2029"/>
    <x v="16"/>
    <n v="1044372.9214097006"/>
  </r>
  <r>
    <x v="0"/>
    <x v="1"/>
    <x v="9"/>
    <x v="24"/>
    <n v="2030"/>
    <x v="17"/>
    <n v="1134011.7263994056"/>
  </r>
  <r>
    <x v="0"/>
    <x v="1"/>
    <x v="9"/>
    <x v="24"/>
    <n v="2031"/>
    <x v="18"/>
    <n v="1221358.7670303637"/>
  </r>
  <r>
    <x v="0"/>
    <x v="1"/>
    <x v="9"/>
    <x v="24"/>
    <n v="2032"/>
    <x v="19"/>
    <n v="1305335.1743207369"/>
  </r>
  <r>
    <x v="0"/>
    <x v="1"/>
    <x v="9"/>
    <x v="24"/>
    <n v="2033"/>
    <x v="20"/>
    <n v="1387722.5002531181"/>
  </r>
  <r>
    <x v="0"/>
    <x v="1"/>
    <x v="9"/>
    <x v="24"/>
    <n v="2034"/>
    <x v="21"/>
    <n v="1466930.5801612765"/>
  </r>
  <r>
    <x v="0"/>
    <x v="1"/>
    <x v="9"/>
    <x v="24"/>
    <n v="2035"/>
    <x v="22"/>
    <n v="1547186.8880632753"/>
  </r>
  <r>
    <x v="0"/>
    <x v="1"/>
    <x v="9"/>
    <x v="24"/>
    <n v="2036"/>
    <x v="23"/>
    <n v="1624346.0394552578"/>
  </r>
  <r>
    <x v="0"/>
    <x v="1"/>
    <x v="9"/>
    <x v="24"/>
    <n v="2037"/>
    <x v="24"/>
    <n v="1764292.2811773696"/>
  </r>
  <r>
    <x v="0"/>
    <x v="1"/>
    <x v="9"/>
    <x v="24"/>
    <n v="2038"/>
    <x v="25"/>
    <n v="1901171.7617418771"/>
  </r>
  <r>
    <x v="0"/>
    <x v="1"/>
    <x v="9"/>
    <x v="24"/>
    <n v="2039"/>
    <x v="26"/>
    <n v="2034999.9112046375"/>
  </r>
  <r>
    <x v="0"/>
    <x v="1"/>
    <x v="9"/>
    <x v="24"/>
    <n v="2040"/>
    <x v="27"/>
    <n v="2165849.1500067571"/>
  </r>
  <r>
    <x v="0"/>
    <x v="1"/>
    <x v="9"/>
    <x v="24"/>
    <n v="2041"/>
    <x v="28"/>
    <n v="2293790.0388746825"/>
  </r>
  <r>
    <x v="0"/>
    <x v="1"/>
    <x v="9"/>
    <x v="24"/>
    <n v="2042"/>
    <x v="29"/>
    <n v="2418891.3309130184"/>
  </r>
  <r>
    <x v="0"/>
    <x v="1"/>
    <x v="10"/>
    <x v="25"/>
    <n v="2013"/>
    <x v="0"/>
    <n v="41042.997114989732"/>
  </r>
  <r>
    <x v="0"/>
    <x v="1"/>
    <x v="10"/>
    <x v="25"/>
    <n v="2014"/>
    <x v="1"/>
    <n v="65715.375570480697"/>
  </r>
  <r>
    <x v="0"/>
    <x v="1"/>
    <x v="10"/>
    <x v="25"/>
    <n v="2015"/>
    <x v="2"/>
    <n v="89584.222784524245"/>
  </r>
  <r>
    <x v="0"/>
    <x v="1"/>
    <x v="10"/>
    <x v="25"/>
    <n v="2016"/>
    <x v="3"/>
    <n v="113201.76547692725"/>
  </r>
  <r>
    <x v="0"/>
    <x v="1"/>
    <x v="10"/>
    <x v="25"/>
    <n v="2017"/>
    <x v="4"/>
    <n v="172355.01813676453"/>
  </r>
  <r>
    <x v="0"/>
    <x v="1"/>
    <x v="10"/>
    <x v="25"/>
    <n v="2018"/>
    <x v="5"/>
    <n v="231206.76875199139"/>
  </r>
  <r>
    <x v="0"/>
    <x v="1"/>
    <x v="10"/>
    <x v="25"/>
    <n v="2019"/>
    <x v="6"/>
    <n v="290708.52795933932"/>
  </r>
  <r>
    <x v="0"/>
    <x v="1"/>
    <x v="10"/>
    <x v="25"/>
    <n v="2020"/>
    <x v="7"/>
    <n v="349825.65045436658"/>
  </r>
  <r>
    <x v="0"/>
    <x v="1"/>
    <x v="10"/>
    <x v="25"/>
    <n v="2021"/>
    <x v="8"/>
    <n v="408904.59985710343"/>
  </r>
  <r>
    <x v="0"/>
    <x v="1"/>
    <x v="10"/>
    <x v="25"/>
    <n v="2022"/>
    <x v="9"/>
    <n v="471953.95108422253"/>
  </r>
  <r>
    <x v="0"/>
    <x v="1"/>
    <x v="10"/>
    <x v="25"/>
    <n v="2023"/>
    <x v="10"/>
    <n v="541327.20941598632"/>
  </r>
  <r>
    <x v="0"/>
    <x v="1"/>
    <x v="10"/>
    <x v="25"/>
    <n v="2024"/>
    <x v="11"/>
    <n v="608078.02384247107"/>
  </r>
  <r>
    <x v="0"/>
    <x v="1"/>
    <x v="10"/>
    <x v="25"/>
    <n v="2025"/>
    <x v="12"/>
    <n v="673597.37306204333"/>
  </r>
  <r>
    <x v="0"/>
    <x v="1"/>
    <x v="10"/>
    <x v="25"/>
    <n v="2026"/>
    <x v="13"/>
    <n v="773630.78206361749"/>
  </r>
  <r>
    <x v="0"/>
    <x v="1"/>
    <x v="10"/>
    <x v="25"/>
    <n v="2027"/>
    <x v="14"/>
    <n v="871850.45654646866"/>
  </r>
  <r>
    <x v="0"/>
    <x v="1"/>
    <x v="10"/>
    <x v="25"/>
    <n v="2028"/>
    <x v="15"/>
    <n v="966279.93883621902"/>
  </r>
  <r>
    <x v="0"/>
    <x v="1"/>
    <x v="10"/>
    <x v="25"/>
    <n v="2029"/>
    <x v="16"/>
    <n v="1059516.6866780506"/>
  </r>
  <r>
    <x v="0"/>
    <x v="1"/>
    <x v="10"/>
    <x v="25"/>
    <n v="2030"/>
    <x v="17"/>
    <n v="1149155.4916677554"/>
  </r>
  <r>
    <x v="0"/>
    <x v="1"/>
    <x v="10"/>
    <x v="25"/>
    <n v="2031"/>
    <x v="18"/>
    <n v="1236502.5322987135"/>
  </r>
  <r>
    <x v="0"/>
    <x v="1"/>
    <x v="10"/>
    <x v="25"/>
    <n v="2032"/>
    <x v="19"/>
    <n v="1320478.9395890867"/>
  </r>
  <r>
    <x v="0"/>
    <x v="1"/>
    <x v="10"/>
    <x v="25"/>
    <n v="2033"/>
    <x v="20"/>
    <n v="1402866.2655214679"/>
  </r>
  <r>
    <x v="0"/>
    <x v="1"/>
    <x v="10"/>
    <x v="25"/>
    <n v="2034"/>
    <x v="21"/>
    <n v="1482074.3454296263"/>
  </r>
  <r>
    <x v="0"/>
    <x v="1"/>
    <x v="10"/>
    <x v="25"/>
    <n v="2035"/>
    <x v="22"/>
    <n v="1562330.6533316253"/>
  </r>
  <r>
    <x v="0"/>
    <x v="1"/>
    <x v="10"/>
    <x v="25"/>
    <n v="2036"/>
    <x v="23"/>
    <n v="1639489.8047236078"/>
  </r>
  <r>
    <x v="0"/>
    <x v="1"/>
    <x v="10"/>
    <x v="25"/>
    <n v="2037"/>
    <x v="24"/>
    <n v="1700805.4804452304"/>
  </r>
  <r>
    <x v="0"/>
    <x v="1"/>
    <x v="10"/>
    <x v="25"/>
    <n v="2038"/>
    <x v="25"/>
    <n v="1838892.4064063355"/>
  </r>
  <r>
    <x v="0"/>
    <x v="1"/>
    <x v="10"/>
    <x v="25"/>
    <n v="2039"/>
    <x v="26"/>
    <n v="1973881.3400405822"/>
  </r>
  <r>
    <x v="0"/>
    <x v="1"/>
    <x v="10"/>
    <x v="25"/>
    <n v="2040"/>
    <x v="27"/>
    <n v="2105846.5049927123"/>
  </r>
  <r>
    <x v="0"/>
    <x v="1"/>
    <x v="10"/>
    <x v="25"/>
    <n v="2041"/>
    <x v="28"/>
    <n v="2234860.1955087534"/>
  </r>
  <r>
    <x v="0"/>
    <x v="1"/>
    <x v="10"/>
    <x v="25"/>
    <n v="2042"/>
    <x v="29"/>
    <n v="2360992.8312217486"/>
  </r>
  <r>
    <x v="0"/>
    <x v="1"/>
    <x v="11"/>
    <x v="26"/>
    <n v="2013"/>
    <x v="0"/>
    <n v="52525.686799999996"/>
  </r>
  <r>
    <x v="0"/>
    <x v="1"/>
    <x v="11"/>
    <x v="26"/>
    <n v="2014"/>
    <x v="1"/>
    <n v="103045.21008954883"/>
  </r>
  <r>
    <x v="0"/>
    <x v="1"/>
    <x v="11"/>
    <x v="26"/>
    <n v="2015"/>
    <x v="2"/>
    <n v="152565.98092317433"/>
  </r>
  <r>
    <x v="0"/>
    <x v="1"/>
    <x v="11"/>
    <x v="26"/>
    <n v="2016"/>
    <x v="3"/>
    <n v="204951.40008844491"/>
  </r>
  <r>
    <x v="0"/>
    <x v="1"/>
    <x v="11"/>
    <x v="26"/>
    <n v="2017"/>
    <x v="4"/>
    <n v="264104.65274828218"/>
  </r>
  <r>
    <x v="0"/>
    <x v="1"/>
    <x v="11"/>
    <x v="26"/>
    <n v="2018"/>
    <x v="5"/>
    <n v="322956.40336350905"/>
  </r>
  <r>
    <x v="0"/>
    <x v="1"/>
    <x v="11"/>
    <x v="26"/>
    <n v="2019"/>
    <x v="6"/>
    <n v="382458.16257085698"/>
  </r>
  <r>
    <x v="0"/>
    <x v="1"/>
    <x v="11"/>
    <x v="26"/>
    <n v="2020"/>
    <x v="7"/>
    <n v="441575.28506588424"/>
  </r>
  <r>
    <x v="0"/>
    <x v="1"/>
    <x v="11"/>
    <x v="26"/>
    <n v="2021"/>
    <x v="8"/>
    <n v="500654.23446862109"/>
  </r>
  <r>
    <x v="0"/>
    <x v="1"/>
    <x v="11"/>
    <x v="26"/>
    <n v="2022"/>
    <x v="9"/>
    <n v="563703.58569574018"/>
  </r>
  <r>
    <x v="0"/>
    <x v="1"/>
    <x v="11"/>
    <x v="26"/>
    <n v="2023"/>
    <x v="10"/>
    <n v="633076.84402750398"/>
  </r>
  <r>
    <x v="0"/>
    <x v="1"/>
    <x v="11"/>
    <x v="26"/>
    <n v="2024"/>
    <x v="11"/>
    <n v="699827.65845398873"/>
  </r>
  <r>
    <x v="0"/>
    <x v="1"/>
    <x v="11"/>
    <x v="26"/>
    <n v="2025"/>
    <x v="12"/>
    <n v="765347.00767356099"/>
  </r>
  <r>
    <x v="0"/>
    <x v="1"/>
    <x v="11"/>
    <x v="26"/>
    <n v="2026"/>
    <x v="13"/>
    <n v="828389.49004259263"/>
  </r>
  <r>
    <x v="0"/>
    <x v="1"/>
    <x v="11"/>
    <x v="26"/>
    <n v="2027"/>
    <x v="14"/>
    <n v="890951.83217297471"/>
  </r>
  <r>
    <x v="0"/>
    <x v="1"/>
    <x v="11"/>
    <x v="26"/>
    <n v="2028"/>
    <x v="15"/>
    <n v="951136.17356786923"/>
  </r>
  <r>
    <x v="0"/>
    <x v="1"/>
    <x v="11"/>
    <x v="26"/>
    <n v="2029"/>
    <x v="16"/>
    <n v="1100481.0747611136"/>
  </r>
  <r>
    <x v="0"/>
    <x v="1"/>
    <x v="11"/>
    <x v="26"/>
    <n v="2030"/>
    <x v="17"/>
    <n v="1246898.6913999806"/>
  </r>
  <r>
    <x v="0"/>
    <x v="1"/>
    <x v="11"/>
    <x v="26"/>
    <n v="2031"/>
    <x v="18"/>
    <n v="1390446.3907302993"/>
  </r>
  <r>
    <x v="0"/>
    <x v="1"/>
    <x v="11"/>
    <x v="26"/>
    <n v="2032"/>
    <x v="19"/>
    <n v="1531180.4160380152"/>
  </r>
  <r>
    <x v="0"/>
    <x v="1"/>
    <x v="11"/>
    <x v="26"/>
    <n v="2033"/>
    <x v="20"/>
    <n v="1669155.9086617529"/>
  </r>
  <r>
    <x v="0"/>
    <x v="1"/>
    <x v="11"/>
    <x v="26"/>
    <n v="2034"/>
    <x v="21"/>
    <n v="1804426.929574514"/>
  </r>
  <r>
    <x v="0"/>
    <x v="1"/>
    <x v="11"/>
    <x v="26"/>
    <n v="2035"/>
    <x v="22"/>
    <n v="1937046.480542934"/>
  </r>
  <r>
    <x v="0"/>
    <x v="1"/>
    <x v="11"/>
    <x v="26"/>
    <n v="2036"/>
    <x v="23"/>
    <n v="2067066.5248723649"/>
  </r>
  <r>
    <x v="0"/>
    <x v="1"/>
    <x v="11"/>
    <x v="26"/>
    <n v="2037"/>
    <x v="24"/>
    <n v="2194538.0077458788"/>
  </r>
  <r>
    <x v="0"/>
    <x v="1"/>
    <x v="11"/>
    <x v="26"/>
    <n v="2038"/>
    <x v="25"/>
    <n v="2319510.8761651362"/>
  </r>
  <r>
    <x v="0"/>
    <x v="1"/>
    <x v="11"/>
    <x v="26"/>
    <n v="2039"/>
    <x v="26"/>
    <n v="2442034.0985009102"/>
  </r>
  <r>
    <x v="0"/>
    <x v="1"/>
    <x v="11"/>
    <x v="26"/>
    <n v="2040"/>
    <x v="27"/>
    <n v="2562155.6836608946"/>
  </r>
  <r>
    <x v="0"/>
    <x v="1"/>
    <x v="11"/>
    <x v="26"/>
    <n v="2041"/>
    <x v="28"/>
    <n v="2679922.6998822857"/>
  </r>
  <r>
    <x v="0"/>
    <x v="1"/>
    <x v="11"/>
    <x v="26"/>
    <n v="2042"/>
    <x v="29"/>
    <n v="2795381.293156479"/>
  </r>
  <r>
    <x v="0"/>
    <x v="1"/>
    <x v="12"/>
    <x v="27"/>
    <n v="2013"/>
    <x v="0"/>
    <n v="41042.997114989732"/>
  </r>
  <r>
    <x v="0"/>
    <x v="1"/>
    <x v="12"/>
    <x v="27"/>
    <n v="2014"/>
    <x v="1"/>
    <n v="65715.375570480697"/>
  </r>
  <r>
    <x v="0"/>
    <x v="1"/>
    <x v="12"/>
    <x v="27"/>
    <n v="2015"/>
    <x v="2"/>
    <n v="89584.222784524245"/>
  </r>
  <r>
    <x v="0"/>
    <x v="1"/>
    <x v="12"/>
    <x v="27"/>
    <n v="2016"/>
    <x v="3"/>
    <n v="113201.76547692725"/>
  </r>
  <r>
    <x v="0"/>
    <x v="1"/>
    <x v="12"/>
    <x v="27"/>
    <n v="2017"/>
    <x v="4"/>
    <n v="172355.01813676453"/>
  </r>
  <r>
    <x v="0"/>
    <x v="1"/>
    <x v="12"/>
    <x v="27"/>
    <n v="2018"/>
    <x v="5"/>
    <n v="231206.76875199139"/>
  </r>
  <r>
    <x v="0"/>
    <x v="1"/>
    <x v="12"/>
    <x v="27"/>
    <n v="2019"/>
    <x v="6"/>
    <n v="290708.52795933932"/>
  </r>
  <r>
    <x v="0"/>
    <x v="1"/>
    <x v="12"/>
    <x v="27"/>
    <n v="2020"/>
    <x v="7"/>
    <n v="349825.65045436658"/>
  </r>
  <r>
    <x v="0"/>
    <x v="1"/>
    <x v="12"/>
    <x v="27"/>
    <n v="2021"/>
    <x v="8"/>
    <n v="408904.59985710343"/>
  </r>
  <r>
    <x v="0"/>
    <x v="1"/>
    <x v="12"/>
    <x v="27"/>
    <n v="2022"/>
    <x v="9"/>
    <n v="471953.95108422253"/>
  </r>
  <r>
    <x v="0"/>
    <x v="1"/>
    <x v="12"/>
    <x v="27"/>
    <n v="2023"/>
    <x v="10"/>
    <n v="541327.20941598632"/>
  </r>
  <r>
    <x v="0"/>
    <x v="1"/>
    <x v="12"/>
    <x v="27"/>
    <n v="2024"/>
    <x v="11"/>
    <n v="608078.02384247107"/>
  </r>
  <r>
    <x v="0"/>
    <x v="1"/>
    <x v="12"/>
    <x v="27"/>
    <n v="2025"/>
    <x v="12"/>
    <n v="673597.37306204333"/>
  </r>
  <r>
    <x v="0"/>
    <x v="1"/>
    <x v="12"/>
    <x v="27"/>
    <n v="2026"/>
    <x v="13"/>
    <n v="832079.91047086322"/>
  </r>
  <r>
    <x v="0"/>
    <x v="1"/>
    <x v="12"/>
    <x v="27"/>
    <n v="2027"/>
    <x v="14"/>
    <n v="987456.09105822339"/>
  </r>
  <r>
    <x v="0"/>
    <x v="1"/>
    <x v="12"/>
    <x v="27"/>
    <n v="2028"/>
    <x v="15"/>
    <n v="1139786.7904635807"/>
  </r>
  <r>
    <x v="0"/>
    <x v="1"/>
    <x v="12"/>
    <x v="27"/>
    <n v="2029"/>
    <x v="16"/>
    <n v="1289131.6916568251"/>
  </r>
  <r>
    <x v="0"/>
    <x v="1"/>
    <x v="12"/>
    <x v="27"/>
    <n v="2030"/>
    <x v="17"/>
    <n v="1435549.3082956921"/>
  </r>
  <r>
    <x v="0"/>
    <x v="1"/>
    <x v="12"/>
    <x v="27"/>
    <n v="2031"/>
    <x v="18"/>
    <n v="1579097.0076260108"/>
  </r>
  <r>
    <x v="0"/>
    <x v="1"/>
    <x v="12"/>
    <x v="27"/>
    <n v="2032"/>
    <x v="19"/>
    <n v="1719831.0329337267"/>
  </r>
  <r>
    <x v="0"/>
    <x v="1"/>
    <x v="12"/>
    <x v="27"/>
    <n v="2033"/>
    <x v="20"/>
    <n v="1857806.5255574645"/>
  </r>
  <r>
    <x v="0"/>
    <x v="1"/>
    <x v="12"/>
    <x v="27"/>
    <n v="2034"/>
    <x v="21"/>
    <n v="1993077.5464702256"/>
  </r>
  <r>
    <x v="0"/>
    <x v="1"/>
    <x v="12"/>
    <x v="27"/>
    <n v="2035"/>
    <x v="22"/>
    <n v="2125697.0974386455"/>
  </r>
  <r>
    <x v="0"/>
    <x v="1"/>
    <x v="12"/>
    <x v="27"/>
    <n v="2036"/>
    <x v="23"/>
    <n v="2255717.1417680765"/>
  </r>
  <r>
    <x v="0"/>
    <x v="1"/>
    <x v="12"/>
    <x v="27"/>
    <n v="2037"/>
    <x v="24"/>
    <n v="2383188.6246415903"/>
  </r>
  <r>
    <x v="0"/>
    <x v="1"/>
    <x v="12"/>
    <x v="27"/>
    <n v="2038"/>
    <x v="25"/>
    <n v="2508161.4930608477"/>
  </r>
  <r>
    <x v="0"/>
    <x v="1"/>
    <x v="12"/>
    <x v="27"/>
    <n v="2039"/>
    <x v="26"/>
    <n v="2630684.7153966217"/>
  </r>
  <r>
    <x v="0"/>
    <x v="1"/>
    <x v="12"/>
    <x v="27"/>
    <n v="2040"/>
    <x v="27"/>
    <n v="2750806.3005566061"/>
  </r>
  <r>
    <x v="0"/>
    <x v="1"/>
    <x v="12"/>
    <x v="27"/>
    <n v="2041"/>
    <x v="28"/>
    <n v="2868573.3167779972"/>
  </r>
  <r>
    <x v="0"/>
    <x v="1"/>
    <x v="12"/>
    <x v="27"/>
    <n v="2042"/>
    <x v="29"/>
    <n v="2984031.9100521905"/>
  </r>
  <r>
    <x v="0"/>
    <x v="2"/>
    <x v="0"/>
    <x v="28"/>
    <n v="2013"/>
    <x v="0"/>
    <n v="52525.686799999996"/>
  </r>
  <r>
    <x v="0"/>
    <x v="2"/>
    <x v="0"/>
    <x v="28"/>
    <n v="2014"/>
    <x v="1"/>
    <n v="103045.21008954883"/>
  </r>
  <r>
    <x v="0"/>
    <x v="2"/>
    <x v="0"/>
    <x v="28"/>
    <n v="2015"/>
    <x v="2"/>
    <n v="152565.98092317433"/>
  </r>
  <r>
    <x v="0"/>
    <x v="2"/>
    <x v="0"/>
    <x v="28"/>
    <n v="2016"/>
    <x v="3"/>
    <n v="204951.40008844491"/>
  </r>
  <r>
    <x v="0"/>
    <x v="2"/>
    <x v="0"/>
    <x v="28"/>
    <n v="2017"/>
    <x v="4"/>
    <n v="264104.65274828218"/>
  </r>
  <r>
    <x v="0"/>
    <x v="2"/>
    <x v="0"/>
    <x v="28"/>
    <n v="2018"/>
    <x v="5"/>
    <n v="322956.40336350905"/>
  </r>
  <r>
    <x v="0"/>
    <x v="2"/>
    <x v="0"/>
    <x v="28"/>
    <n v="2019"/>
    <x v="6"/>
    <n v="382458.16257085698"/>
  </r>
  <r>
    <x v="0"/>
    <x v="2"/>
    <x v="0"/>
    <x v="28"/>
    <n v="2020"/>
    <x v="7"/>
    <n v="441575.28506588424"/>
  </r>
  <r>
    <x v="0"/>
    <x v="2"/>
    <x v="0"/>
    <x v="28"/>
    <n v="2021"/>
    <x v="8"/>
    <n v="500654.23446862109"/>
  </r>
  <r>
    <x v="0"/>
    <x v="2"/>
    <x v="0"/>
    <x v="28"/>
    <n v="2022"/>
    <x v="9"/>
    <n v="563703.58569574018"/>
  </r>
  <r>
    <x v="0"/>
    <x v="2"/>
    <x v="0"/>
    <x v="28"/>
    <n v="2023"/>
    <x v="10"/>
    <n v="633076.84402750398"/>
  </r>
  <r>
    <x v="0"/>
    <x v="2"/>
    <x v="0"/>
    <x v="28"/>
    <n v="2024"/>
    <x v="11"/>
    <n v="699827.65845398873"/>
  </r>
  <r>
    <x v="0"/>
    <x v="2"/>
    <x v="0"/>
    <x v="28"/>
    <n v="2025"/>
    <x v="12"/>
    <n v="765347.00767356099"/>
  </r>
  <r>
    <x v="0"/>
    <x v="2"/>
    <x v="0"/>
    <x v="28"/>
    <n v="2026"/>
    <x v="13"/>
    <n v="828389.49004259263"/>
  </r>
  <r>
    <x v="0"/>
    <x v="2"/>
    <x v="0"/>
    <x v="28"/>
    <n v="2027"/>
    <x v="14"/>
    <n v="890951.83217297471"/>
  </r>
  <r>
    <x v="0"/>
    <x v="2"/>
    <x v="0"/>
    <x v="28"/>
    <n v="2028"/>
    <x v="15"/>
    <n v="951136.17356786923"/>
  </r>
  <r>
    <x v="0"/>
    <x v="2"/>
    <x v="0"/>
    <x v="28"/>
    <n v="2029"/>
    <x v="16"/>
    <n v="1047802.4290000375"/>
  </r>
  <r>
    <x v="0"/>
    <x v="2"/>
    <x v="0"/>
    <x v="28"/>
    <n v="2030"/>
    <x v="17"/>
    <n v="1140738.209685764"/>
  </r>
  <r>
    <x v="0"/>
    <x v="2"/>
    <x v="0"/>
    <x v="28"/>
    <n v="2031"/>
    <x v="18"/>
    <n v="1231254.8157583571"/>
  </r>
  <r>
    <x v="0"/>
    <x v="2"/>
    <x v="0"/>
    <x v="28"/>
    <n v="2032"/>
    <x v="19"/>
    <n v="1318278.3019522629"/>
  </r>
  <r>
    <x v="0"/>
    <x v="2"/>
    <x v="0"/>
    <x v="28"/>
    <n v="2033"/>
    <x v="20"/>
    <n v="1403594.9536913906"/>
  </r>
  <r>
    <x v="0"/>
    <x v="2"/>
    <x v="0"/>
    <x v="28"/>
    <n v="2034"/>
    <x v="21"/>
    <n v="1485619.156828955"/>
  </r>
  <r>
    <x v="0"/>
    <x v="2"/>
    <x v="0"/>
    <x v="28"/>
    <n v="2035"/>
    <x v="22"/>
    <n v="1568551.9580712216"/>
  </r>
  <r>
    <x v="0"/>
    <x v="2"/>
    <x v="0"/>
    <x v="28"/>
    <n v="2036"/>
    <x v="23"/>
    <n v="1648313.7824803048"/>
  </r>
  <r>
    <x v="0"/>
    <x v="2"/>
    <x v="0"/>
    <x v="28"/>
    <n v="2037"/>
    <x v="24"/>
    <n v="1727461.4127613383"/>
  </r>
  <r>
    <x v="0"/>
    <x v="2"/>
    <x v="0"/>
    <x v="28"/>
    <n v="2038"/>
    <x v="25"/>
    <n v="1803596.991892806"/>
  </r>
  <r>
    <x v="0"/>
    <x v="2"/>
    <x v="0"/>
    <x v="28"/>
    <n v="2039"/>
    <x v="26"/>
    <n v="1878104.6600735392"/>
  </r>
  <r>
    <x v="0"/>
    <x v="2"/>
    <x v="0"/>
    <x v="28"/>
    <n v="2040"/>
    <x v="27"/>
    <n v="1949776.9128513357"/>
  </r>
  <r>
    <x v="0"/>
    <x v="2"/>
    <x v="0"/>
    <x v="28"/>
    <n v="2041"/>
    <x v="28"/>
    <n v="2018722.0449631331"/>
  </r>
  <r>
    <x v="0"/>
    <x v="2"/>
    <x v="0"/>
    <x v="28"/>
    <n v="2042"/>
    <x v="29"/>
    <n v="2085044.203384842"/>
  </r>
  <r>
    <x v="0"/>
    <x v="2"/>
    <x v="1"/>
    <x v="29"/>
    <n v="2013"/>
    <x v="0"/>
    <n v="41042.997114989732"/>
  </r>
  <r>
    <x v="0"/>
    <x v="2"/>
    <x v="1"/>
    <x v="29"/>
    <n v="2014"/>
    <x v="1"/>
    <n v="65715.375570480697"/>
  </r>
  <r>
    <x v="0"/>
    <x v="2"/>
    <x v="1"/>
    <x v="29"/>
    <n v="2015"/>
    <x v="2"/>
    <n v="89584.222784524245"/>
  </r>
  <r>
    <x v="0"/>
    <x v="2"/>
    <x v="1"/>
    <x v="29"/>
    <n v="2016"/>
    <x v="3"/>
    <n v="113201.76547692725"/>
  </r>
  <r>
    <x v="0"/>
    <x v="2"/>
    <x v="1"/>
    <x v="29"/>
    <n v="2017"/>
    <x v="4"/>
    <n v="172355.01813676453"/>
  </r>
  <r>
    <x v="0"/>
    <x v="2"/>
    <x v="1"/>
    <x v="29"/>
    <n v="2018"/>
    <x v="5"/>
    <n v="231206.76875199139"/>
  </r>
  <r>
    <x v="0"/>
    <x v="2"/>
    <x v="1"/>
    <x v="29"/>
    <n v="2019"/>
    <x v="6"/>
    <n v="290708.52795933932"/>
  </r>
  <r>
    <x v="0"/>
    <x v="2"/>
    <x v="1"/>
    <x v="29"/>
    <n v="2020"/>
    <x v="7"/>
    <n v="349825.65045436658"/>
  </r>
  <r>
    <x v="0"/>
    <x v="2"/>
    <x v="1"/>
    <x v="29"/>
    <n v="2021"/>
    <x v="8"/>
    <n v="408904.59985710343"/>
  </r>
  <r>
    <x v="0"/>
    <x v="2"/>
    <x v="1"/>
    <x v="29"/>
    <n v="2022"/>
    <x v="9"/>
    <n v="471953.95108422253"/>
  </r>
  <r>
    <x v="0"/>
    <x v="2"/>
    <x v="1"/>
    <x v="29"/>
    <n v="2023"/>
    <x v="10"/>
    <n v="541327.20941598632"/>
  </r>
  <r>
    <x v="0"/>
    <x v="2"/>
    <x v="1"/>
    <x v="29"/>
    <n v="2024"/>
    <x v="11"/>
    <n v="608078.02384247107"/>
  </r>
  <r>
    <x v="0"/>
    <x v="2"/>
    <x v="1"/>
    <x v="29"/>
    <n v="2025"/>
    <x v="12"/>
    <n v="673597.37306204333"/>
  </r>
  <r>
    <x v="0"/>
    <x v="2"/>
    <x v="1"/>
    <x v="29"/>
    <n v="2026"/>
    <x v="13"/>
    <n v="777490.7156867811"/>
  </r>
  <r>
    <x v="0"/>
    <x v="2"/>
    <x v="1"/>
    <x v="29"/>
    <n v="2027"/>
    <x v="14"/>
    <n v="879421.15826347889"/>
  </r>
  <r>
    <x v="0"/>
    <x v="2"/>
    <x v="1"/>
    <x v="29"/>
    <n v="2028"/>
    <x v="15"/>
    <n v="977418.00755759352"/>
  </r>
  <r>
    <x v="0"/>
    <x v="2"/>
    <x v="1"/>
    <x v="29"/>
    <n v="2029"/>
    <x v="16"/>
    <n v="1074084.2629897618"/>
  </r>
  <r>
    <x v="0"/>
    <x v="2"/>
    <x v="1"/>
    <x v="29"/>
    <n v="2030"/>
    <x v="17"/>
    <n v="1167020.0436754883"/>
  </r>
  <r>
    <x v="0"/>
    <x v="2"/>
    <x v="1"/>
    <x v="29"/>
    <n v="2031"/>
    <x v="18"/>
    <n v="1257536.6497480813"/>
  </r>
  <r>
    <x v="0"/>
    <x v="2"/>
    <x v="1"/>
    <x v="29"/>
    <n v="2032"/>
    <x v="19"/>
    <n v="1344560.1359419872"/>
  </r>
  <r>
    <x v="0"/>
    <x v="2"/>
    <x v="1"/>
    <x v="29"/>
    <n v="2033"/>
    <x v="20"/>
    <n v="1429876.7876811149"/>
  </r>
  <r>
    <x v="0"/>
    <x v="2"/>
    <x v="1"/>
    <x v="29"/>
    <n v="2034"/>
    <x v="21"/>
    <n v="1511900.9908186793"/>
  </r>
  <r>
    <x v="0"/>
    <x v="2"/>
    <x v="1"/>
    <x v="29"/>
    <n v="2035"/>
    <x v="22"/>
    <n v="1594833.7920609459"/>
  </r>
  <r>
    <x v="0"/>
    <x v="2"/>
    <x v="1"/>
    <x v="29"/>
    <n v="2036"/>
    <x v="23"/>
    <n v="1674595.6164700291"/>
  </r>
  <r>
    <x v="0"/>
    <x v="2"/>
    <x v="1"/>
    <x v="29"/>
    <n v="2037"/>
    <x v="24"/>
    <n v="1752566.3522263535"/>
  </r>
  <r>
    <x v="0"/>
    <x v="2"/>
    <x v="1"/>
    <x v="29"/>
    <n v="2038"/>
    <x v="25"/>
    <n v="1827795.939449488"/>
  </r>
  <r>
    <x v="0"/>
    <x v="2"/>
    <x v="1"/>
    <x v="29"/>
    <n v="2039"/>
    <x v="26"/>
    <n v="1900363.7850972048"/>
  </r>
  <r>
    <x v="0"/>
    <x v="2"/>
    <x v="1"/>
    <x v="29"/>
    <n v="2040"/>
    <x v="27"/>
    <n v="1970469.6414237358"/>
  </r>
  <r>
    <x v="0"/>
    <x v="2"/>
    <x v="1"/>
    <x v="29"/>
    <n v="2041"/>
    <x v="28"/>
    <n v="2038195.4569263963"/>
  </r>
  <r>
    <x v="0"/>
    <x v="2"/>
    <x v="1"/>
    <x v="29"/>
    <n v="2042"/>
    <x v="29"/>
    <n v="2103914.5327333035"/>
  </r>
  <r>
    <x v="0"/>
    <x v="2"/>
    <x v="2"/>
    <x v="30"/>
    <n v="2013"/>
    <x v="0"/>
    <n v="-43015.05"/>
  </r>
  <r>
    <x v="0"/>
    <x v="2"/>
    <x v="2"/>
    <x v="30"/>
    <n v="2014"/>
    <x v="1"/>
    <n v="-86352.285865219877"/>
  </r>
  <r>
    <x v="0"/>
    <x v="2"/>
    <x v="2"/>
    <x v="30"/>
    <n v="2015"/>
    <x v="2"/>
    <n v="-138541.19578403595"/>
  </r>
  <r>
    <x v="0"/>
    <x v="2"/>
    <x v="2"/>
    <x v="30"/>
    <n v="2016"/>
    <x v="3"/>
    <n v="-190867.38028908212"/>
  </r>
  <r>
    <x v="0"/>
    <x v="2"/>
    <x v="2"/>
    <x v="30"/>
    <n v="2017"/>
    <x v="4"/>
    <n v="-157278.5148229824"/>
  </r>
  <r>
    <x v="0"/>
    <x v="2"/>
    <x v="2"/>
    <x v="30"/>
    <n v="2018"/>
    <x v="5"/>
    <n v="-123668.32270644748"/>
  </r>
  <r>
    <x v="0"/>
    <x v="2"/>
    <x v="2"/>
    <x v="30"/>
    <n v="2019"/>
    <x v="6"/>
    <n v="-90028.481028923678"/>
  </r>
  <r>
    <x v="0"/>
    <x v="2"/>
    <x v="2"/>
    <x v="30"/>
    <n v="2020"/>
    <x v="7"/>
    <n v="-56350.829269688562"/>
  </r>
  <r>
    <x v="0"/>
    <x v="2"/>
    <x v="2"/>
    <x v="30"/>
    <n v="2021"/>
    <x v="8"/>
    <n v="-22627.363852044567"/>
  </r>
  <r>
    <x v="0"/>
    <x v="2"/>
    <x v="2"/>
    <x v="30"/>
    <n v="2022"/>
    <x v="9"/>
    <n v="98097.528519750078"/>
  </r>
  <r>
    <x v="0"/>
    <x v="2"/>
    <x v="2"/>
    <x v="30"/>
    <n v="2023"/>
    <x v="10"/>
    <n v="215761.45782430616"/>
  </r>
  <r>
    <x v="0"/>
    <x v="2"/>
    <x v="2"/>
    <x v="30"/>
    <n v="2024"/>
    <x v="11"/>
    <n v="331620.75173754466"/>
  </r>
  <r>
    <x v="0"/>
    <x v="2"/>
    <x v="2"/>
    <x v="30"/>
    <n v="2025"/>
    <x v="12"/>
    <n v="445683.78447263583"/>
  </r>
  <r>
    <x v="0"/>
    <x v="2"/>
    <x v="2"/>
    <x v="30"/>
    <n v="2026"/>
    <x v="13"/>
    <n v="557960.14877439756"/>
  </r>
  <r>
    <x v="0"/>
    <x v="2"/>
    <x v="2"/>
    <x v="30"/>
    <n v="2027"/>
    <x v="14"/>
    <n v="668460.56304718286"/>
  </r>
  <r>
    <x v="0"/>
    <x v="2"/>
    <x v="2"/>
    <x v="30"/>
    <n v="2028"/>
    <x v="15"/>
    <n v="777196.78369544318"/>
  </r>
  <r>
    <x v="0"/>
    <x v="2"/>
    <x v="2"/>
    <x v="30"/>
    <n v="2029"/>
    <x v="16"/>
    <n v="884197.46596543386"/>
  </r>
  <r>
    <x v="0"/>
    <x v="2"/>
    <x v="2"/>
    <x v="30"/>
    <n v="2030"/>
    <x v="17"/>
    <n v="989594.05461357662"/>
  </r>
  <r>
    <x v="0"/>
    <x v="2"/>
    <x v="2"/>
    <x v="30"/>
    <n v="2031"/>
    <x v="18"/>
    <n v="1093394.4125889665"/>
  </r>
  <r>
    <x v="0"/>
    <x v="2"/>
    <x v="2"/>
    <x v="30"/>
    <n v="2032"/>
    <x v="19"/>
    <n v="1210206.5167799559"/>
  </r>
  <r>
    <x v="0"/>
    <x v="2"/>
    <x v="2"/>
    <x v="30"/>
    <n v="2033"/>
    <x v="20"/>
    <n v="1324737.8335912896"/>
  </r>
  <r>
    <x v="0"/>
    <x v="2"/>
    <x v="2"/>
    <x v="30"/>
    <n v="2034"/>
    <x v="21"/>
    <n v="1437032.8033916366"/>
  </r>
  <r>
    <x v="0"/>
    <x v="2"/>
    <x v="2"/>
    <x v="30"/>
    <n v="2035"/>
    <x v="22"/>
    <n v="1547135.0033529706"/>
  </r>
  <r>
    <x v="0"/>
    <x v="2"/>
    <x v="2"/>
    <x v="30"/>
    <n v="2036"/>
    <x v="23"/>
    <n v="1655087.1641376535"/>
  </r>
  <r>
    <x v="0"/>
    <x v="2"/>
    <x v="2"/>
    <x v="30"/>
    <n v="2037"/>
    <x v="24"/>
    <n v="1760931.1862652625"/>
  </r>
  <r>
    <x v="0"/>
    <x v="2"/>
    <x v="2"/>
    <x v="30"/>
    <n v="2038"/>
    <x v="25"/>
    <n v="1864708.1561652392"/>
  </r>
  <r>
    <x v="0"/>
    <x v="2"/>
    <x v="2"/>
    <x v="30"/>
    <n v="2039"/>
    <x v="26"/>
    <n v="1966456.6324504635"/>
  </r>
  <r>
    <x v="0"/>
    <x v="2"/>
    <x v="2"/>
    <x v="30"/>
    <n v="2040"/>
    <x v="27"/>
    <n v="2066210.8195216733"/>
  </r>
  <r>
    <x v="0"/>
    <x v="2"/>
    <x v="2"/>
    <x v="30"/>
    <n v="2041"/>
    <x v="28"/>
    <n v="2164009.7984011285"/>
  </r>
  <r>
    <x v="0"/>
    <x v="2"/>
    <x v="2"/>
    <x v="30"/>
    <n v="2042"/>
    <x v="29"/>
    <n v="2259891.8844773457"/>
  </r>
  <r>
    <x v="0"/>
    <x v="2"/>
    <x v="3"/>
    <x v="31"/>
    <n v="2013"/>
    <x v="0"/>
    <n v="-43015.05"/>
  </r>
  <r>
    <x v="0"/>
    <x v="2"/>
    <x v="3"/>
    <x v="31"/>
    <n v="2014"/>
    <x v="1"/>
    <n v="-86352.285865219877"/>
  </r>
  <r>
    <x v="0"/>
    <x v="2"/>
    <x v="3"/>
    <x v="31"/>
    <n v="2015"/>
    <x v="2"/>
    <n v="-138541.19578403595"/>
  </r>
  <r>
    <x v="0"/>
    <x v="2"/>
    <x v="3"/>
    <x v="31"/>
    <n v="2016"/>
    <x v="3"/>
    <n v="-190867.38028908212"/>
  </r>
  <r>
    <x v="0"/>
    <x v="2"/>
    <x v="3"/>
    <x v="31"/>
    <n v="2017"/>
    <x v="4"/>
    <n v="-157278.5148229824"/>
  </r>
  <r>
    <x v="0"/>
    <x v="2"/>
    <x v="3"/>
    <x v="31"/>
    <n v="2018"/>
    <x v="5"/>
    <n v="-123668.32270644748"/>
  </r>
  <r>
    <x v="0"/>
    <x v="2"/>
    <x v="3"/>
    <x v="31"/>
    <n v="2019"/>
    <x v="6"/>
    <n v="-90028.481028923678"/>
  </r>
  <r>
    <x v="0"/>
    <x v="2"/>
    <x v="3"/>
    <x v="31"/>
    <n v="2020"/>
    <x v="7"/>
    <n v="-56350.829269688562"/>
  </r>
  <r>
    <x v="0"/>
    <x v="2"/>
    <x v="3"/>
    <x v="31"/>
    <n v="2021"/>
    <x v="8"/>
    <n v="-22627.363852044567"/>
  </r>
  <r>
    <x v="0"/>
    <x v="2"/>
    <x v="3"/>
    <x v="31"/>
    <n v="2022"/>
    <x v="9"/>
    <n v="108106.78426573933"/>
  </r>
  <r>
    <x v="0"/>
    <x v="2"/>
    <x v="3"/>
    <x v="31"/>
    <n v="2023"/>
    <x v="10"/>
    <n v="235297.8939871898"/>
  </r>
  <r>
    <x v="0"/>
    <x v="2"/>
    <x v="3"/>
    <x v="31"/>
    <n v="2024"/>
    <x v="11"/>
    <n v="360225.51116036967"/>
  </r>
  <r>
    <x v="0"/>
    <x v="2"/>
    <x v="3"/>
    <x v="31"/>
    <n v="2025"/>
    <x v="12"/>
    <n v="482920.1099148225"/>
  </r>
  <r>
    <x v="0"/>
    <x v="2"/>
    <x v="3"/>
    <x v="31"/>
    <n v="2026"/>
    <x v="13"/>
    <n v="603412.31851447269"/>
  </r>
  <r>
    <x v="0"/>
    <x v="2"/>
    <x v="3"/>
    <x v="31"/>
    <n v="2027"/>
    <x v="14"/>
    <n v="721732.87775003025"/>
  </r>
  <r>
    <x v="0"/>
    <x v="2"/>
    <x v="3"/>
    <x v="31"/>
    <n v="2028"/>
    <x v="15"/>
    <n v="837912.60207502032"/>
  </r>
  <r>
    <x v="0"/>
    <x v="2"/>
    <x v="3"/>
    <x v="31"/>
    <n v="2029"/>
    <x v="16"/>
    <n v="951998.28689282155"/>
  </r>
  <r>
    <x v="0"/>
    <x v="2"/>
    <x v="3"/>
    <x v="31"/>
    <n v="2030"/>
    <x v="17"/>
    <n v="1064138.6434334167"/>
  </r>
  <r>
    <x v="0"/>
    <x v="2"/>
    <x v="3"/>
    <x v="31"/>
    <n v="2031"/>
    <x v="18"/>
    <n v="1174357.9695150815"/>
  </r>
  <r>
    <x v="0"/>
    <x v="2"/>
    <x v="3"/>
    <x v="31"/>
    <n v="2032"/>
    <x v="19"/>
    <n v="1282680.7475420919"/>
  </r>
  <r>
    <x v="0"/>
    <x v="2"/>
    <x v="3"/>
    <x v="31"/>
    <n v="2033"/>
    <x v="20"/>
    <n v="1389131.6092192363"/>
  </r>
  <r>
    <x v="0"/>
    <x v="2"/>
    <x v="3"/>
    <x v="31"/>
    <n v="2034"/>
    <x v="21"/>
    <n v="1493735.3024783791"/>
  </r>
  <r>
    <x v="0"/>
    <x v="2"/>
    <x v="3"/>
    <x v="31"/>
    <n v="2035"/>
    <x v="22"/>
    <n v="1596516.6605006268"/>
  </r>
  <r>
    <x v="0"/>
    <x v="2"/>
    <x v="3"/>
    <x v="31"/>
    <n v="2036"/>
    <x v="23"/>
    <n v="1697500.5727234532"/>
  </r>
  <r>
    <x v="0"/>
    <x v="2"/>
    <x v="3"/>
    <x v="31"/>
    <n v="2037"/>
    <x v="24"/>
    <n v="1796711.9577276502"/>
  </r>
  <r>
    <x v="0"/>
    <x v="2"/>
    <x v="3"/>
    <x v="31"/>
    <n v="2038"/>
    <x v="25"/>
    <n v="1894175.7379042194"/>
  </r>
  <r>
    <x v="0"/>
    <x v="2"/>
    <x v="3"/>
    <x v="31"/>
    <n v="2039"/>
    <x v="26"/>
    <n v="1989915.0863354483"/>
  </r>
  <r>
    <x v="0"/>
    <x v="2"/>
    <x v="3"/>
    <x v="31"/>
    <n v="2040"/>
    <x v="27"/>
    <n v="2083949.5629040927"/>
  </r>
  <r>
    <x v="0"/>
    <x v="2"/>
    <x v="3"/>
    <x v="31"/>
    <n v="2041"/>
    <x v="28"/>
    <n v="2176304.3094376833"/>
  </r>
  <r>
    <x v="0"/>
    <x v="2"/>
    <x v="3"/>
    <x v="31"/>
    <n v="2042"/>
    <x v="29"/>
    <n v="2267004.3734828089"/>
  </r>
  <r>
    <x v="0"/>
    <x v="2"/>
    <x v="4"/>
    <x v="32"/>
    <n v="2013"/>
    <x v="0"/>
    <n v="-43015.05"/>
  </r>
  <r>
    <x v="0"/>
    <x v="2"/>
    <x v="4"/>
    <x v="32"/>
    <n v="2014"/>
    <x v="1"/>
    <n v="-86352.285865219877"/>
  </r>
  <r>
    <x v="0"/>
    <x v="2"/>
    <x v="4"/>
    <x v="32"/>
    <n v="2015"/>
    <x v="2"/>
    <n v="-138541.19578403595"/>
  </r>
  <r>
    <x v="0"/>
    <x v="2"/>
    <x v="4"/>
    <x v="32"/>
    <n v="2016"/>
    <x v="3"/>
    <n v="-190867.38028908212"/>
  </r>
  <r>
    <x v="0"/>
    <x v="2"/>
    <x v="4"/>
    <x v="32"/>
    <n v="2017"/>
    <x v="4"/>
    <n v="-157278.5148229824"/>
  </r>
  <r>
    <x v="0"/>
    <x v="2"/>
    <x v="4"/>
    <x v="32"/>
    <n v="2018"/>
    <x v="5"/>
    <n v="-123668.32270644748"/>
  </r>
  <r>
    <x v="0"/>
    <x v="2"/>
    <x v="4"/>
    <x v="32"/>
    <n v="2019"/>
    <x v="6"/>
    <n v="-90028.481028923678"/>
  </r>
  <r>
    <x v="0"/>
    <x v="2"/>
    <x v="4"/>
    <x v="32"/>
    <n v="2020"/>
    <x v="7"/>
    <n v="-56350.829269688562"/>
  </r>
  <r>
    <x v="0"/>
    <x v="2"/>
    <x v="4"/>
    <x v="32"/>
    <n v="2021"/>
    <x v="8"/>
    <n v="-22627.363852044567"/>
  </r>
  <r>
    <x v="0"/>
    <x v="2"/>
    <x v="4"/>
    <x v="32"/>
    <n v="2022"/>
    <x v="9"/>
    <e v="#VALUE!"/>
  </r>
  <r>
    <x v="0"/>
    <x v="2"/>
    <x v="4"/>
    <x v="32"/>
    <n v="2023"/>
    <x v="10"/>
    <e v="#VALUE!"/>
  </r>
  <r>
    <x v="0"/>
    <x v="2"/>
    <x v="4"/>
    <x v="32"/>
    <n v="2024"/>
    <x v="11"/>
    <e v="#VALUE!"/>
  </r>
  <r>
    <x v="0"/>
    <x v="2"/>
    <x v="4"/>
    <x v="32"/>
    <n v="2025"/>
    <x v="12"/>
    <e v="#VALUE!"/>
  </r>
  <r>
    <x v="0"/>
    <x v="2"/>
    <x v="4"/>
    <x v="32"/>
    <n v="2026"/>
    <x v="13"/>
    <e v="#VALUE!"/>
  </r>
  <r>
    <x v="0"/>
    <x v="2"/>
    <x v="4"/>
    <x v="32"/>
    <n v="2027"/>
    <x v="14"/>
    <e v="#VALUE!"/>
  </r>
  <r>
    <x v="0"/>
    <x v="2"/>
    <x v="4"/>
    <x v="32"/>
    <n v="2028"/>
    <x v="15"/>
    <e v="#VALUE!"/>
  </r>
  <r>
    <x v="0"/>
    <x v="2"/>
    <x v="4"/>
    <x v="32"/>
    <n v="2029"/>
    <x v="16"/>
    <e v="#VALUE!"/>
  </r>
  <r>
    <x v="0"/>
    <x v="2"/>
    <x v="4"/>
    <x v="32"/>
    <n v="2030"/>
    <x v="17"/>
    <e v="#VALUE!"/>
  </r>
  <r>
    <x v="0"/>
    <x v="2"/>
    <x v="4"/>
    <x v="32"/>
    <n v="2031"/>
    <x v="18"/>
    <e v="#VALUE!"/>
  </r>
  <r>
    <x v="0"/>
    <x v="2"/>
    <x v="4"/>
    <x v="32"/>
    <n v="2032"/>
    <x v="19"/>
    <e v="#VALUE!"/>
  </r>
  <r>
    <x v="0"/>
    <x v="2"/>
    <x v="4"/>
    <x v="32"/>
    <n v="2033"/>
    <x v="20"/>
    <e v="#VALUE!"/>
  </r>
  <r>
    <x v="0"/>
    <x v="2"/>
    <x v="4"/>
    <x v="32"/>
    <n v="2034"/>
    <x v="21"/>
    <e v="#VALUE!"/>
  </r>
  <r>
    <x v="0"/>
    <x v="2"/>
    <x v="4"/>
    <x v="32"/>
    <n v="2035"/>
    <x v="22"/>
    <e v="#VALUE!"/>
  </r>
  <r>
    <x v="0"/>
    <x v="2"/>
    <x v="4"/>
    <x v="32"/>
    <n v="2036"/>
    <x v="23"/>
    <e v="#VALUE!"/>
  </r>
  <r>
    <x v="0"/>
    <x v="2"/>
    <x v="4"/>
    <x v="32"/>
    <n v="2037"/>
    <x v="24"/>
    <e v="#VALUE!"/>
  </r>
  <r>
    <x v="0"/>
    <x v="2"/>
    <x v="4"/>
    <x v="32"/>
    <n v="2038"/>
    <x v="25"/>
    <e v="#VALUE!"/>
  </r>
  <r>
    <x v="0"/>
    <x v="2"/>
    <x v="4"/>
    <x v="32"/>
    <n v="2039"/>
    <x v="26"/>
    <e v="#VALUE!"/>
  </r>
  <r>
    <x v="0"/>
    <x v="2"/>
    <x v="4"/>
    <x v="32"/>
    <n v="2040"/>
    <x v="27"/>
    <e v="#VALUE!"/>
  </r>
  <r>
    <x v="0"/>
    <x v="2"/>
    <x v="4"/>
    <x v="32"/>
    <n v="2041"/>
    <x v="28"/>
    <e v="#VALUE!"/>
  </r>
  <r>
    <x v="0"/>
    <x v="2"/>
    <x v="4"/>
    <x v="32"/>
    <n v="2042"/>
    <x v="29"/>
    <e v="#VALUE!"/>
  </r>
  <r>
    <x v="0"/>
    <x v="2"/>
    <x v="5"/>
    <x v="33"/>
    <n v="2013"/>
    <x v="0"/>
    <n v="-43015.05"/>
  </r>
  <r>
    <x v="0"/>
    <x v="2"/>
    <x v="5"/>
    <x v="33"/>
    <n v="2014"/>
    <x v="1"/>
    <n v="-86352.285865219877"/>
  </r>
  <r>
    <x v="0"/>
    <x v="2"/>
    <x v="5"/>
    <x v="33"/>
    <n v="2015"/>
    <x v="2"/>
    <n v="-138541.19578403595"/>
  </r>
  <r>
    <x v="0"/>
    <x v="2"/>
    <x v="5"/>
    <x v="33"/>
    <n v="2016"/>
    <x v="3"/>
    <n v="-190867.38028908212"/>
  </r>
  <r>
    <x v="0"/>
    <x v="2"/>
    <x v="5"/>
    <x v="33"/>
    <n v="2017"/>
    <x v="4"/>
    <n v="-157278.5148229824"/>
  </r>
  <r>
    <x v="0"/>
    <x v="2"/>
    <x v="5"/>
    <x v="33"/>
    <n v="2018"/>
    <x v="5"/>
    <n v="-123668.32270644748"/>
  </r>
  <r>
    <x v="0"/>
    <x v="2"/>
    <x v="5"/>
    <x v="33"/>
    <n v="2019"/>
    <x v="6"/>
    <n v="-90028.481028923678"/>
  </r>
  <r>
    <x v="0"/>
    <x v="2"/>
    <x v="5"/>
    <x v="33"/>
    <n v="2020"/>
    <x v="7"/>
    <n v="-56350.829269688562"/>
  </r>
  <r>
    <x v="0"/>
    <x v="2"/>
    <x v="5"/>
    <x v="33"/>
    <n v="2021"/>
    <x v="8"/>
    <n v="-22627.363852044567"/>
  </r>
  <r>
    <x v="0"/>
    <x v="2"/>
    <x v="5"/>
    <x v="33"/>
    <n v="2022"/>
    <x v="9"/>
    <n v="99960.965661732902"/>
  </r>
  <r>
    <x v="0"/>
    <x v="2"/>
    <x v="5"/>
    <x v="33"/>
    <n v="2023"/>
    <x v="10"/>
    <n v="218978.76130617707"/>
  </r>
  <r>
    <x v="0"/>
    <x v="2"/>
    <x v="5"/>
    <x v="33"/>
    <n v="2024"/>
    <x v="11"/>
    <n v="335503.11706087657"/>
  </r>
  <r>
    <x v="0"/>
    <x v="2"/>
    <x v="5"/>
    <x v="33"/>
    <n v="2025"/>
    <x v="12"/>
    <n v="449587.57703868905"/>
  </r>
  <r>
    <x v="0"/>
    <x v="2"/>
    <x v="5"/>
    <x v="33"/>
    <n v="2026"/>
    <x v="13"/>
    <n v="561863.94134045066"/>
  </r>
  <r>
    <x v="0"/>
    <x v="2"/>
    <x v="5"/>
    <x v="33"/>
    <n v="2027"/>
    <x v="14"/>
    <n v="672364.35561323597"/>
  </r>
  <r>
    <x v="0"/>
    <x v="2"/>
    <x v="5"/>
    <x v="33"/>
    <n v="2028"/>
    <x v="15"/>
    <n v="781100.57626149629"/>
  </r>
  <r>
    <x v="0"/>
    <x v="2"/>
    <x v="5"/>
    <x v="33"/>
    <n v="2029"/>
    <x v="16"/>
    <n v="888101.25853148696"/>
  </r>
  <r>
    <x v="0"/>
    <x v="2"/>
    <x v="5"/>
    <x v="33"/>
    <n v="2030"/>
    <x v="17"/>
    <n v="993497.84717962972"/>
  </r>
  <r>
    <x v="0"/>
    <x v="2"/>
    <x v="5"/>
    <x v="33"/>
    <n v="2031"/>
    <x v="18"/>
    <n v="1097298.2051550196"/>
  </r>
  <r>
    <x v="0"/>
    <x v="2"/>
    <x v="5"/>
    <x v="33"/>
    <n v="2032"/>
    <x v="19"/>
    <n v="1209790.6123253831"/>
  </r>
  <r>
    <x v="0"/>
    <x v="2"/>
    <x v="5"/>
    <x v="33"/>
    <n v="2033"/>
    <x v="20"/>
    <n v="1324321.9291367168"/>
  </r>
  <r>
    <x v="0"/>
    <x v="2"/>
    <x v="5"/>
    <x v="33"/>
    <n v="2034"/>
    <x v="21"/>
    <n v="1436616.8989370638"/>
  </r>
  <r>
    <x v="0"/>
    <x v="2"/>
    <x v="5"/>
    <x v="33"/>
    <n v="2035"/>
    <x v="22"/>
    <n v="1546719.0988983978"/>
  </r>
  <r>
    <x v="0"/>
    <x v="2"/>
    <x v="5"/>
    <x v="33"/>
    <n v="2036"/>
    <x v="23"/>
    <n v="1654671.2596830807"/>
  </r>
  <r>
    <x v="0"/>
    <x v="2"/>
    <x v="5"/>
    <x v="33"/>
    <n v="2037"/>
    <x v="24"/>
    <n v="1760515.2818106897"/>
  </r>
  <r>
    <x v="0"/>
    <x v="2"/>
    <x v="5"/>
    <x v="33"/>
    <n v="2038"/>
    <x v="25"/>
    <n v="1864292.2517106663"/>
  </r>
  <r>
    <x v="0"/>
    <x v="2"/>
    <x v="5"/>
    <x v="33"/>
    <n v="2039"/>
    <x v="26"/>
    <n v="1966040.7279958907"/>
  </r>
  <r>
    <x v="0"/>
    <x v="2"/>
    <x v="5"/>
    <x v="33"/>
    <n v="2040"/>
    <x v="27"/>
    <n v="2065794.9150671004"/>
  </r>
  <r>
    <x v="0"/>
    <x v="2"/>
    <x v="5"/>
    <x v="33"/>
    <n v="2041"/>
    <x v="28"/>
    <n v="2163593.8939465559"/>
  </r>
  <r>
    <x v="0"/>
    <x v="2"/>
    <x v="5"/>
    <x v="33"/>
    <n v="2042"/>
    <x v="29"/>
    <n v="2259475.9800227731"/>
  </r>
  <r>
    <x v="0"/>
    <x v="2"/>
    <x v="6"/>
    <x v="34"/>
    <n v="2013"/>
    <x v="0"/>
    <n v="-43015.05"/>
  </r>
  <r>
    <x v="0"/>
    <x v="2"/>
    <x v="6"/>
    <x v="34"/>
    <n v="2014"/>
    <x v="1"/>
    <n v="-86352.285865219877"/>
  </r>
  <r>
    <x v="0"/>
    <x v="2"/>
    <x v="6"/>
    <x v="34"/>
    <n v="2015"/>
    <x v="2"/>
    <n v="-138541.19578403595"/>
  </r>
  <r>
    <x v="0"/>
    <x v="2"/>
    <x v="6"/>
    <x v="34"/>
    <n v="2016"/>
    <x v="3"/>
    <n v="-190867.38028908212"/>
  </r>
  <r>
    <x v="0"/>
    <x v="2"/>
    <x v="6"/>
    <x v="34"/>
    <n v="2017"/>
    <x v="4"/>
    <n v="-169241.36987416679"/>
  </r>
  <r>
    <x v="0"/>
    <x v="2"/>
    <x v="6"/>
    <x v="34"/>
    <n v="2018"/>
    <x v="5"/>
    <n v="-158404.5549729077"/>
  </r>
  <r>
    <x v="0"/>
    <x v="2"/>
    <x v="6"/>
    <x v="34"/>
    <n v="2019"/>
    <x v="6"/>
    <n v="-146441.25737997922"/>
  </r>
  <r>
    <x v="0"/>
    <x v="2"/>
    <x v="6"/>
    <x v="34"/>
    <n v="2020"/>
    <x v="7"/>
    <n v="-133396.14329882836"/>
  </r>
  <r>
    <x v="0"/>
    <x v="2"/>
    <x v="6"/>
    <x v="34"/>
    <n v="2021"/>
    <x v="8"/>
    <n v="-119311.49158581435"/>
  </r>
  <r>
    <x v="0"/>
    <x v="2"/>
    <x v="6"/>
    <x v="34"/>
    <n v="2022"/>
    <x v="9"/>
    <n v="6637.1457790879067"/>
  </r>
  <r>
    <x v="0"/>
    <x v="2"/>
    <x v="6"/>
    <x v="34"/>
    <n v="2023"/>
    <x v="10"/>
    <n v="129273.22908431753"/>
  </r>
  <r>
    <x v="0"/>
    <x v="2"/>
    <x v="6"/>
    <x v="34"/>
    <n v="2024"/>
    <x v="11"/>
    <n v="249865.20337131724"/>
  </r>
  <r>
    <x v="0"/>
    <x v="2"/>
    <x v="6"/>
    <x v="34"/>
    <n v="2025"/>
    <x v="12"/>
    <n v="368432.97661065479"/>
  </r>
  <r>
    <x v="0"/>
    <x v="2"/>
    <x v="6"/>
    <x v="34"/>
    <n v="2026"/>
    <x v="13"/>
    <n v="484997.11980471259"/>
  </r>
  <r>
    <x v="0"/>
    <x v="2"/>
    <x v="6"/>
    <x v="34"/>
    <n v="2027"/>
    <x v="14"/>
    <n v="606881.12112879532"/>
  </r>
  <r>
    <x v="0"/>
    <x v="2"/>
    <x v="6"/>
    <x v="34"/>
    <n v="2028"/>
    <x v="15"/>
    <n v="733403.28058345581"/>
  </r>
  <r>
    <x v="0"/>
    <x v="2"/>
    <x v="6"/>
    <x v="34"/>
    <n v="2029"/>
    <x v="16"/>
    <n v="857333.27829833527"/>
  </r>
  <r>
    <x v="0"/>
    <x v="2"/>
    <x v="6"/>
    <x v="34"/>
    <n v="2030"/>
    <x v="17"/>
    <n v="978843.81654184137"/>
  </r>
  <r>
    <x v="0"/>
    <x v="2"/>
    <x v="6"/>
    <x v="34"/>
    <n v="2031"/>
    <x v="18"/>
    <n v="1097982.0286913826"/>
  </r>
  <r>
    <x v="0"/>
    <x v="2"/>
    <x v="6"/>
    <x v="34"/>
    <n v="2032"/>
    <x v="19"/>
    <n v="1214794.132882372"/>
  </r>
  <r>
    <x v="0"/>
    <x v="2"/>
    <x v="6"/>
    <x v="34"/>
    <n v="2033"/>
    <x v="20"/>
    <n v="1329325.4496937057"/>
  </r>
  <r>
    <x v="0"/>
    <x v="2"/>
    <x v="6"/>
    <x v="34"/>
    <n v="2034"/>
    <x v="21"/>
    <n v="1441620.4194940527"/>
  </r>
  <r>
    <x v="0"/>
    <x v="2"/>
    <x v="6"/>
    <x v="34"/>
    <n v="2035"/>
    <x v="22"/>
    <n v="1551722.6194553867"/>
  </r>
  <r>
    <x v="0"/>
    <x v="2"/>
    <x v="6"/>
    <x v="34"/>
    <n v="2036"/>
    <x v="23"/>
    <n v="1659674.7802400696"/>
  </r>
  <r>
    <x v="0"/>
    <x v="2"/>
    <x v="6"/>
    <x v="34"/>
    <n v="2037"/>
    <x v="24"/>
    <n v="1765518.8023676786"/>
  </r>
  <r>
    <x v="0"/>
    <x v="2"/>
    <x v="6"/>
    <x v="34"/>
    <n v="2038"/>
    <x v="25"/>
    <n v="1869295.7722676552"/>
  </r>
  <r>
    <x v="0"/>
    <x v="2"/>
    <x v="6"/>
    <x v="34"/>
    <n v="2039"/>
    <x v="26"/>
    <n v="1971044.2485528796"/>
  </r>
  <r>
    <x v="0"/>
    <x v="2"/>
    <x v="6"/>
    <x v="34"/>
    <n v="2040"/>
    <x v="27"/>
    <n v="2070798.4356240893"/>
  </r>
  <r>
    <x v="0"/>
    <x v="2"/>
    <x v="6"/>
    <x v="34"/>
    <n v="2041"/>
    <x v="28"/>
    <n v="2168597.4145035446"/>
  </r>
  <r>
    <x v="0"/>
    <x v="2"/>
    <x v="6"/>
    <x v="34"/>
    <n v="2042"/>
    <x v="29"/>
    <n v="2264479.5005797618"/>
  </r>
  <r>
    <x v="0"/>
    <x v="2"/>
    <x v="7"/>
    <x v="35"/>
    <n v="2013"/>
    <x v="0"/>
    <n v="-43015.05"/>
  </r>
  <r>
    <x v="0"/>
    <x v="2"/>
    <x v="7"/>
    <x v="35"/>
    <n v="2014"/>
    <x v="1"/>
    <n v="-86352.285865219877"/>
  </r>
  <r>
    <x v="0"/>
    <x v="2"/>
    <x v="7"/>
    <x v="35"/>
    <n v="2015"/>
    <x v="2"/>
    <n v="-138541.19578403595"/>
  </r>
  <r>
    <x v="0"/>
    <x v="2"/>
    <x v="7"/>
    <x v="35"/>
    <n v="2016"/>
    <x v="3"/>
    <n v="-190867.38028908212"/>
  </r>
  <r>
    <x v="0"/>
    <x v="2"/>
    <x v="7"/>
    <x v="35"/>
    <n v="2017"/>
    <x v="4"/>
    <n v="-161673.72697596412"/>
  </r>
  <r>
    <x v="0"/>
    <x v="2"/>
    <x v="7"/>
    <x v="35"/>
    <n v="2018"/>
    <x v="5"/>
    <n v="-132585.52546268981"/>
  </r>
  <r>
    <x v="0"/>
    <x v="2"/>
    <x v="7"/>
    <x v="35"/>
    <n v="2019"/>
    <x v="6"/>
    <n v="-103593.03997577081"/>
  </r>
  <r>
    <x v="0"/>
    <x v="2"/>
    <x v="7"/>
    <x v="35"/>
    <n v="2020"/>
    <x v="7"/>
    <n v="-74686.7586801039"/>
  </r>
  <r>
    <x v="0"/>
    <x v="2"/>
    <x v="7"/>
    <x v="35"/>
    <n v="2021"/>
    <x v="8"/>
    <n v="-45857.386622987513"/>
  </r>
  <r>
    <x v="0"/>
    <x v="2"/>
    <x v="7"/>
    <x v="35"/>
    <n v="2022"/>
    <x v="9"/>
    <n v="80091.250741914744"/>
  </r>
  <r>
    <x v="0"/>
    <x v="2"/>
    <x v="7"/>
    <x v="35"/>
    <n v="2023"/>
    <x v="10"/>
    <n v="202727.33404714437"/>
  </r>
  <r>
    <x v="0"/>
    <x v="2"/>
    <x v="7"/>
    <x v="35"/>
    <n v="2024"/>
    <x v="11"/>
    <n v="323319.30833414407"/>
  </r>
  <r>
    <x v="0"/>
    <x v="2"/>
    <x v="7"/>
    <x v="35"/>
    <n v="2025"/>
    <x v="12"/>
    <n v="441887.08157348161"/>
  </r>
  <r>
    <x v="0"/>
    <x v="2"/>
    <x v="7"/>
    <x v="35"/>
    <n v="2026"/>
    <x v="13"/>
    <n v="558451.22476753942"/>
  </r>
  <r>
    <x v="0"/>
    <x v="2"/>
    <x v="7"/>
    <x v="35"/>
    <n v="2027"/>
    <x v="14"/>
    <n v="673032.9058329158"/>
  </r>
  <r>
    <x v="0"/>
    <x v="2"/>
    <x v="7"/>
    <x v="35"/>
    <n v="2028"/>
    <x v="15"/>
    <n v="785653.82740692433"/>
  </r>
  <r>
    <x v="0"/>
    <x v="2"/>
    <x v="7"/>
    <x v="35"/>
    <n v="2029"/>
    <x v="16"/>
    <n v="896352.11192872177"/>
  </r>
  <r>
    <x v="0"/>
    <x v="2"/>
    <x v="7"/>
    <x v="35"/>
    <n v="2030"/>
    <x v="17"/>
    <n v="1005268.2153796504"/>
  </r>
  <r>
    <x v="0"/>
    <x v="2"/>
    <x v="7"/>
    <x v="35"/>
    <n v="2031"/>
    <x v="18"/>
    <n v="1112418.5779265098"/>
  </r>
  <r>
    <x v="0"/>
    <x v="2"/>
    <x v="7"/>
    <x v="35"/>
    <n v="2032"/>
    <x v="19"/>
    <n v="1217820.2027698103"/>
  </r>
  <r>
    <x v="0"/>
    <x v="2"/>
    <x v="7"/>
    <x v="35"/>
    <n v="2033"/>
    <x v="20"/>
    <n v="1322417.2080475518"/>
  </r>
  <r>
    <x v="0"/>
    <x v="2"/>
    <x v="7"/>
    <x v="35"/>
    <n v="2034"/>
    <x v="21"/>
    <n v="1434712.1778478988"/>
  </r>
  <r>
    <x v="0"/>
    <x v="2"/>
    <x v="7"/>
    <x v="35"/>
    <n v="2035"/>
    <x v="22"/>
    <n v="1544814.3778092328"/>
  </r>
  <r>
    <x v="0"/>
    <x v="2"/>
    <x v="7"/>
    <x v="35"/>
    <n v="2036"/>
    <x v="23"/>
    <n v="1652766.5385939158"/>
  </r>
  <r>
    <x v="0"/>
    <x v="2"/>
    <x v="7"/>
    <x v="35"/>
    <n v="2037"/>
    <x v="24"/>
    <n v="1758610.5607215248"/>
  </r>
  <r>
    <x v="0"/>
    <x v="2"/>
    <x v="7"/>
    <x v="35"/>
    <n v="2038"/>
    <x v="25"/>
    <n v="1862387.5306215014"/>
  </r>
  <r>
    <x v="0"/>
    <x v="2"/>
    <x v="7"/>
    <x v="35"/>
    <n v="2039"/>
    <x v="26"/>
    <n v="1964136.0069067257"/>
  </r>
  <r>
    <x v="0"/>
    <x v="2"/>
    <x v="7"/>
    <x v="35"/>
    <n v="2040"/>
    <x v="27"/>
    <n v="2063890.1939779355"/>
  </r>
  <r>
    <x v="0"/>
    <x v="2"/>
    <x v="7"/>
    <x v="35"/>
    <n v="2041"/>
    <x v="28"/>
    <n v="2161689.1728573907"/>
  </r>
  <r>
    <x v="0"/>
    <x v="2"/>
    <x v="7"/>
    <x v="35"/>
    <n v="2042"/>
    <x v="29"/>
    <n v="2257571.258933608"/>
  </r>
  <r>
    <x v="0"/>
    <x v="2"/>
    <x v="8"/>
    <x v="36"/>
    <n v="2013"/>
    <x v="0"/>
    <n v="-43015.05"/>
  </r>
  <r>
    <x v="0"/>
    <x v="2"/>
    <x v="8"/>
    <x v="36"/>
    <n v="2014"/>
    <x v="1"/>
    <n v="-86352.285865219877"/>
  </r>
  <r>
    <x v="0"/>
    <x v="2"/>
    <x v="8"/>
    <x v="36"/>
    <n v="2015"/>
    <x v="2"/>
    <n v="-138541.19578403595"/>
  </r>
  <r>
    <x v="0"/>
    <x v="2"/>
    <x v="8"/>
    <x v="36"/>
    <n v="2016"/>
    <x v="3"/>
    <n v="-190867.38028908212"/>
  </r>
  <r>
    <x v="0"/>
    <x v="2"/>
    <x v="8"/>
    <x v="36"/>
    <n v="2017"/>
    <x v="4"/>
    <n v="-160208.65625830356"/>
  </r>
  <r>
    <x v="0"/>
    <x v="2"/>
    <x v="8"/>
    <x v="36"/>
    <n v="2018"/>
    <x v="5"/>
    <n v="-129613.12454394237"/>
  </r>
  <r>
    <x v="0"/>
    <x v="2"/>
    <x v="8"/>
    <x v="36"/>
    <n v="2019"/>
    <x v="6"/>
    <n v="-99071.520326821774"/>
  </r>
  <r>
    <x v="0"/>
    <x v="2"/>
    <x v="8"/>
    <x v="36"/>
    <n v="2020"/>
    <x v="7"/>
    <n v="-68574.782209965459"/>
  </r>
  <r>
    <x v="0"/>
    <x v="2"/>
    <x v="8"/>
    <x v="36"/>
    <n v="2021"/>
    <x v="8"/>
    <n v="-38114.045699339869"/>
  </r>
  <r>
    <x v="0"/>
    <x v="2"/>
    <x v="8"/>
    <x v="36"/>
    <n v="2022"/>
    <x v="9"/>
    <n v="87834.591665562388"/>
  </r>
  <r>
    <x v="0"/>
    <x v="2"/>
    <x v="8"/>
    <x v="36"/>
    <n v="2023"/>
    <x v="10"/>
    <n v="210470.67497079202"/>
  </r>
  <r>
    <x v="0"/>
    <x v="2"/>
    <x v="8"/>
    <x v="36"/>
    <n v="2024"/>
    <x v="11"/>
    <n v="331062.64925779169"/>
  </r>
  <r>
    <x v="0"/>
    <x v="2"/>
    <x v="8"/>
    <x v="36"/>
    <n v="2025"/>
    <x v="12"/>
    <n v="449630.42249712924"/>
  </r>
  <r>
    <x v="0"/>
    <x v="2"/>
    <x v="8"/>
    <x v="36"/>
    <n v="2026"/>
    <x v="13"/>
    <n v="566194.56569118705"/>
  </r>
  <r>
    <x v="0"/>
    <x v="2"/>
    <x v="8"/>
    <x v="36"/>
    <n v="2027"/>
    <x v="14"/>
    <n v="680776.24675656343"/>
  </r>
  <r>
    <x v="0"/>
    <x v="2"/>
    <x v="8"/>
    <x v="36"/>
    <n v="2028"/>
    <x v="15"/>
    <n v="793397.16833057196"/>
  </r>
  <r>
    <x v="0"/>
    <x v="2"/>
    <x v="8"/>
    <x v="36"/>
    <n v="2029"/>
    <x v="16"/>
    <n v="904095.4528523694"/>
  </r>
  <r>
    <x v="0"/>
    <x v="2"/>
    <x v="8"/>
    <x v="36"/>
    <n v="2030"/>
    <x v="17"/>
    <n v="1013011.556303298"/>
  </r>
  <r>
    <x v="0"/>
    <x v="2"/>
    <x v="8"/>
    <x v="36"/>
    <n v="2031"/>
    <x v="18"/>
    <n v="1120161.9188501574"/>
  </r>
  <r>
    <x v="0"/>
    <x v="2"/>
    <x v="8"/>
    <x v="36"/>
    <n v="2032"/>
    <x v="19"/>
    <n v="1225563.543693458"/>
  </r>
  <r>
    <x v="0"/>
    <x v="2"/>
    <x v="8"/>
    <x v="36"/>
    <n v="2033"/>
    <x v="20"/>
    <n v="1329233.9435547737"/>
  </r>
  <r>
    <x v="0"/>
    <x v="2"/>
    <x v="8"/>
    <x v="36"/>
    <n v="2034"/>
    <x v="21"/>
    <n v="1435231.4487931046"/>
  </r>
  <r>
    <x v="0"/>
    <x v="2"/>
    <x v="8"/>
    <x v="36"/>
    <n v="2035"/>
    <x v="22"/>
    <n v="1545333.6487544386"/>
  </r>
  <r>
    <x v="0"/>
    <x v="2"/>
    <x v="8"/>
    <x v="36"/>
    <n v="2036"/>
    <x v="23"/>
    <n v="1653285.8095391216"/>
  </r>
  <r>
    <x v="0"/>
    <x v="2"/>
    <x v="8"/>
    <x v="36"/>
    <n v="2037"/>
    <x v="24"/>
    <n v="1759129.8316667306"/>
  </r>
  <r>
    <x v="0"/>
    <x v="2"/>
    <x v="8"/>
    <x v="36"/>
    <n v="2038"/>
    <x v="25"/>
    <n v="1862906.8015667072"/>
  </r>
  <r>
    <x v="0"/>
    <x v="2"/>
    <x v="8"/>
    <x v="36"/>
    <n v="2039"/>
    <x v="26"/>
    <n v="1964655.2778519315"/>
  </r>
  <r>
    <x v="0"/>
    <x v="2"/>
    <x v="8"/>
    <x v="36"/>
    <n v="2040"/>
    <x v="27"/>
    <n v="2064409.4649231413"/>
  </r>
  <r>
    <x v="0"/>
    <x v="2"/>
    <x v="8"/>
    <x v="36"/>
    <n v="2041"/>
    <x v="28"/>
    <n v="2162208.443802597"/>
  </r>
  <r>
    <x v="0"/>
    <x v="2"/>
    <x v="8"/>
    <x v="36"/>
    <n v="2042"/>
    <x v="29"/>
    <n v="2258090.5298788142"/>
  </r>
  <r>
    <x v="0"/>
    <x v="2"/>
    <x v="9"/>
    <x v="37"/>
    <n v="2013"/>
    <x v="0"/>
    <n v="52525.686799999996"/>
  </r>
  <r>
    <x v="0"/>
    <x v="2"/>
    <x v="9"/>
    <x v="37"/>
    <n v="2014"/>
    <x v="1"/>
    <n v="103045.21008954883"/>
  </r>
  <r>
    <x v="0"/>
    <x v="2"/>
    <x v="9"/>
    <x v="37"/>
    <n v="2015"/>
    <x v="2"/>
    <n v="152565.98092317433"/>
  </r>
  <r>
    <x v="0"/>
    <x v="2"/>
    <x v="9"/>
    <x v="37"/>
    <n v="2016"/>
    <x v="3"/>
    <n v="204951.40008844491"/>
  </r>
  <r>
    <x v="0"/>
    <x v="2"/>
    <x v="9"/>
    <x v="37"/>
    <n v="2017"/>
    <x v="4"/>
    <n v="264104.65274828218"/>
  </r>
  <r>
    <x v="0"/>
    <x v="2"/>
    <x v="9"/>
    <x v="37"/>
    <n v="2018"/>
    <x v="5"/>
    <n v="322956.40336350905"/>
  </r>
  <r>
    <x v="0"/>
    <x v="2"/>
    <x v="9"/>
    <x v="37"/>
    <n v="2019"/>
    <x v="6"/>
    <n v="382458.16257085698"/>
  </r>
  <r>
    <x v="0"/>
    <x v="2"/>
    <x v="9"/>
    <x v="37"/>
    <n v="2020"/>
    <x v="7"/>
    <n v="441575.28506588424"/>
  </r>
  <r>
    <x v="0"/>
    <x v="2"/>
    <x v="9"/>
    <x v="37"/>
    <n v="2021"/>
    <x v="8"/>
    <n v="500654.23446862109"/>
  </r>
  <r>
    <x v="0"/>
    <x v="2"/>
    <x v="9"/>
    <x v="37"/>
    <n v="2022"/>
    <x v="9"/>
    <n v="563703.58569574018"/>
  </r>
  <r>
    <x v="0"/>
    <x v="2"/>
    <x v="9"/>
    <x v="37"/>
    <n v="2023"/>
    <x v="10"/>
    <n v="633076.84402750398"/>
  </r>
  <r>
    <x v="0"/>
    <x v="2"/>
    <x v="9"/>
    <x v="37"/>
    <n v="2024"/>
    <x v="11"/>
    <n v="699827.65845398873"/>
  </r>
  <r>
    <x v="0"/>
    <x v="2"/>
    <x v="9"/>
    <x v="37"/>
    <n v="2025"/>
    <x v="12"/>
    <n v="765347.00767356099"/>
  </r>
  <r>
    <x v="0"/>
    <x v="2"/>
    <x v="9"/>
    <x v="37"/>
    <n v="2026"/>
    <x v="13"/>
    <n v="828389.49004259263"/>
  </r>
  <r>
    <x v="0"/>
    <x v="2"/>
    <x v="9"/>
    <x v="37"/>
    <n v="2027"/>
    <x v="14"/>
    <n v="890951.83217297471"/>
  </r>
  <r>
    <x v="0"/>
    <x v="2"/>
    <x v="9"/>
    <x v="37"/>
    <n v="2028"/>
    <x v="15"/>
    <n v="951136.17356786923"/>
  </r>
  <r>
    <x v="0"/>
    <x v="2"/>
    <x v="9"/>
    <x v="37"/>
    <n v="2029"/>
    <x v="16"/>
    <n v="1047802.4290000375"/>
  </r>
  <r>
    <x v="0"/>
    <x v="2"/>
    <x v="9"/>
    <x v="37"/>
    <n v="2030"/>
    <x v="17"/>
    <n v="1140738.209685764"/>
  </r>
  <r>
    <x v="0"/>
    <x v="2"/>
    <x v="9"/>
    <x v="37"/>
    <n v="2031"/>
    <x v="18"/>
    <n v="1231254.8157583571"/>
  </r>
  <r>
    <x v="0"/>
    <x v="2"/>
    <x v="9"/>
    <x v="37"/>
    <n v="2032"/>
    <x v="19"/>
    <n v="1318278.3019522629"/>
  </r>
  <r>
    <x v="0"/>
    <x v="2"/>
    <x v="9"/>
    <x v="37"/>
    <n v="2033"/>
    <x v="20"/>
    <n v="1403594.9536913906"/>
  </r>
  <r>
    <x v="0"/>
    <x v="2"/>
    <x v="9"/>
    <x v="37"/>
    <n v="2034"/>
    <x v="21"/>
    <n v="1485619.156828955"/>
  </r>
  <r>
    <x v="0"/>
    <x v="2"/>
    <x v="9"/>
    <x v="37"/>
    <n v="2035"/>
    <x v="22"/>
    <n v="1568551.9580712216"/>
  </r>
  <r>
    <x v="0"/>
    <x v="2"/>
    <x v="9"/>
    <x v="37"/>
    <n v="2036"/>
    <x v="23"/>
    <n v="1648313.7824803048"/>
  </r>
  <r>
    <x v="0"/>
    <x v="2"/>
    <x v="9"/>
    <x v="37"/>
    <n v="2037"/>
    <x v="24"/>
    <n v="1756051.5526876431"/>
  </r>
  <r>
    <x v="0"/>
    <x v="2"/>
    <x v="9"/>
    <x v="37"/>
    <n v="2038"/>
    <x v="25"/>
    <n v="1861440.1652310845"/>
  </r>
  <r>
    <x v="0"/>
    <x v="2"/>
    <x v="9"/>
    <x v="37"/>
    <n v="2039"/>
    <x v="26"/>
    <n v="1964534.8352236957"/>
  </r>
  <r>
    <x v="0"/>
    <x v="2"/>
    <x v="9"/>
    <x v="37"/>
    <n v="2040"/>
    <x v="27"/>
    <n v="2065389.341178633"/>
  </r>
  <r>
    <x v="0"/>
    <x v="2"/>
    <x v="9"/>
    <x v="37"/>
    <n v="2041"/>
    <x v="28"/>
    <n v="2164056.0668627149"/>
  </r>
  <r>
    <x v="0"/>
    <x v="2"/>
    <x v="9"/>
    <x v="37"/>
    <n v="2042"/>
    <x v="29"/>
    <n v="2260586.0418002941"/>
  </r>
  <r>
    <x v="0"/>
    <x v="2"/>
    <x v="10"/>
    <x v="38"/>
    <n v="2013"/>
    <x v="0"/>
    <n v="41042.997114989732"/>
  </r>
  <r>
    <x v="0"/>
    <x v="2"/>
    <x v="10"/>
    <x v="38"/>
    <n v="2014"/>
    <x v="1"/>
    <n v="65715.375570480697"/>
  </r>
  <r>
    <x v="0"/>
    <x v="2"/>
    <x v="10"/>
    <x v="38"/>
    <n v="2015"/>
    <x v="2"/>
    <n v="89584.222784524245"/>
  </r>
  <r>
    <x v="0"/>
    <x v="2"/>
    <x v="10"/>
    <x v="38"/>
    <n v="2016"/>
    <x v="3"/>
    <n v="113201.76547692725"/>
  </r>
  <r>
    <x v="0"/>
    <x v="2"/>
    <x v="10"/>
    <x v="38"/>
    <n v="2017"/>
    <x v="4"/>
    <n v="172355.01813676453"/>
  </r>
  <r>
    <x v="0"/>
    <x v="2"/>
    <x v="10"/>
    <x v="38"/>
    <n v="2018"/>
    <x v="5"/>
    <n v="231206.76875199139"/>
  </r>
  <r>
    <x v="0"/>
    <x v="2"/>
    <x v="10"/>
    <x v="38"/>
    <n v="2019"/>
    <x v="6"/>
    <n v="290708.52795933932"/>
  </r>
  <r>
    <x v="0"/>
    <x v="2"/>
    <x v="10"/>
    <x v="38"/>
    <n v="2020"/>
    <x v="7"/>
    <n v="349825.65045436658"/>
  </r>
  <r>
    <x v="0"/>
    <x v="2"/>
    <x v="10"/>
    <x v="38"/>
    <n v="2021"/>
    <x v="8"/>
    <n v="408904.59985710343"/>
  </r>
  <r>
    <x v="0"/>
    <x v="2"/>
    <x v="10"/>
    <x v="38"/>
    <n v="2022"/>
    <x v="9"/>
    <n v="471953.95108422253"/>
  </r>
  <r>
    <x v="0"/>
    <x v="2"/>
    <x v="10"/>
    <x v="38"/>
    <n v="2023"/>
    <x v="10"/>
    <n v="541327.20941598632"/>
  </r>
  <r>
    <x v="0"/>
    <x v="2"/>
    <x v="10"/>
    <x v="38"/>
    <n v="2024"/>
    <x v="11"/>
    <n v="608078.02384247107"/>
  </r>
  <r>
    <x v="0"/>
    <x v="2"/>
    <x v="10"/>
    <x v="38"/>
    <n v="2025"/>
    <x v="12"/>
    <n v="673597.37306204333"/>
  </r>
  <r>
    <x v="0"/>
    <x v="2"/>
    <x v="10"/>
    <x v="38"/>
    <n v="2026"/>
    <x v="13"/>
    <n v="777490.7156867811"/>
  </r>
  <r>
    <x v="0"/>
    <x v="2"/>
    <x v="10"/>
    <x v="38"/>
    <n v="2027"/>
    <x v="14"/>
    <n v="879421.15826347889"/>
  </r>
  <r>
    <x v="0"/>
    <x v="2"/>
    <x v="10"/>
    <x v="38"/>
    <n v="2028"/>
    <x v="15"/>
    <n v="977418.00755759352"/>
  </r>
  <r>
    <x v="0"/>
    <x v="2"/>
    <x v="10"/>
    <x v="38"/>
    <n v="2029"/>
    <x v="16"/>
    <n v="1074084.2629897618"/>
  </r>
  <r>
    <x v="0"/>
    <x v="2"/>
    <x v="10"/>
    <x v="38"/>
    <n v="2030"/>
    <x v="17"/>
    <n v="1167020.0436754883"/>
  </r>
  <r>
    <x v="0"/>
    <x v="2"/>
    <x v="10"/>
    <x v="38"/>
    <n v="2031"/>
    <x v="18"/>
    <n v="1257536.6497480813"/>
  </r>
  <r>
    <x v="0"/>
    <x v="2"/>
    <x v="10"/>
    <x v="38"/>
    <n v="2032"/>
    <x v="19"/>
    <n v="1344560.1359419872"/>
  </r>
  <r>
    <x v="0"/>
    <x v="2"/>
    <x v="10"/>
    <x v="38"/>
    <n v="2033"/>
    <x v="20"/>
    <n v="1429876.7876811149"/>
  </r>
  <r>
    <x v="0"/>
    <x v="2"/>
    <x v="10"/>
    <x v="38"/>
    <n v="2034"/>
    <x v="21"/>
    <n v="1511900.9908186793"/>
  </r>
  <r>
    <x v="0"/>
    <x v="2"/>
    <x v="10"/>
    <x v="38"/>
    <n v="2035"/>
    <x v="22"/>
    <n v="1594833.7920609459"/>
  </r>
  <r>
    <x v="0"/>
    <x v="2"/>
    <x v="10"/>
    <x v="38"/>
    <n v="2036"/>
    <x v="23"/>
    <n v="1674595.6164700291"/>
  </r>
  <r>
    <x v="0"/>
    <x v="2"/>
    <x v="10"/>
    <x v="38"/>
    <n v="2037"/>
    <x v="24"/>
    <n v="1738378.1638923103"/>
  </r>
  <r>
    <x v="0"/>
    <x v="2"/>
    <x v="10"/>
    <x v="38"/>
    <n v="2038"/>
    <x v="25"/>
    <n v="1845155.883686031"/>
  </r>
  <r>
    <x v="0"/>
    <x v="2"/>
    <x v="10"/>
    <x v="38"/>
    <n v="2039"/>
    <x v="26"/>
    <n v="1949585.9794570378"/>
  </r>
  <r>
    <x v="0"/>
    <x v="2"/>
    <x v="10"/>
    <x v="38"/>
    <n v="2040"/>
    <x v="27"/>
    <n v="2051724.3042166384"/>
  </r>
  <r>
    <x v="0"/>
    <x v="2"/>
    <x v="10"/>
    <x v="38"/>
    <n v="2041"/>
    <x v="28"/>
    <n v="2151625.2360616853"/>
  </r>
  <r>
    <x v="0"/>
    <x v="2"/>
    <x v="10"/>
    <x v="38"/>
    <n v="2042"/>
    <x v="29"/>
    <n v="2249341.7217765106"/>
  </r>
  <r>
    <x v="0"/>
    <x v="2"/>
    <x v="11"/>
    <x v="39"/>
    <n v="2013"/>
    <x v="0"/>
    <n v="52525.686799999996"/>
  </r>
  <r>
    <x v="0"/>
    <x v="2"/>
    <x v="11"/>
    <x v="39"/>
    <n v="2014"/>
    <x v="1"/>
    <n v="103045.21008954883"/>
  </r>
  <r>
    <x v="0"/>
    <x v="2"/>
    <x v="11"/>
    <x v="39"/>
    <n v="2015"/>
    <x v="2"/>
    <n v="152565.98092317433"/>
  </r>
  <r>
    <x v="0"/>
    <x v="2"/>
    <x v="11"/>
    <x v="39"/>
    <n v="2016"/>
    <x v="3"/>
    <n v="204951.40008844491"/>
  </r>
  <r>
    <x v="0"/>
    <x v="2"/>
    <x v="11"/>
    <x v="39"/>
    <n v="2017"/>
    <x v="4"/>
    <n v="264104.65274828218"/>
  </r>
  <r>
    <x v="0"/>
    <x v="2"/>
    <x v="11"/>
    <x v="39"/>
    <n v="2018"/>
    <x v="5"/>
    <n v="322956.40336350905"/>
  </r>
  <r>
    <x v="0"/>
    <x v="2"/>
    <x v="11"/>
    <x v="39"/>
    <n v="2019"/>
    <x v="6"/>
    <n v="382458.16257085698"/>
  </r>
  <r>
    <x v="0"/>
    <x v="2"/>
    <x v="11"/>
    <x v="39"/>
    <n v="2020"/>
    <x v="7"/>
    <n v="441575.28506588424"/>
  </r>
  <r>
    <x v="0"/>
    <x v="2"/>
    <x v="11"/>
    <x v="39"/>
    <n v="2021"/>
    <x v="8"/>
    <n v="500654.23446862109"/>
  </r>
  <r>
    <x v="0"/>
    <x v="2"/>
    <x v="11"/>
    <x v="39"/>
    <n v="2022"/>
    <x v="9"/>
    <n v="563703.58569574018"/>
  </r>
  <r>
    <x v="0"/>
    <x v="2"/>
    <x v="11"/>
    <x v="39"/>
    <n v="2023"/>
    <x v="10"/>
    <n v="633076.84402750398"/>
  </r>
  <r>
    <x v="0"/>
    <x v="2"/>
    <x v="11"/>
    <x v="39"/>
    <n v="2024"/>
    <x v="11"/>
    <n v="699827.65845398873"/>
  </r>
  <r>
    <x v="0"/>
    <x v="2"/>
    <x v="11"/>
    <x v="39"/>
    <n v="2025"/>
    <x v="12"/>
    <n v="765347.00767356099"/>
  </r>
  <r>
    <x v="0"/>
    <x v="2"/>
    <x v="11"/>
    <x v="39"/>
    <n v="2026"/>
    <x v="13"/>
    <n v="828389.49004259263"/>
  </r>
  <r>
    <x v="0"/>
    <x v="2"/>
    <x v="11"/>
    <x v="39"/>
    <n v="2027"/>
    <x v="14"/>
    <n v="890951.83217297471"/>
  </r>
  <r>
    <x v="0"/>
    <x v="2"/>
    <x v="11"/>
    <x v="39"/>
    <n v="2028"/>
    <x v="15"/>
    <n v="951136.17356786923"/>
  </r>
  <r>
    <x v="0"/>
    <x v="2"/>
    <x v="11"/>
    <x v="39"/>
    <n v="2029"/>
    <x v="16"/>
    <n v="1063957.0644373742"/>
  </r>
  <r>
    <x v="0"/>
    <x v="2"/>
    <x v="11"/>
    <x v="39"/>
    <n v="2030"/>
    <x v="17"/>
    <n v="1174442.2094810961"/>
  </r>
  <r>
    <x v="0"/>
    <x v="2"/>
    <x v="11"/>
    <x v="39"/>
    <n v="2031"/>
    <x v="18"/>
    <n v="1282641.0068065529"/>
  </r>
  <r>
    <x v="0"/>
    <x v="2"/>
    <x v="11"/>
    <x v="39"/>
    <n v="2032"/>
    <x v="19"/>
    <n v="1388601.7811007318"/>
  </r>
  <r>
    <x v="0"/>
    <x v="2"/>
    <x v="11"/>
    <x v="39"/>
    <n v="2033"/>
    <x v="20"/>
    <n v="1492371.8077308575"/>
  </r>
  <r>
    <x v="0"/>
    <x v="2"/>
    <x v="11"/>
    <x v="39"/>
    <n v="2034"/>
    <x v="21"/>
    <n v="1593997.3362836642"/>
  </r>
  <r>
    <x v="0"/>
    <x v="2"/>
    <x v="11"/>
    <x v="39"/>
    <n v="2035"/>
    <x v="22"/>
    <n v="1693523.6135567729"/>
  </r>
  <r>
    <x v="0"/>
    <x v="2"/>
    <x v="11"/>
    <x v="39"/>
    <n v="2036"/>
    <x v="23"/>
    <n v="1790994.906015431"/>
  </r>
  <r>
    <x v="0"/>
    <x v="2"/>
    <x v="11"/>
    <x v="39"/>
    <n v="2037"/>
    <x v="24"/>
    <n v="1886454.5217275389"/>
  </r>
  <r>
    <x v="0"/>
    <x v="2"/>
    <x v="11"/>
    <x v="39"/>
    <n v="2038"/>
    <x v="25"/>
    <n v="1979944.8317895634"/>
  </r>
  <r>
    <x v="0"/>
    <x v="2"/>
    <x v="11"/>
    <x v="39"/>
    <n v="2039"/>
    <x v="26"/>
    <n v="2071507.2912556231"/>
  </r>
  <r>
    <x v="0"/>
    <x v="2"/>
    <x v="11"/>
    <x v="39"/>
    <n v="2040"/>
    <x v="27"/>
    <n v="2161213.9436480175"/>
  </r>
  <r>
    <x v="0"/>
    <x v="2"/>
    <x v="11"/>
    <x v="39"/>
    <n v="2041"/>
    <x v="28"/>
    <n v="2249169.2567417109"/>
  </r>
  <r>
    <x v="0"/>
    <x v="2"/>
    <x v="11"/>
    <x v="39"/>
    <n v="2042"/>
    <x v="29"/>
    <n v="2335407.3487364543"/>
  </r>
  <r>
    <x v="0"/>
    <x v="2"/>
    <x v="12"/>
    <x v="40"/>
    <n v="2013"/>
    <x v="0"/>
    <n v="41042.997114989732"/>
  </r>
  <r>
    <x v="0"/>
    <x v="2"/>
    <x v="12"/>
    <x v="40"/>
    <n v="2014"/>
    <x v="1"/>
    <n v="65715.375570480697"/>
  </r>
  <r>
    <x v="0"/>
    <x v="2"/>
    <x v="12"/>
    <x v="40"/>
    <n v="2015"/>
    <x v="2"/>
    <n v="89584.222784524245"/>
  </r>
  <r>
    <x v="0"/>
    <x v="2"/>
    <x v="12"/>
    <x v="40"/>
    <n v="2016"/>
    <x v="3"/>
    <n v="113201.76547692725"/>
  </r>
  <r>
    <x v="0"/>
    <x v="2"/>
    <x v="12"/>
    <x v="40"/>
    <n v="2017"/>
    <x v="4"/>
    <n v="172355.01813676453"/>
  </r>
  <r>
    <x v="0"/>
    <x v="2"/>
    <x v="12"/>
    <x v="40"/>
    <n v="2018"/>
    <x v="5"/>
    <n v="231206.76875199139"/>
  </r>
  <r>
    <x v="0"/>
    <x v="2"/>
    <x v="12"/>
    <x v="40"/>
    <n v="2019"/>
    <x v="6"/>
    <n v="290708.52795933932"/>
  </r>
  <r>
    <x v="0"/>
    <x v="2"/>
    <x v="12"/>
    <x v="40"/>
    <n v="2020"/>
    <x v="7"/>
    <n v="349825.65045436658"/>
  </r>
  <r>
    <x v="0"/>
    <x v="2"/>
    <x v="12"/>
    <x v="40"/>
    <n v="2021"/>
    <x v="8"/>
    <n v="408904.59985710343"/>
  </r>
  <r>
    <x v="0"/>
    <x v="2"/>
    <x v="12"/>
    <x v="40"/>
    <n v="2022"/>
    <x v="9"/>
    <n v="471953.95108422253"/>
  </r>
  <r>
    <x v="0"/>
    <x v="2"/>
    <x v="12"/>
    <x v="40"/>
    <n v="2023"/>
    <x v="10"/>
    <n v="541327.20941598632"/>
  </r>
  <r>
    <x v="0"/>
    <x v="2"/>
    <x v="12"/>
    <x v="40"/>
    <n v="2024"/>
    <x v="11"/>
    <n v="608078.02384247107"/>
  </r>
  <r>
    <x v="0"/>
    <x v="2"/>
    <x v="12"/>
    <x v="40"/>
    <n v="2025"/>
    <x v="12"/>
    <n v="673597.37306204333"/>
  </r>
  <r>
    <x v="0"/>
    <x v="2"/>
    <x v="12"/>
    <x v="40"/>
    <n v="2026"/>
    <x v="13"/>
    <n v="793732.99795575952"/>
  </r>
  <r>
    <x v="0"/>
    <x v="2"/>
    <x v="12"/>
    <x v="40"/>
    <n v="2027"/>
    <x v="14"/>
    <n v="911377.99245233729"/>
  </r>
  <r>
    <x v="0"/>
    <x v="2"/>
    <x v="12"/>
    <x v="40"/>
    <n v="2028"/>
    <x v="15"/>
    <n v="1026585.1253518885"/>
  </r>
  <r>
    <x v="0"/>
    <x v="2"/>
    <x v="12"/>
    <x v="40"/>
    <n v="2029"/>
    <x v="16"/>
    <n v="1139406.0162213936"/>
  </r>
  <r>
    <x v="0"/>
    <x v="2"/>
    <x v="12"/>
    <x v="40"/>
    <n v="2030"/>
    <x v="17"/>
    <n v="1249891.1612651155"/>
  </r>
  <r>
    <x v="0"/>
    <x v="2"/>
    <x v="12"/>
    <x v="40"/>
    <n v="2031"/>
    <x v="18"/>
    <n v="1358089.9585905722"/>
  </r>
  <r>
    <x v="0"/>
    <x v="2"/>
    <x v="12"/>
    <x v="40"/>
    <n v="2032"/>
    <x v="19"/>
    <n v="1464050.7328847512"/>
  </r>
  <r>
    <x v="0"/>
    <x v="2"/>
    <x v="12"/>
    <x v="40"/>
    <n v="2033"/>
    <x v="20"/>
    <n v="1567820.7595148769"/>
  </r>
  <r>
    <x v="0"/>
    <x v="2"/>
    <x v="12"/>
    <x v="40"/>
    <n v="2034"/>
    <x v="21"/>
    <n v="1669446.2880676836"/>
  </r>
  <r>
    <x v="0"/>
    <x v="2"/>
    <x v="12"/>
    <x v="40"/>
    <n v="2035"/>
    <x v="22"/>
    <n v="1768972.5653407923"/>
  </r>
  <r>
    <x v="0"/>
    <x v="2"/>
    <x v="12"/>
    <x v="40"/>
    <n v="2036"/>
    <x v="23"/>
    <n v="1866443.8577994504"/>
  </r>
  <r>
    <x v="0"/>
    <x v="2"/>
    <x v="12"/>
    <x v="40"/>
    <n v="2037"/>
    <x v="24"/>
    <n v="1961903.4735115583"/>
  </r>
  <r>
    <x v="0"/>
    <x v="2"/>
    <x v="12"/>
    <x v="40"/>
    <n v="2038"/>
    <x v="25"/>
    <n v="2055393.7835735828"/>
  </r>
  <r>
    <x v="0"/>
    <x v="2"/>
    <x v="12"/>
    <x v="40"/>
    <n v="2039"/>
    <x v="26"/>
    <n v="2146956.2430396425"/>
  </r>
  <r>
    <x v="0"/>
    <x v="2"/>
    <x v="12"/>
    <x v="40"/>
    <n v="2040"/>
    <x v="27"/>
    <n v="2236662.8954320368"/>
  </r>
  <r>
    <x v="0"/>
    <x v="2"/>
    <x v="12"/>
    <x v="40"/>
    <n v="2041"/>
    <x v="28"/>
    <n v="2324618.2085257303"/>
  </r>
  <r>
    <x v="0"/>
    <x v="2"/>
    <x v="12"/>
    <x v="40"/>
    <n v="2042"/>
    <x v="29"/>
    <n v="2410856.3005204736"/>
  </r>
  <r>
    <x v="0"/>
    <x v="3"/>
    <x v="0"/>
    <x v="41"/>
    <n v="2013"/>
    <x v="0"/>
    <n v="52525.686799999996"/>
  </r>
  <r>
    <x v="0"/>
    <x v="3"/>
    <x v="0"/>
    <x v="41"/>
    <n v="2014"/>
    <x v="1"/>
    <n v="103045.21008954883"/>
  </r>
  <r>
    <x v="0"/>
    <x v="3"/>
    <x v="0"/>
    <x v="41"/>
    <n v="2015"/>
    <x v="2"/>
    <n v="152565.98092317433"/>
  </r>
  <r>
    <x v="0"/>
    <x v="3"/>
    <x v="0"/>
    <x v="41"/>
    <n v="2016"/>
    <x v="3"/>
    <n v="204951.40008844491"/>
  </r>
  <r>
    <x v="0"/>
    <x v="3"/>
    <x v="0"/>
    <x v="41"/>
    <n v="2017"/>
    <x v="4"/>
    <n v="264104.65274828218"/>
  </r>
  <r>
    <x v="0"/>
    <x v="3"/>
    <x v="0"/>
    <x v="41"/>
    <n v="2018"/>
    <x v="5"/>
    <n v="322956.40336350905"/>
  </r>
  <r>
    <x v="0"/>
    <x v="3"/>
    <x v="0"/>
    <x v="41"/>
    <n v="2019"/>
    <x v="6"/>
    <n v="382458.16257085698"/>
  </r>
  <r>
    <x v="0"/>
    <x v="3"/>
    <x v="0"/>
    <x v="41"/>
    <n v="2020"/>
    <x v="7"/>
    <n v="441575.28506588424"/>
  </r>
  <r>
    <x v="0"/>
    <x v="3"/>
    <x v="0"/>
    <x v="41"/>
    <n v="2021"/>
    <x v="8"/>
    <n v="507094.5855820186"/>
  </r>
  <r>
    <x v="0"/>
    <x v="3"/>
    <x v="0"/>
    <x v="41"/>
    <n v="2022"/>
    <x v="9"/>
    <n v="571175.83136914426"/>
  </r>
  <r>
    <x v="0"/>
    <x v="3"/>
    <x v="0"/>
    <x v="41"/>
    <n v="2023"/>
    <x v="10"/>
    <n v="640549.08970090805"/>
  </r>
  <r>
    <x v="0"/>
    <x v="3"/>
    <x v="0"/>
    <x v="41"/>
    <n v="2024"/>
    <x v="11"/>
    <n v="707299.9041273928"/>
  </r>
  <r>
    <x v="0"/>
    <x v="3"/>
    <x v="0"/>
    <x v="41"/>
    <n v="2025"/>
    <x v="12"/>
    <n v="772819.25334696507"/>
  </r>
  <r>
    <x v="0"/>
    <x v="3"/>
    <x v="0"/>
    <x v="41"/>
    <n v="2026"/>
    <x v="13"/>
    <n v="835861.73571599671"/>
  </r>
  <r>
    <x v="0"/>
    <x v="3"/>
    <x v="0"/>
    <x v="41"/>
    <n v="2027"/>
    <x v="14"/>
    <n v="898424.07784637879"/>
  </r>
  <r>
    <x v="0"/>
    <x v="3"/>
    <x v="0"/>
    <x v="41"/>
    <n v="2028"/>
    <x v="15"/>
    <n v="977501.32186304743"/>
  </r>
  <r>
    <x v="0"/>
    <x v="3"/>
    <x v="0"/>
    <x v="41"/>
    <n v="2029"/>
    <x v="16"/>
    <n v="1055985.7838459916"/>
  </r>
  <r>
    <x v="0"/>
    <x v="3"/>
    <x v="0"/>
    <x v="41"/>
    <n v="2030"/>
    <x v="17"/>
    <n v="1131448.8761624622"/>
  </r>
  <r>
    <x v="0"/>
    <x v="3"/>
    <x v="0"/>
    <x v="41"/>
    <n v="2031"/>
    <x v="18"/>
    <n v="1205174.3072175798"/>
  </r>
  <r>
    <x v="0"/>
    <x v="3"/>
    <x v="0"/>
    <x v="41"/>
    <n v="2032"/>
    <x v="19"/>
    <n v="1276061.611783335"/>
  </r>
  <r>
    <x v="0"/>
    <x v="3"/>
    <x v="0"/>
    <x v="41"/>
    <n v="2033"/>
    <x v="20"/>
    <n v="1345871.5855089282"/>
  </r>
  <r>
    <x v="0"/>
    <x v="3"/>
    <x v="0"/>
    <x v="41"/>
    <n v="2034"/>
    <x v="21"/>
    <n v="1412994.1146940521"/>
  </r>
  <r>
    <x v="0"/>
    <x v="3"/>
    <x v="0"/>
    <x v="41"/>
    <n v="2035"/>
    <x v="22"/>
    <n v="1481067.593662441"/>
  </r>
  <r>
    <x v="0"/>
    <x v="3"/>
    <x v="0"/>
    <x v="41"/>
    <n v="2036"/>
    <x v="23"/>
    <n v="1546514.7164774714"/>
  </r>
  <r>
    <x v="0"/>
    <x v="3"/>
    <x v="0"/>
    <x v="41"/>
    <n v="2037"/>
    <x v="24"/>
    <n v="1612026.008553809"/>
  </r>
  <r>
    <x v="0"/>
    <x v="3"/>
    <x v="0"/>
    <x v="41"/>
    <n v="2038"/>
    <x v="25"/>
    <n v="1675009.7114175963"/>
  </r>
  <r>
    <x v="0"/>
    <x v="3"/>
    <x v="0"/>
    <x v="41"/>
    <n v="2039"/>
    <x v="26"/>
    <n v="1736929.4846493725"/>
  </r>
  <r>
    <x v="0"/>
    <x v="3"/>
    <x v="0"/>
    <x v="41"/>
    <n v="2040"/>
    <x v="27"/>
    <n v="1796460.2279338895"/>
  </r>
  <r>
    <x v="0"/>
    <x v="3"/>
    <x v="0"/>
    <x v="41"/>
    <n v="2041"/>
    <x v="28"/>
    <n v="1853694.1526717667"/>
  </r>
  <r>
    <x v="0"/>
    <x v="3"/>
    <x v="0"/>
    <x v="41"/>
    <n v="2042"/>
    <x v="29"/>
    <n v="1908719.910044868"/>
  </r>
  <r>
    <x v="0"/>
    <x v="3"/>
    <x v="1"/>
    <x v="42"/>
    <n v="2013"/>
    <x v="0"/>
    <n v="41042.997114989732"/>
  </r>
  <r>
    <x v="0"/>
    <x v="3"/>
    <x v="1"/>
    <x v="42"/>
    <n v="2014"/>
    <x v="1"/>
    <n v="65715.375570480697"/>
  </r>
  <r>
    <x v="0"/>
    <x v="3"/>
    <x v="1"/>
    <x v="42"/>
    <n v="2015"/>
    <x v="2"/>
    <n v="89584.222784524245"/>
  </r>
  <r>
    <x v="0"/>
    <x v="3"/>
    <x v="1"/>
    <x v="42"/>
    <n v="2016"/>
    <x v="3"/>
    <n v="113201.76547692725"/>
  </r>
  <r>
    <x v="0"/>
    <x v="3"/>
    <x v="1"/>
    <x v="42"/>
    <n v="2017"/>
    <x v="4"/>
    <n v="172355.01813676453"/>
  </r>
  <r>
    <x v="0"/>
    <x v="3"/>
    <x v="1"/>
    <x v="42"/>
    <n v="2018"/>
    <x v="5"/>
    <n v="231206.76875199139"/>
  </r>
  <r>
    <x v="0"/>
    <x v="3"/>
    <x v="1"/>
    <x v="42"/>
    <n v="2019"/>
    <x v="6"/>
    <n v="290708.52795933932"/>
  </r>
  <r>
    <x v="0"/>
    <x v="3"/>
    <x v="1"/>
    <x v="42"/>
    <n v="2020"/>
    <x v="7"/>
    <n v="349825.65045436658"/>
  </r>
  <r>
    <x v="0"/>
    <x v="3"/>
    <x v="1"/>
    <x v="42"/>
    <n v="2021"/>
    <x v="8"/>
    <n v="415344.95097050094"/>
  </r>
  <r>
    <x v="0"/>
    <x v="3"/>
    <x v="1"/>
    <x v="42"/>
    <n v="2022"/>
    <x v="9"/>
    <n v="479426.19675762666"/>
  </r>
  <r>
    <x v="0"/>
    <x v="3"/>
    <x v="1"/>
    <x v="42"/>
    <n v="2023"/>
    <x v="10"/>
    <n v="548799.45508939051"/>
  </r>
  <r>
    <x v="0"/>
    <x v="3"/>
    <x v="1"/>
    <x v="42"/>
    <n v="2024"/>
    <x v="11"/>
    <n v="615550.26951587526"/>
  </r>
  <r>
    <x v="0"/>
    <x v="3"/>
    <x v="1"/>
    <x v="42"/>
    <n v="2025"/>
    <x v="12"/>
    <n v="702296.76911767572"/>
  </r>
  <r>
    <x v="0"/>
    <x v="3"/>
    <x v="1"/>
    <x v="42"/>
    <n v="2026"/>
    <x v="13"/>
    <n v="785704.07567828626"/>
  </r>
  <r>
    <x v="0"/>
    <x v="3"/>
    <x v="1"/>
    <x v="42"/>
    <n v="2027"/>
    <x v="14"/>
    <n v="867947.23438278178"/>
  </r>
  <r>
    <x v="0"/>
    <x v="3"/>
    <x v="1"/>
    <x v="42"/>
    <n v="2028"/>
    <x v="15"/>
    <n v="947024.47839945043"/>
  </r>
  <r>
    <x v="0"/>
    <x v="3"/>
    <x v="1"/>
    <x v="42"/>
    <n v="2029"/>
    <x v="16"/>
    <n v="1025508.9403823945"/>
  </r>
  <r>
    <x v="0"/>
    <x v="3"/>
    <x v="1"/>
    <x v="42"/>
    <n v="2030"/>
    <x v="17"/>
    <n v="1100972.032698865"/>
  </r>
  <r>
    <x v="0"/>
    <x v="3"/>
    <x v="1"/>
    <x v="42"/>
    <n v="2031"/>
    <x v="18"/>
    <n v="1174697.4637539827"/>
  </r>
  <r>
    <x v="0"/>
    <x v="3"/>
    <x v="1"/>
    <x v="42"/>
    <n v="2032"/>
    <x v="19"/>
    <n v="1245584.7683197379"/>
  </r>
  <r>
    <x v="0"/>
    <x v="3"/>
    <x v="1"/>
    <x v="42"/>
    <n v="2033"/>
    <x v="20"/>
    <n v="1315394.742045331"/>
  </r>
  <r>
    <x v="0"/>
    <x v="3"/>
    <x v="1"/>
    <x v="42"/>
    <n v="2034"/>
    <x v="21"/>
    <n v="1382517.271230455"/>
  </r>
  <r>
    <x v="0"/>
    <x v="3"/>
    <x v="1"/>
    <x v="42"/>
    <n v="2035"/>
    <x v="22"/>
    <n v="1450590.7501988439"/>
  </r>
  <r>
    <x v="0"/>
    <x v="3"/>
    <x v="1"/>
    <x v="42"/>
    <n v="2036"/>
    <x v="23"/>
    <n v="1516037.8730138743"/>
  </r>
  <r>
    <x v="0"/>
    <x v="3"/>
    <x v="1"/>
    <x v="42"/>
    <n v="2037"/>
    <x v="24"/>
    <n v="1580282.3149652933"/>
  </r>
  <r>
    <x v="0"/>
    <x v="3"/>
    <x v="1"/>
    <x v="42"/>
    <n v="2038"/>
    <x v="25"/>
    <n v="1642290.7766854183"/>
  </r>
  <r>
    <x v="0"/>
    <x v="3"/>
    <x v="1"/>
    <x v="42"/>
    <n v="2039"/>
    <x v="26"/>
    <n v="1702140.1710427799"/>
  </r>
  <r>
    <x v="0"/>
    <x v="3"/>
    <x v="1"/>
    <x v="42"/>
    <n v="2040"/>
    <x v="27"/>
    <n v="1760019.0753387962"/>
  </r>
  <r>
    <x v="0"/>
    <x v="3"/>
    <x v="1"/>
    <x v="42"/>
    <n v="2041"/>
    <x v="28"/>
    <n v="1815990.4442863264"/>
  </r>
  <r>
    <x v="0"/>
    <x v="3"/>
    <x v="1"/>
    <x v="42"/>
    <n v="2042"/>
    <x v="29"/>
    <n v="1870409.3192359314"/>
  </r>
  <r>
    <x v="0"/>
    <x v="3"/>
    <x v="2"/>
    <x v="43"/>
    <n v="2013"/>
    <x v="0"/>
    <n v="-43015.05"/>
  </r>
  <r>
    <x v="0"/>
    <x v="3"/>
    <x v="2"/>
    <x v="43"/>
    <n v="2014"/>
    <x v="1"/>
    <n v="-86352.285865219877"/>
  </r>
  <r>
    <x v="0"/>
    <x v="3"/>
    <x v="2"/>
    <x v="43"/>
    <n v="2015"/>
    <x v="2"/>
    <n v="-138541.19578403595"/>
  </r>
  <r>
    <x v="0"/>
    <x v="3"/>
    <x v="2"/>
    <x v="43"/>
    <n v="2016"/>
    <x v="3"/>
    <n v="-190867.38028908212"/>
  </r>
  <r>
    <x v="0"/>
    <x v="3"/>
    <x v="2"/>
    <x v="43"/>
    <n v="2017"/>
    <x v="4"/>
    <n v="-157278.5148229824"/>
  </r>
  <r>
    <x v="0"/>
    <x v="3"/>
    <x v="2"/>
    <x v="43"/>
    <n v="2018"/>
    <x v="5"/>
    <n v="-123668.32270644748"/>
  </r>
  <r>
    <x v="0"/>
    <x v="3"/>
    <x v="2"/>
    <x v="43"/>
    <n v="2019"/>
    <x v="6"/>
    <n v="-90028.481028923678"/>
  </r>
  <r>
    <x v="0"/>
    <x v="3"/>
    <x v="2"/>
    <x v="43"/>
    <n v="2020"/>
    <x v="7"/>
    <n v="-56350.829269688562"/>
  </r>
  <r>
    <x v="0"/>
    <x v="3"/>
    <x v="2"/>
    <x v="43"/>
    <n v="2021"/>
    <x v="8"/>
    <n v="26876.035603202909"/>
  </r>
  <r>
    <x v="0"/>
    <x v="3"/>
    <x v="2"/>
    <x v="43"/>
    <n v="2022"/>
    <x v="9"/>
    <n v="103491.49829725681"/>
  </r>
  <r>
    <x v="0"/>
    <x v="3"/>
    <x v="2"/>
    <x v="43"/>
    <n v="2023"/>
    <x v="10"/>
    <n v="179181.92917670266"/>
  </r>
  <r>
    <x v="0"/>
    <x v="3"/>
    <x v="2"/>
    <x v="43"/>
    <n v="2024"/>
    <x v="11"/>
    <n v="253936.2835310339"/>
  </r>
  <r>
    <x v="0"/>
    <x v="3"/>
    <x v="2"/>
    <x v="43"/>
    <n v="2025"/>
    <x v="12"/>
    <n v="327745.17896686774"/>
  </r>
  <r>
    <x v="0"/>
    <x v="3"/>
    <x v="2"/>
    <x v="43"/>
    <n v="2026"/>
    <x v="13"/>
    <n v="400600.79200982198"/>
  </r>
  <r>
    <x v="0"/>
    <x v="3"/>
    <x v="2"/>
    <x v="43"/>
    <n v="2027"/>
    <x v="14"/>
    <n v="472496.76017805224"/>
  </r>
  <r>
    <x v="0"/>
    <x v="3"/>
    <x v="2"/>
    <x v="43"/>
    <n v="2028"/>
    <x v="15"/>
    <n v="543428.08925328299"/>
  </r>
  <r>
    <x v="0"/>
    <x v="3"/>
    <x v="2"/>
    <x v="43"/>
    <n v="2029"/>
    <x v="16"/>
    <n v="613391.06548860797"/>
  </r>
  <r>
    <x v="0"/>
    <x v="3"/>
    <x v="2"/>
    <x v="43"/>
    <n v="2030"/>
    <x v="17"/>
    <n v="682383.17250512436"/>
  </r>
  <r>
    <x v="0"/>
    <x v="3"/>
    <x v="2"/>
    <x v="43"/>
    <n v="2031"/>
    <x v="18"/>
    <n v="764996.42135545844"/>
  </r>
  <r>
    <x v="0"/>
    <x v="3"/>
    <x v="2"/>
    <x v="43"/>
    <n v="2032"/>
    <x v="19"/>
    <n v="845934.18828095275"/>
  </r>
  <r>
    <x v="0"/>
    <x v="3"/>
    <x v="2"/>
    <x v="43"/>
    <n v="2033"/>
    <x v="20"/>
    <n v="925230.94570235885"/>
  </r>
  <r>
    <x v="0"/>
    <x v="3"/>
    <x v="2"/>
    <x v="43"/>
    <n v="2034"/>
    <x v="21"/>
    <n v="1002920.4429309787"/>
  </r>
  <r>
    <x v="0"/>
    <x v="3"/>
    <x v="2"/>
    <x v="43"/>
    <n v="2035"/>
    <x v="22"/>
    <n v="1079023.4196661317"/>
  </r>
  <r>
    <x v="0"/>
    <x v="3"/>
    <x v="2"/>
    <x v="43"/>
    <n v="2036"/>
    <x v="23"/>
    <n v="1153530.6919895392"/>
  </r>
  <r>
    <x v="0"/>
    <x v="3"/>
    <x v="2"/>
    <x v="43"/>
    <n v="2037"/>
    <x v="24"/>
    <n v="1226476.5624710091"/>
  </r>
  <r>
    <x v="0"/>
    <x v="3"/>
    <x v="2"/>
    <x v="43"/>
    <n v="2038"/>
    <x v="25"/>
    <n v="1297894.5732873101"/>
  </r>
  <r>
    <x v="0"/>
    <x v="3"/>
    <x v="2"/>
    <x v="43"/>
    <n v="2039"/>
    <x v="26"/>
    <n v="1367817.523688935"/>
  </r>
  <r>
    <x v="0"/>
    <x v="3"/>
    <x v="2"/>
    <x v="43"/>
    <n v="2040"/>
    <x v="27"/>
    <n v="1436277.4870499002"/>
  </r>
  <r>
    <x v="0"/>
    <x v="3"/>
    <x v="2"/>
    <x v="43"/>
    <n v="2041"/>
    <x v="28"/>
    <n v="1503305.8275109262"/>
  </r>
  <r>
    <x v="0"/>
    <x v="3"/>
    <x v="2"/>
    <x v="43"/>
    <n v="2042"/>
    <x v="29"/>
    <n v="1568933.2162260774"/>
  </r>
  <r>
    <x v="0"/>
    <x v="3"/>
    <x v="3"/>
    <x v="44"/>
    <n v="2013"/>
    <x v="0"/>
    <n v="-43015.05"/>
  </r>
  <r>
    <x v="0"/>
    <x v="3"/>
    <x v="3"/>
    <x v="44"/>
    <n v="2014"/>
    <x v="1"/>
    <n v="-86352.285865219877"/>
  </r>
  <r>
    <x v="0"/>
    <x v="3"/>
    <x v="3"/>
    <x v="44"/>
    <n v="2015"/>
    <x v="2"/>
    <n v="-138541.19578403595"/>
  </r>
  <r>
    <x v="0"/>
    <x v="3"/>
    <x v="3"/>
    <x v="44"/>
    <n v="2016"/>
    <x v="3"/>
    <n v="-190867.38028908212"/>
  </r>
  <r>
    <x v="0"/>
    <x v="3"/>
    <x v="3"/>
    <x v="44"/>
    <n v="2017"/>
    <x v="4"/>
    <n v="-157278.5148229824"/>
  </r>
  <r>
    <x v="0"/>
    <x v="3"/>
    <x v="3"/>
    <x v="44"/>
    <n v="2018"/>
    <x v="5"/>
    <n v="-123668.32270644748"/>
  </r>
  <r>
    <x v="0"/>
    <x v="3"/>
    <x v="3"/>
    <x v="44"/>
    <n v="2019"/>
    <x v="6"/>
    <n v="-90028.481028923678"/>
  </r>
  <r>
    <x v="0"/>
    <x v="3"/>
    <x v="3"/>
    <x v="44"/>
    <n v="2020"/>
    <x v="7"/>
    <n v="-56350.829269688562"/>
  </r>
  <r>
    <x v="0"/>
    <x v="3"/>
    <x v="3"/>
    <x v="44"/>
    <n v="2021"/>
    <x v="8"/>
    <n v="36881.363452660458"/>
  </r>
  <r>
    <x v="0"/>
    <x v="3"/>
    <x v="3"/>
    <x v="44"/>
    <n v="2022"/>
    <x v="9"/>
    <n v="123020.26784617899"/>
  </r>
  <r>
    <x v="0"/>
    <x v="3"/>
    <x v="3"/>
    <x v="44"/>
    <n v="2023"/>
    <x v="10"/>
    <n v="207775.4633358139"/>
  </r>
  <r>
    <x v="0"/>
    <x v="3"/>
    <x v="3"/>
    <x v="44"/>
    <n v="2024"/>
    <x v="11"/>
    <n v="291157.99645484064"/>
  </r>
  <r>
    <x v="0"/>
    <x v="3"/>
    <x v="3"/>
    <x v="44"/>
    <n v="2025"/>
    <x v="12"/>
    <n v="373179.51207408914"/>
  </r>
  <r>
    <x v="0"/>
    <x v="3"/>
    <x v="3"/>
    <x v="44"/>
    <n v="2026"/>
    <x v="13"/>
    <n v="453852.20124822052"/>
  </r>
  <r>
    <x v="0"/>
    <x v="3"/>
    <x v="3"/>
    <x v="44"/>
    <n v="2027"/>
    <x v="14"/>
    <n v="533188.75206558185"/>
  </r>
  <r>
    <x v="0"/>
    <x v="3"/>
    <x v="3"/>
    <x v="44"/>
    <n v="2028"/>
    <x v="15"/>
    <n v="611202.3033463438"/>
  </r>
  <r>
    <x v="0"/>
    <x v="3"/>
    <x v="3"/>
    <x v="44"/>
    <n v="2029"/>
    <x v="16"/>
    <n v="687906.40104134066"/>
  </r>
  <r>
    <x v="0"/>
    <x v="3"/>
    <x v="3"/>
    <x v="44"/>
    <n v="2030"/>
    <x v="17"/>
    <n v="763314.95719137299"/>
  </r>
  <r>
    <x v="0"/>
    <x v="3"/>
    <x v="3"/>
    <x v="44"/>
    <n v="2031"/>
    <x v="18"/>
    <n v="837442.2113137152"/>
  </r>
  <r>
    <x v="0"/>
    <x v="3"/>
    <x v="3"/>
    <x v="44"/>
    <n v="2032"/>
    <x v="19"/>
    <n v="910302.69408920757"/>
  </r>
  <r>
    <x v="0"/>
    <x v="3"/>
    <x v="3"/>
    <x v="44"/>
    <n v="2033"/>
    <x v="20"/>
    <n v="981911.19322962943"/>
  </r>
  <r>
    <x v="0"/>
    <x v="3"/>
    <x v="3"/>
    <x v="44"/>
    <n v="2034"/>
    <x v="21"/>
    <n v="1052282.7214110533"/>
  </r>
  <r>
    <x v="0"/>
    <x v="3"/>
    <x v="3"/>
    <x v="44"/>
    <n v="2035"/>
    <x v="22"/>
    <n v="1121420.1841092787"/>
  </r>
  <r>
    <x v="0"/>
    <x v="3"/>
    <x v="3"/>
    <x v="44"/>
    <n v="2036"/>
    <x v="23"/>
    <n v="1189297.4221314036"/>
  </r>
  <r>
    <x v="0"/>
    <x v="3"/>
    <x v="3"/>
    <x v="44"/>
    <n v="2037"/>
    <x v="24"/>
    <n v="1255932.5803519916"/>
  </r>
  <r>
    <x v="0"/>
    <x v="3"/>
    <x v="3"/>
    <x v="44"/>
    <n v="2038"/>
    <x v="25"/>
    <n v="1321343.8214549078"/>
  </r>
  <r>
    <x v="0"/>
    <x v="3"/>
    <x v="3"/>
    <x v="44"/>
    <n v="2039"/>
    <x v="26"/>
    <n v="1385549.3059195587"/>
  </r>
  <r>
    <x v="0"/>
    <x v="3"/>
    <x v="3"/>
    <x v="44"/>
    <n v="2040"/>
    <x v="27"/>
    <n v="1448567.1733953403"/>
  </r>
  <r>
    <x v="0"/>
    <x v="3"/>
    <x v="3"/>
    <x v="44"/>
    <n v="2041"/>
    <x v="28"/>
    <n v="1510415.5253876974"/>
  </r>
  <r>
    <x v="0"/>
    <x v="3"/>
    <x v="3"/>
    <x v="44"/>
    <n v="2042"/>
    <x v="29"/>
    <n v="1571112.409183118"/>
  </r>
  <r>
    <x v="0"/>
    <x v="3"/>
    <x v="4"/>
    <x v="45"/>
    <n v="2013"/>
    <x v="0"/>
    <n v="-43015.05"/>
  </r>
  <r>
    <x v="0"/>
    <x v="3"/>
    <x v="4"/>
    <x v="45"/>
    <n v="2014"/>
    <x v="1"/>
    <n v="-86352.285865219877"/>
  </r>
  <r>
    <x v="0"/>
    <x v="3"/>
    <x v="4"/>
    <x v="45"/>
    <n v="2015"/>
    <x v="2"/>
    <n v="-138541.19578403595"/>
  </r>
  <r>
    <x v="0"/>
    <x v="3"/>
    <x v="4"/>
    <x v="45"/>
    <n v="2016"/>
    <x v="3"/>
    <n v="-190867.38028908212"/>
  </r>
  <r>
    <x v="0"/>
    <x v="3"/>
    <x v="4"/>
    <x v="45"/>
    <n v="2017"/>
    <x v="4"/>
    <n v="-157278.5148229824"/>
  </r>
  <r>
    <x v="0"/>
    <x v="3"/>
    <x v="4"/>
    <x v="45"/>
    <n v="2018"/>
    <x v="5"/>
    <n v="-123668.32270644748"/>
  </r>
  <r>
    <x v="0"/>
    <x v="3"/>
    <x v="4"/>
    <x v="45"/>
    <n v="2019"/>
    <x v="6"/>
    <n v="-90028.481028923678"/>
  </r>
  <r>
    <x v="0"/>
    <x v="3"/>
    <x v="4"/>
    <x v="45"/>
    <n v="2020"/>
    <x v="7"/>
    <n v="-56350.829269688562"/>
  </r>
  <r>
    <x v="0"/>
    <x v="3"/>
    <x v="4"/>
    <x v="45"/>
    <n v="2021"/>
    <x v="8"/>
    <n v="27943.565442437699"/>
  </r>
  <r>
    <x v="0"/>
    <x v="3"/>
    <x v="4"/>
    <x v="45"/>
    <n v="2022"/>
    <x v="9"/>
    <n v="106303.7682095881"/>
  </r>
  <r>
    <x v="0"/>
    <x v="3"/>
    <x v="4"/>
    <x v="45"/>
    <n v="2023"/>
    <x v="10"/>
    <n v="183036.07286700184"/>
  </r>
  <r>
    <x v="0"/>
    <x v="3"/>
    <x v="4"/>
    <x v="45"/>
    <n v="2024"/>
    <x v="11"/>
    <n v="258175.06180717674"/>
  </r>
  <r>
    <x v="0"/>
    <x v="3"/>
    <x v="4"/>
    <x v="45"/>
    <n v="2025"/>
    <x v="12"/>
    <n v="331983.95724301058"/>
  </r>
  <r>
    <x v="0"/>
    <x v="3"/>
    <x v="4"/>
    <x v="45"/>
    <n v="2026"/>
    <x v="13"/>
    <n v="404839.57028596482"/>
  </r>
  <r>
    <x v="0"/>
    <x v="3"/>
    <x v="4"/>
    <x v="45"/>
    <n v="2027"/>
    <x v="14"/>
    <n v="476735.53845419508"/>
  </r>
  <r>
    <x v="0"/>
    <x v="3"/>
    <x v="4"/>
    <x v="45"/>
    <n v="2028"/>
    <x v="15"/>
    <n v="547666.86752942589"/>
  </r>
  <r>
    <x v="0"/>
    <x v="3"/>
    <x v="4"/>
    <x v="45"/>
    <n v="2029"/>
    <x v="16"/>
    <n v="617629.84376475087"/>
  </r>
  <r>
    <x v="0"/>
    <x v="3"/>
    <x v="4"/>
    <x v="45"/>
    <n v="2030"/>
    <x v="17"/>
    <n v="686621.95078126725"/>
  </r>
  <r>
    <x v="0"/>
    <x v="3"/>
    <x v="4"/>
    <x v="45"/>
    <n v="2031"/>
    <x v="18"/>
    <n v="764568.77020615363"/>
  </r>
  <r>
    <x v="0"/>
    <x v="3"/>
    <x v="4"/>
    <x v="45"/>
    <n v="2032"/>
    <x v="19"/>
    <n v="845506.53713164793"/>
  </r>
  <r>
    <x v="0"/>
    <x v="3"/>
    <x v="4"/>
    <x v="45"/>
    <n v="2033"/>
    <x v="20"/>
    <n v="924803.29455305403"/>
  </r>
  <r>
    <x v="0"/>
    <x v="3"/>
    <x v="4"/>
    <x v="45"/>
    <n v="2034"/>
    <x v="21"/>
    <n v="1002492.7917816739"/>
  </r>
  <r>
    <x v="0"/>
    <x v="3"/>
    <x v="4"/>
    <x v="45"/>
    <n v="2035"/>
    <x v="22"/>
    <n v="1078595.7685168269"/>
  </r>
  <r>
    <x v="0"/>
    <x v="3"/>
    <x v="4"/>
    <x v="45"/>
    <n v="2036"/>
    <x v="23"/>
    <n v="1153103.0408402344"/>
  </r>
  <r>
    <x v="0"/>
    <x v="3"/>
    <x v="4"/>
    <x v="45"/>
    <n v="2037"/>
    <x v="24"/>
    <n v="1226048.9113217043"/>
  </r>
  <r>
    <x v="0"/>
    <x v="3"/>
    <x v="4"/>
    <x v="45"/>
    <n v="2038"/>
    <x v="25"/>
    <n v="1297466.9221380053"/>
  </r>
  <r>
    <x v="0"/>
    <x v="3"/>
    <x v="4"/>
    <x v="45"/>
    <n v="2039"/>
    <x v="26"/>
    <n v="1367389.8725396302"/>
  </r>
  <r>
    <x v="0"/>
    <x v="3"/>
    <x v="4"/>
    <x v="45"/>
    <n v="2040"/>
    <x v="27"/>
    <n v="1435849.8359005954"/>
  </r>
  <r>
    <x v="0"/>
    <x v="3"/>
    <x v="4"/>
    <x v="45"/>
    <n v="2041"/>
    <x v="28"/>
    <n v="1502878.1763616214"/>
  </r>
  <r>
    <x v="0"/>
    <x v="3"/>
    <x v="4"/>
    <x v="45"/>
    <n v="2042"/>
    <x v="29"/>
    <n v="1568505.5650767726"/>
  </r>
  <r>
    <x v="0"/>
    <x v="3"/>
    <x v="5"/>
    <x v="46"/>
    <n v="2013"/>
    <x v="0"/>
    <n v="-43015.05"/>
  </r>
  <r>
    <x v="0"/>
    <x v="3"/>
    <x v="5"/>
    <x v="46"/>
    <n v="2014"/>
    <x v="1"/>
    <n v="-86352.285865219877"/>
  </r>
  <r>
    <x v="0"/>
    <x v="3"/>
    <x v="5"/>
    <x v="46"/>
    <n v="2015"/>
    <x v="2"/>
    <n v="-138541.19578403595"/>
  </r>
  <r>
    <x v="0"/>
    <x v="3"/>
    <x v="5"/>
    <x v="46"/>
    <n v="2016"/>
    <x v="3"/>
    <n v="-190867.38028908212"/>
  </r>
  <r>
    <x v="0"/>
    <x v="3"/>
    <x v="5"/>
    <x v="46"/>
    <n v="2017"/>
    <x v="4"/>
    <n v="-157278.5148229824"/>
  </r>
  <r>
    <x v="0"/>
    <x v="3"/>
    <x v="5"/>
    <x v="46"/>
    <n v="2018"/>
    <x v="5"/>
    <n v="-123668.32270644748"/>
  </r>
  <r>
    <x v="0"/>
    <x v="3"/>
    <x v="5"/>
    <x v="46"/>
    <n v="2019"/>
    <x v="6"/>
    <n v="-90028.481028923678"/>
  </r>
  <r>
    <x v="0"/>
    <x v="3"/>
    <x v="5"/>
    <x v="46"/>
    <n v="2020"/>
    <x v="7"/>
    <n v="-56350.829269688562"/>
  </r>
  <r>
    <x v="0"/>
    <x v="3"/>
    <x v="5"/>
    <x v="46"/>
    <n v="2021"/>
    <x v="8"/>
    <n v="35556.825450469871"/>
  </r>
  <r>
    <x v="0"/>
    <x v="3"/>
    <x v="5"/>
    <x v="46"/>
    <n v="2022"/>
    <x v="9"/>
    <n v="120920.73592195942"/>
  </r>
  <r>
    <x v="0"/>
    <x v="3"/>
    <x v="5"/>
    <x v="46"/>
    <n v="2023"/>
    <x v="10"/>
    <n v="204525.70718099157"/>
  </r>
  <r>
    <x v="0"/>
    <x v="3"/>
    <x v="5"/>
    <x v="46"/>
    <n v="2024"/>
    <x v="11"/>
    <n v="286408.70795152872"/>
  </r>
  <r>
    <x v="0"/>
    <x v="3"/>
    <x v="5"/>
    <x v="46"/>
    <n v="2025"/>
    <x v="12"/>
    <n v="366605.90985574445"/>
  </r>
  <r>
    <x v="0"/>
    <x v="3"/>
    <x v="5"/>
    <x v="46"/>
    <n v="2026"/>
    <x v="13"/>
    <n v="445152.70514710661"/>
  </r>
  <r>
    <x v="0"/>
    <x v="3"/>
    <x v="5"/>
    <x v="46"/>
    <n v="2027"/>
    <x v="14"/>
    <n v="522083.72403448209"/>
  </r>
  <r>
    <x v="0"/>
    <x v="3"/>
    <x v="5"/>
    <x v="46"/>
    <n v="2028"/>
    <x v="15"/>
    <n v="597432.85160706693"/>
  </r>
  <r>
    <x v="0"/>
    <x v="3"/>
    <x v="5"/>
    <x v="46"/>
    <n v="2029"/>
    <x v="16"/>
    <n v="671233.24436970102"/>
  </r>
  <r>
    <x v="0"/>
    <x v="3"/>
    <x v="5"/>
    <x v="46"/>
    <n v="2030"/>
    <x v="17"/>
    <n v="743517.34639788978"/>
  </r>
  <r>
    <x v="0"/>
    <x v="3"/>
    <x v="5"/>
    <x v="46"/>
    <n v="2031"/>
    <x v="18"/>
    <n v="814316.90512162168"/>
  </r>
  <r>
    <x v="0"/>
    <x v="3"/>
    <x v="5"/>
    <x v="46"/>
    <n v="2032"/>
    <x v="19"/>
    <n v="883662.98674684705"/>
  </r>
  <r>
    <x v="0"/>
    <x v="3"/>
    <x v="5"/>
    <x v="46"/>
    <n v="2033"/>
    <x v="20"/>
    <n v="951585.99132326059"/>
  </r>
  <r>
    <x v="0"/>
    <x v="3"/>
    <x v="5"/>
    <x v="46"/>
    <n v="2034"/>
    <x v="21"/>
    <n v="1018115.6674668189"/>
  </r>
  <r>
    <x v="0"/>
    <x v="3"/>
    <x v="5"/>
    <x v="46"/>
    <n v="2035"/>
    <x v="22"/>
    <n v="1083268.8246898991"/>
  </r>
  <r>
    <x v="0"/>
    <x v="3"/>
    <x v="5"/>
    <x v="46"/>
    <n v="2036"/>
    <x v="23"/>
    <n v="1147358.5885807059"/>
  </r>
  <r>
    <x v="0"/>
    <x v="3"/>
    <x v="5"/>
    <x v="46"/>
    <n v="2037"/>
    <x v="24"/>
    <n v="1220304.4590621758"/>
  </r>
  <r>
    <x v="0"/>
    <x v="3"/>
    <x v="5"/>
    <x v="46"/>
    <n v="2038"/>
    <x v="25"/>
    <n v="1291722.4698784768"/>
  </r>
  <r>
    <x v="0"/>
    <x v="3"/>
    <x v="5"/>
    <x v="46"/>
    <n v="2039"/>
    <x v="26"/>
    <n v="1361645.4202801017"/>
  </r>
  <r>
    <x v="0"/>
    <x v="3"/>
    <x v="5"/>
    <x v="46"/>
    <n v="2040"/>
    <x v="27"/>
    <n v="1430105.383641067"/>
  </r>
  <r>
    <x v="0"/>
    <x v="3"/>
    <x v="5"/>
    <x v="46"/>
    <n v="2041"/>
    <x v="28"/>
    <n v="1497133.7241020929"/>
  </r>
  <r>
    <x v="0"/>
    <x v="3"/>
    <x v="5"/>
    <x v="46"/>
    <n v="2042"/>
    <x v="29"/>
    <n v="1562761.1128172441"/>
  </r>
  <r>
    <x v="0"/>
    <x v="3"/>
    <x v="6"/>
    <x v="47"/>
    <n v="2013"/>
    <x v="0"/>
    <n v="-43015.05"/>
  </r>
  <r>
    <x v="0"/>
    <x v="3"/>
    <x v="6"/>
    <x v="47"/>
    <n v="2014"/>
    <x v="1"/>
    <n v="-86352.285865219877"/>
  </r>
  <r>
    <x v="0"/>
    <x v="3"/>
    <x v="6"/>
    <x v="47"/>
    <n v="2015"/>
    <x v="2"/>
    <n v="-138541.19578403595"/>
  </r>
  <r>
    <x v="0"/>
    <x v="3"/>
    <x v="6"/>
    <x v="47"/>
    <n v="2016"/>
    <x v="3"/>
    <n v="-190867.38028908212"/>
  </r>
  <r>
    <x v="0"/>
    <x v="3"/>
    <x v="6"/>
    <x v="47"/>
    <n v="2017"/>
    <x v="4"/>
    <n v="-169241.36987416679"/>
  </r>
  <r>
    <x v="0"/>
    <x v="3"/>
    <x v="6"/>
    <x v="47"/>
    <n v="2018"/>
    <x v="5"/>
    <n v="-158404.5549729077"/>
  </r>
  <r>
    <x v="0"/>
    <x v="3"/>
    <x v="6"/>
    <x v="47"/>
    <n v="2019"/>
    <x v="6"/>
    <n v="-146441.25737997922"/>
  </r>
  <r>
    <x v="0"/>
    <x v="3"/>
    <x v="6"/>
    <x v="47"/>
    <n v="2020"/>
    <x v="7"/>
    <n v="-133396.14329882836"/>
  </r>
  <r>
    <x v="0"/>
    <x v="3"/>
    <x v="6"/>
    <x v="47"/>
    <n v="2021"/>
    <x v="8"/>
    <n v="-45900.782267235554"/>
  </r>
  <r>
    <x v="0"/>
    <x v="3"/>
    <x v="6"/>
    <x v="47"/>
    <n v="2022"/>
    <x v="9"/>
    <n v="34777.593199235358"/>
  </r>
  <r>
    <x v="0"/>
    <x v="3"/>
    <x v="6"/>
    <x v="47"/>
    <n v="2023"/>
    <x v="10"/>
    <n v="114335.25496809394"/>
  </r>
  <r>
    <x v="0"/>
    <x v="3"/>
    <x v="6"/>
    <x v="47"/>
    <n v="2024"/>
    <x v="11"/>
    <n v="192770.58294646168"/>
  </r>
  <r>
    <x v="0"/>
    <x v="3"/>
    <x v="6"/>
    <x v="47"/>
    <n v="2025"/>
    <x v="12"/>
    <n v="270083.1654411538"/>
  </r>
  <r>
    <x v="0"/>
    <x v="3"/>
    <x v="6"/>
    <x v="47"/>
    <n v="2026"/>
    <x v="13"/>
    <n v="346273.71762256062"/>
  </r>
  <r>
    <x v="0"/>
    <x v="3"/>
    <x v="6"/>
    <x v="47"/>
    <n v="2027"/>
    <x v="14"/>
    <n v="428646.3246659569"/>
  </r>
  <r>
    <x v="0"/>
    <x v="3"/>
    <x v="6"/>
    <x v="47"/>
    <n v="2028"/>
    <x v="15"/>
    <n v="516500.32567519939"/>
  </r>
  <r>
    <x v="0"/>
    <x v="3"/>
    <x v="6"/>
    <x v="47"/>
    <n v="2029"/>
    <x v="16"/>
    <n v="602570.92796612286"/>
  </r>
  <r>
    <x v="0"/>
    <x v="3"/>
    <x v="6"/>
    <x v="47"/>
    <n v="2030"/>
    <x v="17"/>
    <n v="686894.87017738365"/>
  </r>
  <r>
    <x v="0"/>
    <x v="3"/>
    <x v="6"/>
    <x v="47"/>
    <n v="2031"/>
    <x v="18"/>
    <n v="769508.11902771785"/>
  </r>
  <r>
    <x v="0"/>
    <x v="3"/>
    <x v="6"/>
    <x v="47"/>
    <n v="2032"/>
    <x v="19"/>
    <n v="850445.88595321216"/>
  </r>
  <r>
    <x v="0"/>
    <x v="3"/>
    <x v="6"/>
    <x v="47"/>
    <n v="2033"/>
    <x v="20"/>
    <n v="929742.64337461814"/>
  </r>
  <r>
    <x v="0"/>
    <x v="3"/>
    <x v="6"/>
    <x v="47"/>
    <n v="2034"/>
    <x v="21"/>
    <n v="1007432.140603238"/>
  </r>
  <r>
    <x v="0"/>
    <x v="3"/>
    <x v="6"/>
    <x v="47"/>
    <n v="2035"/>
    <x v="22"/>
    <n v="1083535.117338391"/>
  </r>
  <r>
    <x v="0"/>
    <x v="3"/>
    <x v="6"/>
    <x v="47"/>
    <n v="2036"/>
    <x v="23"/>
    <n v="1158042.3896617985"/>
  </r>
  <r>
    <x v="0"/>
    <x v="3"/>
    <x v="6"/>
    <x v="47"/>
    <n v="2037"/>
    <x v="24"/>
    <n v="1230988.2601432684"/>
  </r>
  <r>
    <x v="0"/>
    <x v="3"/>
    <x v="6"/>
    <x v="47"/>
    <n v="2038"/>
    <x v="25"/>
    <n v="1302406.2709595694"/>
  </r>
  <r>
    <x v="0"/>
    <x v="3"/>
    <x v="6"/>
    <x v="47"/>
    <n v="2039"/>
    <x v="26"/>
    <n v="1372329.2213611943"/>
  </r>
  <r>
    <x v="0"/>
    <x v="3"/>
    <x v="6"/>
    <x v="47"/>
    <n v="2040"/>
    <x v="27"/>
    <n v="1440789.1847221595"/>
  </r>
  <r>
    <x v="0"/>
    <x v="3"/>
    <x v="6"/>
    <x v="47"/>
    <n v="2041"/>
    <x v="28"/>
    <n v="1507817.5251831855"/>
  </r>
  <r>
    <x v="0"/>
    <x v="3"/>
    <x v="6"/>
    <x v="47"/>
    <n v="2042"/>
    <x v="29"/>
    <n v="1573444.9138983367"/>
  </r>
  <r>
    <x v="0"/>
    <x v="3"/>
    <x v="7"/>
    <x v="48"/>
    <n v="2013"/>
    <x v="0"/>
    <n v="-43015.05"/>
  </r>
  <r>
    <x v="0"/>
    <x v="3"/>
    <x v="7"/>
    <x v="48"/>
    <n v="2014"/>
    <x v="1"/>
    <n v="-86352.285865219877"/>
  </r>
  <r>
    <x v="0"/>
    <x v="3"/>
    <x v="7"/>
    <x v="48"/>
    <n v="2015"/>
    <x v="2"/>
    <n v="-138541.19578403595"/>
  </r>
  <r>
    <x v="0"/>
    <x v="3"/>
    <x v="7"/>
    <x v="48"/>
    <n v="2016"/>
    <x v="3"/>
    <n v="-190867.38028908212"/>
  </r>
  <r>
    <x v="0"/>
    <x v="3"/>
    <x v="7"/>
    <x v="48"/>
    <n v="2017"/>
    <x v="4"/>
    <n v="-161673.72697596412"/>
  </r>
  <r>
    <x v="0"/>
    <x v="3"/>
    <x v="7"/>
    <x v="48"/>
    <n v="2018"/>
    <x v="5"/>
    <n v="-132585.52546268981"/>
  </r>
  <r>
    <x v="0"/>
    <x v="3"/>
    <x v="7"/>
    <x v="48"/>
    <n v="2019"/>
    <x v="6"/>
    <n v="-103593.03997577081"/>
  </r>
  <r>
    <x v="0"/>
    <x v="3"/>
    <x v="7"/>
    <x v="48"/>
    <n v="2020"/>
    <x v="7"/>
    <n v="-74686.7586801039"/>
  </r>
  <r>
    <x v="0"/>
    <x v="3"/>
    <x v="7"/>
    <x v="48"/>
    <n v="2021"/>
    <x v="8"/>
    <n v="12808.602351488909"/>
  </r>
  <r>
    <x v="0"/>
    <x v="3"/>
    <x v="7"/>
    <x v="48"/>
    <n v="2022"/>
    <x v="9"/>
    <n v="93486.977817959822"/>
  </r>
  <r>
    <x v="0"/>
    <x v="3"/>
    <x v="7"/>
    <x v="48"/>
    <n v="2023"/>
    <x v="10"/>
    <n v="173044.6395868184"/>
  </r>
  <r>
    <x v="0"/>
    <x v="3"/>
    <x v="7"/>
    <x v="48"/>
    <n v="2024"/>
    <x v="11"/>
    <n v="251479.96756518615"/>
  </r>
  <r>
    <x v="0"/>
    <x v="3"/>
    <x v="7"/>
    <x v="48"/>
    <n v="2025"/>
    <x v="12"/>
    <n v="328792.55005987827"/>
  </r>
  <r>
    <x v="0"/>
    <x v="3"/>
    <x v="7"/>
    <x v="48"/>
    <n v="2026"/>
    <x v="13"/>
    <n v="404983.10224128509"/>
  </r>
  <r>
    <x v="0"/>
    <x v="3"/>
    <x v="7"/>
    <x v="48"/>
    <n v="2027"/>
    <x v="14"/>
    <n v="480053.38902597502"/>
  </r>
  <r>
    <x v="0"/>
    <x v="3"/>
    <x v="7"/>
    <x v="48"/>
    <n v="2028"/>
    <x v="15"/>
    <n v="554006.15215456556"/>
  </r>
  <r>
    <x v="0"/>
    <x v="3"/>
    <x v="7"/>
    <x v="48"/>
    <n v="2029"/>
    <x v="16"/>
    <n v="626845.04125240701"/>
  </r>
  <r>
    <x v="0"/>
    <x v="3"/>
    <x v="7"/>
    <x v="48"/>
    <n v="2030"/>
    <x v="17"/>
    <n v="698574.54867109016"/>
  </r>
  <r>
    <x v="0"/>
    <x v="3"/>
    <x v="7"/>
    <x v="48"/>
    <n v="2031"/>
    <x v="18"/>
    <n v="769199.94791874243"/>
  </r>
  <r>
    <x v="0"/>
    <x v="3"/>
    <x v="7"/>
    <x v="48"/>
    <n v="2032"/>
    <x v="19"/>
    <n v="844481.71986372327"/>
  </r>
  <r>
    <x v="0"/>
    <x v="3"/>
    <x v="7"/>
    <x v="48"/>
    <n v="2033"/>
    <x v="20"/>
    <n v="923778.47728512925"/>
  </r>
  <r>
    <x v="0"/>
    <x v="3"/>
    <x v="7"/>
    <x v="48"/>
    <n v="2034"/>
    <x v="21"/>
    <n v="1001467.9745137491"/>
  </r>
  <r>
    <x v="0"/>
    <x v="3"/>
    <x v="7"/>
    <x v="48"/>
    <n v="2035"/>
    <x v="22"/>
    <n v="1077570.9512489021"/>
  </r>
  <r>
    <x v="0"/>
    <x v="3"/>
    <x v="7"/>
    <x v="48"/>
    <n v="2036"/>
    <x v="23"/>
    <n v="1152078.2235723096"/>
  </r>
  <r>
    <x v="0"/>
    <x v="3"/>
    <x v="7"/>
    <x v="48"/>
    <n v="2037"/>
    <x v="24"/>
    <n v="1225024.0940537795"/>
  </r>
  <r>
    <x v="0"/>
    <x v="3"/>
    <x v="7"/>
    <x v="48"/>
    <n v="2038"/>
    <x v="25"/>
    <n v="1296442.1048700805"/>
  </r>
  <r>
    <x v="0"/>
    <x v="3"/>
    <x v="7"/>
    <x v="48"/>
    <n v="2039"/>
    <x v="26"/>
    <n v="1366365.0552717054"/>
  </r>
  <r>
    <x v="0"/>
    <x v="3"/>
    <x v="7"/>
    <x v="48"/>
    <n v="2040"/>
    <x v="27"/>
    <n v="1434825.0186326706"/>
  </r>
  <r>
    <x v="0"/>
    <x v="3"/>
    <x v="7"/>
    <x v="48"/>
    <n v="2041"/>
    <x v="28"/>
    <n v="1501853.3590936966"/>
  </r>
  <r>
    <x v="0"/>
    <x v="3"/>
    <x v="7"/>
    <x v="48"/>
    <n v="2042"/>
    <x v="29"/>
    <n v="1567480.7478088478"/>
  </r>
  <r>
    <x v="0"/>
    <x v="3"/>
    <x v="8"/>
    <x v="49"/>
    <n v="2013"/>
    <x v="0"/>
    <n v="-43015.05"/>
  </r>
  <r>
    <x v="0"/>
    <x v="3"/>
    <x v="8"/>
    <x v="49"/>
    <n v="2014"/>
    <x v="1"/>
    <n v="-86352.285865219877"/>
  </r>
  <r>
    <x v="0"/>
    <x v="3"/>
    <x v="8"/>
    <x v="49"/>
    <n v="2015"/>
    <x v="2"/>
    <n v="-138541.19578403595"/>
  </r>
  <r>
    <x v="0"/>
    <x v="3"/>
    <x v="8"/>
    <x v="49"/>
    <n v="2016"/>
    <x v="3"/>
    <n v="-190867.38028908212"/>
  </r>
  <r>
    <x v="0"/>
    <x v="3"/>
    <x v="8"/>
    <x v="49"/>
    <n v="2017"/>
    <x v="4"/>
    <n v="-160208.65625830356"/>
  </r>
  <r>
    <x v="0"/>
    <x v="3"/>
    <x v="8"/>
    <x v="49"/>
    <n v="2018"/>
    <x v="5"/>
    <n v="-129613.12454394237"/>
  </r>
  <r>
    <x v="0"/>
    <x v="3"/>
    <x v="8"/>
    <x v="49"/>
    <n v="2019"/>
    <x v="6"/>
    <n v="-99071.520326821774"/>
  </r>
  <r>
    <x v="0"/>
    <x v="3"/>
    <x v="8"/>
    <x v="49"/>
    <n v="2020"/>
    <x v="7"/>
    <n v="-68574.782209965459"/>
  </r>
  <r>
    <x v="0"/>
    <x v="3"/>
    <x v="8"/>
    <x v="49"/>
    <n v="2021"/>
    <x v="8"/>
    <n v="23332.872510192974"/>
  </r>
  <r>
    <x v="0"/>
    <x v="3"/>
    <x v="8"/>
    <x v="49"/>
    <n v="2022"/>
    <x v="9"/>
    <n v="108696.78298168253"/>
  </r>
  <r>
    <x v="0"/>
    <x v="3"/>
    <x v="8"/>
    <x v="49"/>
    <n v="2023"/>
    <x v="10"/>
    <n v="192301.75424071465"/>
  </r>
  <r>
    <x v="0"/>
    <x v="3"/>
    <x v="8"/>
    <x v="49"/>
    <n v="2024"/>
    <x v="11"/>
    <n v="274184.75501125184"/>
  </r>
  <r>
    <x v="0"/>
    <x v="3"/>
    <x v="8"/>
    <x v="49"/>
    <n v="2025"/>
    <x v="12"/>
    <n v="354381.95691546757"/>
  </r>
  <r>
    <x v="0"/>
    <x v="3"/>
    <x v="8"/>
    <x v="49"/>
    <n v="2026"/>
    <x v="13"/>
    <n v="432928.75220682973"/>
  </r>
  <r>
    <x v="0"/>
    <x v="3"/>
    <x v="8"/>
    <x v="49"/>
    <n v="2027"/>
    <x v="14"/>
    <n v="509859.77109420521"/>
  </r>
  <r>
    <x v="0"/>
    <x v="3"/>
    <x v="8"/>
    <x v="49"/>
    <n v="2028"/>
    <x v="15"/>
    <n v="585208.89866678999"/>
  </r>
  <r>
    <x v="0"/>
    <x v="3"/>
    <x v="8"/>
    <x v="49"/>
    <n v="2029"/>
    <x v="16"/>
    <n v="659009.29142942408"/>
  </r>
  <r>
    <x v="0"/>
    <x v="3"/>
    <x v="8"/>
    <x v="49"/>
    <n v="2030"/>
    <x v="17"/>
    <n v="731293.39345761284"/>
  </r>
  <r>
    <x v="0"/>
    <x v="3"/>
    <x v="8"/>
    <x v="49"/>
    <n v="2031"/>
    <x v="18"/>
    <n v="802092.95218134485"/>
  </r>
  <r>
    <x v="0"/>
    <x v="3"/>
    <x v="8"/>
    <x v="49"/>
    <n v="2032"/>
    <x v="19"/>
    <n v="871620.23975915043"/>
  </r>
  <r>
    <x v="0"/>
    <x v="3"/>
    <x v="8"/>
    <x v="49"/>
    <n v="2033"/>
    <x v="20"/>
    <n v="940056.0802305385"/>
  </r>
  <r>
    <x v="0"/>
    <x v="3"/>
    <x v="8"/>
    <x v="49"/>
    <n v="2034"/>
    <x v="21"/>
    <n v="1007407.7543580562"/>
  </r>
  <r>
    <x v="0"/>
    <x v="3"/>
    <x v="8"/>
    <x v="49"/>
    <n v="2035"/>
    <x v="22"/>
    <n v="1077165.0181249641"/>
  </r>
  <r>
    <x v="0"/>
    <x v="3"/>
    <x v="8"/>
    <x v="49"/>
    <n v="2036"/>
    <x v="23"/>
    <n v="1151672.2904483716"/>
  </r>
  <r>
    <x v="0"/>
    <x v="3"/>
    <x v="8"/>
    <x v="49"/>
    <n v="2037"/>
    <x v="24"/>
    <n v="1224618.1609298415"/>
  </r>
  <r>
    <x v="0"/>
    <x v="3"/>
    <x v="8"/>
    <x v="49"/>
    <n v="2038"/>
    <x v="25"/>
    <n v="1296036.1717461424"/>
  </r>
  <r>
    <x v="0"/>
    <x v="3"/>
    <x v="8"/>
    <x v="49"/>
    <n v="2039"/>
    <x v="26"/>
    <n v="1365959.1221477673"/>
  </r>
  <r>
    <x v="0"/>
    <x v="3"/>
    <x v="8"/>
    <x v="49"/>
    <n v="2040"/>
    <x v="27"/>
    <n v="1434419.0855087326"/>
  </r>
  <r>
    <x v="0"/>
    <x v="3"/>
    <x v="8"/>
    <x v="49"/>
    <n v="2041"/>
    <x v="28"/>
    <n v="1501447.4259697585"/>
  </r>
  <r>
    <x v="0"/>
    <x v="3"/>
    <x v="8"/>
    <x v="49"/>
    <n v="2042"/>
    <x v="29"/>
    <n v="1567074.8146849098"/>
  </r>
  <r>
    <x v="0"/>
    <x v="3"/>
    <x v="9"/>
    <x v="50"/>
    <n v="2013"/>
    <x v="0"/>
    <n v="52525.686799999996"/>
  </r>
  <r>
    <x v="0"/>
    <x v="3"/>
    <x v="9"/>
    <x v="50"/>
    <n v="2014"/>
    <x v="1"/>
    <n v="103045.21008954883"/>
  </r>
  <r>
    <x v="0"/>
    <x v="3"/>
    <x v="9"/>
    <x v="50"/>
    <n v="2015"/>
    <x v="2"/>
    <n v="152565.98092317433"/>
  </r>
  <r>
    <x v="0"/>
    <x v="3"/>
    <x v="9"/>
    <x v="50"/>
    <n v="2016"/>
    <x v="3"/>
    <n v="204951.40008844491"/>
  </r>
  <r>
    <x v="0"/>
    <x v="3"/>
    <x v="9"/>
    <x v="50"/>
    <n v="2017"/>
    <x v="4"/>
    <n v="264104.65274828218"/>
  </r>
  <r>
    <x v="0"/>
    <x v="3"/>
    <x v="9"/>
    <x v="50"/>
    <n v="2018"/>
    <x v="5"/>
    <n v="322956.40336350905"/>
  </r>
  <r>
    <x v="0"/>
    <x v="3"/>
    <x v="9"/>
    <x v="50"/>
    <n v="2019"/>
    <x v="6"/>
    <n v="382458.16257085698"/>
  </r>
  <r>
    <x v="0"/>
    <x v="3"/>
    <x v="9"/>
    <x v="50"/>
    <n v="2020"/>
    <x v="7"/>
    <n v="441575.28506588424"/>
  </r>
  <r>
    <x v="0"/>
    <x v="3"/>
    <x v="9"/>
    <x v="50"/>
    <n v="2021"/>
    <x v="8"/>
    <n v="507094.5855820186"/>
  </r>
  <r>
    <x v="0"/>
    <x v="3"/>
    <x v="9"/>
    <x v="50"/>
    <n v="2022"/>
    <x v="9"/>
    <n v="571175.83136914426"/>
  </r>
  <r>
    <x v="0"/>
    <x v="3"/>
    <x v="9"/>
    <x v="50"/>
    <n v="2023"/>
    <x v="10"/>
    <n v="640549.08970090805"/>
  </r>
  <r>
    <x v="0"/>
    <x v="3"/>
    <x v="9"/>
    <x v="50"/>
    <n v="2024"/>
    <x v="11"/>
    <n v="707299.9041273928"/>
  </r>
  <r>
    <x v="0"/>
    <x v="3"/>
    <x v="9"/>
    <x v="50"/>
    <n v="2025"/>
    <x v="12"/>
    <n v="772819.25334696507"/>
  </r>
  <r>
    <x v="0"/>
    <x v="3"/>
    <x v="9"/>
    <x v="50"/>
    <n v="2026"/>
    <x v="13"/>
    <n v="835861.73571599671"/>
  </r>
  <r>
    <x v="0"/>
    <x v="3"/>
    <x v="9"/>
    <x v="50"/>
    <n v="2027"/>
    <x v="14"/>
    <n v="898424.07784637879"/>
  </r>
  <r>
    <x v="0"/>
    <x v="3"/>
    <x v="9"/>
    <x v="50"/>
    <n v="2028"/>
    <x v="15"/>
    <n v="977501.32186304743"/>
  </r>
  <r>
    <x v="0"/>
    <x v="3"/>
    <x v="9"/>
    <x v="50"/>
    <n v="2029"/>
    <x v="16"/>
    <n v="1055985.7838459916"/>
  </r>
  <r>
    <x v="0"/>
    <x v="3"/>
    <x v="9"/>
    <x v="50"/>
    <n v="2030"/>
    <x v="17"/>
    <n v="1131448.8761624622"/>
  </r>
  <r>
    <x v="0"/>
    <x v="3"/>
    <x v="9"/>
    <x v="50"/>
    <n v="2031"/>
    <x v="18"/>
    <n v="1205174.3072175798"/>
  </r>
  <r>
    <x v="0"/>
    <x v="3"/>
    <x v="9"/>
    <x v="50"/>
    <n v="2032"/>
    <x v="19"/>
    <n v="1276061.611783335"/>
  </r>
  <r>
    <x v="0"/>
    <x v="3"/>
    <x v="9"/>
    <x v="50"/>
    <n v="2033"/>
    <x v="20"/>
    <n v="1345871.5855089282"/>
  </r>
  <r>
    <x v="0"/>
    <x v="3"/>
    <x v="9"/>
    <x v="50"/>
    <n v="2034"/>
    <x v="21"/>
    <n v="1412994.1146940521"/>
  </r>
  <r>
    <x v="0"/>
    <x v="3"/>
    <x v="9"/>
    <x v="50"/>
    <n v="2035"/>
    <x v="22"/>
    <n v="1481067.593662441"/>
  </r>
  <r>
    <x v="0"/>
    <x v="3"/>
    <x v="9"/>
    <x v="50"/>
    <n v="2036"/>
    <x v="23"/>
    <n v="1546514.7164774714"/>
  </r>
  <r>
    <x v="0"/>
    <x v="3"/>
    <x v="9"/>
    <x v="50"/>
    <n v="2037"/>
    <x v="24"/>
    <n v="1597837.8202197659"/>
  </r>
  <r>
    <x v="0"/>
    <x v="3"/>
    <x v="9"/>
    <x v="50"/>
    <n v="2038"/>
    <x v="25"/>
    <n v="1647181.6313860628"/>
  </r>
  <r>
    <x v="0"/>
    <x v="3"/>
    <x v="9"/>
    <x v="50"/>
    <n v="2039"/>
    <x v="26"/>
    <n v="1695988.6208614472"/>
  </r>
  <r>
    <x v="0"/>
    <x v="3"/>
    <x v="9"/>
    <x v="50"/>
    <n v="2040"/>
    <x v="27"/>
    <n v="1771906.7316851513"/>
  </r>
  <r>
    <x v="0"/>
    <x v="3"/>
    <x v="9"/>
    <x v="50"/>
    <n v="2041"/>
    <x v="28"/>
    <n v="1845992.5312793702"/>
  </r>
  <r>
    <x v="0"/>
    <x v="3"/>
    <x v="9"/>
    <x v="50"/>
    <n v="2042"/>
    <x v="29"/>
    <n v="1918294.3805520567"/>
  </r>
  <r>
    <x v="0"/>
    <x v="3"/>
    <x v="10"/>
    <x v="51"/>
    <n v="2013"/>
    <x v="0"/>
    <n v="41042.997114989732"/>
  </r>
  <r>
    <x v="0"/>
    <x v="3"/>
    <x v="10"/>
    <x v="51"/>
    <n v="2014"/>
    <x v="1"/>
    <n v="65715.375570480697"/>
  </r>
  <r>
    <x v="0"/>
    <x v="3"/>
    <x v="10"/>
    <x v="51"/>
    <n v="2015"/>
    <x v="2"/>
    <n v="89584.222784524245"/>
  </r>
  <r>
    <x v="0"/>
    <x v="3"/>
    <x v="10"/>
    <x v="51"/>
    <n v="2016"/>
    <x v="3"/>
    <n v="113201.76547692725"/>
  </r>
  <r>
    <x v="0"/>
    <x v="3"/>
    <x v="10"/>
    <x v="51"/>
    <n v="2017"/>
    <x v="4"/>
    <n v="172355.01813676453"/>
  </r>
  <r>
    <x v="0"/>
    <x v="3"/>
    <x v="10"/>
    <x v="51"/>
    <n v="2018"/>
    <x v="5"/>
    <n v="231206.76875199139"/>
  </r>
  <r>
    <x v="0"/>
    <x v="3"/>
    <x v="10"/>
    <x v="51"/>
    <n v="2019"/>
    <x v="6"/>
    <n v="290708.52795933932"/>
  </r>
  <r>
    <x v="0"/>
    <x v="3"/>
    <x v="10"/>
    <x v="51"/>
    <n v="2020"/>
    <x v="7"/>
    <n v="349825.65045436658"/>
  </r>
  <r>
    <x v="0"/>
    <x v="3"/>
    <x v="10"/>
    <x v="51"/>
    <n v="2021"/>
    <x v="8"/>
    <n v="415344.95097050094"/>
  </r>
  <r>
    <x v="0"/>
    <x v="3"/>
    <x v="10"/>
    <x v="51"/>
    <n v="2022"/>
    <x v="9"/>
    <n v="479426.19675762666"/>
  </r>
  <r>
    <x v="0"/>
    <x v="3"/>
    <x v="10"/>
    <x v="51"/>
    <n v="2023"/>
    <x v="10"/>
    <n v="548799.45508939051"/>
  </r>
  <r>
    <x v="0"/>
    <x v="3"/>
    <x v="10"/>
    <x v="51"/>
    <n v="2024"/>
    <x v="11"/>
    <n v="615550.26951587526"/>
  </r>
  <r>
    <x v="0"/>
    <x v="3"/>
    <x v="10"/>
    <x v="51"/>
    <n v="2025"/>
    <x v="12"/>
    <n v="702296.76911767572"/>
  </r>
  <r>
    <x v="0"/>
    <x v="3"/>
    <x v="10"/>
    <x v="51"/>
    <n v="2026"/>
    <x v="13"/>
    <n v="785704.07567828626"/>
  </r>
  <r>
    <x v="0"/>
    <x v="3"/>
    <x v="10"/>
    <x v="51"/>
    <n v="2027"/>
    <x v="14"/>
    <n v="867947.23438278178"/>
  </r>
  <r>
    <x v="0"/>
    <x v="3"/>
    <x v="10"/>
    <x v="51"/>
    <n v="2028"/>
    <x v="15"/>
    <n v="947024.47839945043"/>
  </r>
  <r>
    <x v="0"/>
    <x v="3"/>
    <x v="10"/>
    <x v="51"/>
    <n v="2029"/>
    <x v="16"/>
    <n v="1025508.9403823945"/>
  </r>
  <r>
    <x v="0"/>
    <x v="3"/>
    <x v="10"/>
    <x v="51"/>
    <n v="2030"/>
    <x v="17"/>
    <n v="1100972.032698865"/>
  </r>
  <r>
    <x v="0"/>
    <x v="3"/>
    <x v="10"/>
    <x v="51"/>
    <n v="2031"/>
    <x v="18"/>
    <n v="1174697.4637539827"/>
  </r>
  <r>
    <x v="0"/>
    <x v="3"/>
    <x v="10"/>
    <x v="51"/>
    <n v="2032"/>
    <x v="19"/>
    <n v="1245584.7683197379"/>
  </r>
  <r>
    <x v="0"/>
    <x v="3"/>
    <x v="10"/>
    <x v="51"/>
    <n v="2033"/>
    <x v="20"/>
    <n v="1315394.742045331"/>
  </r>
  <r>
    <x v="0"/>
    <x v="3"/>
    <x v="10"/>
    <x v="51"/>
    <n v="2034"/>
    <x v="21"/>
    <n v="1382517.271230455"/>
  </r>
  <r>
    <x v="0"/>
    <x v="3"/>
    <x v="10"/>
    <x v="51"/>
    <n v="2035"/>
    <x v="22"/>
    <n v="1450590.7501988439"/>
  </r>
  <r>
    <x v="0"/>
    <x v="3"/>
    <x v="10"/>
    <x v="51"/>
    <n v="2036"/>
    <x v="23"/>
    <n v="1516037.8730138743"/>
  </r>
  <r>
    <x v="0"/>
    <x v="3"/>
    <x v="10"/>
    <x v="51"/>
    <n v="2037"/>
    <x v="24"/>
    <n v="1593862.3039296188"/>
  </r>
  <r>
    <x v="0"/>
    <x v="3"/>
    <x v="10"/>
    <x v="51"/>
    <n v="2038"/>
    <x v="25"/>
    <n v="1669850.9897736334"/>
  </r>
  <r>
    <x v="0"/>
    <x v="3"/>
    <x v="10"/>
    <x v="51"/>
    <n v="2039"/>
    <x v="26"/>
    <n v="1744050.9682031726"/>
  </r>
  <r>
    <x v="0"/>
    <x v="3"/>
    <x v="10"/>
    <x v="51"/>
    <n v="2040"/>
    <x v="27"/>
    <n v="1816507.9548734077"/>
  </r>
  <r>
    <x v="0"/>
    <x v="3"/>
    <x v="10"/>
    <x v="51"/>
    <n v="2041"/>
    <x v="28"/>
    <n v="1887266.3840174039"/>
  </r>
  <r>
    <x v="0"/>
    <x v="3"/>
    <x v="10"/>
    <x v="51"/>
    <n v="2042"/>
    <x v="29"/>
    <n v="1956369.4476868878"/>
  </r>
  <r>
    <x v="0"/>
    <x v="3"/>
    <x v="11"/>
    <x v="52"/>
    <n v="2013"/>
    <x v="0"/>
    <n v="52525.686799999996"/>
  </r>
  <r>
    <x v="0"/>
    <x v="3"/>
    <x v="11"/>
    <x v="52"/>
    <n v="2014"/>
    <x v="1"/>
    <n v="103045.21008954883"/>
  </r>
  <r>
    <x v="0"/>
    <x v="3"/>
    <x v="11"/>
    <x v="52"/>
    <n v="2015"/>
    <x v="2"/>
    <n v="152565.98092317433"/>
  </r>
  <r>
    <x v="0"/>
    <x v="3"/>
    <x v="11"/>
    <x v="52"/>
    <n v="2016"/>
    <x v="3"/>
    <n v="204951.40008844491"/>
  </r>
  <r>
    <x v="0"/>
    <x v="3"/>
    <x v="11"/>
    <x v="52"/>
    <n v="2017"/>
    <x v="4"/>
    <n v="264104.65274828218"/>
  </r>
  <r>
    <x v="0"/>
    <x v="3"/>
    <x v="11"/>
    <x v="52"/>
    <n v="2018"/>
    <x v="5"/>
    <n v="322956.40336350905"/>
  </r>
  <r>
    <x v="0"/>
    <x v="3"/>
    <x v="11"/>
    <x v="52"/>
    <n v="2019"/>
    <x v="6"/>
    <n v="382458.16257085698"/>
  </r>
  <r>
    <x v="0"/>
    <x v="3"/>
    <x v="11"/>
    <x v="52"/>
    <n v="2020"/>
    <x v="7"/>
    <n v="441575.28506588424"/>
  </r>
  <r>
    <x v="0"/>
    <x v="3"/>
    <x v="11"/>
    <x v="52"/>
    <n v="2021"/>
    <x v="8"/>
    <n v="507094.5855820186"/>
  </r>
  <r>
    <x v="0"/>
    <x v="3"/>
    <x v="11"/>
    <x v="52"/>
    <n v="2022"/>
    <x v="9"/>
    <n v="571175.83136914426"/>
  </r>
  <r>
    <x v="0"/>
    <x v="3"/>
    <x v="11"/>
    <x v="52"/>
    <n v="2023"/>
    <x v="10"/>
    <n v="640549.08970090805"/>
  </r>
  <r>
    <x v="0"/>
    <x v="3"/>
    <x v="11"/>
    <x v="52"/>
    <n v="2024"/>
    <x v="11"/>
    <n v="707299.9041273928"/>
  </r>
  <r>
    <x v="0"/>
    <x v="3"/>
    <x v="11"/>
    <x v="52"/>
    <n v="2025"/>
    <x v="12"/>
    <n v="772819.25334696507"/>
  </r>
  <r>
    <x v="0"/>
    <x v="3"/>
    <x v="11"/>
    <x v="52"/>
    <n v="2026"/>
    <x v="13"/>
    <n v="835861.73571599671"/>
  </r>
  <r>
    <x v="0"/>
    <x v="3"/>
    <x v="11"/>
    <x v="52"/>
    <n v="2027"/>
    <x v="14"/>
    <n v="898424.07784637879"/>
  </r>
  <r>
    <x v="0"/>
    <x v="3"/>
    <x v="11"/>
    <x v="52"/>
    <n v="2028"/>
    <x v="15"/>
    <n v="977908.45370372676"/>
  </r>
  <r>
    <x v="0"/>
    <x v="3"/>
    <x v="11"/>
    <x v="52"/>
    <n v="2029"/>
    <x v="16"/>
    <n v="1055829.0053266813"/>
  </r>
  <r>
    <x v="0"/>
    <x v="3"/>
    <x v="11"/>
    <x v="52"/>
    <n v="2030"/>
    <x v="17"/>
    <n v="1132216.5505101089"/>
  </r>
  <r>
    <x v="0"/>
    <x v="3"/>
    <x v="11"/>
    <x v="52"/>
    <n v="2031"/>
    <x v="18"/>
    <n v="1207101.298276216"/>
  </r>
  <r>
    <x v="0"/>
    <x v="3"/>
    <x v="11"/>
    <x v="52"/>
    <n v="2032"/>
    <x v="19"/>
    <n v="1280512.5543724606"/>
  </r>
  <r>
    <x v="0"/>
    <x v="3"/>
    <x v="11"/>
    <x v="52"/>
    <n v="2033"/>
    <x v="20"/>
    <n v="1352430.3796083278"/>
  </r>
  <r>
    <x v="0"/>
    <x v="3"/>
    <x v="11"/>
    <x v="52"/>
    <n v="2034"/>
    <x v="21"/>
    <n v="1422885.6295962231"/>
  </r>
  <r>
    <x v="0"/>
    <x v="3"/>
    <x v="11"/>
    <x v="52"/>
    <n v="2035"/>
    <x v="22"/>
    <n v="1491908.5091310779"/>
  </r>
  <r>
    <x v="0"/>
    <x v="3"/>
    <x v="11"/>
    <x v="52"/>
    <n v="2036"/>
    <x v="23"/>
    <n v="1559528.5862856153"/>
  </r>
  <r>
    <x v="0"/>
    <x v="3"/>
    <x v="11"/>
    <x v="52"/>
    <n v="2037"/>
    <x v="24"/>
    <n v="1625774.8061903811"/>
  </r>
  <r>
    <x v="0"/>
    <x v="3"/>
    <x v="11"/>
    <x v="52"/>
    <n v="2038"/>
    <x v="25"/>
    <n v="1690675.5045058508"/>
  </r>
  <r>
    <x v="0"/>
    <x v="3"/>
    <x v="11"/>
    <x v="52"/>
    <n v="2039"/>
    <x v="26"/>
    <n v="1754258.4205937502"/>
  </r>
  <r>
    <x v="0"/>
    <x v="3"/>
    <x v="11"/>
    <x v="52"/>
    <n v="2040"/>
    <x v="27"/>
    <n v="1816550.7103945534"/>
  </r>
  <r>
    <x v="0"/>
    <x v="3"/>
    <x v="11"/>
    <x v="52"/>
    <n v="2041"/>
    <x v="28"/>
    <n v="1877578.9590179566"/>
  </r>
  <r>
    <x v="0"/>
    <x v="3"/>
    <x v="11"/>
    <x v="52"/>
    <n v="2042"/>
    <x v="29"/>
    <n v="1937369.1930529587"/>
  </r>
  <r>
    <x v="0"/>
    <x v="3"/>
    <x v="12"/>
    <x v="53"/>
    <n v="2013"/>
    <x v="0"/>
    <n v="41042.997114989732"/>
  </r>
  <r>
    <x v="0"/>
    <x v="3"/>
    <x v="12"/>
    <x v="53"/>
    <n v="2014"/>
    <x v="1"/>
    <n v="65715.375570480697"/>
  </r>
  <r>
    <x v="0"/>
    <x v="3"/>
    <x v="12"/>
    <x v="53"/>
    <n v="2015"/>
    <x v="2"/>
    <n v="89584.222784524245"/>
  </r>
  <r>
    <x v="0"/>
    <x v="3"/>
    <x v="12"/>
    <x v="53"/>
    <n v="2016"/>
    <x v="3"/>
    <n v="113201.76547692725"/>
  </r>
  <r>
    <x v="0"/>
    <x v="3"/>
    <x v="12"/>
    <x v="53"/>
    <n v="2017"/>
    <x v="4"/>
    <n v="172355.01813676453"/>
  </r>
  <r>
    <x v="0"/>
    <x v="3"/>
    <x v="12"/>
    <x v="53"/>
    <n v="2018"/>
    <x v="5"/>
    <n v="231206.76875199139"/>
  </r>
  <r>
    <x v="0"/>
    <x v="3"/>
    <x v="12"/>
    <x v="53"/>
    <n v="2019"/>
    <x v="6"/>
    <n v="290708.52795933932"/>
  </r>
  <r>
    <x v="0"/>
    <x v="3"/>
    <x v="12"/>
    <x v="53"/>
    <n v="2020"/>
    <x v="7"/>
    <n v="349825.65045436658"/>
  </r>
  <r>
    <x v="0"/>
    <x v="3"/>
    <x v="12"/>
    <x v="53"/>
    <n v="2021"/>
    <x v="8"/>
    <n v="415344.95097050094"/>
  </r>
  <r>
    <x v="0"/>
    <x v="3"/>
    <x v="12"/>
    <x v="53"/>
    <n v="2022"/>
    <x v="9"/>
    <n v="479426.19675762666"/>
  </r>
  <r>
    <x v="0"/>
    <x v="3"/>
    <x v="12"/>
    <x v="53"/>
    <n v="2023"/>
    <x v="10"/>
    <n v="548799.45508939051"/>
  </r>
  <r>
    <x v="0"/>
    <x v="3"/>
    <x v="12"/>
    <x v="53"/>
    <n v="2024"/>
    <x v="11"/>
    <n v="615550.26951587526"/>
  </r>
  <r>
    <x v="0"/>
    <x v="3"/>
    <x v="12"/>
    <x v="53"/>
    <n v="2025"/>
    <x v="12"/>
    <n v="699917.29877801158"/>
  </r>
  <r>
    <x v="0"/>
    <x v="3"/>
    <x v="12"/>
    <x v="53"/>
    <n v="2026"/>
    <x v="13"/>
    <n v="782624.27339588059"/>
  </r>
  <r>
    <x v="0"/>
    <x v="3"/>
    <x v="12"/>
    <x v="53"/>
    <n v="2027"/>
    <x v="14"/>
    <n v="863703.91236836778"/>
  </r>
  <r>
    <x v="0"/>
    <x v="3"/>
    <x v="12"/>
    <x v="53"/>
    <n v="2028"/>
    <x v="15"/>
    <n v="943188.28822571575"/>
  </r>
  <r>
    <x v="0"/>
    <x v="3"/>
    <x v="12"/>
    <x v="53"/>
    <n v="2029"/>
    <x v="16"/>
    <n v="1021108.8398486704"/>
  </r>
  <r>
    <x v="0"/>
    <x v="3"/>
    <x v="12"/>
    <x v="53"/>
    <n v="2030"/>
    <x v="17"/>
    <n v="1097496.385032098"/>
  </r>
  <r>
    <x v="0"/>
    <x v="3"/>
    <x v="12"/>
    <x v="53"/>
    <n v="2031"/>
    <x v="18"/>
    <n v="1172381.1327982051"/>
  </r>
  <r>
    <x v="0"/>
    <x v="3"/>
    <x v="12"/>
    <x v="53"/>
    <n v="2032"/>
    <x v="19"/>
    <n v="1245792.3888944497"/>
  </r>
  <r>
    <x v="0"/>
    <x v="3"/>
    <x v="12"/>
    <x v="53"/>
    <n v="2033"/>
    <x v="20"/>
    <n v="1317710.2141303169"/>
  </r>
  <r>
    <x v="0"/>
    <x v="3"/>
    <x v="12"/>
    <x v="53"/>
    <n v="2034"/>
    <x v="21"/>
    <n v="1388165.4641182122"/>
  </r>
  <r>
    <x v="0"/>
    <x v="3"/>
    <x v="12"/>
    <x v="53"/>
    <n v="2035"/>
    <x v="22"/>
    <n v="1457188.343653067"/>
  </r>
  <r>
    <x v="0"/>
    <x v="3"/>
    <x v="12"/>
    <x v="53"/>
    <n v="2036"/>
    <x v="23"/>
    <n v="1524808.4208076044"/>
  </r>
  <r>
    <x v="0"/>
    <x v="3"/>
    <x v="12"/>
    <x v="53"/>
    <n v="2037"/>
    <x v="24"/>
    <n v="1591054.6407123702"/>
  </r>
  <r>
    <x v="0"/>
    <x v="3"/>
    <x v="12"/>
    <x v="53"/>
    <n v="2038"/>
    <x v="25"/>
    <n v="1655955.3390278397"/>
  </r>
  <r>
    <x v="0"/>
    <x v="3"/>
    <x v="12"/>
    <x v="53"/>
    <n v="2039"/>
    <x v="26"/>
    <n v="1719538.2551157391"/>
  </r>
  <r>
    <x v="0"/>
    <x v="3"/>
    <x v="12"/>
    <x v="53"/>
    <n v="2040"/>
    <x v="27"/>
    <n v="1781830.5449165422"/>
  </r>
  <r>
    <x v="0"/>
    <x v="3"/>
    <x v="12"/>
    <x v="53"/>
    <n v="2041"/>
    <x v="28"/>
    <n v="1842858.7935399455"/>
  </r>
  <r>
    <x v="0"/>
    <x v="3"/>
    <x v="12"/>
    <x v="53"/>
    <n v="2042"/>
    <x v="29"/>
    <n v="1902649.0275749476"/>
  </r>
  <r>
    <x v="0"/>
    <x v="0"/>
    <x v="15"/>
    <x v="54"/>
    <n v="2013"/>
    <x v="0"/>
    <n v="0"/>
  </r>
  <r>
    <x v="0"/>
    <x v="0"/>
    <x v="15"/>
    <x v="54"/>
    <n v="2014"/>
    <x v="1"/>
    <n v="0"/>
  </r>
  <r>
    <x v="0"/>
    <x v="0"/>
    <x v="15"/>
    <x v="54"/>
    <n v="2015"/>
    <x v="2"/>
    <n v="0"/>
  </r>
  <r>
    <x v="0"/>
    <x v="0"/>
    <x v="15"/>
    <x v="54"/>
    <n v="2016"/>
    <x v="3"/>
    <n v="0"/>
  </r>
  <r>
    <x v="0"/>
    <x v="0"/>
    <x v="15"/>
    <x v="54"/>
    <n v="2017"/>
    <x v="4"/>
    <n v="33588.865466099727"/>
  </r>
  <r>
    <x v="0"/>
    <x v="0"/>
    <x v="15"/>
    <x v="54"/>
    <n v="2018"/>
    <x v="5"/>
    <n v="67199.057582634647"/>
  </r>
  <r>
    <x v="0"/>
    <x v="0"/>
    <x v="15"/>
    <x v="54"/>
    <n v="2019"/>
    <x v="6"/>
    <n v="100838.89926015845"/>
  </r>
  <r>
    <x v="0"/>
    <x v="0"/>
    <x v="15"/>
    <x v="54"/>
    <n v="2020"/>
    <x v="7"/>
    <n v="193988.15726185089"/>
  </r>
  <r>
    <x v="0"/>
    <x v="0"/>
    <x v="15"/>
    <x v="54"/>
    <n v="2021"/>
    <x v="8"/>
    <n v="285304.23639855447"/>
  </r>
  <r>
    <x v="0"/>
    <x v="0"/>
    <x v="15"/>
    <x v="54"/>
    <n v="2022"/>
    <x v="9"/>
    <n v="374823.27716435486"/>
  </r>
  <r>
    <x v="0"/>
    <x v="0"/>
    <x v="15"/>
    <x v="54"/>
    <n v="2023"/>
    <x v="10"/>
    <n v="462580.70571298164"/>
  </r>
  <r>
    <x v="0"/>
    <x v="0"/>
    <x v="15"/>
    <x v="54"/>
    <n v="2024"/>
    <x v="11"/>
    <n v="548611.24803059478"/>
  </r>
  <r>
    <x v="0"/>
    <x v="0"/>
    <x v="15"/>
    <x v="54"/>
    <n v="2025"/>
    <x v="12"/>
    <n v="632948.94382583583"/>
  </r>
  <r>
    <x v="0"/>
    <x v="0"/>
    <x v="15"/>
    <x v="54"/>
    <n v="2026"/>
    <x v="13"/>
    <n v="715627.16014282708"/>
  </r>
  <r>
    <x v="0"/>
    <x v="0"/>
    <x v="15"/>
    <x v="54"/>
    <n v="2027"/>
    <x v="14"/>
    <n v="796678.6047026891"/>
  </r>
  <r>
    <x v="0"/>
    <x v="0"/>
    <x v="15"/>
    <x v="54"/>
    <n v="2028"/>
    <x v="15"/>
    <n v="876135.33897903201"/>
  </r>
  <r>
    <x v="0"/>
    <x v="0"/>
    <x v="15"/>
    <x v="54"/>
    <n v="2029"/>
    <x v="16"/>
    <n v="954028.79101276596"/>
  </r>
  <r>
    <x v="0"/>
    <x v="0"/>
    <x v="15"/>
    <x v="54"/>
    <n v="2030"/>
    <x v="17"/>
    <n v="1030389.7679714675"/>
  </r>
  <r>
    <x v="0"/>
    <x v="0"/>
    <x v="15"/>
    <x v="54"/>
    <n v="2031"/>
    <x v="18"/>
    <n v="1105248.4684584311"/>
  </r>
  <r>
    <x v="0"/>
    <x v="0"/>
    <x v="15"/>
    <x v="54"/>
    <n v="2032"/>
    <x v="19"/>
    <n v="1178634.4945764341"/>
  </r>
  <r>
    <x v="0"/>
    <x v="0"/>
    <x v="15"/>
    <x v="54"/>
    <n v="2033"/>
    <x v="20"/>
    <n v="1250529.0617074224"/>
  </r>
  <r>
    <x v="0"/>
    <x v="0"/>
    <x v="15"/>
    <x v="54"/>
    <n v="2034"/>
    <x v="21"/>
    <n v="1320961.5096317111"/>
  </r>
  <r>
    <x v="0"/>
    <x v="0"/>
    <x v="15"/>
    <x v="54"/>
    <n v="2035"/>
    <x v="22"/>
    <n v="1389962.0342022455"/>
  </r>
  <r>
    <x v="0"/>
    <x v="0"/>
    <x v="15"/>
    <x v="54"/>
    <n v="2036"/>
    <x v="23"/>
    <n v="1457560.1947250965"/>
  </r>
  <r>
    <x v="0"/>
    <x v="0"/>
    <x v="15"/>
    <x v="54"/>
    <n v="2037"/>
    <x v="24"/>
    <n v="1523784.9277360518"/>
  </r>
  <r>
    <x v="0"/>
    <x v="0"/>
    <x v="15"/>
    <x v="54"/>
    <n v="2038"/>
    <x v="25"/>
    <n v="1588664.5604693545"/>
  </r>
  <r>
    <x v="0"/>
    <x v="0"/>
    <x v="15"/>
    <x v="54"/>
    <n v="2039"/>
    <x v="26"/>
    <n v="1652226.8240257173"/>
  </r>
  <r>
    <x v="0"/>
    <x v="0"/>
    <x v="15"/>
    <x v="54"/>
    <n v="2040"/>
    <x v="27"/>
    <n v="1714498.8662465829"/>
  </r>
  <r>
    <x v="0"/>
    <x v="0"/>
    <x v="15"/>
    <x v="54"/>
    <n v="2041"/>
    <x v="28"/>
    <n v="1775507.2643014197"/>
  </r>
  <r>
    <x v="0"/>
    <x v="0"/>
    <x v="15"/>
    <x v="54"/>
    <n v="2042"/>
    <x v="29"/>
    <n v="1835278.0369946901"/>
  </r>
  <r>
    <x v="0"/>
    <x v="1"/>
    <x v="15"/>
    <x v="55"/>
    <n v="2013"/>
    <x v="0"/>
    <n v="0"/>
  </r>
  <r>
    <x v="0"/>
    <x v="1"/>
    <x v="15"/>
    <x v="55"/>
    <n v="2014"/>
    <x v="1"/>
    <n v="0"/>
  </r>
  <r>
    <x v="0"/>
    <x v="1"/>
    <x v="15"/>
    <x v="55"/>
    <n v="2015"/>
    <x v="2"/>
    <n v="0"/>
  </r>
  <r>
    <x v="0"/>
    <x v="1"/>
    <x v="15"/>
    <x v="55"/>
    <n v="2016"/>
    <x v="3"/>
    <n v="0"/>
  </r>
  <r>
    <x v="0"/>
    <x v="1"/>
    <x v="15"/>
    <x v="55"/>
    <n v="2017"/>
    <x v="4"/>
    <n v="33588.865466099727"/>
  </r>
  <r>
    <x v="0"/>
    <x v="1"/>
    <x v="15"/>
    <x v="55"/>
    <n v="2018"/>
    <x v="5"/>
    <n v="67199.057582634647"/>
  </r>
  <r>
    <x v="0"/>
    <x v="1"/>
    <x v="15"/>
    <x v="55"/>
    <n v="2019"/>
    <x v="6"/>
    <n v="100838.89926015845"/>
  </r>
  <r>
    <x v="0"/>
    <x v="1"/>
    <x v="15"/>
    <x v="55"/>
    <n v="2020"/>
    <x v="7"/>
    <n v="134516.55101939355"/>
  </r>
  <r>
    <x v="0"/>
    <x v="1"/>
    <x v="15"/>
    <x v="55"/>
    <n v="2021"/>
    <x v="8"/>
    <n v="168240.01643703756"/>
  </r>
  <r>
    <x v="0"/>
    <x v="1"/>
    <x v="15"/>
    <x v="55"/>
    <n v="2022"/>
    <x v="9"/>
    <n v="360726.73797044711"/>
  </r>
  <r>
    <x v="0"/>
    <x v="1"/>
    <x v="15"/>
    <x v="55"/>
    <n v="2023"/>
    <x v="10"/>
    <n v="547607.05013880588"/>
  </r>
  <r>
    <x v="0"/>
    <x v="1"/>
    <x v="15"/>
    <x v="55"/>
    <n v="2024"/>
    <x v="11"/>
    <n v="730824.29244430526"/>
  </r>
  <r>
    <x v="0"/>
    <x v="1"/>
    <x v="15"/>
    <x v="55"/>
    <n v="2025"/>
    <x v="12"/>
    <n v="910450.25337892817"/>
  </r>
  <r>
    <x v="0"/>
    <x v="1"/>
    <x v="15"/>
    <x v="55"/>
    <n v="2026"/>
    <x v="13"/>
    <n v="1086555.3148775743"/>
  </r>
  <r>
    <x v="0"/>
    <x v="1"/>
    <x v="15"/>
    <x v="55"/>
    <n v="2027"/>
    <x v="14"/>
    <n v="1259208.4798667249"/>
  </r>
  <r>
    <x v="0"/>
    <x v="1"/>
    <x v="15"/>
    <x v="55"/>
    <n v="2028"/>
    <x v="15"/>
    <n v="1428477.3992738379"/>
  </r>
  <r>
    <x v="0"/>
    <x v="1"/>
    <x v="15"/>
    <x v="55"/>
    <n v="2029"/>
    <x v="16"/>
    <n v="1594428.398508019"/>
  </r>
  <r>
    <x v="0"/>
    <x v="1"/>
    <x v="15"/>
    <x v="55"/>
    <n v="2030"/>
    <x v="17"/>
    <n v="1757126.5034223141"/>
  </r>
  <r>
    <x v="0"/>
    <x v="1"/>
    <x v="15"/>
    <x v="55"/>
    <n v="2031"/>
    <x v="18"/>
    <n v="1916635.4657677584"/>
  </r>
  <r>
    <x v="0"/>
    <x v="1"/>
    <x v="15"/>
    <x v="55"/>
    <n v="2032"/>
    <x v="19"/>
    <n v="2073017.788149127"/>
  </r>
  <r>
    <x v="0"/>
    <x v="1"/>
    <x v="15"/>
    <x v="55"/>
    <n v="2033"/>
    <x v="20"/>
    <n v="2226334.7484921319"/>
  </r>
  <r>
    <x v="0"/>
    <x v="1"/>
    <x v="15"/>
    <x v="55"/>
    <n v="2034"/>
    <x v="21"/>
    <n v="2376646.4240316255"/>
  </r>
  <r>
    <x v="0"/>
    <x v="1"/>
    <x v="15"/>
    <x v="55"/>
    <n v="2035"/>
    <x v="22"/>
    <n v="2524011.7148301755"/>
  </r>
  <r>
    <x v="0"/>
    <x v="1"/>
    <x v="15"/>
    <x v="55"/>
    <n v="2036"/>
    <x v="23"/>
    <n v="2668488.3668362042"/>
  </r>
  <r>
    <x v="0"/>
    <x v="1"/>
    <x v="15"/>
    <x v="55"/>
    <n v="2037"/>
    <x v="24"/>
    <n v="2809969.7902480396"/>
  </r>
  <r>
    <x v="0"/>
    <x v="1"/>
    <x v="15"/>
    <x v="55"/>
    <n v="2038"/>
    <x v="25"/>
    <n v="2948503.0242826822"/>
  </r>
  <r>
    <x v="0"/>
    <x v="1"/>
    <x v="15"/>
    <x v="55"/>
    <n v="2039"/>
    <x v="26"/>
    <n v="3084150.9458124577"/>
  </r>
  <r>
    <x v="0"/>
    <x v="1"/>
    <x v="15"/>
    <x v="55"/>
    <n v="2040"/>
    <x v="27"/>
    <n v="3216975.051182148"/>
  </r>
  <r>
    <x v="0"/>
    <x v="1"/>
    <x v="15"/>
    <x v="55"/>
    <n v="2041"/>
    <x v="28"/>
    <n v="3347035.4875785788"/>
  </r>
  <r>
    <x v="0"/>
    <x v="1"/>
    <x v="15"/>
    <x v="55"/>
    <n v="2042"/>
    <x v="29"/>
    <n v="3474391.0836598589"/>
  </r>
  <r>
    <x v="0"/>
    <x v="2"/>
    <x v="15"/>
    <x v="56"/>
    <n v="2013"/>
    <x v="0"/>
    <n v="0"/>
  </r>
  <r>
    <x v="0"/>
    <x v="2"/>
    <x v="15"/>
    <x v="56"/>
    <n v="2014"/>
    <x v="1"/>
    <n v="0"/>
  </r>
  <r>
    <x v="0"/>
    <x v="2"/>
    <x v="15"/>
    <x v="56"/>
    <n v="2015"/>
    <x v="2"/>
    <n v="0"/>
  </r>
  <r>
    <x v="0"/>
    <x v="2"/>
    <x v="15"/>
    <x v="56"/>
    <n v="2016"/>
    <x v="3"/>
    <n v="0"/>
  </r>
  <r>
    <x v="0"/>
    <x v="2"/>
    <x v="15"/>
    <x v="56"/>
    <n v="2017"/>
    <x v="4"/>
    <n v="33588.865466099727"/>
  </r>
  <r>
    <x v="0"/>
    <x v="2"/>
    <x v="15"/>
    <x v="56"/>
    <n v="2018"/>
    <x v="5"/>
    <n v="67199.057582634647"/>
  </r>
  <r>
    <x v="0"/>
    <x v="2"/>
    <x v="15"/>
    <x v="56"/>
    <n v="2019"/>
    <x v="6"/>
    <n v="100838.89926015845"/>
  </r>
  <r>
    <x v="0"/>
    <x v="2"/>
    <x v="15"/>
    <x v="56"/>
    <n v="2020"/>
    <x v="7"/>
    <n v="134516.55101939355"/>
  </r>
  <r>
    <x v="0"/>
    <x v="2"/>
    <x v="15"/>
    <x v="56"/>
    <n v="2021"/>
    <x v="8"/>
    <n v="168240.01643703756"/>
  </r>
  <r>
    <x v="0"/>
    <x v="2"/>
    <x v="15"/>
    <x v="56"/>
    <n v="2022"/>
    <x v="9"/>
    <n v="312881.60421563673"/>
  </r>
  <r>
    <x v="0"/>
    <x v="2"/>
    <x v="15"/>
    <x v="56"/>
    <n v="2023"/>
    <x v="10"/>
    <n v="453310.33021427668"/>
  </r>
  <r>
    <x v="0"/>
    <x v="2"/>
    <x v="15"/>
    <x v="56"/>
    <n v="2024"/>
    <x v="11"/>
    <n v="590838.00095417025"/>
  </r>
  <r>
    <x v="0"/>
    <x v="2"/>
    <x v="15"/>
    <x v="56"/>
    <n v="2025"/>
    <x v="12"/>
    <n v="725525.79746867809"/>
  </r>
  <r>
    <x v="0"/>
    <x v="2"/>
    <x v="15"/>
    <x v="56"/>
    <n v="2026"/>
    <x v="13"/>
    <n v="857433.57599032996"/>
  </r>
  <r>
    <x v="0"/>
    <x v="2"/>
    <x v="15"/>
    <x v="56"/>
    <n v="2027"/>
    <x v="14"/>
    <n v="986619.89757311926"/>
  </r>
  <r>
    <x v="0"/>
    <x v="2"/>
    <x v="15"/>
    <x v="56"/>
    <n v="2028"/>
    <x v="15"/>
    <n v="1113142.0570277798"/>
  </r>
  <r>
    <x v="0"/>
    <x v="2"/>
    <x v="15"/>
    <x v="56"/>
    <n v="2029"/>
    <x v="16"/>
    <n v="1237072.0547426592"/>
  </r>
  <r>
    <x v="0"/>
    <x v="2"/>
    <x v="15"/>
    <x v="56"/>
    <n v="2030"/>
    <x v="17"/>
    <n v="1358582.5929861653"/>
  </r>
  <r>
    <x v="0"/>
    <x v="2"/>
    <x v="15"/>
    <x v="56"/>
    <n v="2031"/>
    <x v="18"/>
    <n v="1477720.8051357067"/>
  </r>
  <r>
    <x v="0"/>
    <x v="2"/>
    <x v="15"/>
    <x v="56"/>
    <n v="2032"/>
    <x v="19"/>
    <n v="1594532.9093266961"/>
  </r>
  <r>
    <x v="0"/>
    <x v="2"/>
    <x v="15"/>
    <x v="56"/>
    <n v="2033"/>
    <x v="20"/>
    <n v="1709064.2261380297"/>
  </r>
  <r>
    <x v="0"/>
    <x v="2"/>
    <x v="15"/>
    <x v="56"/>
    <n v="2034"/>
    <x v="21"/>
    <n v="1821359.1959383767"/>
  </r>
  <r>
    <x v="0"/>
    <x v="2"/>
    <x v="15"/>
    <x v="56"/>
    <n v="2035"/>
    <x v="22"/>
    <n v="1931461.3958997107"/>
  </r>
  <r>
    <x v="0"/>
    <x v="2"/>
    <x v="15"/>
    <x v="56"/>
    <n v="2036"/>
    <x v="23"/>
    <n v="2039413.5566843937"/>
  </r>
  <r>
    <x v="0"/>
    <x v="2"/>
    <x v="15"/>
    <x v="56"/>
    <n v="2037"/>
    <x v="24"/>
    <n v="2145257.5788120027"/>
  </r>
  <r>
    <x v="0"/>
    <x v="2"/>
    <x v="15"/>
    <x v="56"/>
    <n v="2038"/>
    <x v="25"/>
    <n v="2249034.5487119793"/>
  </r>
  <r>
    <x v="0"/>
    <x v="2"/>
    <x v="15"/>
    <x v="56"/>
    <n v="2039"/>
    <x v="26"/>
    <n v="2350783.0249972036"/>
  </r>
  <r>
    <x v="0"/>
    <x v="2"/>
    <x v="15"/>
    <x v="56"/>
    <n v="2040"/>
    <x v="27"/>
    <n v="2450537.2120684134"/>
  </r>
  <r>
    <x v="0"/>
    <x v="2"/>
    <x v="15"/>
    <x v="56"/>
    <n v="2041"/>
    <x v="28"/>
    <n v="2548336.1909478689"/>
  </r>
  <r>
    <x v="0"/>
    <x v="2"/>
    <x v="15"/>
    <x v="56"/>
    <n v="2042"/>
    <x v="29"/>
    <n v="2644218.2770240861"/>
  </r>
  <r>
    <x v="0"/>
    <x v="3"/>
    <x v="15"/>
    <x v="57"/>
    <n v="2013"/>
    <x v="0"/>
    <n v="0"/>
  </r>
  <r>
    <x v="0"/>
    <x v="3"/>
    <x v="15"/>
    <x v="57"/>
    <n v="2014"/>
    <x v="1"/>
    <n v="0"/>
  </r>
  <r>
    <x v="0"/>
    <x v="3"/>
    <x v="15"/>
    <x v="57"/>
    <n v="2015"/>
    <x v="2"/>
    <n v="0"/>
  </r>
  <r>
    <x v="0"/>
    <x v="3"/>
    <x v="15"/>
    <x v="57"/>
    <n v="2016"/>
    <x v="3"/>
    <n v="0"/>
  </r>
  <r>
    <x v="0"/>
    <x v="3"/>
    <x v="15"/>
    <x v="57"/>
    <n v="2017"/>
    <x v="4"/>
    <n v="33588.865466099727"/>
  </r>
  <r>
    <x v="0"/>
    <x v="3"/>
    <x v="15"/>
    <x v="57"/>
    <n v="2018"/>
    <x v="5"/>
    <n v="67199.057582634647"/>
  </r>
  <r>
    <x v="0"/>
    <x v="3"/>
    <x v="15"/>
    <x v="57"/>
    <n v="2019"/>
    <x v="6"/>
    <n v="100838.89926015845"/>
  </r>
  <r>
    <x v="0"/>
    <x v="3"/>
    <x v="15"/>
    <x v="57"/>
    <n v="2020"/>
    <x v="7"/>
    <n v="134516.55101939355"/>
  </r>
  <r>
    <x v="0"/>
    <x v="3"/>
    <x v="15"/>
    <x v="57"/>
    <n v="2021"/>
    <x v="8"/>
    <n v="241650.72575561632"/>
  </r>
  <r>
    <x v="0"/>
    <x v="3"/>
    <x v="15"/>
    <x v="57"/>
    <n v="2022"/>
    <x v="9"/>
    <n v="341022.05163578416"/>
  </r>
  <r>
    <x v="0"/>
    <x v="3"/>
    <x v="15"/>
    <x v="57"/>
    <n v="2023"/>
    <x v="10"/>
    <n v="438372.3560980531"/>
  </r>
  <r>
    <x v="0"/>
    <x v="3"/>
    <x v="15"/>
    <x v="57"/>
    <n v="2024"/>
    <x v="11"/>
    <n v="533743.38052931475"/>
  </r>
  <r>
    <x v="0"/>
    <x v="3"/>
    <x v="15"/>
    <x v="57"/>
    <n v="2025"/>
    <x v="12"/>
    <n v="627175.98629917717"/>
  </r>
  <r>
    <x v="0"/>
    <x v="3"/>
    <x v="15"/>
    <x v="57"/>
    <n v="2026"/>
    <x v="13"/>
    <n v="718710.17380817805"/>
  </r>
  <r>
    <x v="0"/>
    <x v="3"/>
    <x v="15"/>
    <x v="57"/>
    <n v="2027"/>
    <x v="14"/>
    <n v="808385.10111028096"/>
  </r>
  <r>
    <x v="0"/>
    <x v="3"/>
    <x v="15"/>
    <x v="57"/>
    <n v="2028"/>
    <x v="15"/>
    <n v="896239.10211952345"/>
  </r>
  <r>
    <x v="0"/>
    <x v="3"/>
    <x v="15"/>
    <x v="57"/>
    <n v="2029"/>
    <x v="16"/>
    <n v="982309.70441044692"/>
  </r>
  <r>
    <x v="0"/>
    <x v="3"/>
    <x v="15"/>
    <x v="57"/>
    <n v="2030"/>
    <x v="17"/>
    <n v="1066633.6466217076"/>
  </r>
  <r>
    <x v="0"/>
    <x v="3"/>
    <x v="15"/>
    <x v="57"/>
    <n v="2031"/>
    <x v="18"/>
    <n v="1149246.8954720418"/>
  </r>
  <r>
    <x v="0"/>
    <x v="3"/>
    <x v="15"/>
    <x v="57"/>
    <n v="2032"/>
    <x v="19"/>
    <n v="1230184.6623975362"/>
  </r>
  <r>
    <x v="0"/>
    <x v="3"/>
    <x v="15"/>
    <x v="57"/>
    <n v="2033"/>
    <x v="20"/>
    <n v="1309481.4198189422"/>
  </r>
  <r>
    <x v="0"/>
    <x v="3"/>
    <x v="15"/>
    <x v="57"/>
    <n v="2034"/>
    <x v="21"/>
    <n v="1387170.9170475621"/>
  </r>
  <r>
    <x v="0"/>
    <x v="3"/>
    <x v="15"/>
    <x v="57"/>
    <n v="2035"/>
    <x v="22"/>
    <n v="1463273.8937827151"/>
  </r>
  <r>
    <x v="0"/>
    <x v="3"/>
    <x v="15"/>
    <x v="57"/>
    <n v="2036"/>
    <x v="23"/>
    <n v="1537781.1661061225"/>
  </r>
  <r>
    <x v="0"/>
    <x v="3"/>
    <x v="15"/>
    <x v="57"/>
    <n v="2037"/>
    <x v="24"/>
    <n v="1610727.0365875924"/>
  </r>
  <r>
    <x v="0"/>
    <x v="3"/>
    <x v="15"/>
    <x v="57"/>
    <n v="2038"/>
    <x v="25"/>
    <n v="1682145.0474038934"/>
  </r>
  <r>
    <x v="0"/>
    <x v="3"/>
    <x v="15"/>
    <x v="57"/>
    <n v="2039"/>
    <x v="26"/>
    <n v="1752067.9978055183"/>
  </r>
  <r>
    <x v="0"/>
    <x v="3"/>
    <x v="15"/>
    <x v="57"/>
    <n v="2040"/>
    <x v="27"/>
    <n v="1820527.9611664836"/>
  </r>
  <r>
    <x v="0"/>
    <x v="3"/>
    <x v="15"/>
    <x v="57"/>
    <n v="2041"/>
    <x v="28"/>
    <n v="1887556.3016275095"/>
  </r>
  <r>
    <x v="0"/>
    <x v="3"/>
    <x v="15"/>
    <x v="57"/>
    <n v="2042"/>
    <x v="29"/>
    <n v="1953183.6903426608"/>
  </r>
</pivotCacheRecords>
</file>

<file path=xl/pivotCache/pivotCacheRecords2.xml><?xml version="1.0" encoding="utf-8"?>
<pivotCacheRecords xmlns="http://schemas.openxmlformats.org/spreadsheetml/2006/main" xmlns:r="http://schemas.openxmlformats.org/officeDocument/2006/relationships" count="1740">
  <r>
    <x v="0"/>
    <x v="0"/>
    <x v="0"/>
    <s v="Internal Medicine USU"/>
    <n v="2013"/>
    <x v="0"/>
    <n v="52525.686799999996"/>
    <n v="0.02"/>
    <n v="0.01"/>
    <n v="0.01"/>
    <n v="6.2100000000000002E-2"/>
    <n v="0.03"/>
    <n v="0.02"/>
    <n v="0.06"/>
    <n v="0.02"/>
    <n v="0.02"/>
    <n v="0.02"/>
    <n v="0.9"/>
    <n v="180000"/>
    <n v="176460"/>
    <n v="304980"/>
    <n v="210120"/>
    <n v="408000"/>
    <n v="140000"/>
  </r>
  <r>
    <x v="0"/>
    <x v="0"/>
    <x v="0"/>
    <s v="Internal Medicine USU"/>
    <n v="2014"/>
    <x v="1"/>
    <n v="103045.21008954883"/>
    <n v="0.02"/>
    <n v="0.01"/>
    <n v="0.01"/>
    <n v="6.2100000000000002E-2"/>
    <n v="0.03"/>
    <n v="0.02"/>
    <n v="0.06"/>
    <n v="0.02"/>
    <n v="0.02"/>
    <n v="0.02"/>
    <n v="0.9"/>
    <n v="180000"/>
    <n v="176460"/>
    <n v="304980"/>
    <n v="210120"/>
    <n v="408000"/>
    <n v="140000"/>
  </r>
  <r>
    <x v="0"/>
    <x v="0"/>
    <x v="0"/>
    <s v="Internal Medicine USU"/>
    <n v="2015"/>
    <x v="2"/>
    <n v="152565.98092317433"/>
    <n v="0.02"/>
    <n v="0.01"/>
    <n v="0.01"/>
    <n v="6.2100000000000002E-2"/>
    <n v="0.03"/>
    <n v="0.02"/>
    <n v="0.06"/>
    <n v="0.02"/>
    <n v="0.02"/>
    <n v="0.02"/>
    <n v="0.9"/>
    <n v="180000"/>
    <n v="176460"/>
    <n v="304980"/>
    <n v="210120"/>
    <n v="408000"/>
    <n v="140000"/>
  </r>
  <r>
    <x v="0"/>
    <x v="0"/>
    <x v="0"/>
    <s v="Internal Medicine USU"/>
    <n v="2016"/>
    <x v="3"/>
    <n v="204951.40008844491"/>
    <n v="0.02"/>
    <n v="0.01"/>
    <n v="0.01"/>
    <n v="6.2100000000000002E-2"/>
    <n v="0.03"/>
    <n v="0.02"/>
    <n v="0.06"/>
    <n v="0.02"/>
    <n v="0.02"/>
    <n v="0.02"/>
    <n v="0.9"/>
    <n v="180000"/>
    <n v="176460"/>
    <n v="304980"/>
    <n v="210120"/>
    <n v="408000"/>
    <n v="140000"/>
  </r>
  <r>
    <x v="0"/>
    <x v="0"/>
    <x v="0"/>
    <s v="Internal Medicine USU"/>
    <n v="2017"/>
    <x v="4"/>
    <n v="264104.65274828218"/>
    <n v="0.02"/>
    <n v="0.01"/>
    <n v="0.01"/>
    <n v="6.2100000000000002E-2"/>
    <n v="0.03"/>
    <n v="0.02"/>
    <n v="0.06"/>
    <n v="0.02"/>
    <n v="0.02"/>
    <n v="0.02"/>
    <n v="0.9"/>
    <n v="180000"/>
    <n v="176460"/>
    <n v="304980"/>
    <n v="210120"/>
    <n v="408000"/>
    <n v="140000"/>
  </r>
  <r>
    <x v="0"/>
    <x v="0"/>
    <x v="0"/>
    <s v="Internal Medicine USU"/>
    <n v="2018"/>
    <x v="5"/>
    <n v="322956.40336350905"/>
    <n v="0.02"/>
    <n v="0.01"/>
    <n v="0.01"/>
    <n v="6.2100000000000002E-2"/>
    <n v="0.03"/>
    <n v="0.02"/>
    <n v="0.06"/>
    <n v="0.02"/>
    <n v="0.02"/>
    <n v="0.02"/>
    <n v="0.9"/>
    <n v="180000"/>
    <n v="176460"/>
    <n v="304980"/>
    <n v="210120"/>
    <n v="408000"/>
    <n v="140000"/>
  </r>
  <r>
    <x v="0"/>
    <x v="0"/>
    <x v="0"/>
    <s v="Internal Medicine USU"/>
    <n v="2019"/>
    <x v="6"/>
    <n v="382458.16257085698"/>
    <n v="0.02"/>
    <n v="0.01"/>
    <n v="0.01"/>
    <n v="6.2100000000000002E-2"/>
    <n v="0.03"/>
    <n v="0.02"/>
    <n v="0.06"/>
    <n v="0.02"/>
    <n v="0.02"/>
    <n v="0.02"/>
    <n v="0.9"/>
    <n v="180000"/>
    <n v="176460"/>
    <n v="304980"/>
    <n v="210120"/>
    <n v="408000"/>
    <n v="140000"/>
  </r>
  <r>
    <x v="0"/>
    <x v="0"/>
    <x v="0"/>
    <s v="Internal Medicine USU"/>
    <n v="2020"/>
    <x v="7"/>
    <n v="449391.04775539273"/>
    <n v="0.02"/>
    <n v="0.01"/>
    <n v="0.01"/>
    <n v="6.2100000000000002E-2"/>
    <n v="0.03"/>
    <n v="0.02"/>
    <n v="0.06"/>
    <n v="0.02"/>
    <n v="0.02"/>
    <n v="0.02"/>
    <n v="0.9"/>
    <n v="180000"/>
    <n v="176460"/>
    <n v="304980"/>
    <n v="210120"/>
    <n v="408000"/>
    <n v="140000"/>
  </r>
  <r>
    <x v="0"/>
    <x v="0"/>
    <x v="0"/>
    <s v="Internal Medicine USU"/>
    <n v="2021"/>
    <x v="8"/>
    <n v="515983.72294949042"/>
    <n v="0.02"/>
    <n v="0.01"/>
    <n v="0.01"/>
    <n v="6.2100000000000002E-2"/>
    <n v="0.03"/>
    <n v="0.02"/>
    <n v="0.06"/>
    <n v="0.02"/>
    <n v="0.02"/>
    <n v="0.02"/>
    <n v="0.9"/>
    <n v="180000"/>
    <n v="176460"/>
    <n v="304980"/>
    <n v="210120"/>
    <n v="408000"/>
    <n v="140000"/>
  </r>
  <r>
    <x v="0"/>
    <x v="0"/>
    <x v="0"/>
    <s v="Internal Medicine USU"/>
    <n v="2022"/>
    <x v="9"/>
    <n v="580064.96873661608"/>
    <n v="0.02"/>
    <n v="0.01"/>
    <n v="0.01"/>
    <n v="6.2100000000000002E-2"/>
    <n v="0.03"/>
    <n v="0.02"/>
    <n v="0.06"/>
    <n v="0.02"/>
    <n v="0.02"/>
    <n v="0.02"/>
    <n v="0.9"/>
    <n v="180000"/>
    <n v="176460"/>
    <n v="304980"/>
    <n v="210120"/>
    <n v="408000"/>
    <n v="140000"/>
  </r>
  <r>
    <x v="0"/>
    <x v="0"/>
    <x v="0"/>
    <s v="Internal Medicine USU"/>
    <n v="2023"/>
    <x v="10"/>
    <n v="649438.22706837987"/>
    <n v="0.02"/>
    <n v="0.01"/>
    <n v="0.01"/>
    <n v="6.2100000000000002E-2"/>
    <n v="0.03"/>
    <n v="0.02"/>
    <n v="0.06"/>
    <n v="0.02"/>
    <n v="0.02"/>
    <n v="0.02"/>
    <n v="0.9"/>
    <n v="180000"/>
    <n v="176460"/>
    <n v="304980"/>
    <n v="210120"/>
    <n v="408000"/>
    <n v="140000"/>
  </r>
  <r>
    <x v="0"/>
    <x v="0"/>
    <x v="0"/>
    <s v="Internal Medicine USU"/>
    <n v="2024"/>
    <x v="11"/>
    <n v="716189.04149486462"/>
    <n v="0.02"/>
    <n v="0.01"/>
    <n v="0.01"/>
    <n v="6.2100000000000002E-2"/>
    <n v="0.03"/>
    <n v="0.02"/>
    <n v="0.06"/>
    <n v="0.02"/>
    <n v="0.02"/>
    <n v="0.02"/>
    <n v="0.9"/>
    <n v="180000"/>
    <n v="176460"/>
    <n v="304980"/>
    <n v="210120"/>
    <n v="408000"/>
    <n v="140000"/>
  </r>
  <r>
    <x v="0"/>
    <x v="0"/>
    <x v="0"/>
    <s v="Internal Medicine USU"/>
    <n v="2025"/>
    <x v="12"/>
    <n v="781708.39071443689"/>
    <n v="0.02"/>
    <n v="0.01"/>
    <n v="0.01"/>
    <n v="6.2100000000000002E-2"/>
    <n v="0.03"/>
    <n v="0.02"/>
    <n v="0.06"/>
    <n v="0.02"/>
    <n v="0.02"/>
    <n v="0.02"/>
    <n v="0.9"/>
    <n v="180000"/>
    <n v="176460"/>
    <n v="304980"/>
    <n v="210120"/>
    <n v="408000"/>
    <n v="140000"/>
  </r>
  <r>
    <x v="0"/>
    <x v="0"/>
    <x v="0"/>
    <s v="Internal Medicine USU"/>
    <n v="2026"/>
    <x v="13"/>
    <n v="844750.87308346853"/>
    <n v="0.02"/>
    <n v="0.01"/>
    <n v="0.01"/>
    <n v="6.2100000000000002E-2"/>
    <n v="0.03"/>
    <n v="0.02"/>
    <n v="0.06"/>
    <n v="0.02"/>
    <n v="0.02"/>
    <n v="0.02"/>
    <n v="0.9"/>
    <n v="180000"/>
    <n v="176460"/>
    <n v="304980"/>
    <n v="210120"/>
    <n v="408000"/>
    <n v="140000"/>
  </r>
  <r>
    <x v="0"/>
    <x v="0"/>
    <x v="0"/>
    <s v="Internal Medicine USU"/>
    <n v="2027"/>
    <x v="14"/>
    <n v="926994.03178796405"/>
    <n v="0.02"/>
    <n v="0.01"/>
    <n v="0.01"/>
    <n v="6.2100000000000002E-2"/>
    <n v="0.03"/>
    <n v="0.02"/>
    <n v="0.06"/>
    <n v="0.02"/>
    <n v="0.02"/>
    <n v="0.02"/>
    <n v="0.9"/>
    <n v="180000"/>
    <n v="176460"/>
    <n v="304980"/>
    <n v="210120"/>
    <n v="408000"/>
    <n v="140000"/>
  </r>
  <r>
    <x v="0"/>
    <x v="0"/>
    <x v="0"/>
    <s v="Internal Medicine USU"/>
    <n v="2028"/>
    <x v="15"/>
    <n v="1006071.2758046327"/>
    <n v="0.02"/>
    <n v="0.01"/>
    <n v="0.01"/>
    <n v="6.2100000000000002E-2"/>
    <n v="0.03"/>
    <n v="0.02"/>
    <n v="0.06"/>
    <n v="0.02"/>
    <n v="0.02"/>
    <n v="0.02"/>
    <n v="0.9"/>
    <n v="180000"/>
    <n v="176460"/>
    <n v="304980"/>
    <n v="210120"/>
    <n v="408000"/>
    <n v="140000"/>
  </r>
  <r>
    <x v="0"/>
    <x v="0"/>
    <x v="0"/>
    <s v="Internal Medicine USU"/>
    <n v="2029"/>
    <x v="16"/>
    <n v="1084555.7377875769"/>
    <n v="0.02"/>
    <n v="0.01"/>
    <n v="0.01"/>
    <n v="6.2100000000000002E-2"/>
    <n v="0.03"/>
    <n v="0.02"/>
    <n v="0.06"/>
    <n v="0.02"/>
    <n v="0.02"/>
    <n v="0.02"/>
    <n v="0.9"/>
    <n v="180000"/>
    <n v="176460"/>
    <n v="304980"/>
    <n v="210120"/>
    <n v="408000"/>
    <n v="140000"/>
  </r>
  <r>
    <x v="0"/>
    <x v="0"/>
    <x v="0"/>
    <s v="Internal Medicine USU"/>
    <n v="2030"/>
    <x v="17"/>
    <n v="1160018.8301040474"/>
    <n v="0.02"/>
    <n v="0.01"/>
    <n v="0.01"/>
    <n v="6.2100000000000002E-2"/>
    <n v="0.03"/>
    <n v="0.02"/>
    <n v="0.06"/>
    <n v="0.02"/>
    <n v="0.02"/>
    <n v="0.02"/>
    <n v="0.9"/>
    <n v="180000"/>
    <n v="176460"/>
    <n v="304980"/>
    <n v="210120"/>
    <n v="408000"/>
    <n v="140000"/>
  </r>
  <r>
    <x v="0"/>
    <x v="0"/>
    <x v="0"/>
    <s v="Internal Medicine USU"/>
    <n v="2031"/>
    <x v="18"/>
    <n v="1233744.2611591651"/>
    <n v="0.02"/>
    <n v="0.01"/>
    <n v="0.01"/>
    <n v="6.2100000000000002E-2"/>
    <n v="0.03"/>
    <n v="0.02"/>
    <n v="0.06"/>
    <n v="0.02"/>
    <n v="0.02"/>
    <n v="0.02"/>
    <n v="0.9"/>
    <n v="180000"/>
    <n v="176460"/>
    <n v="304980"/>
    <n v="210120"/>
    <n v="408000"/>
    <n v="140000"/>
  </r>
  <r>
    <x v="0"/>
    <x v="0"/>
    <x v="0"/>
    <s v="Internal Medicine USU"/>
    <n v="2032"/>
    <x v="19"/>
    <n v="1304631.5657249202"/>
    <n v="0.02"/>
    <n v="0.01"/>
    <n v="0.01"/>
    <n v="6.2100000000000002E-2"/>
    <n v="0.03"/>
    <n v="0.02"/>
    <n v="0.06"/>
    <n v="0.02"/>
    <n v="0.02"/>
    <n v="0.02"/>
    <n v="0.9"/>
    <n v="180000"/>
    <n v="176460"/>
    <n v="304980"/>
    <n v="210120"/>
    <n v="408000"/>
    <n v="140000"/>
  </r>
  <r>
    <x v="0"/>
    <x v="0"/>
    <x v="0"/>
    <s v="Internal Medicine USU"/>
    <n v="2033"/>
    <x v="20"/>
    <n v="1374441.5394505134"/>
    <n v="0.02"/>
    <n v="0.01"/>
    <n v="0.01"/>
    <n v="6.2100000000000002E-2"/>
    <n v="0.03"/>
    <n v="0.02"/>
    <n v="0.06"/>
    <n v="0.02"/>
    <n v="0.02"/>
    <n v="0.02"/>
    <n v="0.9"/>
    <n v="180000"/>
    <n v="176460"/>
    <n v="304980"/>
    <n v="210120"/>
    <n v="408000"/>
    <n v="140000"/>
  </r>
  <r>
    <x v="0"/>
    <x v="0"/>
    <x v="0"/>
    <s v="Internal Medicine USU"/>
    <n v="2034"/>
    <x v="21"/>
    <n v="1441564.0686356374"/>
    <n v="0.02"/>
    <n v="0.01"/>
    <n v="0.01"/>
    <n v="6.2100000000000002E-2"/>
    <n v="0.03"/>
    <n v="0.02"/>
    <n v="0.06"/>
    <n v="0.02"/>
    <n v="0.02"/>
    <n v="0.02"/>
    <n v="0.9"/>
    <n v="180000"/>
    <n v="176460"/>
    <n v="304980"/>
    <n v="210120"/>
    <n v="408000"/>
    <n v="140000"/>
  </r>
  <r>
    <x v="0"/>
    <x v="0"/>
    <x v="0"/>
    <s v="Internal Medicine USU"/>
    <n v="2035"/>
    <x v="22"/>
    <n v="1509637.5476040263"/>
    <n v="0.02"/>
    <n v="0.01"/>
    <n v="0.01"/>
    <n v="6.2100000000000002E-2"/>
    <n v="0.03"/>
    <n v="0.02"/>
    <n v="0.06"/>
    <n v="0.02"/>
    <n v="0.02"/>
    <n v="0.02"/>
    <n v="0.9"/>
    <n v="180000"/>
    <n v="176460"/>
    <n v="304980"/>
    <n v="210120"/>
    <n v="408000"/>
    <n v="140000"/>
  </r>
  <r>
    <x v="0"/>
    <x v="0"/>
    <x v="0"/>
    <s v="Internal Medicine USU"/>
    <n v="2036"/>
    <x v="23"/>
    <n v="1575084.6704190567"/>
    <n v="0.02"/>
    <n v="0.01"/>
    <n v="0.01"/>
    <n v="6.2100000000000002E-2"/>
    <n v="0.03"/>
    <n v="0.02"/>
    <n v="0.06"/>
    <n v="0.02"/>
    <n v="0.02"/>
    <n v="0.02"/>
    <n v="0.9"/>
    <n v="180000"/>
    <n v="176460"/>
    <n v="304980"/>
    <n v="210120"/>
    <n v="408000"/>
    <n v="140000"/>
  </r>
  <r>
    <x v="0"/>
    <x v="0"/>
    <x v="0"/>
    <s v="Internal Medicine USU"/>
    <n v="2037"/>
    <x v="24"/>
    <n v="1640595.9624953943"/>
    <n v="0.02"/>
    <n v="0.01"/>
    <n v="0.01"/>
    <n v="6.2100000000000002E-2"/>
    <n v="0.03"/>
    <n v="0.02"/>
    <n v="0.06"/>
    <n v="0.02"/>
    <n v="0.02"/>
    <n v="0.02"/>
    <n v="0.9"/>
    <n v="180000"/>
    <n v="176460"/>
    <n v="304980"/>
    <n v="210120"/>
    <n v="408000"/>
    <n v="140000"/>
  </r>
  <r>
    <x v="0"/>
    <x v="0"/>
    <x v="0"/>
    <s v="Internal Medicine USU"/>
    <n v="2038"/>
    <x v="25"/>
    <n v="1703579.6653591816"/>
    <n v="0.02"/>
    <n v="0.01"/>
    <n v="0.01"/>
    <n v="6.2100000000000002E-2"/>
    <n v="0.03"/>
    <n v="0.02"/>
    <n v="0.06"/>
    <n v="0.02"/>
    <n v="0.02"/>
    <n v="0.02"/>
    <n v="0.9"/>
    <n v="180000"/>
    <n v="176460"/>
    <n v="304980"/>
    <n v="210120"/>
    <n v="408000"/>
    <n v="140000"/>
  </r>
  <r>
    <x v="0"/>
    <x v="0"/>
    <x v="0"/>
    <s v="Internal Medicine USU"/>
    <n v="2039"/>
    <x v="26"/>
    <n v="1765499.4385909578"/>
    <n v="0.02"/>
    <n v="0.01"/>
    <n v="0.01"/>
    <n v="6.2100000000000002E-2"/>
    <n v="0.03"/>
    <n v="0.02"/>
    <n v="0.06"/>
    <n v="0.02"/>
    <n v="0.02"/>
    <n v="0.02"/>
    <n v="0.9"/>
    <n v="180000"/>
    <n v="176460"/>
    <n v="304980"/>
    <n v="210120"/>
    <n v="408000"/>
    <n v="140000"/>
  </r>
  <r>
    <x v="0"/>
    <x v="0"/>
    <x v="0"/>
    <s v="Internal Medicine USU"/>
    <n v="2040"/>
    <x v="27"/>
    <n v="1825030.1818754748"/>
    <n v="0.02"/>
    <n v="0.01"/>
    <n v="0.01"/>
    <n v="6.2100000000000002E-2"/>
    <n v="0.03"/>
    <n v="0.02"/>
    <n v="0.06"/>
    <n v="0.02"/>
    <n v="0.02"/>
    <n v="0.02"/>
    <n v="0.9"/>
    <n v="180000"/>
    <n v="176460"/>
    <n v="304980"/>
    <n v="210120"/>
    <n v="408000"/>
    <n v="140000"/>
  </r>
  <r>
    <x v="0"/>
    <x v="0"/>
    <x v="0"/>
    <s v="Internal Medicine USU"/>
    <n v="2041"/>
    <x v="28"/>
    <n v="1882264.106613352"/>
    <n v="0.02"/>
    <n v="0.01"/>
    <n v="0.01"/>
    <n v="6.2100000000000002E-2"/>
    <n v="0.03"/>
    <n v="0.02"/>
    <n v="0.06"/>
    <n v="0.02"/>
    <n v="0.02"/>
    <n v="0.02"/>
    <n v="0.9"/>
    <n v="180000"/>
    <n v="176460"/>
    <n v="304980"/>
    <n v="210120"/>
    <n v="408000"/>
    <n v="140000"/>
  </r>
  <r>
    <x v="0"/>
    <x v="0"/>
    <x v="0"/>
    <s v="Internal Medicine USU"/>
    <n v="2042"/>
    <x v="29"/>
    <n v="1937289.8639864533"/>
    <n v="0.02"/>
    <n v="0.01"/>
    <n v="0.01"/>
    <n v="6.2100000000000002E-2"/>
    <n v="0.03"/>
    <n v="0.02"/>
    <n v="0.06"/>
    <n v="0.02"/>
    <n v="0.02"/>
    <n v="0.02"/>
    <n v="0.9"/>
    <n v="180000"/>
    <n v="176460"/>
    <n v="304980"/>
    <n v="210120"/>
    <n v="408000"/>
    <n v="140000"/>
  </r>
  <r>
    <x v="0"/>
    <x v="0"/>
    <x v="1"/>
    <s v="Internal Medicine HPSP"/>
    <n v="2013"/>
    <x v="0"/>
    <n v="41042.997114989732"/>
    <n v="0.02"/>
    <n v="0.01"/>
    <n v="0.01"/>
    <n v="6.2100000000000002E-2"/>
    <n v="0.03"/>
    <n v="0.02"/>
    <n v="0.06"/>
    <n v="0.02"/>
    <n v="0.02"/>
    <n v="0.02"/>
    <n v="0.9"/>
    <n v="180000"/>
    <n v="176460"/>
    <n v="304980"/>
    <n v="210120"/>
    <n v="408000"/>
    <n v="140000"/>
  </r>
  <r>
    <x v="0"/>
    <x v="0"/>
    <x v="1"/>
    <s v="Internal Medicine HPSP"/>
    <n v="2014"/>
    <x v="1"/>
    <n v="65715.375570480697"/>
    <n v="0.02"/>
    <n v="0.01"/>
    <n v="0.01"/>
    <n v="6.2100000000000002E-2"/>
    <n v="0.03"/>
    <n v="0.02"/>
    <n v="0.06"/>
    <n v="0.02"/>
    <n v="0.02"/>
    <n v="0.02"/>
    <n v="0.9"/>
    <n v="180000"/>
    <n v="176460"/>
    <n v="304980"/>
    <n v="210120"/>
    <n v="408000"/>
    <n v="140000"/>
  </r>
  <r>
    <x v="0"/>
    <x v="0"/>
    <x v="1"/>
    <s v="Internal Medicine HPSP"/>
    <n v="2015"/>
    <x v="2"/>
    <n v="89584.222784524245"/>
    <n v="0.02"/>
    <n v="0.01"/>
    <n v="0.01"/>
    <n v="6.2100000000000002E-2"/>
    <n v="0.03"/>
    <n v="0.02"/>
    <n v="0.06"/>
    <n v="0.02"/>
    <n v="0.02"/>
    <n v="0.02"/>
    <n v="0.9"/>
    <n v="180000"/>
    <n v="176460"/>
    <n v="304980"/>
    <n v="210120"/>
    <n v="408000"/>
    <n v="140000"/>
  </r>
  <r>
    <x v="0"/>
    <x v="0"/>
    <x v="1"/>
    <s v="Internal Medicine HPSP"/>
    <n v="2016"/>
    <x v="3"/>
    <n v="113201.76547692725"/>
    <n v="0.02"/>
    <n v="0.01"/>
    <n v="0.01"/>
    <n v="6.2100000000000002E-2"/>
    <n v="0.03"/>
    <n v="0.02"/>
    <n v="0.06"/>
    <n v="0.02"/>
    <n v="0.02"/>
    <n v="0.02"/>
    <n v="0.9"/>
    <n v="180000"/>
    <n v="176460"/>
    <n v="304980"/>
    <n v="210120"/>
    <n v="408000"/>
    <n v="140000"/>
  </r>
  <r>
    <x v="0"/>
    <x v="0"/>
    <x v="1"/>
    <s v="Internal Medicine HPSP"/>
    <n v="2017"/>
    <x v="4"/>
    <n v="172355.01813676453"/>
    <n v="0.02"/>
    <n v="0.01"/>
    <n v="0.01"/>
    <n v="6.2100000000000002E-2"/>
    <n v="0.03"/>
    <n v="0.02"/>
    <n v="0.06"/>
    <n v="0.02"/>
    <n v="0.02"/>
    <n v="0.02"/>
    <n v="0.9"/>
    <n v="180000"/>
    <n v="176460"/>
    <n v="304980"/>
    <n v="210120"/>
    <n v="408000"/>
    <n v="140000"/>
  </r>
  <r>
    <x v="0"/>
    <x v="0"/>
    <x v="1"/>
    <s v="Internal Medicine HPSP"/>
    <n v="2018"/>
    <x v="5"/>
    <n v="231206.76875199139"/>
    <n v="0.02"/>
    <n v="0.01"/>
    <n v="0.01"/>
    <n v="6.2100000000000002E-2"/>
    <n v="0.03"/>
    <n v="0.02"/>
    <n v="0.06"/>
    <n v="0.02"/>
    <n v="0.02"/>
    <n v="0.02"/>
    <n v="0.9"/>
    <n v="180000"/>
    <n v="176460"/>
    <n v="304980"/>
    <n v="210120"/>
    <n v="408000"/>
    <n v="140000"/>
  </r>
  <r>
    <x v="0"/>
    <x v="0"/>
    <x v="1"/>
    <s v="Internal Medicine HPSP"/>
    <n v="2019"/>
    <x v="6"/>
    <n v="290708.52795933932"/>
    <n v="0.02"/>
    <n v="0.01"/>
    <n v="0.01"/>
    <n v="6.2100000000000002E-2"/>
    <n v="0.03"/>
    <n v="0.02"/>
    <n v="0.06"/>
    <n v="0.02"/>
    <n v="0.02"/>
    <n v="0.02"/>
    <n v="0.9"/>
    <n v="180000"/>
    <n v="176460"/>
    <n v="304980"/>
    <n v="210120"/>
    <n v="408000"/>
    <n v="140000"/>
  </r>
  <r>
    <x v="0"/>
    <x v="0"/>
    <x v="1"/>
    <s v="Internal Medicine HPSP"/>
    <n v="2020"/>
    <x v="7"/>
    <n v="357641.41314387508"/>
    <n v="0.02"/>
    <n v="0.01"/>
    <n v="0.01"/>
    <n v="6.2100000000000002E-2"/>
    <n v="0.03"/>
    <n v="0.02"/>
    <n v="0.06"/>
    <n v="0.02"/>
    <n v="0.02"/>
    <n v="0.02"/>
    <n v="0.9"/>
    <n v="180000"/>
    <n v="176460"/>
    <n v="304980"/>
    <n v="210120"/>
    <n v="408000"/>
    <n v="140000"/>
  </r>
  <r>
    <x v="0"/>
    <x v="0"/>
    <x v="1"/>
    <s v="Internal Medicine HPSP"/>
    <n v="2021"/>
    <x v="8"/>
    <n v="424234.08833797276"/>
    <n v="0.02"/>
    <n v="0.01"/>
    <n v="0.01"/>
    <n v="6.2100000000000002E-2"/>
    <n v="0.03"/>
    <n v="0.02"/>
    <n v="0.06"/>
    <n v="0.02"/>
    <n v="0.02"/>
    <n v="0.02"/>
    <n v="0.9"/>
    <n v="180000"/>
    <n v="176460"/>
    <n v="304980"/>
    <n v="210120"/>
    <n v="408000"/>
    <n v="140000"/>
  </r>
  <r>
    <x v="0"/>
    <x v="0"/>
    <x v="1"/>
    <s v="Internal Medicine HPSP"/>
    <n v="2022"/>
    <x v="9"/>
    <n v="488315.33412509848"/>
    <n v="0.02"/>
    <n v="0.01"/>
    <n v="0.01"/>
    <n v="6.2100000000000002E-2"/>
    <n v="0.03"/>
    <n v="0.02"/>
    <n v="0.06"/>
    <n v="0.02"/>
    <n v="0.02"/>
    <n v="0.02"/>
    <n v="0.9"/>
    <n v="180000"/>
    <n v="176460"/>
    <n v="304980"/>
    <n v="210120"/>
    <n v="408000"/>
    <n v="140000"/>
  </r>
  <r>
    <x v="0"/>
    <x v="0"/>
    <x v="1"/>
    <s v="Internal Medicine HPSP"/>
    <n v="2023"/>
    <x v="10"/>
    <n v="557688.59245686233"/>
    <n v="0.02"/>
    <n v="0.01"/>
    <n v="0.01"/>
    <n v="6.2100000000000002E-2"/>
    <n v="0.03"/>
    <n v="0.02"/>
    <n v="0.06"/>
    <n v="0.02"/>
    <n v="0.02"/>
    <n v="0.02"/>
    <n v="0.9"/>
    <n v="180000"/>
    <n v="176460"/>
    <n v="304980"/>
    <n v="210120"/>
    <n v="408000"/>
    <n v="140000"/>
  </r>
  <r>
    <x v="0"/>
    <x v="0"/>
    <x v="1"/>
    <s v="Internal Medicine HPSP"/>
    <n v="2024"/>
    <x v="11"/>
    <n v="646437.49515327194"/>
    <n v="0.02"/>
    <n v="0.01"/>
    <n v="0.01"/>
    <n v="6.2100000000000002E-2"/>
    <n v="0.03"/>
    <n v="0.02"/>
    <n v="0.06"/>
    <n v="0.02"/>
    <n v="0.02"/>
    <n v="0.02"/>
    <n v="0.9"/>
    <n v="180000"/>
    <n v="176460"/>
    <n v="304980"/>
    <n v="210120"/>
    <n v="408000"/>
    <n v="140000"/>
  </r>
  <r>
    <x v="0"/>
    <x v="0"/>
    <x v="1"/>
    <s v="Internal Medicine HPSP"/>
    <n v="2025"/>
    <x v="12"/>
    <n v="733183.9947550724"/>
    <n v="0.02"/>
    <n v="0.01"/>
    <n v="0.01"/>
    <n v="6.2100000000000002E-2"/>
    <n v="0.03"/>
    <n v="0.02"/>
    <n v="0.06"/>
    <n v="0.02"/>
    <n v="0.02"/>
    <n v="0.02"/>
    <n v="0.9"/>
    <n v="180000"/>
    <n v="176460"/>
    <n v="304980"/>
    <n v="210120"/>
    <n v="408000"/>
    <n v="140000"/>
  </r>
  <r>
    <x v="0"/>
    <x v="0"/>
    <x v="1"/>
    <s v="Internal Medicine HPSP"/>
    <n v="2026"/>
    <x v="13"/>
    <n v="816591.30131568294"/>
    <n v="0.02"/>
    <n v="0.01"/>
    <n v="0.01"/>
    <n v="6.2100000000000002E-2"/>
    <n v="0.03"/>
    <n v="0.02"/>
    <n v="0.06"/>
    <n v="0.02"/>
    <n v="0.02"/>
    <n v="0.02"/>
    <n v="0.9"/>
    <n v="180000"/>
    <n v="176460"/>
    <n v="304980"/>
    <n v="210120"/>
    <n v="408000"/>
    <n v="140000"/>
  </r>
  <r>
    <x v="0"/>
    <x v="0"/>
    <x v="1"/>
    <s v="Internal Medicine HPSP"/>
    <n v="2027"/>
    <x v="14"/>
    <n v="898834.46002017846"/>
    <n v="0.02"/>
    <n v="0.01"/>
    <n v="0.01"/>
    <n v="6.2100000000000002E-2"/>
    <n v="0.03"/>
    <n v="0.02"/>
    <n v="0.06"/>
    <n v="0.02"/>
    <n v="0.02"/>
    <n v="0.02"/>
    <n v="0.9"/>
    <n v="180000"/>
    <n v="176460"/>
    <n v="304980"/>
    <n v="210120"/>
    <n v="408000"/>
    <n v="140000"/>
  </r>
  <r>
    <x v="0"/>
    <x v="0"/>
    <x v="1"/>
    <s v="Internal Medicine HPSP"/>
    <n v="2028"/>
    <x v="15"/>
    <n v="977911.70403684711"/>
    <n v="0.02"/>
    <n v="0.01"/>
    <n v="0.01"/>
    <n v="6.2100000000000002E-2"/>
    <n v="0.03"/>
    <n v="0.02"/>
    <n v="0.06"/>
    <n v="0.02"/>
    <n v="0.02"/>
    <n v="0.02"/>
    <n v="0.9"/>
    <n v="180000"/>
    <n v="176460"/>
    <n v="304980"/>
    <n v="210120"/>
    <n v="408000"/>
    <n v="140000"/>
  </r>
  <r>
    <x v="0"/>
    <x v="0"/>
    <x v="1"/>
    <s v="Internal Medicine HPSP"/>
    <n v="2029"/>
    <x v="16"/>
    <n v="1056396.1660197913"/>
    <n v="0.02"/>
    <n v="0.01"/>
    <n v="0.01"/>
    <n v="6.2100000000000002E-2"/>
    <n v="0.03"/>
    <n v="0.02"/>
    <n v="0.06"/>
    <n v="0.02"/>
    <n v="0.02"/>
    <n v="0.02"/>
    <n v="0.9"/>
    <n v="180000"/>
    <n v="176460"/>
    <n v="304980"/>
    <n v="210120"/>
    <n v="408000"/>
    <n v="140000"/>
  </r>
  <r>
    <x v="0"/>
    <x v="0"/>
    <x v="1"/>
    <s v="Internal Medicine HPSP"/>
    <n v="2030"/>
    <x v="17"/>
    <n v="1131859.2583362618"/>
    <n v="0.02"/>
    <n v="0.01"/>
    <n v="0.01"/>
    <n v="6.2100000000000002E-2"/>
    <n v="0.03"/>
    <n v="0.02"/>
    <n v="0.06"/>
    <n v="0.02"/>
    <n v="0.02"/>
    <n v="0.02"/>
    <n v="0.9"/>
    <n v="180000"/>
    <n v="176460"/>
    <n v="304980"/>
    <n v="210120"/>
    <n v="408000"/>
    <n v="140000"/>
  </r>
  <r>
    <x v="0"/>
    <x v="0"/>
    <x v="1"/>
    <s v="Internal Medicine HPSP"/>
    <n v="2031"/>
    <x v="18"/>
    <n v="1205584.6893913795"/>
    <n v="0.02"/>
    <n v="0.01"/>
    <n v="0.01"/>
    <n v="6.2100000000000002E-2"/>
    <n v="0.03"/>
    <n v="0.02"/>
    <n v="0.06"/>
    <n v="0.02"/>
    <n v="0.02"/>
    <n v="0.02"/>
    <n v="0.9"/>
    <n v="180000"/>
    <n v="176460"/>
    <n v="304980"/>
    <n v="210120"/>
    <n v="408000"/>
    <n v="140000"/>
  </r>
  <r>
    <x v="0"/>
    <x v="0"/>
    <x v="1"/>
    <s v="Internal Medicine HPSP"/>
    <n v="2032"/>
    <x v="19"/>
    <n v="1276471.9939571347"/>
    <n v="0.02"/>
    <n v="0.01"/>
    <n v="0.01"/>
    <n v="6.2100000000000002E-2"/>
    <n v="0.03"/>
    <n v="0.02"/>
    <n v="0.06"/>
    <n v="0.02"/>
    <n v="0.02"/>
    <n v="0.02"/>
    <n v="0.9"/>
    <n v="180000"/>
    <n v="176460"/>
    <n v="304980"/>
    <n v="210120"/>
    <n v="408000"/>
    <n v="140000"/>
  </r>
  <r>
    <x v="0"/>
    <x v="0"/>
    <x v="1"/>
    <s v="Internal Medicine HPSP"/>
    <n v="2033"/>
    <x v="20"/>
    <n v="1346281.9676827278"/>
    <n v="0.02"/>
    <n v="0.01"/>
    <n v="0.01"/>
    <n v="6.2100000000000002E-2"/>
    <n v="0.03"/>
    <n v="0.02"/>
    <n v="0.06"/>
    <n v="0.02"/>
    <n v="0.02"/>
    <n v="0.02"/>
    <n v="0.9"/>
    <n v="180000"/>
    <n v="176460"/>
    <n v="304980"/>
    <n v="210120"/>
    <n v="408000"/>
    <n v="140000"/>
  </r>
  <r>
    <x v="0"/>
    <x v="0"/>
    <x v="1"/>
    <s v="Internal Medicine HPSP"/>
    <n v="2034"/>
    <x v="21"/>
    <n v="1413404.4968678518"/>
    <n v="0.02"/>
    <n v="0.01"/>
    <n v="0.01"/>
    <n v="6.2100000000000002E-2"/>
    <n v="0.03"/>
    <n v="0.02"/>
    <n v="0.06"/>
    <n v="0.02"/>
    <n v="0.02"/>
    <n v="0.02"/>
    <n v="0.9"/>
    <n v="180000"/>
    <n v="176460"/>
    <n v="304980"/>
    <n v="210120"/>
    <n v="408000"/>
    <n v="140000"/>
  </r>
  <r>
    <x v="0"/>
    <x v="0"/>
    <x v="1"/>
    <s v="Internal Medicine HPSP"/>
    <n v="2035"/>
    <x v="22"/>
    <n v="1481477.9758362407"/>
    <n v="0.02"/>
    <n v="0.01"/>
    <n v="0.01"/>
    <n v="6.2100000000000002E-2"/>
    <n v="0.03"/>
    <n v="0.02"/>
    <n v="0.06"/>
    <n v="0.02"/>
    <n v="0.02"/>
    <n v="0.02"/>
    <n v="0.9"/>
    <n v="180000"/>
    <n v="176460"/>
    <n v="304980"/>
    <n v="210120"/>
    <n v="408000"/>
    <n v="140000"/>
  </r>
  <r>
    <x v="0"/>
    <x v="0"/>
    <x v="1"/>
    <s v="Internal Medicine HPSP"/>
    <n v="2036"/>
    <x v="23"/>
    <n v="1546925.0986512711"/>
    <n v="0.02"/>
    <n v="0.01"/>
    <n v="0.01"/>
    <n v="6.2100000000000002E-2"/>
    <n v="0.03"/>
    <n v="0.02"/>
    <n v="0.06"/>
    <n v="0.02"/>
    <n v="0.02"/>
    <n v="0.02"/>
    <n v="0.9"/>
    <n v="180000"/>
    <n v="176460"/>
    <n v="304980"/>
    <n v="210120"/>
    <n v="408000"/>
    <n v="140000"/>
  </r>
  <r>
    <x v="0"/>
    <x v="0"/>
    <x v="1"/>
    <s v="Internal Medicine HPSP"/>
    <n v="2037"/>
    <x v="24"/>
    <n v="1611169.5406026901"/>
    <n v="0.02"/>
    <n v="0.01"/>
    <n v="0.01"/>
    <n v="6.2100000000000002E-2"/>
    <n v="0.03"/>
    <n v="0.02"/>
    <n v="0.06"/>
    <n v="0.02"/>
    <n v="0.02"/>
    <n v="0.02"/>
    <n v="0.9"/>
    <n v="180000"/>
    <n v="176460"/>
    <n v="304980"/>
    <n v="210120"/>
    <n v="408000"/>
    <n v="140000"/>
  </r>
  <r>
    <x v="0"/>
    <x v="0"/>
    <x v="1"/>
    <s v="Internal Medicine HPSP"/>
    <n v="2038"/>
    <x v="25"/>
    <n v="1673178.0023228151"/>
    <n v="0.02"/>
    <n v="0.01"/>
    <n v="0.01"/>
    <n v="6.2100000000000002E-2"/>
    <n v="0.03"/>
    <n v="0.02"/>
    <n v="0.06"/>
    <n v="0.02"/>
    <n v="0.02"/>
    <n v="0.02"/>
    <n v="0.9"/>
    <n v="180000"/>
    <n v="176460"/>
    <n v="304980"/>
    <n v="210120"/>
    <n v="408000"/>
    <n v="140000"/>
  </r>
  <r>
    <x v="0"/>
    <x v="0"/>
    <x v="1"/>
    <s v="Internal Medicine HPSP"/>
    <n v="2039"/>
    <x v="26"/>
    <n v="1733027.3966801767"/>
    <n v="0.02"/>
    <n v="0.01"/>
    <n v="0.01"/>
    <n v="6.2100000000000002E-2"/>
    <n v="0.03"/>
    <n v="0.02"/>
    <n v="0.06"/>
    <n v="0.02"/>
    <n v="0.02"/>
    <n v="0.02"/>
    <n v="0.9"/>
    <n v="180000"/>
    <n v="176460"/>
    <n v="304980"/>
    <n v="210120"/>
    <n v="408000"/>
    <n v="140000"/>
  </r>
  <r>
    <x v="0"/>
    <x v="0"/>
    <x v="1"/>
    <s v="Internal Medicine HPSP"/>
    <n v="2040"/>
    <x v="27"/>
    <n v="1790906.300976193"/>
    <n v="0.02"/>
    <n v="0.01"/>
    <n v="0.01"/>
    <n v="6.2100000000000002E-2"/>
    <n v="0.03"/>
    <n v="0.02"/>
    <n v="0.06"/>
    <n v="0.02"/>
    <n v="0.02"/>
    <n v="0.02"/>
    <n v="0.9"/>
    <n v="180000"/>
    <n v="176460"/>
    <n v="304980"/>
    <n v="210120"/>
    <n v="408000"/>
    <n v="140000"/>
  </r>
  <r>
    <x v="0"/>
    <x v="0"/>
    <x v="1"/>
    <s v="Internal Medicine HPSP"/>
    <n v="2041"/>
    <x v="28"/>
    <n v="1846877.6699237232"/>
    <n v="0.02"/>
    <n v="0.01"/>
    <n v="0.01"/>
    <n v="6.2100000000000002E-2"/>
    <n v="0.03"/>
    <n v="0.02"/>
    <n v="0.06"/>
    <n v="0.02"/>
    <n v="0.02"/>
    <n v="0.02"/>
    <n v="0.9"/>
    <n v="180000"/>
    <n v="176460"/>
    <n v="304980"/>
    <n v="210120"/>
    <n v="408000"/>
    <n v="140000"/>
  </r>
  <r>
    <x v="0"/>
    <x v="0"/>
    <x v="1"/>
    <s v="Internal Medicine HPSP"/>
    <n v="2042"/>
    <x v="29"/>
    <n v="1901296.5448733282"/>
    <n v="0.02"/>
    <n v="0.01"/>
    <n v="0.01"/>
    <n v="6.2100000000000002E-2"/>
    <n v="0.03"/>
    <n v="0.02"/>
    <n v="0.06"/>
    <n v="0.02"/>
    <n v="0.02"/>
    <n v="0.02"/>
    <n v="0.9"/>
    <n v="180000"/>
    <n v="176460"/>
    <n v="304980"/>
    <n v="210120"/>
    <n v="408000"/>
    <n v="140000"/>
  </r>
  <r>
    <x v="0"/>
    <x v="0"/>
    <x v="2"/>
    <s v="Internal Medicine STD10"/>
    <n v="2013"/>
    <x v="0"/>
    <n v="-43015.05"/>
    <n v="0.02"/>
    <n v="0.01"/>
    <n v="0.01"/>
    <n v="6.2100000000000002E-2"/>
    <n v="0.03"/>
    <n v="0.02"/>
    <n v="0.06"/>
    <n v="0.02"/>
    <n v="0.02"/>
    <n v="0.02"/>
    <n v="0.9"/>
    <n v="180000"/>
    <n v="176460"/>
    <n v="304980"/>
    <n v="210120"/>
    <n v="408000"/>
    <n v="140000"/>
  </r>
  <r>
    <x v="0"/>
    <x v="0"/>
    <x v="2"/>
    <s v="Internal Medicine STD10"/>
    <n v="2014"/>
    <x v="1"/>
    <n v="-86352.285865219877"/>
    <n v="0.02"/>
    <n v="0.01"/>
    <n v="0.01"/>
    <n v="6.2100000000000002E-2"/>
    <n v="0.03"/>
    <n v="0.02"/>
    <n v="0.06"/>
    <n v="0.02"/>
    <n v="0.02"/>
    <n v="0.02"/>
    <n v="0.9"/>
    <n v="180000"/>
    <n v="176460"/>
    <n v="304980"/>
    <n v="210120"/>
    <n v="408000"/>
    <n v="140000"/>
  </r>
  <r>
    <x v="0"/>
    <x v="0"/>
    <x v="2"/>
    <s v="Internal Medicine STD10"/>
    <n v="2015"/>
    <x v="2"/>
    <n v="-138541.19578403595"/>
    <n v="0.02"/>
    <n v="0.01"/>
    <n v="0.01"/>
    <n v="6.2100000000000002E-2"/>
    <n v="0.03"/>
    <n v="0.02"/>
    <n v="0.06"/>
    <n v="0.02"/>
    <n v="0.02"/>
    <n v="0.02"/>
    <n v="0.9"/>
    <n v="180000"/>
    <n v="176460"/>
    <n v="304980"/>
    <n v="210120"/>
    <n v="408000"/>
    <n v="140000"/>
  </r>
  <r>
    <x v="0"/>
    <x v="0"/>
    <x v="2"/>
    <s v="Internal Medicine STD10"/>
    <n v="2016"/>
    <x v="3"/>
    <n v="-190867.38028908212"/>
    <n v="0.02"/>
    <n v="0.01"/>
    <n v="0.01"/>
    <n v="6.2100000000000002E-2"/>
    <n v="0.03"/>
    <n v="0.02"/>
    <n v="0.06"/>
    <n v="0.02"/>
    <n v="0.02"/>
    <n v="0.02"/>
    <n v="0.9"/>
    <n v="180000"/>
    <n v="176460"/>
    <n v="304980"/>
    <n v="210120"/>
    <n v="408000"/>
    <n v="140000"/>
  </r>
  <r>
    <x v="0"/>
    <x v="0"/>
    <x v="2"/>
    <s v="Internal Medicine STD10"/>
    <n v="2017"/>
    <x v="4"/>
    <n v="-157278.5148229824"/>
    <n v="0.02"/>
    <n v="0.01"/>
    <n v="0.01"/>
    <n v="6.2100000000000002E-2"/>
    <n v="0.03"/>
    <n v="0.02"/>
    <n v="0.06"/>
    <n v="0.02"/>
    <n v="0.02"/>
    <n v="0.02"/>
    <n v="0.9"/>
    <n v="180000"/>
    <n v="176460"/>
    <n v="304980"/>
    <n v="210120"/>
    <n v="408000"/>
    <n v="140000"/>
  </r>
  <r>
    <x v="0"/>
    <x v="0"/>
    <x v="2"/>
    <s v="Internal Medicine STD10"/>
    <n v="2018"/>
    <x v="5"/>
    <n v="-123668.32270644748"/>
    <n v="0.02"/>
    <n v="0.01"/>
    <n v="0.01"/>
    <n v="6.2100000000000002E-2"/>
    <n v="0.03"/>
    <n v="0.02"/>
    <n v="0.06"/>
    <n v="0.02"/>
    <n v="0.02"/>
    <n v="0.02"/>
    <n v="0.9"/>
    <n v="180000"/>
    <n v="176460"/>
    <n v="304980"/>
    <n v="210120"/>
    <n v="408000"/>
    <n v="140000"/>
  </r>
  <r>
    <x v="0"/>
    <x v="0"/>
    <x v="2"/>
    <s v="Internal Medicine STD10"/>
    <n v="2019"/>
    <x v="6"/>
    <n v="-90028.481028923678"/>
    <n v="0.02"/>
    <n v="0.01"/>
    <n v="0.01"/>
    <n v="6.2100000000000002E-2"/>
    <n v="0.03"/>
    <n v="0.02"/>
    <n v="0.06"/>
    <n v="0.02"/>
    <n v="0.02"/>
    <n v="0.02"/>
    <n v="0.9"/>
    <n v="180000"/>
    <n v="176460"/>
    <n v="304980"/>
    <n v="210120"/>
    <n v="408000"/>
    <n v="140000"/>
  </r>
  <r>
    <x v="0"/>
    <x v="0"/>
    <x v="2"/>
    <s v="Internal Medicine STD10"/>
    <n v="2020"/>
    <x v="7"/>
    <n v="-20714.962179838069"/>
    <n v="0.02"/>
    <n v="0.01"/>
    <n v="0.01"/>
    <n v="6.2100000000000002E-2"/>
    <n v="0.03"/>
    <n v="0.02"/>
    <n v="0.06"/>
    <n v="0.02"/>
    <n v="0.02"/>
    <n v="0.02"/>
    <n v="0.9"/>
    <n v="180000"/>
    <n v="176460"/>
    <n v="304980"/>
    <n v="210120"/>
    <n v="408000"/>
    <n v="140000"/>
  </r>
  <r>
    <x v="0"/>
    <x v="0"/>
    <x v="2"/>
    <s v="Internal Medicine STD10"/>
    <n v="2021"/>
    <x v="8"/>
    <n v="47913.37742459173"/>
    <n v="0.02"/>
    <n v="0.01"/>
    <n v="0.01"/>
    <n v="6.2100000000000002E-2"/>
    <n v="0.03"/>
    <n v="0.02"/>
    <n v="0.06"/>
    <n v="0.02"/>
    <n v="0.02"/>
    <n v="0.02"/>
    <n v="0.9"/>
    <n v="180000"/>
    <n v="176460"/>
    <n v="304980"/>
    <n v="210120"/>
    <n v="408000"/>
    <n v="140000"/>
  </r>
  <r>
    <x v="0"/>
    <x v="0"/>
    <x v="2"/>
    <s v="Internal Medicine STD10"/>
    <n v="2022"/>
    <x v="9"/>
    <n v="115837.38722496877"/>
    <n v="0.02"/>
    <n v="0.01"/>
    <n v="0.01"/>
    <n v="6.2100000000000002E-2"/>
    <n v="0.03"/>
    <n v="0.02"/>
    <n v="0.06"/>
    <n v="0.02"/>
    <n v="0.02"/>
    <n v="0.02"/>
    <n v="0.9"/>
    <n v="180000"/>
    <n v="176460"/>
    <n v="304980"/>
    <n v="210120"/>
    <n v="408000"/>
    <n v="140000"/>
  </r>
  <r>
    <x v="0"/>
    <x v="0"/>
    <x v="2"/>
    <s v="Internal Medicine STD10"/>
    <n v="2023"/>
    <x v="10"/>
    <n v="183039.8653020332"/>
    <n v="0.02"/>
    <n v="0.01"/>
    <n v="0.01"/>
    <n v="6.2100000000000002E-2"/>
    <n v="0.03"/>
    <n v="0.02"/>
    <n v="0.06"/>
    <n v="0.02"/>
    <n v="0.02"/>
    <n v="0.02"/>
    <n v="0.9"/>
    <n v="180000"/>
    <n v="176460"/>
    <n v="304980"/>
    <n v="210120"/>
    <n v="408000"/>
    <n v="140000"/>
  </r>
  <r>
    <x v="0"/>
    <x v="0"/>
    <x v="2"/>
    <s v="Internal Medicine STD10"/>
    <n v="2024"/>
    <x v="11"/>
    <n v="249505.44429244066"/>
    <n v="0.02"/>
    <n v="0.01"/>
    <n v="0.01"/>
    <n v="6.2100000000000002E-2"/>
    <n v="0.03"/>
    <n v="0.02"/>
    <n v="0.06"/>
    <n v="0.02"/>
    <n v="0.02"/>
    <n v="0.02"/>
    <n v="0.9"/>
    <n v="180000"/>
    <n v="176460"/>
    <n v="304980"/>
    <n v="210120"/>
    <n v="408000"/>
    <n v="140000"/>
  </r>
  <r>
    <x v="0"/>
    <x v="0"/>
    <x v="2"/>
    <s v="Internal Medicine STD10"/>
    <n v="2025"/>
    <x v="12"/>
    <n v="315220.48319904122"/>
    <n v="0.02"/>
    <n v="0.01"/>
    <n v="0.01"/>
    <n v="6.2100000000000002E-2"/>
    <n v="0.03"/>
    <n v="0.02"/>
    <n v="0.06"/>
    <n v="0.02"/>
    <n v="0.02"/>
    <n v="0.02"/>
    <n v="0.9"/>
    <n v="180000"/>
    <n v="176460"/>
    <n v="304980"/>
    <n v="210120"/>
    <n v="408000"/>
    <n v="140000"/>
  </r>
  <r>
    <x v="0"/>
    <x v="0"/>
    <x v="2"/>
    <s v="Internal Medicine STD10"/>
    <n v="2026"/>
    <x v="13"/>
    <n v="380172.96480382944"/>
    <n v="0.02"/>
    <n v="0.01"/>
    <n v="0.01"/>
    <n v="6.2100000000000002E-2"/>
    <n v="0.03"/>
    <n v="0.02"/>
    <n v="0.06"/>
    <n v="0.02"/>
    <n v="0.02"/>
    <n v="0.02"/>
    <n v="0.9"/>
    <n v="180000"/>
    <n v="176460"/>
    <n v="304980"/>
    <n v="210120"/>
    <n v="408000"/>
    <n v="140000"/>
  </r>
  <r>
    <x v="0"/>
    <x v="0"/>
    <x v="2"/>
    <s v="Internal Medicine STD10"/>
    <n v="2027"/>
    <x v="14"/>
    <n v="444352.39840595011"/>
    <n v="0.02"/>
    <n v="0.01"/>
    <n v="0.01"/>
    <n v="6.2100000000000002E-2"/>
    <n v="0.03"/>
    <n v="0.02"/>
    <n v="0.06"/>
    <n v="0.02"/>
    <n v="0.02"/>
    <n v="0.02"/>
    <n v="0.9"/>
    <n v="180000"/>
    <n v="176460"/>
    <n v="304980"/>
    <n v="210120"/>
    <n v="408000"/>
    <n v="140000"/>
  </r>
  <r>
    <x v="0"/>
    <x v="0"/>
    <x v="2"/>
    <s v="Internal Medicine STD10"/>
    <n v="2028"/>
    <x v="15"/>
    <n v="507749.72762066982"/>
    <n v="0.02"/>
    <n v="0.01"/>
    <n v="0.01"/>
    <n v="6.2100000000000002E-2"/>
    <n v="0.03"/>
    <n v="0.02"/>
    <n v="0.06"/>
    <n v="0.02"/>
    <n v="0.02"/>
    <n v="0.02"/>
    <n v="0.9"/>
    <n v="180000"/>
    <n v="176460"/>
    <n v="304980"/>
    <n v="210120"/>
    <n v="408000"/>
    <n v="140000"/>
  </r>
  <r>
    <x v="0"/>
    <x v="0"/>
    <x v="2"/>
    <s v="Internal Medicine STD10"/>
    <n v="2029"/>
    <x v="16"/>
    <n v="570357.24298809574"/>
    <n v="0.02"/>
    <n v="0.01"/>
    <n v="0.01"/>
    <n v="6.2100000000000002E-2"/>
    <n v="0.03"/>
    <n v="0.02"/>
    <n v="0.06"/>
    <n v="0.02"/>
    <n v="0.02"/>
    <n v="0.02"/>
    <n v="0.9"/>
    <n v="180000"/>
    <n v="176460"/>
    <n v="304980"/>
    <n v="210120"/>
    <n v="408000"/>
    <n v="140000"/>
  </r>
  <r>
    <x v="0"/>
    <x v="0"/>
    <x v="2"/>
    <s v="Internal Medicine STD10"/>
    <n v="2030"/>
    <x v="17"/>
    <n v="646718.21994679701"/>
    <n v="0.02"/>
    <n v="0.01"/>
    <n v="0.01"/>
    <n v="6.2100000000000002E-2"/>
    <n v="0.03"/>
    <n v="0.02"/>
    <n v="0.06"/>
    <n v="0.02"/>
    <n v="0.02"/>
    <n v="0.02"/>
    <n v="0.9"/>
    <n v="180000"/>
    <n v="176460"/>
    <n v="304980"/>
    <n v="210120"/>
    <n v="408000"/>
    <n v="140000"/>
  </r>
  <r>
    <x v="0"/>
    <x v="0"/>
    <x v="2"/>
    <s v="Internal Medicine STD10"/>
    <n v="2031"/>
    <x v="18"/>
    <n v="721576.92043376062"/>
    <n v="0.02"/>
    <n v="0.01"/>
    <n v="0.01"/>
    <n v="6.2100000000000002E-2"/>
    <n v="0.03"/>
    <n v="0.02"/>
    <n v="0.06"/>
    <n v="0.02"/>
    <n v="0.02"/>
    <n v="0.02"/>
    <n v="0.9"/>
    <n v="180000"/>
    <n v="176460"/>
    <n v="304980"/>
    <n v="210120"/>
    <n v="408000"/>
    <n v="140000"/>
  </r>
  <r>
    <x v="0"/>
    <x v="0"/>
    <x v="2"/>
    <s v="Internal Medicine STD10"/>
    <n v="2032"/>
    <x v="19"/>
    <n v="794962.94655176369"/>
    <n v="0.02"/>
    <n v="0.01"/>
    <n v="0.01"/>
    <n v="6.2100000000000002E-2"/>
    <n v="0.03"/>
    <n v="0.02"/>
    <n v="0.06"/>
    <n v="0.02"/>
    <n v="0.02"/>
    <n v="0.02"/>
    <n v="0.9"/>
    <n v="180000"/>
    <n v="176460"/>
    <n v="304980"/>
    <n v="210120"/>
    <n v="408000"/>
    <n v="140000"/>
  </r>
  <r>
    <x v="0"/>
    <x v="0"/>
    <x v="2"/>
    <s v="Internal Medicine STD10"/>
    <n v="2033"/>
    <x v="20"/>
    <n v="866857.5136827518"/>
    <n v="0.02"/>
    <n v="0.01"/>
    <n v="0.01"/>
    <n v="6.2100000000000002E-2"/>
    <n v="0.03"/>
    <n v="0.02"/>
    <n v="0.06"/>
    <n v="0.02"/>
    <n v="0.02"/>
    <n v="0.02"/>
    <n v="0.9"/>
    <n v="180000"/>
    <n v="176460"/>
    <n v="304980"/>
    <n v="210120"/>
    <n v="408000"/>
    <n v="140000"/>
  </r>
  <r>
    <x v="0"/>
    <x v="0"/>
    <x v="2"/>
    <s v="Internal Medicine STD10"/>
    <n v="2034"/>
    <x v="21"/>
    <n v="937289.96160704037"/>
    <n v="0.02"/>
    <n v="0.01"/>
    <n v="0.01"/>
    <n v="6.2100000000000002E-2"/>
    <n v="0.03"/>
    <n v="0.02"/>
    <n v="0.06"/>
    <n v="0.02"/>
    <n v="0.02"/>
    <n v="0.02"/>
    <n v="0.9"/>
    <n v="180000"/>
    <n v="176460"/>
    <n v="304980"/>
    <n v="210120"/>
    <n v="408000"/>
    <n v="140000"/>
  </r>
  <r>
    <x v="0"/>
    <x v="0"/>
    <x v="2"/>
    <s v="Internal Medicine STD10"/>
    <n v="2035"/>
    <x v="22"/>
    <n v="1006290.4861775748"/>
    <n v="0.02"/>
    <n v="0.01"/>
    <n v="0.01"/>
    <n v="6.2100000000000002E-2"/>
    <n v="0.03"/>
    <n v="0.02"/>
    <n v="0.06"/>
    <n v="0.02"/>
    <n v="0.02"/>
    <n v="0.02"/>
    <n v="0.9"/>
    <n v="180000"/>
    <n v="176460"/>
    <n v="304980"/>
    <n v="210120"/>
    <n v="408000"/>
    <n v="140000"/>
  </r>
  <r>
    <x v="0"/>
    <x v="0"/>
    <x v="2"/>
    <s v="Internal Medicine STD10"/>
    <n v="2036"/>
    <x v="23"/>
    <n v="1073888.6467004258"/>
    <n v="0.02"/>
    <n v="0.01"/>
    <n v="0.01"/>
    <n v="6.2100000000000002E-2"/>
    <n v="0.03"/>
    <n v="0.02"/>
    <n v="0.06"/>
    <n v="0.02"/>
    <n v="0.02"/>
    <n v="0.02"/>
    <n v="0.9"/>
    <n v="180000"/>
    <n v="176460"/>
    <n v="304980"/>
    <n v="210120"/>
    <n v="408000"/>
    <n v="140000"/>
  </r>
  <r>
    <x v="0"/>
    <x v="0"/>
    <x v="2"/>
    <s v="Internal Medicine STD10"/>
    <n v="2037"/>
    <x v="24"/>
    <n v="1140113.3797113812"/>
    <n v="0.02"/>
    <n v="0.01"/>
    <n v="0.01"/>
    <n v="6.2100000000000002E-2"/>
    <n v="0.03"/>
    <n v="0.02"/>
    <n v="0.06"/>
    <n v="0.02"/>
    <n v="0.02"/>
    <n v="0.02"/>
    <n v="0.9"/>
    <n v="180000"/>
    <n v="176460"/>
    <n v="304980"/>
    <n v="210120"/>
    <n v="408000"/>
    <n v="140000"/>
  </r>
  <r>
    <x v="0"/>
    <x v="0"/>
    <x v="2"/>
    <s v="Internal Medicine STD10"/>
    <n v="2038"/>
    <x v="25"/>
    <n v="1204993.0124446838"/>
    <n v="0.02"/>
    <n v="0.01"/>
    <n v="0.01"/>
    <n v="6.2100000000000002E-2"/>
    <n v="0.03"/>
    <n v="0.02"/>
    <n v="0.06"/>
    <n v="0.02"/>
    <n v="0.02"/>
    <n v="0.02"/>
    <n v="0.9"/>
    <n v="180000"/>
    <n v="176460"/>
    <n v="304980"/>
    <n v="210120"/>
    <n v="408000"/>
    <n v="140000"/>
  </r>
  <r>
    <x v="0"/>
    <x v="0"/>
    <x v="2"/>
    <s v="Internal Medicine STD10"/>
    <n v="2039"/>
    <x v="26"/>
    <n v="1268555.2760010466"/>
    <n v="0.02"/>
    <n v="0.01"/>
    <n v="0.01"/>
    <n v="6.2100000000000002E-2"/>
    <n v="0.03"/>
    <n v="0.02"/>
    <n v="0.06"/>
    <n v="0.02"/>
    <n v="0.02"/>
    <n v="0.02"/>
    <n v="0.9"/>
    <n v="180000"/>
    <n v="176460"/>
    <n v="304980"/>
    <n v="210120"/>
    <n v="408000"/>
    <n v="140000"/>
  </r>
  <r>
    <x v="0"/>
    <x v="0"/>
    <x v="2"/>
    <s v="Internal Medicine STD10"/>
    <n v="2040"/>
    <x v="27"/>
    <n v="1330827.3182219123"/>
    <n v="0.02"/>
    <n v="0.01"/>
    <n v="0.01"/>
    <n v="6.2100000000000002E-2"/>
    <n v="0.03"/>
    <n v="0.02"/>
    <n v="0.06"/>
    <n v="0.02"/>
    <n v="0.02"/>
    <n v="0.02"/>
    <n v="0.9"/>
    <n v="180000"/>
    <n v="176460"/>
    <n v="304980"/>
    <n v="210120"/>
    <n v="408000"/>
    <n v="140000"/>
  </r>
  <r>
    <x v="0"/>
    <x v="0"/>
    <x v="2"/>
    <s v="Internal Medicine STD10"/>
    <n v="2041"/>
    <x v="28"/>
    <n v="1391835.716276749"/>
    <n v="0.02"/>
    <n v="0.01"/>
    <n v="0.01"/>
    <n v="6.2100000000000002E-2"/>
    <n v="0.03"/>
    <n v="0.02"/>
    <n v="0.06"/>
    <n v="0.02"/>
    <n v="0.02"/>
    <n v="0.02"/>
    <n v="0.9"/>
    <n v="180000"/>
    <n v="176460"/>
    <n v="304980"/>
    <n v="210120"/>
    <n v="408000"/>
    <n v="140000"/>
  </r>
  <r>
    <x v="0"/>
    <x v="0"/>
    <x v="2"/>
    <s v="Internal Medicine STD10"/>
    <n v="2042"/>
    <x v="29"/>
    <n v="1451606.4889700194"/>
    <n v="0.02"/>
    <n v="0.01"/>
    <n v="0.01"/>
    <n v="6.2100000000000002E-2"/>
    <n v="0.03"/>
    <n v="0.02"/>
    <n v="0.06"/>
    <n v="0.02"/>
    <n v="0.02"/>
    <n v="0.02"/>
    <n v="0.9"/>
    <n v="180000"/>
    <n v="176460"/>
    <n v="304980"/>
    <n v="210120"/>
    <n v="408000"/>
    <n v="140000"/>
  </r>
  <r>
    <x v="0"/>
    <x v="0"/>
    <x v="3"/>
    <s v="Internal Medicine EXT"/>
    <n v="2013"/>
    <x v="0"/>
    <n v="-43015.05"/>
    <n v="0.02"/>
    <n v="0.01"/>
    <n v="0.01"/>
    <n v="6.2100000000000002E-2"/>
    <n v="0.03"/>
    <n v="0.02"/>
    <n v="0.06"/>
    <n v="0.02"/>
    <n v="0.02"/>
    <n v="0.02"/>
    <n v="0.9"/>
    <n v="180000"/>
    <n v="176460"/>
    <n v="304980"/>
    <n v="210120"/>
    <n v="408000"/>
    <n v="140000"/>
  </r>
  <r>
    <x v="0"/>
    <x v="0"/>
    <x v="3"/>
    <s v="Internal Medicine EXT"/>
    <n v="2014"/>
    <x v="1"/>
    <n v="-86352.285865219877"/>
    <n v="0.02"/>
    <n v="0.01"/>
    <n v="0.01"/>
    <n v="6.2100000000000002E-2"/>
    <n v="0.03"/>
    <n v="0.02"/>
    <n v="0.06"/>
    <n v="0.02"/>
    <n v="0.02"/>
    <n v="0.02"/>
    <n v="0.9"/>
    <n v="180000"/>
    <n v="176460"/>
    <n v="304980"/>
    <n v="210120"/>
    <n v="408000"/>
    <n v="140000"/>
  </r>
  <r>
    <x v="0"/>
    <x v="0"/>
    <x v="3"/>
    <s v="Internal Medicine EXT"/>
    <n v="2015"/>
    <x v="2"/>
    <n v="-138541.19578403595"/>
    <n v="0.02"/>
    <n v="0.01"/>
    <n v="0.01"/>
    <n v="6.2100000000000002E-2"/>
    <n v="0.03"/>
    <n v="0.02"/>
    <n v="0.06"/>
    <n v="0.02"/>
    <n v="0.02"/>
    <n v="0.02"/>
    <n v="0.9"/>
    <n v="180000"/>
    <n v="176460"/>
    <n v="304980"/>
    <n v="210120"/>
    <n v="408000"/>
    <n v="140000"/>
  </r>
  <r>
    <x v="0"/>
    <x v="0"/>
    <x v="3"/>
    <s v="Internal Medicine EXT"/>
    <n v="2016"/>
    <x v="3"/>
    <n v="-190867.38028908212"/>
    <n v="0.02"/>
    <n v="0.01"/>
    <n v="0.01"/>
    <n v="6.2100000000000002E-2"/>
    <n v="0.03"/>
    <n v="0.02"/>
    <n v="0.06"/>
    <n v="0.02"/>
    <n v="0.02"/>
    <n v="0.02"/>
    <n v="0.9"/>
    <n v="180000"/>
    <n v="176460"/>
    <n v="304980"/>
    <n v="210120"/>
    <n v="408000"/>
    <n v="140000"/>
  </r>
  <r>
    <x v="0"/>
    <x v="0"/>
    <x v="3"/>
    <s v="Internal Medicine EXT"/>
    <n v="2017"/>
    <x v="4"/>
    <n v="-157278.5148229824"/>
    <n v="0.02"/>
    <n v="0.01"/>
    <n v="0.01"/>
    <n v="6.2100000000000002E-2"/>
    <n v="0.03"/>
    <n v="0.02"/>
    <n v="0.06"/>
    <n v="0.02"/>
    <n v="0.02"/>
    <n v="0.02"/>
    <n v="0.9"/>
    <n v="180000"/>
    <n v="176460"/>
    <n v="304980"/>
    <n v="210120"/>
    <n v="408000"/>
    <n v="140000"/>
  </r>
  <r>
    <x v="0"/>
    <x v="0"/>
    <x v="3"/>
    <s v="Internal Medicine EXT"/>
    <n v="2018"/>
    <x v="5"/>
    <n v="-123668.32270644748"/>
    <n v="0.02"/>
    <n v="0.01"/>
    <n v="0.01"/>
    <n v="6.2100000000000002E-2"/>
    <n v="0.03"/>
    <n v="0.02"/>
    <n v="0.06"/>
    <n v="0.02"/>
    <n v="0.02"/>
    <n v="0.02"/>
    <n v="0.9"/>
    <n v="180000"/>
    <n v="176460"/>
    <n v="304980"/>
    <n v="210120"/>
    <n v="408000"/>
    <n v="140000"/>
  </r>
  <r>
    <x v="0"/>
    <x v="0"/>
    <x v="3"/>
    <s v="Internal Medicine EXT"/>
    <n v="2019"/>
    <x v="6"/>
    <n v="-90028.481028923678"/>
    <n v="0.02"/>
    <n v="0.01"/>
    <n v="0.01"/>
    <n v="6.2100000000000002E-2"/>
    <n v="0.03"/>
    <n v="0.02"/>
    <n v="0.06"/>
    <n v="0.02"/>
    <n v="0.02"/>
    <n v="0.02"/>
    <n v="0.9"/>
    <n v="180000"/>
    <n v="176460"/>
    <n v="304980"/>
    <n v="210120"/>
    <n v="408000"/>
    <n v="140000"/>
  </r>
  <r>
    <x v="0"/>
    <x v="0"/>
    <x v="3"/>
    <s v="Internal Medicine EXT"/>
    <n v="2020"/>
    <x v="7"/>
    <n v="-10739.587028083057"/>
    <n v="0.02"/>
    <n v="0.01"/>
    <n v="0.01"/>
    <n v="6.2100000000000002E-2"/>
    <n v="0.03"/>
    <n v="0.02"/>
    <n v="0.06"/>
    <n v="0.02"/>
    <n v="0.02"/>
    <n v="0.02"/>
    <n v="0.9"/>
    <n v="180000"/>
    <n v="176460"/>
    <n v="304980"/>
    <n v="210120"/>
    <n v="408000"/>
    <n v="140000"/>
  </r>
  <r>
    <x v="0"/>
    <x v="0"/>
    <x v="3"/>
    <s v="Internal Medicine EXT"/>
    <n v="2021"/>
    <x v="8"/>
    <n v="67383.684188525513"/>
    <n v="0.02"/>
    <n v="0.01"/>
    <n v="0.01"/>
    <n v="6.2100000000000002E-2"/>
    <n v="0.03"/>
    <n v="0.02"/>
    <n v="0.06"/>
    <n v="0.02"/>
    <n v="0.02"/>
    <n v="0.02"/>
    <n v="0.9"/>
    <n v="180000"/>
    <n v="176460"/>
    <n v="304980"/>
    <n v="210120"/>
    <n v="408000"/>
    <n v="140000"/>
  </r>
  <r>
    <x v="0"/>
    <x v="0"/>
    <x v="3"/>
    <s v="Internal Medicine EXT"/>
    <n v="2022"/>
    <x v="9"/>
    <n v="144345.32164184254"/>
    <n v="0.02"/>
    <n v="0.01"/>
    <n v="0.01"/>
    <n v="6.2100000000000002E-2"/>
    <n v="0.03"/>
    <n v="0.02"/>
    <n v="0.06"/>
    <n v="0.02"/>
    <n v="0.02"/>
    <n v="0.02"/>
    <n v="0.9"/>
    <n v="180000"/>
    <n v="176460"/>
    <n v="304980"/>
    <n v="210120"/>
    <n v="408000"/>
    <n v="140000"/>
  </r>
  <r>
    <x v="0"/>
    <x v="0"/>
    <x v="3"/>
    <s v="Internal Medicine EXT"/>
    <n v="2023"/>
    <x v="10"/>
    <n v="220150.14852239069"/>
    <n v="0.02"/>
    <n v="0.01"/>
    <n v="0.01"/>
    <n v="6.2100000000000002E-2"/>
    <n v="0.03"/>
    <n v="0.02"/>
    <n v="0.06"/>
    <n v="0.02"/>
    <n v="0.02"/>
    <n v="0.02"/>
    <n v="0.9"/>
    <n v="180000"/>
    <n v="176460"/>
    <n v="304980"/>
    <n v="210120"/>
    <n v="408000"/>
    <n v="140000"/>
  </r>
  <r>
    <x v="0"/>
    <x v="0"/>
    <x v="3"/>
    <s v="Internal Medicine EXT"/>
    <n v="2024"/>
    <x v="11"/>
    <n v="294803.76178224775"/>
    <n v="0.02"/>
    <n v="0.01"/>
    <n v="0.01"/>
    <n v="6.2100000000000002E-2"/>
    <n v="0.03"/>
    <n v="0.02"/>
    <n v="0.06"/>
    <n v="0.02"/>
    <n v="0.02"/>
    <n v="0.02"/>
    <n v="0.9"/>
    <n v="180000"/>
    <n v="176460"/>
    <n v="304980"/>
    <n v="210120"/>
    <n v="408000"/>
    <n v="140000"/>
  </r>
  <r>
    <x v="0"/>
    <x v="0"/>
    <x v="3"/>
    <s v="Internal Medicine EXT"/>
    <n v="2025"/>
    <x v="12"/>
    <n v="368312.47503631603"/>
    <n v="0.02"/>
    <n v="0.01"/>
    <n v="0.01"/>
    <n v="6.2100000000000002E-2"/>
    <n v="0.03"/>
    <n v="0.02"/>
    <n v="0.06"/>
    <n v="0.02"/>
    <n v="0.02"/>
    <n v="0.02"/>
    <n v="0.9"/>
    <n v="180000"/>
    <n v="176460"/>
    <n v="304980"/>
    <n v="210120"/>
    <n v="408000"/>
    <n v="140000"/>
  </r>
  <r>
    <x v="0"/>
    <x v="0"/>
    <x v="3"/>
    <s v="Internal Medicine EXT"/>
    <n v="2026"/>
    <x v="13"/>
    <n v="440683.26460557"/>
    <n v="0.02"/>
    <n v="0.01"/>
    <n v="0.01"/>
    <n v="6.2100000000000002E-2"/>
    <n v="0.03"/>
    <n v="0.02"/>
    <n v="0.06"/>
    <n v="0.02"/>
    <n v="0.02"/>
    <n v="0.02"/>
    <n v="0.9"/>
    <n v="180000"/>
    <n v="176460"/>
    <n v="304980"/>
    <n v="210120"/>
    <n v="408000"/>
    <n v="140000"/>
  </r>
  <r>
    <x v="0"/>
    <x v="0"/>
    <x v="3"/>
    <s v="Internal Medicine EXT"/>
    <n v="2027"/>
    <x v="14"/>
    <n v="511923.71854318061"/>
    <n v="0.02"/>
    <n v="0.01"/>
    <n v="0.01"/>
    <n v="6.2100000000000002E-2"/>
    <n v="0.03"/>
    <n v="0.02"/>
    <n v="0.06"/>
    <n v="0.02"/>
    <n v="0.02"/>
    <n v="0.02"/>
    <n v="0.9"/>
    <n v="180000"/>
    <n v="176460"/>
    <n v="304980"/>
    <n v="210120"/>
    <n v="408000"/>
    <n v="140000"/>
  </r>
  <r>
    <x v="0"/>
    <x v="0"/>
    <x v="3"/>
    <s v="Internal Medicine EXT"/>
    <n v="2028"/>
    <x v="15"/>
    <n v="582041.98849223298"/>
    <n v="0.02"/>
    <n v="0.01"/>
    <n v="0.01"/>
    <n v="6.2100000000000002E-2"/>
    <n v="0.03"/>
    <n v="0.02"/>
    <n v="0.06"/>
    <n v="0.02"/>
    <n v="0.02"/>
    <n v="0.02"/>
    <n v="0.9"/>
    <n v="180000"/>
    <n v="176460"/>
    <n v="304980"/>
    <n v="210120"/>
    <n v="408000"/>
    <n v="140000"/>
  </r>
  <r>
    <x v="0"/>
    <x v="0"/>
    <x v="3"/>
    <s v="Internal Medicine EXT"/>
    <n v="2029"/>
    <x v="16"/>
    <n v="651046.74423119205"/>
    <n v="0.02"/>
    <n v="0.01"/>
    <n v="0.01"/>
    <n v="6.2100000000000002E-2"/>
    <n v="0.03"/>
    <n v="0.02"/>
    <n v="0.06"/>
    <n v="0.02"/>
    <n v="0.02"/>
    <n v="0.02"/>
    <n v="0.9"/>
    <n v="180000"/>
    <n v="176460"/>
    <n v="304980"/>
    <n v="210120"/>
    <n v="408000"/>
    <n v="140000"/>
  </r>
  <r>
    <x v="0"/>
    <x v="0"/>
    <x v="3"/>
    <s v="Internal Medicine EXT"/>
    <n v="2030"/>
    <x v="17"/>
    <n v="718947.13077034766"/>
    <n v="0.02"/>
    <n v="0.01"/>
    <n v="0.01"/>
    <n v="6.2100000000000002E-2"/>
    <n v="0.03"/>
    <n v="0.02"/>
    <n v="0.06"/>
    <n v="0.02"/>
    <n v="0.02"/>
    <n v="0.02"/>
    <n v="0.9"/>
    <n v="180000"/>
    <n v="176460"/>
    <n v="304980"/>
    <n v="210120"/>
    <n v="408000"/>
    <n v="140000"/>
  </r>
  <r>
    <x v="0"/>
    <x v="0"/>
    <x v="3"/>
    <s v="Internal Medicine EXT"/>
    <n v="2031"/>
    <x v="18"/>
    <n v="785752.72786920378"/>
    <n v="0.02"/>
    <n v="0.01"/>
    <n v="0.01"/>
    <n v="6.2100000000000002E-2"/>
    <n v="0.03"/>
    <n v="0.02"/>
    <n v="0.06"/>
    <n v="0.02"/>
    <n v="0.02"/>
    <n v="0.02"/>
    <n v="0.9"/>
    <n v="180000"/>
    <n v="176460"/>
    <n v="304980"/>
    <n v="210120"/>
    <n v="408000"/>
    <n v="140000"/>
  </r>
  <r>
    <x v="0"/>
    <x v="0"/>
    <x v="3"/>
    <s v="Internal Medicine EXT"/>
    <n v="2032"/>
    <x v="19"/>
    <n v="851473.51185118221"/>
    <n v="0.02"/>
    <n v="0.01"/>
    <n v="0.01"/>
    <n v="6.2100000000000002E-2"/>
    <n v="0.03"/>
    <n v="0.02"/>
    <n v="0.06"/>
    <n v="0.02"/>
    <n v="0.02"/>
    <n v="0.02"/>
    <n v="0.9"/>
    <n v="180000"/>
    <n v="176460"/>
    <n v="304980"/>
    <n v="210120"/>
    <n v="408000"/>
    <n v="140000"/>
  </r>
  <r>
    <x v="0"/>
    <x v="0"/>
    <x v="3"/>
    <s v="Internal Medicine EXT"/>
    <n v="2033"/>
    <x v="20"/>
    <n v="916072.01755439118"/>
    <n v="0.02"/>
    <n v="0.01"/>
    <n v="0.01"/>
    <n v="6.2100000000000002E-2"/>
    <n v="0.03"/>
    <n v="0.02"/>
    <n v="0.06"/>
    <n v="0.02"/>
    <n v="0.02"/>
    <n v="0.02"/>
    <n v="0.9"/>
    <n v="180000"/>
    <n v="176460"/>
    <n v="304980"/>
    <n v="210120"/>
    <n v="408000"/>
    <n v="140000"/>
  </r>
  <r>
    <x v="0"/>
    <x v="0"/>
    <x v="3"/>
    <s v="Internal Medicine EXT"/>
    <n v="2034"/>
    <x v="21"/>
    <n v="979559.80392549199"/>
    <n v="0.02"/>
    <n v="0.01"/>
    <n v="0.01"/>
    <n v="6.2100000000000002E-2"/>
    <n v="0.03"/>
    <n v="0.02"/>
    <n v="0.06"/>
    <n v="0.02"/>
    <n v="0.02"/>
    <n v="0.02"/>
    <n v="0.9"/>
    <n v="180000"/>
    <n v="176460"/>
    <n v="304980"/>
    <n v="210120"/>
    <n v="408000"/>
    <n v="140000"/>
  </r>
  <r>
    <x v="0"/>
    <x v="0"/>
    <x v="3"/>
    <s v="Internal Medicine EXT"/>
    <n v="2035"/>
    <x v="22"/>
    <n v="1041950.1423612579"/>
    <n v="0.02"/>
    <n v="0.01"/>
    <n v="0.01"/>
    <n v="6.2100000000000002E-2"/>
    <n v="0.03"/>
    <n v="0.02"/>
    <n v="0.06"/>
    <n v="0.02"/>
    <n v="0.02"/>
    <n v="0.02"/>
    <n v="0.9"/>
    <n v="180000"/>
    <n v="176460"/>
    <n v="304980"/>
    <n v="210120"/>
    <n v="408000"/>
    <n v="140000"/>
  </r>
  <r>
    <x v="0"/>
    <x v="0"/>
    <x v="3"/>
    <s v="Internal Medicine EXT"/>
    <n v="2036"/>
    <x v="23"/>
    <n v="1103256.4828434"/>
    <n v="0.02"/>
    <n v="0.01"/>
    <n v="0.01"/>
    <n v="6.2100000000000002E-2"/>
    <n v="0.03"/>
    <n v="0.02"/>
    <n v="0.06"/>
    <n v="0.02"/>
    <n v="0.02"/>
    <n v="0.02"/>
    <n v="0.9"/>
    <n v="180000"/>
    <n v="176460"/>
    <n v="304980"/>
    <n v="210120"/>
    <n v="408000"/>
    <n v="140000"/>
  </r>
  <r>
    <x v="0"/>
    <x v="0"/>
    <x v="3"/>
    <s v="Internal Medicine EXT"/>
    <n v="2037"/>
    <x v="24"/>
    <n v="1163492.4284560033"/>
    <n v="0.02"/>
    <n v="0.01"/>
    <n v="0.01"/>
    <n v="6.2100000000000002E-2"/>
    <n v="0.03"/>
    <n v="0.02"/>
    <n v="0.06"/>
    <n v="0.02"/>
    <n v="0.02"/>
    <n v="0.02"/>
    <n v="0.9"/>
    <n v="180000"/>
    <n v="176460"/>
    <n v="304980"/>
    <n v="210120"/>
    <n v="408000"/>
    <n v="140000"/>
  </r>
  <r>
    <x v="0"/>
    <x v="0"/>
    <x v="3"/>
    <s v="Internal Medicine EXT"/>
    <n v="2038"/>
    <x v="25"/>
    <n v="1222671.711485944"/>
    <n v="0.02"/>
    <n v="0.01"/>
    <n v="0.01"/>
    <n v="6.2100000000000002E-2"/>
    <n v="0.03"/>
    <n v="0.02"/>
    <n v="0.06"/>
    <n v="0.02"/>
    <n v="0.02"/>
    <n v="0.02"/>
    <n v="0.9"/>
    <n v="180000"/>
    <n v="176460"/>
    <n v="304980"/>
    <n v="210120"/>
    <n v="408000"/>
    <n v="140000"/>
  </r>
  <r>
    <x v="0"/>
    <x v="0"/>
    <x v="3"/>
    <s v="Internal Medicine EXT"/>
    <n v="2039"/>
    <x v="26"/>
    <n v="1280808.1710223546"/>
    <n v="0.02"/>
    <n v="0.01"/>
    <n v="0.01"/>
    <n v="6.2100000000000002E-2"/>
    <n v="0.03"/>
    <n v="0.02"/>
    <n v="0.06"/>
    <n v="0.02"/>
    <n v="0.02"/>
    <n v="0.02"/>
    <n v="0.9"/>
    <n v="180000"/>
    <n v="176460"/>
    <n v="304980"/>
    <n v="210120"/>
    <n v="408000"/>
    <n v="140000"/>
  </r>
  <r>
    <x v="0"/>
    <x v="0"/>
    <x v="3"/>
    <s v="Internal Medicine EXT"/>
    <n v="2040"/>
    <x v="27"/>
    <n v="1337915.7319754187"/>
    <n v="0.02"/>
    <n v="0.01"/>
    <n v="0.01"/>
    <n v="6.2100000000000002E-2"/>
    <n v="0.03"/>
    <n v="0.02"/>
    <n v="0.06"/>
    <n v="0.02"/>
    <n v="0.02"/>
    <n v="0.02"/>
    <n v="0.9"/>
    <n v="180000"/>
    <n v="176460"/>
    <n v="304980"/>
    <n v="210120"/>
    <n v="408000"/>
    <n v="140000"/>
  </r>
  <r>
    <x v="0"/>
    <x v="0"/>
    <x v="3"/>
    <s v="Internal Medicine EXT"/>
    <n v="2041"/>
    <x v="28"/>
    <n v="1394008.3854387826"/>
    <n v="0.02"/>
    <n v="0.01"/>
    <n v="0.01"/>
    <n v="6.2100000000000002E-2"/>
    <n v="0.03"/>
    <n v="0.02"/>
    <n v="0.06"/>
    <n v="0.02"/>
    <n v="0.02"/>
    <n v="0.02"/>
    <n v="0.9"/>
    <n v="180000"/>
    <n v="176460"/>
    <n v="304980"/>
    <n v="210120"/>
    <n v="408000"/>
    <n v="140000"/>
  </r>
  <r>
    <x v="0"/>
    <x v="0"/>
    <x v="3"/>
    <s v="Internal Medicine EXT"/>
    <n v="2042"/>
    <x v="29"/>
    <n v="1449100.1703236834"/>
    <n v="0.02"/>
    <n v="0.01"/>
    <n v="0.01"/>
    <n v="6.2100000000000002E-2"/>
    <n v="0.03"/>
    <n v="0.02"/>
    <n v="0.06"/>
    <n v="0.02"/>
    <n v="0.02"/>
    <n v="0.02"/>
    <n v="0.9"/>
    <n v="180000"/>
    <n v="176460"/>
    <n v="304980"/>
    <n v="210120"/>
    <n v="408000"/>
    <n v="140000"/>
  </r>
  <r>
    <x v="0"/>
    <x v="0"/>
    <x v="4"/>
    <s v="Internal Medicine IBR"/>
    <n v="2013"/>
    <x v="0"/>
    <n v="-43015.05"/>
    <n v="0.02"/>
    <n v="0.01"/>
    <n v="0.01"/>
    <n v="6.2100000000000002E-2"/>
    <n v="0.03"/>
    <n v="0.02"/>
    <n v="0.06"/>
    <n v="0.02"/>
    <n v="0.02"/>
    <n v="0.02"/>
    <n v="0.9"/>
    <n v="180000"/>
    <n v="176460"/>
    <n v="304980"/>
    <n v="210120"/>
    <n v="408000"/>
    <n v="140000"/>
  </r>
  <r>
    <x v="0"/>
    <x v="0"/>
    <x v="4"/>
    <s v="Internal Medicine IBR"/>
    <n v="2014"/>
    <x v="1"/>
    <n v="-86352.285865219877"/>
    <n v="0.02"/>
    <n v="0.01"/>
    <n v="0.01"/>
    <n v="6.2100000000000002E-2"/>
    <n v="0.03"/>
    <n v="0.02"/>
    <n v="0.06"/>
    <n v="0.02"/>
    <n v="0.02"/>
    <n v="0.02"/>
    <n v="0.9"/>
    <n v="180000"/>
    <n v="176460"/>
    <n v="304980"/>
    <n v="210120"/>
    <n v="408000"/>
    <n v="140000"/>
  </r>
  <r>
    <x v="0"/>
    <x v="0"/>
    <x v="4"/>
    <s v="Internal Medicine IBR"/>
    <n v="2015"/>
    <x v="2"/>
    <n v="-138541.19578403595"/>
    <n v="0.02"/>
    <n v="0.01"/>
    <n v="0.01"/>
    <n v="6.2100000000000002E-2"/>
    <n v="0.03"/>
    <n v="0.02"/>
    <n v="0.06"/>
    <n v="0.02"/>
    <n v="0.02"/>
    <n v="0.02"/>
    <n v="0.9"/>
    <n v="180000"/>
    <n v="176460"/>
    <n v="304980"/>
    <n v="210120"/>
    <n v="408000"/>
    <n v="140000"/>
  </r>
  <r>
    <x v="0"/>
    <x v="0"/>
    <x v="4"/>
    <s v="Internal Medicine IBR"/>
    <n v="2016"/>
    <x v="3"/>
    <n v="-190867.38028908212"/>
    <n v="0.02"/>
    <n v="0.01"/>
    <n v="0.01"/>
    <n v="6.2100000000000002E-2"/>
    <n v="0.03"/>
    <n v="0.02"/>
    <n v="0.06"/>
    <n v="0.02"/>
    <n v="0.02"/>
    <n v="0.02"/>
    <n v="0.9"/>
    <n v="180000"/>
    <n v="176460"/>
    <n v="304980"/>
    <n v="210120"/>
    <n v="408000"/>
    <n v="140000"/>
  </r>
  <r>
    <x v="0"/>
    <x v="0"/>
    <x v="4"/>
    <s v="Internal Medicine IBR"/>
    <n v="2017"/>
    <x v="4"/>
    <n v="-157278.5148229824"/>
    <n v="0.02"/>
    <n v="0.01"/>
    <n v="0.01"/>
    <n v="6.2100000000000002E-2"/>
    <n v="0.03"/>
    <n v="0.02"/>
    <n v="0.06"/>
    <n v="0.02"/>
    <n v="0.02"/>
    <n v="0.02"/>
    <n v="0.9"/>
    <n v="180000"/>
    <n v="176460"/>
    <n v="304980"/>
    <n v="210120"/>
    <n v="408000"/>
    <n v="140000"/>
  </r>
  <r>
    <x v="0"/>
    <x v="0"/>
    <x v="4"/>
    <s v="Internal Medicine IBR"/>
    <n v="2018"/>
    <x v="5"/>
    <n v="-123668.32270644748"/>
    <n v="0.02"/>
    <n v="0.01"/>
    <n v="0.01"/>
    <n v="6.2100000000000002E-2"/>
    <n v="0.03"/>
    <n v="0.02"/>
    <n v="0.06"/>
    <n v="0.02"/>
    <n v="0.02"/>
    <n v="0.02"/>
    <n v="0.9"/>
    <n v="180000"/>
    <n v="176460"/>
    <n v="304980"/>
    <n v="210120"/>
    <n v="408000"/>
    <n v="140000"/>
  </r>
  <r>
    <x v="0"/>
    <x v="0"/>
    <x v="4"/>
    <s v="Internal Medicine IBR"/>
    <n v="2019"/>
    <x v="6"/>
    <n v="-90028.481028923678"/>
    <n v="0.02"/>
    <n v="0.01"/>
    <n v="0.01"/>
    <n v="6.2100000000000002E-2"/>
    <n v="0.03"/>
    <n v="0.02"/>
    <n v="0.06"/>
    <n v="0.02"/>
    <n v="0.02"/>
    <n v="0.02"/>
    <n v="0.9"/>
    <n v="180000"/>
    <n v="176460"/>
    <n v="304980"/>
    <n v="210120"/>
    <n v="408000"/>
    <n v="140000"/>
  </r>
  <r>
    <x v="0"/>
    <x v="0"/>
    <x v="4"/>
    <s v="Internal Medicine IBR"/>
    <n v="2020"/>
    <x v="7"/>
    <n v="-16298.897411278042"/>
    <n v="0.02"/>
    <n v="0.01"/>
    <n v="0.01"/>
    <n v="6.2100000000000002E-2"/>
    <n v="0.03"/>
    <n v="0.02"/>
    <n v="0.06"/>
    <n v="0.02"/>
    <n v="0.02"/>
    <n v="0.02"/>
    <n v="0.9"/>
    <n v="180000"/>
    <n v="176460"/>
    <n v="304980"/>
    <n v="210120"/>
    <n v="408000"/>
    <n v="140000"/>
  </r>
  <r>
    <x v="0"/>
    <x v="0"/>
    <x v="4"/>
    <s v="Internal Medicine IBR"/>
    <n v="2021"/>
    <x v="8"/>
    <n v="55958.277229075626"/>
    <n v="0.02"/>
    <n v="0.01"/>
    <n v="0.01"/>
    <n v="6.2100000000000002E-2"/>
    <n v="0.03"/>
    <n v="0.02"/>
    <n v="0.06"/>
    <n v="0.02"/>
    <n v="0.02"/>
    <n v="0.02"/>
    <n v="0.9"/>
    <n v="180000"/>
    <n v="176460"/>
    <n v="304980"/>
    <n v="210120"/>
    <n v="408000"/>
    <n v="140000"/>
  </r>
  <r>
    <x v="0"/>
    <x v="0"/>
    <x v="4"/>
    <s v="Internal Medicine IBR"/>
    <n v="2022"/>
    <x v="9"/>
    <n v="126772.69222534382"/>
    <n v="0.02"/>
    <n v="0.01"/>
    <n v="0.01"/>
    <n v="6.2100000000000002E-2"/>
    <n v="0.03"/>
    <n v="0.02"/>
    <n v="0.06"/>
    <n v="0.02"/>
    <n v="0.02"/>
    <n v="0.02"/>
    <n v="0.9"/>
    <n v="180000"/>
    <n v="176460"/>
    <n v="304980"/>
    <n v="210120"/>
    <n v="408000"/>
    <n v="140000"/>
  </r>
  <r>
    <x v="0"/>
    <x v="0"/>
    <x v="4"/>
    <s v="Internal Medicine IBR"/>
    <n v="2023"/>
    <x v="10"/>
    <n v="196173.39287449303"/>
    <n v="0.02"/>
    <n v="0.01"/>
    <n v="0.01"/>
    <n v="6.2100000000000002E-2"/>
    <n v="0.03"/>
    <n v="0.02"/>
    <n v="0.06"/>
    <n v="0.02"/>
    <n v="0.02"/>
    <n v="0.02"/>
    <n v="0.9"/>
    <n v="180000"/>
    <n v="176460"/>
    <n v="304980"/>
    <n v="210120"/>
    <n v="408000"/>
    <n v="140000"/>
  </r>
  <r>
    <x v="0"/>
    <x v="0"/>
    <x v="4"/>
    <s v="Internal Medicine IBR"/>
    <n v="2024"/>
    <x v="11"/>
    <n v="264188.8329415858"/>
    <n v="0.02"/>
    <n v="0.01"/>
    <n v="0.01"/>
    <n v="6.2100000000000002E-2"/>
    <n v="0.03"/>
    <n v="0.02"/>
    <n v="0.06"/>
    <n v="0.02"/>
    <n v="0.02"/>
    <n v="0.02"/>
    <n v="0.9"/>
    <n v="180000"/>
    <n v="176460"/>
    <n v="304980"/>
    <n v="210120"/>
    <n v="408000"/>
    <n v="140000"/>
  </r>
  <r>
    <x v="0"/>
    <x v="0"/>
    <x v="4"/>
    <s v="Internal Medicine IBR"/>
    <n v="2025"/>
    <x v="12"/>
    <n v="330846.88689969643"/>
    <n v="0.02"/>
    <n v="0.01"/>
    <n v="0.01"/>
    <n v="6.2100000000000002E-2"/>
    <n v="0.03"/>
    <n v="0.02"/>
    <n v="0.06"/>
    <n v="0.02"/>
    <n v="0.02"/>
    <n v="0.02"/>
    <n v="0.9"/>
    <n v="180000"/>
    <n v="176460"/>
    <n v="304980"/>
    <n v="210120"/>
    <n v="408000"/>
    <n v="140000"/>
  </r>
  <r>
    <x v="0"/>
    <x v="0"/>
    <x v="4"/>
    <s v="Internal Medicine IBR"/>
    <n v="2026"/>
    <x v="13"/>
    <n v="396174.8619111508"/>
    <n v="0.02"/>
    <n v="0.01"/>
    <n v="0.01"/>
    <n v="6.2100000000000002E-2"/>
    <n v="0.03"/>
    <n v="0.02"/>
    <n v="0.06"/>
    <n v="0.02"/>
    <n v="0.02"/>
    <n v="0.02"/>
    <n v="0.9"/>
    <n v="180000"/>
    <n v="176460"/>
    <n v="304980"/>
    <n v="210120"/>
    <n v="408000"/>
    <n v="140000"/>
  </r>
  <r>
    <x v="0"/>
    <x v="0"/>
    <x v="4"/>
    <s v="Internal Medicine IBR"/>
    <n v="2027"/>
    <x v="14"/>
    <n v="460354.29551327147"/>
    <n v="0.02"/>
    <n v="0.01"/>
    <n v="0.01"/>
    <n v="6.2100000000000002E-2"/>
    <n v="0.03"/>
    <n v="0.02"/>
    <n v="0.06"/>
    <n v="0.02"/>
    <n v="0.02"/>
    <n v="0.02"/>
    <n v="0.9"/>
    <n v="180000"/>
    <n v="176460"/>
    <n v="304980"/>
    <n v="210120"/>
    <n v="408000"/>
    <n v="140000"/>
  </r>
  <r>
    <x v="0"/>
    <x v="0"/>
    <x v="4"/>
    <s v="Internal Medicine IBR"/>
    <n v="2028"/>
    <x v="15"/>
    <n v="523751.62472799118"/>
    <n v="0.02"/>
    <n v="0.01"/>
    <n v="0.01"/>
    <n v="6.2100000000000002E-2"/>
    <n v="0.03"/>
    <n v="0.02"/>
    <n v="0.06"/>
    <n v="0.02"/>
    <n v="0.02"/>
    <n v="0.02"/>
    <n v="0.9"/>
    <n v="180000"/>
    <n v="176460"/>
    <n v="304980"/>
    <n v="210120"/>
    <n v="408000"/>
    <n v="140000"/>
  </r>
  <r>
    <x v="0"/>
    <x v="0"/>
    <x v="4"/>
    <s v="Internal Medicine IBR"/>
    <n v="2029"/>
    <x v="16"/>
    <n v="586359.14009541715"/>
    <n v="0.02"/>
    <n v="0.01"/>
    <n v="0.01"/>
    <n v="6.2100000000000002E-2"/>
    <n v="0.03"/>
    <n v="0.02"/>
    <n v="0.06"/>
    <n v="0.02"/>
    <n v="0.02"/>
    <n v="0.02"/>
    <n v="0.9"/>
    <n v="180000"/>
    <n v="176460"/>
    <n v="304980"/>
    <n v="210120"/>
    <n v="408000"/>
    <n v="140000"/>
  </r>
  <r>
    <x v="0"/>
    <x v="0"/>
    <x v="4"/>
    <s v="Internal Medicine IBR"/>
    <n v="2030"/>
    <x v="17"/>
    <n v="648170.39625999331"/>
    <n v="0.02"/>
    <n v="0.01"/>
    <n v="0.01"/>
    <n v="6.2100000000000002E-2"/>
    <n v="0.03"/>
    <n v="0.02"/>
    <n v="0.06"/>
    <n v="0.02"/>
    <n v="0.02"/>
    <n v="0.02"/>
    <n v="0.9"/>
    <n v="180000"/>
    <n v="176460"/>
    <n v="304980"/>
    <n v="210120"/>
    <n v="408000"/>
    <n v="140000"/>
  </r>
  <r>
    <x v="0"/>
    <x v="0"/>
    <x v="4"/>
    <s v="Internal Medicine IBR"/>
    <n v="2031"/>
    <x v="18"/>
    <n v="720052.05216609407"/>
    <n v="0.02"/>
    <n v="0.01"/>
    <n v="0.01"/>
    <n v="6.2100000000000002E-2"/>
    <n v="0.03"/>
    <n v="0.02"/>
    <n v="0.06"/>
    <n v="0.02"/>
    <n v="0.02"/>
    <n v="0.02"/>
    <n v="0.9"/>
    <n v="180000"/>
    <n v="176460"/>
    <n v="304980"/>
    <n v="210120"/>
    <n v="408000"/>
    <n v="140000"/>
  </r>
  <r>
    <x v="0"/>
    <x v="0"/>
    <x v="4"/>
    <s v="Internal Medicine IBR"/>
    <n v="2032"/>
    <x v="19"/>
    <n v="793438.07828409714"/>
    <n v="0.02"/>
    <n v="0.01"/>
    <n v="0.01"/>
    <n v="6.2100000000000002E-2"/>
    <n v="0.03"/>
    <n v="0.02"/>
    <n v="0.06"/>
    <n v="0.02"/>
    <n v="0.02"/>
    <n v="0.02"/>
    <n v="0.9"/>
    <n v="180000"/>
    <n v="176460"/>
    <n v="304980"/>
    <n v="210120"/>
    <n v="408000"/>
    <n v="140000"/>
  </r>
  <r>
    <x v="0"/>
    <x v="0"/>
    <x v="4"/>
    <s v="Internal Medicine IBR"/>
    <n v="2033"/>
    <x v="20"/>
    <n v="865332.64541508525"/>
    <n v="0.02"/>
    <n v="0.01"/>
    <n v="0.01"/>
    <n v="6.2100000000000002E-2"/>
    <n v="0.03"/>
    <n v="0.02"/>
    <n v="0.06"/>
    <n v="0.02"/>
    <n v="0.02"/>
    <n v="0.02"/>
    <n v="0.9"/>
    <n v="180000"/>
    <n v="176460"/>
    <n v="304980"/>
    <n v="210120"/>
    <n v="408000"/>
    <n v="140000"/>
  </r>
  <r>
    <x v="0"/>
    <x v="0"/>
    <x v="4"/>
    <s v="Internal Medicine IBR"/>
    <n v="2034"/>
    <x v="21"/>
    <n v="935765.09333937382"/>
    <n v="0.02"/>
    <n v="0.01"/>
    <n v="0.01"/>
    <n v="6.2100000000000002E-2"/>
    <n v="0.03"/>
    <n v="0.02"/>
    <n v="0.06"/>
    <n v="0.02"/>
    <n v="0.02"/>
    <n v="0.02"/>
    <n v="0.9"/>
    <n v="180000"/>
    <n v="176460"/>
    <n v="304980"/>
    <n v="210120"/>
    <n v="408000"/>
    <n v="140000"/>
  </r>
  <r>
    <x v="0"/>
    <x v="0"/>
    <x v="4"/>
    <s v="Internal Medicine IBR"/>
    <n v="2035"/>
    <x v="22"/>
    <n v="1004765.6179099083"/>
    <n v="0.02"/>
    <n v="0.01"/>
    <n v="0.01"/>
    <n v="6.2100000000000002E-2"/>
    <n v="0.03"/>
    <n v="0.02"/>
    <n v="0.06"/>
    <n v="0.02"/>
    <n v="0.02"/>
    <n v="0.02"/>
    <n v="0.9"/>
    <n v="180000"/>
    <n v="176460"/>
    <n v="304980"/>
    <n v="210120"/>
    <n v="408000"/>
    <n v="140000"/>
  </r>
  <r>
    <x v="0"/>
    <x v="0"/>
    <x v="4"/>
    <s v="Internal Medicine IBR"/>
    <n v="2036"/>
    <x v="23"/>
    <n v="1072363.7784327592"/>
    <n v="0.02"/>
    <n v="0.01"/>
    <n v="0.01"/>
    <n v="6.2100000000000002E-2"/>
    <n v="0.03"/>
    <n v="0.02"/>
    <n v="0.06"/>
    <n v="0.02"/>
    <n v="0.02"/>
    <n v="0.02"/>
    <n v="0.9"/>
    <n v="180000"/>
    <n v="176460"/>
    <n v="304980"/>
    <n v="210120"/>
    <n v="408000"/>
    <n v="140000"/>
  </r>
  <r>
    <x v="0"/>
    <x v="0"/>
    <x v="4"/>
    <s v="Internal Medicine IBR"/>
    <n v="2037"/>
    <x v="24"/>
    <n v="1138588.5114437146"/>
    <n v="0.02"/>
    <n v="0.01"/>
    <n v="0.01"/>
    <n v="6.2100000000000002E-2"/>
    <n v="0.03"/>
    <n v="0.02"/>
    <n v="0.06"/>
    <n v="0.02"/>
    <n v="0.02"/>
    <n v="0.02"/>
    <n v="0.9"/>
    <n v="180000"/>
    <n v="176460"/>
    <n v="304980"/>
    <n v="210120"/>
    <n v="408000"/>
    <n v="140000"/>
  </r>
  <r>
    <x v="0"/>
    <x v="0"/>
    <x v="4"/>
    <s v="Internal Medicine IBR"/>
    <n v="2038"/>
    <x v="25"/>
    <n v="1203468.1441770173"/>
    <n v="0.02"/>
    <n v="0.01"/>
    <n v="0.01"/>
    <n v="6.2100000000000002E-2"/>
    <n v="0.03"/>
    <n v="0.02"/>
    <n v="0.06"/>
    <n v="0.02"/>
    <n v="0.02"/>
    <n v="0.02"/>
    <n v="0.9"/>
    <n v="180000"/>
    <n v="176460"/>
    <n v="304980"/>
    <n v="210120"/>
    <n v="408000"/>
    <n v="140000"/>
  </r>
  <r>
    <x v="0"/>
    <x v="0"/>
    <x v="4"/>
    <s v="Internal Medicine IBR"/>
    <n v="2039"/>
    <x v="26"/>
    <n v="1267030.4077333801"/>
    <n v="0.02"/>
    <n v="0.01"/>
    <n v="0.01"/>
    <n v="6.2100000000000002E-2"/>
    <n v="0.03"/>
    <n v="0.02"/>
    <n v="0.06"/>
    <n v="0.02"/>
    <n v="0.02"/>
    <n v="0.02"/>
    <n v="0.9"/>
    <n v="180000"/>
    <n v="176460"/>
    <n v="304980"/>
    <n v="210120"/>
    <n v="408000"/>
    <n v="140000"/>
  </r>
  <r>
    <x v="0"/>
    <x v="0"/>
    <x v="4"/>
    <s v="Internal Medicine IBR"/>
    <n v="2040"/>
    <x v="27"/>
    <n v="1329302.4499542457"/>
    <n v="0.02"/>
    <n v="0.01"/>
    <n v="0.01"/>
    <n v="6.2100000000000002E-2"/>
    <n v="0.03"/>
    <n v="0.02"/>
    <n v="0.06"/>
    <n v="0.02"/>
    <n v="0.02"/>
    <n v="0.02"/>
    <n v="0.9"/>
    <n v="180000"/>
    <n v="176460"/>
    <n v="304980"/>
    <n v="210120"/>
    <n v="408000"/>
    <n v="140000"/>
  </r>
  <r>
    <x v="0"/>
    <x v="0"/>
    <x v="4"/>
    <s v="Internal Medicine IBR"/>
    <n v="2041"/>
    <x v="28"/>
    <n v="1390310.8480090825"/>
    <n v="0.02"/>
    <n v="0.01"/>
    <n v="0.01"/>
    <n v="6.2100000000000002E-2"/>
    <n v="0.03"/>
    <n v="0.02"/>
    <n v="0.06"/>
    <n v="0.02"/>
    <n v="0.02"/>
    <n v="0.02"/>
    <n v="0.9"/>
    <n v="180000"/>
    <n v="176460"/>
    <n v="304980"/>
    <n v="210120"/>
    <n v="408000"/>
    <n v="140000"/>
  </r>
  <r>
    <x v="0"/>
    <x v="0"/>
    <x v="4"/>
    <s v="Internal Medicine IBR"/>
    <n v="2042"/>
    <x v="29"/>
    <n v="1450081.6207023528"/>
    <n v="0.02"/>
    <n v="0.01"/>
    <n v="0.01"/>
    <n v="6.2100000000000002E-2"/>
    <n v="0.03"/>
    <n v="0.02"/>
    <n v="0.06"/>
    <n v="0.02"/>
    <n v="0.02"/>
    <n v="0.02"/>
    <n v="0.9"/>
    <n v="180000"/>
    <n v="176460"/>
    <n v="304980"/>
    <n v="210120"/>
    <n v="408000"/>
    <n v="140000"/>
  </r>
  <r>
    <x v="0"/>
    <x v="0"/>
    <x v="5"/>
    <s v="Internal Medicine PAYE"/>
    <n v="2013"/>
    <x v="0"/>
    <n v="-43015.05"/>
    <n v="0.02"/>
    <n v="0.01"/>
    <n v="0.01"/>
    <n v="6.2100000000000002E-2"/>
    <n v="0.03"/>
    <n v="0.02"/>
    <n v="0.06"/>
    <n v="0.02"/>
    <n v="0.02"/>
    <n v="0.02"/>
    <n v="0.9"/>
    <n v="180000"/>
    <n v="176460"/>
    <n v="304980"/>
    <n v="210120"/>
    <n v="408000"/>
    <n v="140000"/>
  </r>
  <r>
    <x v="0"/>
    <x v="0"/>
    <x v="5"/>
    <s v="Internal Medicine PAYE"/>
    <n v="2014"/>
    <x v="1"/>
    <n v="-86352.285865219877"/>
    <n v="0.02"/>
    <n v="0.01"/>
    <n v="0.01"/>
    <n v="6.2100000000000002E-2"/>
    <n v="0.03"/>
    <n v="0.02"/>
    <n v="0.06"/>
    <n v="0.02"/>
    <n v="0.02"/>
    <n v="0.02"/>
    <n v="0.9"/>
    <n v="180000"/>
    <n v="176460"/>
    <n v="304980"/>
    <n v="210120"/>
    <n v="408000"/>
    <n v="140000"/>
  </r>
  <r>
    <x v="0"/>
    <x v="0"/>
    <x v="5"/>
    <s v="Internal Medicine PAYE"/>
    <n v="2015"/>
    <x v="2"/>
    <n v="-138541.19578403595"/>
    <n v="0.02"/>
    <n v="0.01"/>
    <n v="0.01"/>
    <n v="6.2100000000000002E-2"/>
    <n v="0.03"/>
    <n v="0.02"/>
    <n v="0.06"/>
    <n v="0.02"/>
    <n v="0.02"/>
    <n v="0.02"/>
    <n v="0.9"/>
    <n v="180000"/>
    <n v="176460"/>
    <n v="304980"/>
    <n v="210120"/>
    <n v="408000"/>
    <n v="140000"/>
  </r>
  <r>
    <x v="0"/>
    <x v="0"/>
    <x v="5"/>
    <s v="Internal Medicine PAYE"/>
    <n v="2016"/>
    <x v="3"/>
    <n v="-190867.38028908212"/>
    <n v="0.02"/>
    <n v="0.01"/>
    <n v="0.01"/>
    <n v="6.2100000000000002E-2"/>
    <n v="0.03"/>
    <n v="0.02"/>
    <n v="0.06"/>
    <n v="0.02"/>
    <n v="0.02"/>
    <n v="0.02"/>
    <n v="0.9"/>
    <n v="180000"/>
    <n v="176460"/>
    <n v="304980"/>
    <n v="210120"/>
    <n v="408000"/>
    <n v="140000"/>
  </r>
  <r>
    <x v="0"/>
    <x v="0"/>
    <x v="5"/>
    <s v="Internal Medicine PAYE"/>
    <n v="2017"/>
    <x v="4"/>
    <n v="-157278.5148229824"/>
    <n v="0.02"/>
    <n v="0.01"/>
    <n v="0.01"/>
    <n v="6.2100000000000002E-2"/>
    <n v="0.03"/>
    <n v="0.02"/>
    <n v="0.06"/>
    <n v="0.02"/>
    <n v="0.02"/>
    <n v="0.02"/>
    <n v="0.9"/>
    <n v="180000"/>
    <n v="176460"/>
    <n v="304980"/>
    <n v="210120"/>
    <n v="408000"/>
    <n v="140000"/>
  </r>
  <r>
    <x v="0"/>
    <x v="0"/>
    <x v="5"/>
    <s v="Internal Medicine PAYE"/>
    <n v="2018"/>
    <x v="5"/>
    <n v="-123668.32270644748"/>
    <n v="0.02"/>
    <n v="0.01"/>
    <n v="0.01"/>
    <n v="6.2100000000000002E-2"/>
    <n v="0.03"/>
    <n v="0.02"/>
    <n v="0.06"/>
    <n v="0.02"/>
    <n v="0.02"/>
    <n v="0.02"/>
    <n v="0.9"/>
    <n v="180000"/>
    <n v="176460"/>
    <n v="304980"/>
    <n v="210120"/>
    <n v="408000"/>
    <n v="140000"/>
  </r>
  <r>
    <x v="0"/>
    <x v="0"/>
    <x v="5"/>
    <s v="Internal Medicine PAYE"/>
    <n v="2019"/>
    <x v="6"/>
    <n v="-90028.481028923678"/>
    <n v="0.02"/>
    <n v="0.01"/>
    <n v="0.01"/>
    <n v="6.2100000000000002E-2"/>
    <n v="0.03"/>
    <n v="0.02"/>
    <n v="0.06"/>
    <n v="0.02"/>
    <n v="0.02"/>
    <n v="0.02"/>
    <n v="0.9"/>
    <n v="180000"/>
    <n v="176460"/>
    <n v="304980"/>
    <n v="210120"/>
    <n v="408000"/>
    <n v="140000"/>
  </r>
  <r>
    <x v="0"/>
    <x v="0"/>
    <x v="5"/>
    <s v="Internal Medicine PAYE"/>
    <n v="2020"/>
    <x v="7"/>
    <n v="-9825.6726165957662"/>
    <n v="0.02"/>
    <n v="0.01"/>
    <n v="0.01"/>
    <n v="6.2100000000000002E-2"/>
    <n v="0.03"/>
    <n v="0.02"/>
    <n v="0.06"/>
    <n v="0.02"/>
    <n v="0.02"/>
    <n v="0.02"/>
    <n v="0.9"/>
    <n v="180000"/>
    <n v="176460"/>
    <n v="304980"/>
    <n v="210120"/>
    <n v="408000"/>
    <n v="140000"/>
  </r>
  <r>
    <x v="0"/>
    <x v="0"/>
    <x v="5"/>
    <s v="Internal Medicine PAYE"/>
    <n v="2021"/>
    <x v="8"/>
    <n v="68784.470189207874"/>
    <n v="0.02"/>
    <n v="0.01"/>
    <n v="0.01"/>
    <n v="6.2100000000000002E-2"/>
    <n v="0.03"/>
    <n v="0.02"/>
    <n v="0.06"/>
    <n v="0.02"/>
    <n v="0.02"/>
    <n v="0.02"/>
    <n v="0.9"/>
    <n v="180000"/>
    <n v="176460"/>
    <n v="304980"/>
    <n v="210120"/>
    <n v="408000"/>
    <n v="140000"/>
  </r>
  <r>
    <x v="0"/>
    <x v="0"/>
    <x v="5"/>
    <s v="Internal Medicine PAYE"/>
    <n v="2022"/>
    <x v="9"/>
    <n v="145833.76044198681"/>
    <n v="0.02"/>
    <n v="0.01"/>
    <n v="0.01"/>
    <n v="6.2100000000000002E-2"/>
    <n v="0.03"/>
    <n v="0.02"/>
    <n v="0.06"/>
    <n v="0.02"/>
    <n v="0.02"/>
    <n v="0.02"/>
    <n v="0.9"/>
    <n v="180000"/>
    <n v="176460"/>
    <n v="304980"/>
    <n v="210120"/>
    <n v="408000"/>
    <n v="140000"/>
  </r>
  <r>
    <x v="0"/>
    <x v="0"/>
    <x v="5"/>
    <s v="Internal Medicine PAYE"/>
    <n v="2023"/>
    <x v="10"/>
    <n v="221353.37039096188"/>
    <n v="0.02"/>
    <n v="0.01"/>
    <n v="0.01"/>
    <n v="6.2100000000000002E-2"/>
    <n v="0.03"/>
    <n v="0.02"/>
    <n v="0.06"/>
    <n v="0.02"/>
    <n v="0.02"/>
    <n v="0.02"/>
    <n v="0.9"/>
    <n v="180000"/>
    <n v="176460"/>
    <n v="304980"/>
    <n v="210120"/>
    <n v="408000"/>
    <n v="140000"/>
  </r>
  <r>
    <x v="0"/>
    <x v="0"/>
    <x v="5"/>
    <s v="Internal Medicine PAYE"/>
    <n v="2024"/>
    <x v="11"/>
    <n v="295373.84454156144"/>
    <n v="0.02"/>
    <n v="0.01"/>
    <n v="0.01"/>
    <n v="6.2100000000000002E-2"/>
    <n v="0.03"/>
    <n v="0.02"/>
    <n v="0.06"/>
    <n v="0.02"/>
    <n v="0.02"/>
    <n v="0.02"/>
    <n v="0.9"/>
    <n v="180000"/>
    <n v="176460"/>
    <n v="304980"/>
    <n v="210120"/>
    <n v="408000"/>
    <n v="140000"/>
  </r>
  <r>
    <x v="0"/>
    <x v="0"/>
    <x v="5"/>
    <s v="Internal Medicine PAYE"/>
    <n v="2025"/>
    <x v="12"/>
    <n v="367925.11244538217"/>
    <n v="0.02"/>
    <n v="0.01"/>
    <n v="0.01"/>
    <n v="6.2100000000000002E-2"/>
    <n v="0.03"/>
    <n v="0.02"/>
    <n v="0.06"/>
    <n v="0.02"/>
    <n v="0.02"/>
    <n v="0.02"/>
    <n v="0.9"/>
    <n v="180000"/>
    <n v="176460"/>
    <n v="304980"/>
    <n v="210120"/>
    <n v="408000"/>
    <n v="140000"/>
  </r>
  <r>
    <x v="0"/>
    <x v="0"/>
    <x v="5"/>
    <s v="Internal Medicine PAYE"/>
    <n v="2026"/>
    <x v="13"/>
    <n v="439036.50122534885"/>
    <n v="0.02"/>
    <n v="0.01"/>
    <n v="0.01"/>
    <n v="6.2100000000000002E-2"/>
    <n v="0.03"/>
    <n v="0.02"/>
    <n v="0.06"/>
    <n v="0.02"/>
    <n v="0.02"/>
    <n v="0.02"/>
    <n v="0.9"/>
    <n v="180000"/>
    <n v="176460"/>
    <n v="304980"/>
    <n v="210120"/>
    <n v="408000"/>
    <n v="140000"/>
  </r>
  <r>
    <x v="0"/>
    <x v="0"/>
    <x v="5"/>
    <s v="Internal Medicine PAYE"/>
    <n v="2027"/>
    <x v="14"/>
    <n v="508736.74784167367"/>
    <n v="0.02"/>
    <n v="0.01"/>
    <n v="0.01"/>
    <n v="6.2100000000000002E-2"/>
    <n v="0.03"/>
    <n v="0.02"/>
    <n v="0.06"/>
    <n v="0.02"/>
    <n v="0.02"/>
    <n v="0.02"/>
    <n v="0.9"/>
    <n v="180000"/>
    <n v="176460"/>
    <n v="304980"/>
    <n v="210120"/>
    <n v="408000"/>
    <n v="140000"/>
  </r>
  <r>
    <x v="0"/>
    <x v="0"/>
    <x v="5"/>
    <s v="Internal Medicine PAYE"/>
    <n v="2028"/>
    <x v="15"/>
    <n v="577054.01110409445"/>
    <n v="0.02"/>
    <n v="0.01"/>
    <n v="0.01"/>
    <n v="6.2100000000000002E-2"/>
    <n v="0.03"/>
    <n v="0.02"/>
    <n v="0.06"/>
    <n v="0.02"/>
    <n v="0.02"/>
    <n v="0.02"/>
    <n v="0.9"/>
    <n v="180000"/>
    <n v="176460"/>
    <n v="304980"/>
    <n v="210120"/>
    <n v="408000"/>
    <n v="140000"/>
  </r>
  <r>
    <x v="0"/>
    <x v="0"/>
    <x v="5"/>
    <s v="Internal Medicine PAYE"/>
    <n v="2029"/>
    <x v="16"/>
    <n v="644015.88343575038"/>
    <n v="0.02"/>
    <n v="0.01"/>
    <n v="0.01"/>
    <n v="6.2100000000000002E-2"/>
    <n v="0.03"/>
    <n v="0.02"/>
    <n v="0.06"/>
    <n v="0.02"/>
    <n v="0.02"/>
    <n v="0.02"/>
    <n v="0.9"/>
    <n v="180000"/>
    <n v="176460"/>
    <n v="304980"/>
    <n v="210120"/>
    <n v="408000"/>
    <n v="140000"/>
  </r>
  <r>
    <x v="0"/>
    <x v="0"/>
    <x v="5"/>
    <s v="Internal Medicine PAYE"/>
    <n v="2030"/>
    <x v="17"/>
    <n v="709649.4023939399"/>
    <n v="0.02"/>
    <n v="0.01"/>
    <n v="0.01"/>
    <n v="6.2100000000000002E-2"/>
    <n v="0.03"/>
    <n v="0.02"/>
    <n v="0.06"/>
    <n v="0.02"/>
    <n v="0.02"/>
    <n v="0.02"/>
    <n v="0.9"/>
    <n v="180000"/>
    <n v="176460"/>
    <n v="304980"/>
    <n v="210120"/>
    <n v="408000"/>
    <n v="140000"/>
  </r>
  <r>
    <x v="0"/>
    <x v="0"/>
    <x v="5"/>
    <s v="Internal Medicine PAYE"/>
    <n v="2031"/>
    <x v="18"/>
    <n v="773981.06195288966"/>
    <n v="0.02"/>
    <n v="0.01"/>
    <n v="0.01"/>
    <n v="6.2100000000000002E-2"/>
    <n v="0.03"/>
    <n v="0.02"/>
    <n v="0.06"/>
    <n v="0.02"/>
    <n v="0.02"/>
    <n v="0.02"/>
    <n v="0.9"/>
    <n v="180000"/>
    <n v="176460"/>
    <n v="304980"/>
    <n v="210120"/>
    <n v="408000"/>
    <n v="140000"/>
  </r>
  <r>
    <x v="0"/>
    <x v="0"/>
    <x v="5"/>
    <s v="Internal Medicine PAYE"/>
    <n v="2032"/>
    <x v="19"/>
    <n v="837036.82355355355"/>
    <n v="0.02"/>
    <n v="0.01"/>
    <n v="0.01"/>
    <n v="6.2100000000000002E-2"/>
    <n v="0.03"/>
    <n v="0.02"/>
    <n v="0.06"/>
    <n v="0.02"/>
    <n v="0.02"/>
    <n v="0.02"/>
    <n v="0.9"/>
    <n v="180000"/>
    <n v="176460"/>
    <n v="304980"/>
    <n v="210120"/>
    <n v="408000"/>
    <n v="140000"/>
  </r>
  <r>
    <x v="0"/>
    <x v="0"/>
    <x v="5"/>
    <s v="Internal Medicine PAYE"/>
    <n v="2033"/>
    <x v="20"/>
    <n v="898794.32488163724"/>
    <n v="0.02"/>
    <n v="0.01"/>
    <n v="0.01"/>
    <n v="6.2100000000000002E-2"/>
    <n v="0.03"/>
    <n v="0.02"/>
    <n v="0.06"/>
    <n v="0.02"/>
    <n v="0.02"/>
    <n v="0.02"/>
    <n v="0.9"/>
    <n v="180000"/>
    <n v="176460"/>
    <n v="304980"/>
    <n v="210120"/>
    <n v="408000"/>
    <n v="140000"/>
  </r>
  <r>
    <x v="0"/>
    <x v="0"/>
    <x v="5"/>
    <s v="Internal Medicine PAYE"/>
    <n v="2034"/>
    <x v="21"/>
    <n v="959279.38999742118"/>
    <n v="0.02"/>
    <n v="0.01"/>
    <n v="0.01"/>
    <n v="6.2100000000000002E-2"/>
    <n v="0.03"/>
    <n v="0.02"/>
    <n v="0.06"/>
    <n v="0.02"/>
    <n v="0.02"/>
    <n v="0.02"/>
    <n v="0.9"/>
    <n v="180000"/>
    <n v="176460"/>
    <n v="304980"/>
    <n v="210120"/>
    <n v="408000"/>
    <n v="140000"/>
  </r>
  <r>
    <x v="0"/>
    <x v="0"/>
    <x v="5"/>
    <s v="Internal Medicine PAYE"/>
    <n v="2035"/>
    <x v="22"/>
    <n v="1018518.7600328994"/>
    <n v="0.02"/>
    <n v="0.01"/>
    <n v="0.01"/>
    <n v="6.2100000000000002E-2"/>
    <n v="0.03"/>
    <n v="0.02"/>
    <n v="0.06"/>
    <n v="0.02"/>
    <n v="0.02"/>
    <n v="0.02"/>
    <n v="0.9"/>
    <n v="180000"/>
    <n v="176460"/>
    <n v="304980"/>
    <n v="210120"/>
    <n v="408000"/>
    <n v="140000"/>
  </r>
  <r>
    <x v="0"/>
    <x v="0"/>
    <x v="5"/>
    <s v="Internal Medicine PAYE"/>
    <n v="2036"/>
    <x v="23"/>
    <n v="1076538.5996073773"/>
    <n v="0.02"/>
    <n v="0.01"/>
    <n v="0.01"/>
    <n v="6.2100000000000002E-2"/>
    <n v="0.03"/>
    <n v="0.02"/>
    <n v="0.06"/>
    <n v="0.02"/>
    <n v="0.02"/>
    <n v="0.02"/>
    <n v="0.9"/>
    <n v="180000"/>
    <n v="176460"/>
    <n v="304980"/>
    <n v="210120"/>
    <n v="408000"/>
    <n v="140000"/>
  </r>
  <r>
    <x v="0"/>
    <x v="0"/>
    <x v="5"/>
    <s v="Internal Medicine PAYE"/>
    <n v="2037"/>
    <x v="24"/>
    <n v="1133364.5096513533"/>
    <n v="0.02"/>
    <n v="0.01"/>
    <n v="0.01"/>
    <n v="6.2100000000000002E-2"/>
    <n v="0.03"/>
    <n v="0.02"/>
    <n v="0.06"/>
    <n v="0.02"/>
    <n v="0.02"/>
    <n v="0.02"/>
    <n v="0.9"/>
    <n v="180000"/>
    <n v="176460"/>
    <n v="304980"/>
    <n v="210120"/>
    <n v="408000"/>
    <n v="140000"/>
  </r>
  <r>
    <x v="0"/>
    <x v="0"/>
    <x v="5"/>
    <s v="Internal Medicine PAYE"/>
    <n v="2038"/>
    <x v="25"/>
    <n v="1196690.1967217699"/>
    <n v="0.02"/>
    <n v="0.01"/>
    <n v="0.01"/>
    <n v="6.2100000000000002E-2"/>
    <n v="0.03"/>
    <n v="0.02"/>
    <n v="0.06"/>
    <n v="0.02"/>
    <n v="0.02"/>
    <n v="0.02"/>
    <n v="0.9"/>
    <n v="180000"/>
    <n v="176460"/>
    <n v="304980"/>
    <n v="210120"/>
    <n v="408000"/>
    <n v="140000"/>
  </r>
  <r>
    <x v="0"/>
    <x v="0"/>
    <x v="5"/>
    <s v="Internal Medicine PAYE"/>
    <n v="2039"/>
    <x v="26"/>
    <n v="1260252.4602781327"/>
    <n v="0.02"/>
    <n v="0.01"/>
    <n v="0.01"/>
    <n v="6.2100000000000002E-2"/>
    <n v="0.03"/>
    <n v="0.02"/>
    <n v="0.06"/>
    <n v="0.02"/>
    <n v="0.02"/>
    <n v="0.02"/>
    <n v="0.9"/>
    <n v="180000"/>
    <n v="176460"/>
    <n v="304980"/>
    <n v="210120"/>
    <n v="408000"/>
    <n v="140000"/>
  </r>
  <r>
    <x v="0"/>
    <x v="0"/>
    <x v="5"/>
    <s v="Internal Medicine PAYE"/>
    <n v="2040"/>
    <x v="27"/>
    <n v="1322524.5024989983"/>
    <n v="0.02"/>
    <n v="0.01"/>
    <n v="0.01"/>
    <n v="6.2100000000000002E-2"/>
    <n v="0.03"/>
    <n v="0.02"/>
    <n v="0.06"/>
    <n v="0.02"/>
    <n v="0.02"/>
    <n v="0.02"/>
    <n v="0.9"/>
    <n v="180000"/>
    <n v="176460"/>
    <n v="304980"/>
    <n v="210120"/>
    <n v="408000"/>
    <n v="140000"/>
  </r>
  <r>
    <x v="0"/>
    <x v="0"/>
    <x v="5"/>
    <s v="Internal Medicine PAYE"/>
    <n v="2041"/>
    <x v="28"/>
    <n v="1383532.9005538351"/>
    <n v="0.02"/>
    <n v="0.01"/>
    <n v="0.01"/>
    <n v="6.2100000000000002E-2"/>
    <n v="0.03"/>
    <n v="0.02"/>
    <n v="0.06"/>
    <n v="0.02"/>
    <n v="0.02"/>
    <n v="0.02"/>
    <n v="0.9"/>
    <n v="180000"/>
    <n v="176460"/>
    <n v="304980"/>
    <n v="210120"/>
    <n v="408000"/>
    <n v="140000"/>
  </r>
  <r>
    <x v="0"/>
    <x v="0"/>
    <x v="5"/>
    <s v="Internal Medicine PAYE"/>
    <n v="2042"/>
    <x v="29"/>
    <n v="1443303.6732471054"/>
    <n v="0.02"/>
    <n v="0.01"/>
    <n v="0.01"/>
    <n v="6.2100000000000002E-2"/>
    <n v="0.03"/>
    <n v="0.02"/>
    <n v="0.06"/>
    <n v="0.02"/>
    <n v="0.02"/>
    <n v="0.02"/>
    <n v="0.9"/>
    <n v="180000"/>
    <n v="176460"/>
    <n v="304980"/>
    <n v="210120"/>
    <n v="408000"/>
    <n v="140000"/>
  </r>
  <r>
    <x v="0"/>
    <x v="0"/>
    <x v="6"/>
    <s v="Internal Medicine STD10R"/>
    <n v="2013"/>
    <x v="0"/>
    <n v="-43015.05"/>
    <n v="0.02"/>
    <n v="0.01"/>
    <n v="0.01"/>
    <n v="6.2100000000000002E-2"/>
    <n v="0.03"/>
    <n v="0.02"/>
    <n v="0.06"/>
    <n v="0.02"/>
    <n v="0.02"/>
    <n v="0.02"/>
    <n v="0.9"/>
    <n v="180000"/>
    <n v="176460"/>
    <n v="304980"/>
    <n v="210120"/>
    <n v="408000"/>
    <n v="140000"/>
  </r>
  <r>
    <x v="0"/>
    <x v="0"/>
    <x v="6"/>
    <s v="Internal Medicine STD10R"/>
    <n v="2014"/>
    <x v="1"/>
    <n v="-86352.285865219877"/>
    <n v="0.02"/>
    <n v="0.01"/>
    <n v="0.01"/>
    <n v="6.2100000000000002E-2"/>
    <n v="0.03"/>
    <n v="0.02"/>
    <n v="0.06"/>
    <n v="0.02"/>
    <n v="0.02"/>
    <n v="0.02"/>
    <n v="0.9"/>
    <n v="180000"/>
    <n v="176460"/>
    <n v="304980"/>
    <n v="210120"/>
    <n v="408000"/>
    <n v="140000"/>
  </r>
  <r>
    <x v="0"/>
    <x v="0"/>
    <x v="6"/>
    <s v="Internal Medicine STD10R"/>
    <n v="2015"/>
    <x v="2"/>
    <n v="-138541.19578403595"/>
    <n v="0.02"/>
    <n v="0.01"/>
    <n v="0.01"/>
    <n v="6.2100000000000002E-2"/>
    <n v="0.03"/>
    <n v="0.02"/>
    <n v="0.06"/>
    <n v="0.02"/>
    <n v="0.02"/>
    <n v="0.02"/>
    <n v="0.9"/>
    <n v="180000"/>
    <n v="176460"/>
    <n v="304980"/>
    <n v="210120"/>
    <n v="408000"/>
    <n v="140000"/>
  </r>
  <r>
    <x v="0"/>
    <x v="0"/>
    <x v="6"/>
    <s v="Internal Medicine STD10R"/>
    <n v="2016"/>
    <x v="3"/>
    <n v="-190867.38028908212"/>
    <n v="0.02"/>
    <n v="0.01"/>
    <n v="0.01"/>
    <n v="6.2100000000000002E-2"/>
    <n v="0.03"/>
    <n v="0.02"/>
    <n v="0.06"/>
    <n v="0.02"/>
    <n v="0.02"/>
    <n v="0.02"/>
    <n v="0.9"/>
    <n v="180000"/>
    <n v="176460"/>
    <n v="304980"/>
    <n v="210120"/>
    <n v="408000"/>
    <n v="140000"/>
  </r>
  <r>
    <x v="0"/>
    <x v="0"/>
    <x v="6"/>
    <s v="Internal Medicine STD10R"/>
    <n v="2017"/>
    <x v="4"/>
    <n v="-169241.36987416679"/>
    <n v="0.02"/>
    <n v="0.01"/>
    <n v="0.01"/>
    <n v="6.2100000000000002E-2"/>
    <n v="0.03"/>
    <n v="0.02"/>
    <n v="0.06"/>
    <n v="0.02"/>
    <n v="0.02"/>
    <n v="0.02"/>
    <n v="0.9"/>
    <n v="180000"/>
    <n v="176460"/>
    <n v="304980"/>
    <n v="210120"/>
    <n v="408000"/>
    <n v="140000"/>
  </r>
  <r>
    <x v="0"/>
    <x v="0"/>
    <x v="6"/>
    <s v="Internal Medicine STD10R"/>
    <n v="2018"/>
    <x v="5"/>
    <n v="-158404.5549729077"/>
    <n v="0.02"/>
    <n v="0.01"/>
    <n v="0.01"/>
    <n v="6.2100000000000002E-2"/>
    <n v="0.03"/>
    <n v="0.02"/>
    <n v="0.06"/>
    <n v="0.02"/>
    <n v="0.02"/>
    <n v="0.02"/>
    <n v="0.9"/>
    <n v="180000"/>
    <n v="176460"/>
    <n v="304980"/>
    <n v="210120"/>
    <n v="408000"/>
    <n v="140000"/>
  </r>
  <r>
    <x v="0"/>
    <x v="0"/>
    <x v="6"/>
    <s v="Internal Medicine STD10R"/>
    <n v="2019"/>
    <x v="6"/>
    <n v="-146441.25737997922"/>
    <n v="0.02"/>
    <n v="0.01"/>
    <n v="0.01"/>
    <n v="6.2100000000000002E-2"/>
    <n v="0.03"/>
    <n v="0.02"/>
    <n v="0.06"/>
    <n v="0.02"/>
    <n v="0.02"/>
    <n v="0.02"/>
    <n v="0.9"/>
    <n v="180000"/>
    <n v="176460"/>
    <n v="304980"/>
    <n v="210120"/>
    <n v="408000"/>
    <n v="140000"/>
  </r>
  <r>
    <x v="0"/>
    <x v="0"/>
    <x v="6"/>
    <s v="Internal Medicine STD10R"/>
    <n v="2020"/>
    <x v="7"/>
    <n v="-73924.537056371017"/>
    <n v="0.02"/>
    <n v="0.01"/>
    <n v="0.01"/>
    <n v="6.2100000000000002E-2"/>
    <n v="0.03"/>
    <n v="0.02"/>
    <n v="0.06"/>
    <n v="0.02"/>
    <n v="0.02"/>
    <n v="0.02"/>
    <n v="0.9"/>
    <n v="180000"/>
    <n v="176460"/>
    <n v="304980"/>
    <n v="210120"/>
    <n v="408000"/>
    <n v="140000"/>
  </r>
  <r>
    <x v="0"/>
    <x v="0"/>
    <x v="6"/>
    <s v="Internal Medicine STD10R"/>
    <n v="2021"/>
    <x v="8"/>
    <n v="-2247.2716242974129"/>
    <n v="0.02"/>
    <n v="0.01"/>
    <n v="0.01"/>
    <n v="6.2100000000000002E-2"/>
    <n v="0.03"/>
    <n v="0.02"/>
    <n v="0.06"/>
    <n v="0.02"/>
    <n v="0.02"/>
    <n v="0.02"/>
    <n v="0.9"/>
    <n v="180000"/>
    <n v="176460"/>
    <n v="304980"/>
    <n v="210120"/>
    <n v="408000"/>
    <n v="140000"/>
  </r>
  <r>
    <x v="0"/>
    <x v="0"/>
    <x v="6"/>
    <s v="Internal Medicine STD10R"/>
    <n v="2022"/>
    <x v="9"/>
    <n v="68578.818727806065"/>
    <n v="0.02"/>
    <n v="0.01"/>
    <n v="0.01"/>
    <n v="6.2100000000000002E-2"/>
    <n v="0.03"/>
    <n v="0.02"/>
    <n v="0.06"/>
    <n v="0.02"/>
    <n v="0.02"/>
    <n v="0.02"/>
    <n v="0.9"/>
    <n v="180000"/>
    <n v="176460"/>
    <n v="304980"/>
    <n v="210120"/>
    <n v="408000"/>
    <n v="140000"/>
  </r>
  <r>
    <x v="0"/>
    <x v="0"/>
    <x v="6"/>
    <s v="Internal Medicine STD10R"/>
    <n v="2023"/>
    <x v="10"/>
    <n v="138543.60458302245"/>
    <n v="0.02"/>
    <n v="0.01"/>
    <n v="0.01"/>
    <n v="6.2100000000000002E-2"/>
    <n v="0.03"/>
    <n v="0.02"/>
    <n v="0.06"/>
    <n v="0.02"/>
    <n v="0.02"/>
    <n v="0.02"/>
    <n v="0.9"/>
    <n v="180000"/>
    <n v="176460"/>
    <n v="304980"/>
    <n v="210120"/>
    <n v="408000"/>
    <n v="140000"/>
  </r>
  <r>
    <x v="0"/>
    <x v="0"/>
    <x v="6"/>
    <s v="Internal Medicine STD10R"/>
    <n v="2024"/>
    <x v="11"/>
    <n v="207638.45044774169"/>
    <n v="0.02"/>
    <n v="0.01"/>
    <n v="0.01"/>
    <n v="6.2100000000000002E-2"/>
    <n v="0.03"/>
    <n v="0.02"/>
    <n v="0.06"/>
    <n v="0.02"/>
    <n v="0.02"/>
    <n v="0.02"/>
    <n v="0.9"/>
    <n v="180000"/>
    <n v="176460"/>
    <n v="304980"/>
    <n v="210120"/>
    <n v="408000"/>
    <n v="140000"/>
  </r>
  <r>
    <x v="0"/>
    <x v="0"/>
    <x v="6"/>
    <s v="Internal Medicine STD10R"/>
    <n v="2025"/>
    <x v="12"/>
    <n v="275856.12296781247"/>
    <n v="0.02"/>
    <n v="0.01"/>
    <n v="0.01"/>
    <n v="6.2100000000000002E-2"/>
    <n v="0.03"/>
    <n v="0.02"/>
    <n v="0.06"/>
    <n v="0.02"/>
    <n v="0.02"/>
    <n v="0.02"/>
    <n v="0.9"/>
    <n v="180000"/>
    <n v="176460"/>
    <n v="304980"/>
    <n v="210120"/>
    <n v="408000"/>
    <n v="140000"/>
  </r>
  <r>
    <x v="0"/>
    <x v="0"/>
    <x v="6"/>
    <s v="Internal Medicine STD10R"/>
    <n v="2026"/>
    <x v="13"/>
    <n v="343190.70395720971"/>
    <n v="0.02"/>
    <n v="0.01"/>
    <n v="0.01"/>
    <n v="6.2100000000000002E-2"/>
    <n v="0.03"/>
    <n v="0.02"/>
    <n v="0.06"/>
    <n v="0.02"/>
    <n v="0.02"/>
    <n v="0.02"/>
    <n v="0.9"/>
    <n v="180000"/>
    <n v="176460"/>
    <n v="304980"/>
    <n v="210120"/>
    <n v="408000"/>
    <n v="140000"/>
  </r>
  <r>
    <x v="0"/>
    <x v="0"/>
    <x v="6"/>
    <s v="Internal Medicine STD10R"/>
    <n v="2027"/>
    <x v="14"/>
    <n v="416939.8282583651"/>
    <n v="0.02"/>
    <n v="0.01"/>
    <n v="0.01"/>
    <n v="6.2100000000000002E-2"/>
    <n v="0.03"/>
    <n v="0.02"/>
    <n v="0.06"/>
    <n v="0.02"/>
    <n v="0.02"/>
    <n v="0.02"/>
    <n v="0.9"/>
    <n v="180000"/>
    <n v="176460"/>
    <n v="304980"/>
    <n v="210120"/>
    <n v="408000"/>
    <n v="140000"/>
  </r>
  <r>
    <x v="0"/>
    <x v="0"/>
    <x v="6"/>
    <s v="Internal Medicine STD10R"/>
    <n v="2028"/>
    <x v="15"/>
    <n v="496396.56253470801"/>
    <n v="0.02"/>
    <n v="0.01"/>
    <n v="0.01"/>
    <n v="6.2100000000000002E-2"/>
    <n v="0.03"/>
    <n v="0.02"/>
    <n v="0.06"/>
    <n v="0.02"/>
    <n v="0.02"/>
    <n v="0.02"/>
    <n v="0.9"/>
    <n v="180000"/>
    <n v="176460"/>
    <n v="304980"/>
    <n v="210120"/>
    <n v="408000"/>
    <n v="140000"/>
  </r>
  <r>
    <x v="0"/>
    <x v="0"/>
    <x v="6"/>
    <s v="Internal Medicine STD10R"/>
    <n v="2029"/>
    <x v="16"/>
    <n v="574290.01456844201"/>
    <n v="0.02"/>
    <n v="0.01"/>
    <n v="0.01"/>
    <n v="6.2100000000000002E-2"/>
    <n v="0.03"/>
    <n v="0.02"/>
    <n v="0.06"/>
    <n v="0.02"/>
    <n v="0.02"/>
    <n v="0.02"/>
    <n v="0.9"/>
    <n v="180000"/>
    <n v="176460"/>
    <n v="304980"/>
    <n v="210120"/>
    <n v="408000"/>
    <n v="140000"/>
  </r>
  <r>
    <x v="0"/>
    <x v="0"/>
    <x v="6"/>
    <s v="Internal Medicine STD10R"/>
    <n v="2030"/>
    <x v="17"/>
    <n v="650650.99152714352"/>
    <n v="0.02"/>
    <n v="0.01"/>
    <n v="0.01"/>
    <n v="6.2100000000000002E-2"/>
    <n v="0.03"/>
    <n v="0.02"/>
    <n v="0.06"/>
    <n v="0.02"/>
    <n v="0.02"/>
    <n v="0.02"/>
    <n v="0.9"/>
    <n v="180000"/>
    <n v="176460"/>
    <n v="304980"/>
    <n v="210120"/>
    <n v="408000"/>
    <n v="140000"/>
  </r>
  <r>
    <x v="0"/>
    <x v="0"/>
    <x v="6"/>
    <s v="Internal Medicine STD10R"/>
    <n v="2031"/>
    <x v="18"/>
    <n v="725509.69201410725"/>
    <n v="0.02"/>
    <n v="0.01"/>
    <n v="0.01"/>
    <n v="6.2100000000000002E-2"/>
    <n v="0.03"/>
    <n v="0.02"/>
    <n v="0.06"/>
    <n v="0.02"/>
    <n v="0.02"/>
    <n v="0.02"/>
    <n v="0.9"/>
    <n v="180000"/>
    <n v="176460"/>
    <n v="304980"/>
    <n v="210120"/>
    <n v="408000"/>
    <n v="140000"/>
  </r>
  <r>
    <x v="0"/>
    <x v="0"/>
    <x v="6"/>
    <s v="Internal Medicine STD10R"/>
    <n v="2032"/>
    <x v="19"/>
    <n v="798895.71813211031"/>
    <n v="0.02"/>
    <n v="0.01"/>
    <n v="0.01"/>
    <n v="6.2100000000000002E-2"/>
    <n v="0.03"/>
    <n v="0.02"/>
    <n v="0.06"/>
    <n v="0.02"/>
    <n v="0.02"/>
    <n v="0.02"/>
    <n v="0.9"/>
    <n v="180000"/>
    <n v="176460"/>
    <n v="304980"/>
    <n v="210120"/>
    <n v="408000"/>
    <n v="140000"/>
  </r>
  <r>
    <x v="0"/>
    <x v="0"/>
    <x v="6"/>
    <s v="Internal Medicine STD10R"/>
    <n v="2033"/>
    <x v="20"/>
    <n v="870790.28526309843"/>
    <n v="0.02"/>
    <n v="0.01"/>
    <n v="0.01"/>
    <n v="6.2100000000000002E-2"/>
    <n v="0.03"/>
    <n v="0.02"/>
    <n v="0.06"/>
    <n v="0.02"/>
    <n v="0.02"/>
    <n v="0.02"/>
    <n v="0.9"/>
    <n v="180000"/>
    <n v="176460"/>
    <n v="304980"/>
    <n v="210120"/>
    <n v="408000"/>
    <n v="140000"/>
  </r>
  <r>
    <x v="0"/>
    <x v="0"/>
    <x v="6"/>
    <s v="Internal Medicine STD10R"/>
    <n v="2034"/>
    <x v="21"/>
    <n v="941222.733187387"/>
    <n v="0.02"/>
    <n v="0.01"/>
    <n v="0.01"/>
    <n v="6.2100000000000002E-2"/>
    <n v="0.03"/>
    <n v="0.02"/>
    <n v="0.06"/>
    <n v="0.02"/>
    <n v="0.02"/>
    <n v="0.02"/>
    <n v="0.9"/>
    <n v="180000"/>
    <n v="176460"/>
    <n v="304980"/>
    <n v="210120"/>
    <n v="408000"/>
    <n v="140000"/>
  </r>
  <r>
    <x v="0"/>
    <x v="0"/>
    <x v="6"/>
    <s v="Internal Medicine STD10R"/>
    <n v="2035"/>
    <x v="22"/>
    <n v="1010223.2577579215"/>
    <n v="0.02"/>
    <n v="0.01"/>
    <n v="0.01"/>
    <n v="6.2100000000000002E-2"/>
    <n v="0.03"/>
    <n v="0.02"/>
    <n v="0.06"/>
    <n v="0.02"/>
    <n v="0.02"/>
    <n v="0.02"/>
    <n v="0.9"/>
    <n v="180000"/>
    <n v="176460"/>
    <n v="304980"/>
    <n v="210120"/>
    <n v="408000"/>
    <n v="140000"/>
  </r>
  <r>
    <x v="0"/>
    <x v="0"/>
    <x v="6"/>
    <s v="Internal Medicine STD10R"/>
    <n v="2036"/>
    <x v="23"/>
    <n v="1077821.4182807724"/>
    <n v="0.02"/>
    <n v="0.01"/>
    <n v="0.01"/>
    <n v="6.2100000000000002E-2"/>
    <n v="0.03"/>
    <n v="0.02"/>
    <n v="0.06"/>
    <n v="0.02"/>
    <n v="0.02"/>
    <n v="0.02"/>
    <n v="0.9"/>
    <n v="180000"/>
    <n v="176460"/>
    <n v="304980"/>
    <n v="210120"/>
    <n v="408000"/>
    <n v="140000"/>
  </r>
  <r>
    <x v="0"/>
    <x v="0"/>
    <x v="6"/>
    <s v="Internal Medicine STD10R"/>
    <n v="2037"/>
    <x v="24"/>
    <n v="1144046.1512917278"/>
    <n v="0.02"/>
    <n v="0.01"/>
    <n v="0.01"/>
    <n v="6.2100000000000002E-2"/>
    <n v="0.03"/>
    <n v="0.02"/>
    <n v="0.06"/>
    <n v="0.02"/>
    <n v="0.02"/>
    <n v="0.02"/>
    <n v="0.9"/>
    <n v="180000"/>
    <n v="176460"/>
    <n v="304980"/>
    <n v="210120"/>
    <n v="408000"/>
    <n v="140000"/>
  </r>
  <r>
    <x v="0"/>
    <x v="0"/>
    <x v="6"/>
    <s v="Internal Medicine STD10R"/>
    <n v="2038"/>
    <x v="25"/>
    <n v="1208925.7840250304"/>
    <n v="0.02"/>
    <n v="0.01"/>
    <n v="0.01"/>
    <n v="6.2100000000000002E-2"/>
    <n v="0.03"/>
    <n v="0.02"/>
    <n v="0.06"/>
    <n v="0.02"/>
    <n v="0.02"/>
    <n v="0.02"/>
    <n v="0.9"/>
    <n v="180000"/>
    <n v="176460"/>
    <n v="304980"/>
    <n v="210120"/>
    <n v="408000"/>
    <n v="140000"/>
  </r>
  <r>
    <x v="0"/>
    <x v="0"/>
    <x v="6"/>
    <s v="Internal Medicine STD10R"/>
    <n v="2039"/>
    <x v="26"/>
    <n v="1272488.0475813933"/>
    <n v="0.02"/>
    <n v="0.01"/>
    <n v="0.01"/>
    <n v="6.2100000000000002E-2"/>
    <n v="0.03"/>
    <n v="0.02"/>
    <n v="0.06"/>
    <n v="0.02"/>
    <n v="0.02"/>
    <n v="0.02"/>
    <n v="0.9"/>
    <n v="180000"/>
    <n v="176460"/>
    <n v="304980"/>
    <n v="210120"/>
    <n v="408000"/>
    <n v="140000"/>
  </r>
  <r>
    <x v="0"/>
    <x v="0"/>
    <x v="6"/>
    <s v="Internal Medicine STD10R"/>
    <n v="2040"/>
    <x v="27"/>
    <n v="1334760.0898022589"/>
    <n v="0.02"/>
    <n v="0.01"/>
    <n v="0.01"/>
    <n v="6.2100000000000002E-2"/>
    <n v="0.03"/>
    <n v="0.02"/>
    <n v="0.06"/>
    <n v="0.02"/>
    <n v="0.02"/>
    <n v="0.02"/>
    <n v="0.9"/>
    <n v="180000"/>
    <n v="176460"/>
    <n v="304980"/>
    <n v="210120"/>
    <n v="408000"/>
    <n v="140000"/>
  </r>
  <r>
    <x v="0"/>
    <x v="0"/>
    <x v="6"/>
    <s v="Internal Medicine STD10R"/>
    <n v="2041"/>
    <x v="28"/>
    <n v="1395768.4878570957"/>
    <n v="0.02"/>
    <n v="0.01"/>
    <n v="0.01"/>
    <n v="6.2100000000000002E-2"/>
    <n v="0.03"/>
    <n v="0.02"/>
    <n v="0.06"/>
    <n v="0.02"/>
    <n v="0.02"/>
    <n v="0.02"/>
    <n v="0.9"/>
    <n v="180000"/>
    <n v="176460"/>
    <n v="304980"/>
    <n v="210120"/>
    <n v="408000"/>
    <n v="140000"/>
  </r>
  <r>
    <x v="0"/>
    <x v="0"/>
    <x v="6"/>
    <s v="Internal Medicine STD10R"/>
    <n v="2042"/>
    <x v="29"/>
    <n v="1455539.260550366"/>
    <n v="0.02"/>
    <n v="0.01"/>
    <n v="0.01"/>
    <n v="6.2100000000000002E-2"/>
    <n v="0.03"/>
    <n v="0.02"/>
    <n v="0.06"/>
    <n v="0.02"/>
    <n v="0.02"/>
    <n v="0.02"/>
    <n v="0.9"/>
    <n v="180000"/>
    <n v="176460"/>
    <n v="304980"/>
    <n v="210120"/>
    <n v="408000"/>
    <n v="140000"/>
  </r>
  <r>
    <x v="0"/>
    <x v="0"/>
    <x v="7"/>
    <s v="Internal Medicine IBRR"/>
    <n v="2013"/>
    <x v="0"/>
    <n v="-43015.05"/>
    <n v="0.02"/>
    <n v="0.01"/>
    <n v="0.01"/>
    <n v="6.2100000000000002E-2"/>
    <n v="0.03"/>
    <n v="0.02"/>
    <n v="0.06"/>
    <n v="0.02"/>
    <n v="0.02"/>
    <n v="0.02"/>
    <n v="0.9"/>
    <n v="180000"/>
    <n v="176460"/>
    <n v="304980"/>
    <n v="210120"/>
    <n v="408000"/>
    <n v="140000"/>
  </r>
  <r>
    <x v="0"/>
    <x v="0"/>
    <x v="7"/>
    <s v="Internal Medicine IBRR"/>
    <n v="2014"/>
    <x v="1"/>
    <n v="-86352.285865219877"/>
    <n v="0.02"/>
    <n v="0.01"/>
    <n v="0.01"/>
    <n v="6.2100000000000002E-2"/>
    <n v="0.03"/>
    <n v="0.02"/>
    <n v="0.06"/>
    <n v="0.02"/>
    <n v="0.02"/>
    <n v="0.02"/>
    <n v="0.9"/>
    <n v="180000"/>
    <n v="176460"/>
    <n v="304980"/>
    <n v="210120"/>
    <n v="408000"/>
    <n v="140000"/>
  </r>
  <r>
    <x v="0"/>
    <x v="0"/>
    <x v="7"/>
    <s v="Internal Medicine IBRR"/>
    <n v="2015"/>
    <x v="2"/>
    <n v="-138541.19578403595"/>
    <n v="0.02"/>
    <n v="0.01"/>
    <n v="0.01"/>
    <n v="6.2100000000000002E-2"/>
    <n v="0.03"/>
    <n v="0.02"/>
    <n v="0.06"/>
    <n v="0.02"/>
    <n v="0.02"/>
    <n v="0.02"/>
    <n v="0.9"/>
    <n v="180000"/>
    <n v="176460"/>
    <n v="304980"/>
    <n v="210120"/>
    <n v="408000"/>
    <n v="140000"/>
  </r>
  <r>
    <x v="0"/>
    <x v="0"/>
    <x v="7"/>
    <s v="Internal Medicine IBRR"/>
    <n v="2016"/>
    <x v="3"/>
    <n v="-190867.38028908212"/>
    <n v="0.02"/>
    <n v="0.01"/>
    <n v="0.01"/>
    <n v="6.2100000000000002E-2"/>
    <n v="0.03"/>
    <n v="0.02"/>
    <n v="0.06"/>
    <n v="0.02"/>
    <n v="0.02"/>
    <n v="0.02"/>
    <n v="0.9"/>
    <n v="180000"/>
    <n v="176460"/>
    <n v="304980"/>
    <n v="210120"/>
    <n v="408000"/>
    <n v="140000"/>
  </r>
  <r>
    <x v="0"/>
    <x v="0"/>
    <x v="7"/>
    <s v="Internal Medicine IBRR"/>
    <n v="2017"/>
    <x v="4"/>
    <n v="-161673.72697596412"/>
    <n v="0.02"/>
    <n v="0.01"/>
    <n v="0.01"/>
    <n v="6.2100000000000002E-2"/>
    <n v="0.03"/>
    <n v="0.02"/>
    <n v="0.06"/>
    <n v="0.02"/>
    <n v="0.02"/>
    <n v="0.02"/>
    <n v="0.9"/>
    <n v="180000"/>
    <n v="176460"/>
    <n v="304980"/>
    <n v="210120"/>
    <n v="408000"/>
    <n v="140000"/>
  </r>
  <r>
    <x v="0"/>
    <x v="0"/>
    <x v="7"/>
    <s v="Internal Medicine IBRR"/>
    <n v="2018"/>
    <x v="5"/>
    <n v="-132585.52546268981"/>
    <n v="0.02"/>
    <n v="0.01"/>
    <n v="0.01"/>
    <n v="6.2100000000000002E-2"/>
    <n v="0.03"/>
    <n v="0.02"/>
    <n v="0.06"/>
    <n v="0.02"/>
    <n v="0.02"/>
    <n v="0.02"/>
    <n v="0.9"/>
    <n v="180000"/>
    <n v="176460"/>
    <n v="304980"/>
    <n v="210120"/>
    <n v="408000"/>
    <n v="140000"/>
  </r>
  <r>
    <x v="0"/>
    <x v="0"/>
    <x v="7"/>
    <s v="Internal Medicine IBRR"/>
    <n v="2019"/>
    <x v="6"/>
    <n v="-103593.03997577081"/>
    <n v="0.02"/>
    <n v="0.01"/>
    <n v="0.01"/>
    <n v="6.2100000000000002E-2"/>
    <n v="0.03"/>
    <n v="0.02"/>
    <n v="0.06"/>
    <n v="0.02"/>
    <n v="0.02"/>
    <n v="0.02"/>
    <n v="0.9"/>
    <n v="180000"/>
    <n v="176460"/>
    <n v="304980"/>
    <n v="210120"/>
    <n v="408000"/>
    <n v="140000"/>
  </r>
  <r>
    <x v="0"/>
    <x v="0"/>
    <x v="7"/>
    <s v="Internal Medicine IBRR"/>
    <n v="2020"/>
    <x v="7"/>
    <n v="-29863.456358125171"/>
    <n v="0.02"/>
    <n v="0.01"/>
    <n v="0.01"/>
    <n v="6.2100000000000002E-2"/>
    <n v="0.03"/>
    <n v="0.02"/>
    <n v="0.06"/>
    <n v="0.02"/>
    <n v="0.02"/>
    <n v="0.02"/>
    <n v="0.9"/>
    <n v="180000"/>
    <n v="176460"/>
    <n v="304980"/>
    <n v="210120"/>
    <n v="408000"/>
    <n v="140000"/>
  </r>
  <r>
    <x v="0"/>
    <x v="0"/>
    <x v="7"/>
    <s v="Internal Medicine IBRR"/>
    <n v="2021"/>
    <x v="8"/>
    <n v="42393.718282228496"/>
    <n v="0.02"/>
    <n v="0.01"/>
    <n v="0.01"/>
    <n v="6.2100000000000002E-2"/>
    <n v="0.03"/>
    <n v="0.02"/>
    <n v="0.06"/>
    <n v="0.02"/>
    <n v="0.02"/>
    <n v="0.02"/>
    <n v="0.9"/>
    <n v="180000"/>
    <n v="176460"/>
    <n v="304980"/>
    <n v="210120"/>
    <n v="408000"/>
    <n v="140000"/>
  </r>
  <r>
    <x v="0"/>
    <x v="0"/>
    <x v="7"/>
    <s v="Internal Medicine IBRR"/>
    <n v="2022"/>
    <x v="9"/>
    <n v="113219.80863433197"/>
    <n v="0.02"/>
    <n v="0.01"/>
    <n v="0.01"/>
    <n v="6.2100000000000002E-2"/>
    <n v="0.03"/>
    <n v="0.02"/>
    <n v="0.06"/>
    <n v="0.02"/>
    <n v="0.02"/>
    <n v="0.02"/>
    <n v="0.9"/>
    <n v="180000"/>
    <n v="176460"/>
    <n v="304980"/>
    <n v="210120"/>
    <n v="408000"/>
    <n v="140000"/>
  </r>
  <r>
    <x v="0"/>
    <x v="0"/>
    <x v="7"/>
    <s v="Internal Medicine IBRR"/>
    <n v="2023"/>
    <x v="10"/>
    <n v="183184.59448954836"/>
    <n v="0.02"/>
    <n v="0.01"/>
    <n v="0.01"/>
    <n v="6.2100000000000002E-2"/>
    <n v="0.03"/>
    <n v="0.02"/>
    <n v="0.06"/>
    <n v="0.02"/>
    <n v="0.02"/>
    <n v="0.02"/>
    <n v="0.9"/>
    <n v="180000"/>
    <n v="176460"/>
    <n v="304980"/>
    <n v="210120"/>
    <n v="408000"/>
    <n v="140000"/>
  </r>
  <r>
    <x v="0"/>
    <x v="0"/>
    <x v="7"/>
    <s v="Internal Medicine IBRR"/>
    <n v="2024"/>
    <x v="11"/>
    <n v="252279.4403542676"/>
    <n v="0.02"/>
    <n v="0.01"/>
    <n v="0.01"/>
    <n v="6.2100000000000002E-2"/>
    <n v="0.03"/>
    <n v="0.02"/>
    <n v="0.06"/>
    <n v="0.02"/>
    <n v="0.02"/>
    <n v="0.02"/>
    <n v="0.9"/>
    <n v="180000"/>
    <n v="176460"/>
    <n v="304980"/>
    <n v="210120"/>
    <n v="408000"/>
    <n v="140000"/>
  </r>
  <r>
    <x v="0"/>
    <x v="0"/>
    <x v="7"/>
    <s v="Internal Medicine IBRR"/>
    <n v="2025"/>
    <x v="12"/>
    <n v="320497.11287433835"/>
    <n v="0.02"/>
    <n v="0.01"/>
    <n v="0.01"/>
    <n v="6.2100000000000002E-2"/>
    <n v="0.03"/>
    <n v="0.02"/>
    <n v="0.06"/>
    <n v="0.02"/>
    <n v="0.02"/>
    <n v="0.02"/>
    <n v="0.9"/>
    <n v="180000"/>
    <n v="176460"/>
    <n v="304980"/>
    <n v="210120"/>
    <n v="408000"/>
    <n v="140000"/>
  </r>
  <r>
    <x v="0"/>
    <x v="0"/>
    <x v="7"/>
    <s v="Internal Medicine IBRR"/>
    <n v="2026"/>
    <x v="13"/>
    <n v="387831.69386373553"/>
    <n v="0.02"/>
    <n v="0.01"/>
    <n v="0.01"/>
    <n v="6.2100000000000002E-2"/>
    <n v="0.03"/>
    <n v="0.02"/>
    <n v="0.06"/>
    <n v="0.02"/>
    <n v="0.02"/>
    <n v="0.02"/>
    <n v="0.9"/>
    <n v="180000"/>
    <n v="176460"/>
    <n v="304980"/>
    <n v="210120"/>
    <n v="408000"/>
    <n v="140000"/>
  </r>
  <r>
    <x v="0"/>
    <x v="0"/>
    <x v="7"/>
    <s v="Internal Medicine IBRR"/>
    <n v="2027"/>
    <x v="14"/>
    <n v="454278.49790618458"/>
    <n v="0.02"/>
    <n v="0.01"/>
    <n v="0.01"/>
    <n v="6.2100000000000002E-2"/>
    <n v="0.03"/>
    <n v="0.02"/>
    <n v="0.06"/>
    <n v="0.02"/>
    <n v="0.02"/>
    <n v="0.02"/>
    <n v="0.9"/>
    <n v="180000"/>
    <n v="176460"/>
    <n v="304980"/>
    <n v="210120"/>
    <n v="408000"/>
    <n v="140000"/>
  </r>
  <r>
    <x v="0"/>
    <x v="0"/>
    <x v="7"/>
    <s v="Internal Medicine IBRR"/>
    <n v="2028"/>
    <x v="15"/>
    <n v="519833.99430187547"/>
    <n v="0.02"/>
    <n v="0.01"/>
    <n v="0.01"/>
    <n v="6.2100000000000002E-2"/>
    <n v="0.03"/>
    <n v="0.02"/>
    <n v="0.06"/>
    <n v="0.02"/>
    <n v="0.02"/>
    <n v="0.02"/>
    <n v="0.9"/>
    <n v="180000"/>
    <n v="176460"/>
    <n v="304980"/>
    <n v="210120"/>
    <n v="408000"/>
    <n v="140000"/>
  </r>
  <r>
    <x v="0"/>
    <x v="0"/>
    <x v="7"/>
    <s v="Internal Medicine IBRR"/>
    <n v="2029"/>
    <x v="16"/>
    <n v="584495.7331425274"/>
    <n v="0.02"/>
    <n v="0.01"/>
    <n v="0.01"/>
    <n v="6.2100000000000002E-2"/>
    <n v="0.03"/>
    <n v="0.02"/>
    <n v="0.06"/>
    <n v="0.02"/>
    <n v="0.02"/>
    <n v="0.02"/>
    <n v="0.9"/>
    <n v="180000"/>
    <n v="176460"/>
    <n v="304980"/>
    <n v="210120"/>
    <n v="408000"/>
    <n v="140000"/>
  </r>
  <r>
    <x v="0"/>
    <x v="0"/>
    <x v="7"/>
    <s v="Internal Medicine IBRR"/>
    <n v="2030"/>
    <x v="17"/>
    <n v="648262.27530865127"/>
    <n v="0.02"/>
    <n v="0.01"/>
    <n v="0.01"/>
    <n v="6.2100000000000002E-2"/>
    <n v="0.03"/>
    <n v="0.02"/>
    <n v="0.06"/>
    <n v="0.02"/>
    <n v="0.02"/>
    <n v="0.02"/>
    <n v="0.9"/>
    <n v="180000"/>
    <n v="176460"/>
    <n v="304980"/>
    <n v="210120"/>
    <n v="408000"/>
    <n v="140000"/>
  </r>
  <r>
    <x v="0"/>
    <x v="0"/>
    <x v="7"/>
    <s v="Internal Medicine IBRR"/>
    <n v="2031"/>
    <x v="18"/>
    <n v="721466.21229385224"/>
    <n v="0.02"/>
    <n v="0.01"/>
    <n v="0.01"/>
    <n v="6.2100000000000002E-2"/>
    <n v="0.03"/>
    <n v="0.02"/>
    <n v="0.06"/>
    <n v="0.02"/>
    <n v="0.02"/>
    <n v="0.02"/>
    <n v="0.9"/>
    <n v="180000"/>
    <n v="176460"/>
    <n v="304980"/>
    <n v="210120"/>
    <n v="408000"/>
    <n v="140000"/>
  </r>
  <r>
    <x v="0"/>
    <x v="0"/>
    <x v="7"/>
    <s v="Internal Medicine IBRR"/>
    <n v="2032"/>
    <x v="19"/>
    <n v="794852.2384118553"/>
    <n v="0.02"/>
    <n v="0.01"/>
    <n v="0.01"/>
    <n v="6.2100000000000002E-2"/>
    <n v="0.03"/>
    <n v="0.02"/>
    <n v="0.06"/>
    <n v="0.02"/>
    <n v="0.02"/>
    <n v="0.02"/>
    <n v="0.9"/>
    <n v="180000"/>
    <n v="176460"/>
    <n v="304980"/>
    <n v="210120"/>
    <n v="408000"/>
    <n v="140000"/>
  </r>
  <r>
    <x v="0"/>
    <x v="0"/>
    <x v="7"/>
    <s v="Internal Medicine IBRR"/>
    <n v="2033"/>
    <x v="20"/>
    <n v="866746.80554284342"/>
    <n v="0.02"/>
    <n v="0.01"/>
    <n v="0.01"/>
    <n v="6.2100000000000002E-2"/>
    <n v="0.03"/>
    <n v="0.02"/>
    <n v="0.06"/>
    <n v="0.02"/>
    <n v="0.02"/>
    <n v="0.02"/>
    <n v="0.9"/>
    <n v="180000"/>
    <n v="176460"/>
    <n v="304980"/>
    <n v="210120"/>
    <n v="408000"/>
    <n v="140000"/>
  </r>
  <r>
    <x v="0"/>
    <x v="0"/>
    <x v="7"/>
    <s v="Internal Medicine IBRR"/>
    <n v="2034"/>
    <x v="21"/>
    <n v="937179.2534671321"/>
    <n v="0.02"/>
    <n v="0.01"/>
    <n v="0.01"/>
    <n v="6.2100000000000002E-2"/>
    <n v="0.03"/>
    <n v="0.02"/>
    <n v="0.06"/>
    <n v="0.02"/>
    <n v="0.02"/>
    <n v="0.02"/>
    <n v="0.9"/>
    <n v="180000"/>
    <n v="176460"/>
    <n v="304980"/>
    <n v="210120"/>
    <n v="408000"/>
    <n v="140000"/>
  </r>
  <r>
    <x v="0"/>
    <x v="0"/>
    <x v="7"/>
    <s v="Internal Medicine IBRR"/>
    <n v="2035"/>
    <x v="22"/>
    <n v="1006179.7780376666"/>
    <n v="0.02"/>
    <n v="0.01"/>
    <n v="0.01"/>
    <n v="6.2100000000000002E-2"/>
    <n v="0.03"/>
    <n v="0.02"/>
    <n v="0.06"/>
    <n v="0.02"/>
    <n v="0.02"/>
    <n v="0.02"/>
    <n v="0.9"/>
    <n v="180000"/>
    <n v="176460"/>
    <n v="304980"/>
    <n v="210120"/>
    <n v="408000"/>
    <n v="140000"/>
  </r>
  <r>
    <x v="0"/>
    <x v="0"/>
    <x v="7"/>
    <s v="Internal Medicine IBRR"/>
    <n v="2036"/>
    <x v="23"/>
    <n v="1073777.9385605175"/>
    <n v="0.02"/>
    <n v="0.01"/>
    <n v="0.01"/>
    <n v="6.2100000000000002E-2"/>
    <n v="0.03"/>
    <n v="0.02"/>
    <n v="0.06"/>
    <n v="0.02"/>
    <n v="0.02"/>
    <n v="0.02"/>
    <n v="0.9"/>
    <n v="180000"/>
    <n v="176460"/>
    <n v="304980"/>
    <n v="210120"/>
    <n v="408000"/>
    <n v="140000"/>
  </r>
  <r>
    <x v="0"/>
    <x v="0"/>
    <x v="7"/>
    <s v="Internal Medicine IBRR"/>
    <n v="2037"/>
    <x v="24"/>
    <n v="1140002.6715714729"/>
    <n v="0.02"/>
    <n v="0.01"/>
    <n v="0.01"/>
    <n v="6.2100000000000002E-2"/>
    <n v="0.03"/>
    <n v="0.02"/>
    <n v="0.06"/>
    <n v="0.02"/>
    <n v="0.02"/>
    <n v="0.02"/>
    <n v="0.9"/>
    <n v="180000"/>
    <n v="176460"/>
    <n v="304980"/>
    <n v="210120"/>
    <n v="408000"/>
    <n v="140000"/>
  </r>
  <r>
    <x v="0"/>
    <x v="0"/>
    <x v="7"/>
    <s v="Internal Medicine IBRR"/>
    <n v="2038"/>
    <x v="25"/>
    <n v="1204882.3043047755"/>
    <n v="0.02"/>
    <n v="0.01"/>
    <n v="0.01"/>
    <n v="6.2100000000000002E-2"/>
    <n v="0.03"/>
    <n v="0.02"/>
    <n v="0.06"/>
    <n v="0.02"/>
    <n v="0.02"/>
    <n v="0.02"/>
    <n v="0.9"/>
    <n v="180000"/>
    <n v="176460"/>
    <n v="304980"/>
    <n v="210120"/>
    <n v="408000"/>
    <n v="140000"/>
  </r>
  <r>
    <x v="0"/>
    <x v="0"/>
    <x v="7"/>
    <s v="Internal Medicine IBRR"/>
    <n v="2039"/>
    <x v="26"/>
    <n v="1268444.5678611384"/>
    <n v="0.02"/>
    <n v="0.01"/>
    <n v="0.01"/>
    <n v="6.2100000000000002E-2"/>
    <n v="0.03"/>
    <n v="0.02"/>
    <n v="0.06"/>
    <n v="0.02"/>
    <n v="0.02"/>
    <n v="0.02"/>
    <n v="0.9"/>
    <n v="180000"/>
    <n v="176460"/>
    <n v="304980"/>
    <n v="210120"/>
    <n v="408000"/>
    <n v="140000"/>
  </r>
  <r>
    <x v="0"/>
    <x v="0"/>
    <x v="7"/>
    <s v="Internal Medicine IBRR"/>
    <n v="2040"/>
    <x v="27"/>
    <n v="1330716.610082004"/>
    <n v="0.02"/>
    <n v="0.01"/>
    <n v="0.01"/>
    <n v="6.2100000000000002E-2"/>
    <n v="0.03"/>
    <n v="0.02"/>
    <n v="0.06"/>
    <n v="0.02"/>
    <n v="0.02"/>
    <n v="0.02"/>
    <n v="0.9"/>
    <n v="180000"/>
    <n v="176460"/>
    <n v="304980"/>
    <n v="210120"/>
    <n v="408000"/>
    <n v="140000"/>
  </r>
  <r>
    <x v="0"/>
    <x v="0"/>
    <x v="7"/>
    <s v="Internal Medicine IBRR"/>
    <n v="2041"/>
    <x v="28"/>
    <n v="1391725.0081368408"/>
    <n v="0.02"/>
    <n v="0.01"/>
    <n v="0.01"/>
    <n v="6.2100000000000002E-2"/>
    <n v="0.03"/>
    <n v="0.02"/>
    <n v="0.06"/>
    <n v="0.02"/>
    <n v="0.02"/>
    <n v="0.02"/>
    <n v="0.9"/>
    <n v="180000"/>
    <n v="176460"/>
    <n v="304980"/>
    <n v="210120"/>
    <n v="408000"/>
    <n v="140000"/>
  </r>
  <r>
    <x v="0"/>
    <x v="0"/>
    <x v="7"/>
    <s v="Internal Medicine IBRR"/>
    <n v="2042"/>
    <x v="29"/>
    <n v="1451495.7808301111"/>
    <n v="0.02"/>
    <n v="0.01"/>
    <n v="0.01"/>
    <n v="6.2100000000000002E-2"/>
    <n v="0.03"/>
    <n v="0.02"/>
    <n v="0.06"/>
    <n v="0.02"/>
    <n v="0.02"/>
    <n v="0.02"/>
    <n v="0.9"/>
    <n v="180000"/>
    <n v="176460"/>
    <n v="304980"/>
    <n v="210120"/>
    <n v="408000"/>
    <n v="140000"/>
  </r>
  <r>
    <x v="0"/>
    <x v="0"/>
    <x v="8"/>
    <s v="Internal Medicine PAYER"/>
    <n v="2013"/>
    <x v="0"/>
    <n v="-43015.05"/>
    <n v="0.02"/>
    <n v="0.01"/>
    <n v="0.01"/>
    <n v="6.2100000000000002E-2"/>
    <n v="0.03"/>
    <n v="0.02"/>
    <n v="0.06"/>
    <n v="0.02"/>
    <n v="0.02"/>
    <n v="0.02"/>
    <n v="0.9"/>
    <n v="180000"/>
    <n v="176460"/>
    <n v="304980"/>
    <n v="210120"/>
    <n v="408000"/>
    <n v="140000"/>
  </r>
  <r>
    <x v="0"/>
    <x v="0"/>
    <x v="8"/>
    <s v="Internal Medicine PAYER"/>
    <n v="2014"/>
    <x v="1"/>
    <n v="-86352.285865219877"/>
    <n v="0.02"/>
    <n v="0.01"/>
    <n v="0.01"/>
    <n v="6.2100000000000002E-2"/>
    <n v="0.03"/>
    <n v="0.02"/>
    <n v="0.06"/>
    <n v="0.02"/>
    <n v="0.02"/>
    <n v="0.02"/>
    <n v="0.9"/>
    <n v="180000"/>
    <n v="176460"/>
    <n v="304980"/>
    <n v="210120"/>
    <n v="408000"/>
    <n v="140000"/>
  </r>
  <r>
    <x v="0"/>
    <x v="0"/>
    <x v="8"/>
    <s v="Internal Medicine PAYER"/>
    <n v="2015"/>
    <x v="2"/>
    <n v="-138541.19578403595"/>
    <n v="0.02"/>
    <n v="0.01"/>
    <n v="0.01"/>
    <n v="6.2100000000000002E-2"/>
    <n v="0.03"/>
    <n v="0.02"/>
    <n v="0.06"/>
    <n v="0.02"/>
    <n v="0.02"/>
    <n v="0.02"/>
    <n v="0.9"/>
    <n v="180000"/>
    <n v="176460"/>
    <n v="304980"/>
    <n v="210120"/>
    <n v="408000"/>
    <n v="140000"/>
  </r>
  <r>
    <x v="0"/>
    <x v="0"/>
    <x v="8"/>
    <s v="Internal Medicine PAYER"/>
    <n v="2016"/>
    <x v="3"/>
    <n v="-190867.38028908212"/>
    <n v="0.02"/>
    <n v="0.01"/>
    <n v="0.01"/>
    <n v="6.2100000000000002E-2"/>
    <n v="0.03"/>
    <n v="0.02"/>
    <n v="0.06"/>
    <n v="0.02"/>
    <n v="0.02"/>
    <n v="0.02"/>
    <n v="0.9"/>
    <n v="180000"/>
    <n v="176460"/>
    <n v="304980"/>
    <n v="210120"/>
    <n v="408000"/>
    <n v="140000"/>
  </r>
  <r>
    <x v="0"/>
    <x v="0"/>
    <x v="8"/>
    <s v="Internal Medicine PAYER"/>
    <n v="2017"/>
    <x v="4"/>
    <n v="-160208.65625830356"/>
    <n v="0.02"/>
    <n v="0.01"/>
    <n v="0.01"/>
    <n v="6.2100000000000002E-2"/>
    <n v="0.03"/>
    <n v="0.02"/>
    <n v="0.06"/>
    <n v="0.02"/>
    <n v="0.02"/>
    <n v="0.02"/>
    <n v="0.9"/>
    <n v="180000"/>
    <n v="176460"/>
    <n v="304980"/>
    <n v="210120"/>
    <n v="408000"/>
    <n v="140000"/>
  </r>
  <r>
    <x v="0"/>
    <x v="0"/>
    <x v="8"/>
    <s v="Internal Medicine PAYER"/>
    <n v="2018"/>
    <x v="5"/>
    <n v="-129613.12454394237"/>
    <n v="0.02"/>
    <n v="0.01"/>
    <n v="0.01"/>
    <n v="6.2100000000000002E-2"/>
    <n v="0.03"/>
    <n v="0.02"/>
    <n v="0.06"/>
    <n v="0.02"/>
    <n v="0.02"/>
    <n v="0.02"/>
    <n v="0.9"/>
    <n v="180000"/>
    <n v="176460"/>
    <n v="304980"/>
    <n v="210120"/>
    <n v="408000"/>
    <n v="140000"/>
  </r>
  <r>
    <x v="0"/>
    <x v="0"/>
    <x v="8"/>
    <s v="Internal Medicine PAYER"/>
    <n v="2019"/>
    <x v="6"/>
    <n v="-99071.520326821774"/>
    <n v="0.02"/>
    <n v="0.01"/>
    <n v="0.01"/>
    <n v="6.2100000000000002E-2"/>
    <n v="0.03"/>
    <n v="0.02"/>
    <n v="0.06"/>
    <n v="0.02"/>
    <n v="0.02"/>
    <n v="0.02"/>
    <n v="0.9"/>
    <n v="180000"/>
    <n v="176460"/>
    <n v="304980"/>
    <n v="210120"/>
    <n v="408000"/>
    <n v="140000"/>
  </r>
  <r>
    <x v="0"/>
    <x v="0"/>
    <x v="8"/>
    <s v="Internal Medicine PAYER"/>
    <n v="2020"/>
    <x v="7"/>
    <n v="-18868.711914493862"/>
    <n v="0.02"/>
    <n v="0.01"/>
    <n v="0.01"/>
    <n v="6.2100000000000002E-2"/>
    <n v="0.03"/>
    <n v="0.02"/>
    <n v="0.06"/>
    <n v="0.02"/>
    <n v="0.02"/>
    <n v="0.02"/>
    <n v="0.9"/>
    <n v="180000"/>
    <n v="176460"/>
    <n v="304980"/>
    <n v="210120"/>
    <n v="408000"/>
    <n v="140000"/>
  </r>
  <r>
    <x v="0"/>
    <x v="0"/>
    <x v="8"/>
    <s v="Internal Medicine PAYER"/>
    <n v="2021"/>
    <x v="8"/>
    <n v="59741.430891309778"/>
    <n v="0.02"/>
    <n v="0.01"/>
    <n v="0.01"/>
    <n v="6.2100000000000002E-2"/>
    <n v="0.03"/>
    <n v="0.02"/>
    <n v="0.06"/>
    <n v="0.02"/>
    <n v="0.02"/>
    <n v="0.02"/>
    <n v="0.9"/>
    <n v="180000"/>
    <n v="176460"/>
    <n v="304980"/>
    <n v="210120"/>
    <n v="408000"/>
    <n v="140000"/>
  </r>
  <r>
    <x v="0"/>
    <x v="0"/>
    <x v="8"/>
    <s v="Internal Medicine PAYER"/>
    <n v="2022"/>
    <x v="9"/>
    <n v="136790.72114408872"/>
    <n v="0.02"/>
    <n v="0.01"/>
    <n v="0.01"/>
    <n v="6.2100000000000002E-2"/>
    <n v="0.03"/>
    <n v="0.02"/>
    <n v="0.06"/>
    <n v="0.02"/>
    <n v="0.02"/>
    <n v="0.02"/>
    <n v="0.9"/>
    <n v="180000"/>
    <n v="176460"/>
    <n v="304980"/>
    <n v="210120"/>
    <n v="408000"/>
    <n v="140000"/>
  </r>
  <r>
    <x v="0"/>
    <x v="0"/>
    <x v="8"/>
    <s v="Internal Medicine PAYER"/>
    <n v="2023"/>
    <x v="10"/>
    <n v="212310.33109306378"/>
    <n v="0.02"/>
    <n v="0.01"/>
    <n v="0.01"/>
    <n v="6.2100000000000002E-2"/>
    <n v="0.03"/>
    <n v="0.02"/>
    <n v="0.06"/>
    <n v="0.02"/>
    <n v="0.02"/>
    <n v="0.02"/>
    <n v="0.9"/>
    <n v="180000"/>
    <n v="176460"/>
    <n v="304980"/>
    <n v="210120"/>
    <n v="408000"/>
    <n v="140000"/>
  </r>
  <r>
    <x v="0"/>
    <x v="0"/>
    <x v="8"/>
    <s v="Internal Medicine PAYER"/>
    <n v="2024"/>
    <x v="11"/>
    <n v="286330.80524366337"/>
    <n v="0.02"/>
    <n v="0.01"/>
    <n v="0.01"/>
    <n v="6.2100000000000002E-2"/>
    <n v="0.03"/>
    <n v="0.02"/>
    <n v="0.06"/>
    <n v="0.02"/>
    <n v="0.02"/>
    <n v="0.02"/>
    <n v="0.9"/>
    <n v="180000"/>
    <n v="176460"/>
    <n v="304980"/>
    <n v="210120"/>
    <n v="408000"/>
    <n v="140000"/>
  </r>
  <r>
    <x v="0"/>
    <x v="0"/>
    <x v="8"/>
    <s v="Internal Medicine PAYER"/>
    <n v="2025"/>
    <x v="12"/>
    <n v="358882.0731474841"/>
    <n v="0.02"/>
    <n v="0.01"/>
    <n v="0.01"/>
    <n v="6.2100000000000002E-2"/>
    <n v="0.03"/>
    <n v="0.02"/>
    <n v="0.06"/>
    <n v="0.02"/>
    <n v="0.02"/>
    <n v="0.02"/>
    <n v="0.9"/>
    <n v="180000"/>
    <n v="176460"/>
    <n v="304980"/>
    <n v="210120"/>
    <n v="408000"/>
    <n v="140000"/>
  </r>
  <r>
    <x v="0"/>
    <x v="0"/>
    <x v="8"/>
    <s v="Internal Medicine PAYER"/>
    <n v="2026"/>
    <x v="13"/>
    <n v="429993.46192745079"/>
    <n v="0.02"/>
    <n v="0.01"/>
    <n v="0.01"/>
    <n v="6.2100000000000002E-2"/>
    <n v="0.03"/>
    <n v="0.02"/>
    <n v="0.06"/>
    <n v="0.02"/>
    <n v="0.02"/>
    <n v="0.02"/>
    <n v="0.9"/>
    <n v="180000"/>
    <n v="176460"/>
    <n v="304980"/>
    <n v="210120"/>
    <n v="408000"/>
    <n v="140000"/>
  </r>
  <r>
    <x v="0"/>
    <x v="0"/>
    <x v="8"/>
    <s v="Internal Medicine PAYER"/>
    <n v="2027"/>
    <x v="14"/>
    <n v="499693.7085437756"/>
    <n v="0.02"/>
    <n v="0.01"/>
    <n v="0.01"/>
    <n v="6.2100000000000002E-2"/>
    <n v="0.03"/>
    <n v="0.02"/>
    <n v="0.06"/>
    <n v="0.02"/>
    <n v="0.02"/>
    <n v="0.02"/>
    <n v="0.9"/>
    <n v="180000"/>
    <n v="176460"/>
    <n v="304980"/>
    <n v="210120"/>
    <n v="408000"/>
    <n v="140000"/>
  </r>
  <r>
    <x v="0"/>
    <x v="0"/>
    <x v="8"/>
    <s v="Internal Medicine PAYER"/>
    <n v="2028"/>
    <x v="15"/>
    <n v="568010.97180619638"/>
    <n v="0.02"/>
    <n v="0.01"/>
    <n v="0.01"/>
    <n v="6.2100000000000002E-2"/>
    <n v="0.03"/>
    <n v="0.02"/>
    <n v="0.06"/>
    <n v="0.02"/>
    <n v="0.02"/>
    <n v="0.02"/>
    <n v="0.9"/>
    <n v="180000"/>
    <n v="176460"/>
    <n v="304980"/>
    <n v="210120"/>
    <n v="408000"/>
    <n v="140000"/>
  </r>
  <r>
    <x v="0"/>
    <x v="0"/>
    <x v="8"/>
    <s v="Internal Medicine PAYER"/>
    <n v="2029"/>
    <x v="16"/>
    <n v="634972.84413785231"/>
    <n v="0.02"/>
    <n v="0.01"/>
    <n v="0.01"/>
    <n v="6.2100000000000002E-2"/>
    <n v="0.03"/>
    <n v="0.02"/>
    <n v="0.06"/>
    <n v="0.02"/>
    <n v="0.02"/>
    <n v="0.02"/>
    <n v="0.9"/>
    <n v="180000"/>
    <n v="176460"/>
    <n v="304980"/>
    <n v="210120"/>
    <n v="408000"/>
    <n v="140000"/>
  </r>
  <r>
    <x v="0"/>
    <x v="0"/>
    <x v="8"/>
    <s v="Internal Medicine PAYER"/>
    <n v="2030"/>
    <x v="17"/>
    <n v="700606.36309604184"/>
    <n v="0.02"/>
    <n v="0.01"/>
    <n v="0.01"/>
    <n v="6.2100000000000002E-2"/>
    <n v="0.03"/>
    <n v="0.02"/>
    <n v="0.06"/>
    <n v="0.02"/>
    <n v="0.02"/>
    <n v="0.02"/>
    <n v="0.9"/>
    <n v="180000"/>
    <n v="176460"/>
    <n v="304980"/>
    <n v="210120"/>
    <n v="408000"/>
    <n v="140000"/>
  </r>
  <r>
    <x v="0"/>
    <x v="0"/>
    <x v="8"/>
    <s v="Internal Medicine PAYER"/>
    <n v="2031"/>
    <x v="18"/>
    <n v="764938.0226549916"/>
    <n v="0.02"/>
    <n v="0.01"/>
    <n v="0.01"/>
    <n v="6.2100000000000002E-2"/>
    <n v="0.03"/>
    <n v="0.02"/>
    <n v="0.06"/>
    <n v="0.02"/>
    <n v="0.02"/>
    <n v="0.02"/>
    <n v="0.9"/>
    <n v="180000"/>
    <n v="176460"/>
    <n v="304980"/>
    <n v="210120"/>
    <n v="408000"/>
    <n v="140000"/>
  </r>
  <r>
    <x v="0"/>
    <x v="0"/>
    <x v="8"/>
    <s v="Internal Medicine PAYER"/>
    <n v="2032"/>
    <x v="19"/>
    <n v="827993.78425565548"/>
    <n v="0.02"/>
    <n v="0.01"/>
    <n v="0.01"/>
    <n v="6.2100000000000002E-2"/>
    <n v="0.03"/>
    <n v="0.02"/>
    <n v="0.06"/>
    <n v="0.02"/>
    <n v="0.02"/>
    <n v="0.02"/>
    <n v="0.9"/>
    <n v="180000"/>
    <n v="176460"/>
    <n v="304980"/>
    <n v="210120"/>
    <n v="408000"/>
    <n v="140000"/>
  </r>
  <r>
    <x v="0"/>
    <x v="0"/>
    <x v="8"/>
    <s v="Internal Medicine PAYER"/>
    <n v="2033"/>
    <x v="20"/>
    <n v="889751.28558373917"/>
    <n v="0.02"/>
    <n v="0.01"/>
    <n v="0.01"/>
    <n v="6.2100000000000002E-2"/>
    <n v="0.03"/>
    <n v="0.02"/>
    <n v="0.06"/>
    <n v="0.02"/>
    <n v="0.02"/>
    <n v="0.02"/>
    <n v="0.9"/>
    <n v="180000"/>
    <n v="176460"/>
    <n v="304980"/>
    <n v="210120"/>
    <n v="408000"/>
    <n v="140000"/>
  </r>
  <r>
    <x v="0"/>
    <x v="0"/>
    <x v="8"/>
    <s v="Internal Medicine PAYER"/>
    <n v="2034"/>
    <x v="21"/>
    <n v="950236.35069952311"/>
    <n v="0.02"/>
    <n v="0.01"/>
    <n v="0.01"/>
    <n v="6.2100000000000002E-2"/>
    <n v="0.03"/>
    <n v="0.02"/>
    <n v="0.06"/>
    <n v="0.02"/>
    <n v="0.02"/>
    <n v="0.02"/>
    <n v="0.9"/>
    <n v="180000"/>
    <n v="176460"/>
    <n v="304980"/>
    <n v="210120"/>
    <n v="408000"/>
    <n v="140000"/>
  </r>
  <r>
    <x v="0"/>
    <x v="0"/>
    <x v="8"/>
    <s v="Internal Medicine PAYER"/>
    <n v="2035"/>
    <x v="22"/>
    <n v="1009475.7207350014"/>
    <n v="0.02"/>
    <n v="0.01"/>
    <n v="0.01"/>
    <n v="6.2100000000000002E-2"/>
    <n v="0.03"/>
    <n v="0.02"/>
    <n v="0.06"/>
    <n v="0.02"/>
    <n v="0.02"/>
    <n v="0.02"/>
    <n v="0.9"/>
    <n v="180000"/>
    <n v="176460"/>
    <n v="304980"/>
    <n v="210120"/>
    <n v="408000"/>
    <n v="140000"/>
  </r>
  <r>
    <x v="0"/>
    <x v="0"/>
    <x v="8"/>
    <s v="Internal Medicine PAYER"/>
    <n v="2036"/>
    <x v="23"/>
    <n v="1069657.3703367477"/>
    <n v="0.02"/>
    <n v="0.01"/>
    <n v="0.01"/>
    <n v="6.2100000000000002E-2"/>
    <n v="0.03"/>
    <n v="0.02"/>
    <n v="0.06"/>
    <n v="0.02"/>
    <n v="0.02"/>
    <n v="0.02"/>
    <n v="0.9"/>
    <n v="180000"/>
    <n v="176460"/>
    <n v="304980"/>
    <n v="210120"/>
    <n v="408000"/>
    <n v="140000"/>
  </r>
  <r>
    <x v="0"/>
    <x v="0"/>
    <x v="8"/>
    <s v="Internal Medicine PAYER"/>
    <n v="2037"/>
    <x v="24"/>
    <n v="1135882.1033477031"/>
    <n v="0.02"/>
    <n v="0.01"/>
    <n v="0.01"/>
    <n v="6.2100000000000002E-2"/>
    <n v="0.03"/>
    <n v="0.02"/>
    <n v="0.06"/>
    <n v="0.02"/>
    <n v="0.02"/>
    <n v="0.02"/>
    <n v="0.9"/>
    <n v="180000"/>
    <n v="176460"/>
    <n v="304980"/>
    <n v="210120"/>
    <n v="408000"/>
    <n v="140000"/>
  </r>
  <r>
    <x v="0"/>
    <x v="0"/>
    <x v="8"/>
    <s v="Internal Medicine PAYER"/>
    <n v="2038"/>
    <x v="25"/>
    <n v="1200761.7360810058"/>
    <n v="0.02"/>
    <n v="0.01"/>
    <n v="0.01"/>
    <n v="6.2100000000000002E-2"/>
    <n v="0.03"/>
    <n v="0.02"/>
    <n v="0.06"/>
    <n v="0.02"/>
    <n v="0.02"/>
    <n v="0.02"/>
    <n v="0.9"/>
    <n v="180000"/>
    <n v="176460"/>
    <n v="304980"/>
    <n v="210120"/>
    <n v="408000"/>
    <n v="140000"/>
  </r>
  <r>
    <x v="0"/>
    <x v="0"/>
    <x v="8"/>
    <s v="Internal Medicine PAYER"/>
    <n v="2039"/>
    <x v="26"/>
    <n v="1264323.9996373686"/>
    <n v="0.02"/>
    <n v="0.01"/>
    <n v="0.01"/>
    <n v="6.2100000000000002E-2"/>
    <n v="0.03"/>
    <n v="0.02"/>
    <n v="0.06"/>
    <n v="0.02"/>
    <n v="0.02"/>
    <n v="0.02"/>
    <n v="0.9"/>
    <n v="180000"/>
    <n v="176460"/>
    <n v="304980"/>
    <n v="210120"/>
    <n v="408000"/>
    <n v="140000"/>
  </r>
  <r>
    <x v="0"/>
    <x v="0"/>
    <x v="8"/>
    <s v="Internal Medicine PAYER"/>
    <n v="2040"/>
    <x v="27"/>
    <n v="1326596.0418582342"/>
    <n v="0.02"/>
    <n v="0.01"/>
    <n v="0.01"/>
    <n v="6.2100000000000002E-2"/>
    <n v="0.03"/>
    <n v="0.02"/>
    <n v="0.06"/>
    <n v="0.02"/>
    <n v="0.02"/>
    <n v="0.02"/>
    <n v="0.9"/>
    <n v="180000"/>
    <n v="176460"/>
    <n v="304980"/>
    <n v="210120"/>
    <n v="408000"/>
    <n v="140000"/>
  </r>
  <r>
    <x v="0"/>
    <x v="0"/>
    <x v="8"/>
    <s v="Internal Medicine PAYER"/>
    <n v="2041"/>
    <x v="28"/>
    <n v="1387604.439913071"/>
    <n v="0.02"/>
    <n v="0.01"/>
    <n v="0.01"/>
    <n v="6.2100000000000002E-2"/>
    <n v="0.03"/>
    <n v="0.02"/>
    <n v="0.06"/>
    <n v="0.02"/>
    <n v="0.02"/>
    <n v="0.02"/>
    <n v="0.9"/>
    <n v="180000"/>
    <n v="176460"/>
    <n v="304980"/>
    <n v="210120"/>
    <n v="408000"/>
    <n v="140000"/>
  </r>
  <r>
    <x v="0"/>
    <x v="0"/>
    <x v="8"/>
    <s v="Internal Medicine PAYER"/>
    <n v="2042"/>
    <x v="29"/>
    <n v="1447375.2126063413"/>
    <n v="0.02"/>
    <n v="0.01"/>
    <n v="0.01"/>
    <n v="6.2100000000000002E-2"/>
    <n v="0.03"/>
    <n v="0.02"/>
    <n v="0.06"/>
    <n v="0.02"/>
    <n v="0.02"/>
    <n v="0.02"/>
    <n v="0.9"/>
    <n v="180000"/>
    <n v="176460"/>
    <n v="304980"/>
    <n v="210120"/>
    <n v="408000"/>
    <n v="140000"/>
  </r>
  <r>
    <x v="0"/>
    <x v="0"/>
    <x v="9"/>
    <s v="Internal Medicine Ret20USU"/>
    <n v="2013"/>
    <x v="0"/>
    <n v="52525.686799999996"/>
    <n v="0.02"/>
    <n v="0.01"/>
    <n v="0.01"/>
    <n v="6.2100000000000002E-2"/>
    <n v="0.03"/>
    <n v="0.02"/>
    <n v="0.06"/>
    <n v="0.02"/>
    <n v="0.02"/>
    <n v="0.02"/>
    <n v="0.9"/>
    <n v="180000"/>
    <n v="176460"/>
    <n v="304980"/>
    <n v="210120"/>
    <n v="408000"/>
    <n v="140000"/>
  </r>
  <r>
    <x v="0"/>
    <x v="0"/>
    <x v="9"/>
    <s v="Internal Medicine Ret20USU"/>
    <n v="2014"/>
    <x v="1"/>
    <n v="103045.21008954883"/>
    <n v="0.02"/>
    <n v="0.01"/>
    <n v="0.01"/>
    <n v="6.2100000000000002E-2"/>
    <n v="0.03"/>
    <n v="0.02"/>
    <n v="0.06"/>
    <n v="0.02"/>
    <n v="0.02"/>
    <n v="0.02"/>
    <n v="0.9"/>
    <n v="180000"/>
    <n v="176460"/>
    <n v="304980"/>
    <n v="210120"/>
    <n v="408000"/>
    <n v="140000"/>
  </r>
  <r>
    <x v="0"/>
    <x v="0"/>
    <x v="9"/>
    <s v="Internal Medicine Ret20USU"/>
    <n v="2015"/>
    <x v="2"/>
    <n v="152565.98092317433"/>
    <n v="0.02"/>
    <n v="0.01"/>
    <n v="0.01"/>
    <n v="6.2100000000000002E-2"/>
    <n v="0.03"/>
    <n v="0.02"/>
    <n v="0.06"/>
    <n v="0.02"/>
    <n v="0.02"/>
    <n v="0.02"/>
    <n v="0.9"/>
    <n v="180000"/>
    <n v="176460"/>
    <n v="304980"/>
    <n v="210120"/>
    <n v="408000"/>
    <n v="140000"/>
  </r>
  <r>
    <x v="0"/>
    <x v="0"/>
    <x v="9"/>
    <s v="Internal Medicine Ret20USU"/>
    <n v="2016"/>
    <x v="3"/>
    <n v="204951.40008844491"/>
    <n v="0.02"/>
    <n v="0.01"/>
    <n v="0.01"/>
    <n v="6.2100000000000002E-2"/>
    <n v="0.03"/>
    <n v="0.02"/>
    <n v="0.06"/>
    <n v="0.02"/>
    <n v="0.02"/>
    <n v="0.02"/>
    <n v="0.9"/>
    <n v="180000"/>
    <n v="176460"/>
    <n v="304980"/>
    <n v="210120"/>
    <n v="408000"/>
    <n v="140000"/>
  </r>
  <r>
    <x v="0"/>
    <x v="0"/>
    <x v="9"/>
    <s v="Internal Medicine Ret20USU"/>
    <n v="2017"/>
    <x v="4"/>
    <n v="264104.65274828218"/>
    <n v="0.02"/>
    <n v="0.01"/>
    <n v="0.01"/>
    <n v="6.2100000000000002E-2"/>
    <n v="0.03"/>
    <n v="0.02"/>
    <n v="0.06"/>
    <n v="0.02"/>
    <n v="0.02"/>
    <n v="0.02"/>
    <n v="0.9"/>
    <n v="180000"/>
    <n v="176460"/>
    <n v="304980"/>
    <n v="210120"/>
    <n v="408000"/>
    <n v="140000"/>
  </r>
  <r>
    <x v="0"/>
    <x v="0"/>
    <x v="9"/>
    <s v="Internal Medicine Ret20USU"/>
    <n v="2018"/>
    <x v="5"/>
    <n v="322956.40336350905"/>
    <n v="0.02"/>
    <n v="0.01"/>
    <n v="0.01"/>
    <n v="6.2100000000000002E-2"/>
    <n v="0.03"/>
    <n v="0.02"/>
    <n v="0.06"/>
    <n v="0.02"/>
    <n v="0.02"/>
    <n v="0.02"/>
    <n v="0.9"/>
    <n v="180000"/>
    <n v="176460"/>
    <n v="304980"/>
    <n v="210120"/>
    <n v="408000"/>
    <n v="140000"/>
  </r>
  <r>
    <x v="0"/>
    <x v="0"/>
    <x v="9"/>
    <s v="Internal Medicine Ret20USU"/>
    <n v="2019"/>
    <x v="6"/>
    <n v="382458.16257085698"/>
    <n v="0.02"/>
    <n v="0.01"/>
    <n v="0.01"/>
    <n v="6.2100000000000002E-2"/>
    <n v="0.03"/>
    <n v="0.02"/>
    <n v="0.06"/>
    <n v="0.02"/>
    <n v="0.02"/>
    <n v="0.02"/>
    <n v="0.9"/>
    <n v="180000"/>
    <n v="176460"/>
    <n v="304980"/>
    <n v="210120"/>
    <n v="408000"/>
    <n v="140000"/>
  </r>
  <r>
    <x v="0"/>
    <x v="0"/>
    <x v="9"/>
    <s v="Internal Medicine Ret20USU"/>
    <n v="2020"/>
    <x v="7"/>
    <n v="449391.04775539273"/>
    <n v="0.02"/>
    <n v="0.01"/>
    <n v="0.01"/>
    <n v="6.2100000000000002E-2"/>
    <n v="0.03"/>
    <n v="0.02"/>
    <n v="0.06"/>
    <n v="0.02"/>
    <n v="0.02"/>
    <n v="0.02"/>
    <n v="0.9"/>
    <n v="180000"/>
    <n v="176460"/>
    <n v="304980"/>
    <n v="210120"/>
    <n v="408000"/>
    <n v="140000"/>
  </r>
  <r>
    <x v="0"/>
    <x v="0"/>
    <x v="9"/>
    <s v="Internal Medicine Ret20USU"/>
    <n v="2021"/>
    <x v="8"/>
    <n v="515983.72294949042"/>
    <n v="0.02"/>
    <n v="0.01"/>
    <n v="0.01"/>
    <n v="6.2100000000000002E-2"/>
    <n v="0.03"/>
    <n v="0.02"/>
    <n v="0.06"/>
    <n v="0.02"/>
    <n v="0.02"/>
    <n v="0.02"/>
    <n v="0.9"/>
    <n v="180000"/>
    <n v="176460"/>
    <n v="304980"/>
    <n v="210120"/>
    <n v="408000"/>
    <n v="140000"/>
  </r>
  <r>
    <x v="0"/>
    <x v="0"/>
    <x v="9"/>
    <s v="Internal Medicine Ret20USU"/>
    <n v="2022"/>
    <x v="9"/>
    <n v="580064.96873661608"/>
    <n v="0.02"/>
    <n v="0.01"/>
    <n v="0.01"/>
    <n v="6.2100000000000002E-2"/>
    <n v="0.03"/>
    <n v="0.02"/>
    <n v="0.06"/>
    <n v="0.02"/>
    <n v="0.02"/>
    <n v="0.02"/>
    <n v="0.9"/>
    <n v="180000"/>
    <n v="176460"/>
    <n v="304980"/>
    <n v="210120"/>
    <n v="408000"/>
    <n v="140000"/>
  </r>
  <r>
    <x v="0"/>
    <x v="0"/>
    <x v="9"/>
    <s v="Internal Medicine Ret20USU"/>
    <n v="2023"/>
    <x v="10"/>
    <n v="649438.22706837987"/>
    <n v="0.02"/>
    <n v="0.01"/>
    <n v="0.01"/>
    <n v="6.2100000000000002E-2"/>
    <n v="0.03"/>
    <n v="0.02"/>
    <n v="0.06"/>
    <n v="0.02"/>
    <n v="0.02"/>
    <n v="0.02"/>
    <n v="0.9"/>
    <n v="180000"/>
    <n v="176460"/>
    <n v="304980"/>
    <n v="210120"/>
    <n v="408000"/>
    <n v="140000"/>
  </r>
  <r>
    <x v="0"/>
    <x v="0"/>
    <x v="9"/>
    <s v="Internal Medicine Ret20USU"/>
    <n v="2024"/>
    <x v="11"/>
    <n v="716189.04149486462"/>
    <n v="0.02"/>
    <n v="0.01"/>
    <n v="0.01"/>
    <n v="6.2100000000000002E-2"/>
    <n v="0.03"/>
    <n v="0.02"/>
    <n v="0.06"/>
    <n v="0.02"/>
    <n v="0.02"/>
    <n v="0.02"/>
    <n v="0.9"/>
    <n v="180000"/>
    <n v="176460"/>
    <n v="304980"/>
    <n v="210120"/>
    <n v="408000"/>
    <n v="140000"/>
  </r>
  <r>
    <x v="0"/>
    <x v="0"/>
    <x v="9"/>
    <s v="Internal Medicine Ret20USU"/>
    <n v="2025"/>
    <x v="12"/>
    <n v="781708.39071443689"/>
    <n v="0.02"/>
    <n v="0.01"/>
    <n v="0.01"/>
    <n v="6.2100000000000002E-2"/>
    <n v="0.03"/>
    <n v="0.02"/>
    <n v="0.06"/>
    <n v="0.02"/>
    <n v="0.02"/>
    <n v="0.02"/>
    <n v="0.9"/>
    <n v="180000"/>
    <n v="176460"/>
    <n v="304980"/>
    <n v="210120"/>
    <n v="408000"/>
    <n v="140000"/>
  </r>
  <r>
    <x v="0"/>
    <x v="0"/>
    <x v="9"/>
    <s v="Internal Medicine Ret20USU"/>
    <n v="2026"/>
    <x v="13"/>
    <n v="844750.87308346853"/>
    <n v="0.02"/>
    <n v="0.01"/>
    <n v="0.01"/>
    <n v="6.2100000000000002E-2"/>
    <n v="0.03"/>
    <n v="0.02"/>
    <n v="0.06"/>
    <n v="0.02"/>
    <n v="0.02"/>
    <n v="0.02"/>
    <n v="0.9"/>
    <n v="180000"/>
    <n v="176460"/>
    <n v="304980"/>
    <n v="210120"/>
    <n v="408000"/>
    <n v="140000"/>
  </r>
  <r>
    <x v="0"/>
    <x v="0"/>
    <x v="9"/>
    <s v="Internal Medicine Ret20USU"/>
    <n v="2027"/>
    <x v="14"/>
    <n v="926994.03178796405"/>
    <n v="0.02"/>
    <n v="0.01"/>
    <n v="0.01"/>
    <n v="6.2100000000000002E-2"/>
    <n v="0.03"/>
    <n v="0.02"/>
    <n v="0.06"/>
    <n v="0.02"/>
    <n v="0.02"/>
    <n v="0.02"/>
    <n v="0.9"/>
    <n v="180000"/>
    <n v="176460"/>
    <n v="304980"/>
    <n v="210120"/>
    <n v="408000"/>
    <n v="140000"/>
  </r>
  <r>
    <x v="0"/>
    <x v="0"/>
    <x v="9"/>
    <s v="Internal Medicine Ret20USU"/>
    <n v="2028"/>
    <x v="15"/>
    <n v="1006071.2758046327"/>
    <n v="0.02"/>
    <n v="0.01"/>
    <n v="0.01"/>
    <n v="6.2100000000000002E-2"/>
    <n v="0.03"/>
    <n v="0.02"/>
    <n v="0.06"/>
    <n v="0.02"/>
    <n v="0.02"/>
    <n v="0.02"/>
    <n v="0.9"/>
    <n v="180000"/>
    <n v="176460"/>
    <n v="304980"/>
    <n v="210120"/>
    <n v="408000"/>
    <n v="140000"/>
  </r>
  <r>
    <x v="0"/>
    <x v="0"/>
    <x v="9"/>
    <s v="Internal Medicine Ret20USU"/>
    <n v="2029"/>
    <x v="16"/>
    <n v="1084555.7377875769"/>
    <n v="0.02"/>
    <n v="0.01"/>
    <n v="0.01"/>
    <n v="6.2100000000000002E-2"/>
    <n v="0.03"/>
    <n v="0.02"/>
    <n v="0.06"/>
    <n v="0.02"/>
    <n v="0.02"/>
    <n v="0.02"/>
    <n v="0.9"/>
    <n v="180000"/>
    <n v="176460"/>
    <n v="304980"/>
    <n v="210120"/>
    <n v="408000"/>
    <n v="140000"/>
  </r>
  <r>
    <x v="0"/>
    <x v="0"/>
    <x v="9"/>
    <s v="Internal Medicine Ret20USU"/>
    <n v="2030"/>
    <x v="17"/>
    <n v="1160018.8301040474"/>
    <n v="0.02"/>
    <n v="0.01"/>
    <n v="0.01"/>
    <n v="6.2100000000000002E-2"/>
    <n v="0.03"/>
    <n v="0.02"/>
    <n v="0.06"/>
    <n v="0.02"/>
    <n v="0.02"/>
    <n v="0.02"/>
    <n v="0.9"/>
    <n v="180000"/>
    <n v="176460"/>
    <n v="304980"/>
    <n v="210120"/>
    <n v="408000"/>
    <n v="140000"/>
  </r>
  <r>
    <x v="0"/>
    <x v="0"/>
    <x v="9"/>
    <s v="Internal Medicine Ret20USU"/>
    <n v="2031"/>
    <x v="18"/>
    <n v="1233744.2611591651"/>
    <n v="0.02"/>
    <n v="0.01"/>
    <n v="0.01"/>
    <n v="6.2100000000000002E-2"/>
    <n v="0.03"/>
    <n v="0.02"/>
    <n v="0.06"/>
    <n v="0.02"/>
    <n v="0.02"/>
    <n v="0.02"/>
    <n v="0.9"/>
    <n v="180000"/>
    <n v="176460"/>
    <n v="304980"/>
    <n v="210120"/>
    <n v="408000"/>
    <n v="140000"/>
  </r>
  <r>
    <x v="0"/>
    <x v="0"/>
    <x v="9"/>
    <s v="Internal Medicine Ret20USU"/>
    <n v="2032"/>
    <x v="19"/>
    <n v="1304631.5657249202"/>
    <n v="0.02"/>
    <n v="0.01"/>
    <n v="0.01"/>
    <n v="6.2100000000000002E-2"/>
    <n v="0.03"/>
    <n v="0.02"/>
    <n v="0.06"/>
    <n v="0.02"/>
    <n v="0.02"/>
    <n v="0.02"/>
    <n v="0.9"/>
    <n v="180000"/>
    <n v="176460"/>
    <n v="304980"/>
    <n v="210120"/>
    <n v="408000"/>
    <n v="140000"/>
  </r>
  <r>
    <x v="0"/>
    <x v="0"/>
    <x v="9"/>
    <s v="Internal Medicine Ret20USU"/>
    <n v="2033"/>
    <x v="20"/>
    <n v="1374441.5394505134"/>
    <n v="0.02"/>
    <n v="0.01"/>
    <n v="0.01"/>
    <n v="6.2100000000000002E-2"/>
    <n v="0.03"/>
    <n v="0.02"/>
    <n v="0.06"/>
    <n v="0.02"/>
    <n v="0.02"/>
    <n v="0.02"/>
    <n v="0.9"/>
    <n v="180000"/>
    <n v="176460"/>
    <n v="304980"/>
    <n v="210120"/>
    <n v="408000"/>
    <n v="140000"/>
  </r>
  <r>
    <x v="0"/>
    <x v="0"/>
    <x v="9"/>
    <s v="Internal Medicine Ret20USU"/>
    <n v="2034"/>
    <x v="21"/>
    <n v="1441564.0686356374"/>
    <n v="0.02"/>
    <n v="0.01"/>
    <n v="0.01"/>
    <n v="6.2100000000000002E-2"/>
    <n v="0.03"/>
    <n v="0.02"/>
    <n v="0.06"/>
    <n v="0.02"/>
    <n v="0.02"/>
    <n v="0.02"/>
    <n v="0.9"/>
    <n v="180000"/>
    <n v="176460"/>
    <n v="304980"/>
    <n v="210120"/>
    <n v="408000"/>
    <n v="140000"/>
  </r>
  <r>
    <x v="0"/>
    <x v="0"/>
    <x v="9"/>
    <s v="Internal Medicine Ret20USU"/>
    <n v="2035"/>
    <x v="22"/>
    <n v="1509637.5476040263"/>
    <n v="0.02"/>
    <n v="0.01"/>
    <n v="0.01"/>
    <n v="6.2100000000000002E-2"/>
    <n v="0.03"/>
    <n v="0.02"/>
    <n v="0.06"/>
    <n v="0.02"/>
    <n v="0.02"/>
    <n v="0.02"/>
    <n v="0.9"/>
    <n v="180000"/>
    <n v="176460"/>
    <n v="304980"/>
    <n v="210120"/>
    <n v="408000"/>
    <n v="140000"/>
  </r>
  <r>
    <x v="0"/>
    <x v="0"/>
    <x v="9"/>
    <s v="Internal Medicine Ret20USU"/>
    <n v="2036"/>
    <x v="23"/>
    <n v="1575084.6704190567"/>
    <n v="0.02"/>
    <n v="0.01"/>
    <n v="0.01"/>
    <n v="6.2100000000000002E-2"/>
    <n v="0.03"/>
    <n v="0.02"/>
    <n v="0.06"/>
    <n v="0.02"/>
    <n v="0.02"/>
    <n v="0.02"/>
    <n v="0.9"/>
    <n v="180000"/>
    <n v="176460"/>
    <n v="304980"/>
    <n v="210120"/>
    <n v="408000"/>
    <n v="140000"/>
  </r>
  <r>
    <x v="0"/>
    <x v="0"/>
    <x v="9"/>
    <s v="Internal Medicine Ret20USU"/>
    <n v="2037"/>
    <x v="24"/>
    <n v="1626407.7741613511"/>
    <n v="0.02"/>
    <n v="0.01"/>
    <n v="0.01"/>
    <n v="6.2100000000000002E-2"/>
    <n v="0.03"/>
    <n v="0.02"/>
    <n v="0.06"/>
    <n v="0.02"/>
    <n v="0.02"/>
    <n v="0.02"/>
    <n v="0.9"/>
    <n v="180000"/>
    <n v="176460"/>
    <n v="304980"/>
    <n v="210120"/>
    <n v="408000"/>
    <n v="140000"/>
  </r>
  <r>
    <x v="0"/>
    <x v="0"/>
    <x v="9"/>
    <s v="Internal Medicine Ret20USU"/>
    <n v="2038"/>
    <x v="25"/>
    <n v="1675751.5853276481"/>
    <n v="0.02"/>
    <n v="0.01"/>
    <n v="0.01"/>
    <n v="6.2100000000000002E-2"/>
    <n v="0.03"/>
    <n v="0.02"/>
    <n v="0.06"/>
    <n v="0.02"/>
    <n v="0.02"/>
    <n v="0.02"/>
    <n v="0.9"/>
    <n v="180000"/>
    <n v="176460"/>
    <n v="304980"/>
    <n v="210120"/>
    <n v="408000"/>
    <n v="140000"/>
  </r>
  <r>
    <x v="0"/>
    <x v="0"/>
    <x v="9"/>
    <s v="Internal Medicine Ret20USU"/>
    <n v="2039"/>
    <x v="26"/>
    <n v="1746881.81088833"/>
    <n v="0.02"/>
    <n v="0.01"/>
    <n v="0.01"/>
    <n v="6.2100000000000002E-2"/>
    <n v="0.03"/>
    <n v="0.02"/>
    <n v="0.06"/>
    <n v="0.02"/>
    <n v="0.02"/>
    <n v="0.02"/>
    <n v="0.9"/>
    <n v="180000"/>
    <n v="176460"/>
    <n v="304980"/>
    <n v="210120"/>
    <n v="408000"/>
    <n v="140000"/>
  </r>
  <r>
    <x v="0"/>
    <x v="0"/>
    <x v="9"/>
    <s v="Internal Medicine Ret20USU"/>
    <n v="2040"/>
    <x v="27"/>
    <n v="1816284.0999020864"/>
    <n v="0.02"/>
    <n v="0.01"/>
    <n v="0.01"/>
    <n v="6.2100000000000002E-2"/>
    <n v="0.03"/>
    <n v="0.02"/>
    <n v="0.06"/>
    <n v="0.02"/>
    <n v="0.02"/>
    <n v="0.02"/>
    <n v="0.9"/>
    <n v="180000"/>
    <n v="176460"/>
    <n v="304980"/>
    <n v="210120"/>
    <n v="408000"/>
    <n v="140000"/>
  </r>
  <r>
    <x v="0"/>
    <x v="0"/>
    <x v="9"/>
    <s v="Internal Medicine Ret20USU"/>
    <n v="2041"/>
    <x v="28"/>
    <n v="1884004.3356644718"/>
    <n v="0.02"/>
    <n v="0.01"/>
    <n v="0.01"/>
    <n v="6.2100000000000002E-2"/>
    <n v="0.03"/>
    <n v="0.02"/>
    <n v="0.06"/>
    <n v="0.02"/>
    <n v="0.02"/>
    <n v="0.02"/>
    <n v="0.9"/>
    <n v="180000"/>
    <n v="176460"/>
    <n v="304980"/>
    <n v="210120"/>
    <n v="408000"/>
    <n v="140000"/>
  </r>
  <r>
    <x v="0"/>
    <x v="0"/>
    <x v="9"/>
    <s v="Internal Medicine Ret20USU"/>
    <n v="2042"/>
    <x v="29"/>
    <n v="1950087.0634704037"/>
    <n v="0.02"/>
    <n v="0.01"/>
    <n v="0.01"/>
    <n v="6.2100000000000002E-2"/>
    <n v="0.03"/>
    <n v="0.02"/>
    <n v="0.06"/>
    <n v="0.02"/>
    <n v="0.02"/>
    <n v="0.02"/>
    <n v="0.9"/>
    <n v="180000"/>
    <n v="176460"/>
    <n v="304980"/>
    <n v="210120"/>
    <n v="408000"/>
    <n v="140000"/>
  </r>
  <r>
    <x v="0"/>
    <x v="0"/>
    <x v="10"/>
    <s v="Internal Medicine Ret20HPSP"/>
    <n v="2013"/>
    <x v="0"/>
    <n v="41042.997114989732"/>
    <n v="0.02"/>
    <n v="0.01"/>
    <n v="0.01"/>
    <n v="6.2100000000000002E-2"/>
    <n v="0.03"/>
    <n v="0.02"/>
    <n v="0.06"/>
    <n v="0.02"/>
    <n v="0.02"/>
    <n v="0.02"/>
    <n v="0.9"/>
    <n v="180000"/>
    <n v="176460"/>
    <n v="304980"/>
    <n v="210120"/>
    <n v="408000"/>
    <n v="140000"/>
  </r>
  <r>
    <x v="0"/>
    <x v="0"/>
    <x v="10"/>
    <s v="Internal Medicine Ret20HPSP"/>
    <n v="2014"/>
    <x v="1"/>
    <n v="65715.375570480697"/>
    <n v="0.02"/>
    <n v="0.01"/>
    <n v="0.01"/>
    <n v="6.2100000000000002E-2"/>
    <n v="0.03"/>
    <n v="0.02"/>
    <n v="0.06"/>
    <n v="0.02"/>
    <n v="0.02"/>
    <n v="0.02"/>
    <n v="0.9"/>
    <n v="180000"/>
    <n v="176460"/>
    <n v="304980"/>
    <n v="210120"/>
    <n v="408000"/>
    <n v="140000"/>
  </r>
  <r>
    <x v="0"/>
    <x v="0"/>
    <x v="10"/>
    <s v="Internal Medicine Ret20HPSP"/>
    <n v="2015"/>
    <x v="2"/>
    <n v="89584.222784524245"/>
    <n v="0.02"/>
    <n v="0.01"/>
    <n v="0.01"/>
    <n v="6.2100000000000002E-2"/>
    <n v="0.03"/>
    <n v="0.02"/>
    <n v="0.06"/>
    <n v="0.02"/>
    <n v="0.02"/>
    <n v="0.02"/>
    <n v="0.9"/>
    <n v="180000"/>
    <n v="176460"/>
    <n v="304980"/>
    <n v="210120"/>
    <n v="408000"/>
    <n v="140000"/>
  </r>
  <r>
    <x v="0"/>
    <x v="0"/>
    <x v="10"/>
    <s v="Internal Medicine Ret20HPSP"/>
    <n v="2016"/>
    <x v="3"/>
    <n v="113201.76547692725"/>
    <n v="0.02"/>
    <n v="0.01"/>
    <n v="0.01"/>
    <n v="6.2100000000000002E-2"/>
    <n v="0.03"/>
    <n v="0.02"/>
    <n v="0.06"/>
    <n v="0.02"/>
    <n v="0.02"/>
    <n v="0.02"/>
    <n v="0.9"/>
    <n v="180000"/>
    <n v="176460"/>
    <n v="304980"/>
    <n v="210120"/>
    <n v="408000"/>
    <n v="140000"/>
  </r>
  <r>
    <x v="0"/>
    <x v="0"/>
    <x v="10"/>
    <s v="Internal Medicine Ret20HPSP"/>
    <n v="2017"/>
    <x v="4"/>
    <n v="172355.01813676453"/>
    <n v="0.02"/>
    <n v="0.01"/>
    <n v="0.01"/>
    <n v="6.2100000000000002E-2"/>
    <n v="0.03"/>
    <n v="0.02"/>
    <n v="0.06"/>
    <n v="0.02"/>
    <n v="0.02"/>
    <n v="0.02"/>
    <n v="0.9"/>
    <n v="180000"/>
    <n v="176460"/>
    <n v="304980"/>
    <n v="210120"/>
    <n v="408000"/>
    <n v="140000"/>
  </r>
  <r>
    <x v="0"/>
    <x v="0"/>
    <x v="10"/>
    <s v="Internal Medicine Ret20HPSP"/>
    <n v="2018"/>
    <x v="5"/>
    <n v="231206.76875199139"/>
    <n v="0.02"/>
    <n v="0.01"/>
    <n v="0.01"/>
    <n v="6.2100000000000002E-2"/>
    <n v="0.03"/>
    <n v="0.02"/>
    <n v="0.06"/>
    <n v="0.02"/>
    <n v="0.02"/>
    <n v="0.02"/>
    <n v="0.9"/>
    <n v="180000"/>
    <n v="176460"/>
    <n v="304980"/>
    <n v="210120"/>
    <n v="408000"/>
    <n v="140000"/>
  </r>
  <r>
    <x v="0"/>
    <x v="0"/>
    <x v="10"/>
    <s v="Internal Medicine Ret20HPSP"/>
    <n v="2019"/>
    <x v="6"/>
    <n v="290708.52795933932"/>
    <n v="0.02"/>
    <n v="0.01"/>
    <n v="0.01"/>
    <n v="6.2100000000000002E-2"/>
    <n v="0.03"/>
    <n v="0.02"/>
    <n v="0.06"/>
    <n v="0.02"/>
    <n v="0.02"/>
    <n v="0.02"/>
    <n v="0.9"/>
    <n v="180000"/>
    <n v="176460"/>
    <n v="304980"/>
    <n v="210120"/>
    <n v="408000"/>
    <n v="140000"/>
  </r>
  <r>
    <x v="0"/>
    <x v="0"/>
    <x v="10"/>
    <s v="Internal Medicine Ret20HPSP"/>
    <n v="2020"/>
    <x v="7"/>
    <n v="357641.41314387508"/>
    <n v="0.02"/>
    <n v="0.01"/>
    <n v="0.01"/>
    <n v="6.2100000000000002E-2"/>
    <n v="0.03"/>
    <n v="0.02"/>
    <n v="0.06"/>
    <n v="0.02"/>
    <n v="0.02"/>
    <n v="0.02"/>
    <n v="0.9"/>
    <n v="180000"/>
    <n v="176460"/>
    <n v="304980"/>
    <n v="210120"/>
    <n v="408000"/>
    <n v="140000"/>
  </r>
  <r>
    <x v="0"/>
    <x v="0"/>
    <x v="10"/>
    <s v="Internal Medicine Ret20HPSP"/>
    <n v="2021"/>
    <x v="8"/>
    <n v="424234.08833797276"/>
    <n v="0.02"/>
    <n v="0.01"/>
    <n v="0.01"/>
    <n v="6.2100000000000002E-2"/>
    <n v="0.03"/>
    <n v="0.02"/>
    <n v="0.06"/>
    <n v="0.02"/>
    <n v="0.02"/>
    <n v="0.02"/>
    <n v="0.9"/>
    <n v="180000"/>
    <n v="176460"/>
    <n v="304980"/>
    <n v="210120"/>
    <n v="408000"/>
    <n v="140000"/>
  </r>
  <r>
    <x v="0"/>
    <x v="0"/>
    <x v="10"/>
    <s v="Internal Medicine Ret20HPSP"/>
    <n v="2022"/>
    <x v="9"/>
    <n v="488315.33412509848"/>
    <n v="0.02"/>
    <n v="0.01"/>
    <n v="0.01"/>
    <n v="6.2100000000000002E-2"/>
    <n v="0.03"/>
    <n v="0.02"/>
    <n v="0.06"/>
    <n v="0.02"/>
    <n v="0.02"/>
    <n v="0.02"/>
    <n v="0.9"/>
    <n v="180000"/>
    <n v="176460"/>
    <n v="304980"/>
    <n v="210120"/>
    <n v="408000"/>
    <n v="140000"/>
  </r>
  <r>
    <x v="0"/>
    <x v="0"/>
    <x v="10"/>
    <s v="Internal Medicine Ret20HPSP"/>
    <n v="2023"/>
    <x v="10"/>
    <n v="557688.59245686233"/>
    <n v="0.02"/>
    <n v="0.01"/>
    <n v="0.01"/>
    <n v="6.2100000000000002E-2"/>
    <n v="0.03"/>
    <n v="0.02"/>
    <n v="0.06"/>
    <n v="0.02"/>
    <n v="0.02"/>
    <n v="0.02"/>
    <n v="0.9"/>
    <n v="180000"/>
    <n v="176460"/>
    <n v="304980"/>
    <n v="210120"/>
    <n v="408000"/>
    <n v="140000"/>
  </r>
  <r>
    <x v="0"/>
    <x v="0"/>
    <x v="10"/>
    <s v="Internal Medicine Ret20HPSP"/>
    <n v="2024"/>
    <x v="11"/>
    <n v="646437.49515327194"/>
    <n v="0.02"/>
    <n v="0.01"/>
    <n v="0.01"/>
    <n v="6.2100000000000002E-2"/>
    <n v="0.03"/>
    <n v="0.02"/>
    <n v="0.06"/>
    <n v="0.02"/>
    <n v="0.02"/>
    <n v="0.02"/>
    <n v="0.9"/>
    <n v="180000"/>
    <n v="176460"/>
    <n v="304980"/>
    <n v="210120"/>
    <n v="408000"/>
    <n v="140000"/>
  </r>
  <r>
    <x v="0"/>
    <x v="0"/>
    <x v="10"/>
    <s v="Internal Medicine Ret20HPSP"/>
    <n v="2025"/>
    <x v="12"/>
    <n v="733183.9947550724"/>
    <n v="0.02"/>
    <n v="0.01"/>
    <n v="0.01"/>
    <n v="6.2100000000000002E-2"/>
    <n v="0.03"/>
    <n v="0.02"/>
    <n v="0.06"/>
    <n v="0.02"/>
    <n v="0.02"/>
    <n v="0.02"/>
    <n v="0.9"/>
    <n v="180000"/>
    <n v="176460"/>
    <n v="304980"/>
    <n v="210120"/>
    <n v="408000"/>
    <n v="140000"/>
  </r>
  <r>
    <x v="0"/>
    <x v="0"/>
    <x v="10"/>
    <s v="Internal Medicine Ret20HPSP"/>
    <n v="2026"/>
    <x v="13"/>
    <n v="816591.30131568294"/>
    <n v="0.02"/>
    <n v="0.01"/>
    <n v="0.01"/>
    <n v="6.2100000000000002E-2"/>
    <n v="0.03"/>
    <n v="0.02"/>
    <n v="0.06"/>
    <n v="0.02"/>
    <n v="0.02"/>
    <n v="0.02"/>
    <n v="0.9"/>
    <n v="180000"/>
    <n v="176460"/>
    <n v="304980"/>
    <n v="210120"/>
    <n v="408000"/>
    <n v="140000"/>
  </r>
  <r>
    <x v="0"/>
    <x v="0"/>
    <x v="10"/>
    <s v="Internal Medicine Ret20HPSP"/>
    <n v="2027"/>
    <x v="14"/>
    <n v="898834.46002017846"/>
    <n v="0.02"/>
    <n v="0.01"/>
    <n v="0.01"/>
    <n v="6.2100000000000002E-2"/>
    <n v="0.03"/>
    <n v="0.02"/>
    <n v="0.06"/>
    <n v="0.02"/>
    <n v="0.02"/>
    <n v="0.02"/>
    <n v="0.9"/>
    <n v="180000"/>
    <n v="176460"/>
    <n v="304980"/>
    <n v="210120"/>
    <n v="408000"/>
    <n v="140000"/>
  </r>
  <r>
    <x v="0"/>
    <x v="0"/>
    <x v="10"/>
    <s v="Internal Medicine Ret20HPSP"/>
    <n v="2028"/>
    <x v="15"/>
    <n v="977911.70403684711"/>
    <n v="0.02"/>
    <n v="0.01"/>
    <n v="0.01"/>
    <n v="6.2100000000000002E-2"/>
    <n v="0.03"/>
    <n v="0.02"/>
    <n v="0.06"/>
    <n v="0.02"/>
    <n v="0.02"/>
    <n v="0.02"/>
    <n v="0.9"/>
    <n v="180000"/>
    <n v="176460"/>
    <n v="304980"/>
    <n v="210120"/>
    <n v="408000"/>
    <n v="140000"/>
  </r>
  <r>
    <x v="0"/>
    <x v="0"/>
    <x v="10"/>
    <s v="Internal Medicine Ret20HPSP"/>
    <n v="2029"/>
    <x v="16"/>
    <n v="1056396.1660197913"/>
    <n v="0.02"/>
    <n v="0.01"/>
    <n v="0.01"/>
    <n v="6.2100000000000002E-2"/>
    <n v="0.03"/>
    <n v="0.02"/>
    <n v="0.06"/>
    <n v="0.02"/>
    <n v="0.02"/>
    <n v="0.02"/>
    <n v="0.9"/>
    <n v="180000"/>
    <n v="176460"/>
    <n v="304980"/>
    <n v="210120"/>
    <n v="408000"/>
    <n v="140000"/>
  </r>
  <r>
    <x v="0"/>
    <x v="0"/>
    <x v="10"/>
    <s v="Internal Medicine Ret20HPSP"/>
    <n v="2030"/>
    <x v="17"/>
    <n v="1131859.2583362618"/>
    <n v="0.02"/>
    <n v="0.01"/>
    <n v="0.01"/>
    <n v="6.2100000000000002E-2"/>
    <n v="0.03"/>
    <n v="0.02"/>
    <n v="0.06"/>
    <n v="0.02"/>
    <n v="0.02"/>
    <n v="0.02"/>
    <n v="0.9"/>
    <n v="180000"/>
    <n v="176460"/>
    <n v="304980"/>
    <n v="210120"/>
    <n v="408000"/>
    <n v="140000"/>
  </r>
  <r>
    <x v="0"/>
    <x v="0"/>
    <x v="10"/>
    <s v="Internal Medicine Ret20HPSP"/>
    <n v="2031"/>
    <x v="18"/>
    <n v="1205584.6893913795"/>
    <n v="0.02"/>
    <n v="0.01"/>
    <n v="0.01"/>
    <n v="6.2100000000000002E-2"/>
    <n v="0.03"/>
    <n v="0.02"/>
    <n v="0.06"/>
    <n v="0.02"/>
    <n v="0.02"/>
    <n v="0.02"/>
    <n v="0.9"/>
    <n v="180000"/>
    <n v="176460"/>
    <n v="304980"/>
    <n v="210120"/>
    <n v="408000"/>
    <n v="140000"/>
  </r>
  <r>
    <x v="0"/>
    <x v="0"/>
    <x v="10"/>
    <s v="Internal Medicine Ret20HPSP"/>
    <n v="2032"/>
    <x v="19"/>
    <n v="1276471.9939571347"/>
    <n v="0.02"/>
    <n v="0.01"/>
    <n v="0.01"/>
    <n v="6.2100000000000002E-2"/>
    <n v="0.03"/>
    <n v="0.02"/>
    <n v="0.06"/>
    <n v="0.02"/>
    <n v="0.02"/>
    <n v="0.02"/>
    <n v="0.9"/>
    <n v="180000"/>
    <n v="176460"/>
    <n v="304980"/>
    <n v="210120"/>
    <n v="408000"/>
    <n v="140000"/>
  </r>
  <r>
    <x v="0"/>
    <x v="0"/>
    <x v="10"/>
    <s v="Internal Medicine Ret20HPSP"/>
    <n v="2033"/>
    <x v="20"/>
    <n v="1346281.9676827278"/>
    <n v="0.02"/>
    <n v="0.01"/>
    <n v="0.01"/>
    <n v="6.2100000000000002E-2"/>
    <n v="0.03"/>
    <n v="0.02"/>
    <n v="0.06"/>
    <n v="0.02"/>
    <n v="0.02"/>
    <n v="0.02"/>
    <n v="0.9"/>
    <n v="180000"/>
    <n v="176460"/>
    <n v="304980"/>
    <n v="210120"/>
    <n v="408000"/>
    <n v="140000"/>
  </r>
  <r>
    <x v="0"/>
    <x v="0"/>
    <x v="10"/>
    <s v="Internal Medicine Ret20HPSP"/>
    <n v="2034"/>
    <x v="21"/>
    <n v="1413404.4968678518"/>
    <n v="0.02"/>
    <n v="0.01"/>
    <n v="0.01"/>
    <n v="6.2100000000000002E-2"/>
    <n v="0.03"/>
    <n v="0.02"/>
    <n v="0.06"/>
    <n v="0.02"/>
    <n v="0.02"/>
    <n v="0.02"/>
    <n v="0.9"/>
    <n v="180000"/>
    <n v="176460"/>
    <n v="304980"/>
    <n v="210120"/>
    <n v="408000"/>
    <n v="140000"/>
  </r>
  <r>
    <x v="0"/>
    <x v="0"/>
    <x v="10"/>
    <s v="Internal Medicine Ret20HPSP"/>
    <n v="2035"/>
    <x v="22"/>
    <n v="1481477.9758362407"/>
    <n v="0.02"/>
    <n v="0.01"/>
    <n v="0.01"/>
    <n v="6.2100000000000002E-2"/>
    <n v="0.03"/>
    <n v="0.02"/>
    <n v="0.06"/>
    <n v="0.02"/>
    <n v="0.02"/>
    <n v="0.02"/>
    <n v="0.9"/>
    <n v="180000"/>
    <n v="176460"/>
    <n v="304980"/>
    <n v="210120"/>
    <n v="408000"/>
    <n v="140000"/>
  </r>
  <r>
    <x v="0"/>
    <x v="0"/>
    <x v="10"/>
    <s v="Internal Medicine Ret20HPSP"/>
    <n v="2036"/>
    <x v="23"/>
    <n v="1546925.0986512711"/>
    <n v="0.02"/>
    <n v="0.01"/>
    <n v="0.01"/>
    <n v="6.2100000000000002E-2"/>
    <n v="0.03"/>
    <n v="0.02"/>
    <n v="0.06"/>
    <n v="0.02"/>
    <n v="0.02"/>
    <n v="0.02"/>
    <n v="0.9"/>
    <n v="180000"/>
    <n v="176460"/>
    <n v="304980"/>
    <n v="210120"/>
    <n v="408000"/>
    <n v="140000"/>
  </r>
  <r>
    <x v="0"/>
    <x v="0"/>
    <x v="10"/>
    <s v="Internal Medicine Ret20HPSP"/>
    <n v="2037"/>
    <x v="24"/>
    <n v="1596981.3522686469"/>
    <n v="0.02"/>
    <n v="0.01"/>
    <n v="0.01"/>
    <n v="6.2100000000000002E-2"/>
    <n v="0.03"/>
    <n v="0.02"/>
    <n v="0.06"/>
    <n v="0.02"/>
    <n v="0.02"/>
    <n v="0.02"/>
    <n v="0.9"/>
    <n v="180000"/>
    <n v="176460"/>
    <n v="304980"/>
    <n v="210120"/>
    <n v="408000"/>
    <n v="140000"/>
  </r>
  <r>
    <x v="0"/>
    <x v="0"/>
    <x v="10"/>
    <s v="Internal Medicine Ret20HPSP"/>
    <n v="2038"/>
    <x v="25"/>
    <n v="1645349.9222912814"/>
    <n v="0.02"/>
    <n v="0.01"/>
    <n v="0.01"/>
    <n v="6.2100000000000002E-2"/>
    <n v="0.03"/>
    <n v="0.02"/>
    <n v="0.06"/>
    <n v="0.02"/>
    <n v="0.02"/>
    <n v="0.02"/>
    <n v="0.9"/>
    <n v="180000"/>
    <n v="176460"/>
    <n v="304980"/>
    <n v="210120"/>
    <n v="408000"/>
    <n v="140000"/>
  </r>
  <r>
    <x v="0"/>
    <x v="0"/>
    <x v="10"/>
    <s v="Internal Medicine Ret20HPSP"/>
    <n v="2039"/>
    <x v="26"/>
    <n v="1692086.5328922509"/>
    <n v="0.02"/>
    <n v="0.01"/>
    <n v="0.01"/>
    <n v="6.2100000000000002E-2"/>
    <n v="0.03"/>
    <n v="0.02"/>
    <n v="0.06"/>
    <n v="0.02"/>
    <n v="0.02"/>
    <n v="0.02"/>
    <n v="0.9"/>
    <n v="180000"/>
    <n v="176460"/>
    <n v="304980"/>
    <n v="210120"/>
    <n v="408000"/>
    <n v="140000"/>
  </r>
  <r>
    <x v="0"/>
    <x v="0"/>
    <x v="10"/>
    <s v="Internal Medicine Ret20HPSP"/>
    <n v="2040"/>
    <x v="27"/>
    <n v="1761958.5220874744"/>
    <n v="0.02"/>
    <n v="0.01"/>
    <n v="0.01"/>
    <n v="6.2100000000000002E-2"/>
    <n v="0.03"/>
    <n v="0.02"/>
    <n v="0.06"/>
    <n v="0.02"/>
    <n v="0.02"/>
    <n v="0.02"/>
    <n v="0.9"/>
    <n v="180000"/>
    <n v="176460"/>
    <n v="304980"/>
    <n v="210120"/>
    <n v="408000"/>
    <n v="140000"/>
  </r>
  <r>
    <x v="0"/>
    <x v="0"/>
    <x v="10"/>
    <s v="Internal Medicine Ret20HPSP"/>
    <n v="2041"/>
    <x v="28"/>
    <n v="1830130.306663187"/>
    <n v="0.02"/>
    <n v="0.01"/>
    <n v="0.01"/>
    <n v="6.2100000000000002E-2"/>
    <n v="0.03"/>
    <n v="0.02"/>
    <n v="0.06"/>
    <n v="0.02"/>
    <n v="0.02"/>
    <n v="0.02"/>
    <n v="0.9"/>
    <n v="180000"/>
    <n v="176460"/>
    <n v="304980"/>
    <n v="210120"/>
    <n v="408000"/>
    <n v="140000"/>
  </r>
  <r>
    <x v="0"/>
    <x v="0"/>
    <x v="10"/>
    <s v="Internal Medicine Ret20HPSP"/>
    <n v="2042"/>
    <x v="29"/>
    <n v="1896647.1333663783"/>
    <n v="0.02"/>
    <n v="0.01"/>
    <n v="0.01"/>
    <n v="6.2100000000000002E-2"/>
    <n v="0.03"/>
    <n v="0.02"/>
    <n v="0.06"/>
    <n v="0.02"/>
    <n v="0.02"/>
    <n v="0.02"/>
    <n v="0.9"/>
    <n v="180000"/>
    <n v="176460"/>
    <n v="304980"/>
    <n v="210120"/>
    <n v="408000"/>
    <n v="140000"/>
  </r>
  <r>
    <x v="0"/>
    <x v="0"/>
    <x v="11"/>
    <s v="Internal Medicine USUPriv"/>
    <n v="2013"/>
    <x v="0"/>
    <n v="52525.686799999996"/>
    <n v="0.02"/>
    <n v="0.01"/>
    <n v="0.01"/>
    <n v="6.2100000000000002E-2"/>
    <n v="0.03"/>
    <n v="0.02"/>
    <n v="0.06"/>
    <n v="0.02"/>
    <n v="0.02"/>
    <n v="0.02"/>
    <n v="0.9"/>
    <n v="180000"/>
    <n v="176460"/>
    <n v="304980"/>
    <n v="210120"/>
    <n v="408000"/>
    <n v="140000"/>
  </r>
  <r>
    <x v="0"/>
    <x v="0"/>
    <x v="11"/>
    <s v="Internal Medicine USUPriv"/>
    <n v="2014"/>
    <x v="1"/>
    <n v="103045.21008954883"/>
    <n v="0.02"/>
    <n v="0.01"/>
    <n v="0.01"/>
    <n v="6.2100000000000002E-2"/>
    <n v="0.03"/>
    <n v="0.02"/>
    <n v="0.06"/>
    <n v="0.02"/>
    <n v="0.02"/>
    <n v="0.02"/>
    <n v="0.9"/>
    <n v="180000"/>
    <n v="176460"/>
    <n v="304980"/>
    <n v="210120"/>
    <n v="408000"/>
    <n v="140000"/>
  </r>
  <r>
    <x v="0"/>
    <x v="0"/>
    <x v="11"/>
    <s v="Internal Medicine USUPriv"/>
    <n v="2015"/>
    <x v="2"/>
    <n v="152565.98092317433"/>
    <n v="0.02"/>
    <n v="0.01"/>
    <n v="0.01"/>
    <n v="6.2100000000000002E-2"/>
    <n v="0.03"/>
    <n v="0.02"/>
    <n v="0.06"/>
    <n v="0.02"/>
    <n v="0.02"/>
    <n v="0.02"/>
    <n v="0.9"/>
    <n v="180000"/>
    <n v="176460"/>
    <n v="304980"/>
    <n v="210120"/>
    <n v="408000"/>
    <n v="140000"/>
  </r>
  <r>
    <x v="0"/>
    <x v="0"/>
    <x v="11"/>
    <s v="Internal Medicine USUPriv"/>
    <n v="2016"/>
    <x v="3"/>
    <n v="204951.40008844491"/>
    <n v="0.02"/>
    <n v="0.01"/>
    <n v="0.01"/>
    <n v="6.2100000000000002E-2"/>
    <n v="0.03"/>
    <n v="0.02"/>
    <n v="0.06"/>
    <n v="0.02"/>
    <n v="0.02"/>
    <n v="0.02"/>
    <n v="0.9"/>
    <n v="180000"/>
    <n v="176460"/>
    <n v="304980"/>
    <n v="210120"/>
    <n v="408000"/>
    <n v="140000"/>
  </r>
  <r>
    <x v="0"/>
    <x v="0"/>
    <x v="11"/>
    <s v="Internal Medicine USUPriv"/>
    <n v="2017"/>
    <x v="4"/>
    <n v="264104.65274828218"/>
    <n v="0.02"/>
    <n v="0.01"/>
    <n v="0.01"/>
    <n v="6.2100000000000002E-2"/>
    <n v="0.03"/>
    <n v="0.02"/>
    <n v="0.06"/>
    <n v="0.02"/>
    <n v="0.02"/>
    <n v="0.02"/>
    <n v="0.9"/>
    <n v="180000"/>
    <n v="176460"/>
    <n v="304980"/>
    <n v="210120"/>
    <n v="408000"/>
    <n v="140000"/>
  </r>
  <r>
    <x v="0"/>
    <x v="0"/>
    <x v="11"/>
    <s v="Internal Medicine USUPriv"/>
    <n v="2018"/>
    <x v="5"/>
    <n v="322956.40336350905"/>
    <n v="0.02"/>
    <n v="0.01"/>
    <n v="0.01"/>
    <n v="6.2100000000000002E-2"/>
    <n v="0.03"/>
    <n v="0.02"/>
    <n v="0.06"/>
    <n v="0.02"/>
    <n v="0.02"/>
    <n v="0.02"/>
    <n v="0.9"/>
    <n v="180000"/>
    <n v="176460"/>
    <n v="304980"/>
    <n v="210120"/>
    <n v="408000"/>
    <n v="140000"/>
  </r>
  <r>
    <x v="0"/>
    <x v="0"/>
    <x v="11"/>
    <s v="Internal Medicine USUPriv"/>
    <n v="2019"/>
    <x v="6"/>
    <n v="382458.16257085698"/>
    <n v="0.02"/>
    <n v="0.01"/>
    <n v="0.01"/>
    <n v="6.2100000000000002E-2"/>
    <n v="0.03"/>
    <n v="0.02"/>
    <n v="0.06"/>
    <n v="0.02"/>
    <n v="0.02"/>
    <n v="0.02"/>
    <n v="0.9"/>
    <n v="180000"/>
    <n v="176460"/>
    <n v="304980"/>
    <n v="210120"/>
    <n v="408000"/>
    <n v="140000"/>
  </r>
  <r>
    <x v="0"/>
    <x v="0"/>
    <x v="11"/>
    <s v="Internal Medicine USUPriv"/>
    <n v="2020"/>
    <x v="7"/>
    <n v="449391.04775539273"/>
    <n v="0.02"/>
    <n v="0.01"/>
    <n v="0.01"/>
    <n v="6.2100000000000002E-2"/>
    <n v="0.03"/>
    <n v="0.02"/>
    <n v="0.06"/>
    <n v="0.02"/>
    <n v="0.02"/>
    <n v="0.02"/>
    <n v="0.9"/>
    <n v="180000"/>
    <n v="176460"/>
    <n v="304980"/>
    <n v="210120"/>
    <n v="408000"/>
    <n v="140000"/>
  </r>
  <r>
    <x v="0"/>
    <x v="0"/>
    <x v="11"/>
    <s v="Internal Medicine USUPriv"/>
    <n v="2021"/>
    <x v="8"/>
    <n v="515983.72294949042"/>
    <n v="0.02"/>
    <n v="0.01"/>
    <n v="0.01"/>
    <n v="6.2100000000000002E-2"/>
    <n v="0.03"/>
    <n v="0.02"/>
    <n v="0.06"/>
    <n v="0.02"/>
    <n v="0.02"/>
    <n v="0.02"/>
    <n v="0.9"/>
    <n v="180000"/>
    <n v="176460"/>
    <n v="304980"/>
    <n v="210120"/>
    <n v="408000"/>
    <n v="140000"/>
  </r>
  <r>
    <x v="0"/>
    <x v="0"/>
    <x v="11"/>
    <s v="Internal Medicine USUPriv"/>
    <n v="2022"/>
    <x v="9"/>
    <n v="580064.96873661608"/>
    <n v="0.02"/>
    <n v="0.01"/>
    <n v="0.01"/>
    <n v="6.2100000000000002E-2"/>
    <n v="0.03"/>
    <n v="0.02"/>
    <n v="0.06"/>
    <n v="0.02"/>
    <n v="0.02"/>
    <n v="0.02"/>
    <n v="0.9"/>
    <n v="180000"/>
    <n v="176460"/>
    <n v="304980"/>
    <n v="210120"/>
    <n v="408000"/>
    <n v="140000"/>
  </r>
  <r>
    <x v="0"/>
    <x v="0"/>
    <x v="11"/>
    <s v="Internal Medicine USUPriv"/>
    <n v="2023"/>
    <x v="10"/>
    <n v="649438.22706837987"/>
    <n v="0.02"/>
    <n v="0.01"/>
    <n v="0.01"/>
    <n v="6.2100000000000002E-2"/>
    <n v="0.03"/>
    <n v="0.02"/>
    <n v="0.06"/>
    <n v="0.02"/>
    <n v="0.02"/>
    <n v="0.02"/>
    <n v="0.9"/>
    <n v="180000"/>
    <n v="176460"/>
    <n v="304980"/>
    <n v="210120"/>
    <n v="408000"/>
    <n v="140000"/>
  </r>
  <r>
    <x v="0"/>
    <x v="0"/>
    <x v="11"/>
    <s v="Internal Medicine USUPriv"/>
    <n v="2024"/>
    <x v="11"/>
    <n v="716189.04149486462"/>
    <n v="0.02"/>
    <n v="0.01"/>
    <n v="0.01"/>
    <n v="6.2100000000000002E-2"/>
    <n v="0.03"/>
    <n v="0.02"/>
    <n v="0.06"/>
    <n v="0.02"/>
    <n v="0.02"/>
    <n v="0.02"/>
    <n v="0.9"/>
    <n v="180000"/>
    <n v="176460"/>
    <n v="304980"/>
    <n v="210120"/>
    <n v="408000"/>
    <n v="140000"/>
  </r>
  <r>
    <x v="0"/>
    <x v="0"/>
    <x v="11"/>
    <s v="Internal Medicine USUPriv"/>
    <n v="2025"/>
    <x v="12"/>
    <n v="781708.39071443689"/>
    <n v="0.02"/>
    <n v="0.01"/>
    <n v="0.01"/>
    <n v="6.2100000000000002E-2"/>
    <n v="0.03"/>
    <n v="0.02"/>
    <n v="0.06"/>
    <n v="0.02"/>
    <n v="0.02"/>
    <n v="0.02"/>
    <n v="0.9"/>
    <n v="180000"/>
    <n v="176460"/>
    <n v="304980"/>
    <n v="210120"/>
    <n v="408000"/>
    <n v="140000"/>
  </r>
  <r>
    <x v="0"/>
    <x v="0"/>
    <x v="11"/>
    <s v="Internal Medicine USUPriv"/>
    <n v="2026"/>
    <x v="13"/>
    <n v="844750.87308346853"/>
    <n v="0.02"/>
    <n v="0.01"/>
    <n v="0.01"/>
    <n v="6.2100000000000002E-2"/>
    <n v="0.03"/>
    <n v="0.02"/>
    <n v="0.06"/>
    <n v="0.02"/>
    <n v="0.02"/>
    <n v="0.02"/>
    <n v="0.9"/>
    <n v="180000"/>
    <n v="176460"/>
    <n v="304980"/>
    <n v="210120"/>
    <n v="408000"/>
    <n v="140000"/>
  </r>
  <r>
    <x v="0"/>
    <x v="0"/>
    <x v="11"/>
    <s v="Internal Medicine USUPriv"/>
    <n v="2027"/>
    <x v="14"/>
    <n v="917754.60184666456"/>
    <n v="0.02"/>
    <n v="0.01"/>
    <n v="0.01"/>
    <n v="6.2100000000000002E-2"/>
    <n v="0.03"/>
    <n v="0.02"/>
    <n v="0.06"/>
    <n v="0.02"/>
    <n v="0.02"/>
    <n v="0.02"/>
    <n v="0.9"/>
    <n v="180000"/>
    <n v="176460"/>
    <n v="304980"/>
    <n v="210120"/>
    <n v="408000"/>
    <n v="140000"/>
  </r>
  <r>
    <x v="0"/>
    <x v="0"/>
    <x v="11"/>
    <s v="Internal Medicine USUPriv"/>
    <n v="2028"/>
    <x v="15"/>
    <n v="989321.41867529578"/>
    <n v="0.02"/>
    <n v="0.01"/>
    <n v="0.01"/>
    <n v="6.2100000000000002E-2"/>
    <n v="0.03"/>
    <n v="0.02"/>
    <n v="0.06"/>
    <n v="0.02"/>
    <n v="0.02"/>
    <n v="0.02"/>
    <n v="0.9"/>
    <n v="180000"/>
    <n v="176460"/>
    <n v="304980"/>
    <n v="210120"/>
    <n v="408000"/>
    <n v="140000"/>
  </r>
  <r>
    <x v="0"/>
    <x v="0"/>
    <x v="11"/>
    <s v="Internal Medicine USUPriv"/>
    <n v="2029"/>
    <x v="16"/>
    <n v="1059479.6575249988"/>
    <n v="0.02"/>
    <n v="0.01"/>
    <n v="0.01"/>
    <n v="6.2100000000000002E-2"/>
    <n v="0.03"/>
    <n v="0.02"/>
    <n v="0.06"/>
    <n v="0.02"/>
    <n v="0.02"/>
    <n v="0.02"/>
    <n v="0.9"/>
    <n v="180000"/>
    <n v="176460"/>
    <n v="304980"/>
    <n v="210120"/>
    <n v="408000"/>
    <n v="140000"/>
  </r>
  <r>
    <x v="0"/>
    <x v="0"/>
    <x v="11"/>
    <s v="Internal Medicine USUPriv"/>
    <n v="2030"/>
    <x v="17"/>
    <n v="1128257.0921464148"/>
    <n v="0.02"/>
    <n v="0.01"/>
    <n v="0.01"/>
    <n v="6.2100000000000002E-2"/>
    <n v="0.03"/>
    <n v="0.02"/>
    <n v="0.06"/>
    <n v="0.02"/>
    <n v="0.02"/>
    <n v="0.02"/>
    <n v="0.9"/>
    <n v="180000"/>
    <n v="176460"/>
    <n v="304980"/>
    <n v="210120"/>
    <n v="408000"/>
    <n v="140000"/>
  </r>
  <r>
    <x v="0"/>
    <x v="0"/>
    <x v="11"/>
    <s v="Internal Medicine USUPriv"/>
    <n v="2031"/>
    <x v="18"/>
    <n v="1195680.9472046674"/>
    <n v="0.02"/>
    <n v="0.01"/>
    <n v="0.01"/>
    <n v="6.2100000000000002E-2"/>
    <n v="0.03"/>
    <n v="0.02"/>
    <n v="0.06"/>
    <n v="0.02"/>
    <n v="0.02"/>
    <n v="0.02"/>
    <n v="0.9"/>
    <n v="180000"/>
    <n v="176460"/>
    <n v="304980"/>
    <n v="210120"/>
    <n v="408000"/>
    <n v="140000"/>
  </r>
  <r>
    <x v="0"/>
    <x v="0"/>
    <x v="11"/>
    <s v="Internal Medicine USUPriv"/>
    <n v="2032"/>
    <x v="19"/>
    <n v="1261777.9091768751"/>
    <n v="0.02"/>
    <n v="0.01"/>
    <n v="0.01"/>
    <n v="6.2100000000000002E-2"/>
    <n v="0.03"/>
    <n v="0.02"/>
    <n v="0.06"/>
    <n v="0.02"/>
    <n v="0.02"/>
    <n v="0.02"/>
    <n v="0.9"/>
    <n v="180000"/>
    <n v="176460"/>
    <n v="304980"/>
    <n v="210120"/>
    <n v="408000"/>
    <n v="140000"/>
  </r>
  <r>
    <x v="0"/>
    <x v="0"/>
    <x v="11"/>
    <s v="Internal Medicine USUPriv"/>
    <n v="2033"/>
    <x v="20"/>
    <n v="1326574.1370321708"/>
    <n v="0.02"/>
    <n v="0.01"/>
    <n v="0.01"/>
    <n v="6.2100000000000002E-2"/>
    <n v="0.03"/>
    <n v="0.02"/>
    <n v="0.06"/>
    <n v="0.02"/>
    <n v="0.02"/>
    <n v="0.02"/>
    <n v="0.9"/>
    <n v="180000"/>
    <n v="176460"/>
    <n v="304980"/>
    <n v="210120"/>
    <n v="408000"/>
    <n v="140000"/>
  </r>
  <r>
    <x v="0"/>
    <x v="0"/>
    <x v="11"/>
    <s v="Internal Medicine USUPriv"/>
    <n v="2034"/>
    <x v="21"/>
    <n v="1390095.2726985977"/>
    <n v="0.02"/>
    <n v="0.01"/>
    <n v="0.01"/>
    <n v="6.2100000000000002E-2"/>
    <n v="0.03"/>
    <n v="0.02"/>
    <n v="0.06"/>
    <n v="0.02"/>
    <n v="0.02"/>
    <n v="0.02"/>
    <n v="0.9"/>
    <n v="180000"/>
    <n v="176460"/>
    <n v="304980"/>
    <n v="210120"/>
    <n v="408000"/>
    <n v="140000"/>
  </r>
  <r>
    <x v="0"/>
    <x v="0"/>
    <x v="11"/>
    <s v="Internal Medicine USUPriv"/>
    <n v="2035"/>
    <x v="22"/>
    <n v="1452366.4513211751"/>
    <n v="0.02"/>
    <n v="0.01"/>
    <n v="0.01"/>
    <n v="6.2100000000000002E-2"/>
    <n v="0.03"/>
    <n v="0.02"/>
    <n v="0.06"/>
    <n v="0.02"/>
    <n v="0.02"/>
    <n v="0.02"/>
    <n v="0.9"/>
    <n v="180000"/>
    <n v="176460"/>
    <n v="304980"/>
    <n v="210120"/>
    <n v="408000"/>
    <n v="140000"/>
  </r>
  <r>
    <x v="0"/>
    <x v="0"/>
    <x v="11"/>
    <s v="Internal Medicine USUPriv"/>
    <n v="2036"/>
    <x v="23"/>
    <n v="1513412.3113153274"/>
    <n v="0.02"/>
    <n v="0.01"/>
    <n v="0.01"/>
    <n v="6.2100000000000002E-2"/>
    <n v="0.03"/>
    <n v="0.02"/>
    <n v="0.06"/>
    <n v="0.02"/>
    <n v="0.02"/>
    <n v="0.02"/>
    <n v="0.9"/>
    <n v="180000"/>
    <n v="176460"/>
    <n v="304980"/>
    <n v="210120"/>
    <n v="408000"/>
    <n v="140000"/>
  </r>
  <r>
    <x v="0"/>
    <x v="0"/>
    <x v="11"/>
    <s v="Internal Medicine USUPriv"/>
    <n v="2037"/>
    <x v="24"/>
    <n v="1573257.0042197963"/>
    <n v="0.02"/>
    <n v="0.01"/>
    <n v="0.01"/>
    <n v="6.2100000000000002E-2"/>
    <n v="0.03"/>
    <n v="0.02"/>
    <n v="0.06"/>
    <n v="0.02"/>
    <n v="0.02"/>
    <n v="0.02"/>
    <n v="0.9"/>
    <n v="180000"/>
    <n v="176460"/>
    <n v="304980"/>
    <n v="210120"/>
    <n v="408000"/>
    <n v="140000"/>
  </r>
  <r>
    <x v="0"/>
    <x v="0"/>
    <x v="11"/>
    <s v="Internal Medicine USUPriv"/>
    <n v="2038"/>
    <x v="25"/>
    <n v="1631924.204353062"/>
    <n v="0.02"/>
    <n v="0.01"/>
    <n v="0.01"/>
    <n v="6.2100000000000002E-2"/>
    <n v="0.03"/>
    <n v="0.02"/>
    <n v="0.06"/>
    <n v="0.02"/>
    <n v="0.02"/>
    <n v="0.02"/>
    <n v="0.9"/>
    <n v="180000"/>
    <n v="176460"/>
    <n v="304980"/>
    <n v="210120"/>
    <n v="408000"/>
    <n v="140000"/>
  </r>
  <r>
    <x v="0"/>
    <x v="0"/>
    <x v="11"/>
    <s v="Internal Medicine USUPriv"/>
    <n v="2039"/>
    <x v="26"/>
    <n v="1689437.1182772249"/>
    <n v="0.02"/>
    <n v="0.01"/>
    <n v="0.01"/>
    <n v="6.2100000000000002E-2"/>
    <n v="0.03"/>
    <n v="0.02"/>
    <n v="0.06"/>
    <n v="0.02"/>
    <n v="0.02"/>
    <n v="0.02"/>
    <n v="0.9"/>
    <n v="180000"/>
    <n v="176460"/>
    <n v="304980"/>
    <n v="210120"/>
    <n v="408000"/>
    <n v="140000"/>
  </r>
  <r>
    <x v="0"/>
    <x v="0"/>
    <x v="11"/>
    <s v="Internal Medicine USUPriv"/>
    <n v="2040"/>
    <x v="27"/>
    <n v="1745818.4940732163"/>
    <n v="0.02"/>
    <n v="0.01"/>
    <n v="0.01"/>
    <n v="6.2100000000000002E-2"/>
    <n v="0.03"/>
    <n v="0.02"/>
    <n v="0.06"/>
    <n v="0.02"/>
    <n v="0.02"/>
    <n v="0.02"/>
    <n v="0.9"/>
    <n v="180000"/>
    <n v="176460"/>
    <n v="304980"/>
    <n v="210120"/>
    <n v="408000"/>
    <n v="140000"/>
  </r>
  <r>
    <x v="0"/>
    <x v="0"/>
    <x v="11"/>
    <s v="Internal Medicine USUPriv"/>
    <n v="2041"/>
    <x v="28"/>
    <n v="1801090.6304311254"/>
    <n v="0.02"/>
    <n v="0.01"/>
    <n v="0.01"/>
    <n v="6.2100000000000002E-2"/>
    <n v="0.03"/>
    <n v="0.02"/>
    <n v="0.06"/>
    <n v="0.02"/>
    <n v="0.02"/>
    <n v="0.02"/>
    <n v="0.9"/>
    <n v="180000"/>
    <n v="176460"/>
    <n v="304980"/>
    <n v="210120"/>
    <n v="408000"/>
    <n v="140000"/>
  </r>
  <r>
    <x v="0"/>
    <x v="0"/>
    <x v="11"/>
    <s v="Internal Medicine USUPriv"/>
    <n v="2042"/>
    <x v="29"/>
    <n v="1855275.3855593591"/>
    <n v="0.02"/>
    <n v="0.01"/>
    <n v="0.01"/>
    <n v="6.2100000000000002E-2"/>
    <n v="0.03"/>
    <n v="0.02"/>
    <n v="0.06"/>
    <n v="0.02"/>
    <n v="0.02"/>
    <n v="0.02"/>
    <n v="0.9"/>
    <n v="180000"/>
    <n v="176460"/>
    <n v="304980"/>
    <n v="210120"/>
    <n v="408000"/>
    <n v="140000"/>
  </r>
  <r>
    <x v="0"/>
    <x v="0"/>
    <x v="12"/>
    <s v="Internal Medicine HPSPPriv"/>
    <n v="2013"/>
    <x v="0"/>
    <n v="41042.997114989732"/>
    <n v="0.02"/>
    <n v="0.01"/>
    <n v="0.01"/>
    <n v="6.2100000000000002E-2"/>
    <n v="0.03"/>
    <n v="0.02"/>
    <n v="0.06"/>
    <n v="0.02"/>
    <n v="0.02"/>
    <n v="0.02"/>
    <n v="0.9"/>
    <n v="180000"/>
    <n v="176460"/>
    <n v="304980"/>
    <n v="210120"/>
    <n v="408000"/>
    <n v="140000"/>
  </r>
  <r>
    <x v="0"/>
    <x v="0"/>
    <x v="12"/>
    <s v="Internal Medicine HPSPPriv"/>
    <n v="2014"/>
    <x v="1"/>
    <n v="65715.375570480697"/>
    <n v="0.02"/>
    <n v="0.01"/>
    <n v="0.01"/>
    <n v="6.2100000000000002E-2"/>
    <n v="0.03"/>
    <n v="0.02"/>
    <n v="0.06"/>
    <n v="0.02"/>
    <n v="0.02"/>
    <n v="0.02"/>
    <n v="0.9"/>
    <n v="180000"/>
    <n v="176460"/>
    <n v="304980"/>
    <n v="210120"/>
    <n v="408000"/>
    <n v="140000"/>
  </r>
  <r>
    <x v="0"/>
    <x v="0"/>
    <x v="12"/>
    <s v="Internal Medicine HPSPPriv"/>
    <n v="2015"/>
    <x v="2"/>
    <n v="89584.222784524245"/>
    <n v="0.02"/>
    <n v="0.01"/>
    <n v="0.01"/>
    <n v="6.2100000000000002E-2"/>
    <n v="0.03"/>
    <n v="0.02"/>
    <n v="0.06"/>
    <n v="0.02"/>
    <n v="0.02"/>
    <n v="0.02"/>
    <n v="0.9"/>
    <n v="180000"/>
    <n v="176460"/>
    <n v="304980"/>
    <n v="210120"/>
    <n v="408000"/>
    <n v="140000"/>
  </r>
  <r>
    <x v="0"/>
    <x v="0"/>
    <x v="12"/>
    <s v="Internal Medicine HPSPPriv"/>
    <n v="2016"/>
    <x v="3"/>
    <n v="113201.76547692725"/>
    <n v="0.02"/>
    <n v="0.01"/>
    <n v="0.01"/>
    <n v="6.2100000000000002E-2"/>
    <n v="0.03"/>
    <n v="0.02"/>
    <n v="0.06"/>
    <n v="0.02"/>
    <n v="0.02"/>
    <n v="0.02"/>
    <n v="0.9"/>
    <n v="180000"/>
    <n v="176460"/>
    <n v="304980"/>
    <n v="210120"/>
    <n v="408000"/>
    <n v="140000"/>
  </r>
  <r>
    <x v="0"/>
    <x v="0"/>
    <x v="12"/>
    <s v="Internal Medicine HPSPPriv"/>
    <n v="2017"/>
    <x v="4"/>
    <n v="172355.01813676453"/>
    <n v="0.02"/>
    <n v="0.01"/>
    <n v="0.01"/>
    <n v="6.2100000000000002E-2"/>
    <n v="0.03"/>
    <n v="0.02"/>
    <n v="0.06"/>
    <n v="0.02"/>
    <n v="0.02"/>
    <n v="0.02"/>
    <n v="0.9"/>
    <n v="180000"/>
    <n v="176460"/>
    <n v="304980"/>
    <n v="210120"/>
    <n v="408000"/>
    <n v="140000"/>
  </r>
  <r>
    <x v="0"/>
    <x v="0"/>
    <x v="12"/>
    <s v="Internal Medicine HPSPPriv"/>
    <n v="2018"/>
    <x v="5"/>
    <n v="231206.76875199139"/>
    <n v="0.02"/>
    <n v="0.01"/>
    <n v="0.01"/>
    <n v="6.2100000000000002E-2"/>
    <n v="0.03"/>
    <n v="0.02"/>
    <n v="0.06"/>
    <n v="0.02"/>
    <n v="0.02"/>
    <n v="0.02"/>
    <n v="0.9"/>
    <n v="180000"/>
    <n v="176460"/>
    <n v="304980"/>
    <n v="210120"/>
    <n v="408000"/>
    <n v="140000"/>
  </r>
  <r>
    <x v="0"/>
    <x v="0"/>
    <x v="12"/>
    <s v="Internal Medicine HPSPPriv"/>
    <n v="2019"/>
    <x v="6"/>
    <n v="290708.52795933932"/>
    <n v="0.02"/>
    <n v="0.01"/>
    <n v="0.01"/>
    <n v="6.2100000000000002E-2"/>
    <n v="0.03"/>
    <n v="0.02"/>
    <n v="0.06"/>
    <n v="0.02"/>
    <n v="0.02"/>
    <n v="0.02"/>
    <n v="0.9"/>
    <n v="180000"/>
    <n v="176460"/>
    <n v="304980"/>
    <n v="210120"/>
    <n v="408000"/>
    <n v="140000"/>
  </r>
  <r>
    <x v="0"/>
    <x v="0"/>
    <x v="12"/>
    <s v="Internal Medicine HPSPPriv"/>
    <n v="2020"/>
    <x v="7"/>
    <n v="357641.41314387508"/>
    <n v="0.02"/>
    <n v="0.01"/>
    <n v="0.01"/>
    <n v="6.2100000000000002E-2"/>
    <n v="0.03"/>
    <n v="0.02"/>
    <n v="0.06"/>
    <n v="0.02"/>
    <n v="0.02"/>
    <n v="0.02"/>
    <n v="0.9"/>
    <n v="180000"/>
    <n v="176460"/>
    <n v="304980"/>
    <n v="210120"/>
    <n v="408000"/>
    <n v="140000"/>
  </r>
  <r>
    <x v="0"/>
    <x v="0"/>
    <x v="12"/>
    <s v="Internal Medicine HPSPPriv"/>
    <n v="2021"/>
    <x v="8"/>
    <n v="424234.08833797276"/>
    <n v="0.02"/>
    <n v="0.01"/>
    <n v="0.01"/>
    <n v="6.2100000000000002E-2"/>
    <n v="0.03"/>
    <n v="0.02"/>
    <n v="0.06"/>
    <n v="0.02"/>
    <n v="0.02"/>
    <n v="0.02"/>
    <n v="0.9"/>
    <n v="180000"/>
    <n v="176460"/>
    <n v="304980"/>
    <n v="210120"/>
    <n v="408000"/>
    <n v="140000"/>
  </r>
  <r>
    <x v="0"/>
    <x v="0"/>
    <x v="12"/>
    <s v="Internal Medicine HPSPPriv"/>
    <n v="2022"/>
    <x v="9"/>
    <n v="488315.33412509848"/>
    <n v="0.02"/>
    <n v="0.01"/>
    <n v="0.01"/>
    <n v="6.2100000000000002E-2"/>
    <n v="0.03"/>
    <n v="0.02"/>
    <n v="0.06"/>
    <n v="0.02"/>
    <n v="0.02"/>
    <n v="0.02"/>
    <n v="0.9"/>
    <n v="180000"/>
    <n v="176460"/>
    <n v="304980"/>
    <n v="210120"/>
    <n v="408000"/>
    <n v="140000"/>
  </r>
  <r>
    <x v="0"/>
    <x v="0"/>
    <x v="12"/>
    <s v="Internal Medicine HPSPPriv"/>
    <n v="2023"/>
    <x v="10"/>
    <n v="557688.59245686233"/>
    <n v="0.02"/>
    <n v="0.01"/>
    <n v="0.01"/>
    <n v="6.2100000000000002E-2"/>
    <n v="0.03"/>
    <n v="0.02"/>
    <n v="0.06"/>
    <n v="0.02"/>
    <n v="0.02"/>
    <n v="0.02"/>
    <n v="0.9"/>
    <n v="180000"/>
    <n v="176460"/>
    <n v="304980"/>
    <n v="210120"/>
    <n v="408000"/>
    <n v="140000"/>
  </r>
  <r>
    <x v="0"/>
    <x v="0"/>
    <x v="12"/>
    <s v="Internal Medicine HPSPPriv"/>
    <n v="2024"/>
    <x v="11"/>
    <n v="635178.83438932721"/>
    <n v="0.02"/>
    <n v="0.01"/>
    <n v="0.01"/>
    <n v="6.2100000000000002E-2"/>
    <n v="0.03"/>
    <n v="0.02"/>
    <n v="0.06"/>
    <n v="0.02"/>
    <n v="0.02"/>
    <n v="0.02"/>
    <n v="0.9"/>
    <n v="180000"/>
    <n v="176460"/>
    <n v="304980"/>
    <n v="210120"/>
    <n v="408000"/>
    <n v="140000"/>
  </r>
  <r>
    <x v="0"/>
    <x v="0"/>
    <x v="12"/>
    <s v="Internal Medicine HPSPPriv"/>
    <n v="2025"/>
    <x v="12"/>
    <n v="711143.68666971708"/>
    <n v="0.02"/>
    <n v="0.01"/>
    <n v="0.01"/>
    <n v="6.2100000000000002E-2"/>
    <n v="0.03"/>
    <n v="0.02"/>
    <n v="0.06"/>
    <n v="0.02"/>
    <n v="0.02"/>
    <n v="0.02"/>
    <n v="0.9"/>
    <n v="180000"/>
    <n v="176460"/>
    <n v="304980"/>
    <n v="210120"/>
    <n v="408000"/>
    <n v="140000"/>
  </r>
  <r>
    <x v="0"/>
    <x v="0"/>
    <x v="12"/>
    <s v="Internal Medicine HPSPPriv"/>
    <n v="2026"/>
    <x v="13"/>
    <n v="785613.23287410906"/>
    <n v="0.02"/>
    <n v="0.01"/>
    <n v="0.01"/>
    <n v="6.2100000000000002E-2"/>
    <n v="0.03"/>
    <n v="0.02"/>
    <n v="0.06"/>
    <n v="0.02"/>
    <n v="0.02"/>
    <n v="0.02"/>
    <n v="0.9"/>
    <n v="180000"/>
    <n v="176460"/>
    <n v="304980"/>
    <n v="210120"/>
    <n v="408000"/>
    <n v="140000"/>
  </r>
  <r>
    <x v="0"/>
    <x v="0"/>
    <x v="12"/>
    <s v="Internal Medicine HPSPPriv"/>
    <n v="2027"/>
    <x v="14"/>
    <n v="858616.9616373051"/>
    <n v="0.02"/>
    <n v="0.01"/>
    <n v="0.01"/>
    <n v="6.2100000000000002E-2"/>
    <n v="0.03"/>
    <n v="0.02"/>
    <n v="0.06"/>
    <n v="0.02"/>
    <n v="0.02"/>
    <n v="0.02"/>
    <n v="0.9"/>
    <n v="180000"/>
    <n v="176460"/>
    <n v="304980"/>
    <n v="210120"/>
    <n v="408000"/>
    <n v="140000"/>
  </r>
  <r>
    <x v="0"/>
    <x v="0"/>
    <x v="12"/>
    <s v="Internal Medicine HPSPPriv"/>
    <n v="2028"/>
    <x v="15"/>
    <n v="930183.77846593631"/>
    <n v="0.02"/>
    <n v="0.01"/>
    <n v="0.01"/>
    <n v="6.2100000000000002E-2"/>
    <n v="0.03"/>
    <n v="0.02"/>
    <n v="0.06"/>
    <n v="0.02"/>
    <n v="0.02"/>
    <n v="0.02"/>
    <n v="0.9"/>
    <n v="180000"/>
    <n v="176460"/>
    <n v="304980"/>
    <n v="210120"/>
    <n v="408000"/>
    <n v="140000"/>
  </r>
  <r>
    <x v="0"/>
    <x v="0"/>
    <x v="12"/>
    <s v="Internal Medicine HPSPPriv"/>
    <n v="2029"/>
    <x v="16"/>
    <n v="1000342.0173156392"/>
    <n v="0.02"/>
    <n v="0.01"/>
    <n v="0.01"/>
    <n v="6.2100000000000002E-2"/>
    <n v="0.03"/>
    <n v="0.02"/>
    <n v="0.06"/>
    <n v="0.02"/>
    <n v="0.02"/>
    <n v="0.02"/>
    <n v="0.9"/>
    <n v="180000"/>
    <n v="176460"/>
    <n v="304980"/>
    <n v="210120"/>
    <n v="408000"/>
    <n v="140000"/>
  </r>
  <r>
    <x v="0"/>
    <x v="0"/>
    <x v="12"/>
    <s v="Internal Medicine HPSPPriv"/>
    <n v="2030"/>
    <x v="17"/>
    <n v="1069119.4519370552"/>
    <n v="0.02"/>
    <n v="0.01"/>
    <n v="0.01"/>
    <n v="6.2100000000000002E-2"/>
    <n v="0.03"/>
    <n v="0.02"/>
    <n v="0.06"/>
    <n v="0.02"/>
    <n v="0.02"/>
    <n v="0.02"/>
    <n v="0.9"/>
    <n v="180000"/>
    <n v="176460"/>
    <n v="304980"/>
    <n v="210120"/>
    <n v="408000"/>
    <n v="140000"/>
  </r>
  <r>
    <x v="0"/>
    <x v="0"/>
    <x v="12"/>
    <s v="Internal Medicine HPSPPriv"/>
    <n v="2031"/>
    <x v="18"/>
    <n v="1136543.3069953078"/>
    <n v="0.02"/>
    <n v="0.01"/>
    <n v="0.01"/>
    <n v="6.2100000000000002E-2"/>
    <n v="0.03"/>
    <n v="0.02"/>
    <n v="0.06"/>
    <n v="0.02"/>
    <n v="0.02"/>
    <n v="0.02"/>
    <n v="0.9"/>
    <n v="180000"/>
    <n v="176460"/>
    <n v="304980"/>
    <n v="210120"/>
    <n v="408000"/>
    <n v="140000"/>
  </r>
  <r>
    <x v="0"/>
    <x v="0"/>
    <x v="12"/>
    <s v="Internal Medicine HPSPPriv"/>
    <n v="2032"/>
    <x v="19"/>
    <n v="1202640.2689675156"/>
    <n v="0.02"/>
    <n v="0.01"/>
    <n v="0.01"/>
    <n v="6.2100000000000002E-2"/>
    <n v="0.03"/>
    <n v="0.02"/>
    <n v="0.06"/>
    <n v="0.02"/>
    <n v="0.02"/>
    <n v="0.02"/>
    <n v="0.9"/>
    <n v="180000"/>
    <n v="176460"/>
    <n v="304980"/>
    <n v="210120"/>
    <n v="408000"/>
    <n v="140000"/>
  </r>
  <r>
    <x v="0"/>
    <x v="0"/>
    <x v="12"/>
    <s v="Internal Medicine HPSPPriv"/>
    <n v="2033"/>
    <x v="20"/>
    <n v="1267436.4968228112"/>
    <n v="0.02"/>
    <n v="0.01"/>
    <n v="0.01"/>
    <n v="6.2100000000000002E-2"/>
    <n v="0.03"/>
    <n v="0.02"/>
    <n v="0.06"/>
    <n v="0.02"/>
    <n v="0.02"/>
    <n v="0.02"/>
    <n v="0.9"/>
    <n v="180000"/>
    <n v="176460"/>
    <n v="304980"/>
    <n v="210120"/>
    <n v="408000"/>
    <n v="140000"/>
  </r>
  <r>
    <x v="0"/>
    <x v="0"/>
    <x v="12"/>
    <s v="Internal Medicine HPSPPriv"/>
    <n v="2034"/>
    <x v="21"/>
    <n v="1330957.6324892382"/>
    <n v="0.02"/>
    <n v="0.01"/>
    <n v="0.01"/>
    <n v="6.2100000000000002E-2"/>
    <n v="0.03"/>
    <n v="0.02"/>
    <n v="0.06"/>
    <n v="0.02"/>
    <n v="0.02"/>
    <n v="0.02"/>
    <n v="0.9"/>
    <n v="180000"/>
    <n v="176460"/>
    <n v="304980"/>
    <n v="210120"/>
    <n v="408000"/>
    <n v="140000"/>
  </r>
  <r>
    <x v="0"/>
    <x v="0"/>
    <x v="12"/>
    <s v="Internal Medicine HPSPPriv"/>
    <n v="2035"/>
    <x v="22"/>
    <n v="1393228.8111118155"/>
    <n v="0.02"/>
    <n v="0.01"/>
    <n v="0.01"/>
    <n v="6.2100000000000002E-2"/>
    <n v="0.03"/>
    <n v="0.02"/>
    <n v="0.06"/>
    <n v="0.02"/>
    <n v="0.02"/>
    <n v="0.02"/>
    <n v="0.9"/>
    <n v="180000"/>
    <n v="176460"/>
    <n v="304980"/>
    <n v="210120"/>
    <n v="408000"/>
    <n v="140000"/>
  </r>
  <r>
    <x v="0"/>
    <x v="0"/>
    <x v="12"/>
    <s v="Internal Medicine HPSPPriv"/>
    <n v="2036"/>
    <x v="23"/>
    <n v="1454274.6711059678"/>
    <n v="0.02"/>
    <n v="0.01"/>
    <n v="0.01"/>
    <n v="6.2100000000000002E-2"/>
    <n v="0.03"/>
    <n v="0.02"/>
    <n v="0.06"/>
    <n v="0.02"/>
    <n v="0.02"/>
    <n v="0.02"/>
    <n v="0.9"/>
    <n v="180000"/>
    <n v="176460"/>
    <n v="304980"/>
    <n v="210120"/>
    <n v="408000"/>
    <n v="140000"/>
  </r>
  <r>
    <x v="0"/>
    <x v="0"/>
    <x v="12"/>
    <s v="Internal Medicine HPSPPriv"/>
    <n v="2037"/>
    <x v="24"/>
    <n v="1514119.3640104367"/>
    <n v="0.02"/>
    <n v="0.01"/>
    <n v="0.01"/>
    <n v="6.2100000000000002E-2"/>
    <n v="0.03"/>
    <n v="0.02"/>
    <n v="0.06"/>
    <n v="0.02"/>
    <n v="0.02"/>
    <n v="0.02"/>
    <n v="0.9"/>
    <n v="180000"/>
    <n v="176460"/>
    <n v="304980"/>
    <n v="210120"/>
    <n v="408000"/>
    <n v="140000"/>
  </r>
  <r>
    <x v="0"/>
    <x v="0"/>
    <x v="12"/>
    <s v="Internal Medicine HPSPPriv"/>
    <n v="2038"/>
    <x v="25"/>
    <n v="1572786.5641437024"/>
    <n v="0.02"/>
    <n v="0.01"/>
    <n v="0.01"/>
    <n v="6.2100000000000002E-2"/>
    <n v="0.03"/>
    <n v="0.02"/>
    <n v="0.06"/>
    <n v="0.02"/>
    <n v="0.02"/>
    <n v="0.02"/>
    <n v="0.9"/>
    <n v="180000"/>
    <n v="176460"/>
    <n v="304980"/>
    <n v="210120"/>
    <n v="408000"/>
    <n v="140000"/>
  </r>
  <r>
    <x v="0"/>
    <x v="0"/>
    <x v="12"/>
    <s v="Internal Medicine HPSPPriv"/>
    <n v="2039"/>
    <x v="26"/>
    <n v="1630299.4780678654"/>
    <n v="0.02"/>
    <n v="0.01"/>
    <n v="0.01"/>
    <n v="6.2100000000000002E-2"/>
    <n v="0.03"/>
    <n v="0.02"/>
    <n v="0.06"/>
    <n v="0.02"/>
    <n v="0.02"/>
    <n v="0.02"/>
    <n v="0.9"/>
    <n v="180000"/>
    <n v="176460"/>
    <n v="304980"/>
    <n v="210120"/>
    <n v="408000"/>
    <n v="140000"/>
  </r>
  <r>
    <x v="0"/>
    <x v="0"/>
    <x v="12"/>
    <s v="Internal Medicine HPSPPriv"/>
    <n v="2040"/>
    <x v="27"/>
    <n v="1686680.8538638568"/>
    <n v="0.02"/>
    <n v="0.01"/>
    <n v="0.01"/>
    <n v="6.2100000000000002E-2"/>
    <n v="0.03"/>
    <n v="0.02"/>
    <n v="0.06"/>
    <n v="0.02"/>
    <n v="0.02"/>
    <n v="0.02"/>
    <n v="0.9"/>
    <n v="180000"/>
    <n v="176460"/>
    <n v="304980"/>
    <n v="210120"/>
    <n v="408000"/>
    <n v="140000"/>
  </r>
  <r>
    <x v="0"/>
    <x v="0"/>
    <x v="12"/>
    <s v="Internal Medicine HPSPPriv"/>
    <n v="2041"/>
    <x v="28"/>
    <n v="1741952.9902217658"/>
    <n v="0.02"/>
    <n v="0.01"/>
    <n v="0.01"/>
    <n v="6.2100000000000002E-2"/>
    <n v="0.03"/>
    <n v="0.02"/>
    <n v="0.06"/>
    <n v="0.02"/>
    <n v="0.02"/>
    <n v="0.02"/>
    <n v="0.9"/>
    <n v="180000"/>
    <n v="176460"/>
    <n v="304980"/>
    <n v="210120"/>
    <n v="408000"/>
    <n v="140000"/>
  </r>
  <r>
    <x v="0"/>
    <x v="0"/>
    <x v="12"/>
    <s v="Internal Medicine HPSPPriv"/>
    <n v="2042"/>
    <x v="29"/>
    <n v="1796137.7453499995"/>
    <n v="0.02"/>
    <n v="0.01"/>
    <n v="0.01"/>
    <n v="6.2100000000000002E-2"/>
    <n v="0.03"/>
    <n v="0.02"/>
    <n v="0.06"/>
    <n v="0.02"/>
    <n v="0.02"/>
    <n v="0.02"/>
    <n v="0.9"/>
    <n v="180000"/>
    <n v="176460"/>
    <n v="304980"/>
    <n v="210120"/>
    <n v="408000"/>
    <n v="140000"/>
  </r>
  <r>
    <x v="0"/>
    <x v="0"/>
    <x v="13"/>
    <s v="Internal Medicine NHSC4"/>
    <n v="2013"/>
    <x v="0"/>
    <n v="13346.178000000002"/>
    <n v="0.02"/>
    <n v="0.01"/>
    <n v="0.01"/>
    <n v="6.2100000000000002E-2"/>
    <n v="0.03"/>
    <n v="0.02"/>
    <n v="0.06"/>
    <n v="0.02"/>
    <n v="0.02"/>
    <n v="0.02"/>
    <n v="0.9"/>
    <n v="180000"/>
    <n v="176460"/>
    <n v="304980"/>
    <n v="210120"/>
    <n v="408000"/>
    <n v="140000"/>
  </r>
  <r>
    <x v="0"/>
    <x v="0"/>
    <x v="13"/>
    <s v="Internal Medicine NHSC4"/>
    <n v="2014"/>
    <x v="1"/>
    <n v="26072.922717304398"/>
    <n v="0.02"/>
    <n v="0.01"/>
    <n v="0.01"/>
    <n v="6.2100000000000002E-2"/>
    <n v="0.03"/>
    <n v="0.02"/>
    <n v="0.06"/>
    <n v="0.02"/>
    <n v="0.02"/>
    <n v="0.02"/>
    <n v="0.9"/>
    <n v="180000"/>
    <n v="176460"/>
    <n v="304980"/>
    <n v="210120"/>
    <n v="408000"/>
    <n v="140000"/>
  </r>
  <r>
    <x v="0"/>
    <x v="0"/>
    <x v="13"/>
    <s v="Internal Medicine NHSC4"/>
    <n v="2015"/>
    <x v="2"/>
    <n v="38209.387556465677"/>
    <n v="0.02"/>
    <n v="0.01"/>
    <n v="0.01"/>
    <n v="6.2100000000000002E-2"/>
    <n v="0.03"/>
    <n v="0.02"/>
    <n v="0.06"/>
    <n v="0.02"/>
    <n v="0.02"/>
    <n v="0.02"/>
    <n v="0.9"/>
    <n v="180000"/>
    <n v="176460"/>
    <n v="304980"/>
    <n v="210120"/>
    <n v="408000"/>
    <n v="140000"/>
  </r>
  <r>
    <x v="0"/>
    <x v="0"/>
    <x v="13"/>
    <s v="Internal Medicine NHSC4"/>
    <n v="2016"/>
    <x v="3"/>
    <n v="49783.341623447806"/>
    <n v="0.02"/>
    <n v="0.01"/>
    <n v="0.01"/>
    <n v="6.2100000000000002E-2"/>
    <n v="0.03"/>
    <n v="0.02"/>
    <n v="0.06"/>
    <n v="0.02"/>
    <n v="0.02"/>
    <n v="0.02"/>
    <n v="0.9"/>
    <n v="180000"/>
    <n v="176460"/>
    <n v="304980"/>
    <n v="210120"/>
    <n v="408000"/>
    <n v="140000"/>
  </r>
  <r>
    <x v="0"/>
    <x v="0"/>
    <x v="13"/>
    <s v="Internal Medicine NHSC4"/>
    <n v="2017"/>
    <x v="4"/>
    <n v="83372.207089547534"/>
    <n v="0.02"/>
    <n v="0.01"/>
    <n v="0.01"/>
    <n v="6.2100000000000002E-2"/>
    <n v="0.03"/>
    <n v="0.02"/>
    <n v="0.06"/>
    <n v="0.02"/>
    <n v="0.02"/>
    <n v="0.02"/>
    <n v="0.9"/>
    <n v="180000"/>
    <n v="176460"/>
    <n v="304980"/>
    <n v="210120"/>
    <n v="408000"/>
    <n v="140000"/>
  </r>
  <r>
    <x v="0"/>
    <x v="0"/>
    <x v="13"/>
    <s v="Internal Medicine NHSC4"/>
    <n v="2018"/>
    <x v="5"/>
    <n v="116982.39920608245"/>
    <n v="0.02"/>
    <n v="0.01"/>
    <n v="0.01"/>
    <n v="6.2100000000000002E-2"/>
    <n v="0.03"/>
    <n v="0.02"/>
    <n v="0.06"/>
    <n v="0.02"/>
    <n v="0.02"/>
    <n v="0.02"/>
    <n v="0.9"/>
    <n v="180000"/>
    <n v="176460"/>
    <n v="304980"/>
    <n v="210120"/>
    <n v="408000"/>
    <n v="140000"/>
  </r>
  <r>
    <x v="0"/>
    <x v="0"/>
    <x v="13"/>
    <s v="Internal Medicine NHSC4"/>
    <n v="2019"/>
    <x v="6"/>
    <n v="150622.24088360625"/>
    <n v="0.02"/>
    <n v="0.01"/>
    <n v="0.01"/>
    <n v="6.2100000000000002E-2"/>
    <n v="0.03"/>
    <n v="0.02"/>
    <n v="0.06"/>
    <n v="0.02"/>
    <n v="0.02"/>
    <n v="0.02"/>
    <n v="0.9"/>
    <n v="180000"/>
    <n v="176460"/>
    <n v="304980"/>
    <n v="210120"/>
    <n v="408000"/>
    <n v="140000"/>
  </r>
  <r>
    <x v="0"/>
    <x v="0"/>
    <x v="13"/>
    <s v="Internal Medicine NHSC4"/>
    <n v="2020"/>
    <x v="7"/>
    <n v="225558.9173924299"/>
    <n v="0.02"/>
    <n v="0.01"/>
    <n v="0.01"/>
    <n v="6.2100000000000002E-2"/>
    <n v="0.03"/>
    <n v="0.02"/>
    <n v="0.06"/>
    <n v="0.02"/>
    <n v="0.02"/>
    <n v="0.02"/>
    <n v="0.9"/>
    <n v="180000"/>
    <n v="176460"/>
    <n v="304980"/>
    <n v="210120"/>
    <n v="408000"/>
    <n v="140000"/>
  </r>
  <r>
    <x v="0"/>
    <x v="0"/>
    <x v="13"/>
    <s v="Internal Medicine NHSC4"/>
    <n v="2021"/>
    <x v="8"/>
    <n v="299011.07315491041"/>
    <n v="0.02"/>
    <n v="0.01"/>
    <n v="0.01"/>
    <n v="6.2100000000000002E-2"/>
    <n v="0.03"/>
    <n v="0.02"/>
    <n v="0.06"/>
    <n v="0.02"/>
    <n v="0.02"/>
    <n v="0.02"/>
    <n v="0.9"/>
    <n v="180000"/>
    <n v="176460"/>
    <n v="304980"/>
    <n v="210120"/>
    <n v="408000"/>
    <n v="140000"/>
  </r>
  <r>
    <x v="0"/>
    <x v="0"/>
    <x v="13"/>
    <s v="Internal Medicine NHSC4"/>
    <n v="2022"/>
    <x v="9"/>
    <n v="371008.25838645565"/>
    <n v="0.02"/>
    <n v="0.01"/>
    <n v="0.01"/>
    <n v="6.2100000000000002E-2"/>
    <n v="0.03"/>
    <n v="0.02"/>
    <n v="0.06"/>
    <n v="0.02"/>
    <n v="0.02"/>
    <n v="0.02"/>
    <n v="0.9"/>
    <n v="180000"/>
    <n v="176460"/>
    <n v="304980"/>
    <n v="210120"/>
    <n v="408000"/>
    <n v="140000"/>
  </r>
  <r>
    <x v="0"/>
    <x v="0"/>
    <x v="13"/>
    <s v="Internal Medicine NHSC4"/>
    <n v="2023"/>
    <x v="10"/>
    <n v="441579.4310137041"/>
    <n v="0.02"/>
    <n v="0.01"/>
    <n v="0.01"/>
    <n v="6.2100000000000002E-2"/>
    <n v="0.03"/>
    <n v="0.02"/>
    <n v="0.06"/>
    <n v="0.02"/>
    <n v="0.02"/>
    <n v="0.02"/>
    <n v="0.9"/>
    <n v="180000"/>
    <n v="176460"/>
    <n v="304980"/>
    <n v="210120"/>
    <n v="408000"/>
    <n v="140000"/>
  </r>
  <r>
    <x v="0"/>
    <x v="0"/>
    <x v="13"/>
    <s v="Internal Medicine NHSC4"/>
    <n v="2024"/>
    <x v="11"/>
    <n v="510752.96866296558"/>
    <n v="0.02"/>
    <n v="0.01"/>
    <n v="0.01"/>
    <n v="6.2100000000000002E-2"/>
    <n v="0.03"/>
    <n v="0.02"/>
    <n v="0.06"/>
    <n v="0.02"/>
    <n v="0.02"/>
    <n v="0.02"/>
    <n v="0.9"/>
    <n v="180000"/>
    <n v="176460"/>
    <n v="304980"/>
    <n v="210120"/>
    <n v="408000"/>
    <n v="140000"/>
  </r>
  <r>
    <x v="0"/>
    <x v="0"/>
    <x v="13"/>
    <s v="Internal Medicine NHSC4"/>
    <n v="2025"/>
    <x v="12"/>
    <n v="578556.6804026739"/>
    <n v="0.02"/>
    <n v="0.01"/>
    <n v="0.01"/>
    <n v="6.2100000000000002E-2"/>
    <n v="0.03"/>
    <n v="0.02"/>
    <n v="0.06"/>
    <n v="0.02"/>
    <n v="0.02"/>
    <n v="0.02"/>
    <n v="0.9"/>
    <n v="180000"/>
    <n v="176460"/>
    <n v="304980"/>
    <n v="210120"/>
    <n v="408000"/>
    <n v="140000"/>
  </r>
  <r>
    <x v="0"/>
    <x v="0"/>
    <x v="13"/>
    <s v="Internal Medicine NHSC4"/>
    <n v="2026"/>
    <x v="13"/>
    <n v="645017.8182449931"/>
    <n v="0.02"/>
    <n v="0.01"/>
    <n v="0.01"/>
    <n v="6.2100000000000002E-2"/>
    <n v="0.03"/>
    <n v="0.02"/>
    <n v="0.06"/>
    <n v="0.02"/>
    <n v="0.02"/>
    <n v="0.02"/>
    <n v="0.9"/>
    <n v="180000"/>
    <n v="176460"/>
    <n v="304980"/>
    <n v="210120"/>
    <n v="408000"/>
    <n v="140000"/>
  </r>
  <r>
    <x v="0"/>
    <x v="0"/>
    <x v="13"/>
    <s v="Internal Medicine NHSC4"/>
    <n v="2027"/>
    <x v="14"/>
    <n v="710163.08841160848"/>
    <n v="0.02"/>
    <n v="0.01"/>
    <n v="0.01"/>
    <n v="6.2100000000000002E-2"/>
    <n v="0.03"/>
    <n v="0.02"/>
    <n v="0.06"/>
    <n v="0.02"/>
    <n v="0.02"/>
    <n v="0.02"/>
    <n v="0.9"/>
    <n v="180000"/>
    <n v="176460"/>
    <n v="304980"/>
    <n v="210120"/>
    <n v="408000"/>
    <n v="140000"/>
  </r>
  <r>
    <x v="0"/>
    <x v="0"/>
    <x v="13"/>
    <s v="Internal Medicine NHSC4"/>
    <n v="2028"/>
    <x v="15"/>
    <n v="773317.7491220684"/>
    <n v="0.02"/>
    <n v="0.01"/>
    <n v="0.01"/>
    <n v="6.2100000000000002E-2"/>
    <n v="0.03"/>
    <n v="0.02"/>
    <n v="0.06"/>
    <n v="0.02"/>
    <n v="0.02"/>
    <n v="0.02"/>
    <n v="0.9"/>
    <n v="180000"/>
    <n v="176460"/>
    <n v="304980"/>
    <n v="210120"/>
    <n v="408000"/>
    <n v="140000"/>
  </r>
  <r>
    <x v="0"/>
    <x v="0"/>
    <x v="13"/>
    <s v="Internal Medicine NHSC4"/>
    <n v="2029"/>
    <x v="16"/>
    <n v="835228.77609121124"/>
    <n v="0.02"/>
    <n v="0.01"/>
    <n v="0.01"/>
    <n v="6.2100000000000002E-2"/>
    <n v="0.03"/>
    <n v="0.02"/>
    <n v="0.06"/>
    <n v="0.02"/>
    <n v="0.02"/>
    <n v="0.02"/>
    <n v="0.9"/>
    <n v="180000"/>
    <n v="176460"/>
    <n v="304980"/>
    <n v="210120"/>
    <n v="408000"/>
    <n v="140000"/>
  </r>
  <r>
    <x v="0"/>
    <x v="0"/>
    <x v="13"/>
    <s v="Internal Medicine NHSC4"/>
    <n v="2030"/>
    <x v="17"/>
    <n v="895920.70886894106"/>
    <n v="0.02"/>
    <n v="0.01"/>
    <n v="0.01"/>
    <n v="6.2100000000000002E-2"/>
    <n v="0.03"/>
    <n v="0.02"/>
    <n v="0.06"/>
    <n v="0.02"/>
    <n v="0.02"/>
    <n v="0.02"/>
    <n v="0.9"/>
    <n v="180000"/>
    <n v="176460"/>
    <n v="304980"/>
    <n v="210120"/>
    <n v="408000"/>
    <n v="140000"/>
  </r>
  <r>
    <x v="0"/>
    <x v="0"/>
    <x v="13"/>
    <s v="Internal Medicine NHSC4"/>
    <n v="2031"/>
    <x v="18"/>
    <n v="955417.60133534425"/>
    <n v="0.02"/>
    <n v="0.01"/>
    <n v="0.01"/>
    <n v="6.2100000000000002E-2"/>
    <n v="0.03"/>
    <n v="0.02"/>
    <n v="0.06"/>
    <n v="0.02"/>
    <n v="0.02"/>
    <n v="0.02"/>
    <n v="0.9"/>
    <n v="180000"/>
    <n v="176460"/>
    <n v="304980"/>
    <n v="210120"/>
    <n v="408000"/>
    <n v="140000"/>
  </r>
  <r>
    <x v="0"/>
    <x v="0"/>
    <x v="13"/>
    <s v="Internal Medicine NHSC4"/>
    <n v="2032"/>
    <x v="19"/>
    <n v="1013743.0313547587"/>
    <n v="0.02"/>
    <n v="0.01"/>
    <n v="0.01"/>
    <n v="6.2100000000000002E-2"/>
    <n v="0.03"/>
    <n v="0.02"/>
    <n v="0.06"/>
    <n v="0.02"/>
    <n v="0.02"/>
    <n v="0.02"/>
    <n v="0.9"/>
    <n v="180000"/>
    <n v="176460"/>
    <n v="304980"/>
    <n v="210120"/>
    <n v="408000"/>
    <n v="140000"/>
  </r>
  <r>
    <x v="0"/>
    <x v="0"/>
    <x v="13"/>
    <s v="Internal Medicine NHSC4"/>
    <n v="2033"/>
    <x v="20"/>
    <n v="1070920.1102367274"/>
    <n v="0.02"/>
    <n v="0.01"/>
    <n v="0.01"/>
    <n v="6.2100000000000002E-2"/>
    <n v="0.03"/>
    <n v="0.02"/>
    <n v="0.06"/>
    <n v="0.02"/>
    <n v="0.02"/>
    <n v="0.02"/>
    <n v="0.9"/>
    <n v="180000"/>
    <n v="176460"/>
    <n v="304980"/>
    <n v="210120"/>
    <n v="408000"/>
    <n v="140000"/>
  </r>
  <r>
    <x v="0"/>
    <x v="0"/>
    <x v="13"/>
    <s v="Internal Medicine NHSC4"/>
    <n v="2034"/>
    <x v="21"/>
    <n v="1126971.4920077359"/>
    <n v="0.02"/>
    <n v="0.01"/>
    <n v="0.01"/>
    <n v="6.2100000000000002E-2"/>
    <n v="0.03"/>
    <n v="0.02"/>
    <n v="0.06"/>
    <n v="0.02"/>
    <n v="0.02"/>
    <n v="0.02"/>
    <n v="0.9"/>
    <n v="180000"/>
    <n v="176460"/>
    <n v="304980"/>
    <n v="210120"/>
    <n v="408000"/>
    <n v="140000"/>
  </r>
  <r>
    <x v="0"/>
    <x v="0"/>
    <x v="13"/>
    <s v="Internal Medicine NHSC4"/>
    <n v="2035"/>
    <x v="22"/>
    <n v="1181919.38249755"/>
    <n v="0.02"/>
    <n v="0.01"/>
    <n v="0.01"/>
    <n v="6.2100000000000002E-2"/>
    <n v="0.03"/>
    <n v="0.02"/>
    <n v="0.06"/>
    <n v="0.02"/>
    <n v="0.02"/>
    <n v="0.02"/>
    <n v="0.9"/>
    <n v="180000"/>
    <n v="176460"/>
    <n v="304980"/>
    <n v="210120"/>
    <n v="408000"/>
    <n v="140000"/>
  </r>
  <r>
    <x v="0"/>
    <x v="0"/>
    <x v="13"/>
    <s v="Internal Medicine NHSC4"/>
    <n v="2036"/>
    <x v="23"/>
    <n v="1235785.5482438952"/>
    <n v="0.02"/>
    <n v="0.01"/>
    <n v="0.01"/>
    <n v="6.2100000000000002E-2"/>
    <n v="0.03"/>
    <n v="0.02"/>
    <n v="0.06"/>
    <n v="0.02"/>
    <n v="0.02"/>
    <n v="0.02"/>
    <n v="0.9"/>
    <n v="180000"/>
    <n v="176460"/>
    <n v="304980"/>
    <n v="210120"/>
    <n v="408000"/>
    <n v="140000"/>
  </r>
  <r>
    <x v="0"/>
    <x v="0"/>
    <x v="13"/>
    <s v="Internal Medicine NHSC4"/>
    <n v="2037"/>
    <x v="24"/>
    <n v="1288591.3252191413"/>
    <n v="0.02"/>
    <n v="0.01"/>
    <n v="0.01"/>
    <n v="6.2100000000000002E-2"/>
    <n v="0.03"/>
    <n v="0.02"/>
    <n v="0.06"/>
    <n v="0.02"/>
    <n v="0.02"/>
    <n v="0.02"/>
    <n v="0.9"/>
    <n v="180000"/>
    <n v="176460"/>
    <n v="304980"/>
    <n v="210120"/>
    <n v="408000"/>
    <n v="140000"/>
  </r>
  <r>
    <x v="0"/>
    <x v="0"/>
    <x v="13"/>
    <s v="Internal Medicine NHSC4"/>
    <n v="2038"/>
    <x v="25"/>
    <n v="1340357.6273825807"/>
    <n v="0.02"/>
    <n v="0.01"/>
    <n v="0.01"/>
    <n v="6.2100000000000002E-2"/>
    <n v="0.03"/>
    <n v="0.02"/>
    <n v="0.06"/>
    <n v="0.02"/>
    <n v="0.02"/>
    <n v="0.02"/>
    <n v="0.9"/>
    <n v="180000"/>
    <n v="176460"/>
    <n v="304980"/>
    <n v="210120"/>
    <n v="408000"/>
    <n v="140000"/>
  </r>
  <r>
    <x v="0"/>
    <x v="0"/>
    <x v="13"/>
    <s v="Internal Medicine NHSC4"/>
    <n v="2039"/>
    <x v="26"/>
    <n v="1391104.9550618159"/>
    <n v="0.02"/>
    <n v="0.01"/>
    <n v="0.01"/>
    <n v="6.2100000000000002E-2"/>
    <n v="0.03"/>
    <n v="0.02"/>
    <n v="0.06"/>
    <n v="0.02"/>
    <n v="0.02"/>
    <n v="0.02"/>
    <n v="0.9"/>
    <n v="180000"/>
    <n v="176460"/>
    <n v="304980"/>
    <n v="210120"/>
    <n v="408000"/>
    <n v="140000"/>
  </r>
  <r>
    <x v="0"/>
    <x v="0"/>
    <x v="13"/>
    <s v="Internal Medicine NHSC4"/>
    <n v="2040"/>
    <x v="27"/>
    <n v="1440853.4031667018"/>
    <n v="0.02"/>
    <n v="0.01"/>
    <n v="0.01"/>
    <n v="6.2100000000000002E-2"/>
    <n v="0.03"/>
    <n v="0.02"/>
    <n v="0.06"/>
    <n v="0.02"/>
    <n v="0.02"/>
    <n v="0.02"/>
    <n v="0.9"/>
    <n v="180000"/>
    <n v="176460"/>
    <n v="304980"/>
    <n v="210120"/>
    <n v="408000"/>
    <n v="140000"/>
  </r>
  <r>
    <x v="0"/>
    <x v="0"/>
    <x v="13"/>
    <s v="Internal Medicine NHSC4"/>
    <n v="2041"/>
    <x v="28"/>
    <n v="1489622.6692392132"/>
    <n v="0.02"/>
    <n v="0.01"/>
    <n v="0.01"/>
    <n v="6.2100000000000002E-2"/>
    <n v="0.03"/>
    <n v="0.02"/>
    <n v="0.06"/>
    <n v="0.02"/>
    <n v="0.02"/>
    <n v="0.02"/>
    <n v="0.9"/>
    <n v="180000"/>
    <n v="176460"/>
    <n v="304980"/>
    <n v="210120"/>
    <n v="408000"/>
    <n v="140000"/>
  </r>
  <r>
    <x v="0"/>
    <x v="0"/>
    <x v="13"/>
    <s v="Internal Medicine NHSC4"/>
    <n v="2042"/>
    <x v="29"/>
    <n v="1537432.0613425472"/>
    <n v="0.02"/>
    <n v="0.01"/>
    <n v="0.01"/>
    <n v="6.2100000000000002E-2"/>
    <n v="0.03"/>
    <n v="0.02"/>
    <n v="0.06"/>
    <n v="0.02"/>
    <n v="0.02"/>
    <n v="0.02"/>
    <n v="0.9"/>
    <n v="180000"/>
    <n v="176460"/>
    <n v="304980"/>
    <n v="210120"/>
    <n v="408000"/>
    <n v="140000"/>
  </r>
  <r>
    <x v="0"/>
    <x v="0"/>
    <x v="14"/>
    <s v="Internal Medicine PSLF"/>
    <n v="2013"/>
    <x v="0"/>
    <n v="-43015.05"/>
    <n v="0.02"/>
    <n v="0.01"/>
    <n v="0.01"/>
    <n v="6.2100000000000002E-2"/>
    <n v="0.03"/>
    <n v="0.02"/>
    <n v="0.06"/>
    <n v="0.02"/>
    <n v="0.02"/>
    <n v="0.02"/>
    <n v="0.9"/>
    <n v="180000"/>
    <n v="176460"/>
    <n v="304980"/>
    <n v="210120"/>
    <n v="408000"/>
    <n v="140000"/>
  </r>
  <r>
    <x v="0"/>
    <x v="0"/>
    <x v="14"/>
    <s v="Internal Medicine PSLF"/>
    <n v="2014"/>
    <x v="1"/>
    <n v="-86352.285865219877"/>
    <n v="0.02"/>
    <n v="0.01"/>
    <n v="0.01"/>
    <n v="6.2100000000000002E-2"/>
    <n v="0.03"/>
    <n v="0.02"/>
    <n v="0.06"/>
    <n v="0.02"/>
    <n v="0.02"/>
    <n v="0.02"/>
    <n v="0.9"/>
    <n v="180000"/>
    <n v="176460"/>
    <n v="304980"/>
    <n v="210120"/>
    <n v="408000"/>
    <n v="140000"/>
  </r>
  <r>
    <x v="0"/>
    <x v="0"/>
    <x v="14"/>
    <s v="Internal Medicine PSLF"/>
    <n v="2015"/>
    <x v="2"/>
    <n v="-138541.19578403595"/>
    <n v="0.02"/>
    <n v="0.01"/>
    <n v="0.01"/>
    <n v="6.2100000000000002E-2"/>
    <n v="0.03"/>
    <n v="0.02"/>
    <n v="0.06"/>
    <n v="0.02"/>
    <n v="0.02"/>
    <n v="0.02"/>
    <n v="0.9"/>
    <n v="180000"/>
    <n v="176460"/>
    <n v="304980"/>
    <n v="210120"/>
    <n v="408000"/>
    <n v="140000"/>
  </r>
  <r>
    <x v="0"/>
    <x v="0"/>
    <x v="14"/>
    <s v="Internal Medicine PSLF"/>
    <n v="2016"/>
    <x v="3"/>
    <n v="-190867.3802890821"/>
    <n v="0.02"/>
    <n v="0.01"/>
    <n v="0.01"/>
    <n v="6.2100000000000002E-2"/>
    <n v="0.03"/>
    <n v="0.02"/>
    <n v="0.06"/>
    <n v="0.02"/>
    <n v="0.02"/>
    <n v="0.02"/>
    <n v="0.9"/>
    <n v="180000"/>
    <n v="176460"/>
    <n v="304980"/>
    <n v="210120"/>
    <n v="408000"/>
    <n v="140000"/>
  </r>
  <r>
    <x v="0"/>
    <x v="0"/>
    <x v="14"/>
    <s v="Internal Medicine PSLF"/>
    <n v="2017"/>
    <x v="4"/>
    <n v="-160208.65625830353"/>
    <n v="0.02"/>
    <n v="0.01"/>
    <n v="0.01"/>
    <n v="6.2100000000000002E-2"/>
    <n v="0.03"/>
    <n v="0.02"/>
    <n v="0.06"/>
    <n v="0.02"/>
    <n v="0.02"/>
    <n v="0.02"/>
    <n v="0.9"/>
    <n v="180000"/>
    <n v="176460"/>
    <n v="304980"/>
    <n v="210120"/>
    <n v="408000"/>
    <n v="140000"/>
  </r>
  <r>
    <x v="0"/>
    <x v="0"/>
    <x v="14"/>
    <s v="Internal Medicine PSLF"/>
    <n v="2018"/>
    <x v="5"/>
    <n v="-129613.12454394234"/>
    <n v="0.02"/>
    <n v="0.01"/>
    <n v="0.01"/>
    <n v="6.2100000000000002E-2"/>
    <n v="0.03"/>
    <n v="0.02"/>
    <n v="0.06"/>
    <n v="0.02"/>
    <n v="0.02"/>
    <n v="0.02"/>
    <n v="0.9"/>
    <n v="180000"/>
    <n v="176460"/>
    <n v="304980"/>
    <n v="210120"/>
    <n v="408000"/>
    <n v="140000"/>
  </r>
  <r>
    <x v="0"/>
    <x v="0"/>
    <x v="14"/>
    <s v="Internal Medicine PSLF"/>
    <n v="2019"/>
    <x v="6"/>
    <n v="-99071.520326821745"/>
    <n v="0.02"/>
    <n v="0.01"/>
    <n v="0.01"/>
    <n v="6.2100000000000002E-2"/>
    <n v="0.03"/>
    <n v="0.02"/>
    <n v="0.06"/>
    <n v="0.02"/>
    <n v="0.02"/>
    <n v="0.02"/>
    <n v="0.9"/>
    <n v="180000"/>
    <n v="176460"/>
    <n v="304980"/>
    <n v="210120"/>
    <n v="408000"/>
    <n v="140000"/>
  </r>
  <r>
    <x v="0"/>
    <x v="0"/>
    <x v="14"/>
    <s v="Internal Medicine PSLF"/>
    <n v="2020"/>
    <x v="7"/>
    <n v="-23042.576362823413"/>
    <n v="0.02"/>
    <n v="0.01"/>
    <n v="0.01"/>
    <n v="6.2100000000000002E-2"/>
    <n v="0.03"/>
    <n v="0.02"/>
    <n v="0.06"/>
    <n v="0.02"/>
    <n v="0.02"/>
    <n v="0.02"/>
    <n v="0.9"/>
    <n v="180000"/>
    <n v="176460"/>
    <n v="304980"/>
    <n v="210120"/>
    <n v="408000"/>
    <n v="140000"/>
  </r>
  <r>
    <x v="0"/>
    <x v="0"/>
    <x v="14"/>
    <s v="Internal Medicine PSLF"/>
    <n v="2021"/>
    <x v="8"/>
    <n v="51647.781408067793"/>
    <n v="0.02"/>
    <n v="0.01"/>
    <n v="0.01"/>
    <n v="6.2100000000000002E-2"/>
    <n v="0.03"/>
    <n v="0.02"/>
    <n v="0.06"/>
    <n v="0.02"/>
    <n v="0.02"/>
    <n v="0.02"/>
    <n v="0.9"/>
    <n v="180000"/>
    <n v="176460"/>
    <n v="304980"/>
    <n v="210120"/>
    <n v="408000"/>
    <n v="140000"/>
  </r>
  <r>
    <x v="0"/>
    <x v="0"/>
    <x v="14"/>
    <s v="Internal Medicine PSLF"/>
    <n v="2022"/>
    <x v="9"/>
    <n v="124989.66023250126"/>
    <n v="0.02"/>
    <n v="0.01"/>
    <n v="0.01"/>
    <n v="6.2100000000000002E-2"/>
    <n v="0.03"/>
    <n v="0.02"/>
    <n v="0.06"/>
    <n v="0.02"/>
    <n v="0.02"/>
    <n v="0.02"/>
    <n v="0.9"/>
    <n v="180000"/>
    <n v="176460"/>
    <n v="304980"/>
    <n v="210120"/>
    <n v="408000"/>
    <n v="140000"/>
  </r>
  <r>
    <x v="0"/>
    <x v="0"/>
    <x v="14"/>
    <s v="Internal Medicine PSLF"/>
    <n v="2023"/>
    <x v="10"/>
    <n v="196975.92544787517"/>
    <n v="0.02"/>
    <n v="0.01"/>
    <n v="0.01"/>
    <n v="6.2100000000000002E-2"/>
    <n v="0.03"/>
    <n v="0.02"/>
    <n v="0.06"/>
    <n v="0.02"/>
    <n v="0.02"/>
    <n v="0.02"/>
    <n v="0.9"/>
    <n v="180000"/>
    <n v="176460"/>
    <n v="304980"/>
    <n v="210120"/>
    <n v="408000"/>
    <n v="140000"/>
  </r>
  <r>
    <x v="0"/>
    <x v="0"/>
    <x v="14"/>
    <s v="Internal Medicine PSLF"/>
    <n v="2024"/>
    <x v="11"/>
    <n v="266911.51390185131"/>
    <n v="0.02"/>
    <n v="0.01"/>
    <n v="0.01"/>
    <n v="6.2100000000000002E-2"/>
    <n v="0.03"/>
    <n v="0.02"/>
    <n v="0.06"/>
    <n v="0.02"/>
    <n v="0.02"/>
    <n v="0.02"/>
    <n v="0.9"/>
    <n v="180000"/>
    <n v="176460"/>
    <n v="304980"/>
    <n v="210120"/>
    <n v="408000"/>
    <n v="140000"/>
  </r>
  <r>
    <x v="0"/>
    <x v="0"/>
    <x v="14"/>
    <s v="Internal Medicine PSLF"/>
    <n v="2025"/>
    <x v="12"/>
    <n v="334847.59087687067"/>
    <n v="0.02"/>
    <n v="0.01"/>
    <n v="0.01"/>
    <n v="6.2100000000000002E-2"/>
    <n v="0.03"/>
    <n v="0.02"/>
    <n v="0.06"/>
    <n v="0.02"/>
    <n v="0.02"/>
    <n v="0.02"/>
    <n v="0.9"/>
    <n v="180000"/>
    <n v="176460"/>
    <n v="304980"/>
    <n v="210120"/>
    <n v="408000"/>
    <n v="140000"/>
  </r>
  <r>
    <x v="0"/>
    <x v="0"/>
    <x v="14"/>
    <s v="Internal Medicine PSLF"/>
    <n v="2026"/>
    <x v="13"/>
    <n v="400834.42453210562"/>
    <n v="0.02"/>
    <n v="0.01"/>
    <n v="0.01"/>
    <n v="6.2100000000000002E-2"/>
    <n v="0.03"/>
    <n v="0.02"/>
    <n v="0.06"/>
    <n v="0.02"/>
    <n v="0.02"/>
    <n v="0.02"/>
    <n v="0.9"/>
    <n v="180000"/>
    <n v="176460"/>
    <n v="304980"/>
    <n v="210120"/>
    <n v="408000"/>
    <n v="140000"/>
  </r>
  <r>
    <x v="0"/>
    <x v="0"/>
    <x v="14"/>
    <s v="Internal Medicine PSLF"/>
    <n v="2027"/>
    <x v="14"/>
    <n v="464921.37897918624"/>
    <n v="0.02"/>
    <n v="0.01"/>
    <n v="0.01"/>
    <n v="6.2100000000000002E-2"/>
    <n v="0.03"/>
    <n v="0.02"/>
    <n v="0.06"/>
    <n v="0.02"/>
    <n v="0.02"/>
    <n v="0.02"/>
    <n v="0.9"/>
    <n v="180000"/>
    <n v="176460"/>
    <n v="304980"/>
    <n v="210120"/>
    <n v="408000"/>
    <n v="140000"/>
  </r>
  <r>
    <x v="0"/>
    <x v="0"/>
    <x v="14"/>
    <s v="Internal Medicine PSLF"/>
    <n v="2028"/>
    <x v="15"/>
    <n v="527156.90922854689"/>
    <n v="0.02"/>
    <n v="0.01"/>
    <n v="0.01"/>
    <n v="6.2100000000000002E-2"/>
    <n v="0.03"/>
    <n v="0.02"/>
    <n v="0.06"/>
    <n v="0.02"/>
    <n v="0.02"/>
    <n v="0.02"/>
    <n v="0.9"/>
    <n v="180000"/>
    <n v="176460"/>
    <n v="304980"/>
    <n v="210120"/>
    <n v="408000"/>
    <n v="140000"/>
  </r>
  <r>
    <x v="0"/>
    <x v="0"/>
    <x v="14"/>
    <s v="Internal Medicine PSLF"/>
    <n v="2029"/>
    <x v="16"/>
    <n v="587105.00652110798"/>
    <n v="0.02"/>
    <n v="0.01"/>
    <n v="0.01"/>
    <n v="6.2100000000000002E-2"/>
    <n v="0.03"/>
    <n v="0.02"/>
    <n v="0.06"/>
    <n v="0.02"/>
    <n v="0.02"/>
    <n v="0.02"/>
    <n v="0.9"/>
    <n v="180000"/>
    <n v="176460"/>
    <n v="304980"/>
    <n v="210120"/>
    <n v="408000"/>
    <n v="140000"/>
  </r>
  <r>
    <x v="0"/>
    <x v="0"/>
    <x v="14"/>
    <s v="Internal Medicine PSLF"/>
    <n v="2030"/>
    <x v="17"/>
    <n v="655882.44114252401"/>
    <n v="0.02"/>
    <n v="0.01"/>
    <n v="0.01"/>
    <n v="6.2100000000000002E-2"/>
    <n v="0.03"/>
    <n v="0.02"/>
    <n v="0.06"/>
    <n v="0.02"/>
    <n v="0.02"/>
    <n v="0.02"/>
    <n v="0.9"/>
    <n v="180000"/>
    <n v="176460"/>
    <n v="304980"/>
    <n v="210120"/>
    <n v="408000"/>
    <n v="140000"/>
  </r>
  <r>
    <x v="0"/>
    <x v="0"/>
    <x v="14"/>
    <s v="Internal Medicine PSLF"/>
    <n v="2031"/>
    <x v="18"/>
    <n v="723306.29620077647"/>
    <n v="0.02"/>
    <n v="0.01"/>
    <n v="0.01"/>
    <n v="6.2100000000000002E-2"/>
    <n v="0.03"/>
    <n v="0.02"/>
    <n v="0.06"/>
    <n v="0.02"/>
    <n v="0.02"/>
    <n v="0.02"/>
    <n v="0.9"/>
    <n v="180000"/>
    <n v="176460"/>
    <n v="304980"/>
    <n v="210120"/>
    <n v="408000"/>
    <n v="140000"/>
  </r>
  <r>
    <x v="0"/>
    <x v="0"/>
    <x v="14"/>
    <s v="Internal Medicine PSLF"/>
    <n v="2032"/>
    <x v="19"/>
    <n v="789403.25817298423"/>
    <n v="0.02"/>
    <n v="0.01"/>
    <n v="0.01"/>
    <n v="6.2100000000000002E-2"/>
    <n v="0.03"/>
    <n v="0.02"/>
    <n v="0.06"/>
    <n v="0.02"/>
    <n v="0.02"/>
    <n v="0.02"/>
    <n v="0.9"/>
    <n v="180000"/>
    <n v="176460"/>
    <n v="304980"/>
    <n v="210120"/>
    <n v="408000"/>
    <n v="140000"/>
  </r>
  <r>
    <x v="0"/>
    <x v="0"/>
    <x v="14"/>
    <s v="Internal Medicine PSLF"/>
    <n v="2033"/>
    <x v="20"/>
    <n v="854199.48602827976"/>
    <n v="0.02"/>
    <n v="0.01"/>
    <n v="0.01"/>
    <n v="6.2100000000000002E-2"/>
    <n v="0.03"/>
    <n v="0.02"/>
    <n v="0.06"/>
    <n v="0.02"/>
    <n v="0.02"/>
    <n v="0.02"/>
    <n v="0.9"/>
    <n v="180000"/>
    <n v="176460"/>
    <n v="304980"/>
    <n v="210120"/>
    <n v="408000"/>
    <n v="140000"/>
  </r>
  <r>
    <x v="0"/>
    <x v="0"/>
    <x v="14"/>
    <s v="Internal Medicine PSLF"/>
    <n v="2034"/>
    <x v="21"/>
    <n v="917720.62169470661"/>
    <n v="0.02"/>
    <n v="0.01"/>
    <n v="0.01"/>
    <n v="6.2100000000000002E-2"/>
    <n v="0.03"/>
    <n v="0.02"/>
    <n v="0.06"/>
    <n v="0.02"/>
    <n v="0.02"/>
    <n v="0.02"/>
    <n v="0.9"/>
    <n v="180000"/>
    <n v="176460"/>
    <n v="304980"/>
    <n v="210120"/>
    <n v="408000"/>
    <n v="140000"/>
  </r>
  <r>
    <x v="0"/>
    <x v="0"/>
    <x v="14"/>
    <s v="Internal Medicine PSLF"/>
    <n v="2035"/>
    <x v="22"/>
    <n v="979991.80031728384"/>
    <n v="0.02"/>
    <n v="0.01"/>
    <n v="0.01"/>
    <n v="6.2100000000000002E-2"/>
    <n v="0.03"/>
    <n v="0.02"/>
    <n v="0.06"/>
    <n v="0.02"/>
    <n v="0.02"/>
    <n v="0.02"/>
    <n v="0.9"/>
    <n v="180000"/>
    <n v="176460"/>
    <n v="304980"/>
    <n v="210120"/>
    <n v="408000"/>
    <n v="140000"/>
  </r>
  <r>
    <x v="0"/>
    <x v="0"/>
    <x v="14"/>
    <s v="Internal Medicine PSLF"/>
    <n v="2036"/>
    <x v="23"/>
    <n v="1041037.660311436"/>
    <n v="0.02"/>
    <n v="0.01"/>
    <n v="0.01"/>
    <n v="6.2100000000000002E-2"/>
    <n v="0.03"/>
    <n v="0.02"/>
    <n v="0.06"/>
    <n v="0.02"/>
    <n v="0.02"/>
    <n v="0.02"/>
    <n v="0.9"/>
    <n v="180000"/>
    <n v="176460"/>
    <n v="304980"/>
    <n v="210120"/>
    <n v="408000"/>
    <n v="140000"/>
  </r>
  <r>
    <x v="0"/>
    <x v="0"/>
    <x v="14"/>
    <s v="Internal Medicine PSLF"/>
    <n v="2037"/>
    <x v="24"/>
    <n v="1100882.3532159049"/>
    <n v="0.02"/>
    <n v="0.01"/>
    <n v="0.01"/>
    <n v="6.2100000000000002E-2"/>
    <n v="0.03"/>
    <n v="0.02"/>
    <n v="0.06"/>
    <n v="0.02"/>
    <n v="0.02"/>
    <n v="0.02"/>
    <n v="0.9"/>
    <n v="180000"/>
    <n v="176460"/>
    <n v="304980"/>
    <n v="210120"/>
    <n v="408000"/>
    <n v="140000"/>
  </r>
  <r>
    <x v="0"/>
    <x v="0"/>
    <x v="14"/>
    <s v="Internal Medicine PSLF"/>
    <n v="2038"/>
    <x v="25"/>
    <n v="1159549.5533491704"/>
    <n v="0.02"/>
    <n v="0.01"/>
    <n v="0.01"/>
    <n v="6.2100000000000002E-2"/>
    <n v="0.03"/>
    <n v="0.02"/>
    <n v="0.06"/>
    <n v="0.02"/>
    <n v="0.02"/>
    <n v="0.02"/>
    <n v="0.9"/>
    <n v="180000"/>
    <n v="176460"/>
    <n v="304980"/>
    <n v="210120"/>
    <n v="408000"/>
    <n v="140000"/>
  </r>
  <r>
    <x v="0"/>
    <x v="0"/>
    <x v="14"/>
    <s v="Internal Medicine PSLF"/>
    <n v="2039"/>
    <x v="26"/>
    <n v="1217062.4672733333"/>
    <n v="0.02"/>
    <n v="0.01"/>
    <n v="0.01"/>
    <n v="6.2100000000000002E-2"/>
    <n v="0.03"/>
    <n v="0.02"/>
    <n v="0.06"/>
    <n v="0.02"/>
    <n v="0.02"/>
    <n v="0.02"/>
    <n v="0.9"/>
    <n v="180000"/>
    <n v="176460"/>
    <n v="304980"/>
    <n v="210120"/>
    <n v="408000"/>
    <n v="140000"/>
  </r>
  <r>
    <x v="0"/>
    <x v="0"/>
    <x v="14"/>
    <s v="Internal Medicine PSLF"/>
    <n v="2040"/>
    <x v="27"/>
    <n v="1273443.8430693245"/>
    <n v="0.02"/>
    <n v="0.01"/>
    <n v="0.01"/>
    <n v="6.2100000000000002E-2"/>
    <n v="0.03"/>
    <n v="0.02"/>
    <n v="0.06"/>
    <n v="0.02"/>
    <n v="0.02"/>
    <n v="0.02"/>
    <n v="0.9"/>
    <n v="180000"/>
    <n v="176460"/>
    <n v="304980"/>
    <n v="210120"/>
    <n v="408000"/>
    <n v="140000"/>
  </r>
  <r>
    <x v="0"/>
    <x v="0"/>
    <x v="14"/>
    <s v="Internal Medicine PSLF"/>
    <n v="2041"/>
    <x v="28"/>
    <n v="1328715.9794272336"/>
    <n v="0.02"/>
    <n v="0.01"/>
    <n v="0.01"/>
    <n v="6.2100000000000002E-2"/>
    <n v="0.03"/>
    <n v="0.02"/>
    <n v="0.06"/>
    <n v="0.02"/>
    <n v="0.02"/>
    <n v="0.02"/>
    <n v="0.9"/>
    <n v="180000"/>
    <n v="176460"/>
    <n v="304980"/>
    <n v="210120"/>
    <n v="408000"/>
    <n v="140000"/>
  </r>
  <r>
    <x v="0"/>
    <x v="0"/>
    <x v="14"/>
    <s v="Internal Medicine PSLF"/>
    <n v="2042"/>
    <x v="29"/>
    <n v="1382900.734555467"/>
    <n v="0.02"/>
    <n v="0.01"/>
    <n v="0.01"/>
    <n v="6.2100000000000002E-2"/>
    <n v="0.03"/>
    <n v="0.02"/>
    <n v="0.06"/>
    <n v="0.02"/>
    <n v="0.02"/>
    <n v="0.02"/>
    <n v="0.9"/>
    <n v="180000"/>
    <n v="176460"/>
    <n v="304980"/>
    <n v="210120"/>
    <n v="408000"/>
    <n v="140000"/>
  </r>
  <r>
    <x v="0"/>
    <x v="1"/>
    <x v="0"/>
    <s v="Orthopedics USU"/>
    <n v="2013"/>
    <x v="0"/>
    <n v="52525.686799999996"/>
    <n v="0.02"/>
    <n v="0.01"/>
    <n v="0.01"/>
    <n v="6.2100000000000002E-2"/>
    <n v="0.03"/>
    <n v="0.02"/>
    <n v="0.06"/>
    <n v="0.02"/>
    <n v="0.02"/>
    <n v="0.02"/>
    <n v="0.9"/>
    <n v="180000"/>
    <n v="176460"/>
    <n v="304980"/>
    <n v="210120"/>
    <n v="408000"/>
    <n v="140000"/>
  </r>
  <r>
    <x v="0"/>
    <x v="1"/>
    <x v="0"/>
    <s v="Orthopedics USU"/>
    <n v="2014"/>
    <x v="1"/>
    <n v="103045.21008954883"/>
    <n v="0.02"/>
    <n v="0.01"/>
    <n v="0.01"/>
    <n v="6.2100000000000002E-2"/>
    <n v="0.03"/>
    <n v="0.02"/>
    <n v="0.06"/>
    <n v="0.02"/>
    <n v="0.02"/>
    <n v="0.02"/>
    <n v="0.9"/>
    <n v="180000"/>
    <n v="176460"/>
    <n v="304980"/>
    <n v="210120"/>
    <n v="408000"/>
    <n v="140000"/>
  </r>
  <r>
    <x v="0"/>
    <x v="1"/>
    <x v="0"/>
    <s v="Orthopedics USU"/>
    <n v="2015"/>
    <x v="2"/>
    <n v="152565.98092317433"/>
    <n v="0.02"/>
    <n v="0.01"/>
    <n v="0.01"/>
    <n v="6.2100000000000002E-2"/>
    <n v="0.03"/>
    <n v="0.02"/>
    <n v="0.06"/>
    <n v="0.02"/>
    <n v="0.02"/>
    <n v="0.02"/>
    <n v="0.9"/>
    <n v="180000"/>
    <n v="176460"/>
    <n v="304980"/>
    <n v="210120"/>
    <n v="408000"/>
    <n v="140000"/>
  </r>
  <r>
    <x v="0"/>
    <x v="1"/>
    <x v="0"/>
    <s v="Orthopedics USU"/>
    <n v="2016"/>
    <x v="3"/>
    <n v="204951.40008844491"/>
    <n v="0.02"/>
    <n v="0.01"/>
    <n v="0.01"/>
    <n v="6.2100000000000002E-2"/>
    <n v="0.03"/>
    <n v="0.02"/>
    <n v="0.06"/>
    <n v="0.02"/>
    <n v="0.02"/>
    <n v="0.02"/>
    <n v="0.9"/>
    <n v="180000"/>
    <n v="176460"/>
    <n v="304980"/>
    <n v="210120"/>
    <n v="408000"/>
    <n v="140000"/>
  </r>
  <r>
    <x v="0"/>
    <x v="1"/>
    <x v="0"/>
    <s v="Orthopedics USU"/>
    <n v="2017"/>
    <x v="4"/>
    <n v="264104.65274828218"/>
    <n v="0.02"/>
    <n v="0.01"/>
    <n v="0.01"/>
    <n v="6.2100000000000002E-2"/>
    <n v="0.03"/>
    <n v="0.02"/>
    <n v="0.06"/>
    <n v="0.02"/>
    <n v="0.02"/>
    <n v="0.02"/>
    <n v="0.9"/>
    <n v="180000"/>
    <n v="176460"/>
    <n v="304980"/>
    <n v="210120"/>
    <n v="408000"/>
    <n v="140000"/>
  </r>
  <r>
    <x v="0"/>
    <x v="1"/>
    <x v="0"/>
    <s v="Orthopedics USU"/>
    <n v="2018"/>
    <x v="5"/>
    <n v="322956.40336350905"/>
    <n v="0.02"/>
    <n v="0.01"/>
    <n v="0.01"/>
    <n v="6.2100000000000002E-2"/>
    <n v="0.03"/>
    <n v="0.02"/>
    <n v="0.06"/>
    <n v="0.02"/>
    <n v="0.02"/>
    <n v="0.02"/>
    <n v="0.9"/>
    <n v="180000"/>
    <n v="176460"/>
    <n v="304980"/>
    <n v="210120"/>
    <n v="408000"/>
    <n v="140000"/>
  </r>
  <r>
    <x v="0"/>
    <x v="1"/>
    <x v="0"/>
    <s v="Orthopedics USU"/>
    <n v="2019"/>
    <x v="6"/>
    <n v="382458.16257085698"/>
    <n v="0.02"/>
    <n v="0.01"/>
    <n v="0.01"/>
    <n v="6.2100000000000002E-2"/>
    <n v="0.03"/>
    <n v="0.02"/>
    <n v="0.06"/>
    <n v="0.02"/>
    <n v="0.02"/>
    <n v="0.02"/>
    <n v="0.9"/>
    <n v="180000"/>
    <n v="176460"/>
    <n v="304980"/>
    <n v="210120"/>
    <n v="408000"/>
    <n v="140000"/>
  </r>
  <r>
    <x v="0"/>
    <x v="1"/>
    <x v="0"/>
    <s v="Orthopedics USU"/>
    <n v="2020"/>
    <x v="7"/>
    <n v="441575.28506588424"/>
    <n v="0.02"/>
    <n v="0.01"/>
    <n v="0.01"/>
    <n v="6.2100000000000002E-2"/>
    <n v="0.03"/>
    <n v="0.02"/>
    <n v="0.06"/>
    <n v="0.02"/>
    <n v="0.02"/>
    <n v="0.02"/>
    <n v="0.9"/>
    <n v="180000"/>
    <n v="176460"/>
    <n v="304980"/>
    <n v="210120"/>
    <n v="408000"/>
    <n v="140000"/>
  </r>
  <r>
    <x v="0"/>
    <x v="1"/>
    <x v="0"/>
    <s v="Orthopedics USU"/>
    <n v="2021"/>
    <x v="8"/>
    <n v="500654.23446862109"/>
    <n v="0.02"/>
    <n v="0.01"/>
    <n v="0.01"/>
    <n v="6.2100000000000002E-2"/>
    <n v="0.03"/>
    <n v="0.02"/>
    <n v="0.06"/>
    <n v="0.02"/>
    <n v="0.02"/>
    <n v="0.02"/>
    <n v="0.9"/>
    <n v="180000"/>
    <n v="176460"/>
    <n v="304980"/>
    <n v="210120"/>
    <n v="408000"/>
    <n v="140000"/>
  </r>
  <r>
    <x v="0"/>
    <x v="1"/>
    <x v="0"/>
    <s v="Orthopedics USU"/>
    <n v="2022"/>
    <x v="9"/>
    <n v="563703.58569574018"/>
    <n v="0.02"/>
    <n v="0.01"/>
    <n v="0.01"/>
    <n v="6.2100000000000002E-2"/>
    <n v="0.03"/>
    <n v="0.02"/>
    <n v="0.06"/>
    <n v="0.02"/>
    <n v="0.02"/>
    <n v="0.02"/>
    <n v="0.9"/>
    <n v="180000"/>
    <n v="176460"/>
    <n v="304980"/>
    <n v="210120"/>
    <n v="408000"/>
    <n v="140000"/>
  </r>
  <r>
    <x v="0"/>
    <x v="1"/>
    <x v="0"/>
    <s v="Orthopedics USU"/>
    <n v="2023"/>
    <x v="10"/>
    <n v="633076.84402750398"/>
    <n v="0.02"/>
    <n v="0.01"/>
    <n v="0.01"/>
    <n v="6.2100000000000002E-2"/>
    <n v="0.03"/>
    <n v="0.02"/>
    <n v="0.06"/>
    <n v="0.02"/>
    <n v="0.02"/>
    <n v="0.02"/>
    <n v="0.9"/>
    <n v="180000"/>
    <n v="176460"/>
    <n v="304980"/>
    <n v="210120"/>
    <n v="408000"/>
    <n v="140000"/>
  </r>
  <r>
    <x v="0"/>
    <x v="1"/>
    <x v="0"/>
    <s v="Orthopedics USU"/>
    <n v="2024"/>
    <x v="11"/>
    <n v="699827.65845398873"/>
    <n v="0.02"/>
    <n v="0.01"/>
    <n v="0.01"/>
    <n v="6.2100000000000002E-2"/>
    <n v="0.03"/>
    <n v="0.02"/>
    <n v="0.06"/>
    <n v="0.02"/>
    <n v="0.02"/>
    <n v="0.02"/>
    <n v="0.9"/>
    <n v="180000"/>
    <n v="176460"/>
    <n v="304980"/>
    <n v="210120"/>
    <n v="408000"/>
    <n v="140000"/>
  </r>
  <r>
    <x v="0"/>
    <x v="1"/>
    <x v="0"/>
    <s v="Orthopedics USU"/>
    <n v="2025"/>
    <x v="12"/>
    <n v="765347.00767356099"/>
    <n v="0.02"/>
    <n v="0.01"/>
    <n v="0.01"/>
    <n v="6.2100000000000002E-2"/>
    <n v="0.03"/>
    <n v="0.02"/>
    <n v="0.06"/>
    <n v="0.02"/>
    <n v="0.02"/>
    <n v="0.02"/>
    <n v="0.9"/>
    <n v="180000"/>
    <n v="176460"/>
    <n v="304980"/>
    <n v="210120"/>
    <n v="408000"/>
    <n v="140000"/>
  </r>
  <r>
    <x v="0"/>
    <x v="1"/>
    <x v="0"/>
    <s v="Orthopedics USU"/>
    <n v="2026"/>
    <x v="13"/>
    <n v="828389.49004259263"/>
    <n v="0.02"/>
    <n v="0.01"/>
    <n v="0.01"/>
    <n v="6.2100000000000002E-2"/>
    <n v="0.03"/>
    <n v="0.02"/>
    <n v="0.06"/>
    <n v="0.02"/>
    <n v="0.02"/>
    <n v="0.02"/>
    <n v="0.9"/>
    <n v="180000"/>
    <n v="176460"/>
    <n v="304980"/>
    <n v="210120"/>
    <n v="408000"/>
    <n v="140000"/>
  </r>
  <r>
    <x v="0"/>
    <x v="1"/>
    <x v="0"/>
    <s v="Orthopedics USU"/>
    <n v="2027"/>
    <x v="14"/>
    <n v="890951.83217297471"/>
    <n v="0.02"/>
    <n v="0.01"/>
    <n v="0.01"/>
    <n v="6.2100000000000002E-2"/>
    <n v="0.03"/>
    <n v="0.02"/>
    <n v="0.06"/>
    <n v="0.02"/>
    <n v="0.02"/>
    <n v="0.02"/>
    <n v="0.9"/>
    <n v="180000"/>
    <n v="176460"/>
    <n v="304980"/>
    <n v="210120"/>
    <n v="408000"/>
    <n v="140000"/>
  </r>
  <r>
    <x v="0"/>
    <x v="1"/>
    <x v="0"/>
    <s v="Orthopedics USU"/>
    <n v="2028"/>
    <x v="15"/>
    <n v="951136.17356786923"/>
    <n v="0.02"/>
    <n v="0.01"/>
    <n v="0.01"/>
    <n v="6.2100000000000002E-2"/>
    <n v="0.03"/>
    <n v="0.02"/>
    <n v="0.06"/>
    <n v="0.02"/>
    <n v="0.02"/>
    <n v="0.02"/>
    <n v="0.9"/>
    <n v="180000"/>
    <n v="176460"/>
    <n v="304980"/>
    <n v="210120"/>
    <n v="408000"/>
    <n v="140000"/>
  </r>
  <r>
    <x v="0"/>
    <x v="1"/>
    <x v="0"/>
    <s v="Orthopedics USU"/>
    <n v="2029"/>
    <x v="16"/>
    <n v="1044372.9214097006"/>
    <n v="0.02"/>
    <n v="0.01"/>
    <n v="0.01"/>
    <n v="6.2100000000000002E-2"/>
    <n v="0.03"/>
    <n v="0.02"/>
    <n v="0.06"/>
    <n v="0.02"/>
    <n v="0.02"/>
    <n v="0.02"/>
    <n v="0.9"/>
    <n v="180000"/>
    <n v="176460"/>
    <n v="304980"/>
    <n v="210120"/>
    <n v="408000"/>
    <n v="140000"/>
  </r>
  <r>
    <x v="0"/>
    <x v="1"/>
    <x v="0"/>
    <s v="Orthopedics USU"/>
    <n v="2030"/>
    <x v="17"/>
    <n v="1134011.7263994056"/>
    <n v="0.02"/>
    <n v="0.01"/>
    <n v="0.01"/>
    <n v="6.2100000000000002E-2"/>
    <n v="0.03"/>
    <n v="0.02"/>
    <n v="0.06"/>
    <n v="0.02"/>
    <n v="0.02"/>
    <n v="0.02"/>
    <n v="0.9"/>
    <n v="180000"/>
    <n v="176460"/>
    <n v="304980"/>
    <n v="210120"/>
    <n v="408000"/>
    <n v="140000"/>
  </r>
  <r>
    <x v="0"/>
    <x v="1"/>
    <x v="0"/>
    <s v="Orthopedics USU"/>
    <n v="2031"/>
    <x v="18"/>
    <n v="1221358.7670303637"/>
    <n v="0.02"/>
    <n v="0.01"/>
    <n v="0.01"/>
    <n v="6.2100000000000002E-2"/>
    <n v="0.03"/>
    <n v="0.02"/>
    <n v="0.06"/>
    <n v="0.02"/>
    <n v="0.02"/>
    <n v="0.02"/>
    <n v="0.9"/>
    <n v="180000"/>
    <n v="176460"/>
    <n v="304980"/>
    <n v="210120"/>
    <n v="408000"/>
    <n v="140000"/>
  </r>
  <r>
    <x v="0"/>
    <x v="1"/>
    <x v="0"/>
    <s v="Orthopedics USU"/>
    <n v="2032"/>
    <x v="19"/>
    <n v="1305335.1743207369"/>
    <n v="0.02"/>
    <n v="0.01"/>
    <n v="0.01"/>
    <n v="6.2100000000000002E-2"/>
    <n v="0.03"/>
    <n v="0.02"/>
    <n v="0.06"/>
    <n v="0.02"/>
    <n v="0.02"/>
    <n v="0.02"/>
    <n v="0.9"/>
    <n v="180000"/>
    <n v="176460"/>
    <n v="304980"/>
    <n v="210120"/>
    <n v="408000"/>
    <n v="140000"/>
  </r>
  <r>
    <x v="0"/>
    <x v="1"/>
    <x v="0"/>
    <s v="Orthopedics USU"/>
    <n v="2033"/>
    <x v="20"/>
    <n v="1387722.5002531181"/>
    <n v="0.02"/>
    <n v="0.01"/>
    <n v="0.01"/>
    <n v="6.2100000000000002E-2"/>
    <n v="0.03"/>
    <n v="0.02"/>
    <n v="0.06"/>
    <n v="0.02"/>
    <n v="0.02"/>
    <n v="0.02"/>
    <n v="0.9"/>
    <n v="180000"/>
    <n v="176460"/>
    <n v="304980"/>
    <n v="210120"/>
    <n v="408000"/>
    <n v="140000"/>
  </r>
  <r>
    <x v="0"/>
    <x v="1"/>
    <x v="0"/>
    <s v="Orthopedics USU"/>
    <n v="2034"/>
    <x v="21"/>
    <n v="1466930.5801612765"/>
    <n v="0.02"/>
    <n v="0.01"/>
    <n v="0.01"/>
    <n v="6.2100000000000002E-2"/>
    <n v="0.03"/>
    <n v="0.02"/>
    <n v="0.06"/>
    <n v="0.02"/>
    <n v="0.02"/>
    <n v="0.02"/>
    <n v="0.9"/>
    <n v="180000"/>
    <n v="176460"/>
    <n v="304980"/>
    <n v="210120"/>
    <n v="408000"/>
    <n v="140000"/>
  </r>
  <r>
    <x v="0"/>
    <x v="1"/>
    <x v="0"/>
    <s v="Orthopedics USU"/>
    <n v="2035"/>
    <x v="22"/>
    <n v="1547186.8880632753"/>
    <n v="0.02"/>
    <n v="0.01"/>
    <n v="0.01"/>
    <n v="6.2100000000000002E-2"/>
    <n v="0.03"/>
    <n v="0.02"/>
    <n v="0.06"/>
    <n v="0.02"/>
    <n v="0.02"/>
    <n v="0.02"/>
    <n v="0.9"/>
    <n v="180000"/>
    <n v="176460"/>
    <n v="304980"/>
    <n v="210120"/>
    <n v="408000"/>
    <n v="140000"/>
  </r>
  <r>
    <x v="0"/>
    <x v="1"/>
    <x v="0"/>
    <s v="Orthopedics USU"/>
    <n v="2036"/>
    <x v="23"/>
    <n v="1624346.0394552578"/>
    <n v="0.02"/>
    <n v="0.01"/>
    <n v="0.01"/>
    <n v="6.2100000000000002E-2"/>
    <n v="0.03"/>
    <n v="0.02"/>
    <n v="0.06"/>
    <n v="0.02"/>
    <n v="0.02"/>
    <n v="0.02"/>
    <n v="0.9"/>
    <n v="180000"/>
    <n v="176460"/>
    <n v="304980"/>
    <n v="210120"/>
    <n v="408000"/>
    <n v="140000"/>
  </r>
  <r>
    <x v="0"/>
    <x v="1"/>
    <x v="0"/>
    <s v="Orthopedics USU"/>
    <n v="2037"/>
    <x v="24"/>
    <n v="1701116.7536358424"/>
    <n v="0.02"/>
    <n v="0.01"/>
    <n v="0.01"/>
    <n v="6.2100000000000002E-2"/>
    <n v="0.03"/>
    <n v="0.02"/>
    <n v="0.06"/>
    <n v="0.02"/>
    <n v="0.02"/>
    <n v="0.02"/>
    <n v="0.9"/>
    <n v="180000"/>
    <n v="176460"/>
    <n v="304980"/>
    <n v="210120"/>
    <n v="408000"/>
    <n v="140000"/>
  </r>
  <r>
    <x v="0"/>
    <x v="1"/>
    <x v="0"/>
    <s v="Orthopedics USU"/>
    <n v="2038"/>
    <x v="25"/>
    <n v="1774924.762920046"/>
    <n v="0.02"/>
    <n v="0.01"/>
    <n v="0.01"/>
    <n v="6.2100000000000002E-2"/>
    <n v="0.03"/>
    <n v="0.02"/>
    <n v="0.06"/>
    <n v="0.02"/>
    <n v="0.02"/>
    <n v="0.02"/>
    <n v="0.9"/>
    <n v="180000"/>
    <n v="176460"/>
    <n v="304980"/>
    <n v="210120"/>
    <n v="408000"/>
    <n v="140000"/>
  </r>
  <r>
    <x v="0"/>
    <x v="1"/>
    <x v="0"/>
    <s v="Orthopedics USU"/>
    <n v="2039"/>
    <x v="26"/>
    <n v="1847250.541753022"/>
    <n v="0.02"/>
    <n v="0.01"/>
    <n v="0.01"/>
    <n v="6.2100000000000002E-2"/>
    <n v="0.03"/>
    <n v="0.02"/>
    <n v="0.06"/>
    <n v="0.02"/>
    <n v="0.02"/>
    <n v="0.02"/>
    <n v="0.9"/>
    <n v="180000"/>
    <n v="176460"/>
    <n v="304980"/>
    <n v="210120"/>
    <n v="408000"/>
    <n v="140000"/>
  </r>
  <r>
    <x v="0"/>
    <x v="1"/>
    <x v="0"/>
    <s v="Orthopedics USU"/>
    <n v="2040"/>
    <x v="27"/>
    <n v="1916785.1548806874"/>
    <n v="0.02"/>
    <n v="0.01"/>
    <n v="0.01"/>
    <n v="6.2100000000000002E-2"/>
    <n v="0.03"/>
    <n v="0.02"/>
    <n v="0.06"/>
    <n v="0.02"/>
    <n v="0.02"/>
    <n v="0.02"/>
    <n v="0.9"/>
    <n v="180000"/>
    <n v="176460"/>
    <n v="304980"/>
    <n v="210120"/>
    <n v="408000"/>
    <n v="140000"/>
  </r>
  <r>
    <x v="0"/>
    <x v="1"/>
    <x v="0"/>
    <s v="Orthopedics USU"/>
    <n v="2041"/>
    <x v="28"/>
    <n v="1983636.3540727622"/>
    <n v="0.02"/>
    <n v="0.01"/>
    <n v="0.01"/>
    <n v="6.2100000000000002E-2"/>
    <n v="0.03"/>
    <n v="0.02"/>
    <n v="0.06"/>
    <n v="0.02"/>
    <n v="0.02"/>
    <n v="0.02"/>
    <n v="0.9"/>
    <n v="180000"/>
    <n v="176460"/>
    <n v="304980"/>
    <n v="210120"/>
    <n v="408000"/>
    <n v="140000"/>
  </r>
  <r>
    <x v="0"/>
    <x v="1"/>
    <x v="0"/>
    <s v="Orthopedics USU"/>
    <n v="2042"/>
    <x v="29"/>
    <n v="2047907.7303291105"/>
    <n v="0.02"/>
    <n v="0.01"/>
    <n v="0.01"/>
    <n v="6.2100000000000002E-2"/>
    <n v="0.03"/>
    <n v="0.02"/>
    <n v="0.06"/>
    <n v="0.02"/>
    <n v="0.02"/>
    <n v="0.02"/>
    <n v="0.9"/>
    <n v="180000"/>
    <n v="176460"/>
    <n v="304980"/>
    <n v="210120"/>
    <n v="408000"/>
    <n v="140000"/>
  </r>
  <r>
    <x v="0"/>
    <x v="1"/>
    <x v="1"/>
    <s v="Orthopedics HPSP"/>
    <n v="2013"/>
    <x v="0"/>
    <n v="41042.997114989732"/>
    <n v="0.02"/>
    <n v="0.01"/>
    <n v="0.01"/>
    <n v="6.2100000000000002E-2"/>
    <n v="0.03"/>
    <n v="0.02"/>
    <n v="0.06"/>
    <n v="0.02"/>
    <n v="0.02"/>
    <n v="0.02"/>
    <n v="0.9"/>
    <n v="180000"/>
    <n v="176460"/>
    <n v="304980"/>
    <n v="210120"/>
    <n v="408000"/>
    <n v="140000"/>
  </r>
  <r>
    <x v="0"/>
    <x v="1"/>
    <x v="1"/>
    <s v="Orthopedics HPSP"/>
    <n v="2014"/>
    <x v="1"/>
    <n v="65715.375570480697"/>
    <n v="0.02"/>
    <n v="0.01"/>
    <n v="0.01"/>
    <n v="6.2100000000000002E-2"/>
    <n v="0.03"/>
    <n v="0.02"/>
    <n v="0.06"/>
    <n v="0.02"/>
    <n v="0.02"/>
    <n v="0.02"/>
    <n v="0.9"/>
    <n v="180000"/>
    <n v="176460"/>
    <n v="304980"/>
    <n v="210120"/>
    <n v="408000"/>
    <n v="140000"/>
  </r>
  <r>
    <x v="0"/>
    <x v="1"/>
    <x v="1"/>
    <s v="Orthopedics HPSP"/>
    <n v="2015"/>
    <x v="2"/>
    <n v="89584.222784524245"/>
    <n v="0.02"/>
    <n v="0.01"/>
    <n v="0.01"/>
    <n v="6.2100000000000002E-2"/>
    <n v="0.03"/>
    <n v="0.02"/>
    <n v="0.06"/>
    <n v="0.02"/>
    <n v="0.02"/>
    <n v="0.02"/>
    <n v="0.9"/>
    <n v="180000"/>
    <n v="176460"/>
    <n v="304980"/>
    <n v="210120"/>
    <n v="408000"/>
    <n v="140000"/>
  </r>
  <r>
    <x v="0"/>
    <x v="1"/>
    <x v="1"/>
    <s v="Orthopedics HPSP"/>
    <n v="2016"/>
    <x v="3"/>
    <n v="113201.76547692725"/>
    <n v="0.02"/>
    <n v="0.01"/>
    <n v="0.01"/>
    <n v="6.2100000000000002E-2"/>
    <n v="0.03"/>
    <n v="0.02"/>
    <n v="0.06"/>
    <n v="0.02"/>
    <n v="0.02"/>
    <n v="0.02"/>
    <n v="0.9"/>
    <n v="180000"/>
    <n v="176460"/>
    <n v="304980"/>
    <n v="210120"/>
    <n v="408000"/>
    <n v="140000"/>
  </r>
  <r>
    <x v="0"/>
    <x v="1"/>
    <x v="1"/>
    <s v="Orthopedics HPSP"/>
    <n v="2017"/>
    <x v="4"/>
    <n v="172355.01813676453"/>
    <n v="0.02"/>
    <n v="0.01"/>
    <n v="0.01"/>
    <n v="6.2100000000000002E-2"/>
    <n v="0.03"/>
    <n v="0.02"/>
    <n v="0.06"/>
    <n v="0.02"/>
    <n v="0.02"/>
    <n v="0.02"/>
    <n v="0.9"/>
    <n v="180000"/>
    <n v="176460"/>
    <n v="304980"/>
    <n v="210120"/>
    <n v="408000"/>
    <n v="140000"/>
  </r>
  <r>
    <x v="0"/>
    <x v="1"/>
    <x v="1"/>
    <s v="Orthopedics HPSP"/>
    <n v="2018"/>
    <x v="5"/>
    <n v="231206.76875199139"/>
    <n v="0.02"/>
    <n v="0.01"/>
    <n v="0.01"/>
    <n v="6.2100000000000002E-2"/>
    <n v="0.03"/>
    <n v="0.02"/>
    <n v="0.06"/>
    <n v="0.02"/>
    <n v="0.02"/>
    <n v="0.02"/>
    <n v="0.9"/>
    <n v="180000"/>
    <n v="176460"/>
    <n v="304980"/>
    <n v="210120"/>
    <n v="408000"/>
    <n v="140000"/>
  </r>
  <r>
    <x v="0"/>
    <x v="1"/>
    <x v="1"/>
    <s v="Orthopedics HPSP"/>
    <n v="2019"/>
    <x v="6"/>
    <n v="290708.52795933932"/>
    <n v="0.02"/>
    <n v="0.01"/>
    <n v="0.01"/>
    <n v="6.2100000000000002E-2"/>
    <n v="0.03"/>
    <n v="0.02"/>
    <n v="0.06"/>
    <n v="0.02"/>
    <n v="0.02"/>
    <n v="0.02"/>
    <n v="0.9"/>
    <n v="180000"/>
    <n v="176460"/>
    <n v="304980"/>
    <n v="210120"/>
    <n v="408000"/>
    <n v="140000"/>
  </r>
  <r>
    <x v="0"/>
    <x v="1"/>
    <x v="1"/>
    <s v="Orthopedics HPSP"/>
    <n v="2020"/>
    <x v="7"/>
    <n v="349825.65045436658"/>
    <n v="0.02"/>
    <n v="0.01"/>
    <n v="0.01"/>
    <n v="6.2100000000000002E-2"/>
    <n v="0.03"/>
    <n v="0.02"/>
    <n v="0.06"/>
    <n v="0.02"/>
    <n v="0.02"/>
    <n v="0.02"/>
    <n v="0.9"/>
    <n v="180000"/>
    <n v="176460"/>
    <n v="304980"/>
    <n v="210120"/>
    <n v="408000"/>
    <n v="140000"/>
  </r>
  <r>
    <x v="0"/>
    <x v="1"/>
    <x v="1"/>
    <s v="Orthopedics HPSP"/>
    <n v="2021"/>
    <x v="8"/>
    <n v="408904.59985710343"/>
    <n v="0.02"/>
    <n v="0.01"/>
    <n v="0.01"/>
    <n v="6.2100000000000002E-2"/>
    <n v="0.03"/>
    <n v="0.02"/>
    <n v="0.06"/>
    <n v="0.02"/>
    <n v="0.02"/>
    <n v="0.02"/>
    <n v="0.9"/>
    <n v="180000"/>
    <n v="176460"/>
    <n v="304980"/>
    <n v="210120"/>
    <n v="408000"/>
    <n v="140000"/>
  </r>
  <r>
    <x v="0"/>
    <x v="1"/>
    <x v="1"/>
    <s v="Orthopedics HPSP"/>
    <n v="2022"/>
    <x v="9"/>
    <n v="471953.95108422253"/>
    <n v="0.02"/>
    <n v="0.01"/>
    <n v="0.01"/>
    <n v="6.2100000000000002E-2"/>
    <n v="0.03"/>
    <n v="0.02"/>
    <n v="0.06"/>
    <n v="0.02"/>
    <n v="0.02"/>
    <n v="0.02"/>
    <n v="0.9"/>
    <n v="180000"/>
    <n v="176460"/>
    <n v="304980"/>
    <n v="210120"/>
    <n v="408000"/>
    <n v="140000"/>
  </r>
  <r>
    <x v="0"/>
    <x v="1"/>
    <x v="1"/>
    <s v="Orthopedics HPSP"/>
    <n v="2023"/>
    <x v="10"/>
    <n v="541327.20941598632"/>
    <n v="0.02"/>
    <n v="0.01"/>
    <n v="0.01"/>
    <n v="6.2100000000000002E-2"/>
    <n v="0.03"/>
    <n v="0.02"/>
    <n v="0.06"/>
    <n v="0.02"/>
    <n v="0.02"/>
    <n v="0.02"/>
    <n v="0.9"/>
    <n v="180000"/>
    <n v="176460"/>
    <n v="304980"/>
    <n v="210120"/>
    <n v="408000"/>
    <n v="140000"/>
  </r>
  <r>
    <x v="0"/>
    <x v="1"/>
    <x v="1"/>
    <s v="Orthopedics HPSP"/>
    <n v="2024"/>
    <x v="11"/>
    <n v="608078.02384247107"/>
    <n v="0.02"/>
    <n v="0.01"/>
    <n v="0.01"/>
    <n v="6.2100000000000002E-2"/>
    <n v="0.03"/>
    <n v="0.02"/>
    <n v="0.06"/>
    <n v="0.02"/>
    <n v="0.02"/>
    <n v="0.02"/>
    <n v="0.9"/>
    <n v="180000"/>
    <n v="176460"/>
    <n v="304980"/>
    <n v="210120"/>
    <n v="408000"/>
    <n v="140000"/>
  </r>
  <r>
    <x v="0"/>
    <x v="1"/>
    <x v="1"/>
    <s v="Orthopedics HPSP"/>
    <n v="2025"/>
    <x v="12"/>
    <n v="673597.37306204333"/>
    <n v="0.02"/>
    <n v="0.01"/>
    <n v="0.01"/>
    <n v="6.2100000000000002E-2"/>
    <n v="0.03"/>
    <n v="0.02"/>
    <n v="0.06"/>
    <n v="0.02"/>
    <n v="0.02"/>
    <n v="0.02"/>
    <n v="0.9"/>
    <n v="180000"/>
    <n v="176460"/>
    <n v="304980"/>
    <n v="210120"/>
    <n v="408000"/>
    <n v="140000"/>
  </r>
  <r>
    <x v="0"/>
    <x v="1"/>
    <x v="1"/>
    <s v="Orthopedics HPSP"/>
    <n v="2026"/>
    <x v="13"/>
    <n v="773630.78206361749"/>
    <n v="0.02"/>
    <n v="0.01"/>
    <n v="0.01"/>
    <n v="6.2100000000000002E-2"/>
    <n v="0.03"/>
    <n v="0.02"/>
    <n v="0.06"/>
    <n v="0.02"/>
    <n v="0.02"/>
    <n v="0.02"/>
    <n v="0.9"/>
    <n v="180000"/>
    <n v="176460"/>
    <n v="304980"/>
    <n v="210120"/>
    <n v="408000"/>
    <n v="140000"/>
  </r>
  <r>
    <x v="0"/>
    <x v="1"/>
    <x v="1"/>
    <s v="Orthopedics HPSP"/>
    <n v="2027"/>
    <x v="14"/>
    <n v="871850.45654646866"/>
    <n v="0.02"/>
    <n v="0.01"/>
    <n v="0.01"/>
    <n v="6.2100000000000002E-2"/>
    <n v="0.03"/>
    <n v="0.02"/>
    <n v="0.06"/>
    <n v="0.02"/>
    <n v="0.02"/>
    <n v="0.02"/>
    <n v="0.9"/>
    <n v="180000"/>
    <n v="176460"/>
    <n v="304980"/>
    <n v="210120"/>
    <n v="408000"/>
    <n v="140000"/>
  </r>
  <r>
    <x v="0"/>
    <x v="1"/>
    <x v="1"/>
    <s v="Orthopedics HPSP"/>
    <n v="2028"/>
    <x v="15"/>
    <n v="966279.93883621902"/>
    <n v="0.02"/>
    <n v="0.01"/>
    <n v="0.01"/>
    <n v="6.2100000000000002E-2"/>
    <n v="0.03"/>
    <n v="0.02"/>
    <n v="0.06"/>
    <n v="0.02"/>
    <n v="0.02"/>
    <n v="0.02"/>
    <n v="0.9"/>
    <n v="180000"/>
    <n v="176460"/>
    <n v="304980"/>
    <n v="210120"/>
    <n v="408000"/>
    <n v="140000"/>
  </r>
  <r>
    <x v="0"/>
    <x v="1"/>
    <x v="1"/>
    <s v="Orthopedics HPSP"/>
    <n v="2029"/>
    <x v="16"/>
    <n v="1059516.6866780506"/>
    <n v="0.02"/>
    <n v="0.01"/>
    <n v="0.01"/>
    <n v="6.2100000000000002E-2"/>
    <n v="0.03"/>
    <n v="0.02"/>
    <n v="0.06"/>
    <n v="0.02"/>
    <n v="0.02"/>
    <n v="0.02"/>
    <n v="0.9"/>
    <n v="180000"/>
    <n v="176460"/>
    <n v="304980"/>
    <n v="210120"/>
    <n v="408000"/>
    <n v="140000"/>
  </r>
  <r>
    <x v="0"/>
    <x v="1"/>
    <x v="1"/>
    <s v="Orthopedics HPSP"/>
    <n v="2030"/>
    <x v="17"/>
    <n v="1149155.4916677554"/>
    <n v="0.02"/>
    <n v="0.01"/>
    <n v="0.01"/>
    <n v="6.2100000000000002E-2"/>
    <n v="0.03"/>
    <n v="0.02"/>
    <n v="0.06"/>
    <n v="0.02"/>
    <n v="0.02"/>
    <n v="0.02"/>
    <n v="0.9"/>
    <n v="180000"/>
    <n v="176460"/>
    <n v="304980"/>
    <n v="210120"/>
    <n v="408000"/>
    <n v="140000"/>
  </r>
  <r>
    <x v="0"/>
    <x v="1"/>
    <x v="1"/>
    <s v="Orthopedics HPSP"/>
    <n v="2031"/>
    <x v="18"/>
    <n v="1236502.5322987135"/>
    <n v="0.02"/>
    <n v="0.01"/>
    <n v="0.01"/>
    <n v="6.2100000000000002E-2"/>
    <n v="0.03"/>
    <n v="0.02"/>
    <n v="0.06"/>
    <n v="0.02"/>
    <n v="0.02"/>
    <n v="0.02"/>
    <n v="0.9"/>
    <n v="180000"/>
    <n v="176460"/>
    <n v="304980"/>
    <n v="210120"/>
    <n v="408000"/>
    <n v="140000"/>
  </r>
  <r>
    <x v="0"/>
    <x v="1"/>
    <x v="1"/>
    <s v="Orthopedics HPSP"/>
    <n v="2032"/>
    <x v="19"/>
    <n v="1320478.9395890867"/>
    <n v="0.02"/>
    <n v="0.01"/>
    <n v="0.01"/>
    <n v="6.2100000000000002E-2"/>
    <n v="0.03"/>
    <n v="0.02"/>
    <n v="0.06"/>
    <n v="0.02"/>
    <n v="0.02"/>
    <n v="0.02"/>
    <n v="0.9"/>
    <n v="180000"/>
    <n v="176460"/>
    <n v="304980"/>
    <n v="210120"/>
    <n v="408000"/>
    <n v="140000"/>
  </r>
  <r>
    <x v="0"/>
    <x v="1"/>
    <x v="1"/>
    <s v="Orthopedics HPSP"/>
    <n v="2033"/>
    <x v="20"/>
    <n v="1402866.2655214679"/>
    <n v="0.02"/>
    <n v="0.01"/>
    <n v="0.01"/>
    <n v="6.2100000000000002E-2"/>
    <n v="0.03"/>
    <n v="0.02"/>
    <n v="0.06"/>
    <n v="0.02"/>
    <n v="0.02"/>
    <n v="0.02"/>
    <n v="0.9"/>
    <n v="180000"/>
    <n v="176460"/>
    <n v="304980"/>
    <n v="210120"/>
    <n v="408000"/>
    <n v="140000"/>
  </r>
  <r>
    <x v="0"/>
    <x v="1"/>
    <x v="1"/>
    <s v="Orthopedics HPSP"/>
    <n v="2034"/>
    <x v="21"/>
    <n v="1482074.3454296263"/>
    <n v="0.02"/>
    <n v="0.01"/>
    <n v="0.01"/>
    <n v="6.2100000000000002E-2"/>
    <n v="0.03"/>
    <n v="0.02"/>
    <n v="0.06"/>
    <n v="0.02"/>
    <n v="0.02"/>
    <n v="0.02"/>
    <n v="0.9"/>
    <n v="180000"/>
    <n v="176460"/>
    <n v="304980"/>
    <n v="210120"/>
    <n v="408000"/>
    <n v="140000"/>
  </r>
  <r>
    <x v="0"/>
    <x v="1"/>
    <x v="1"/>
    <s v="Orthopedics HPSP"/>
    <n v="2035"/>
    <x v="22"/>
    <n v="1562330.6533316253"/>
    <n v="0.02"/>
    <n v="0.01"/>
    <n v="0.01"/>
    <n v="6.2100000000000002E-2"/>
    <n v="0.03"/>
    <n v="0.02"/>
    <n v="0.06"/>
    <n v="0.02"/>
    <n v="0.02"/>
    <n v="0.02"/>
    <n v="0.9"/>
    <n v="180000"/>
    <n v="176460"/>
    <n v="304980"/>
    <n v="210120"/>
    <n v="408000"/>
    <n v="140000"/>
  </r>
  <r>
    <x v="0"/>
    <x v="1"/>
    <x v="1"/>
    <s v="Orthopedics HPSP"/>
    <n v="2036"/>
    <x v="23"/>
    <n v="1639489.8047236078"/>
    <n v="0.02"/>
    <n v="0.01"/>
    <n v="0.01"/>
    <n v="6.2100000000000002E-2"/>
    <n v="0.03"/>
    <n v="0.02"/>
    <n v="0.06"/>
    <n v="0.02"/>
    <n v="0.02"/>
    <n v="0.02"/>
    <n v="0.9"/>
    <n v="180000"/>
    <n v="176460"/>
    <n v="304980"/>
    <n v="210120"/>
    <n v="408000"/>
    <n v="140000"/>
  </r>
  <r>
    <x v="0"/>
    <x v="1"/>
    <x v="1"/>
    <s v="Orthopedics HPSP"/>
    <n v="2037"/>
    <x v="24"/>
    <n v="1714993.6687792735"/>
    <n v="0.02"/>
    <n v="0.01"/>
    <n v="0.01"/>
    <n v="6.2100000000000002E-2"/>
    <n v="0.03"/>
    <n v="0.02"/>
    <n v="0.06"/>
    <n v="0.02"/>
    <n v="0.02"/>
    <n v="0.02"/>
    <n v="0.9"/>
    <n v="180000"/>
    <n v="176460"/>
    <n v="304980"/>
    <n v="210120"/>
    <n v="408000"/>
    <n v="140000"/>
  </r>
  <r>
    <x v="0"/>
    <x v="1"/>
    <x v="1"/>
    <s v="Orthopedics HPSP"/>
    <n v="2038"/>
    <x v="25"/>
    <n v="1787826.4369198149"/>
    <n v="0.02"/>
    <n v="0.01"/>
    <n v="0.01"/>
    <n v="6.2100000000000002E-2"/>
    <n v="0.03"/>
    <n v="0.02"/>
    <n v="0.06"/>
    <n v="0.02"/>
    <n v="0.02"/>
    <n v="0.02"/>
    <n v="0.9"/>
    <n v="180000"/>
    <n v="176460"/>
    <n v="304980"/>
    <n v="210120"/>
    <n v="408000"/>
    <n v="140000"/>
  </r>
  <r>
    <x v="0"/>
    <x v="1"/>
    <x v="1"/>
    <s v="Orthopedics HPSP"/>
    <n v="2039"/>
    <x v="26"/>
    <n v="1858081.8368783763"/>
    <n v="0.02"/>
    <n v="0.01"/>
    <n v="0.01"/>
    <n v="6.2100000000000002E-2"/>
    <n v="0.03"/>
    <n v="0.02"/>
    <n v="0.06"/>
    <n v="0.02"/>
    <n v="0.02"/>
    <n v="0.02"/>
    <n v="0.9"/>
    <n v="180000"/>
    <n v="176460"/>
    <n v="304980"/>
    <n v="210120"/>
    <n v="408000"/>
    <n v="140000"/>
  </r>
  <r>
    <x v="0"/>
    <x v="1"/>
    <x v="1"/>
    <s v="Orthopedics HPSP"/>
    <n v="2040"/>
    <x v="27"/>
    <n v="1925964.611017541"/>
    <n v="0.02"/>
    <n v="0.01"/>
    <n v="0.01"/>
    <n v="6.2100000000000002E-2"/>
    <n v="0.03"/>
    <n v="0.02"/>
    <n v="0.06"/>
    <n v="0.02"/>
    <n v="0.02"/>
    <n v="0.02"/>
    <n v="0.9"/>
    <n v="180000"/>
    <n v="176460"/>
    <n v="304980"/>
    <n v="210120"/>
    <n v="408000"/>
    <n v="140000"/>
  </r>
  <r>
    <x v="0"/>
    <x v="1"/>
    <x v="1"/>
    <s v="Orthopedics HPSP"/>
    <n v="2041"/>
    <x v="28"/>
    <n v="1991553.2544192688"/>
    <n v="0.02"/>
    <n v="0.01"/>
    <n v="0.01"/>
    <n v="6.2100000000000002E-2"/>
    <n v="0.03"/>
    <n v="0.02"/>
    <n v="0.06"/>
    <n v="0.02"/>
    <n v="0.02"/>
    <n v="0.02"/>
    <n v="0.9"/>
    <n v="180000"/>
    <n v="176460"/>
    <n v="304980"/>
    <n v="210120"/>
    <n v="408000"/>
    <n v="140000"/>
  </r>
  <r>
    <x v="0"/>
    <x v="1"/>
    <x v="1"/>
    <s v="Orthopedics HPSP"/>
    <n v="2042"/>
    <x v="29"/>
    <n v="2055217.7482521208"/>
    <n v="0.02"/>
    <n v="0.01"/>
    <n v="0.01"/>
    <n v="6.2100000000000002E-2"/>
    <n v="0.03"/>
    <n v="0.02"/>
    <n v="0.06"/>
    <n v="0.02"/>
    <n v="0.02"/>
    <n v="0.02"/>
    <n v="0.9"/>
    <n v="180000"/>
    <n v="176460"/>
    <n v="304980"/>
    <n v="210120"/>
    <n v="408000"/>
    <n v="140000"/>
  </r>
  <r>
    <x v="0"/>
    <x v="1"/>
    <x v="2"/>
    <s v="Orthopedics STD10"/>
    <n v="2013"/>
    <x v="0"/>
    <n v="-43015.05"/>
    <n v="0.02"/>
    <n v="0.01"/>
    <n v="0.01"/>
    <n v="6.2100000000000002E-2"/>
    <n v="0.03"/>
    <n v="0.02"/>
    <n v="0.06"/>
    <n v="0.02"/>
    <n v="0.02"/>
    <n v="0.02"/>
    <n v="0.9"/>
    <n v="180000"/>
    <n v="176460"/>
    <n v="304980"/>
    <n v="210120"/>
    <n v="408000"/>
    <n v="140000"/>
  </r>
  <r>
    <x v="0"/>
    <x v="1"/>
    <x v="2"/>
    <s v="Orthopedics STD10"/>
    <n v="2014"/>
    <x v="1"/>
    <n v="-86352.285865219877"/>
    <n v="0.02"/>
    <n v="0.01"/>
    <n v="0.01"/>
    <n v="6.2100000000000002E-2"/>
    <n v="0.03"/>
    <n v="0.02"/>
    <n v="0.06"/>
    <n v="0.02"/>
    <n v="0.02"/>
    <n v="0.02"/>
    <n v="0.9"/>
    <n v="180000"/>
    <n v="176460"/>
    <n v="304980"/>
    <n v="210120"/>
    <n v="408000"/>
    <n v="140000"/>
  </r>
  <r>
    <x v="0"/>
    <x v="1"/>
    <x v="2"/>
    <s v="Orthopedics STD10"/>
    <n v="2015"/>
    <x v="2"/>
    <n v="-138541.19578403595"/>
    <n v="0.02"/>
    <n v="0.01"/>
    <n v="0.01"/>
    <n v="6.2100000000000002E-2"/>
    <n v="0.03"/>
    <n v="0.02"/>
    <n v="0.06"/>
    <n v="0.02"/>
    <n v="0.02"/>
    <n v="0.02"/>
    <n v="0.9"/>
    <n v="180000"/>
    <n v="176460"/>
    <n v="304980"/>
    <n v="210120"/>
    <n v="408000"/>
    <n v="140000"/>
  </r>
  <r>
    <x v="0"/>
    <x v="1"/>
    <x v="2"/>
    <s v="Orthopedics STD10"/>
    <n v="2016"/>
    <x v="3"/>
    <n v="-190867.38028908212"/>
    <n v="0.02"/>
    <n v="0.01"/>
    <n v="0.01"/>
    <n v="6.2100000000000002E-2"/>
    <n v="0.03"/>
    <n v="0.02"/>
    <n v="0.06"/>
    <n v="0.02"/>
    <n v="0.02"/>
    <n v="0.02"/>
    <n v="0.9"/>
    <n v="180000"/>
    <n v="176460"/>
    <n v="304980"/>
    <n v="210120"/>
    <n v="408000"/>
    <n v="140000"/>
  </r>
  <r>
    <x v="0"/>
    <x v="1"/>
    <x v="2"/>
    <s v="Orthopedics STD10"/>
    <n v="2017"/>
    <x v="4"/>
    <n v="-157278.5148229824"/>
    <n v="0.02"/>
    <n v="0.01"/>
    <n v="0.01"/>
    <n v="6.2100000000000002E-2"/>
    <n v="0.03"/>
    <n v="0.02"/>
    <n v="0.06"/>
    <n v="0.02"/>
    <n v="0.02"/>
    <n v="0.02"/>
    <n v="0.9"/>
    <n v="180000"/>
    <n v="176460"/>
    <n v="304980"/>
    <n v="210120"/>
    <n v="408000"/>
    <n v="140000"/>
  </r>
  <r>
    <x v="0"/>
    <x v="1"/>
    <x v="2"/>
    <s v="Orthopedics STD10"/>
    <n v="2018"/>
    <x v="5"/>
    <n v="-123668.32270644748"/>
    <n v="0.02"/>
    <n v="0.01"/>
    <n v="0.01"/>
    <n v="6.2100000000000002E-2"/>
    <n v="0.03"/>
    <n v="0.02"/>
    <n v="0.06"/>
    <n v="0.02"/>
    <n v="0.02"/>
    <n v="0.02"/>
    <n v="0.9"/>
    <n v="180000"/>
    <n v="176460"/>
    <n v="304980"/>
    <n v="210120"/>
    <n v="408000"/>
    <n v="140000"/>
  </r>
  <r>
    <x v="0"/>
    <x v="1"/>
    <x v="2"/>
    <s v="Orthopedics STD10"/>
    <n v="2019"/>
    <x v="6"/>
    <n v="-90028.481028923678"/>
    <n v="0.02"/>
    <n v="0.01"/>
    <n v="0.01"/>
    <n v="6.2100000000000002E-2"/>
    <n v="0.03"/>
    <n v="0.02"/>
    <n v="0.06"/>
    <n v="0.02"/>
    <n v="0.02"/>
    <n v="0.02"/>
    <n v="0.9"/>
    <n v="180000"/>
    <n v="176460"/>
    <n v="304980"/>
    <n v="210120"/>
    <n v="408000"/>
    <n v="140000"/>
  </r>
  <r>
    <x v="0"/>
    <x v="1"/>
    <x v="2"/>
    <s v="Orthopedics STD10"/>
    <n v="2020"/>
    <x v="7"/>
    <n v="-56350.829269688562"/>
    <n v="0.02"/>
    <n v="0.01"/>
    <n v="0.01"/>
    <n v="6.2100000000000002E-2"/>
    <n v="0.03"/>
    <n v="0.02"/>
    <n v="0.06"/>
    <n v="0.02"/>
    <n v="0.02"/>
    <n v="0.02"/>
    <n v="0.9"/>
    <n v="180000"/>
    <n v="176460"/>
    <n v="304980"/>
    <n v="210120"/>
    <n v="408000"/>
    <n v="140000"/>
  </r>
  <r>
    <x v="0"/>
    <x v="1"/>
    <x v="2"/>
    <s v="Orthopedics STD10"/>
    <n v="2021"/>
    <x v="8"/>
    <n v="-22627.363852044567"/>
    <n v="0.02"/>
    <n v="0.01"/>
    <n v="0.01"/>
    <n v="6.2100000000000002E-2"/>
    <n v="0.03"/>
    <n v="0.02"/>
    <n v="0.06"/>
    <n v="0.02"/>
    <n v="0.02"/>
    <n v="0.02"/>
    <n v="0.9"/>
    <n v="180000"/>
    <n v="176460"/>
    <n v="304980"/>
    <n v="210120"/>
    <n v="408000"/>
    <n v="140000"/>
  </r>
  <r>
    <x v="0"/>
    <x v="1"/>
    <x v="2"/>
    <s v="Orthopedics STD10"/>
    <n v="2022"/>
    <x v="9"/>
    <n v="145942.66227456048"/>
    <n v="0.02"/>
    <n v="0.01"/>
    <n v="0.01"/>
    <n v="6.2100000000000002E-2"/>
    <n v="0.03"/>
    <n v="0.02"/>
    <n v="0.06"/>
    <n v="0.02"/>
    <n v="0.02"/>
    <n v="0.02"/>
    <n v="0.9"/>
    <n v="180000"/>
    <n v="176460"/>
    <n v="304980"/>
    <n v="210120"/>
    <n v="408000"/>
    <n v="140000"/>
  </r>
  <r>
    <x v="0"/>
    <x v="1"/>
    <x v="2"/>
    <s v="Orthopedics STD10"/>
    <n v="2023"/>
    <x v="10"/>
    <n v="310058.17774883541"/>
    <n v="0.02"/>
    <n v="0.01"/>
    <n v="0.01"/>
    <n v="6.2100000000000002E-2"/>
    <n v="0.03"/>
    <n v="0.02"/>
    <n v="0.06"/>
    <n v="0.02"/>
    <n v="0.02"/>
    <n v="0.02"/>
    <n v="0.9"/>
    <n v="180000"/>
    <n v="176460"/>
    <n v="304980"/>
    <n v="210120"/>
    <n v="408000"/>
    <n v="140000"/>
  </r>
  <r>
    <x v="0"/>
    <x v="1"/>
    <x v="2"/>
    <s v="Orthopedics STD10"/>
    <n v="2024"/>
    <x v="11"/>
    <n v="471607.04322767968"/>
    <n v="0.02"/>
    <n v="0.01"/>
    <n v="0.01"/>
    <n v="6.2100000000000002E-2"/>
    <n v="0.03"/>
    <n v="0.02"/>
    <n v="0.06"/>
    <n v="0.02"/>
    <n v="0.02"/>
    <n v="0.02"/>
    <n v="0.9"/>
    <n v="180000"/>
    <n v="176460"/>
    <n v="304980"/>
    <n v="210120"/>
    <n v="408000"/>
    <n v="140000"/>
  </r>
  <r>
    <x v="0"/>
    <x v="1"/>
    <x v="2"/>
    <s v="Orthopedics STD10"/>
    <n v="2025"/>
    <x v="12"/>
    <n v="630608.24038288603"/>
    <n v="0.02"/>
    <n v="0.01"/>
    <n v="0.01"/>
    <n v="6.2100000000000002E-2"/>
    <n v="0.03"/>
    <n v="0.02"/>
    <n v="0.06"/>
    <n v="0.02"/>
    <n v="0.02"/>
    <n v="0.02"/>
    <n v="0.9"/>
    <n v="180000"/>
    <n v="176460"/>
    <n v="304980"/>
    <n v="210120"/>
    <n v="408000"/>
    <n v="140000"/>
  </r>
  <r>
    <x v="0"/>
    <x v="1"/>
    <x v="2"/>
    <s v="Orthopedics STD10"/>
    <n v="2026"/>
    <x v="13"/>
    <n v="787081.88766164205"/>
    <n v="0.02"/>
    <n v="0.01"/>
    <n v="0.01"/>
    <n v="6.2100000000000002E-2"/>
    <n v="0.03"/>
    <n v="0.02"/>
    <n v="0.06"/>
    <n v="0.02"/>
    <n v="0.02"/>
    <n v="0.02"/>
    <n v="0.9"/>
    <n v="180000"/>
    <n v="176460"/>
    <n v="304980"/>
    <n v="210120"/>
    <n v="408000"/>
    <n v="140000"/>
  </r>
  <r>
    <x v="0"/>
    <x v="1"/>
    <x v="2"/>
    <s v="Orthopedics STD10"/>
    <n v="2027"/>
    <x v="14"/>
    <n v="941049.14534078876"/>
    <n v="0.02"/>
    <n v="0.01"/>
    <n v="0.01"/>
    <n v="6.2100000000000002E-2"/>
    <n v="0.03"/>
    <n v="0.02"/>
    <n v="0.06"/>
    <n v="0.02"/>
    <n v="0.02"/>
    <n v="0.02"/>
    <n v="0.9"/>
    <n v="180000"/>
    <n v="176460"/>
    <n v="304980"/>
    <n v="210120"/>
    <n v="408000"/>
    <n v="140000"/>
  </r>
  <r>
    <x v="0"/>
    <x v="1"/>
    <x v="2"/>
    <s v="Orthopedics STD10"/>
    <n v="2028"/>
    <x v="15"/>
    <n v="1092532.1259415015"/>
    <n v="0.02"/>
    <n v="0.01"/>
    <n v="0.01"/>
    <n v="6.2100000000000002E-2"/>
    <n v="0.03"/>
    <n v="0.02"/>
    <n v="0.06"/>
    <n v="0.02"/>
    <n v="0.02"/>
    <n v="0.02"/>
    <n v="0.9"/>
    <n v="180000"/>
    <n v="176460"/>
    <n v="304980"/>
    <n v="210120"/>
    <n v="408000"/>
    <n v="140000"/>
  </r>
  <r>
    <x v="0"/>
    <x v="1"/>
    <x v="2"/>
    <s v="Orthopedics STD10"/>
    <n v="2029"/>
    <x v="16"/>
    <n v="1241553.8097307938"/>
    <n v="0.02"/>
    <n v="0.01"/>
    <n v="0.01"/>
    <n v="6.2100000000000002E-2"/>
    <n v="0.03"/>
    <n v="0.02"/>
    <n v="0.06"/>
    <n v="0.02"/>
    <n v="0.02"/>
    <n v="0.02"/>
    <n v="0.9"/>
    <n v="180000"/>
    <n v="176460"/>
    <n v="304980"/>
    <n v="210120"/>
    <n v="408000"/>
    <n v="140000"/>
  </r>
  <r>
    <x v="0"/>
    <x v="1"/>
    <x v="2"/>
    <s v="Orthopedics STD10"/>
    <n v="2030"/>
    <x v="17"/>
    <n v="1388137.9650497255"/>
    <n v="0.02"/>
    <n v="0.01"/>
    <n v="0.01"/>
    <n v="6.2100000000000002E-2"/>
    <n v="0.03"/>
    <n v="0.02"/>
    <n v="0.06"/>
    <n v="0.02"/>
    <n v="0.02"/>
    <n v="0.02"/>
    <n v="0.9"/>
    <n v="180000"/>
    <n v="176460"/>
    <n v="304980"/>
    <n v="210120"/>
    <n v="408000"/>
    <n v="140000"/>
  </r>
  <r>
    <x v="0"/>
    <x v="1"/>
    <x v="2"/>
    <s v="Orthopedics STD10"/>
    <n v="2031"/>
    <x v="18"/>
    <n v="1532309.0732210185"/>
    <n v="0.02"/>
    <n v="0.01"/>
    <n v="0.01"/>
    <n v="6.2100000000000002E-2"/>
    <n v="0.03"/>
    <n v="0.02"/>
    <n v="0.06"/>
    <n v="0.02"/>
    <n v="0.02"/>
    <n v="0.02"/>
    <n v="0.9"/>
    <n v="180000"/>
    <n v="176460"/>
    <n v="304980"/>
    <n v="210120"/>
    <n v="408000"/>
    <n v="140000"/>
  </r>
  <r>
    <x v="0"/>
    <x v="1"/>
    <x v="2"/>
    <s v="Orthopedics STD10"/>
    <n v="2032"/>
    <x v="19"/>
    <n v="1688691.3956023869"/>
    <n v="0.02"/>
    <n v="0.01"/>
    <n v="0.01"/>
    <n v="6.2100000000000002E-2"/>
    <n v="0.03"/>
    <n v="0.02"/>
    <n v="0.06"/>
    <n v="0.02"/>
    <n v="0.02"/>
    <n v="0.02"/>
    <n v="0.9"/>
    <n v="180000"/>
    <n v="176460"/>
    <n v="304980"/>
    <n v="210120"/>
    <n v="408000"/>
    <n v="140000"/>
  </r>
  <r>
    <x v="0"/>
    <x v="1"/>
    <x v="2"/>
    <s v="Orthopedics STD10"/>
    <n v="2033"/>
    <x v="20"/>
    <n v="1842008.355945392"/>
    <n v="0.02"/>
    <n v="0.01"/>
    <n v="0.01"/>
    <n v="6.2100000000000002E-2"/>
    <n v="0.03"/>
    <n v="0.02"/>
    <n v="0.06"/>
    <n v="0.02"/>
    <n v="0.02"/>
    <n v="0.02"/>
    <n v="0.9"/>
    <n v="180000"/>
    <n v="176460"/>
    <n v="304980"/>
    <n v="210120"/>
    <n v="408000"/>
    <n v="140000"/>
  </r>
  <r>
    <x v="0"/>
    <x v="1"/>
    <x v="2"/>
    <s v="Orthopedics STD10"/>
    <n v="2034"/>
    <x v="21"/>
    <n v="1992320.0314848856"/>
    <n v="0.02"/>
    <n v="0.01"/>
    <n v="0.01"/>
    <n v="6.2100000000000002E-2"/>
    <n v="0.03"/>
    <n v="0.02"/>
    <n v="0.06"/>
    <n v="0.02"/>
    <n v="0.02"/>
    <n v="0.02"/>
    <n v="0.9"/>
    <n v="180000"/>
    <n v="176460"/>
    <n v="304980"/>
    <n v="210120"/>
    <n v="408000"/>
    <n v="140000"/>
  </r>
  <r>
    <x v="0"/>
    <x v="1"/>
    <x v="2"/>
    <s v="Orthopedics STD10"/>
    <n v="2035"/>
    <x v="22"/>
    <n v="2139685.3222834356"/>
    <n v="0.02"/>
    <n v="0.01"/>
    <n v="0.01"/>
    <n v="6.2100000000000002E-2"/>
    <n v="0.03"/>
    <n v="0.02"/>
    <n v="0.06"/>
    <n v="0.02"/>
    <n v="0.02"/>
    <n v="0.02"/>
    <n v="0.9"/>
    <n v="180000"/>
    <n v="176460"/>
    <n v="304980"/>
    <n v="210120"/>
    <n v="408000"/>
    <n v="140000"/>
  </r>
  <r>
    <x v="0"/>
    <x v="1"/>
    <x v="2"/>
    <s v="Orthopedics STD10"/>
    <n v="2036"/>
    <x v="23"/>
    <n v="2284161.9742894648"/>
    <n v="0.02"/>
    <n v="0.01"/>
    <n v="0.01"/>
    <n v="6.2100000000000002E-2"/>
    <n v="0.03"/>
    <n v="0.02"/>
    <n v="0.06"/>
    <n v="0.02"/>
    <n v="0.02"/>
    <n v="0.02"/>
    <n v="0.9"/>
    <n v="180000"/>
    <n v="176460"/>
    <n v="304980"/>
    <n v="210120"/>
    <n v="408000"/>
    <n v="140000"/>
  </r>
  <r>
    <x v="0"/>
    <x v="1"/>
    <x v="2"/>
    <s v="Orthopedics STD10"/>
    <n v="2037"/>
    <x v="24"/>
    <n v="2425643.3977013002"/>
    <n v="0.02"/>
    <n v="0.01"/>
    <n v="0.01"/>
    <n v="6.2100000000000002E-2"/>
    <n v="0.03"/>
    <n v="0.02"/>
    <n v="0.06"/>
    <n v="0.02"/>
    <n v="0.02"/>
    <n v="0.02"/>
    <n v="0.9"/>
    <n v="180000"/>
    <n v="176460"/>
    <n v="304980"/>
    <n v="210120"/>
    <n v="408000"/>
    <n v="140000"/>
  </r>
  <r>
    <x v="0"/>
    <x v="1"/>
    <x v="2"/>
    <s v="Orthopedics STD10"/>
    <n v="2038"/>
    <x v="25"/>
    <n v="2564176.6317359428"/>
    <n v="0.02"/>
    <n v="0.01"/>
    <n v="0.01"/>
    <n v="6.2100000000000002E-2"/>
    <n v="0.03"/>
    <n v="0.02"/>
    <n v="0.06"/>
    <n v="0.02"/>
    <n v="0.02"/>
    <n v="0.02"/>
    <n v="0.9"/>
    <n v="180000"/>
    <n v="176460"/>
    <n v="304980"/>
    <n v="210120"/>
    <n v="408000"/>
    <n v="140000"/>
  </r>
  <r>
    <x v="0"/>
    <x v="1"/>
    <x v="2"/>
    <s v="Orthopedics STD10"/>
    <n v="2039"/>
    <x v="26"/>
    <n v="2699824.5532657183"/>
    <n v="0.02"/>
    <n v="0.01"/>
    <n v="0.01"/>
    <n v="6.2100000000000002E-2"/>
    <n v="0.03"/>
    <n v="0.02"/>
    <n v="0.06"/>
    <n v="0.02"/>
    <n v="0.02"/>
    <n v="0.02"/>
    <n v="0.9"/>
    <n v="180000"/>
    <n v="176460"/>
    <n v="304980"/>
    <n v="210120"/>
    <n v="408000"/>
    <n v="140000"/>
  </r>
  <r>
    <x v="0"/>
    <x v="1"/>
    <x v="2"/>
    <s v="Orthopedics STD10"/>
    <n v="2040"/>
    <x v="27"/>
    <n v="2832648.6586354086"/>
    <n v="0.02"/>
    <n v="0.01"/>
    <n v="0.01"/>
    <n v="6.2100000000000002E-2"/>
    <n v="0.03"/>
    <n v="0.02"/>
    <n v="0.06"/>
    <n v="0.02"/>
    <n v="0.02"/>
    <n v="0.02"/>
    <n v="0.9"/>
    <n v="180000"/>
    <n v="176460"/>
    <n v="304980"/>
    <n v="210120"/>
    <n v="408000"/>
    <n v="140000"/>
  </r>
  <r>
    <x v="0"/>
    <x v="1"/>
    <x v="2"/>
    <s v="Orthopedics STD10"/>
    <n v="2041"/>
    <x v="28"/>
    <n v="2962709.0950318393"/>
    <n v="0.02"/>
    <n v="0.01"/>
    <n v="0.01"/>
    <n v="6.2100000000000002E-2"/>
    <n v="0.03"/>
    <n v="0.02"/>
    <n v="0.06"/>
    <n v="0.02"/>
    <n v="0.02"/>
    <n v="0.02"/>
    <n v="0.9"/>
    <n v="180000"/>
    <n v="176460"/>
    <n v="304980"/>
    <n v="210120"/>
    <n v="408000"/>
    <n v="140000"/>
  </r>
  <r>
    <x v="0"/>
    <x v="1"/>
    <x v="2"/>
    <s v="Orthopedics STD10"/>
    <n v="2042"/>
    <x v="29"/>
    <n v="3090064.6911131195"/>
    <n v="0.02"/>
    <n v="0.01"/>
    <n v="0.01"/>
    <n v="6.2100000000000002E-2"/>
    <n v="0.03"/>
    <n v="0.02"/>
    <n v="0.06"/>
    <n v="0.02"/>
    <n v="0.02"/>
    <n v="0.02"/>
    <n v="0.9"/>
    <n v="180000"/>
    <n v="176460"/>
    <n v="304980"/>
    <n v="210120"/>
    <n v="408000"/>
    <n v="140000"/>
  </r>
  <r>
    <x v="0"/>
    <x v="1"/>
    <x v="3"/>
    <s v="Orthopedics EXT"/>
    <n v="2013"/>
    <x v="0"/>
    <n v="-43015.05"/>
    <n v="0.02"/>
    <n v="0.01"/>
    <n v="0.01"/>
    <n v="6.2100000000000002E-2"/>
    <n v="0.03"/>
    <n v="0.02"/>
    <n v="0.06"/>
    <n v="0.02"/>
    <n v="0.02"/>
    <n v="0.02"/>
    <n v="0.9"/>
    <n v="180000"/>
    <n v="176460"/>
    <n v="304980"/>
    <n v="210120"/>
    <n v="408000"/>
    <n v="140000"/>
  </r>
  <r>
    <x v="0"/>
    <x v="1"/>
    <x v="3"/>
    <s v="Orthopedics EXT"/>
    <n v="2014"/>
    <x v="1"/>
    <n v="-86352.285865219877"/>
    <n v="0.02"/>
    <n v="0.01"/>
    <n v="0.01"/>
    <n v="6.2100000000000002E-2"/>
    <n v="0.03"/>
    <n v="0.02"/>
    <n v="0.06"/>
    <n v="0.02"/>
    <n v="0.02"/>
    <n v="0.02"/>
    <n v="0.9"/>
    <n v="180000"/>
    <n v="176460"/>
    <n v="304980"/>
    <n v="210120"/>
    <n v="408000"/>
    <n v="140000"/>
  </r>
  <r>
    <x v="0"/>
    <x v="1"/>
    <x v="3"/>
    <s v="Orthopedics EXT"/>
    <n v="2015"/>
    <x v="2"/>
    <n v="-138541.19578403595"/>
    <n v="0.02"/>
    <n v="0.01"/>
    <n v="0.01"/>
    <n v="6.2100000000000002E-2"/>
    <n v="0.03"/>
    <n v="0.02"/>
    <n v="0.06"/>
    <n v="0.02"/>
    <n v="0.02"/>
    <n v="0.02"/>
    <n v="0.9"/>
    <n v="180000"/>
    <n v="176460"/>
    <n v="304980"/>
    <n v="210120"/>
    <n v="408000"/>
    <n v="140000"/>
  </r>
  <r>
    <x v="0"/>
    <x v="1"/>
    <x v="3"/>
    <s v="Orthopedics EXT"/>
    <n v="2016"/>
    <x v="3"/>
    <n v="-190867.38028908212"/>
    <n v="0.02"/>
    <n v="0.01"/>
    <n v="0.01"/>
    <n v="6.2100000000000002E-2"/>
    <n v="0.03"/>
    <n v="0.02"/>
    <n v="0.06"/>
    <n v="0.02"/>
    <n v="0.02"/>
    <n v="0.02"/>
    <n v="0.9"/>
    <n v="180000"/>
    <n v="176460"/>
    <n v="304980"/>
    <n v="210120"/>
    <n v="408000"/>
    <n v="140000"/>
  </r>
  <r>
    <x v="0"/>
    <x v="1"/>
    <x v="3"/>
    <s v="Orthopedics EXT"/>
    <n v="2017"/>
    <x v="4"/>
    <n v="-157278.5148229824"/>
    <n v="0.02"/>
    <n v="0.01"/>
    <n v="0.01"/>
    <n v="6.2100000000000002E-2"/>
    <n v="0.03"/>
    <n v="0.02"/>
    <n v="0.06"/>
    <n v="0.02"/>
    <n v="0.02"/>
    <n v="0.02"/>
    <n v="0.9"/>
    <n v="180000"/>
    <n v="176460"/>
    <n v="304980"/>
    <n v="210120"/>
    <n v="408000"/>
    <n v="140000"/>
  </r>
  <r>
    <x v="0"/>
    <x v="1"/>
    <x v="3"/>
    <s v="Orthopedics EXT"/>
    <n v="2018"/>
    <x v="5"/>
    <n v="-123668.32270644748"/>
    <n v="0.02"/>
    <n v="0.01"/>
    <n v="0.01"/>
    <n v="6.2100000000000002E-2"/>
    <n v="0.03"/>
    <n v="0.02"/>
    <n v="0.06"/>
    <n v="0.02"/>
    <n v="0.02"/>
    <n v="0.02"/>
    <n v="0.9"/>
    <n v="180000"/>
    <n v="176460"/>
    <n v="304980"/>
    <n v="210120"/>
    <n v="408000"/>
    <n v="140000"/>
  </r>
  <r>
    <x v="0"/>
    <x v="1"/>
    <x v="3"/>
    <s v="Orthopedics EXT"/>
    <n v="2019"/>
    <x v="6"/>
    <n v="-90028.481028923678"/>
    <n v="0.02"/>
    <n v="0.01"/>
    <n v="0.01"/>
    <n v="6.2100000000000002E-2"/>
    <n v="0.03"/>
    <n v="0.02"/>
    <n v="0.06"/>
    <n v="0.02"/>
    <n v="0.02"/>
    <n v="0.02"/>
    <n v="0.9"/>
    <n v="180000"/>
    <n v="176460"/>
    <n v="304980"/>
    <n v="210120"/>
    <n v="408000"/>
    <n v="140000"/>
  </r>
  <r>
    <x v="0"/>
    <x v="1"/>
    <x v="3"/>
    <s v="Orthopedics EXT"/>
    <n v="2020"/>
    <x v="7"/>
    <n v="-56350.829269688562"/>
    <n v="0.02"/>
    <n v="0.01"/>
    <n v="0.01"/>
    <n v="6.2100000000000002E-2"/>
    <n v="0.03"/>
    <n v="0.02"/>
    <n v="0.06"/>
    <n v="0.02"/>
    <n v="0.02"/>
    <n v="0.02"/>
    <n v="0.9"/>
    <n v="180000"/>
    <n v="176460"/>
    <n v="304980"/>
    <n v="210120"/>
    <n v="408000"/>
    <n v="140000"/>
  </r>
  <r>
    <x v="0"/>
    <x v="1"/>
    <x v="3"/>
    <s v="Orthopedics EXT"/>
    <n v="2021"/>
    <x v="8"/>
    <n v="-22627.363852044567"/>
    <n v="0.02"/>
    <n v="0.01"/>
    <n v="0.01"/>
    <n v="6.2100000000000002E-2"/>
    <n v="0.03"/>
    <n v="0.02"/>
    <n v="0.06"/>
    <n v="0.02"/>
    <n v="0.02"/>
    <n v="0.02"/>
    <n v="0.9"/>
    <n v="180000"/>
    <n v="176460"/>
    <n v="304980"/>
    <n v="210120"/>
    <n v="408000"/>
    <n v="140000"/>
  </r>
  <r>
    <x v="0"/>
    <x v="1"/>
    <x v="3"/>
    <s v="Orthopedics EXT"/>
    <n v="2022"/>
    <x v="9"/>
    <n v="155951.91802054973"/>
    <n v="0.02"/>
    <n v="0.01"/>
    <n v="0.01"/>
    <n v="6.2100000000000002E-2"/>
    <n v="0.03"/>
    <n v="0.02"/>
    <n v="0.06"/>
    <n v="0.02"/>
    <n v="0.02"/>
    <n v="0.02"/>
    <n v="0.9"/>
    <n v="180000"/>
    <n v="176460"/>
    <n v="304980"/>
    <n v="210120"/>
    <n v="408000"/>
    <n v="140000"/>
  </r>
  <r>
    <x v="0"/>
    <x v="1"/>
    <x v="3"/>
    <s v="Orthopedics EXT"/>
    <n v="2023"/>
    <x v="10"/>
    <n v="329594.61391171906"/>
    <n v="0.02"/>
    <n v="0.01"/>
    <n v="0.01"/>
    <n v="6.2100000000000002E-2"/>
    <n v="0.03"/>
    <n v="0.02"/>
    <n v="0.06"/>
    <n v="0.02"/>
    <n v="0.02"/>
    <n v="0.02"/>
    <n v="0.9"/>
    <n v="180000"/>
    <n v="176460"/>
    <n v="304980"/>
    <n v="210120"/>
    <n v="408000"/>
    <n v="140000"/>
  </r>
  <r>
    <x v="0"/>
    <x v="1"/>
    <x v="3"/>
    <s v="Orthopedics EXT"/>
    <n v="2024"/>
    <x v="11"/>
    <n v="500211.80265050463"/>
    <n v="0.02"/>
    <n v="0.01"/>
    <n v="0.01"/>
    <n v="6.2100000000000002E-2"/>
    <n v="0.03"/>
    <n v="0.02"/>
    <n v="0.06"/>
    <n v="0.02"/>
    <n v="0.02"/>
    <n v="0.02"/>
    <n v="0.9"/>
    <n v="180000"/>
    <n v="176460"/>
    <n v="304980"/>
    <n v="210120"/>
    <n v="408000"/>
    <n v="140000"/>
  </r>
  <r>
    <x v="0"/>
    <x v="1"/>
    <x v="3"/>
    <s v="Orthopedics EXT"/>
    <n v="2025"/>
    <x v="12"/>
    <n v="667844.56582507258"/>
    <n v="0.02"/>
    <n v="0.01"/>
    <n v="0.01"/>
    <n v="6.2100000000000002E-2"/>
    <n v="0.03"/>
    <n v="0.02"/>
    <n v="0.06"/>
    <n v="0.02"/>
    <n v="0.02"/>
    <n v="0.02"/>
    <n v="0.9"/>
    <n v="180000"/>
    <n v="176460"/>
    <n v="304980"/>
    <n v="210120"/>
    <n v="408000"/>
    <n v="140000"/>
  </r>
  <r>
    <x v="0"/>
    <x v="1"/>
    <x v="3"/>
    <s v="Orthopedics EXT"/>
    <n v="2026"/>
    <x v="13"/>
    <n v="832534.05740171717"/>
    <n v="0.02"/>
    <n v="0.01"/>
    <n v="0.01"/>
    <n v="6.2100000000000002E-2"/>
    <n v="0.03"/>
    <n v="0.02"/>
    <n v="0.06"/>
    <n v="0.02"/>
    <n v="0.02"/>
    <n v="0.02"/>
    <n v="0.9"/>
    <n v="180000"/>
    <n v="176460"/>
    <n v="304980"/>
    <n v="210120"/>
    <n v="408000"/>
    <n v="140000"/>
  </r>
  <r>
    <x v="0"/>
    <x v="1"/>
    <x v="3"/>
    <s v="Orthopedics EXT"/>
    <n v="2027"/>
    <x v="14"/>
    <n v="994321.46004363615"/>
    <n v="0.02"/>
    <n v="0.01"/>
    <n v="0.01"/>
    <n v="6.2100000000000002E-2"/>
    <n v="0.03"/>
    <n v="0.02"/>
    <n v="0.06"/>
    <n v="0.02"/>
    <n v="0.02"/>
    <n v="0.02"/>
    <n v="0.9"/>
    <n v="180000"/>
    <n v="176460"/>
    <n v="304980"/>
    <n v="210120"/>
    <n v="408000"/>
    <n v="140000"/>
  </r>
  <r>
    <x v="0"/>
    <x v="1"/>
    <x v="3"/>
    <s v="Orthopedics EXT"/>
    <n v="2028"/>
    <x v="15"/>
    <n v="1153247.9443210787"/>
    <n v="0.02"/>
    <n v="0.01"/>
    <n v="0.01"/>
    <n v="6.2100000000000002E-2"/>
    <n v="0.03"/>
    <n v="0.02"/>
    <n v="0.06"/>
    <n v="0.02"/>
    <n v="0.02"/>
    <n v="0.02"/>
    <n v="0.9"/>
    <n v="180000"/>
    <n v="176460"/>
    <n v="304980"/>
    <n v="210120"/>
    <n v="408000"/>
    <n v="140000"/>
  </r>
  <r>
    <x v="0"/>
    <x v="1"/>
    <x v="3"/>
    <s v="Orthopedics EXT"/>
    <n v="2029"/>
    <x v="16"/>
    <n v="1309354.6306581816"/>
    <n v="0.02"/>
    <n v="0.01"/>
    <n v="0.01"/>
    <n v="6.2100000000000002E-2"/>
    <n v="0.03"/>
    <n v="0.02"/>
    <n v="0.06"/>
    <n v="0.02"/>
    <n v="0.02"/>
    <n v="0.02"/>
    <n v="0.9"/>
    <n v="180000"/>
    <n v="176460"/>
    <n v="304980"/>
    <n v="210120"/>
    <n v="408000"/>
    <n v="140000"/>
  </r>
  <r>
    <x v="0"/>
    <x v="1"/>
    <x v="3"/>
    <s v="Orthopedics EXT"/>
    <n v="2030"/>
    <x v="17"/>
    <n v="1462682.5538695657"/>
    <n v="0.02"/>
    <n v="0.01"/>
    <n v="0.01"/>
    <n v="6.2100000000000002E-2"/>
    <n v="0.03"/>
    <n v="0.02"/>
    <n v="0.06"/>
    <n v="0.02"/>
    <n v="0.02"/>
    <n v="0.02"/>
    <n v="0.9"/>
    <n v="180000"/>
    <n v="176460"/>
    <n v="304980"/>
    <n v="210120"/>
    <n v="408000"/>
    <n v="140000"/>
  </r>
  <r>
    <x v="0"/>
    <x v="1"/>
    <x v="3"/>
    <s v="Orthopedics EXT"/>
    <n v="2031"/>
    <x v="18"/>
    <n v="1613272.6301471335"/>
    <n v="0.02"/>
    <n v="0.01"/>
    <n v="0.01"/>
    <n v="6.2100000000000002E-2"/>
    <n v="0.03"/>
    <n v="0.02"/>
    <n v="0.06"/>
    <n v="0.02"/>
    <n v="0.02"/>
    <n v="0.02"/>
    <n v="0.9"/>
    <n v="180000"/>
    <n v="176460"/>
    <n v="304980"/>
    <n v="210120"/>
    <n v="408000"/>
    <n v="140000"/>
  </r>
  <r>
    <x v="0"/>
    <x v="1"/>
    <x v="3"/>
    <s v="Orthopedics EXT"/>
    <n v="2032"/>
    <x v="19"/>
    <n v="1761165.6263645228"/>
    <n v="0.02"/>
    <n v="0.01"/>
    <n v="0.01"/>
    <n v="6.2100000000000002E-2"/>
    <n v="0.03"/>
    <n v="0.02"/>
    <n v="0.06"/>
    <n v="0.02"/>
    <n v="0.02"/>
    <n v="0.02"/>
    <n v="0.9"/>
    <n v="180000"/>
    <n v="176460"/>
    <n v="304980"/>
    <n v="210120"/>
    <n v="408000"/>
    <n v="140000"/>
  </r>
  <r>
    <x v="0"/>
    <x v="1"/>
    <x v="3"/>
    <s v="Orthopedics EXT"/>
    <n v="2033"/>
    <x v="20"/>
    <n v="1906402.1315733388"/>
    <n v="0.02"/>
    <n v="0.01"/>
    <n v="0.01"/>
    <n v="6.2100000000000002E-2"/>
    <n v="0.03"/>
    <n v="0.02"/>
    <n v="0.06"/>
    <n v="0.02"/>
    <n v="0.02"/>
    <n v="0.02"/>
    <n v="0.9"/>
    <n v="180000"/>
    <n v="176460"/>
    <n v="304980"/>
    <n v="210120"/>
    <n v="408000"/>
    <n v="140000"/>
  </r>
  <r>
    <x v="0"/>
    <x v="1"/>
    <x v="3"/>
    <s v="Orthopedics EXT"/>
    <n v="2034"/>
    <x v="21"/>
    <n v="2049022.5305716281"/>
    <n v="0.02"/>
    <n v="0.01"/>
    <n v="0.01"/>
    <n v="6.2100000000000002E-2"/>
    <n v="0.03"/>
    <n v="0.02"/>
    <n v="0.06"/>
    <n v="0.02"/>
    <n v="0.02"/>
    <n v="0.02"/>
    <n v="0.9"/>
    <n v="180000"/>
    <n v="176460"/>
    <n v="304980"/>
    <n v="210120"/>
    <n v="408000"/>
    <n v="140000"/>
  </r>
  <r>
    <x v="0"/>
    <x v="1"/>
    <x v="3"/>
    <s v="Orthopedics EXT"/>
    <n v="2035"/>
    <x v="22"/>
    <n v="2189066.9794310918"/>
    <n v="0.02"/>
    <n v="0.01"/>
    <n v="0.01"/>
    <n v="6.2100000000000002E-2"/>
    <n v="0.03"/>
    <n v="0.02"/>
    <n v="0.06"/>
    <n v="0.02"/>
    <n v="0.02"/>
    <n v="0.02"/>
    <n v="0.9"/>
    <n v="180000"/>
    <n v="176460"/>
    <n v="304980"/>
    <n v="210120"/>
    <n v="408000"/>
    <n v="140000"/>
  </r>
  <r>
    <x v="0"/>
    <x v="1"/>
    <x v="3"/>
    <s v="Orthopedics EXT"/>
    <n v="2036"/>
    <x v="23"/>
    <n v="2326575.3828752642"/>
    <n v="0.02"/>
    <n v="0.01"/>
    <n v="0.01"/>
    <n v="6.2100000000000002E-2"/>
    <n v="0.03"/>
    <n v="0.02"/>
    <n v="0.06"/>
    <n v="0.02"/>
    <n v="0.02"/>
    <n v="0.02"/>
    <n v="0.9"/>
    <n v="180000"/>
    <n v="176460"/>
    <n v="304980"/>
    <n v="210120"/>
    <n v="408000"/>
    <n v="140000"/>
  </r>
  <r>
    <x v="0"/>
    <x v="1"/>
    <x v="3"/>
    <s v="Orthopedics EXT"/>
    <n v="2037"/>
    <x v="24"/>
    <n v="2461424.1691636876"/>
    <n v="0.02"/>
    <n v="0.01"/>
    <n v="0.01"/>
    <n v="6.2100000000000002E-2"/>
    <n v="0.03"/>
    <n v="0.02"/>
    <n v="0.06"/>
    <n v="0.02"/>
    <n v="0.02"/>
    <n v="0.02"/>
    <n v="0.9"/>
    <n v="180000"/>
    <n v="176460"/>
    <n v="304980"/>
    <n v="210120"/>
    <n v="408000"/>
    <n v="140000"/>
  </r>
  <r>
    <x v="0"/>
    <x v="1"/>
    <x v="3"/>
    <s v="Orthopedics EXT"/>
    <n v="2038"/>
    <x v="25"/>
    <n v="2593644.2134749228"/>
    <n v="0.02"/>
    <n v="0.01"/>
    <n v="0.01"/>
    <n v="6.2100000000000002E-2"/>
    <n v="0.03"/>
    <n v="0.02"/>
    <n v="0.06"/>
    <n v="0.02"/>
    <n v="0.02"/>
    <n v="0.02"/>
    <n v="0.9"/>
    <n v="180000"/>
    <n v="176460"/>
    <n v="304980"/>
    <n v="210120"/>
    <n v="408000"/>
    <n v="140000"/>
  </r>
  <r>
    <x v="0"/>
    <x v="1"/>
    <x v="3"/>
    <s v="Orthopedics EXT"/>
    <n v="2039"/>
    <x v="26"/>
    <n v="2723283.0071507026"/>
    <n v="0.02"/>
    <n v="0.01"/>
    <n v="0.01"/>
    <n v="6.2100000000000002E-2"/>
    <n v="0.03"/>
    <n v="0.02"/>
    <n v="0.06"/>
    <n v="0.02"/>
    <n v="0.02"/>
    <n v="0.02"/>
    <n v="0.9"/>
    <n v="180000"/>
    <n v="176460"/>
    <n v="304980"/>
    <n v="210120"/>
    <n v="408000"/>
    <n v="140000"/>
  </r>
  <r>
    <x v="0"/>
    <x v="1"/>
    <x v="3"/>
    <s v="Orthopedics EXT"/>
    <n v="2040"/>
    <x v="27"/>
    <n v="2850387.4020178276"/>
    <n v="0.02"/>
    <n v="0.01"/>
    <n v="0.01"/>
    <n v="6.2100000000000002E-2"/>
    <n v="0.03"/>
    <n v="0.02"/>
    <n v="0.06"/>
    <n v="0.02"/>
    <n v="0.02"/>
    <n v="0.02"/>
    <n v="0.9"/>
    <n v="180000"/>
    <n v="176460"/>
    <n v="304980"/>
    <n v="210120"/>
    <n v="408000"/>
    <n v="140000"/>
  </r>
  <r>
    <x v="0"/>
    <x v="1"/>
    <x v="3"/>
    <s v="Orthopedics EXT"/>
    <n v="2041"/>
    <x v="28"/>
    <n v="2975003.6060683937"/>
    <n v="0.02"/>
    <n v="0.01"/>
    <n v="0.01"/>
    <n v="6.2100000000000002E-2"/>
    <n v="0.03"/>
    <n v="0.02"/>
    <n v="0.06"/>
    <n v="0.02"/>
    <n v="0.02"/>
    <n v="0.02"/>
    <n v="0.9"/>
    <n v="180000"/>
    <n v="176460"/>
    <n v="304980"/>
    <n v="210120"/>
    <n v="408000"/>
    <n v="140000"/>
  </r>
  <r>
    <x v="0"/>
    <x v="1"/>
    <x v="3"/>
    <s v="Orthopedics EXT"/>
    <n v="2042"/>
    <x v="29"/>
    <n v="3097177.1801185822"/>
    <n v="0.02"/>
    <n v="0.01"/>
    <n v="0.01"/>
    <n v="6.2100000000000002E-2"/>
    <n v="0.03"/>
    <n v="0.02"/>
    <n v="0.06"/>
    <n v="0.02"/>
    <n v="0.02"/>
    <n v="0.02"/>
    <n v="0.9"/>
    <n v="180000"/>
    <n v="176460"/>
    <n v="304980"/>
    <n v="210120"/>
    <n v="408000"/>
    <n v="140000"/>
  </r>
  <r>
    <x v="0"/>
    <x v="1"/>
    <x v="4"/>
    <s v="Orthopedics IBR"/>
    <n v="2013"/>
    <x v="0"/>
    <n v="-43015.05"/>
    <n v="0.02"/>
    <n v="0.01"/>
    <n v="0.01"/>
    <n v="6.2100000000000002E-2"/>
    <n v="0.03"/>
    <n v="0.02"/>
    <n v="0.06"/>
    <n v="0.02"/>
    <n v="0.02"/>
    <n v="0.02"/>
    <n v="0.9"/>
    <n v="180000"/>
    <n v="176460"/>
    <n v="304980"/>
    <n v="210120"/>
    <n v="408000"/>
    <n v="140000"/>
  </r>
  <r>
    <x v="0"/>
    <x v="1"/>
    <x v="4"/>
    <s v="Orthopedics IBR"/>
    <n v="2014"/>
    <x v="1"/>
    <n v="-86352.285865219877"/>
    <n v="0.02"/>
    <n v="0.01"/>
    <n v="0.01"/>
    <n v="6.2100000000000002E-2"/>
    <n v="0.03"/>
    <n v="0.02"/>
    <n v="0.06"/>
    <n v="0.02"/>
    <n v="0.02"/>
    <n v="0.02"/>
    <n v="0.9"/>
    <n v="180000"/>
    <n v="176460"/>
    <n v="304980"/>
    <n v="210120"/>
    <n v="408000"/>
    <n v="140000"/>
  </r>
  <r>
    <x v="0"/>
    <x v="1"/>
    <x v="4"/>
    <s v="Orthopedics IBR"/>
    <n v="2015"/>
    <x v="2"/>
    <n v="-138541.19578403595"/>
    <n v="0.02"/>
    <n v="0.01"/>
    <n v="0.01"/>
    <n v="6.2100000000000002E-2"/>
    <n v="0.03"/>
    <n v="0.02"/>
    <n v="0.06"/>
    <n v="0.02"/>
    <n v="0.02"/>
    <n v="0.02"/>
    <n v="0.9"/>
    <n v="180000"/>
    <n v="176460"/>
    <n v="304980"/>
    <n v="210120"/>
    <n v="408000"/>
    <n v="140000"/>
  </r>
  <r>
    <x v="0"/>
    <x v="1"/>
    <x v="4"/>
    <s v="Orthopedics IBR"/>
    <n v="2016"/>
    <x v="3"/>
    <n v="-190867.38028908212"/>
    <n v="0.02"/>
    <n v="0.01"/>
    <n v="0.01"/>
    <n v="6.2100000000000002E-2"/>
    <n v="0.03"/>
    <n v="0.02"/>
    <n v="0.06"/>
    <n v="0.02"/>
    <n v="0.02"/>
    <n v="0.02"/>
    <n v="0.9"/>
    <n v="180000"/>
    <n v="176460"/>
    <n v="304980"/>
    <n v="210120"/>
    <n v="408000"/>
    <n v="140000"/>
  </r>
  <r>
    <x v="0"/>
    <x v="1"/>
    <x v="4"/>
    <s v="Orthopedics IBR"/>
    <n v="2017"/>
    <x v="4"/>
    <n v="-157278.5148229824"/>
    <n v="0.02"/>
    <n v="0.01"/>
    <n v="0.01"/>
    <n v="6.2100000000000002E-2"/>
    <n v="0.03"/>
    <n v="0.02"/>
    <n v="0.06"/>
    <n v="0.02"/>
    <n v="0.02"/>
    <n v="0.02"/>
    <n v="0.9"/>
    <n v="180000"/>
    <n v="176460"/>
    <n v="304980"/>
    <n v="210120"/>
    <n v="408000"/>
    <n v="140000"/>
  </r>
  <r>
    <x v="0"/>
    <x v="1"/>
    <x v="4"/>
    <s v="Orthopedics IBR"/>
    <n v="2018"/>
    <x v="5"/>
    <n v="-123668.32270644748"/>
    <n v="0.02"/>
    <n v="0.01"/>
    <n v="0.01"/>
    <n v="6.2100000000000002E-2"/>
    <n v="0.03"/>
    <n v="0.02"/>
    <n v="0.06"/>
    <n v="0.02"/>
    <n v="0.02"/>
    <n v="0.02"/>
    <n v="0.9"/>
    <n v="180000"/>
    <n v="176460"/>
    <n v="304980"/>
    <n v="210120"/>
    <n v="408000"/>
    <n v="140000"/>
  </r>
  <r>
    <x v="0"/>
    <x v="1"/>
    <x v="4"/>
    <s v="Orthopedics IBR"/>
    <n v="2019"/>
    <x v="6"/>
    <n v="-90028.481028923678"/>
    <n v="0.02"/>
    <n v="0.01"/>
    <n v="0.01"/>
    <n v="6.2100000000000002E-2"/>
    <n v="0.03"/>
    <n v="0.02"/>
    <n v="0.06"/>
    <n v="0.02"/>
    <n v="0.02"/>
    <n v="0.02"/>
    <n v="0.9"/>
    <n v="180000"/>
    <n v="176460"/>
    <n v="304980"/>
    <n v="210120"/>
    <n v="408000"/>
    <n v="140000"/>
  </r>
  <r>
    <x v="0"/>
    <x v="1"/>
    <x v="4"/>
    <s v="Orthopedics IBR"/>
    <n v="2020"/>
    <x v="7"/>
    <n v="-56350.829269688562"/>
    <n v="0.02"/>
    <n v="0.01"/>
    <n v="0.01"/>
    <n v="6.2100000000000002E-2"/>
    <n v="0.03"/>
    <n v="0.02"/>
    <n v="0.06"/>
    <n v="0.02"/>
    <n v="0.02"/>
    <n v="0.02"/>
    <n v="0.9"/>
    <n v="180000"/>
    <n v="176460"/>
    <n v="304980"/>
    <n v="210120"/>
    <n v="408000"/>
    <n v="140000"/>
  </r>
  <r>
    <x v="0"/>
    <x v="1"/>
    <x v="4"/>
    <s v="Orthopedics IBR"/>
    <n v="2021"/>
    <x v="8"/>
    <n v="-22627.363852044567"/>
    <n v="0.02"/>
    <n v="0.01"/>
    <n v="0.01"/>
    <n v="6.2100000000000002E-2"/>
    <n v="0.03"/>
    <n v="0.02"/>
    <n v="0.06"/>
    <n v="0.02"/>
    <n v="0.02"/>
    <n v="0.02"/>
    <n v="0.9"/>
    <n v="180000"/>
    <n v="176460"/>
    <n v="304980"/>
    <n v="210120"/>
    <n v="408000"/>
    <n v="140000"/>
  </r>
  <r>
    <x v="0"/>
    <x v="1"/>
    <x v="4"/>
    <s v="Orthopedics IBR"/>
    <n v="2022"/>
    <x v="9"/>
    <e v="#VALUE!"/>
    <n v="0.02"/>
    <n v="0.01"/>
    <n v="0.01"/>
    <n v="6.2100000000000002E-2"/>
    <n v="0.03"/>
    <n v="0.02"/>
    <n v="0.06"/>
    <n v="0.02"/>
    <n v="0.02"/>
    <n v="0.02"/>
    <n v="0.9"/>
    <n v="180000"/>
    <n v="176460"/>
    <n v="304980"/>
    <n v="210120"/>
    <n v="408000"/>
    <n v="140000"/>
  </r>
  <r>
    <x v="0"/>
    <x v="1"/>
    <x v="4"/>
    <s v="Orthopedics IBR"/>
    <n v="2023"/>
    <x v="10"/>
    <e v="#VALUE!"/>
    <n v="0.02"/>
    <n v="0.01"/>
    <n v="0.01"/>
    <n v="6.2100000000000002E-2"/>
    <n v="0.03"/>
    <n v="0.02"/>
    <n v="0.06"/>
    <n v="0.02"/>
    <n v="0.02"/>
    <n v="0.02"/>
    <n v="0.9"/>
    <n v="180000"/>
    <n v="176460"/>
    <n v="304980"/>
    <n v="210120"/>
    <n v="408000"/>
    <n v="140000"/>
  </r>
  <r>
    <x v="0"/>
    <x v="1"/>
    <x v="4"/>
    <s v="Orthopedics IBR"/>
    <n v="2024"/>
    <x v="11"/>
    <e v="#VALUE!"/>
    <n v="0.02"/>
    <n v="0.01"/>
    <n v="0.01"/>
    <n v="6.2100000000000002E-2"/>
    <n v="0.03"/>
    <n v="0.02"/>
    <n v="0.06"/>
    <n v="0.02"/>
    <n v="0.02"/>
    <n v="0.02"/>
    <n v="0.9"/>
    <n v="180000"/>
    <n v="176460"/>
    <n v="304980"/>
    <n v="210120"/>
    <n v="408000"/>
    <n v="140000"/>
  </r>
  <r>
    <x v="0"/>
    <x v="1"/>
    <x v="4"/>
    <s v="Orthopedics IBR"/>
    <n v="2025"/>
    <x v="12"/>
    <e v="#VALUE!"/>
    <n v="0.02"/>
    <n v="0.01"/>
    <n v="0.01"/>
    <n v="6.2100000000000002E-2"/>
    <n v="0.03"/>
    <n v="0.02"/>
    <n v="0.06"/>
    <n v="0.02"/>
    <n v="0.02"/>
    <n v="0.02"/>
    <n v="0.9"/>
    <n v="180000"/>
    <n v="176460"/>
    <n v="304980"/>
    <n v="210120"/>
    <n v="408000"/>
    <n v="140000"/>
  </r>
  <r>
    <x v="0"/>
    <x v="1"/>
    <x v="4"/>
    <s v="Orthopedics IBR"/>
    <n v="2026"/>
    <x v="13"/>
    <e v="#VALUE!"/>
    <n v="0.02"/>
    <n v="0.01"/>
    <n v="0.01"/>
    <n v="6.2100000000000002E-2"/>
    <n v="0.03"/>
    <n v="0.02"/>
    <n v="0.06"/>
    <n v="0.02"/>
    <n v="0.02"/>
    <n v="0.02"/>
    <n v="0.9"/>
    <n v="180000"/>
    <n v="176460"/>
    <n v="304980"/>
    <n v="210120"/>
    <n v="408000"/>
    <n v="140000"/>
  </r>
  <r>
    <x v="0"/>
    <x v="1"/>
    <x v="4"/>
    <s v="Orthopedics IBR"/>
    <n v="2027"/>
    <x v="14"/>
    <e v="#VALUE!"/>
    <n v="0.02"/>
    <n v="0.01"/>
    <n v="0.01"/>
    <n v="6.2100000000000002E-2"/>
    <n v="0.03"/>
    <n v="0.02"/>
    <n v="0.06"/>
    <n v="0.02"/>
    <n v="0.02"/>
    <n v="0.02"/>
    <n v="0.9"/>
    <n v="180000"/>
    <n v="176460"/>
    <n v="304980"/>
    <n v="210120"/>
    <n v="408000"/>
    <n v="140000"/>
  </r>
  <r>
    <x v="0"/>
    <x v="1"/>
    <x v="4"/>
    <s v="Orthopedics IBR"/>
    <n v="2028"/>
    <x v="15"/>
    <e v="#VALUE!"/>
    <n v="0.02"/>
    <n v="0.01"/>
    <n v="0.01"/>
    <n v="6.2100000000000002E-2"/>
    <n v="0.03"/>
    <n v="0.02"/>
    <n v="0.06"/>
    <n v="0.02"/>
    <n v="0.02"/>
    <n v="0.02"/>
    <n v="0.9"/>
    <n v="180000"/>
    <n v="176460"/>
    <n v="304980"/>
    <n v="210120"/>
    <n v="408000"/>
    <n v="140000"/>
  </r>
  <r>
    <x v="0"/>
    <x v="1"/>
    <x v="4"/>
    <s v="Orthopedics IBR"/>
    <n v="2029"/>
    <x v="16"/>
    <e v="#VALUE!"/>
    <n v="0.02"/>
    <n v="0.01"/>
    <n v="0.01"/>
    <n v="6.2100000000000002E-2"/>
    <n v="0.03"/>
    <n v="0.02"/>
    <n v="0.06"/>
    <n v="0.02"/>
    <n v="0.02"/>
    <n v="0.02"/>
    <n v="0.9"/>
    <n v="180000"/>
    <n v="176460"/>
    <n v="304980"/>
    <n v="210120"/>
    <n v="408000"/>
    <n v="140000"/>
  </r>
  <r>
    <x v="0"/>
    <x v="1"/>
    <x v="4"/>
    <s v="Orthopedics IBR"/>
    <n v="2030"/>
    <x v="17"/>
    <e v="#VALUE!"/>
    <n v="0.02"/>
    <n v="0.01"/>
    <n v="0.01"/>
    <n v="6.2100000000000002E-2"/>
    <n v="0.03"/>
    <n v="0.02"/>
    <n v="0.06"/>
    <n v="0.02"/>
    <n v="0.02"/>
    <n v="0.02"/>
    <n v="0.9"/>
    <n v="180000"/>
    <n v="176460"/>
    <n v="304980"/>
    <n v="210120"/>
    <n v="408000"/>
    <n v="140000"/>
  </r>
  <r>
    <x v="0"/>
    <x v="1"/>
    <x v="4"/>
    <s v="Orthopedics IBR"/>
    <n v="2031"/>
    <x v="18"/>
    <e v="#VALUE!"/>
    <n v="0.02"/>
    <n v="0.01"/>
    <n v="0.01"/>
    <n v="6.2100000000000002E-2"/>
    <n v="0.03"/>
    <n v="0.02"/>
    <n v="0.06"/>
    <n v="0.02"/>
    <n v="0.02"/>
    <n v="0.02"/>
    <n v="0.9"/>
    <n v="180000"/>
    <n v="176460"/>
    <n v="304980"/>
    <n v="210120"/>
    <n v="408000"/>
    <n v="140000"/>
  </r>
  <r>
    <x v="0"/>
    <x v="1"/>
    <x v="4"/>
    <s v="Orthopedics IBR"/>
    <n v="2032"/>
    <x v="19"/>
    <e v="#VALUE!"/>
    <n v="0.02"/>
    <n v="0.01"/>
    <n v="0.01"/>
    <n v="6.2100000000000002E-2"/>
    <n v="0.03"/>
    <n v="0.02"/>
    <n v="0.06"/>
    <n v="0.02"/>
    <n v="0.02"/>
    <n v="0.02"/>
    <n v="0.9"/>
    <n v="180000"/>
    <n v="176460"/>
    <n v="304980"/>
    <n v="210120"/>
    <n v="408000"/>
    <n v="140000"/>
  </r>
  <r>
    <x v="0"/>
    <x v="1"/>
    <x v="4"/>
    <s v="Orthopedics IBR"/>
    <n v="2033"/>
    <x v="20"/>
    <e v="#VALUE!"/>
    <n v="0.02"/>
    <n v="0.01"/>
    <n v="0.01"/>
    <n v="6.2100000000000002E-2"/>
    <n v="0.03"/>
    <n v="0.02"/>
    <n v="0.06"/>
    <n v="0.02"/>
    <n v="0.02"/>
    <n v="0.02"/>
    <n v="0.9"/>
    <n v="180000"/>
    <n v="176460"/>
    <n v="304980"/>
    <n v="210120"/>
    <n v="408000"/>
    <n v="140000"/>
  </r>
  <r>
    <x v="0"/>
    <x v="1"/>
    <x v="4"/>
    <s v="Orthopedics IBR"/>
    <n v="2034"/>
    <x v="21"/>
    <e v="#VALUE!"/>
    <n v="0.02"/>
    <n v="0.01"/>
    <n v="0.01"/>
    <n v="6.2100000000000002E-2"/>
    <n v="0.03"/>
    <n v="0.02"/>
    <n v="0.06"/>
    <n v="0.02"/>
    <n v="0.02"/>
    <n v="0.02"/>
    <n v="0.9"/>
    <n v="180000"/>
    <n v="176460"/>
    <n v="304980"/>
    <n v="210120"/>
    <n v="408000"/>
    <n v="140000"/>
  </r>
  <r>
    <x v="0"/>
    <x v="1"/>
    <x v="4"/>
    <s v="Orthopedics IBR"/>
    <n v="2035"/>
    <x v="22"/>
    <e v="#VALUE!"/>
    <n v="0.02"/>
    <n v="0.01"/>
    <n v="0.01"/>
    <n v="6.2100000000000002E-2"/>
    <n v="0.03"/>
    <n v="0.02"/>
    <n v="0.06"/>
    <n v="0.02"/>
    <n v="0.02"/>
    <n v="0.02"/>
    <n v="0.9"/>
    <n v="180000"/>
    <n v="176460"/>
    <n v="304980"/>
    <n v="210120"/>
    <n v="408000"/>
    <n v="140000"/>
  </r>
  <r>
    <x v="0"/>
    <x v="1"/>
    <x v="4"/>
    <s v="Orthopedics IBR"/>
    <n v="2036"/>
    <x v="23"/>
    <e v="#VALUE!"/>
    <n v="0.02"/>
    <n v="0.01"/>
    <n v="0.01"/>
    <n v="6.2100000000000002E-2"/>
    <n v="0.03"/>
    <n v="0.02"/>
    <n v="0.06"/>
    <n v="0.02"/>
    <n v="0.02"/>
    <n v="0.02"/>
    <n v="0.9"/>
    <n v="180000"/>
    <n v="176460"/>
    <n v="304980"/>
    <n v="210120"/>
    <n v="408000"/>
    <n v="140000"/>
  </r>
  <r>
    <x v="0"/>
    <x v="1"/>
    <x v="4"/>
    <s v="Orthopedics IBR"/>
    <n v="2037"/>
    <x v="24"/>
    <e v="#VALUE!"/>
    <n v="0.02"/>
    <n v="0.01"/>
    <n v="0.01"/>
    <n v="6.2100000000000002E-2"/>
    <n v="0.03"/>
    <n v="0.02"/>
    <n v="0.06"/>
    <n v="0.02"/>
    <n v="0.02"/>
    <n v="0.02"/>
    <n v="0.9"/>
    <n v="180000"/>
    <n v="176460"/>
    <n v="304980"/>
    <n v="210120"/>
    <n v="408000"/>
    <n v="140000"/>
  </r>
  <r>
    <x v="0"/>
    <x v="1"/>
    <x v="4"/>
    <s v="Orthopedics IBR"/>
    <n v="2038"/>
    <x v="25"/>
    <e v="#VALUE!"/>
    <n v="0.02"/>
    <n v="0.01"/>
    <n v="0.01"/>
    <n v="6.2100000000000002E-2"/>
    <n v="0.03"/>
    <n v="0.02"/>
    <n v="0.06"/>
    <n v="0.02"/>
    <n v="0.02"/>
    <n v="0.02"/>
    <n v="0.9"/>
    <n v="180000"/>
    <n v="176460"/>
    <n v="304980"/>
    <n v="210120"/>
    <n v="408000"/>
    <n v="140000"/>
  </r>
  <r>
    <x v="0"/>
    <x v="1"/>
    <x v="4"/>
    <s v="Orthopedics IBR"/>
    <n v="2039"/>
    <x v="26"/>
    <e v="#VALUE!"/>
    <n v="0.02"/>
    <n v="0.01"/>
    <n v="0.01"/>
    <n v="6.2100000000000002E-2"/>
    <n v="0.03"/>
    <n v="0.02"/>
    <n v="0.06"/>
    <n v="0.02"/>
    <n v="0.02"/>
    <n v="0.02"/>
    <n v="0.9"/>
    <n v="180000"/>
    <n v="176460"/>
    <n v="304980"/>
    <n v="210120"/>
    <n v="408000"/>
    <n v="140000"/>
  </r>
  <r>
    <x v="0"/>
    <x v="1"/>
    <x v="4"/>
    <s v="Orthopedics IBR"/>
    <n v="2040"/>
    <x v="27"/>
    <e v="#VALUE!"/>
    <n v="0.02"/>
    <n v="0.01"/>
    <n v="0.01"/>
    <n v="6.2100000000000002E-2"/>
    <n v="0.03"/>
    <n v="0.02"/>
    <n v="0.06"/>
    <n v="0.02"/>
    <n v="0.02"/>
    <n v="0.02"/>
    <n v="0.9"/>
    <n v="180000"/>
    <n v="176460"/>
    <n v="304980"/>
    <n v="210120"/>
    <n v="408000"/>
    <n v="140000"/>
  </r>
  <r>
    <x v="0"/>
    <x v="1"/>
    <x v="4"/>
    <s v="Orthopedics IBR"/>
    <n v="2041"/>
    <x v="28"/>
    <e v="#VALUE!"/>
    <n v="0.02"/>
    <n v="0.01"/>
    <n v="0.01"/>
    <n v="6.2100000000000002E-2"/>
    <n v="0.03"/>
    <n v="0.02"/>
    <n v="0.06"/>
    <n v="0.02"/>
    <n v="0.02"/>
    <n v="0.02"/>
    <n v="0.9"/>
    <n v="180000"/>
    <n v="176460"/>
    <n v="304980"/>
    <n v="210120"/>
    <n v="408000"/>
    <n v="140000"/>
  </r>
  <r>
    <x v="0"/>
    <x v="1"/>
    <x v="4"/>
    <s v="Orthopedics IBR"/>
    <n v="2042"/>
    <x v="29"/>
    <e v="#VALUE!"/>
    <n v="0.02"/>
    <n v="0.01"/>
    <n v="0.01"/>
    <n v="6.2100000000000002E-2"/>
    <n v="0.03"/>
    <n v="0.02"/>
    <n v="0.06"/>
    <n v="0.02"/>
    <n v="0.02"/>
    <n v="0.02"/>
    <n v="0.9"/>
    <n v="180000"/>
    <n v="176460"/>
    <n v="304980"/>
    <n v="210120"/>
    <n v="408000"/>
    <n v="140000"/>
  </r>
  <r>
    <x v="0"/>
    <x v="1"/>
    <x v="5"/>
    <s v="Orthopedics PAYE"/>
    <n v="2013"/>
    <x v="0"/>
    <n v="-43015.05"/>
    <n v="0.02"/>
    <n v="0.01"/>
    <n v="0.01"/>
    <n v="6.2100000000000002E-2"/>
    <n v="0.03"/>
    <n v="0.02"/>
    <n v="0.06"/>
    <n v="0.02"/>
    <n v="0.02"/>
    <n v="0.02"/>
    <n v="0.9"/>
    <n v="180000"/>
    <n v="176460"/>
    <n v="304980"/>
    <n v="210120"/>
    <n v="408000"/>
    <n v="140000"/>
  </r>
  <r>
    <x v="0"/>
    <x v="1"/>
    <x v="5"/>
    <s v="Orthopedics PAYE"/>
    <n v="2014"/>
    <x v="1"/>
    <n v="-86352.285865219877"/>
    <n v="0.02"/>
    <n v="0.01"/>
    <n v="0.01"/>
    <n v="6.2100000000000002E-2"/>
    <n v="0.03"/>
    <n v="0.02"/>
    <n v="0.06"/>
    <n v="0.02"/>
    <n v="0.02"/>
    <n v="0.02"/>
    <n v="0.9"/>
    <n v="180000"/>
    <n v="176460"/>
    <n v="304980"/>
    <n v="210120"/>
    <n v="408000"/>
    <n v="140000"/>
  </r>
  <r>
    <x v="0"/>
    <x v="1"/>
    <x v="5"/>
    <s v="Orthopedics PAYE"/>
    <n v="2015"/>
    <x v="2"/>
    <n v="-138541.19578403595"/>
    <n v="0.02"/>
    <n v="0.01"/>
    <n v="0.01"/>
    <n v="6.2100000000000002E-2"/>
    <n v="0.03"/>
    <n v="0.02"/>
    <n v="0.06"/>
    <n v="0.02"/>
    <n v="0.02"/>
    <n v="0.02"/>
    <n v="0.9"/>
    <n v="180000"/>
    <n v="176460"/>
    <n v="304980"/>
    <n v="210120"/>
    <n v="408000"/>
    <n v="140000"/>
  </r>
  <r>
    <x v="0"/>
    <x v="1"/>
    <x v="5"/>
    <s v="Orthopedics PAYE"/>
    <n v="2016"/>
    <x v="3"/>
    <n v="-190867.38028908212"/>
    <n v="0.02"/>
    <n v="0.01"/>
    <n v="0.01"/>
    <n v="6.2100000000000002E-2"/>
    <n v="0.03"/>
    <n v="0.02"/>
    <n v="0.06"/>
    <n v="0.02"/>
    <n v="0.02"/>
    <n v="0.02"/>
    <n v="0.9"/>
    <n v="180000"/>
    <n v="176460"/>
    <n v="304980"/>
    <n v="210120"/>
    <n v="408000"/>
    <n v="140000"/>
  </r>
  <r>
    <x v="0"/>
    <x v="1"/>
    <x v="5"/>
    <s v="Orthopedics PAYE"/>
    <n v="2017"/>
    <x v="4"/>
    <n v="-157278.5148229824"/>
    <n v="0.02"/>
    <n v="0.01"/>
    <n v="0.01"/>
    <n v="6.2100000000000002E-2"/>
    <n v="0.03"/>
    <n v="0.02"/>
    <n v="0.06"/>
    <n v="0.02"/>
    <n v="0.02"/>
    <n v="0.02"/>
    <n v="0.9"/>
    <n v="180000"/>
    <n v="176460"/>
    <n v="304980"/>
    <n v="210120"/>
    <n v="408000"/>
    <n v="140000"/>
  </r>
  <r>
    <x v="0"/>
    <x v="1"/>
    <x v="5"/>
    <s v="Orthopedics PAYE"/>
    <n v="2018"/>
    <x v="5"/>
    <n v="-123668.32270644748"/>
    <n v="0.02"/>
    <n v="0.01"/>
    <n v="0.01"/>
    <n v="6.2100000000000002E-2"/>
    <n v="0.03"/>
    <n v="0.02"/>
    <n v="0.06"/>
    <n v="0.02"/>
    <n v="0.02"/>
    <n v="0.02"/>
    <n v="0.9"/>
    <n v="180000"/>
    <n v="176460"/>
    <n v="304980"/>
    <n v="210120"/>
    <n v="408000"/>
    <n v="140000"/>
  </r>
  <r>
    <x v="0"/>
    <x v="1"/>
    <x v="5"/>
    <s v="Orthopedics PAYE"/>
    <n v="2019"/>
    <x v="6"/>
    <n v="-90028.481028923678"/>
    <n v="0.02"/>
    <n v="0.01"/>
    <n v="0.01"/>
    <n v="6.2100000000000002E-2"/>
    <n v="0.03"/>
    <n v="0.02"/>
    <n v="0.06"/>
    <n v="0.02"/>
    <n v="0.02"/>
    <n v="0.02"/>
    <n v="0.9"/>
    <n v="180000"/>
    <n v="176460"/>
    <n v="304980"/>
    <n v="210120"/>
    <n v="408000"/>
    <n v="140000"/>
  </r>
  <r>
    <x v="0"/>
    <x v="1"/>
    <x v="5"/>
    <s v="Orthopedics PAYE"/>
    <n v="2020"/>
    <x v="7"/>
    <n v="-56350.829269688562"/>
    <n v="0.02"/>
    <n v="0.01"/>
    <n v="0.01"/>
    <n v="6.2100000000000002E-2"/>
    <n v="0.03"/>
    <n v="0.02"/>
    <n v="0.06"/>
    <n v="0.02"/>
    <n v="0.02"/>
    <n v="0.02"/>
    <n v="0.9"/>
    <n v="180000"/>
    <n v="176460"/>
    <n v="304980"/>
    <n v="210120"/>
    <n v="408000"/>
    <n v="140000"/>
  </r>
  <r>
    <x v="0"/>
    <x v="1"/>
    <x v="5"/>
    <s v="Orthopedics PAYE"/>
    <n v="2021"/>
    <x v="8"/>
    <n v="-22627.363852044567"/>
    <n v="0.02"/>
    <n v="0.01"/>
    <n v="0.01"/>
    <n v="6.2100000000000002E-2"/>
    <n v="0.03"/>
    <n v="0.02"/>
    <n v="0.06"/>
    <n v="0.02"/>
    <n v="0.02"/>
    <n v="0.02"/>
    <n v="0.9"/>
    <n v="180000"/>
    <n v="176460"/>
    <n v="304980"/>
    <n v="210120"/>
    <n v="408000"/>
    <n v="140000"/>
  </r>
  <r>
    <x v="0"/>
    <x v="1"/>
    <x v="5"/>
    <s v="Orthopedics PAYE"/>
    <n v="2022"/>
    <x v="9"/>
    <e v="#VALUE!"/>
    <n v="0.02"/>
    <n v="0.01"/>
    <n v="0.01"/>
    <n v="6.2100000000000002E-2"/>
    <n v="0.03"/>
    <n v="0.02"/>
    <n v="0.06"/>
    <n v="0.02"/>
    <n v="0.02"/>
    <n v="0.02"/>
    <n v="0.9"/>
    <n v="180000"/>
    <n v="176460"/>
    <n v="304980"/>
    <n v="210120"/>
    <n v="408000"/>
    <n v="140000"/>
  </r>
  <r>
    <x v="0"/>
    <x v="1"/>
    <x v="5"/>
    <s v="Orthopedics PAYE"/>
    <n v="2023"/>
    <x v="10"/>
    <e v="#VALUE!"/>
    <n v="0.02"/>
    <n v="0.01"/>
    <n v="0.01"/>
    <n v="6.2100000000000002E-2"/>
    <n v="0.03"/>
    <n v="0.02"/>
    <n v="0.06"/>
    <n v="0.02"/>
    <n v="0.02"/>
    <n v="0.02"/>
    <n v="0.9"/>
    <n v="180000"/>
    <n v="176460"/>
    <n v="304980"/>
    <n v="210120"/>
    <n v="408000"/>
    <n v="140000"/>
  </r>
  <r>
    <x v="0"/>
    <x v="1"/>
    <x v="5"/>
    <s v="Orthopedics PAYE"/>
    <n v="2024"/>
    <x v="11"/>
    <e v="#VALUE!"/>
    <n v="0.02"/>
    <n v="0.01"/>
    <n v="0.01"/>
    <n v="6.2100000000000002E-2"/>
    <n v="0.03"/>
    <n v="0.02"/>
    <n v="0.06"/>
    <n v="0.02"/>
    <n v="0.02"/>
    <n v="0.02"/>
    <n v="0.9"/>
    <n v="180000"/>
    <n v="176460"/>
    <n v="304980"/>
    <n v="210120"/>
    <n v="408000"/>
    <n v="140000"/>
  </r>
  <r>
    <x v="0"/>
    <x v="1"/>
    <x v="5"/>
    <s v="Orthopedics PAYE"/>
    <n v="2025"/>
    <x v="12"/>
    <e v="#VALUE!"/>
    <n v="0.02"/>
    <n v="0.01"/>
    <n v="0.01"/>
    <n v="6.2100000000000002E-2"/>
    <n v="0.03"/>
    <n v="0.02"/>
    <n v="0.06"/>
    <n v="0.02"/>
    <n v="0.02"/>
    <n v="0.02"/>
    <n v="0.9"/>
    <n v="180000"/>
    <n v="176460"/>
    <n v="304980"/>
    <n v="210120"/>
    <n v="408000"/>
    <n v="140000"/>
  </r>
  <r>
    <x v="0"/>
    <x v="1"/>
    <x v="5"/>
    <s v="Orthopedics PAYE"/>
    <n v="2026"/>
    <x v="13"/>
    <e v="#VALUE!"/>
    <n v="0.02"/>
    <n v="0.01"/>
    <n v="0.01"/>
    <n v="6.2100000000000002E-2"/>
    <n v="0.03"/>
    <n v="0.02"/>
    <n v="0.06"/>
    <n v="0.02"/>
    <n v="0.02"/>
    <n v="0.02"/>
    <n v="0.9"/>
    <n v="180000"/>
    <n v="176460"/>
    <n v="304980"/>
    <n v="210120"/>
    <n v="408000"/>
    <n v="140000"/>
  </r>
  <r>
    <x v="0"/>
    <x v="1"/>
    <x v="5"/>
    <s v="Orthopedics PAYE"/>
    <n v="2027"/>
    <x v="14"/>
    <e v="#VALUE!"/>
    <n v="0.02"/>
    <n v="0.01"/>
    <n v="0.01"/>
    <n v="6.2100000000000002E-2"/>
    <n v="0.03"/>
    <n v="0.02"/>
    <n v="0.06"/>
    <n v="0.02"/>
    <n v="0.02"/>
    <n v="0.02"/>
    <n v="0.9"/>
    <n v="180000"/>
    <n v="176460"/>
    <n v="304980"/>
    <n v="210120"/>
    <n v="408000"/>
    <n v="140000"/>
  </r>
  <r>
    <x v="0"/>
    <x v="1"/>
    <x v="5"/>
    <s v="Orthopedics PAYE"/>
    <n v="2028"/>
    <x v="15"/>
    <e v="#VALUE!"/>
    <n v="0.02"/>
    <n v="0.01"/>
    <n v="0.01"/>
    <n v="6.2100000000000002E-2"/>
    <n v="0.03"/>
    <n v="0.02"/>
    <n v="0.06"/>
    <n v="0.02"/>
    <n v="0.02"/>
    <n v="0.02"/>
    <n v="0.9"/>
    <n v="180000"/>
    <n v="176460"/>
    <n v="304980"/>
    <n v="210120"/>
    <n v="408000"/>
    <n v="140000"/>
  </r>
  <r>
    <x v="0"/>
    <x v="1"/>
    <x v="5"/>
    <s v="Orthopedics PAYE"/>
    <n v="2029"/>
    <x v="16"/>
    <e v="#VALUE!"/>
    <n v="0.02"/>
    <n v="0.01"/>
    <n v="0.01"/>
    <n v="6.2100000000000002E-2"/>
    <n v="0.03"/>
    <n v="0.02"/>
    <n v="0.06"/>
    <n v="0.02"/>
    <n v="0.02"/>
    <n v="0.02"/>
    <n v="0.9"/>
    <n v="180000"/>
    <n v="176460"/>
    <n v="304980"/>
    <n v="210120"/>
    <n v="408000"/>
    <n v="140000"/>
  </r>
  <r>
    <x v="0"/>
    <x v="1"/>
    <x v="5"/>
    <s v="Orthopedics PAYE"/>
    <n v="2030"/>
    <x v="17"/>
    <e v="#VALUE!"/>
    <n v="0.02"/>
    <n v="0.01"/>
    <n v="0.01"/>
    <n v="6.2100000000000002E-2"/>
    <n v="0.03"/>
    <n v="0.02"/>
    <n v="0.06"/>
    <n v="0.02"/>
    <n v="0.02"/>
    <n v="0.02"/>
    <n v="0.9"/>
    <n v="180000"/>
    <n v="176460"/>
    <n v="304980"/>
    <n v="210120"/>
    <n v="408000"/>
    <n v="140000"/>
  </r>
  <r>
    <x v="0"/>
    <x v="1"/>
    <x v="5"/>
    <s v="Orthopedics PAYE"/>
    <n v="2031"/>
    <x v="18"/>
    <e v="#VALUE!"/>
    <n v="0.02"/>
    <n v="0.01"/>
    <n v="0.01"/>
    <n v="6.2100000000000002E-2"/>
    <n v="0.03"/>
    <n v="0.02"/>
    <n v="0.06"/>
    <n v="0.02"/>
    <n v="0.02"/>
    <n v="0.02"/>
    <n v="0.9"/>
    <n v="180000"/>
    <n v="176460"/>
    <n v="304980"/>
    <n v="210120"/>
    <n v="408000"/>
    <n v="140000"/>
  </r>
  <r>
    <x v="0"/>
    <x v="1"/>
    <x v="5"/>
    <s v="Orthopedics PAYE"/>
    <n v="2032"/>
    <x v="19"/>
    <e v="#VALUE!"/>
    <n v="0.02"/>
    <n v="0.01"/>
    <n v="0.01"/>
    <n v="6.2100000000000002E-2"/>
    <n v="0.03"/>
    <n v="0.02"/>
    <n v="0.06"/>
    <n v="0.02"/>
    <n v="0.02"/>
    <n v="0.02"/>
    <n v="0.9"/>
    <n v="180000"/>
    <n v="176460"/>
    <n v="304980"/>
    <n v="210120"/>
    <n v="408000"/>
    <n v="140000"/>
  </r>
  <r>
    <x v="0"/>
    <x v="1"/>
    <x v="5"/>
    <s v="Orthopedics PAYE"/>
    <n v="2033"/>
    <x v="20"/>
    <e v="#VALUE!"/>
    <n v="0.02"/>
    <n v="0.01"/>
    <n v="0.01"/>
    <n v="6.2100000000000002E-2"/>
    <n v="0.03"/>
    <n v="0.02"/>
    <n v="0.06"/>
    <n v="0.02"/>
    <n v="0.02"/>
    <n v="0.02"/>
    <n v="0.9"/>
    <n v="180000"/>
    <n v="176460"/>
    <n v="304980"/>
    <n v="210120"/>
    <n v="408000"/>
    <n v="140000"/>
  </r>
  <r>
    <x v="0"/>
    <x v="1"/>
    <x v="5"/>
    <s v="Orthopedics PAYE"/>
    <n v="2034"/>
    <x v="21"/>
    <e v="#VALUE!"/>
    <n v="0.02"/>
    <n v="0.01"/>
    <n v="0.01"/>
    <n v="6.2100000000000002E-2"/>
    <n v="0.03"/>
    <n v="0.02"/>
    <n v="0.06"/>
    <n v="0.02"/>
    <n v="0.02"/>
    <n v="0.02"/>
    <n v="0.9"/>
    <n v="180000"/>
    <n v="176460"/>
    <n v="304980"/>
    <n v="210120"/>
    <n v="408000"/>
    <n v="140000"/>
  </r>
  <r>
    <x v="0"/>
    <x v="1"/>
    <x v="5"/>
    <s v="Orthopedics PAYE"/>
    <n v="2035"/>
    <x v="22"/>
    <e v="#VALUE!"/>
    <n v="0.02"/>
    <n v="0.01"/>
    <n v="0.01"/>
    <n v="6.2100000000000002E-2"/>
    <n v="0.03"/>
    <n v="0.02"/>
    <n v="0.06"/>
    <n v="0.02"/>
    <n v="0.02"/>
    <n v="0.02"/>
    <n v="0.9"/>
    <n v="180000"/>
    <n v="176460"/>
    <n v="304980"/>
    <n v="210120"/>
    <n v="408000"/>
    <n v="140000"/>
  </r>
  <r>
    <x v="0"/>
    <x v="1"/>
    <x v="5"/>
    <s v="Orthopedics PAYE"/>
    <n v="2036"/>
    <x v="23"/>
    <e v="#VALUE!"/>
    <n v="0.02"/>
    <n v="0.01"/>
    <n v="0.01"/>
    <n v="6.2100000000000002E-2"/>
    <n v="0.03"/>
    <n v="0.02"/>
    <n v="0.06"/>
    <n v="0.02"/>
    <n v="0.02"/>
    <n v="0.02"/>
    <n v="0.9"/>
    <n v="180000"/>
    <n v="176460"/>
    <n v="304980"/>
    <n v="210120"/>
    <n v="408000"/>
    <n v="140000"/>
  </r>
  <r>
    <x v="0"/>
    <x v="1"/>
    <x v="5"/>
    <s v="Orthopedics PAYE"/>
    <n v="2037"/>
    <x v="24"/>
    <e v="#VALUE!"/>
    <n v="0.02"/>
    <n v="0.01"/>
    <n v="0.01"/>
    <n v="6.2100000000000002E-2"/>
    <n v="0.03"/>
    <n v="0.02"/>
    <n v="0.06"/>
    <n v="0.02"/>
    <n v="0.02"/>
    <n v="0.02"/>
    <n v="0.9"/>
    <n v="180000"/>
    <n v="176460"/>
    <n v="304980"/>
    <n v="210120"/>
    <n v="408000"/>
    <n v="140000"/>
  </r>
  <r>
    <x v="0"/>
    <x v="1"/>
    <x v="5"/>
    <s v="Orthopedics PAYE"/>
    <n v="2038"/>
    <x v="25"/>
    <e v="#VALUE!"/>
    <n v="0.02"/>
    <n v="0.01"/>
    <n v="0.01"/>
    <n v="6.2100000000000002E-2"/>
    <n v="0.03"/>
    <n v="0.02"/>
    <n v="0.06"/>
    <n v="0.02"/>
    <n v="0.02"/>
    <n v="0.02"/>
    <n v="0.9"/>
    <n v="180000"/>
    <n v="176460"/>
    <n v="304980"/>
    <n v="210120"/>
    <n v="408000"/>
    <n v="140000"/>
  </r>
  <r>
    <x v="0"/>
    <x v="1"/>
    <x v="5"/>
    <s v="Orthopedics PAYE"/>
    <n v="2039"/>
    <x v="26"/>
    <e v="#VALUE!"/>
    <n v="0.02"/>
    <n v="0.01"/>
    <n v="0.01"/>
    <n v="6.2100000000000002E-2"/>
    <n v="0.03"/>
    <n v="0.02"/>
    <n v="0.06"/>
    <n v="0.02"/>
    <n v="0.02"/>
    <n v="0.02"/>
    <n v="0.9"/>
    <n v="180000"/>
    <n v="176460"/>
    <n v="304980"/>
    <n v="210120"/>
    <n v="408000"/>
    <n v="140000"/>
  </r>
  <r>
    <x v="0"/>
    <x v="1"/>
    <x v="5"/>
    <s v="Orthopedics PAYE"/>
    <n v="2040"/>
    <x v="27"/>
    <e v="#VALUE!"/>
    <n v="0.02"/>
    <n v="0.01"/>
    <n v="0.01"/>
    <n v="6.2100000000000002E-2"/>
    <n v="0.03"/>
    <n v="0.02"/>
    <n v="0.06"/>
    <n v="0.02"/>
    <n v="0.02"/>
    <n v="0.02"/>
    <n v="0.9"/>
    <n v="180000"/>
    <n v="176460"/>
    <n v="304980"/>
    <n v="210120"/>
    <n v="408000"/>
    <n v="140000"/>
  </r>
  <r>
    <x v="0"/>
    <x v="1"/>
    <x v="5"/>
    <s v="Orthopedics PAYE"/>
    <n v="2041"/>
    <x v="28"/>
    <e v="#VALUE!"/>
    <n v="0.02"/>
    <n v="0.01"/>
    <n v="0.01"/>
    <n v="6.2100000000000002E-2"/>
    <n v="0.03"/>
    <n v="0.02"/>
    <n v="0.06"/>
    <n v="0.02"/>
    <n v="0.02"/>
    <n v="0.02"/>
    <n v="0.9"/>
    <n v="180000"/>
    <n v="176460"/>
    <n v="304980"/>
    <n v="210120"/>
    <n v="408000"/>
    <n v="140000"/>
  </r>
  <r>
    <x v="0"/>
    <x v="1"/>
    <x v="5"/>
    <s v="Orthopedics PAYE"/>
    <n v="2042"/>
    <x v="29"/>
    <e v="#VALUE!"/>
    <n v="0.02"/>
    <n v="0.01"/>
    <n v="0.01"/>
    <n v="6.2100000000000002E-2"/>
    <n v="0.03"/>
    <n v="0.02"/>
    <n v="0.06"/>
    <n v="0.02"/>
    <n v="0.02"/>
    <n v="0.02"/>
    <n v="0.9"/>
    <n v="180000"/>
    <n v="176460"/>
    <n v="304980"/>
    <n v="210120"/>
    <n v="408000"/>
    <n v="140000"/>
  </r>
  <r>
    <x v="0"/>
    <x v="1"/>
    <x v="6"/>
    <s v="Orthopedics STD10R"/>
    <n v="2013"/>
    <x v="0"/>
    <n v="-43015.05"/>
    <n v="0.02"/>
    <n v="0.01"/>
    <n v="0.01"/>
    <n v="6.2100000000000002E-2"/>
    <n v="0.03"/>
    <n v="0.02"/>
    <n v="0.06"/>
    <n v="0.02"/>
    <n v="0.02"/>
    <n v="0.02"/>
    <n v="0.9"/>
    <n v="180000"/>
    <n v="176460"/>
    <n v="304980"/>
    <n v="210120"/>
    <n v="408000"/>
    <n v="140000"/>
  </r>
  <r>
    <x v="0"/>
    <x v="1"/>
    <x v="6"/>
    <s v="Orthopedics STD10R"/>
    <n v="2014"/>
    <x v="1"/>
    <n v="-86352.285865219877"/>
    <n v="0.02"/>
    <n v="0.01"/>
    <n v="0.01"/>
    <n v="6.2100000000000002E-2"/>
    <n v="0.03"/>
    <n v="0.02"/>
    <n v="0.06"/>
    <n v="0.02"/>
    <n v="0.02"/>
    <n v="0.02"/>
    <n v="0.9"/>
    <n v="180000"/>
    <n v="176460"/>
    <n v="304980"/>
    <n v="210120"/>
    <n v="408000"/>
    <n v="140000"/>
  </r>
  <r>
    <x v="0"/>
    <x v="1"/>
    <x v="6"/>
    <s v="Orthopedics STD10R"/>
    <n v="2015"/>
    <x v="2"/>
    <n v="-138541.19578403595"/>
    <n v="0.02"/>
    <n v="0.01"/>
    <n v="0.01"/>
    <n v="6.2100000000000002E-2"/>
    <n v="0.03"/>
    <n v="0.02"/>
    <n v="0.06"/>
    <n v="0.02"/>
    <n v="0.02"/>
    <n v="0.02"/>
    <n v="0.9"/>
    <n v="180000"/>
    <n v="176460"/>
    <n v="304980"/>
    <n v="210120"/>
    <n v="408000"/>
    <n v="140000"/>
  </r>
  <r>
    <x v="0"/>
    <x v="1"/>
    <x v="6"/>
    <s v="Orthopedics STD10R"/>
    <n v="2016"/>
    <x v="3"/>
    <n v="-190867.38028908212"/>
    <n v="0.02"/>
    <n v="0.01"/>
    <n v="0.01"/>
    <n v="6.2100000000000002E-2"/>
    <n v="0.03"/>
    <n v="0.02"/>
    <n v="0.06"/>
    <n v="0.02"/>
    <n v="0.02"/>
    <n v="0.02"/>
    <n v="0.9"/>
    <n v="180000"/>
    <n v="176460"/>
    <n v="304980"/>
    <n v="210120"/>
    <n v="408000"/>
    <n v="140000"/>
  </r>
  <r>
    <x v="0"/>
    <x v="1"/>
    <x v="6"/>
    <s v="Orthopedics STD10R"/>
    <n v="2017"/>
    <x v="4"/>
    <n v="-169241.36987416679"/>
    <n v="0.02"/>
    <n v="0.01"/>
    <n v="0.01"/>
    <n v="6.2100000000000002E-2"/>
    <n v="0.03"/>
    <n v="0.02"/>
    <n v="0.06"/>
    <n v="0.02"/>
    <n v="0.02"/>
    <n v="0.02"/>
    <n v="0.9"/>
    <n v="180000"/>
    <n v="176460"/>
    <n v="304980"/>
    <n v="210120"/>
    <n v="408000"/>
    <n v="140000"/>
  </r>
  <r>
    <x v="0"/>
    <x v="1"/>
    <x v="6"/>
    <s v="Orthopedics STD10R"/>
    <n v="2018"/>
    <x v="5"/>
    <n v="-158404.5549729077"/>
    <n v="0.02"/>
    <n v="0.01"/>
    <n v="0.01"/>
    <n v="6.2100000000000002E-2"/>
    <n v="0.03"/>
    <n v="0.02"/>
    <n v="0.06"/>
    <n v="0.02"/>
    <n v="0.02"/>
    <n v="0.02"/>
    <n v="0.9"/>
    <n v="180000"/>
    <n v="176460"/>
    <n v="304980"/>
    <n v="210120"/>
    <n v="408000"/>
    <n v="140000"/>
  </r>
  <r>
    <x v="0"/>
    <x v="1"/>
    <x v="6"/>
    <s v="Orthopedics STD10R"/>
    <n v="2019"/>
    <x v="6"/>
    <n v="-146441.25737997922"/>
    <n v="0.02"/>
    <n v="0.01"/>
    <n v="0.01"/>
    <n v="6.2100000000000002E-2"/>
    <n v="0.03"/>
    <n v="0.02"/>
    <n v="0.06"/>
    <n v="0.02"/>
    <n v="0.02"/>
    <n v="0.02"/>
    <n v="0.9"/>
    <n v="180000"/>
    <n v="176460"/>
    <n v="304980"/>
    <n v="210120"/>
    <n v="408000"/>
    <n v="140000"/>
  </r>
  <r>
    <x v="0"/>
    <x v="1"/>
    <x v="6"/>
    <s v="Orthopedics STD10R"/>
    <n v="2020"/>
    <x v="7"/>
    <n v="-133396.14329882836"/>
    <n v="0.02"/>
    <n v="0.01"/>
    <n v="0.01"/>
    <n v="6.2100000000000002E-2"/>
    <n v="0.03"/>
    <n v="0.02"/>
    <n v="0.06"/>
    <n v="0.02"/>
    <n v="0.02"/>
    <n v="0.02"/>
    <n v="0.9"/>
    <n v="180000"/>
    <n v="176460"/>
    <n v="304980"/>
    <n v="210120"/>
    <n v="408000"/>
    <n v="140000"/>
  </r>
  <r>
    <x v="0"/>
    <x v="1"/>
    <x v="6"/>
    <s v="Orthopedics STD10R"/>
    <n v="2021"/>
    <x v="8"/>
    <n v="-119311.49158581435"/>
    <n v="0.02"/>
    <n v="0.01"/>
    <n v="0.01"/>
    <n v="6.2100000000000002E-2"/>
    <n v="0.03"/>
    <n v="0.02"/>
    <n v="0.06"/>
    <n v="0.02"/>
    <n v="0.02"/>
    <n v="0.02"/>
    <n v="0.9"/>
    <n v="180000"/>
    <n v="176460"/>
    <n v="304980"/>
    <n v="210120"/>
    <n v="408000"/>
    <n v="140000"/>
  </r>
  <r>
    <x v="0"/>
    <x v="1"/>
    <x v="6"/>
    <s v="Orthopedics STD10R"/>
    <n v="2022"/>
    <x v="9"/>
    <n v="54482.279533898298"/>
    <n v="0.02"/>
    <n v="0.01"/>
    <n v="0.01"/>
    <n v="6.2100000000000002E-2"/>
    <n v="0.03"/>
    <n v="0.02"/>
    <n v="0.06"/>
    <n v="0.02"/>
    <n v="0.02"/>
    <n v="0.02"/>
    <n v="0.9"/>
    <n v="180000"/>
    <n v="176460"/>
    <n v="304980"/>
    <n v="210120"/>
    <n v="408000"/>
    <n v="140000"/>
  </r>
  <r>
    <x v="0"/>
    <x v="1"/>
    <x v="6"/>
    <s v="Orthopedics STD10R"/>
    <n v="2023"/>
    <x v="10"/>
    <n v="223569.94900884677"/>
    <n v="0.02"/>
    <n v="0.01"/>
    <n v="0.01"/>
    <n v="6.2100000000000002E-2"/>
    <n v="0.03"/>
    <n v="0.02"/>
    <n v="0.06"/>
    <n v="0.02"/>
    <n v="0.02"/>
    <n v="0.02"/>
    <n v="0.9"/>
    <n v="180000"/>
    <n v="176460"/>
    <n v="304980"/>
    <n v="210120"/>
    <n v="408000"/>
    <n v="140000"/>
  </r>
  <r>
    <x v="0"/>
    <x v="1"/>
    <x v="6"/>
    <s v="Orthopedics STD10R"/>
    <n v="2024"/>
    <x v="11"/>
    <n v="389851.4948614522"/>
    <n v="0.02"/>
    <n v="0.01"/>
    <n v="0.01"/>
    <n v="6.2100000000000002E-2"/>
    <n v="0.03"/>
    <n v="0.02"/>
    <n v="0.06"/>
    <n v="0.02"/>
    <n v="0.02"/>
    <n v="0.02"/>
    <n v="0.9"/>
    <n v="180000"/>
    <n v="176460"/>
    <n v="304980"/>
    <n v="210120"/>
    <n v="408000"/>
    <n v="140000"/>
  </r>
  <r>
    <x v="0"/>
    <x v="1"/>
    <x v="6"/>
    <s v="Orthopedics STD10R"/>
    <n v="2025"/>
    <x v="12"/>
    <n v="553357.43252090481"/>
    <n v="0.02"/>
    <n v="0.01"/>
    <n v="0.01"/>
    <n v="6.2100000000000002E-2"/>
    <n v="0.03"/>
    <n v="0.02"/>
    <n v="0.06"/>
    <n v="0.02"/>
    <n v="0.02"/>
    <n v="0.02"/>
    <n v="0.9"/>
    <n v="180000"/>
    <n v="176460"/>
    <n v="304980"/>
    <n v="210120"/>
    <n v="408000"/>
    <n v="140000"/>
  </r>
  <r>
    <x v="0"/>
    <x v="1"/>
    <x v="6"/>
    <s v="Orthopedics STD10R"/>
    <n v="2026"/>
    <x v="13"/>
    <n v="714118.85869195696"/>
    <n v="0.02"/>
    <n v="0.01"/>
    <n v="0.01"/>
    <n v="6.2100000000000002E-2"/>
    <n v="0.03"/>
    <n v="0.02"/>
    <n v="0.06"/>
    <n v="0.02"/>
    <n v="0.02"/>
    <n v="0.02"/>
    <n v="0.9"/>
    <n v="180000"/>
    <n v="176460"/>
    <n v="304980"/>
    <n v="210120"/>
    <n v="408000"/>
    <n v="140000"/>
  </r>
  <r>
    <x v="0"/>
    <x v="1"/>
    <x v="6"/>
    <s v="Orthopedics STD10R"/>
    <n v="2027"/>
    <x v="14"/>
    <n v="879469.7034224011"/>
    <n v="0.02"/>
    <n v="0.01"/>
    <n v="0.01"/>
    <n v="6.2100000000000002E-2"/>
    <n v="0.03"/>
    <n v="0.02"/>
    <n v="0.06"/>
    <n v="0.02"/>
    <n v="0.02"/>
    <n v="0.02"/>
    <n v="0.9"/>
    <n v="180000"/>
    <n v="176460"/>
    <n v="304980"/>
    <n v="210120"/>
    <n v="408000"/>
    <n v="140000"/>
  </r>
  <r>
    <x v="0"/>
    <x v="1"/>
    <x v="6"/>
    <s v="Orthopedics STD10R"/>
    <n v="2028"/>
    <x v="15"/>
    <n v="1048738.6228295141"/>
    <n v="0.02"/>
    <n v="0.01"/>
    <n v="0.01"/>
    <n v="6.2100000000000002E-2"/>
    <n v="0.03"/>
    <n v="0.02"/>
    <n v="0.06"/>
    <n v="0.02"/>
    <n v="0.02"/>
    <n v="0.02"/>
    <n v="0.9"/>
    <n v="180000"/>
    <n v="176460"/>
    <n v="304980"/>
    <n v="210120"/>
    <n v="408000"/>
    <n v="140000"/>
  </r>
  <r>
    <x v="0"/>
    <x v="1"/>
    <x v="6"/>
    <s v="Orthopedics STD10R"/>
    <n v="2029"/>
    <x v="16"/>
    <n v="1214689.6220636952"/>
    <n v="0.02"/>
    <n v="0.01"/>
    <n v="0.01"/>
    <n v="6.2100000000000002E-2"/>
    <n v="0.03"/>
    <n v="0.02"/>
    <n v="0.06"/>
    <n v="0.02"/>
    <n v="0.02"/>
    <n v="0.02"/>
    <n v="0.9"/>
    <n v="180000"/>
    <n v="176460"/>
    <n v="304980"/>
    <n v="210120"/>
    <n v="408000"/>
    <n v="140000"/>
  </r>
  <r>
    <x v="0"/>
    <x v="1"/>
    <x v="6"/>
    <s v="Orthopedics STD10R"/>
    <n v="2030"/>
    <x v="17"/>
    <n v="1377387.7269779902"/>
    <n v="0.02"/>
    <n v="0.01"/>
    <n v="0.01"/>
    <n v="6.2100000000000002E-2"/>
    <n v="0.03"/>
    <n v="0.02"/>
    <n v="0.06"/>
    <n v="0.02"/>
    <n v="0.02"/>
    <n v="0.02"/>
    <n v="0.9"/>
    <n v="180000"/>
    <n v="176460"/>
    <n v="304980"/>
    <n v="210120"/>
    <n v="408000"/>
    <n v="140000"/>
  </r>
  <r>
    <x v="0"/>
    <x v="1"/>
    <x v="6"/>
    <s v="Orthopedics STD10R"/>
    <n v="2031"/>
    <x v="18"/>
    <n v="1536896.6893234346"/>
    <n v="0.02"/>
    <n v="0.01"/>
    <n v="0.01"/>
    <n v="6.2100000000000002E-2"/>
    <n v="0.03"/>
    <n v="0.02"/>
    <n v="0.06"/>
    <n v="0.02"/>
    <n v="0.02"/>
    <n v="0.02"/>
    <n v="0.9"/>
    <n v="180000"/>
    <n v="176460"/>
    <n v="304980"/>
    <n v="210120"/>
    <n v="408000"/>
    <n v="140000"/>
  </r>
  <r>
    <x v="0"/>
    <x v="1"/>
    <x v="6"/>
    <s v="Orthopedics STD10R"/>
    <n v="2032"/>
    <x v="19"/>
    <n v="1693279.0117048032"/>
    <n v="0.02"/>
    <n v="0.01"/>
    <n v="0.01"/>
    <n v="6.2100000000000002E-2"/>
    <n v="0.03"/>
    <n v="0.02"/>
    <n v="0.06"/>
    <n v="0.02"/>
    <n v="0.02"/>
    <n v="0.02"/>
    <n v="0.9"/>
    <n v="180000"/>
    <n v="176460"/>
    <n v="304980"/>
    <n v="210120"/>
    <n v="408000"/>
    <n v="140000"/>
  </r>
  <r>
    <x v="0"/>
    <x v="1"/>
    <x v="6"/>
    <s v="Orthopedics STD10R"/>
    <n v="2033"/>
    <x v="20"/>
    <n v="1846595.9720478083"/>
    <n v="0.02"/>
    <n v="0.01"/>
    <n v="0.01"/>
    <n v="6.2100000000000002E-2"/>
    <n v="0.03"/>
    <n v="0.02"/>
    <n v="0.06"/>
    <n v="0.02"/>
    <n v="0.02"/>
    <n v="0.02"/>
    <n v="0.9"/>
    <n v="180000"/>
    <n v="176460"/>
    <n v="304980"/>
    <n v="210120"/>
    <n v="408000"/>
    <n v="140000"/>
  </r>
  <r>
    <x v="0"/>
    <x v="1"/>
    <x v="6"/>
    <s v="Orthopedics STD10R"/>
    <n v="2034"/>
    <x v="21"/>
    <n v="1996907.6475873019"/>
    <n v="0.02"/>
    <n v="0.01"/>
    <n v="0.01"/>
    <n v="6.2100000000000002E-2"/>
    <n v="0.03"/>
    <n v="0.02"/>
    <n v="0.06"/>
    <n v="0.02"/>
    <n v="0.02"/>
    <n v="0.02"/>
    <n v="0.9"/>
    <n v="180000"/>
    <n v="176460"/>
    <n v="304980"/>
    <n v="210120"/>
    <n v="408000"/>
    <n v="140000"/>
  </r>
  <r>
    <x v="0"/>
    <x v="1"/>
    <x v="6"/>
    <s v="Orthopedics STD10R"/>
    <n v="2035"/>
    <x v="22"/>
    <n v="2144272.9383858517"/>
    <n v="0.02"/>
    <n v="0.01"/>
    <n v="0.01"/>
    <n v="6.2100000000000002E-2"/>
    <n v="0.03"/>
    <n v="0.02"/>
    <n v="0.06"/>
    <n v="0.02"/>
    <n v="0.02"/>
    <n v="0.02"/>
    <n v="0.9"/>
    <n v="180000"/>
    <n v="176460"/>
    <n v="304980"/>
    <n v="210120"/>
    <n v="408000"/>
    <n v="140000"/>
  </r>
  <r>
    <x v="0"/>
    <x v="1"/>
    <x v="6"/>
    <s v="Orthopedics STD10R"/>
    <n v="2036"/>
    <x v="23"/>
    <n v="2288749.5903918808"/>
    <n v="0.02"/>
    <n v="0.01"/>
    <n v="0.01"/>
    <n v="6.2100000000000002E-2"/>
    <n v="0.03"/>
    <n v="0.02"/>
    <n v="0.06"/>
    <n v="0.02"/>
    <n v="0.02"/>
    <n v="0.02"/>
    <n v="0.9"/>
    <n v="180000"/>
    <n v="176460"/>
    <n v="304980"/>
    <n v="210120"/>
    <n v="408000"/>
    <n v="140000"/>
  </r>
  <r>
    <x v="0"/>
    <x v="1"/>
    <x v="6"/>
    <s v="Orthopedics STD10R"/>
    <n v="2037"/>
    <x v="24"/>
    <n v="2430231.0138037163"/>
    <n v="0.02"/>
    <n v="0.01"/>
    <n v="0.01"/>
    <n v="6.2100000000000002E-2"/>
    <n v="0.03"/>
    <n v="0.02"/>
    <n v="0.06"/>
    <n v="0.02"/>
    <n v="0.02"/>
    <n v="0.02"/>
    <n v="0.9"/>
    <n v="180000"/>
    <n v="176460"/>
    <n v="304980"/>
    <n v="210120"/>
    <n v="408000"/>
    <n v="140000"/>
  </r>
  <r>
    <x v="0"/>
    <x v="1"/>
    <x v="6"/>
    <s v="Orthopedics STD10R"/>
    <n v="2038"/>
    <x v="25"/>
    <n v="2568764.2478383589"/>
    <n v="0.02"/>
    <n v="0.01"/>
    <n v="0.01"/>
    <n v="6.2100000000000002E-2"/>
    <n v="0.03"/>
    <n v="0.02"/>
    <n v="0.06"/>
    <n v="0.02"/>
    <n v="0.02"/>
    <n v="0.02"/>
    <n v="0.9"/>
    <n v="180000"/>
    <n v="176460"/>
    <n v="304980"/>
    <n v="210120"/>
    <n v="408000"/>
    <n v="140000"/>
  </r>
  <r>
    <x v="0"/>
    <x v="1"/>
    <x v="6"/>
    <s v="Orthopedics STD10R"/>
    <n v="2039"/>
    <x v="26"/>
    <n v="2704412.1693681343"/>
    <n v="0.02"/>
    <n v="0.01"/>
    <n v="0.01"/>
    <n v="6.2100000000000002E-2"/>
    <n v="0.03"/>
    <n v="0.02"/>
    <n v="0.06"/>
    <n v="0.02"/>
    <n v="0.02"/>
    <n v="0.02"/>
    <n v="0.9"/>
    <n v="180000"/>
    <n v="176460"/>
    <n v="304980"/>
    <n v="210120"/>
    <n v="408000"/>
    <n v="140000"/>
  </r>
  <r>
    <x v="0"/>
    <x v="1"/>
    <x v="6"/>
    <s v="Orthopedics STD10R"/>
    <n v="2040"/>
    <x v="27"/>
    <n v="2837236.2747378247"/>
    <n v="0.02"/>
    <n v="0.01"/>
    <n v="0.01"/>
    <n v="6.2100000000000002E-2"/>
    <n v="0.03"/>
    <n v="0.02"/>
    <n v="0.06"/>
    <n v="0.02"/>
    <n v="0.02"/>
    <n v="0.02"/>
    <n v="0.9"/>
    <n v="180000"/>
    <n v="176460"/>
    <n v="304980"/>
    <n v="210120"/>
    <n v="408000"/>
    <n v="140000"/>
  </r>
  <r>
    <x v="0"/>
    <x v="1"/>
    <x v="6"/>
    <s v="Orthopedics STD10R"/>
    <n v="2041"/>
    <x v="28"/>
    <n v="2967296.7111342554"/>
    <n v="0.02"/>
    <n v="0.01"/>
    <n v="0.01"/>
    <n v="6.2100000000000002E-2"/>
    <n v="0.03"/>
    <n v="0.02"/>
    <n v="0.06"/>
    <n v="0.02"/>
    <n v="0.02"/>
    <n v="0.02"/>
    <n v="0.9"/>
    <n v="180000"/>
    <n v="176460"/>
    <n v="304980"/>
    <n v="210120"/>
    <n v="408000"/>
    <n v="140000"/>
  </r>
  <r>
    <x v="0"/>
    <x v="1"/>
    <x v="6"/>
    <s v="Orthopedics STD10R"/>
    <n v="2042"/>
    <x v="29"/>
    <n v="3094652.3072155355"/>
    <n v="0.02"/>
    <n v="0.01"/>
    <n v="0.01"/>
    <n v="6.2100000000000002E-2"/>
    <n v="0.03"/>
    <n v="0.02"/>
    <n v="0.06"/>
    <n v="0.02"/>
    <n v="0.02"/>
    <n v="0.02"/>
    <n v="0.9"/>
    <n v="180000"/>
    <n v="176460"/>
    <n v="304980"/>
    <n v="210120"/>
    <n v="408000"/>
    <n v="140000"/>
  </r>
  <r>
    <x v="0"/>
    <x v="1"/>
    <x v="7"/>
    <s v="Orthopedics IBRR"/>
    <n v="2013"/>
    <x v="0"/>
    <n v="-43015.05"/>
    <n v="0.02"/>
    <n v="0.01"/>
    <n v="0.01"/>
    <n v="6.2100000000000002E-2"/>
    <n v="0.03"/>
    <n v="0.02"/>
    <n v="0.06"/>
    <n v="0.02"/>
    <n v="0.02"/>
    <n v="0.02"/>
    <n v="0.9"/>
    <n v="180000"/>
    <n v="176460"/>
    <n v="304980"/>
    <n v="210120"/>
    <n v="408000"/>
    <n v="140000"/>
  </r>
  <r>
    <x v="0"/>
    <x v="1"/>
    <x v="7"/>
    <s v="Orthopedics IBRR"/>
    <n v="2014"/>
    <x v="1"/>
    <n v="-86352.285865219877"/>
    <n v="0.02"/>
    <n v="0.01"/>
    <n v="0.01"/>
    <n v="6.2100000000000002E-2"/>
    <n v="0.03"/>
    <n v="0.02"/>
    <n v="0.06"/>
    <n v="0.02"/>
    <n v="0.02"/>
    <n v="0.02"/>
    <n v="0.9"/>
    <n v="180000"/>
    <n v="176460"/>
    <n v="304980"/>
    <n v="210120"/>
    <n v="408000"/>
    <n v="140000"/>
  </r>
  <r>
    <x v="0"/>
    <x v="1"/>
    <x v="7"/>
    <s v="Orthopedics IBRR"/>
    <n v="2015"/>
    <x v="2"/>
    <n v="-138541.19578403595"/>
    <n v="0.02"/>
    <n v="0.01"/>
    <n v="0.01"/>
    <n v="6.2100000000000002E-2"/>
    <n v="0.03"/>
    <n v="0.02"/>
    <n v="0.06"/>
    <n v="0.02"/>
    <n v="0.02"/>
    <n v="0.02"/>
    <n v="0.9"/>
    <n v="180000"/>
    <n v="176460"/>
    <n v="304980"/>
    <n v="210120"/>
    <n v="408000"/>
    <n v="140000"/>
  </r>
  <r>
    <x v="0"/>
    <x v="1"/>
    <x v="7"/>
    <s v="Orthopedics IBRR"/>
    <n v="2016"/>
    <x v="3"/>
    <n v="-190867.38028908212"/>
    <n v="0.02"/>
    <n v="0.01"/>
    <n v="0.01"/>
    <n v="6.2100000000000002E-2"/>
    <n v="0.03"/>
    <n v="0.02"/>
    <n v="0.06"/>
    <n v="0.02"/>
    <n v="0.02"/>
    <n v="0.02"/>
    <n v="0.9"/>
    <n v="180000"/>
    <n v="176460"/>
    <n v="304980"/>
    <n v="210120"/>
    <n v="408000"/>
    <n v="140000"/>
  </r>
  <r>
    <x v="0"/>
    <x v="1"/>
    <x v="7"/>
    <s v="Orthopedics IBRR"/>
    <n v="2017"/>
    <x v="4"/>
    <n v="-161673.72697596412"/>
    <n v="0.02"/>
    <n v="0.01"/>
    <n v="0.01"/>
    <n v="6.2100000000000002E-2"/>
    <n v="0.03"/>
    <n v="0.02"/>
    <n v="0.06"/>
    <n v="0.02"/>
    <n v="0.02"/>
    <n v="0.02"/>
    <n v="0.9"/>
    <n v="180000"/>
    <n v="176460"/>
    <n v="304980"/>
    <n v="210120"/>
    <n v="408000"/>
    <n v="140000"/>
  </r>
  <r>
    <x v="0"/>
    <x v="1"/>
    <x v="7"/>
    <s v="Orthopedics IBRR"/>
    <n v="2018"/>
    <x v="5"/>
    <n v="-132585.52546268981"/>
    <n v="0.02"/>
    <n v="0.01"/>
    <n v="0.01"/>
    <n v="6.2100000000000002E-2"/>
    <n v="0.03"/>
    <n v="0.02"/>
    <n v="0.06"/>
    <n v="0.02"/>
    <n v="0.02"/>
    <n v="0.02"/>
    <n v="0.9"/>
    <n v="180000"/>
    <n v="176460"/>
    <n v="304980"/>
    <n v="210120"/>
    <n v="408000"/>
    <n v="140000"/>
  </r>
  <r>
    <x v="0"/>
    <x v="1"/>
    <x v="7"/>
    <s v="Orthopedics IBRR"/>
    <n v="2019"/>
    <x v="6"/>
    <n v="-103593.03997577081"/>
    <n v="0.02"/>
    <n v="0.01"/>
    <n v="0.01"/>
    <n v="6.2100000000000002E-2"/>
    <n v="0.03"/>
    <n v="0.02"/>
    <n v="0.06"/>
    <n v="0.02"/>
    <n v="0.02"/>
    <n v="0.02"/>
    <n v="0.9"/>
    <n v="180000"/>
    <n v="176460"/>
    <n v="304980"/>
    <n v="210120"/>
    <n v="408000"/>
    <n v="140000"/>
  </r>
  <r>
    <x v="0"/>
    <x v="1"/>
    <x v="7"/>
    <s v="Orthopedics IBRR"/>
    <n v="2020"/>
    <x v="7"/>
    <n v="-74686.7586801039"/>
    <n v="0.02"/>
    <n v="0.01"/>
    <n v="0.01"/>
    <n v="6.2100000000000002E-2"/>
    <n v="0.03"/>
    <n v="0.02"/>
    <n v="0.06"/>
    <n v="0.02"/>
    <n v="0.02"/>
    <n v="0.02"/>
    <n v="0.9"/>
    <n v="180000"/>
    <n v="176460"/>
    <n v="304980"/>
    <n v="210120"/>
    <n v="408000"/>
    <n v="140000"/>
  </r>
  <r>
    <x v="0"/>
    <x v="1"/>
    <x v="7"/>
    <s v="Orthopedics IBRR"/>
    <n v="2021"/>
    <x v="8"/>
    <n v="-45857.386622987513"/>
    <n v="0.02"/>
    <n v="0.01"/>
    <n v="0.01"/>
    <n v="6.2100000000000002E-2"/>
    <n v="0.03"/>
    <n v="0.02"/>
    <n v="0.06"/>
    <n v="0.02"/>
    <n v="0.02"/>
    <n v="0.02"/>
    <n v="0.9"/>
    <n v="180000"/>
    <n v="176460"/>
    <n v="304980"/>
    <n v="210120"/>
    <n v="408000"/>
    <n v="140000"/>
  </r>
  <r>
    <x v="0"/>
    <x v="1"/>
    <x v="7"/>
    <s v="Orthopedics IBRR"/>
    <n v="2022"/>
    <x v="9"/>
    <n v="127936.38449672514"/>
    <n v="0.02"/>
    <n v="0.01"/>
    <n v="0.01"/>
    <n v="6.2100000000000002E-2"/>
    <n v="0.03"/>
    <n v="0.02"/>
    <n v="0.06"/>
    <n v="0.02"/>
    <n v="0.02"/>
    <n v="0.02"/>
    <n v="0.9"/>
    <n v="180000"/>
    <n v="176460"/>
    <n v="304980"/>
    <n v="210120"/>
    <n v="408000"/>
    <n v="140000"/>
  </r>
  <r>
    <x v="0"/>
    <x v="1"/>
    <x v="7"/>
    <s v="Orthopedics IBRR"/>
    <n v="2023"/>
    <x v="10"/>
    <n v="297024.05397167359"/>
    <n v="0.02"/>
    <n v="0.01"/>
    <n v="0.01"/>
    <n v="6.2100000000000002E-2"/>
    <n v="0.03"/>
    <n v="0.02"/>
    <n v="0.06"/>
    <n v="0.02"/>
    <n v="0.02"/>
    <n v="0.02"/>
    <n v="0.9"/>
    <n v="180000"/>
    <n v="176460"/>
    <n v="304980"/>
    <n v="210120"/>
    <n v="408000"/>
    <n v="140000"/>
  </r>
  <r>
    <x v="0"/>
    <x v="1"/>
    <x v="7"/>
    <s v="Orthopedics IBRR"/>
    <n v="2024"/>
    <x v="11"/>
    <n v="463305.59982427902"/>
    <n v="0.02"/>
    <n v="0.01"/>
    <n v="0.01"/>
    <n v="6.2100000000000002E-2"/>
    <n v="0.03"/>
    <n v="0.02"/>
    <n v="0.06"/>
    <n v="0.02"/>
    <n v="0.02"/>
    <n v="0.02"/>
    <n v="0.9"/>
    <n v="180000"/>
    <n v="176460"/>
    <n v="304980"/>
    <n v="210120"/>
    <n v="408000"/>
    <n v="140000"/>
  </r>
  <r>
    <x v="0"/>
    <x v="1"/>
    <x v="7"/>
    <s v="Orthopedics IBRR"/>
    <n v="2025"/>
    <x v="12"/>
    <n v="626811.53748373175"/>
    <n v="0.02"/>
    <n v="0.01"/>
    <n v="0.01"/>
    <n v="6.2100000000000002E-2"/>
    <n v="0.03"/>
    <n v="0.02"/>
    <n v="0.06"/>
    <n v="0.02"/>
    <n v="0.02"/>
    <n v="0.02"/>
    <n v="0.9"/>
    <n v="180000"/>
    <n v="176460"/>
    <n v="304980"/>
    <n v="210120"/>
    <n v="408000"/>
    <n v="140000"/>
  </r>
  <r>
    <x v="0"/>
    <x v="1"/>
    <x v="7"/>
    <s v="Orthopedics IBRR"/>
    <n v="2026"/>
    <x v="13"/>
    <n v="787572.9636547839"/>
    <n v="0.02"/>
    <n v="0.01"/>
    <n v="0.01"/>
    <n v="6.2100000000000002E-2"/>
    <n v="0.03"/>
    <n v="0.02"/>
    <n v="0.06"/>
    <n v="0.02"/>
    <n v="0.02"/>
    <n v="0.02"/>
    <n v="0.9"/>
    <n v="180000"/>
    <n v="176460"/>
    <n v="304980"/>
    <n v="210120"/>
    <n v="408000"/>
    <n v="140000"/>
  </r>
  <r>
    <x v="0"/>
    <x v="1"/>
    <x v="7"/>
    <s v="Orthopedics IBRR"/>
    <n v="2027"/>
    <x v="14"/>
    <n v="945621.4881265217"/>
    <n v="0.02"/>
    <n v="0.01"/>
    <n v="0.01"/>
    <n v="6.2100000000000002E-2"/>
    <n v="0.03"/>
    <n v="0.02"/>
    <n v="0.06"/>
    <n v="0.02"/>
    <n v="0.02"/>
    <n v="0.02"/>
    <n v="0.9"/>
    <n v="180000"/>
    <n v="176460"/>
    <n v="304980"/>
    <n v="210120"/>
    <n v="408000"/>
    <n v="140000"/>
  </r>
  <r>
    <x v="0"/>
    <x v="1"/>
    <x v="7"/>
    <s v="Orthopedics IBRR"/>
    <n v="2028"/>
    <x v="15"/>
    <n v="1100989.1696529826"/>
    <n v="0.02"/>
    <n v="0.01"/>
    <n v="0.01"/>
    <n v="6.2100000000000002E-2"/>
    <n v="0.03"/>
    <n v="0.02"/>
    <n v="0.06"/>
    <n v="0.02"/>
    <n v="0.02"/>
    <n v="0.02"/>
    <n v="0.9"/>
    <n v="180000"/>
    <n v="176460"/>
    <n v="304980"/>
    <n v="210120"/>
    <n v="408000"/>
    <n v="140000"/>
  </r>
  <r>
    <x v="0"/>
    <x v="1"/>
    <x v="7"/>
    <s v="Orthopedics IBRR"/>
    <n v="2029"/>
    <x v="16"/>
    <n v="1253708.4556940817"/>
    <n v="0.02"/>
    <n v="0.01"/>
    <n v="0.01"/>
    <n v="6.2100000000000002E-2"/>
    <n v="0.03"/>
    <n v="0.02"/>
    <n v="0.06"/>
    <n v="0.02"/>
    <n v="0.02"/>
    <n v="0.02"/>
    <n v="0.9"/>
    <n v="180000"/>
    <n v="176460"/>
    <n v="304980"/>
    <n v="210120"/>
    <n v="408000"/>
    <n v="140000"/>
  </r>
  <r>
    <x v="0"/>
    <x v="1"/>
    <x v="7"/>
    <s v="Orthopedics IBRR"/>
    <n v="2030"/>
    <x v="17"/>
    <n v="1403812.1258157992"/>
    <n v="0.02"/>
    <n v="0.01"/>
    <n v="0.01"/>
    <n v="6.2100000000000002E-2"/>
    <n v="0.03"/>
    <n v="0.02"/>
    <n v="0.06"/>
    <n v="0.02"/>
    <n v="0.02"/>
    <n v="0.02"/>
    <n v="0.9"/>
    <n v="180000"/>
    <n v="176460"/>
    <n v="304980"/>
    <n v="210120"/>
    <n v="408000"/>
    <n v="140000"/>
  </r>
  <r>
    <x v="0"/>
    <x v="1"/>
    <x v="7"/>
    <s v="Orthopedics IBRR"/>
    <n v="2031"/>
    <x v="18"/>
    <n v="1551333.2385585615"/>
    <n v="0.02"/>
    <n v="0.01"/>
    <n v="0.01"/>
    <n v="6.2100000000000002E-2"/>
    <n v="0.03"/>
    <n v="0.02"/>
    <n v="0.06"/>
    <n v="0.02"/>
    <n v="0.02"/>
    <n v="0.02"/>
    <n v="0.9"/>
    <n v="180000"/>
    <n v="176460"/>
    <n v="304980"/>
    <n v="210120"/>
    <n v="408000"/>
    <n v="140000"/>
  </r>
  <r>
    <x v="0"/>
    <x v="1"/>
    <x v="7"/>
    <s v="Orthopedics IBRR"/>
    <n v="2032"/>
    <x v="19"/>
    <n v="1696305.0815922413"/>
    <n v="0.02"/>
    <n v="0.01"/>
    <n v="0.01"/>
    <n v="6.2100000000000002E-2"/>
    <n v="0.03"/>
    <n v="0.02"/>
    <n v="0.06"/>
    <n v="0.02"/>
    <n v="0.02"/>
    <n v="0.02"/>
    <n v="0.9"/>
    <n v="180000"/>
    <n v="176460"/>
    <n v="304980"/>
    <n v="210120"/>
    <n v="408000"/>
    <n v="140000"/>
  </r>
  <r>
    <x v="0"/>
    <x v="1"/>
    <x v="7"/>
    <s v="Orthopedics IBRR"/>
    <n v="2033"/>
    <x v="20"/>
    <n v="1839687.7304016543"/>
    <n v="0.02"/>
    <n v="0.01"/>
    <n v="0.01"/>
    <n v="6.2100000000000002E-2"/>
    <n v="0.03"/>
    <n v="0.02"/>
    <n v="0.06"/>
    <n v="0.02"/>
    <n v="0.02"/>
    <n v="0.02"/>
    <n v="0.9"/>
    <n v="180000"/>
    <n v="176460"/>
    <n v="304980"/>
    <n v="210120"/>
    <n v="408000"/>
    <n v="140000"/>
  </r>
  <r>
    <x v="0"/>
    <x v="1"/>
    <x v="7"/>
    <s v="Orthopedics IBRR"/>
    <n v="2034"/>
    <x v="21"/>
    <n v="1989999.4059411478"/>
    <n v="0.02"/>
    <n v="0.01"/>
    <n v="0.01"/>
    <n v="6.2100000000000002E-2"/>
    <n v="0.03"/>
    <n v="0.02"/>
    <n v="0.06"/>
    <n v="0.02"/>
    <n v="0.02"/>
    <n v="0.02"/>
    <n v="0.9"/>
    <n v="180000"/>
    <n v="176460"/>
    <n v="304980"/>
    <n v="210120"/>
    <n v="408000"/>
    <n v="140000"/>
  </r>
  <r>
    <x v="0"/>
    <x v="1"/>
    <x v="7"/>
    <s v="Orthopedics IBRR"/>
    <n v="2035"/>
    <x v="22"/>
    <n v="2137364.6967396978"/>
    <n v="0.02"/>
    <n v="0.01"/>
    <n v="0.01"/>
    <n v="6.2100000000000002E-2"/>
    <n v="0.03"/>
    <n v="0.02"/>
    <n v="0.06"/>
    <n v="0.02"/>
    <n v="0.02"/>
    <n v="0.02"/>
    <n v="0.9"/>
    <n v="180000"/>
    <n v="176460"/>
    <n v="304980"/>
    <n v="210120"/>
    <n v="408000"/>
    <n v="140000"/>
  </r>
  <r>
    <x v="0"/>
    <x v="1"/>
    <x v="7"/>
    <s v="Orthopedics IBRR"/>
    <n v="2036"/>
    <x v="23"/>
    <n v="2281841.348745727"/>
    <n v="0.02"/>
    <n v="0.01"/>
    <n v="0.01"/>
    <n v="6.2100000000000002E-2"/>
    <n v="0.03"/>
    <n v="0.02"/>
    <n v="0.06"/>
    <n v="0.02"/>
    <n v="0.02"/>
    <n v="0.02"/>
    <n v="0.9"/>
    <n v="180000"/>
    <n v="176460"/>
    <n v="304980"/>
    <n v="210120"/>
    <n v="408000"/>
    <n v="140000"/>
  </r>
  <r>
    <x v="0"/>
    <x v="1"/>
    <x v="7"/>
    <s v="Orthopedics IBRR"/>
    <n v="2037"/>
    <x v="24"/>
    <n v="2423322.7721575624"/>
    <n v="0.02"/>
    <n v="0.01"/>
    <n v="0.01"/>
    <n v="6.2100000000000002E-2"/>
    <n v="0.03"/>
    <n v="0.02"/>
    <n v="0.06"/>
    <n v="0.02"/>
    <n v="0.02"/>
    <n v="0.02"/>
    <n v="0.9"/>
    <n v="180000"/>
    <n v="176460"/>
    <n v="304980"/>
    <n v="210120"/>
    <n v="408000"/>
    <n v="140000"/>
  </r>
  <r>
    <x v="0"/>
    <x v="1"/>
    <x v="7"/>
    <s v="Orthopedics IBRR"/>
    <n v="2038"/>
    <x v="25"/>
    <n v="2561856.006192205"/>
    <n v="0.02"/>
    <n v="0.01"/>
    <n v="0.01"/>
    <n v="6.2100000000000002E-2"/>
    <n v="0.03"/>
    <n v="0.02"/>
    <n v="0.06"/>
    <n v="0.02"/>
    <n v="0.02"/>
    <n v="0.02"/>
    <n v="0.9"/>
    <n v="180000"/>
    <n v="176460"/>
    <n v="304980"/>
    <n v="210120"/>
    <n v="408000"/>
    <n v="140000"/>
  </r>
  <r>
    <x v="0"/>
    <x v="1"/>
    <x v="7"/>
    <s v="Orthopedics IBRR"/>
    <n v="2039"/>
    <x v="26"/>
    <n v="2697503.9277219805"/>
    <n v="0.02"/>
    <n v="0.01"/>
    <n v="0.01"/>
    <n v="6.2100000000000002E-2"/>
    <n v="0.03"/>
    <n v="0.02"/>
    <n v="0.06"/>
    <n v="0.02"/>
    <n v="0.02"/>
    <n v="0.02"/>
    <n v="0.9"/>
    <n v="180000"/>
    <n v="176460"/>
    <n v="304980"/>
    <n v="210120"/>
    <n v="408000"/>
    <n v="140000"/>
  </r>
  <r>
    <x v="0"/>
    <x v="1"/>
    <x v="7"/>
    <s v="Orthopedics IBRR"/>
    <n v="2040"/>
    <x v="27"/>
    <n v="2830328.0330916708"/>
    <n v="0.02"/>
    <n v="0.01"/>
    <n v="0.01"/>
    <n v="6.2100000000000002E-2"/>
    <n v="0.03"/>
    <n v="0.02"/>
    <n v="0.06"/>
    <n v="0.02"/>
    <n v="0.02"/>
    <n v="0.02"/>
    <n v="0.9"/>
    <n v="180000"/>
    <n v="176460"/>
    <n v="304980"/>
    <n v="210120"/>
    <n v="408000"/>
    <n v="140000"/>
  </r>
  <r>
    <x v="0"/>
    <x v="1"/>
    <x v="7"/>
    <s v="Orthopedics IBRR"/>
    <n v="2041"/>
    <x v="28"/>
    <n v="2960388.4694881015"/>
    <n v="0.02"/>
    <n v="0.01"/>
    <n v="0.01"/>
    <n v="6.2100000000000002E-2"/>
    <n v="0.03"/>
    <n v="0.02"/>
    <n v="0.06"/>
    <n v="0.02"/>
    <n v="0.02"/>
    <n v="0.02"/>
    <n v="0.9"/>
    <n v="180000"/>
    <n v="176460"/>
    <n v="304980"/>
    <n v="210120"/>
    <n v="408000"/>
    <n v="140000"/>
  </r>
  <r>
    <x v="0"/>
    <x v="1"/>
    <x v="7"/>
    <s v="Orthopedics IBRR"/>
    <n v="2042"/>
    <x v="29"/>
    <n v="3087744.0655693817"/>
    <n v="0.02"/>
    <n v="0.01"/>
    <n v="0.01"/>
    <n v="6.2100000000000002E-2"/>
    <n v="0.03"/>
    <n v="0.02"/>
    <n v="0.06"/>
    <n v="0.02"/>
    <n v="0.02"/>
    <n v="0.02"/>
    <n v="0.9"/>
    <n v="180000"/>
    <n v="176460"/>
    <n v="304980"/>
    <n v="210120"/>
    <n v="408000"/>
    <n v="140000"/>
  </r>
  <r>
    <x v="0"/>
    <x v="1"/>
    <x v="8"/>
    <s v="Orthopedics PAYER"/>
    <n v="2013"/>
    <x v="0"/>
    <n v="-43015.05"/>
    <n v="0.02"/>
    <n v="0.01"/>
    <n v="0.01"/>
    <n v="6.2100000000000002E-2"/>
    <n v="0.03"/>
    <n v="0.02"/>
    <n v="0.06"/>
    <n v="0.02"/>
    <n v="0.02"/>
    <n v="0.02"/>
    <n v="0.9"/>
    <n v="180000"/>
    <n v="176460"/>
    <n v="304980"/>
    <n v="210120"/>
    <n v="408000"/>
    <n v="140000"/>
  </r>
  <r>
    <x v="0"/>
    <x v="1"/>
    <x v="8"/>
    <s v="Orthopedics PAYER"/>
    <n v="2014"/>
    <x v="1"/>
    <n v="-86352.285865219877"/>
    <n v="0.02"/>
    <n v="0.01"/>
    <n v="0.01"/>
    <n v="6.2100000000000002E-2"/>
    <n v="0.03"/>
    <n v="0.02"/>
    <n v="0.06"/>
    <n v="0.02"/>
    <n v="0.02"/>
    <n v="0.02"/>
    <n v="0.9"/>
    <n v="180000"/>
    <n v="176460"/>
    <n v="304980"/>
    <n v="210120"/>
    <n v="408000"/>
    <n v="140000"/>
  </r>
  <r>
    <x v="0"/>
    <x v="1"/>
    <x v="8"/>
    <s v="Orthopedics PAYER"/>
    <n v="2015"/>
    <x v="2"/>
    <n v="-138541.19578403595"/>
    <n v="0.02"/>
    <n v="0.01"/>
    <n v="0.01"/>
    <n v="6.2100000000000002E-2"/>
    <n v="0.03"/>
    <n v="0.02"/>
    <n v="0.06"/>
    <n v="0.02"/>
    <n v="0.02"/>
    <n v="0.02"/>
    <n v="0.9"/>
    <n v="180000"/>
    <n v="176460"/>
    <n v="304980"/>
    <n v="210120"/>
    <n v="408000"/>
    <n v="140000"/>
  </r>
  <r>
    <x v="0"/>
    <x v="1"/>
    <x v="8"/>
    <s v="Orthopedics PAYER"/>
    <n v="2016"/>
    <x v="3"/>
    <n v="-190867.38028908212"/>
    <n v="0.02"/>
    <n v="0.01"/>
    <n v="0.01"/>
    <n v="6.2100000000000002E-2"/>
    <n v="0.03"/>
    <n v="0.02"/>
    <n v="0.06"/>
    <n v="0.02"/>
    <n v="0.02"/>
    <n v="0.02"/>
    <n v="0.9"/>
    <n v="180000"/>
    <n v="176460"/>
    <n v="304980"/>
    <n v="210120"/>
    <n v="408000"/>
    <n v="140000"/>
  </r>
  <r>
    <x v="0"/>
    <x v="1"/>
    <x v="8"/>
    <s v="Orthopedics PAYER"/>
    <n v="2017"/>
    <x v="4"/>
    <n v="-160208.65625830356"/>
    <n v="0.02"/>
    <n v="0.01"/>
    <n v="0.01"/>
    <n v="6.2100000000000002E-2"/>
    <n v="0.03"/>
    <n v="0.02"/>
    <n v="0.06"/>
    <n v="0.02"/>
    <n v="0.02"/>
    <n v="0.02"/>
    <n v="0.9"/>
    <n v="180000"/>
    <n v="176460"/>
    <n v="304980"/>
    <n v="210120"/>
    <n v="408000"/>
    <n v="140000"/>
  </r>
  <r>
    <x v="0"/>
    <x v="1"/>
    <x v="8"/>
    <s v="Orthopedics PAYER"/>
    <n v="2018"/>
    <x v="5"/>
    <n v="-129613.12454394237"/>
    <n v="0.02"/>
    <n v="0.01"/>
    <n v="0.01"/>
    <n v="6.2100000000000002E-2"/>
    <n v="0.03"/>
    <n v="0.02"/>
    <n v="0.06"/>
    <n v="0.02"/>
    <n v="0.02"/>
    <n v="0.02"/>
    <n v="0.9"/>
    <n v="180000"/>
    <n v="176460"/>
    <n v="304980"/>
    <n v="210120"/>
    <n v="408000"/>
    <n v="140000"/>
  </r>
  <r>
    <x v="0"/>
    <x v="1"/>
    <x v="8"/>
    <s v="Orthopedics PAYER"/>
    <n v="2019"/>
    <x v="6"/>
    <n v="-99071.520326821774"/>
    <n v="0.02"/>
    <n v="0.01"/>
    <n v="0.01"/>
    <n v="6.2100000000000002E-2"/>
    <n v="0.03"/>
    <n v="0.02"/>
    <n v="0.06"/>
    <n v="0.02"/>
    <n v="0.02"/>
    <n v="0.02"/>
    <n v="0.9"/>
    <n v="180000"/>
    <n v="176460"/>
    <n v="304980"/>
    <n v="210120"/>
    <n v="408000"/>
    <n v="140000"/>
  </r>
  <r>
    <x v="0"/>
    <x v="1"/>
    <x v="8"/>
    <s v="Orthopedics PAYER"/>
    <n v="2020"/>
    <x v="7"/>
    <n v="-68574.782209965459"/>
    <n v="0.02"/>
    <n v="0.01"/>
    <n v="0.01"/>
    <n v="6.2100000000000002E-2"/>
    <n v="0.03"/>
    <n v="0.02"/>
    <n v="0.06"/>
    <n v="0.02"/>
    <n v="0.02"/>
    <n v="0.02"/>
    <n v="0.9"/>
    <n v="180000"/>
    <n v="176460"/>
    <n v="304980"/>
    <n v="210120"/>
    <n v="408000"/>
    <n v="140000"/>
  </r>
  <r>
    <x v="0"/>
    <x v="1"/>
    <x v="8"/>
    <s v="Orthopedics PAYER"/>
    <n v="2021"/>
    <x v="8"/>
    <n v="-38114.045699339869"/>
    <n v="0.02"/>
    <n v="0.01"/>
    <n v="0.01"/>
    <n v="6.2100000000000002E-2"/>
    <n v="0.03"/>
    <n v="0.02"/>
    <n v="0.06"/>
    <n v="0.02"/>
    <n v="0.02"/>
    <n v="0.02"/>
    <n v="0.9"/>
    <n v="180000"/>
    <n v="176460"/>
    <n v="304980"/>
    <n v="210120"/>
    <n v="408000"/>
    <n v="140000"/>
  </r>
  <r>
    <x v="0"/>
    <x v="1"/>
    <x v="8"/>
    <s v="Orthopedics PAYER"/>
    <n v="2022"/>
    <x v="9"/>
    <n v="135679.72542037279"/>
    <n v="0.02"/>
    <n v="0.01"/>
    <n v="0.01"/>
    <n v="6.2100000000000002E-2"/>
    <n v="0.03"/>
    <n v="0.02"/>
    <n v="0.06"/>
    <n v="0.02"/>
    <n v="0.02"/>
    <n v="0.02"/>
    <n v="0.9"/>
    <n v="180000"/>
    <n v="176460"/>
    <n v="304980"/>
    <n v="210120"/>
    <n v="408000"/>
    <n v="140000"/>
  </r>
  <r>
    <x v="0"/>
    <x v="1"/>
    <x v="8"/>
    <s v="Orthopedics PAYER"/>
    <n v="2023"/>
    <x v="10"/>
    <n v="304767.39489532122"/>
    <n v="0.02"/>
    <n v="0.01"/>
    <n v="0.01"/>
    <n v="6.2100000000000002E-2"/>
    <n v="0.03"/>
    <n v="0.02"/>
    <n v="0.06"/>
    <n v="0.02"/>
    <n v="0.02"/>
    <n v="0.02"/>
    <n v="0.9"/>
    <n v="180000"/>
    <n v="176460"/>
    <n v="304980"/>
    <n v="210120"/>
    <n v="408000"/>
    <n v="140000"/>
  </r>
  <r>
    <x v="0"/>
    <x v="1"/>
    <x v="8"/>
    <s v="Orthopedics PAYER"/>
    <n v="2024"/>
    <x v="11"/>
    <n v="471048.94074792665"/>
    <n v="0.02"/>
    <n v="0.01"/>
    <n v="0.01"/>
    <n v="6.2100000000000002E-2"/>
    <n v="0.03"/>
    <n v="0.02"/>
    <n v="0.06"/>
    <n v="0.02"/>
    <n v="0.02"/>
    <n v="0.02"/>
    <n v="0.9"/>
    <n v="180000"/>
    <n v="176460"/>
    <n v="304980"/>
    <n v="210120"/>
    <n v="408000"/>
    <n v="140000"/>
  </r>
  <r>
    <x v="0"/>
    <x v="1"/>
    <x v="8"/>
    <s v="Orthopedics PAYER"/>
    <n v="2025"/>
    <x v="12"/>
    <n v="634554.87840737938"/>
    <n v="0.02"/>
    <n v="0.01"/>
    <n v="0.01"/>
    <n v="6.2100000000000002E-2"/>
    <n v="0.03"/>
    <n v="0.02"/>
    <n v="0.06"/>
    <n v="0.02"/>
    <n v="0.02"/>
    <n v="0.02"/>
    <n v="0.9"/>
    <n v="180000"/>
    <n v="176460"/>
    <n v="304980"/>
    <n v="210120"/>
    <n v="408000"/>
    <n v="140000"/>
  </r>
  <r>
    <x v="0"/>
    <x v="1"/>
    <x v="8"/>
    <s v="Orthopedics PAYER"/>
    <n v="2026"/>
    <x v="13"/>
    <n v="795316.30457843153"/>
    <n v="0.02"/>
    <n v="0.01"/>
    <n v="0.01"/>
    <n v="6.2100000000000002E-2"/>
    <n v="0.03"/>
    <n v="0.02"/>
    <n v="0.06"/>
    <n v="0.02"/>
    <n v="0.02"/>
    <n v="0.02"/>
    <n v="0.9"/>
    <n v="180000"/>
    <n v="176460"/>
    <n v="304980"/>
    <n v="210120"/>
    <n v="408000"/>
    <n v="140000"/>
  </r>
  <r>
    <x v="0"/>
    <x v="1"/>
    <x v="8"/>
    <s v="Orthopedics PAYER"/>
    <n v="2027"/>
    <x v="14"/>
    <n v="953364.82905016933"/>
    <n v="0.02"/>
    <n v="0.01"/>
    <n v="0.01"/>
    <n v="6.2100000000000002E-2"/>
    <n v="0.03"/>
    <n v="0.02"/>
    <n v="0.06"/>
    <n v="0.02"/>
    <n v="0.02"/>
    <n v="0.02"/>
    <n v="0.9"/>
    <n v="180000"/>
    <n v="176460"/>
    <n v="304980"/>
    <n v="210120"/>
    <n v="408000"/>
    <n v="140000"/>
  </r>
  <r>
    <x v="0"/>
    <x v="1"/>
    <x v="8"/>
    <s v="Orthopedics PAYER"/>
    <n v="2028"/>
    <x v="15"/>
    <n v="1108732.5105766302"/>
    <n v="0.02"/>
    <n v="0.01"/>
    <n v="0.01"/>
    <n v="6.2100000000000002E-2"/>
    <n v="0.03"/>
    <n v="0.02"/>
    <n v="0.06"/>
    <n v="0.02"/>
    <n v="0.02"/>
    <n v="0.02"/>
    <n v="0.9"/>
    <n v="180000"/>
    <n v="176460"/>
    <n v="304980"/>
    <n v="210120"/>
    <n v="408000"/>
    <n v="140000"/>
  </r>
  <r>
    <x v="0"/>
    <x v="1"/>
    <x v="8"/>
    <s v="Orthopedics PAYER"/>
    <n v="2029"/>
    <x v="16"/>
    <n v="1261451.7966177294"/>
    <n v="0.02"/>
    <n v="0.01"/>
    <n v="0.01"/>
    <n v="6.2100000000000002E-2"/>
    <n v="0.03"/>
    <n v="0.02"/>
    <n v="0.06"/>
    <n v="0.02"/>
    <n v="0.02"/>
    <n v="0.02"/>
    <n v="0.9"/>
    <n v="180000"/>
    <n v="176460"/>
    <n v="304980"/>
    <n v="210120"/>
    <n v="408000"/>
    <n v="140000"/>
  </r>
  <r>
    <x v="0"/>
    <x v="1"/>
    <x v="8"/>
    <s v="Orthopedics PAYER"/>
    <n v="2030"/>
    <x v="17"/>
    <n v="1411555.4667394469"/>
    <n v="0.02"/>
    <n v="0.01"/>
    <n v="0.01"/>
    <n v="6.2100000000000002E-2"/>
    <n v="0.03"/>
    <n v="0.02"/>
    <n v="0.06"/>
    <n v="0.02"/>
    <n v="0.02"/>
    <n v="0.02"/>
    <n v="0.9"/>
    <n v="180000"/>
    <n v="176460"/>
    <n v="304980"/>
    <n v="210120"/>
    <n v="408000"/>
    <n v="140000"/>
  </r>
  <r>
    <x v="0"/>
    <x v="1"/>
    <x v="8"/>
    <s v="Orthopedics PAYER"/>
    <n v="2031"/>
    <x v="18"/>
    <n v="1559076.5794822094"/>
    <n v="0.02"/>
    <n v="0.01"/>
    <n v="0.01"/>
    <n v="6.2100000000000002E-2"/>
    <n v="0.03"/>
    <n v="0.02"/>
    <n v="0.06"/>
    <n v="0.02"/>
    <n v="0.02"/>
    <n v="0.02"/>
    <n v="0.9"/>
    <n v="180000"/>
    <n v="176460"/>
    <n v="304980"/>
    <n v="210120"/>
    <n v="408000"/>
    <n v="140000"/>
  </r>
  <r>
    <x v="0"/>
    <x v="1"/>
    <x v="8"/>
    <s v="Orthopedics PAYER"/>
    <n v="2032"/>
    <x v="19"/>
    <n v="1704048.4225158892"/>
    <n v="0.02"/>
    <n v="0.01"/>
    <n v="0.01"/>
    <n v="6.2100000000000002E-2"/>
    <n v="0.03"/>
    <n v="0.02"/>
    <n v="0.06"/>
    <n v="0.02"/>
    <n v="0.02"/>
    <n v="0.02"/>
    <n v="0.9"/>
    <n v="180000"/>
    <n v="176460"/>
    <n v="304980"/>
    <n v="210120"/>
    <n v="408000"/>
    <n v="140000"/>
  </r>
  <r>
    <x v="0"/>
    <x v="1"/>
    <x v="8"/>
    <s v="Orthopedics PAYER"/>
    <n v="2033"/>
    <x v="20"/>
    <n v="1846504.4659088764"/>
    <n v="0.02"/>
    <n v="0.01"/>
    <n v="0.01"/>
    <n v="6.2100000000000002E-2"/>
    <n v="0.03"/>
    <n v="0.02"/>
    <n v="0.06"/>
    <n v="0.02"/>
    <n v="0.02"/>
    <n v="0.02"/>
    <n v="0.9"/>
    <n v="180000"/>
    <n v="176460"/>
    <n v="304980"/>
    <n v="210120"/>
    <n v="408000"/>
    <n v="140000"/>
  </r>
  <r>
    <x v="0"/>
    <x v="1"/>
    <x v="8"/>
    <s v="Orthopedics PAYER"/>
    <n v="2034"/>
    <x v="21"/>
    <n v="1990518.6768863541"/>
    <n v="0.02"/>
    <n v="0.01"/>
    <n v="0.01"/>
    <n v="6.2100000000000002E-2"/>
    <n v="0.03"/>
    <n v="0.02"/>
    <n v="0.06"/>
    <n v="0.02"/>
    <n v="0.02"/>
    <n v="0.02"/>
    <n v="0.9"/>
    <n v="180000"/>
    <n v="176460"/>
    <n v="304980"/>
    <n v="210120"/>
    <n v="408000"/>
    <n v="140000"/>
  </r>
  <r>
    <x v="0"/>
    <x v="1"/>
    <x v="8"/>
    <s v="Orthopedics PAYER"/>
    <n v="2035"/>
    <x v="22"/>
    <n v="2137883.9676849041"/>
    <n v="0.02"/>
    <n v="0.01"/>
    <n v="0.01"/>
    <n v="6.2100000000000002E-2"/>
    <n v="0.03"/>
    <n v="0.02"/>
    <n v="0.06"/>
    <n v="0.02"/>
    <n v="0.02"/>
    <n v="0.02"/>
    <n v="0.9"/>
    <n v="180000"/>
    <n v="176460"/>
    <n v="304980"/>
    <n v="210120"/>
    <n v="408000"/>
    <n v="140000"/>
  </r>
  <r>
    <x v="0"/>
    <x v="1"/>
    <x v="8"/>
    <s v="Orthopedics PAYER"/>
    <n v="2036"/>
    <x v="23"/>
    <n v="2282360.6196909333"/>
    <n v="0.02"/>
    <n v="0.01"/>
    <n v="0.01"/>
    <n v="6.2100000000000002E-2"/>
    <n v="0.03"/>
    <n v="0.02"/>
    <n v="0.06"/>
    <n v="0.02"/>
    <n v="0.02"/>
    <n v="0.02"/>
    <n v="0.9"/>
    <n v="180000"/>
    <n v="176460"/>
    <n v="304980"/>
    <n v="210120"/>
    <n v="408000"/>
    <n v="140000"/>
  </r>
  <r>
    <x v="0"/>
    <x v="1"/>
    <x v="8"/>
    <s v="Orthopedics PAYER"/>
    <n v="2037"/>
    <x v="24"/>
    <n v="2423842.0431027687"/>
    <n v="0.02"/>
    <n v="0.01"/>
    <n v="0.01"/>
    <n v="6.2100000000000002E-2"/>
    <n v="0.03"/>
    <n v="0.02"/>
    <n v="0.06"/>
    <n v="0.02"/>
    <n v="0.02"/>
    <n v="0.02"/>
    <n v="0.9"/>
    <n v="180000"/>
    <n v="176460"/>
    <n v="304980"/>
    <n v="210120"/>
    <n v="408000"/>
    <n v="140000"/>
  </r>
  <r>
    <x v="0"/>
    <x v="1"/>
    <x v="8"/>
    <s v="Orthopedics PAYER"/>
    <n v="2038"/>
    <x v="25"/>
    <n v="2562375.2771374113"/>
    <n v="0.02"/>
    <n v="0.01"/>
    <n v="0.01"/>
    <n v="6.2100000000000002E-2"/>
    <n v="0.03"/>
    <n v="0.02"/>
    <n v="0.06"/>
    <n v="0.02"/>
    <n v="0.02"/>
    <n v="0.02"/>
    <n v="0.9"/>
    <n v="180000"/>
    <n v="176460"/>
    <n v="304980"/>
    <n v="210120"/>
    <n v="408000"/>
    <n v="140000"/>
  </r>
  <r>
    <x v="0"/>
    <x v="1"/>
    <x v="8"/>
    <s v="Orthopedics PAYER"/>
    <n v="2039"/>
    <x v="26"/>
    <n v="2698023.1986671868"/>
    <n v="0.02"/>
    <n v="0.01"/>
    <n v="0.01"/>
    <n v="6.2100000000000002E-2"/>
    <n v="0.03"/>
    <n v="0.02"/>
    <n v="0.06"/>
    <n v="0.02"/>
    <n v="0.02"/>
    <n v="0.02"/>
    <n v="0.9"/>
    <n v="180000"/>
    <n v="176460"/>
    <n v="304980"/>
    <n v="210120"/>
    <n v="408000"/>
    <n v="140000"/>
  </r>
  <r>
    <x v="0"/>
    <x v="1"/>
    <x v="8"/>
    <s v="Orthopedics PAYER"/>
    <n v="2040"/>
    <x v="27"/>
    <n v="2830847.3040368771"/>
    <n v="0.02"/>
    <n v="0.01"/>
    <n v="0.01"/>
    <n v="6.2100000000000002E-2"/>
    <n v="0.03"/>
    <n v="0.02"/>
    <n v="0.06"/>
    <n v="0.02"/>
    <n v="0.02"/>
    <n v="0.02"/>
    <n v="0.9"/>
    <n v="180000"/>
    <n v="176460"/>
    <n v="304980"/>
    <n v="210120"/>
    <n v="408000"/>
    <n v="140000"/>
  </r>
  <r>
    <x v="0"/>
    <x v="1"/>
    <x v="8"/>
    <s v="Orthopedics PAYER"/>
    <n v="2041"/>
    <x v="28"/>
    <n v="2960907.7404333078"/>
    <n v="0.02"/>
    <n v="0.01"/>
    <n v="0.01"/>
    <n v="6.2100000000000002E-2"/>
    <n v="0.03"/>
    <n v="0.02"/>
    <n v="0.06"/>
    <n v="0.02"/>
    <n v="0.02"/>
    <n v="0.02"/>
    <n v="0.9"/>
    <n v="180000"/>
    <n v="176460"/>
    <n v="304980"/>
    <n v="210120"/>
    <n v="408000"/>
    <n v="140000"/>
  </r>
  <r>
    <x v="0"/>
    <x v="1"/>
    <x v="8"/>
    <s v="Orthopedics PAYER"/>
    <n v="2042"/>
    <x v="29"/>
    <n v="3088263.336514588"/>
    <n v="0.02"/>
    <n v="0.01"/>
    <n v="0.01"/>
    <n v="6.2100000000000002E-2"/>
    <n v="0.03"/>
    <n v="0.02"/>
    <n v="0.06"/>
    <n v="0.02"/>
    <n v="0.02"/>
    <n v="0.02"/>
    <n v="0.9"/>
    <n v="180000"/>
    <n v="176460"/>
    <n v="304980"/>
    <n v="210120"/>
    <n v="408000"/>
    <n v="140000"/>
  </r>
  <r>
    <x v="0"/>
    <x v="1"/>
    <x v="9"/>
    <s v="Orthopedics Ret20USU"/>
    <n v="2013"/>
    <x v="0"/>
    <n v="52525.686799999996"/>
    <n v="0.02"/>
    <n v="0.01"/>
    <n v="0.01"/>
    <n v="6.2100000000000002E-2"/>
    <n v="0.03"/>
    <n v="0.02"/>
    <n v="0.06"/>
    <n v="0.02"/>
    <n v="0.02"/>
    <n v="0.02"/>
    <n v="0.9"/>
    <n v="180000"/>
    <n v="176460"/>
    <n v="304980"/>
    <n v="210120"/>
    <n v="408000"/>
    <n v="140000"/>
  </r>
  <r>
    <x v="0"/>
    <x v="1"/>
    <x v="9"/>
    <s v="Orthopedics Ret20USU"/>
    <n v="2014"/>
    <x v="1"/>
    <n v="103045.21008954883"/>
    <n v="0.02"/>
    <n v="0.01"/>
    <n v="0.01"/>
    <n v="6.2100000000000002E-2"/>
    <n v="0.03"/>
    <n v="0.02"/>
    <n v="0.06"/>
    <n v="0.02"/>
    <n v="0.02"/>
    <n v="0.02"/>
    <n v="0.9"/>
    <n v="180000"/>
    <n v="176460"/>
    <n v="304980"/>
    <n v="210120"/>
    <n v="408000"/>
    <n v="140000"/>
  </r>
  <r>
    <x v="0"/>
    <x v="1"/>
    <x v="9"/>
    <s v="Orthopedics Ret20USU"/>
    <n v="2015"/>
    <x v="2"/>
    <n v="152565.98092317433"/>
    <n v="0.02"/>
    <n v="0.01"/>
    <n v="0.01"/>
    <n v="6.2100000000000002E-2"/>
    <n v="0.03"/>
    <n v="0.02"/>
    <n v="0.06"/>
    <n v="0.02"/>
    <n v="0.02"/>
    <n v="0.02"/>
    <n v="0.9"/>
    <n v="180000"/>
    <n v="176460"/>
    <n v="304980"/>
    <n v="210120"/>
    <n v="408000"/>
    <n v="140000"/>
  </r>
  <r>
    <x v="0"/>
    <x v="1"/>
    <x v="9"/>
    <s v="Orthopedics Ret20USU"/>
    <n v="2016"/>
    <x v="3"/>
    <n v="204951.40008844491"/>
    <n v="0.02"/>
    <n v="0.01"/>
    <n v="0.01"/>
    <n v="6.2100000000000002E-2"/>
    <n v="0.03"/>
    <n v="0.02"/>
    <n v="0.06"/>
    <n v="0.02"/>
    <n v="0.02"/>
    <n v="0.02"/>
    <n v="0.9"/>
    <n v="180000"/>
    <n v="176460"/>
    <n v="304980"/>
    <n v="210120"/>
    <n v="408000"/>
    <n v="140000"/>
  </r>
  <r>
    <x v="0"/>
    <x v="1"/>
    <x v="9"/>
    <s v="Orthopedics Ret20USU"/>
    <n v="2017"/>
    <x v="4"/>
    <n v="264104.65274828218"/>
    <n v="0.02"/>
    <n v="0.01"/>
    <n v="0.01"/>
    <n v="6.2100000000000002E-2"/>
    <n v="0.03"/>
    <n v="0.02"/>
    <n v="0.06"/>
    <n v="0.02"/>
    <n v="0.02"/>
    <n v="0.02"/>
    <n v="0.9"/>
    <n v="180000"/>
    <n v="176460"/>
    <n v="304980"/>
    <n v="210120"/>
    <n v="408000"/>
    <n v="140000"/>
  </r>
  <r>
    <x v="0"/>
    <x v="1"/>
    <x v="9"/>
    <s v="Orthopedics Ret20USU"/>
    <n v="2018"/>
    <x v="5"/>
    <n v="322956.40336350905"/>
    <n v="0.02"/>
    <n v="0.01"/>
    <n v="0.01"/>
    <n v="6.2100000000000002E-2"/>
    <n v="0.03"/>
    <n v="0.02"/>
    <n v="0.06"/>
    <n v="0.02"/>
    <n v="0.02"/>
    <n v="0.02"/>
    <n v="0.9"/>
    <n v="180000"/>
    <n v="176460"/>
    <n v="304980"/>
    <n v="210120"/>
    <n v="408000"/>
    <n v="140000"/>
  </r>
  <r>
    <x v="0"/>
    <x v="1"/>
    <x v="9"/>
    <s v="Orthopedics Ret20USU"/>
    <n v="2019"/>
    <x v="6"/>
    <n v="382458.16257085698"/>
    <n v="0.02"/>
    <n v="0.01"/>
    <n v="0.01"/>
    <n v="6.2100000000000002E-2"/>
    <n v="0.03"/>
    <n v="0.02"/>
    <n v="0.06"/>
    <n v="0.02"/>
    <n v="0.02"/>
    <n v="0.02"/>
    <n v="0.9"/>
    <n v="180000"/>
    <n v="176460"/>
    <n v="304980"/>
    <n v="210120"/>
    <n v="408000"/>
    <n v="140000"/>
  </r>
  <r>
    <x v="0"/>
    <x v="1"/>
    <x v="9"/>
    <s v="Orthopedics Ret20USU"/>
    <n v="2020"/>
    <x v="7"/>
    <n v="441575.28506588424"/>
    <n v="0.02"/>
    <n v="0.01"/>
    <n v="0.01"/>
    <n v="6.2100000000000002E-2"/>
    <n v="0.03"/>
    <n v="0.02"/>
    <n v="0.06"/>
    <n v="0.02"/>
    <n v="0.02"/>
    <n v="0.02"/>
    <n v="0.9"/>
    <n v="180000"/>
    <n v="176460"/>
    <n v="304980"/>
    <n v="210120"/>
    <n v="408000"/>
    <n v="140000"/>
  </r>
  <r>
    <x v="0"/>
    <x v="1"/>
    <x v="9"/>
    <s v="Orthopedics Ret20USU"/>
    <n v="2021"/>
    <x v="8"/>
    <n v="500654.23446862109"/>
    <n v="0.02"/>
    <n v="0.01"/>
    <n v="0.01"/>
    <n v="6.2100000000000002E-2"/>
    <n v="0.03"/>
    <n v="0.02"/>
    <n v="0.06"/>
    <n v="0.02"/>
    <n v="0.02"/>
    <n v="0.02"/>
    <n v="0.9"/>
    <n v="180000"/>
    <n v="176460"/>
    <n v="304980"/>
    <n v="210120"/>
    <n v="408000"/>
    <n v="140000"/>
  </r>
  <r>
    <x v="0"/>
    <x v="1"/>
    <x v="9"/>
    <s v="Orthopedics Ret20USU"/>
    <n v="2022"/>
    <x v="9"/>
    <n v="563703.58569574018"/>
    <n v="0.02"/>
    <n v="0.01"/>
    <n v="0.01"/>
    <n v="6.2100000000000002E-2"/>
    <n v="0.03"/>
    <n v="0.02"/>
    <n v="0.06"/>
    <n v="0.02"/>
    <n v="0.02"/>
    <n v="0.02"/>
    <n v="0.9"/>
    <n v="180000"/>
    <n v="176460"/>
    <n v="304980"/>
    <n v="210120"/>
    <n v="408000"/>
    <n v="140000"/>
  </r>
  <r>
    <x v="0"/>
    <x v="1"/>
    <x v="9"/>
    <s v="Orthopedics Ret20USU"/>
    <n v="2023"/>
    <x v="10"/>
    <n v="633076.84402750398"/>
    <n v="0.02"/>
    <n v="0.01"/>
    <n v="0.01"/>
    <n v="6.2100000000000002E-2"/>
    <n v="0.03"/>
    <n v="0.02"/>
    <n v="0.06"/>
    <n v="0.02"/>
    <n v="0.02"/>
    <n v="0.02"/>
    <n v="0.9"/>
    <n v="180000"/>
    <n v="176460"/>
    <n v="304980"/>
    <n v="210120"/>
    <n v="408000"/>
    <n v="140000"/>
  </r>
  <r>
    <x v="0"/>
    <x v="1"/>
    <x v="9"/>
    <s v="Orthopedics Ret20USU"/>
    <n v="2024"/>
    <x v="11"/>
    <n v="699827.65845398873"/>
    <n v="0.02"/>
    <n v="0.01"/>
    <n v="0.01"/>
    <n v="6.2100000000000002E-2"/>
    <n v="0.03"/>
    <n v="0.02"/>
    <n v="0.06"/>
    <n v="0.02"/>
    <n v="0.02"/>
    <n v="0.02"/>
    <n v="0.9"/>
    <n v="180000"/>
    <n v="176460"/>
    <n v="304980"/>
    <n v="210120"/>
    <n v="408000"/>
    <n v="140000"/>
  </r>
  <r>
    <x v="0"/>
    <x v="1"/>
    <x v="9"/>
    <s v="Orthopedics Ret20USU"/>
    <n v="2025"/>
    <x v="12"/>
    <n v="765347.00767356099"/>
    <n v="0.02"/>
    <n v="0.01"/>
    <n v="0.01"/>
    <n v="6.2100000000000002E-2"/>
    <n v="0.03"/>
    <n v="0.02"/>
    <n v="0.06"/>
    <n v="0.02"/>
    <n v="0.02"/>
    <n v="0.02"/>
    <n v="0.9"/>
    <n v="180000"/>
    <n v="176460"/>
    <n v="304980"/>
    <n v="210120"/>
    <n v="408000"/>
    <n v="140000"/>
  </r>
  <r>
    <x v="0"/>
    <x v="1"/>
    <x v="9"/>
    <s v="Orthopedics Ret20USU"/>
    <n v="2026"/>
    <x v="13"/>
    <n v="828389.49004259263"/>
    <n v="0.02"/>
    <n v="0.01"/>
    <n v="0.01"/>
    <n v="6.2100000000000002E-2"/>
    <n v="0.03"/>
    <n v="0.02"/>
    <n v="0.06"/>
    <n v="0.02"/>
    <n v="0.02"/>
    <n v="0.02"/>
    <n v="0.9"/>
    <n v="180000"/>
    <n v="176460"/>
    <n v="304980"/>
    <n v="210120"/>
    <n v="408000"/>
    <n v="140000"/>
  </r>
  <r>
    <x v="0"/>
    <x v="1"/>
    <x v="9"/>
    <s v="Orthopedics Ret20USU"/>
    <n v="2027"/>
    <x v="14"/>
    <n v="890951.83217297471"/>
    <n v="0.02"/>
    <n v="0.01"/>
    <n v="0.01"/>
    <n v="6.2100000000000002E-2"/>
    <n v="0.03"/>
    <n v="0.02"/>
    <n v="0.06"/>
    <n v="0.02"/>
    <n v="0.02"/>
    <n v="0.02"/>
    <n v="0.9"/>
    <n v="180000"/>
    <n v="176460"/>
    <n v="304980"/>
    <n v="210120"/>
    <n v="408000"/>
    <n v="140000"/>
  </r>
  <r>
    <x v="0"/>
    <x v="1"/>
    <x v="9"/>
    <s v="Orthopedics Ret20USU"/>
    <n v="2028"/>
    <x v="15"/>
    <n v="951136.17356786923"/>
    <n v="0.02"/>
    <n v="0.01"/>
    <n v="0.01"/>
    <n v="6.2100000000000002E-2"/>
    <n v="0.03"/>
    <n v="0.02"/>
    <n v="0.06"/>
    <n v="0.02"/>
    <n v="0.02"/>
    <n v="0.02"/>
    <n v="0.9"/>
    <n v="180000"/>
    <n v="176460"/>
    <n v="304980"/>
    <n v="210120"/>
    <n v="408000"/>
    <n v="140000"/>
  </r>
  <r>
    <x v="0"/>
    <x v="1"/>
    <x v="9"/>
    <s v="Orthopedics Ret20USU"/>
    <n v="2029"/>
    <x v="16"/>
    <n v="1044372.9214097006"/>
    <n v="0.02"/>
    <n v="0.01"/>
    <n v="0.01"/>
    <n v="6.2100000000000002E-2"/>
    <n v="0.03"/>
    <n v="0.02"/>
    <n v="0.06"/>
    <n v="0.02"/>
    <n v="0.02"/>
    <n v="0.02"/>
    <n v="0.9"/>
    <n v="180000"/>
    <n v="176460"/>
    <n v="304980"/>
    <n v="210120"/>
    <n v="408000"/>
    <n v="140000"/>
  </r>
  <r>
    <x v="0"/>
    <x v="1"/>
    <x v="9"/>
    <s v="Orthopedics Ret20USU"/>
    <n v="2030"/>
    <x v="17"/>
    <n v="1134011.7263994056"/>
    <n v="0.02"/>
    <n v="0.01"/>
    <n v="0.01"/>
    <n v="6.2100000000000002E-2"/>
    <n v="0.03"/>
    <n v="0.02"/>
    <n v="0.06"/>
    <n v="0.02"/>
    <n v="0.02"/>
    <n v="0.02"/>
    <n v="0.9"/>
    <n v="180000"/>
    <n v="176460"/>
    <n v="304980"/>
    <n v="210120"/>
    <n v="408000"/>
    <n v="140000"/>
  </r>
  <r>
    <x v="0"/>
    <x v="1"/>
    <x v="9"/>
    <s v="Orthopedics Ret20USU"/>
    <n v="2031"/>
    <x v="18"/>
    <n v="1221358.7670303637"/>
    <n v="0.02"/>
    <n v="0.01"/>
    <n v="0.01"/>
    <n v="6.2100000000000002E-2"/>
    <n v="0.03"/>
    <n v="0.02"/>
    <n v="0.06"/>
    <n v="0.02"/>
    <n v="0.02"/>
    <n v="0.02"/>
    <n v="0.9"/>
    <n v="180000"/>
    <n v="176460"/>
    <n v="304980"/>
    <n v="210120"/>
    <n v="408000"/>
    <n v="140000"/>
  </r>
  <r>
    <x v="0"/>
    <x v="1"/>
    <x v="9"/>
    <s v="Orthopedics Ret20USU"/>
    <n v="2032"/>
    <x v="19"/>
    <n v="1305335.1743207369"/>
    <n v="0.02"/>
    <n v="0.01"/>
    <n v="0.01"/>
    <n v="6.2100000000000002E-2"/>
    <n v="0.03"/>
    <n v="0.02"/>
    <n v="0.06"/>
    <n v="0.02"/>
    <n v="0.02"/>
    <n v="0.02"/>
    <n v="0.9"/>
    <n v="180000"/>
    <n v="176460"/>
    <n v="304980"/>
    <n v="210120"/>
    <n v="408000"/>
    <n v="140000"/>
  </r>
  <r>
    <x v="0"/>
    <x v="1"/>
    <x v="9"/>
    <s v="Orthopedics Ret20USU"/>
    <n v="2033"/>
    <x v="20"/>
    <n v="1387722.5002531181"/>
    <n v="0.02"/>
    <n v="0.01"/>
    <n v="0.01"/>
    <n v="6.2100000000000002E-2"/>
    <n v="0.03"/>
    <n v="0.02"/>
    <n v="0.06"/>
    <n v="0.02"/>
    <n v="0.02"/>
    <n v="0.02"/>
    <n v="0.9"/>
    <n v="180000"/>
    <n v="176460"/>
    <n v="304980"/>
    <n v="210120"/>
    <n v="408000"/>
    <n v="140000"/>
  </r>
  <r>
    <x v="0"/>
    <x v="1"/>
    <x v="9"/>
    <s v="Orthopedics Ret20USU"/>
    <n v="2034"/>
    <x v="21"/>
    <n v="1466930.5801612765"/>
    <n v="0.02"/>
    <n v="0.01"/>
    <n v="0.01"/>
    <n v="6.2100000000000002E-2"/>
    <n v="0.03"/>
    <n v="0.02"/>
    <n v="0.06"/>
    <n v="0.02"/>
    <n v="0.02"/>
    <n v="0.02"/>
    <n v="0.9"/>
    <n v="180000"/>
    <n v="176460"/>
    <n v="304980"/>
    <n v="210120"/>
    <n v="408000"/>
    <n v="140000"/>
  </r>
  <r>
    <x v="0"/>
    <x v="1"/>
    <x v="9"/>
    <s v="Orthopedics Ret20USU"/>
    <n v="2035"/>
    <x v="22"/>
    <n v="1547186.8880632753"/>
    <n v="0.02"/>
    <n v="0.01"/>
    <n v="0.01"/>
    <n v="6.2100000000000002E-2"/>
    <n v="0.03"/>
    <n v="0.02"/>
    <n v="0.06"/>
    <n v="0.02"/>
    <n v="0.02"/>
    <n v="0.02"/>
    <n v="0.9"/>
    <n v="180000"/>
    <n v="176460"/>
    <n v="304980"/>
    <n v="210120"/>
    <n v="408000"/>
    <n v="140000"/>
  </r>
  <r>
    <x v="0"/>
    <x v="1"/>
    <x v="9"/>
    <s v="Orthopedics Ret20USU"/>
    <n v="2036"/>
    <x v="23"/>
    <n v="1624346.0394552578"/>
    <n v="0.02"/>
    <n v="0.01"/>
    <n v="0.01"/>
    <n v="6.2100000000000002E-2"/>
    <n v="0.03"/>
    <n v="0.02"/>
    <n v="0.06"/>
    <n v="0.02"/>
    <n v="0.02"/>
    <n v="0.02"/>
    <n v="0.9"/>
    <n v="180000"/>
    <n v="176460"/>
    <n v="304980"/>
    <n v="210120"/>
    <n v="408000"/>
    <n v="140000"/>
  </r>
  <r>
    <x v="0"/>
    <x v="1"/>
    <x v="9"/>
    <s v="Orthopedics Ret20USU"/>
    <n v="2037"/>
    <x v="24"/>
    <n v="1764292.2811773696"/>
    <n v="0.02"/>
    <n v="0.01"/>
    <n v="0.01"/>
    <n v="6.2100000000000002E-2"/>
    <n v="0.03"/>
    <n v="0.02"/>
    <n v="0.06"/>
    <n v="0.02"/>
    <n v="0.02"/>
    <n v="0.02"/>
    <n v="0.9"/>
    <n v="180000"/>
    <n v="176460"/>
    <n v="304980"/>
    <n v="210120"/>
    <n v="408000"/>
    <n v="140000"/>
  </r>
  <r>
    <x v="0"/>
    <x v="1"/>
    <x v="9"/>
    <s v="Orthopedics Ret20USU"/>
    <n v="2038"/>
    <x v="25"/>
    <n v="1901171.7617418771"/>
    <n v="0.02"/>
    <n v="0.01"/>
    <n v="0.01"/>
    <n v="6.2100000000000002E-2"/>
    <n v="0.03"/>
    <n v="0.02"/>
    <n v="0.06"/>
    <n v="0.02"/>
    <n v="0.02"/>
    <n v="0.02"/>
    <n v="0.9"/>
    <n v="180000"/>
    <n v="176460"/>
    <n v="304980"/>
    <n v="210120"/>
    <n v="408000"/>
    <n v="140000"/>
  </r>
  <r>
    <x v="0"/>
    <x v="1"/>
    <x v="9"/>
    <s v="Orthopedics Ret20USU"/>
    <n v="2039"/>
    <x v="26"/>
    <n v="2034999.9112046375"/>
    <n v="0.02"/>
    <n v="0.01"/>
    <n v="0.01"/>
    <n v="6.2100000000000002E-2"/>
    <n v="0.03"/>
    <n v="0.02"/>
    <n v="0.06"/>
    <n v="0.02"/>
    <n v="0.02"/>
    <n v="0.02"/>
    <n v="0.9"/>
    <n v="180000"/>
    <n v="176460"/>
    <n v="304980"/>
    <n v="210120"/>
    <n v="408000"/>
    <n v="140000"/>
  </r>
  <r>
    <x v="0"/>
    <x v="1"/>
    <x v="9"/>
    <s v="Orthopedics Ret20USU"/>
    <n v="2040"/>
    <x v="27"/>
    <n v="2165849.1500067571"/>
    <n v="0.02"/>
    <n v="0.01"/>
    <n v="0.01"/>
    <n v="6.2100000000000002E-2"/>
    <n v="0.03"/>
    <n v="0.02"/>
    <n v="0.06"/>
    <n v="0.02"/>
    <n v="0.02"/>
    <n v="0.02"/>
    <n v="0.9"/>
    <n v="180000"/>
    <n v="176460"/>
    <n v="304980"/>
    <n v="210120"/>
    <n v="408000"/>
    <n v="140000"/>
  </r>
  <r>
    <x v="0"/>
    <x v="1"/>
    <x v="9"/>
    <s v="Orthopedics Ret20USU"/>
    <n v="2041"/>
    <x v="28"/>
    <n v="2293790.0388746825"/>
    <n v="0.02"/>
    <n v="0.01"/>
    <n v="0.01"/>
    <n v="6.2100000000000002E-2"/>
    <n v="0.03"/>
    <n v="0.02"/>
    <n v="0.06"/>
    <n v="0.02"/>
    <n v="0.02"/>
    <n v="0.02"/>
    <n v="0.9"/>
    <n v="180000"/>
    <n v="176460"/>
    <n v="304980"/>
    <n v="210120"/>
    <n v="408000"/>
    <n v="140000"/>
  </r>
  <r>
    <x v="0"/>
    <x v="1"/>
    <x v="9"/>
    <s v="Orthopedics Ret20USU"/>
    <n v="2042"/>
    <x v="29"/>
    <n v="2418891.3309130184"/>
    <n v="0.02"/>
    <n v="0.01"/>
    <n v="0.01"/>
    <n v="6.2100000000000002E-2"/>
    <n v="0.03"/>
    <n v="0.02"/>
    <n v="0.06"/>
    <n v="0.02"/>
    <n v="0.02"/>
    <n v="0.02"/>
    <n v="0.9"/>
    <n v="180000"/>
    <n v="176460"/>
    <n v="304980"/>
    <n v="210120"/>
    <n v="408000"/>
    <n v="140000"/>
  </r>
  <r>
    <x v="0"/>
    <x v="1"/>
    <x v="10"/>
    <s v="Orthopedics Ret20HPSP"/>
    <n v="2013"/>
    <x v="0"/>
    <n v="41042.997114989732"/>
    <n v="0.02"/>
    <n v="0.01"/>
    <n v="0.01"/>
    <n v="6.2100000000000002E-2"/>
    <n v="0.03"/>
    <n v="0.02"/>
    <n v="0.06"/>
    <n v="0.02"/>
    <n v="0.02"/>
    <n v="0.02"/>
    <n v="0.9"/>
    <n v="180000"/>
    <n v="176460"/>
    <n v="304980"/>
    <n v="210120"/>
    <n v="408000"/>
    <n v="140000"/>
  </r>
  <r>
    <x v="0"/>
    <x v="1"/>
    <x v="10"/>
    <s v="Orthopedics Ret20HPSP"/>
    <n v="2014"/>
    <x v="1"/>
    <n v="65715.375570480697"/>
    <n v="0.02"/>
    <n v="0.01"/>
    <n v="0.01"/>
    <n v="6.2100000000000002E-2"/>
    <n v="0.03"/>
    <n v="0.02"/>
    <n v="0.06"/>
    <n v="0.02"/>
    <n v="0.02"/>
    <n v="0.02"/>
    <n v="0.9"/>
    <n v="180000"/>
    <n v="176460"/>
    <n v="304980"/>
    <n v="210120"/>
    <n v="408000"/>
    <n v="140000"/>
  </r>
  <r>
    <x v="0"/>
    <x v="1"/>
    <x v="10"/>
    <s v="Orthopedics Ret20HPSP"/>
    <n v="2015"/>
    <x v="2"/>
    <n v="89584.222784524245"/>
    <n v="0.02"/>
    <n v="0.01"/>
    <n v="0.01"/>
    <n v="6.2100000000000002E-2"/>
    <n v="0.03"/>
    <n v="0.02"/>
    <n v="0.06"/>
    <n v="0.02"/>
    <n v="0.02"/>
    <n v="0.02"/>
    <n v="0.9"/>
    <n v="180000"/>
    <n v="176460"/>
    <n v="304980"/>
    <n v="210120"/>
    <n v="408000"/>
    <n v="140000"/>
  </r>
  <r>
    <x v="0"/>
    <x v="1"/>
    <x v="10"/>
    <s v="Orthopedics Ret20HPSP"/>
    <n v="2016"/>
    <x v="3"/>
    <n v="113201.76547692725"/>
    <n v="0.02"/>
    <n v="0.01"/>
    <n v="0.01"/>
    <n v="6.2100000000000002E-2"/>
    <n v="0.03"/>
    <n v="0.02"/>
    <n v="0.06"/>
    <n v="0.02"/>
    <n v="0.02"/>
    <n v="0.02"/>
    <n v="0.9"/>
    <n v="180000"/>
    <n v="176460"/>
    <n v="304980"/>
    <n v="210120"/>
    <n v="408000"/>
    <n v="140000"/>
  </r>
  <r>
    <x v="0"/>
    <x v="1"/>
    <x v="10"/>
    <s v="Orthopedics Ret20HPSP"/>
    <n v="2017"/>
    <x v="4"/>
    <n v="172355.01813676453"/>
    <n v="0.02"/>
    <n v="0.01"/>
    <n v="0.01"/>
    <n v="6.2100000000000002E-2"/>
    <n v="0.03"/>
    <n v="0.02"/>
    <n v="0.06"/>
    <n v="0.02"/>
    <n v="0.02"/>
    <n v="0.02"/>
    <n v="0.9"/>
    <n v="180000"/>
    <n v="176460"/>
    <n v="304980"/>
    <n v="210120"/>
    <n v="408000"/>
    <n v="140000"/>
  </r>
  <r>
    <x v="0"/>
    <x v="1"/>
    <x v="10"/>
    <s v="Orthopedics Ret20HPSP"/>
    <n v="2018"/>
    <x v="5"/>
    <n v="231206.76875199139"/>
    <n v="0.02"/>
    <n v="0.01"/>
    <n v="0.01"/>
    <n v="6.2100000000000002E-2"/>
    <n v="0.03"/>
    <n v="0.02"/>
    <n v="0.06"/>
    <n v="0.02"/>
    <n v="0.02"/>
    <n v="0.02"/>
    <n v="0.9"/>
    <n v="180000"/>
    <n v="176460"/>
    <n v="304980"/>
    <n v="210120"/>
    <n v="408000"/>
    <n v="140000"/>
  </r>
  <r>
    <x v="0"/>
    <x v="1"/>
    <x v="10"/>
    <s v="Orthopedics Ret20HPSP"/>
    <n v="2019"/>
    <x v="6"/>
    <n v="290708.52795933932"/>
    <n v="0.02"/>
    <n v="0.01"/>
    <n v="0.01"/>
    <n v="6.2100000000000002E-2"/>
    <n v="0.03"/>
    <n v="0.02"/>
    <n v="0.06"/>
    <n v="0.02"/>
    <n v="0.02"/>
    <n v="0.02"/>
    <n v="0.9"/>
    <n v="180000"/>
    <n v="176460"/>
    <n v="304980"/>
    <n v="210120"/>
    <n v="408000"/>
    <n v="140000"/>
  </r>
  <r>
    <x v="0"/>
    <x v="1"/>
    <x v="10"/>
    <s v="Orthopedics Ret20HPSP"/>
    <n v="2020"/>
    <x v="7"/>
    <n v="349825.65045436658"/>
    <n v="0.02"/>
    <n v="0.01"/>
    <n v="0.01"/>
    <n v="6.2100000000000002E-2"/>
    <n v="0.03"/>
    <n v="0.02"/>
    <n v="0.06"/>
    <n v="0.02"/>
    <n v="0.02"/>
    <n v="0.02"/>
    <n v="0.9"/>
    <n v="180000"/>
    <n v="176460"/>
    <n v="304980"/>
    <n v="210120"/>
    <n v="408000"/>
    <n v="140000"/>
  </r>
  <r>
    <x v="0"/>
    <x v="1"/>
    <x v="10"/>
    <s v="Orthopedics Ret20HPSP"/>
    <n v="2021"/>
    <x v="8"/>
    <n v="408904.59985710343"/>
    <n v="0.02"/>
    <n v="0.01"/>
    <n v="0.01"/>
    <n v="6.2100000000000002E-2"/>
    <n v="0.03"/>
    <n v="0.02"/>
    <n v="0.06"/>
    <n v="0.02"/>
    <n v="0.02"/>
    <n v="0.02"/>
    <n v="0.9"/>
    <n v="180000"/>
    <n v="176460"/>
    <n v="304980"/>
    <n v="210120"/>
    <n v="408000"/>
    <n v="140000"/>
  </r>
  <r>
    <x v="0"/>
    <x v="1"/>
    <x v="10"/>
    <s v="Orthopedics Ret20HPSP"/>
    <n v="2022"/>
    <x v="9"/>
    <n v="471953.95108422253"/>
    <n v="0.02"/>
    <n v="0.01"/>
    <n v="0.01"/>
    <n v="6.2100000000000002E-2"/>
    <n v="0.03"/>
    <n v="0.02"/>
    <n v="0.06"/>
    <n v="0.02"/>
    <n v="0.02"/>
    <n v="0.02"/>
    <n v="0.9"/>
    <n v="180000"/>
    <n v="176460"/>
    <n v="304980"/>
    <n v="210120"/>
    <n v="408000"/>
    <n v="140000"/>
  </r>
  <r>
    <x v="0"/>
    <x v="1"/>
    <x v="10"/>
    <s v="Orthopedics Ret20HPSP"/>
    <n v="2023"/>
    <x v="10"/>
    <n v="541327.20941598632"/>
    <n v="0.02"/>
    <n v="0.01"/>
    <n v="0.01"/>
    <n v="6.2100000000000002E-2"/>
    <n v="0.03"/>
    <n v="0.02"/>
    <n v="0.06"/>
    <n v="0.02"/>
    <n v="0.02"/>
    <n v="0.02"/>
    <n v="0.9"/>
    <n v="180000"/>
    <n v="176460"/>
    <n v="304980"/>
    <n v="210120"/>
    <n v="408000"/>
    <n v="140000"/>
  </r>
  <r>
    <x v="0"/>
    <x v="1"/>
    <x v="10"/>
    <s v="Orthopedics Ret20HPSP"/>
    <n v="2024"/>
    <x v="11"/>
    <n v="608078.02384247107"/>
    <n v="0.02"/>
    <n v="0.01"/>
    <n v="0.01"/>
    <n v="6.2100000000000002E-2"/>
    <n v="0.03"/>
    <n v="0.02"/>
    <n v="0.06"/>
    <n v="0.02"/>
    <n v="0.02"/>
    <n v="0.02"/>
    <n v="0.9"/>
    <n v="180000"/>
    <n v="176460"/>
    <n v="304980"/>
    <n v="210120"/>
    <n v="408000"/>
    <n v="140000"/>
  </r>
  <r>
    <x v="0"/>
    <x v="1"/>
    <x v="10"/>
    <s v="Orthopedics Ret20HPSP"/>
    <n v="2025"/>
    <x v="12"/>
    <n v="673597.37306204333"/>
    <n v="0.02"/>
    <n v="0.01"/>
    <n v="0.01"/>
    <n v="6.2100000000000002E-2"/>
    <n v="0.03"/>
    <n v="0.02"/>
    <n v="0.06"/>
    <n v="0.02"/>
    <n v="0.02"/>
    <n v="0.02"/>
    <n v="0.9"/>
    <n v="180000"/>
    <n v="176460"/>
    <n v="304980"/>
    <n v="210120"/>
    <n v="408000"/>
    <n v="140000"/>
  </r>
  <r>
    <x v="0"/>
    <x v="1"/>
    <x v="10"/>
    <s v="Orthopedics Ret20HPSP"/>
    <n v="2026"/>
    <x v="13"/>
    <n v="773630.78206361749"/>
    <n v="0.02"/>
    <n v="0.01"/>
    <n v="0.01"/>
    <n v="6.2100000000000002E-2"/>
    <n v="0.03"/>
    <n v="0.02"/>
    <n v="0.06"/>
    <n v="0.02"/>
    <n v="0.02"/>
    <n v="0.02"/>
    <n v="0.9"/>
    <n v="180000"/>
    <n v="176460"/>
    <n v="304980"/>
    <n v="210120"/>
    <n v="408000"/>
    <n v="140000"/>
  </r>
  <r>
    <x v="0"/>
    <x v="1"/>
    <x v="10"/>
    <s v="Orthopedics Ret20HPSP"/>
    <n v="2027"/>
    <x v="14"/>
    <n v="871850.45654646866"/>
    <n v="0.02"/>
    <n v="0.01"/>
    <n v="0.01"/>
    <n v="6.2100000000000002E-2"/>
    <n v="0.03"/>
    <n v="0.02"/>
    <n v="0.06"/>
    <n v="0.02"/>
    <n v="0.02"/>
    <n v="0.02"/>
    <n v="0.9"/>
    <n v="180000"/>
    <n v="176460"/>
    <n v="304980"/>
    <n v="210120"/>
    <n v="408000"/>
    <n v="140000"/>
  </r>
  <r>
    <x v="0"/>
    <x v="1"/>
    <x v="10"/>
    <s v="Orthopedics Ret20HPSP"/>
    <n v="2028"/>
    <x v="15"/>
    <n v="966279.93883621902"/>
    <n v="0.02"/>
    <n v="0.01"/>
    <n v="0.01"/>
    <n v="6.2100000000000002E-2"/>
    <n v="0.03"/>
    <n v="0.02"/>
    <n v="0.06"/>
    <n v="0.02"/>
    <n v="0.02"/>
    <n v="0.02"/>
    <n v="0.9"/>
    <n v="180000"/>
    <n v="176460"/>
    <n v="304980"/>
    <n v="210120"/>
    <n v="408000"/>
    <n v="140000"/>
  </r>
  <r>
    <x v="0"/>
    <x v="1"/>
    <x v="10"/>
    <s v="Orthopedics Ret20HPSP"/>
    <n v="2029"/>
    <x v="16"/>
    <n v="1059516.6866780506"/>
    <n v="0.02"/>
    <n v="0.01"/>
    <n v="0.01"/>
    <n v="6.2100000000000002E-2"/>
    <n v="0.03"/>
    <n v="0.02"/>
    <n v="0.06"/>
    <n v="0.02"/>
    <n v="0.02"/>
    <n v="0.02"/>
    <n v="0.9"/>
    <n v="180000"/>
    <n v="176460"/>
    <n v="304980"/>
    <n v="210120"/>
    <n v="408000"/>
    <n v="140000"/>
  </r>
  <r>
    <x v="0"/>
    <x v="1"/>
    <x v="10"/>
    <s v="Orthopedics Ret20HPSP"/>
    <n v="2030"/>
    <x v="17"/>
    <n v="1149155.4916677554"/>
    <n v="0.02"/>
    <n v="0.01"/>
    <n v="0.01"/>
    <n v="6.2100000000000002E-2"/>
    <n v="0.03"/>
    <n v="0.02"/>
    <n v="0.06"/>
    <n v="0.02"/>
    <n v="0.02"/>
    <n v="0.02"/>
    <n v="0.9"/>
    <n v="180000"/>
    <n v="176460"/>
    <n v="304980"/>
    <n v="210120"/>
    <n v="408000"/>
    <n v="140000"/>
  </r>
  <r>
    <x v="0"/>
    <x v="1"/>
    <x v="10"/>
    <s v="Orthopedics Ret20HPSP"/>
    <n v="2031"/>
    <x v="18"/>
    <n v="1236502.5322987135"/>
    <n v="0.02"/>
    <n v="0.01"/>
    <n v="0.01"/>
    <n v="6.2100000000000002E-2"/>
    <n v="0.03"/>
    <n v="0.02"/>
    <n v="0.06"/>
    <n v="0.02"/>
    <n v="0.02"/>
    <n v="0.02"/>
    <n v="0.9"/>
    <n v="180000"/>
    <n v="176460"/>
    <n v="304980"/>
    <n v="210120"/>
    <n v="408000"/>
    <n v="140000"/>
  </r>
  <r>
    <x v="0"/>
    <x v="1"/>
    <x v="10"/>
    <s v="Orthopedics Ret20HPSP"/>
    <n v="2032"/>
    <x v="19"/>
    <n v="1320478.9395890867"/>
    <n v="0.02"/>
    <n v="0.01"/>
    <n v="0.01"/>
    <n v="6.2100000000000002E-2"/>
    <n v="0.03"/>
    <n v="0.02"/>
    <n v="0.06"/>
    <n v="0.02"/>
    <n v="0.02"/>
    <n v="0.02"/>
    <n v="0.9"/>
    <n v="180000"/>
    <n v="176460"/>
    <n v="304980"/>
    <n v="210120"/>
    <n v="408000"/>
    <n v="140000"/>
  </r>
  <r>
    <x v="0"/>
    <x v="1"/>
    <x v="10"/>
    <s v="Orthopedics Ret20HPSP"/>
    <n v="2033"/>
    <x v="20"/>
    <n v="1402866.2655214679"/>
    <n v="0.02"/>
    <n v="0.01"/>
    <n v="0.01"/>
    <n v="6.2100000000000002E-2"/>
    <n v="0.03"/>
    <n v="0.02"/>
    <n v="0.06"/>
    <n v="0.02"/>
    <n v="0.02"/>
    <n v="0.02"/>
    <n v="0.9"/>
    <n v="180000"/>
    <n v="176460"/>
    <n v="304980"/>
    <n v="210120"/>
    <n v="408000"/>
    <n v="140000"/>
  </r>
  <r>
    <x v="0"/>
    <x v="1"/>
    <x v="10"/>
    <s v="Orthopedics Ret20HPSP"/>
    <n v="2034"/>
    <x v="21"/>
    <n v="1482074.3454296263"/>
    <n v="0.02"/>
    <n v="0.01"/>
    <n v="0.01"/>
    <n v="6.2100000000000002E-2"/>
    <n v="0.03"/>
    <n v="0.02"/>
    <n v="0.06"/>
    <n v="0.02"/>
    <n v="0.02"/>
    <n v="0.02"/>
    <n v="0.9"/>
    <n v="180000"/>
    <n v="176460"/>
    <n v="304980"/>
    <n v="210120"/>
    <n v="408000"/>
    <n v="140000"/>
  </r>
  <r>
    <x v="0"/>
    <x v="1"/>
    <x v="10"/>
    <s v="Orthopedics Ret20HPSP"/>
    <n v="2035"/>
    <x v="22"/>
    <n v="1562330.6533316253"/>
    <n v="0.02"/>
    <n v="0.01"/>
    <n v="0.01"/>
    <n v="6.2100000000000002E-2"/>
    <n v="0.03"/>
    <n v="0.02"/>
    <n v="0.06"/>
    <n v="0.02"/>
    <n v="0.02"/>
    <n v="0.02"/>
    <n v="0.9"/>
    <n v="180000"/>
    <n v="176460"/>
    <n v="304980"/>
    <n v="210120"/>
    <n v="408000"/>
    <n v="140000"/>
  </r>
  <r>
    <x v="0"/>
    <x v="1"/>
    <x v="10"/>
    <s v="Orthopedics Ret20HPSP"/>
    <n v="2036"/>
    <x v="23"/>
    <n v="1639489.8047236078"/>
    <n v="0.02"/>
    <n v="0.01"/>
    <n v="0.01"/>
    <n v="6.2100000000000002E-2"/>
    <n v="0.03"/>
    <n v="0.02"/>
    <n v="0.06"/>
    <n v="0.02"/>
    <n v="0.02"/>
    <n v="0.02"/>
    <n v="0.9"/>
    <n v="180000"/>
    <n v="176460"/>
    <n v="304980"/>
    <n v="210120"/>
    <n v="408000"/>
    <n v="140000"/>
  </r>
  <r>
    <x v="0"/>
    <x v="1"/>
    <x v="10"/>
    <s v="Orthopedics Ret20HPSP"/>
    <n v="2037"/>
    <x v="24"/>
    <n v="1700805.4804452304"/>
    <n v="0.02"/>
    <n v="0.01"/>
    <n v="0.01"/>
    <n v="6.2100000000000002E-2"/>
    <n v="0.03"/>
    <n v="0.02"/>
    <n v="0.06"/>
    <n v="0.02"/>
    <n v="0.02"/>
    <n v="0.02"/>
    <n v="0.9"/>
    <n v="180000"/>
    <n v="176460"/>
    <n v="304980"/>
    <n v="210120"/>
    <n v="408000"/>
    <n v="140000"/>
  </r>
  <r>
    <x v="0"/>
    <x v="1"/>
    <x v="10"/>
    <s v="Orthopedics Ret20HPSP"/>
    <n v="2038"/>
    <x v="25"/>
    <n v="1838892.4064063355"/>
    <n v="0.02"/>
    <n v="0.01"/>
    <n v="0.01"/>
    <n v="6.2100000000000002E-2"/>
    <n v="0.03"/>
    <n v="0.02"/>
    <n v="0.06"/>
    <n v="0.02"/>
    <n v="0.02"/>
    <n v="0.02"/>
    <n v="0.9"/>
    <n v="180000"/>
    <n v="176460"/>
    <n v="304980"/>
    <n v="210120"/>
    <n v="408000"/>
    <n v="140000"/>
  </r>
  <r>
    <x v="0"/>
    <x v="1"/>
    <x v="10"/>
    <s v="Orthopedics Ret20HPSP"/>
    <n v="2039"/>
    <x v="26"/>
    <n v="1973881.3400405822"/>
    <n v="0.02"/>
    <n v="0.01"/>
    <n v="0.01"/>
    <n v="6.2100000000000002E-2"/>
    <n v="0.03"/>
    <n v="0.02"/>
    <n v="0.06"/>
    <n v="0.02"/>
    <n v="0.02"/>
    <n v="0.02"/>
    <n v="0.9"/>
    <n v="180000"/>
    <n v="176460"/>
    <n v="304980"/>
    <n v="210120"/>
    <n v="408000"/>
    <n v="140000"/>
  </r>
  <r>
    <x v="0"/>
    <x v="1"/>
    <x v="10"/>
    <s v="Orthopedics Ret20HPSP"/>
    <n v="2040"/>
    <x v="27"/>
    <n v="2105846.5049927123"/>
    <n v="0.02"/>
    <n v="0.01"/>
    <n v="0.01"/>
    <n v="6.2100000000000002E-2"/>
    <n v="0.03"/>
    <n v="0.02"/>
    <n v="0.06"/>
    <n v="0.02"/>
    <n v="0.02"/>
    <n v="0.02"/>
    <n v="0.9"/>
    <n v="180000"/>
    <n v="176460"/>
    <n v="304980"/>
    <n v="210120"/>
    <n v="408000"/>
    <n v="140000"/>
  </r>
  <r>
    <x v="0"/>
    <x v="1"/>
    <x v="10"/>
    <s v="Orthopedics Ret20HPSP"/>
    <n v="2041"/>
    <x v="28"/>
    <n v="2234860.1955087534"/>
    <n v="0.02"/>
    <n v="0.01"/>
    <n v="0.01"/>
    <n v="6.2100000000000002E-2"/>
    <n v="0.03"/>
    <n v="0.02"/>
    <n v="0.06"/>
    <n v="0.02"/>
    <n v="0.02"/>
    <n v="0.02"/>
    <n v="0.9"/>
    <n v="180000"/>
    <n v="176460"/>
    <n v="304980"/>
    <n v="210120"/>
    <n v="408000"/>
    <n v="140000"/>
  </r>
  <r>
    <x v="0"/>
    <x v="1"/>
    <x v="10"/>
    <s v="Orthopedics Ret20HPSP"/>
    <n v="2042"/>
    <x v="29"/>
    <n v="2360992.8312217486"/>
    <n v="0.02"/>
    <n v="0.01"/>
    <n v="0.01"/>
    <n v="6.2100000000000002E-2"/>
    <n v="0.03"/>
    <n v="0.02"/>
    <n v="0.06"/>
    <n v="0.02"/>
    <n v="0.02"/>
    <n v="0.02"/>
    <n v="0.9"/>
    <n v="180000"/>
    <n v="176460"/>
    <n v="304980"/>
    <n v="210120"/>
    <n v="408000"/>
    <n v="140000"/>
  </r>
  <r>
    <x v="0"/>
    <x v="1"/>
    <x v="11"/>
    <s v="Orthopedics USUPriv"/>
    <n v="2013"/>
    <x v="0"/>
    <n v="52525.686799999996"/>
    <n v="0.02"/>
    <n v="0.01"/>
    <n v="0.01"/>
    <n v="6.2100000000000002E-2"/>
    <n v="0.03"/>
    <n v="0.02"/>
    <n v="0.06"/>
    <n v="0.02"/>
    <n v="0.02"/>
    <n v="0.02"/>
    <n v="0.9"/>
    <n v="180000"/>
    <n v="176460"/>
    <n v="304980"/>
    <n v="210120"/>
    <n v="408000"/>
    <n v="140000"/>
  </r>
  <r>
    <x v="0"/>
    <x v="1"/>
    <x v="11"/>
    <s v="Orthopedics USUPriv"/>
    <n v="2014"/>
    <x v="1"/>
    <n v="103045.21008954883"/>
    <n v="0.02"/>
    <n v="0.01"/>
    <n v="0.01"/>
    <n v="6.2100000000000002E-2"/>
    <n v="0.03"/>
    <n v="0.02"/>
    <n v="0.06"/>
    <n v="0.02"/>
    <n v="0.02"/>
    <n v="0.02"/>
    <n v="0.9"/>
    <n v="180000"/>
    <n v="176460"/>
    <n v="304980"/>
    <n v="210120"/>
    <n v="408000"/>
    <n v="140000"/>
  </r>
  <r>
    <x v="0"/>
    <x v="1"/>
    <x v="11"/>
    <s v="Orthopedics USUPriv"/>
    <n v="2015"/>
    <x v="2"/>
    <n v="152565.98092317433"/>
    <n v="0.02"/>
    <n v="0.01"/>
    <n v="0.01"/>
    <n v="6.2100000000000002E-2"/>
    <n v="0.03"/>
    <n v="0.02"/>
    <n v="0.06"/>
    <n v="0.02"/>
    <n v="0.02"/>
    <n v="0.02"/>
    <n v="0.9"/>
    <n v="180000"/>
    <n v="176460"/>
    <n v="304980"/>
    <n v="210120"/>
    <n v="408000"/>
    <n v="140000"/>
  </r>
  <r>
    <x v="0"/>
    <x v="1"/>
    <x v="11"/>
    <s v="Orthopedics USUPriv"/>
    <n v="2016"/>
    <x v="3"/>
    <n v="204951.40008844491"/>
    <n v="0.02"/>
    <n v="0.01"/>
    <n v="0.01"/>
    <n v="6.2100000000000002E-2"/>
    <n v="0.03"/>
    <n v="0.02"/>
    <n v="0.06"/>
    <n v="0.02"/>
    <n v="0.02"/>
    <n v="0.02"/>
    <n v="0.9"/>
    <n v="180000"/>
    <n v="176460"/>
    <n v="304980"/>
    <n v="210120"/>
    <n v="408000"/>
    <n v="140000"/>
  </r>
  <r>
    <x v="0"/>
    <x v="1"/>
    <x v="11"/>
    <s v="Orthopedics USUPriv"/>
    <n v="2017"/>
    <x v="4"/>
    <n v="264104.65274828218"/>
    <n v="0.02"/>
    <n v="0.01"/>
    <n v="0.01"/>
    <n v="6.2100000000000002E-2"/>
    <n v="0.03"/>
    <n v="0.02"/>
    <n v="0.06"/>
    <n v="0.02"/>
    <n v="0.02"/>
    <n v="0.02"/>
    <n v="0.9"/>
    <n v="180000"/>
    <n v="176460"/>
    <n v="304980"/>
    <n v="210120"/>
    <n v="408000"/>
    <n v="140000"/>
  </r>
  <r>
    <x v="0"/>
    <x v="1"/>
    <x v="11"/>
    <s v="Orthopedics USUPriv"/>
    <n v="2018"/>
    <x v="5"/>
    <n v="322956.40336350905"/>
    <n v="0.02"/>
    <n v="0.01"/>
    <n v="0.01"/>
    <n v="6.2100000000000002E-2"/>
    <n v="0.03"/>
    <n v="0.02"/>
    <n v="0.06"/>
    <n v="0.02"/>
    <n v="0.02"/>
    <n v="0.02"/>
    <n v="0.9"/>
    <n v="180000"/>
    <n v="176460"/>
    <n v="304980"/>
    <n v="210120"/>
    <n v="408000"/>
    <n v="140000"/>
  </r>
  <r>
    <x v="0"/>
    <x v="1"/>
    <x v="11"/>
    <s v="Orthopedics USUPriv"/>
    <n v="2019"/>
    <x v="6"/>
    <n v="382458.16257085698"/>
    <n v="0.02"/>
    <n v="0.01"/>
    <n v="0.01"/>
    <n v="6.2100000000000002E-2"/>
    <n v="0.03"/>
    <n v="0.02"/>
    <n v="0.06"/>
    <n v="0.02"/>
    <n v="0.02"/>
    <n v="0.02"/>
    <n v="0.9"/>
    <n v="180000"/>
    <n v="176460"/>
    <n v="304980"/>
    <n v="210120"/>
    <n v="408000"/>
    <n v="140000"/>
  </r>
  <r>
    <x v="0"/>
    <x v="1"/>
    <x v="11"/>
    <s v="Orthopedics USUPriv"/>
    <n v="2020"/>
    <x v="7"/>
    <n v="441575.28506588424"/>
    <n v="0.02"/>
    <n v="0.01"/>
    <n v="0.01"/>
    <n v="6.2100000000000002E-2"/>
    <n v="0.03"/>
    <n v="0.02"/>
    <n v="0.06"/>
    <n v="0.02"/>
    <n v="0.02"/>
    <n v="0.02"/>
    <n v="0.9"/>
    <n v="180000"/>
    <n v="176460"/>
    <n v="304980"/>
    <n v="210120"/>
    <n v="408000"/>
    <n v="140000"/>
  </r>
  <r>
    <x v="0"/>
    <x v="1"/>
    <x v="11"/>
    <s v="Orthopedics USUPriv"/>
    <n v="2021"/>
    <x v="8"/>
    <n v="500654.23446862109"/>
    <n v="0.02"/>
    <n v="0.01"/>
    <n v="0.01"/>
    <n v="6.2100000000000002E-2"/>
    <n v="0.03"/>
    <n v="0.02"/>
    <n v="0.06"/>
    <n v="0.02"/>
    <n v="0.02"/>
    <n v="0.02"/>
    <n v="0.9"/>
    <n v="180000"/>
    <n v="176460"/>
    <n v="304980"/>
    <n v="210120"/>
    <n v="408000"/>
    <n v="140000"/>
  </r>
  <r>
    <x v="0"/>
    <x v="1"/>
    <x v="11"/>
    <s v="Orthopedics USUPriv"/>
    <n v="2022"/>
    <x v="9"/>
    <n v="563703.58569574018"/>
    <n v="0.02"/>
    <n v="0.01"/>
    <n v="0.01"/>
    <n v="6.2100000000000002E-2"/>
    <n v="0.03"/>
    <n v="0.02"/>
    <n v="0.06"/>
    <n v="0.02"/>
    <n v="0.02"/>
    <n v="0.02"/>
    <n v="0.9"/>
    <n v="180000"/>
    <n v="176460"/>
    <n v="304980"/>
    <n v="210120"/>
    <n v="408000"/>
    <n v="140000"/>
  </r>
  <r>
    <x v="0"/>
    <x v="1"/>
    <x v="11"/>
    <s v="Orthopedics USUPriv"/>
    <n v="2023"/>
    <x v="10"/>
    <n v="633076.84402750398"/>
    <n v="0.02"/>
    <n v="0.01"/>
    <n v="0.01"/>
    <n v="6.2100000000000002E-2"/>
    <n v="0.03"/>
    <n v="0.02"/>
    <n v="0.06"/>
    <n v="0.02"/>
    <n v="0.02"/>
    <n v="0.02"/>
    <n v="0.9"/>
    <n v="180000"/>
    <n v="176460"/>
    <n v="304980"/>
    <n v="210120"/>
    <n v="408000"/>
    <n v="140000"/>
  </r>
  <r>
    <x v="0"/>
    <x v="1"/>
    <x v="11"/>
    <s v="Orthopedics USUPriv"/>
    <n v="2024"/>
    <x v="11"/>
    <n v="699827.65845398873"/>
    <n v="0.02"/>
    <n v="0.01"/>
    <n v="0.01"/>
    <n v="6.2100000000000002E-2"/>
    <n v="0.03"/>
    <n v="0.02"/>
    <n v="0.06"/>
    <n v="0.02"/>
    <n v="0.02"/>
    <n v="0.02"/>
    <n v="0.9"/>
    <n v="180000"/>
    <n v="176460"/>
    <n v="304980"/>
    <n v="210120"/>
    <n v="408000"/>
    <n v="140000"/>
  </r>
  <r>
    <x v="0"/>
    <x v="1"/>
    <x v="11"/>
    <s v="Orthopedics USUPriv"/>
    <n v="2025"/>
    <x v="12"/>
    <n v="765347.00767356099"/>
    <n v="0.02"/>
    <n v="0.01"/>
    <n v="0.01"/>
    <n v="6.2100000000000002E-2"/>
    <n v="0.03"/>
    <n v="0.02"/>
    <n v="0.06"/>
    <n v="0.02"/>
    <n v="0.02"/>
    <n v="0.02"/>
    <n v="0.9"/>
    <n v="180000"/>
    <n v="176460"/>
    <n v="304980"/>
    <n v="210120"/>
    <n v="408000"/>
    <n v="140000"/>
  </r>
  <r>
    <x v="0"/>
    <x v="1"/>
    <x v="11"/>
    <s v="Orthopedics USUPriv"/>
    <n v="2026"/>
    <x v="13"/>
    <n v="828389.49004259263"/>
    <n v="0.02"/>
    <n v="0.01"/>
    <n v="0.01"/>
    <n v="6.2100000000000002E-2"/>
    <n v="0.03"/>
    <n v="0.02"/>
    <n v="0.06"/>
    <n v="0.02"/>
    <n v="0.02"/>
    <n v="0.02"/>
    <n v="0.9"/>
    <n v="180000"/>
    <n v="176460"/>
    <n v="304980"/>
    <n v="210120"/>
    <n v="408000"/>
    <n v="140000"/>
  </r>
  <r>
    <x v="0"/>
    <x v="1"/>
    <x v="11"/>
    <s v="Orthopedics USUPriv"/>
    <n v="2027"/>
    <x v="14"/>
    <n v="890951.83217297471"/>
    <n v="0.02"/>
    <n v="0.01"/>
    <n v="0.01"/>
    <n v="6.2100000000000002E-2"/>
    <n v="0.03"/>
    <n v="0.02"/>
    <n v="0.06"/>
    <n v="0.02"/>
    <n v="0.02"/>
    <n v="0.02"/>
    <n v="0.9"/>
    <n v="180000"/>
    <n v="176460"/>
    <n v="304980"/>
    <n v="210120"/>
    <n v="408000"/>
    <n v="140000"/>
  </r>
  <r>
    <x v="0"/>
    <x v="1"/>
    <x v="11"/>
    <s v="Orthopedics USUPriv"/>
    <n v="2028"/>
    <x v="15"/>
    <n v="951136.17356786923"/>
    <n v="0.02"/>
    <n v="0.01"/>
    <n v="0.01"/>
    <n v="6.2100000000000002E-2"/>
    <n v="0.03"/>
    <n v="0.02"/>
    <n v="0.06"/>
    <n v="0.02"/>
    <n v="0.02"/>
    <n v="0.02"/>
    <n v="0.9"/>
    <n v="180000"/>
    <n v="176460"/>
    <n v="304980"/>
    <n v="210120"/>
    <n v="408000"/>
    <n v="140000"/>
  </r>
  <r>
    <x v="0"/>
    <x v="1"/>
    <x v="11"/>
    <s v="Orthopedics USUPriv"/>
    <n v="2029"/>
    <x v="16"/>
    <n v="1100481.0747611136"/>
    <n v="0.02"/>
    <n v="0.01"/>
    <n v="0.01"/>
    <n v="6.2100000000000002E-2"/>
    <n v="0.03"/>
    <n v="0.02"/>
    <n v="0.06"/>
    <n v="0.02"/>
    <n v="0.02"/>
    <n v="0.02"/>
    <n v="0.9"/>
    <n v="180000"/>
    <n v="176460"/>
    <n v="304980"/>
    <n v="210120"/>
    <n v="408000"/>
    <n v="140000"/>
  </r>
  <r>
    <x v="0"/>
    <x v="1"/>
    <x v="11"/>
    <s v="Orthopedics USUPriv"/>
    <n v="2030"/>
    <x v="17"/>
    <n v="1246898.6913999806"/>
    <n v="0.02"/>
    <n v="0.01"/>
    <n v="0.01"/>
    <n v="6.2100000000000002E-2"/>
    <n v="0.03"/>
    <n v="0.02"/>
    <n v="0.06"/>
    <n v="0.02"/>
    <n v="0.02"/>
    <n v="0.02"/>
    <n v="0.9"/>
    <n v="180000"/>
    <n v="176460"/>
    <n v="304980"/>
    <n v="210120"/>
    <n v="408000"/>
    <n v="140000"/>
  </r>
  <r>
    <x v="0"/>
    <x v="1"/>
    <x v="11"/>
    <s v="Orthopedics USUPriv"/>
    <n v="2031"/>
    <x v="18"/>
    <n v="1390446.3907302993"/>
    <n v="0.02"/>
    <n v="0.01"/>
    <n v="0.01"/>
    <n v="6.2100000000000002E-2"/>
    <n v="0.03"/>
    <n v="0.02"/>
    <n v="0.06"/>
    <n v="0.02"/>
    <n v="0.02"/>
    <n v="0.02"/>
    <n v="0.9"/>
    <n v="180000"/>
    <n v="176460"/>
    <n v="304980"/>
    <n v="210120"/>
    <n v="408000"/>
    <n v="140000"/>
  </r>
  <r>
    <x v="0"/>
    <x v="1"/>
    <x v="11"/>
    <s v="Orthopedics USUPriv"/>
    <n v="2032"/>
    <x v="19"/>
    <n v="1531180.4160380152"/>
    <n v="0.02"/>
    <n v="0.01"/>
    <n v="0.01"/>
    <n v="6.2100000000000002E-2"/>
    <n v="0.03"/>
    <n v="0.02"/>
    <n v="0.06"/>
    <n v="0.02"/>
    <n v="0.02"/>
    <n v="0.02"/>
    <n v="0.9"/>
    <n v="180000"/>
    <n v="176460"/>
    <n v="304980"/>
    <n v="210120"/>
    <n v="408000"/>
    <n v="140000"/>
  </r>
  <r>
    <x v="0"/>
    <x v="1"/>
    <x v="11"/>
    <s v="Orthopedics USUPriv"/>
    <n v="2033"/>
    <x v="20"/>
    <n v="1669155.9086617529"/>
    <n v="0.02"/>
    <n v="0.01"/>
    <n v="0.01"/>
    <n v="6.2100000000000002E-2"/>
    <n v="0.03"/>
    <n v="0.02"/>
    <n v="0.06"/>
    <n v="0.02"/>
    <n v="0.02"/>
    <n v="0.02"/>
    <n v="0.9"/>
    <n v="180000"/>
    <n v="176460"/>
    <n v="304980"/>
    <n v="210120"/>
    <n v="408000"/>
    <n v="140000"/>
  </r>
  <r>
    <x v="0"/>
    <x v="1"/>
    <x v="11"/>
    <s v="Orthopedics USUPriv"/>
    <n v="2034"/>
    <x v="21"/>
    <n v="1804426.929574514"/>
    <n v="0.02"/>
    <n v="0.01"/>
    <n v="0.01"/>
    <n v="6.2100000000000002E-2"/>
    <n v="0.03"/>
    <n v="0.02"/>
    <n v="0.06"/>
    <n v="0.02"/>
    <n v="0.02"/>
    <n v="0.02"/>
    <n v="0.9"/>
    <n v="180000"/>
    <n v="176460"/>
    <n v="304980"/>
    <n v="210120"/>
    <n v="408000"/>
    <n v="140000"/>
  </r>
  <r>
    <x v="0"/>
    <x v="1"/>
    <x v="11"/>
    <s v="Orthopedics USUPriv"/>
    <n v="2035"/>
    <x v="22"/>
    <n v="1937046.480542934"/>
    <n v="0.02"/>
    <n v="0.01"/>
    <n v="0.01"/>
    <n v="6.2100000000000002E-2"/>
    <n v="0.03"/>
    <n v="0.02"/>
    <n v="0.06"/>
    <n v="0.02"/>
    <n v="0.02"/>
    <n v="0.02"/>
    <n v="0.9"/>
    <n v="180000"/>
    <n v="176460"/>
    <n v="304980"/>
    <n v="210120"/>
    <n v="408000"/>
    <n v="140000"/>
  </r>
  <r>
    <x v="0"/>
    <x v="1"/>
    <x v="11"/>
    <s v="Orthopedics USUPriv"/>
    <n v="2036"/>
    <x v="23"/>
    <n v="2067066.5248723649"/>
    <n v="0.02"/>
    <n v="0.01"/>
    <n v="0.01"/>
    <n v="6.2100000000000002E-2"/>
    <n v="0.03"/>
    <n v="0.02"/>
    <n v="0.06"/>
    <n v="0.02"/>
    <n v="0.02"/>
    <n v="0.02"/>
    <n v="0.9"/>
    <n v="180000"/>
    <n v="176460"/>
    <n v="304980"/>
    <n v="210120"/>
    <n v="408000"/>
    <n v="140000"/>
  </r>
  <r>
    <x v="0"/>
    <x v="1"/>
    <x v="11"/>
    <s v="Orthopedics USUPriv"/>
    <n v="2037"/>
    <x v="24"/>
    <n v="2194538.0077458788"/>
    <n v="0.02"/>
    <n v="0.01"/>
    <n v="0.01"/>
    <n v="6.2100000000000002E-2"/>
    <n v="0.03"/>
    <n v="0.02"/>
    <n v="0.06"/>
    <n v="0.02"/>
    <n v="0.02"/>
    <n v="0.02"/>
    <n v="0.9"/>
    <n v="180000"/>
    <n v="176460"/>
    <n v="304980"/>
    <n v="210120"/>
    <n v="408000"/>
    <n v="140000"/>
  </r>
  <r>
    <x v="0"/>
    <x v="1"/>
    <x v="11"/>
    <s v="Orthopedics USUPriv"/>
    <n v="2038"/>
    <x v="25"/>
    <n v="2319510.8761651362"/>
    <n v="0.02"/>
    <n v="0.01"/>
    <n v="0.01"/>
    <n v="6.2100000000000002E-2"/>
    <n v="0.03"/>
    <n v="0.02"/>
    <n v="0.06"/>
    <n v="0.02"/>
    <n v="0.02"/>
    <n v="0.02"/>
    <n v="0.9"/>
    <n v="180000"/>
    <n v="176460"/>
    <n v="304980"/>
    <n v="210120"/>
    <n v="408000"/>
    <n v="140000"/>
  </r>
  <r>
    <x v="0"/>
    <x v="1"/>
    <x v="11"/>
    <s v="Orthopedics USUPriv"/>
    <n v="2039"/>
    <x v="26"/>
    <n v="2442034.0985009102"/>
    <n v="0.02"/>
    <n v="0.01"/>
    <n v="0.01"/>
    <n v="6.2100000000000002E-2"/>
    <n v="0.03"/>
    <n v="0.02"/>
    <n v="0.06"/>
    <n v="0.02"/>
    <n v="0.02"/>
    <n v="0.02"/>
    <n v="0.9"/>
    <n v="180000"/>
    <n v="176460"/>
    <n v="304980"/>
    <n v="210120"/>
    <n v="408000"/>
    <n v="140000"/>
  </r>
  <r>
    <x v="0"/>
    <x v="1"/>
    <x v="11"/>
    <s v="Orthopedics USUPriv"/>
    <n v="2040"/>
    <x v="27"/>
    <n v="2562155.6836608946"/>
    <n v="0.02"/>
    <n v="0.01"/>
    <n v="0.01"/>
    <n v="6.2100000000000002E-2"/>
    <n v="0.03"/>
    <n v="0.02"/>
    <n v="0.06"/>
    <n v="0.02"/>
    <n v="0.02"/>
    <n v="0.02"/>
    <n v="0.9"/>
    <n v="180000"/>
    <n v="176460"/>
    <n v="304980"/>
    <n v="210120"/>
    <n v="408000"/>
    <n v="140000"/>
  </r>
  <r>
    <x v="0"/>
    <x v="1"/>
    <x v="11"/>
    <s v="Orthopedics USUPriv"/>
    <n v="2041"/>
    <x v="28"/>
    <n v="2679922.6998822857"/>
    <n v="0.02"/>
    <n v="0.01"/>
    <n v="0.01"/>
    <n v="6.2100000000000002E-2"/>
    <n v="0.03"/>
    <n v="0.02"/>
    <n v="0.06"/>
    <n v="0.02"/>
    <n v="0.02"/>
    <n v="0.02"/>
    <n v="0.9"/>
    <n v="180000"/>
    <n v="176460"/>
    <n v="304980"/>
    <n v="210120"/>
    <n v="408000"/>
    <n v="140000"/>
  </r>
  <r>
    <x v="0"/>
    <x v="1"/>
    <x v="11"/>
    <s v="Orthopedics USUPriv"/>
    <n v="2042"/>
    <x v="29"/>
    <n v="2795381.293156479"/>
    <n v="0.02"/>
    <n v="0.01"/>
    <n v="0.01"/>
    <n v="6.2100000000000002E-2"/>
    <n v="0.03"/>
    <n v="0.02"/>
    <n v="0.06"/>
    <n v="0.02"/>
    <n v="0.02"/>
    <n v="0.02"/>
    <n v="0.9"/>
    <n v="180000"/>
    <n v="176460"/>
    <n v="304980"/>
    <n v="210120"/>
    <n v="408000"/>
    <n v="140000"/>
  </r>
  <r>
    <x v="0"/>
    <x v="1"/>
    <x v="12"/>
    <s v="Orthopedics HPSPPriv"/>
    <n v="2013"/>
    <x v="0"/>
    <n v="41042.997114989732"/>
    <n v="0.02"/>
    <n v="0.01"/>
    <n v="0.01"/>
    <n v="6.2100000000000002E-2"/>
    <n v="0.03"/>
    <n v="0.02"/>
    <n v="0.06"/>
    <n v="0.02"/>
    <n v="0.02"/>
    <n v="0.02"/>
    <n v="0.9"/>
    <n v="180000"/>
    <n v="176460"/>
    <n v="304980"/>
    <n v="210120"/>
    <n v="408000"/>
    <n v="140000"/>
  </r>
  <r>
    <x v="0"/>
    <x v="1"/>
    <x v="12"/>
    <s v="Orthopedics HPSPPriv"/>
    <n v="2014"/>
    <x v="1"/>
    <n v="65715.375570480697"/>
    <n v="0.02"/>
    <n v="0.01"/>
    <n v="0.01"/>
    <n v="6.2100000000000002E-2"/>
    <n v="0.03"/>
    <n v="0.02"/>
    <n v="0.06"/>
    <n v="0.02"/>
    <n v="0.02"/>
    <n v="0.02"/>
    <n v="0.9"/>
    <n v="180000"/>
    <n v="176460"/>
    <n v="304980"/>
    <n v="210120"/>
    <n v="408000"/>
    <n v="140000"/>
  </r>
  <r>
    <x v="0"/>
    <x v="1"/>
    <x v="12"/>
    <s v="Orthopedics HPSPPriv"/>
    <n v="2015"/>
    <x v="2"/>
    <n v="89584.222784524245"/>
    <n v="0.02"/>
    <n v="0.01"/>
    <n v="0.01"/>
    <n v="6.2100000000000002E-2"/>
    <n v="0.03"/>
    <n v="0.02"/>
    <n v="0.06"/>
    <n v="0.02"/>
    <n v="0.02"/>
    <n v="0.02"/>
    <n v="0.9"/>
    <n v="180000"/>
    <n v="176460"/>
    <n v="304980"/>
    <n v="210120"/>
    <n v="408000"/>
    <n v="140000"/>
  </r>
  <r>
    <x v="0"/>
    <x v="1"/>
    <x v="12"/>
    <s v="Orthopedics HPSPPriv"/>
    <n v="2016"/>
    <x v="3"/>
    <n v="113201.76547692725"/>
    <n v="0.02"/>
    <n v="0.01"/>
    <n v="0.01"/>
    <n v="6.2100000000000002E-2"/>
    <n v="0.03"/>
    <n v="0.02"/>
    <n v="0.06"/>
    <n v="0.02"/>
    <n v="0.02"/>
    <n v="0.02"/>
    <n v="0.9"/>
    <n v="180000"/>
    <n v="176460"/>
    <n v="304980"/>
    <n v="210120"/>
    <n v="408000"/>
    <n v="140000"/>
  </r>
  <r>
    <x v="0"/>
    <x v="1"/>
    <x v="12"/>
    <s v="Orthopedics HPSPPriv"/>
    <n v="2017"/>
    <x v="4"/>
    <n v="172355.01813676453"/>
    <n v="0.02"/>
    <n v="0.01"/>
    <n v="0.01"/>
    <n v="6.2100000000000002E-2"/>
    <n v="0.03"/>
    <n v="0.02"/>
    <n v="0.06"/>
    <n v="0.02"/>
    <n v="0.02"/>
    <n v="0.02"/>
    <n v="0.9"/>
    <n v="180000"/>
    <n v="176460"/>
    <n v="304980"/>
    <n v="210120"/>
    <n v="408000"/>
    <n v="140000"/>
  </r>
  <r>
    <x v="0"/>
    <x v="1"/>
    <x v="12"/>
    <s v="Orthopedics HPSPPriv"/>
    <n v="2018"/>
    <x v="5"/>
    <n v="231206.76875199139"/>
    <n v="0.02"/>
    <n v="0.01"/>
    <n v="0.01"/>
    <n v="6.2100000000000002E-2"/>
    <n v="0.03"/>
    <n v="0.02"/>
    <n v="0.06"/>
    <n v="0.02"/>
    <n v="0.02"/>
    <n v="0.02"/>
    <n v="0.9"/>
    <n v="180000"/>
    <n v="176460"/>
    <n v="304980"/>
    <n v="210120"/>
    <n v="408000"/>
    <n v="140000"/>
  </r>
  <r>
    <x v="0"/>
    <x v="1"/>
    <x v="12"/>
    <s v="Orthopedics HPSPPriv"/>
    <n v="2019"/>
    <x v="6"/>
    <n v="290708.52795933932"/>
    <n v="0.02"/>
    <n v="0.01"/>
    <n v="0.01"/>
    <n v="6.2100000000000002E-2"/>
    <n v="0.03"/>
    <n v="0.02"/>
    <n v="0.06"/>
    <n v="0.02"/>
    <n v="0.02"/>
    <n v="0.02"/>
    <n v="0.9"/>
    <n v="180000"/>
    <n v="176460"/>
    <n v="304980"/>
    <n v="210120"/>
    <n v="408000"/>
    <n v="140000"/>
  </r>
  <r>
    <x v="0"/>
    <x v="1"/>
    <x v="12"/>
    <s v="Orthopedics HPSPPriv"/>
    <n v="2020"/>
    <x v="7"/>
    <n v="349825.65045436658"/>
    <n v="0.02"/>
    <n v="0.01"/>
    <n v="0.01"/>
    <n v="6.2100000000000002E-2"/>
    <n v="0.03"/>
    <n v="0.02"/>
    <n v="0.06"/>
    <n v="0.02"/>
    <n v="0.02"/>
    <n v="0.02"/>
    <n v="0.9"/>
    <n v="180000"/>
    <n v="176460"/>
    <n v="304980"/>
    <n v="210120"/>
    <n v="408000"/>
    <n v="140000"/>
  </r>
  <r>
    <x v="0"/>
    <x v="1"/>
    <x v="12"/>
    <s v="Orthopedics HPSPPriv"/>
    <n v="2021"/>
    <x v="8"/>
    <n v="408904.59985710343"/>
    <n v="0.02"/>
    <n v="0.01"/>
    <n v="0.01"/>
    <n v="6.2100000000000002E-2"/>
    <n v="0.03"/>
    <n v="0.02"/>
    <n v="0.06"/>
    <n v="0.02"/>
    <n v="0.02"/>
    <n v="0.02"/>
    <n v="0.9"/>
    <n v="180000"/>
    <n v="176460"/>
    <n v="304980"/>
    <n v="210120"/>
    <n v="408000"/>
    <n v="140000"/>
  </r>
  <r>
    <x v="0"/>
    <x v="1"/>
    <x v="12"/>
    <s v="Orthopedics HPSPPriv"/>
    <n v="2022"/>
    <x v="9"/>
    <n v="471953.95108422253"/>
    <n v="0.02"/>
    <n v="0.01"/>
    <n v="0.01"/>
    <n v="6.2100000000000002E-2"/>
    <n v="0.03"/>
    <n v="0.02"/>
    <n v="0.06"/>
    <n v="0.02"/>
    <n v="0.02"/>
    <n v="0.02"/>
    <n v="0.9"/>
    <n v="180000"/>
    <n v="176460"/>
    <n v="304980"/>
    <n v="210120"/>
    <n v="408000"/>
    <n v="140000"/>
  </r>
  <r>
    <x v="0"/>
    <x v="1"/>
    <x v="12"/>
    <s v="Orthopedics HPSPPriv"/>
    <n v="2023"/>
    <x v="10"/>
    <n v="541327.20941598632"/>
    <n v="0.02"/>
    <n v="0.01"/>
    <n v="0.01"/>
    <n v="6.2100000000000002E-2"/>
    <n v="0.03"/>
    <n v="0.02"/>
    <n v="0.06"/>
    <n v="0.02"/>
    <n v="0.02"/>
    <n v="0.02"/>
    <n v="0.9"/>
    <n v="180000"/>
    <n v="176460"/>
    <n v="304980"/>
    <n v="210120"/>
    <n v="408000"/>
    <n v="140000"/>
  </r>
  <r>
    <x v="0"/>
    <x v="1"/>
    <x v="12"/>
    <s v="Orthopedics HPSPPriv"/>
    <n v="2024"/>
    <x v="11"/>
    <n v="608078.02384247107"/>
    <n v="0.02"/>
    <n v="0.01"/>
    <n v="0.01"/>
    <n v="6.2100000000000002E-2"/>
    <n v="0.03"/>
    <n v="0.02"/>
    <n v="0.06"/>
    <n v="0.02"/>
    <n v="0.02"/>
    <n v="0.02"/>
    <n v="0.9"/>
    <n v="180000"/>
    <n v="176460"/>
    <n v="304980"/>
    <n v="210120"/>
    <n v="408000"/>
    <n v="140000"/>
  </r>
  <r>
    <x v="0"/>
    <x v="1"/>
    <x v="12"/>
    <s v="Orthopedics HPSPPriv"/>
    <n v="2025"/>
    <x v="12"/>
    <n v="673597.37306204333"/>
    <n v="0.02"/>
    <n v="0.01"/>
    <n v="0.01"/>
    <n v="6.2100000000000002E-2"/>
    <n v="0.03"/>
    <n v="0.02"/>
    <n v="0.06"/>
    <n v="0.02"/>
    <n v="0.02"/>
    <n v="0.02"/>
    <n v="0.9"/>
    <n v="180000"/>
    <n v="176460"/>
    <n v="304980"/>
    <n v="210120"/>
    <n v="408000"/>
    <n v="140000"/>
  </r>
  <r>
    <x v="0"/>
    <x v="1"/>
    <x v="12"/>
    <s v="Orthopedics HPSPPriv"/>
    <n v="2026"/>
    <x v="13"/>
    <n v="832079.91047086322"/>
    <n v="0.02"/>
    <n v="0.01"/>
    <n v="0.01"/>
    <n v="6.2100000000000002E-2"/>
    <n v="0.03"/>
    <n v="0.02"/>
    <n v="0.06"/>
    <n v="0.02"/>
    <n v="0.02"/>
    <n v="0.02"/>
    <n v="0.9"/>
    <n v="180000"/>
    <n v="176460"/>
    <n v="304980"/>
    <n v="210120"/>
    <n v="408000"/>
    <n v="140000"/>
  </r>
  <r>
    <x v="0"/>
    <x v="1"/>
    <x v="12"/>
    <s v="Orthopedics HPSPPriv"/>
    <n v="2027"/>
    <x v="14"/>
    <n v="987456.09105822339"/>
    <n v="0.02"/>
    <n v="0.01"/>
    <n v="0.01"/>
    <n v="6.2100000000000002E-2"/>
    <n v="0.03"/>
    <n v="0.02"/>
    <n v="0.06"/>
    <n v="0.02"/>
    <n v="0.02"/>
    <n v="0.02"/>
    <n v="0.9"/>
    <n v="180000"/>
    <n v="176460"/>
    <n v="304980"/>
    <n v="210120"/>
    <n v="408000"/>
    <n v="140000"/>
  </r>
  <r>
    <x v="0"/>
    <x v="1"/>
    <x v="12"/>
    <s v="Orthopedics HPSPPriv"/>
    <n v="2028"/>
    <x v="15"/>
    <n v="1139786.7904635807"/>
    <n v="0.02"/>
    <n v="0.01"/>
    <n v="0.01"/>
    <n v="6.2100000000000002E-2"/>
    <n v="0.03"/>
    <n v="0.02"/>
    <n v="0.06"/>
    <n v="0.02"/>
    <n v="0.02"/>
    <n v="0.02"/>
    <n v="0.9"/>
    <n v="180000"/>
    <n v="176460"/>
    <n v="304980"/>
    <n v="210120"/>
    <n v="408000"/>
    <n v="140000"/>
  </r>
  <r>
    <x v="0"/>
    <x v="1"/>
    <x v="12"/>
    <s v="Orthopedics HPSPPriv"/>
    <n v="2029"/>
    <x v="16"/>
    <n v="1289131.6916568251"/>
    <n v="0.02"/>
    <n v="0.01"/>
    <n v="0.01"/>
    <n v="6.2100000000000002E-2"/>
    <n v="0.03"/>
    <n v="0.02"/>
    <n v="0.06"/>
    <n v="0.02"/>
    <n v="0.02"/>
    <n v="0.02"/>
    <n v="0.9"/>
    <n v="180000"/>
    <n v="176460"/>
    <n v="304980"/>
    <n v="210120"/>
    <n v="408000"/>
    <n v="140000"/>
  </r>
  <r>
    <x v="0"/>
    <x v="1"/>
    <x v="12"/>
    <s v="Orthopedics HPSPPriv"/>
    <n v="2030"/>
    <x v="17"/>
    <n v="1435549.3082956921"/>
    <n v="0.02"/>
    <n v="0.01"/>
    <n v="0.01"/>
    <n v="6.2100000000000002E-2"/>
    <n v="0.03"/>
    <n v="0.02"/>
    <n v="0.06"/>
    <n v="0.02"/>
    <n v="0.02"/>
    <n v="0.02"/>
    <n v="0.9"/>
    <n v="180000"/>
    <n v="176460"/>
    <n v="304980"/>
    <n v="210120"/>
    <n v="408000"/>
    <n v="140000"/>
  </r>
  <r>
    <x v="0"/>
    <x v="1"/>
    <x v="12"/>
    <s v="Orthopedics HPSPPriv"/>
    <n v="2031"/>
    <x v="18"/>
    <n v="1579097.0076260108"/>
    <n v="0.02"/>
    <n v="0.01"/>
    <n v="0.01"/>
    <n v="6.2100000000000002E-2"/>
    <n v="0.03"/>
    <n v="0.02"/>
    <n v="0.06"/>
    <n v="0.02"/>
    <n v="0.02"/>
    <n v="0.02"/>
    <n v="0.9"/>
    <n v="180000"/>
    <n v="176460"/>
    <n v="304980"/>
    <n v="210120"/>
    <n v="408000"/>
    <n v="140000"/>
  </r>
  <r>
    <x v="0"/>
    <x v="1"/>
    <x v="12"/>
    <s v="Orthopedics HPSPPriv"/>
    <n v="2032"/>
    <x v="19"/>
    <n v="1719831.0329337267"/>
    <n v="0.02"/>
    <n v="0.01"/>
    <n v="0.01"/>
    <n v="6.2100000000000002E-2"/>
    <n v="0.03"/>
    <n v="0.02"/>
    <n v="0.06"/>
    <n v="0.02"/>
    <n v="0.02"/>
    <n v="0.02"/>
    <n v="0.9"/>
    <n v="180000"/>
    <n v="176460"/>
    <n v="304980"/>
    <n v="210120"/>
    <n v="408000"/>
    <n v="140000"/>
  </r>
  <r>
    <x v="0"/>
    <x v="1"/>
    <x v="12"/>
    <s v="Orthopedics HPSPPriv"/>
    <n v="2033"/>
    <x v="20"/>
    <n v="1857806.5255574645"/>
    <n v="0.02"/>
    <n v="0.01"/>
    <n v="0.01"/>
    <n v="6.2100000000000002E-2"/>
    <n v="0.03"/>
    <n v="0.02"/>
    <n v="0.06"/>
    <n v="0.02"/>
    <n v="0.02"/>
    <n v="0.02"/>
    <n v="0.9"/>
    <n v="180000"/>
    <n v="176460"/>
    <n v="304980"/>
    <n v="210120"/>
    <n v="408000"/>
    <n v="140000"/>
  </r>
  <r>
    <x v="0"/>
    <x v="1"/>
    <x v="12"/>
    <s v="Orthopedics HPSPPriv"/>
    <n v="2034"/>
    <x v="21"/>
    <n v="1993077.5464702256"/>
    <n v="0.02"/>
    <n v="0.01"/>
    <n v="0.01"/>
    <n v="6.2100000000000002E-2"/>
    <n v="0.03"/>
    <n v="0.02"/>
    <n v="0.06"/>
    <n v="0.02"/>
    <n v="0.02"/>
    <n v="0.02"/>
    <n v="0.9"/>
    <n v="180000"/>
    <n v="176460"/>
    <n v="304980"/>
    <n v="210120"/>
    <n v="408000"/>
    <n v="140000"/>
  </r>
  <r>
    <x v="0"/>
    <x v="1"/>
    <x v="12"/>
    <s v="Orthopedics HPSPPriv"/>
    <n v="2035"/>
    <x v="22"/>
    <n v="2125697.0974386455"/>
    <n v="0.02"/>
    <n v="0.01"/>
    <n v="0.01"/>
    <n v="6.2100000000000002E-2"/>
    <n v="0.03"/>
    <n v="0.02"/>
    <n v="0.06"/>
    <n v="0.02"/>
    <n v="0.02"/>
    <n v="0.02"/>
    <n v="0.9"/>
    <n v="180000"/>
    <n v="176460"/>
    <n v="304980"/>
    <n v="210120"/>
    <n v="408000"/>
    <n v="140000"/>
  </r>
  <r>
    <x v="0"/>
    <x v="1"/>
    <x v="12"/>
    <s v="Orthopedics HPSPPriv"/>
    <n v="2036"/>
    <x v="23"/>
    <n v="2255717.1417680765"/>
    <n v="0.02"/>
    <n v="0.01"/>
    <n v="0.01"/>
    <n v="6.2100000000000002E-2"/>
    <n v="0.03"/>
    <n v="0.02"/>
    <n v="0.06"/>
    <n v="0.02"/>
    <n v="0.02"/>
    <n v="0.02"/>
    <n v="0.9"/>
    <n v="180000"/>
    <n v="176460"/>
    <n v="304980"/>
    <n v="210120"/>
    <n v="408000"/>
    <n v="140000"/>
  </r>
  <r>
    <x v="0"/>
    <x v="1"/>
    <x v="12"/>
    <s v="Orthopedics HPSPPriv"/>
    <n v="2037"/>
    <x v="24"/>
    <n v="2383188.6246415903"/>
    <n v="0.02"/>
    <n v="0.01"/>
    <n v="0.01"/>
    <n v="6.2100000000000002E-2"/>
    <n v="0.03"/>
    <n v="0.02"/>
    <n v="0.06"/>
    <n v="0.02"/>
    <n v="0.02"/>
    <n v="0.02"/>
    <n v="0.9"/>
    <n v="180000"/>
    <n v="176460"/>
    <n v="304980"/>
    <n v="210120"/>
    <n v="408000"/>
    <n v="140000"/>
  </r>
  <r>
    <x v="0"/>
    <x v="1"/>
    <x v="12"/>
    <s v="Orthopedics HPSPPriv"/>
    <n v="2038"/>
    <x v="25"/>
    <n v="2508161.4930608477"/>
    <n v="0.02"/>
    <n v="0.01"/>
    <n v="0.01"/>
    <n v="6.2100000000000002E-2"/>
    <n v="0.03"/>
    <n v="0.02"/>
    <n v="0.06"/>
    <n v="0.02"/>
    <n v="0.02"/>
    <n v="0.02"/>
    <n v="0.9"/>
    <n v="180000"/>
    <n v="176460"/>
    <n v="304980"/>
    <n v="210120"/>
    <n v="408000"/>
    <n v="140000"/>
  </r>
  <r>
    <x v="0"/>
    <x v="1"/>
    <x v="12"/>
    <s v="Orthopedics HPSPPriv"/>
    <n v="2039"/>
    <x v="26"/>
    <n v="2630684.7153966217"/>
    <n v="0.02"/>
    <n v="0.01"/>
    <n v="0.01"/>
    <n v="6.2100000000000002E-2"/>
    <n v="0.03"/>
    <n v="0.02"/>
    <n v="0.06"/>
    <n v="0.02"/>
    <n v="0.02"/>
    <n v="0.02"/>
    <n v="0.9"/>
    <n v="180000"/>
    <n v="176460"/>
    <n v="304980"/>
    <n v="210120"/>
    <n v="408000"/>
    <n v="140000"/>
  </r>
  <r>
    <x v="0"/>
    <x v="1"/>
    <x v="12"/>
    <s v="Orthopedics HPSPPriv"/>
    <n v="2040"/>
    <x v="27"/>
    <n v="2750806.3005566061"/>
    <n v="0.02"/>
    <n v="0.01"/>
    <n v="0.01"/>
    <n v="6.2100000000000002E-2"/>
    <n v="0.03"/>
    <n v="0.02"/>
    <n v="0.06"/>
    <n v="0.02"/>
    <n v="0.02"/>
    <n v="0.02"/>
    <n v="0.9"/>
    <n v="180000"/>
    <n v="176460"/>
    <n v="304980"/>
    <n v="210120"/>
    <n v="408000"/>
    <n v="140000"/>
  </r>
  <r>
    <x v="0"/>
    <x v="1"/>
    <x v="12"/>
    <s v="Orthopedics HPSPPriv"/>
    <n v="2041"/>
    <x v="28"/>
    <n v="2868573.3167779972"/>
    <n v="0.02"/>
    <n v="0.01"/>
    <n v="0.01"/>
    <n v="6.2100000000000002E-2"/>
    <n v="0.03"/>
    <n v="0.02"/>
    <n v="0.06"/>
    <n v="0.02"/>
    <n v="0.02"/>
    <n v="0.02"/>
    <n v="0.9"/>
    <n v="180000"/>
    <n v="176460"/>
    <n v="304980"/>
    <n v="210120"/>
    <n v="408000"/>
    <n v="140000"/>
  </r>
  <r>
    <x v="0"/>
    <x v="1"/>
    <x v="12"/>
    <s v="Orthopedics HPSPPriv"/>
    <n v="2042"/>
    <x v="29"/>
    <n v="2984031.9100521905"/>
    <n v="0.02"/>
    <n v="0.01"/>
    <n v="0.01"/>
    <n v="6.2100000000000002E-2"/>
    <n v="0.03"/>
    <n v="0.02"/>
    <n v="0.06"/>
    <n v="0.02"/>
    <n v="0.02"/>
    <n v="0.02"/>
    <n v="0.9"/>
    <n v="180000"/>
    <n v="176460"/>
    <n v="304980"/>
    <n v="210120"/>
    <n v="408000"/>
    <n v="140000"/>
  </r>
  <r>
    <x v="0"/>
    <x v="2"/>
    <x v="0"/>
    <s v="General Surgery USU"/>
    <n v="2013"/>
    <x v="0"/>
    <n v="52525.686799999996"/>
    <n v="0.02"/>
    <n v="0.01"/>
    <n v="0.01"/>
    <n v="6.2100000000000002E-2"/>
    <n v="0.03"/>
    <n v="0.02"/>
    <n v="0.06"/>
    <n v="0.02"/>
    <n v="0.02"/>
    <n v="0.02"/>
    <n v="0.9"/>
    <n v="180000"/>
    <n v="176460"/>
    <n v="304980"/>
    <n v="210120"/>
    <n v="408000"/>
    <n v="140000"/>
  </r>
  <r>
    <x v="0"/>
    <x v="2"/>
    <x v="0"/>
    <s v="General Surgery USU"/>
    <n v="2014"/>
    <x v="1"/>
    <n v="103045.21008954883"/>
    <n v="0.02"/>
    <n v="0.01"/>
    <n v="0.01"/>
    <n v="6.2100000000000002E-2"/>
    <n v="0.03"/>
    <n v="0.02"/>
    <n v="0.06"/>
    <n v="0.02"/>
    <n v="0.02"/>
    <n v="0.02"/>
    <n v="0.9"/>
    <n v="180000"/>
    <n v="176460"/>
    <n v="304980"/>
    <n v="210120"/>
    <n v="408000"/>
    <n v="140000"/>
  </r>
  <r>
    <x v="0"/>
    <x v="2"/>
    <x v="0"/>
    <s v="General Surgery USU"/>
    <n v="2015"/>
    <x v="2"/>
    <n v="152565.98092317433"/>
    <n v="0.02"/>
    <n v="0.01"/>
    <n v="0.01"/>
    <n v="6.2100000000000002E-2"/>
    <n v="0.03"/>
    <n v="0.02"/>
    <n v="0.06"/>
    <n v="0.02"/>
    <n v="0.02"/>
    <n v="0.02"/>
    <n v="0.9"/>
    <n v="180000"/>
    <n v="176460"/>
    <n v="304980"/>
    <n v="210120"/>
    <n v="408000"/>
    <n v="140000"/>
  </r>
  <r>
    <x v="0"/>
    <x v="2"/>
    <x v="0"/>
    <s v="General Surgery USU"/>
    <n v="2016"/>
    <x v="3"/>
    <n v="204951.40008844491"/>
    <n v="0.02"/>
    <n v="0.01"/>
    <n v="0.01"/>
    <n v="6.2100000000000002E-2"/>
    <n v="0.03"/>
    <n v="0.02"/>
    <n v="0.06"/>
    <n v="0.02"/>
    <n v="0.02"/>
    <n v="0.02"/>
    <n v="0.9"/>
    <n v="180000"/>
    <n v="176460"/>
    <n v="304980"/>
    <n v="210120"/>
    <n v="408000"/>
    <n v="140000"/>
  </r>
  <r>
    <x v="0"/>
    <x v="2"/>
    <x v="0"/>
    <s v="General Surgery USU"/>
    <n v="2017"/>
    <x v="4"/>
    <n v="264104.65274828218"/>
    <n v="0.02"/>
    <n v="0.01"/>
    <n v="0.01"/>
    <n v="6.2100000000000002E-2"/>
    <n v="0.03"/>
    <n v="0.02"/>
    <n v="0.06"/>
    <n v="0.02"/>
    <n v="0.02"/>
    <n v="0.02"/>
    <n v="0.9"/>
    <n v="180000"/>
    <n v="176460"/>
    <n v="304980"/>
    <n v="210120"/>
    <n v="408000"/>
    <n v="140000"/>
  </r>
  <r>
    <x v="0"/>
    <x v="2"/>
    <x v="0"/>
    <s v="General Surgery USU"/>
    <n v="2018"/>
    <x v="5"/>
    <n v="322956.40336350905"/>
    <n v="0.02"/>
    <n v="0.01"/>
    <n v="0.01"/>
    <n v="6.2100000000000002E-2"/>
    <n v="0.03"/>
    <n v="0.02"/>
    <n v="0.06"/>
    <n v="0.02"/>
    <n v="0.02"/>
    <n v="0.02"/>
    <n v="0.9"/>
    <n v="180000"/>
    <n v="176460"/>
    <n v="304980"/>
    <n v="210120"/>
    <n v="408000"/>
    <n v="140000"/>
  </r>
  <r>
    <x v="0"/>
    <x v="2"/>
    <x v="0"/>
    <s v="General Surgery USU"/>
    <n v="2019"/>
    <x v="6"/>
    <n v="382458.16257085698"/>
    <n v="0.02"/>
    <n v="0.01"/>
    <n v="0.01"/>
    <n v="6.2100000000000002E-2"/>
    <n v="0.03"/>
    <n v="0.02"/>
    <n v="0.06"/>
    <n v="0.02"/>
    <n v="0.02"/>
    <n v="0.02"/>
    <n v="0.9"/>
    <n v="180000"/>
    <n v="176460"/>
    <n v="304980"/>
    <n v="210120"/>
    <n v="408000"/>
    <n v="140000"/>
  </r>
  <r>
    <x v="0"/>
    <x v="2"/>
    <x v="0"/>
    <s v="General Surgery USU"/>
    <n v="2020"/>
    <x v="7"/>
    <n v="441575.28506588424"/>
    <n v="0.02"/>
    <n v="0.01"/>
    <n v="0.01"/>
    <n v="6.2100000000000002E-2"/>
    <n v="0.03"/>
    <n v="0.02"/>
    <n v="0.06"/>
    <n v="0.02"/>
    <n v="0.02"/>
    <n v="0.02"/>
    <n v="0.9"/>
    <n v="180000"/>
    <n v="176460"/>
    <n v="304980"/>
    <n v="210120"/>
    <n v="408000"/>
    <n v="140000"/>
  </r>
  <r>
    <x v="0"/>
    <x v="2"/>
    <x v="0"/>
    <s v="General Surgery USU"/>
    <n v="2021"/>
    <x v="8"/>
    <n v="500654.23446862109"/>
    <n v="0.02"/>
    <n v="0.01"/>
    <n v="0.01"/>
    <n v="6.2100000000000002E-2"/>
    <n v="0.03"/>
    <n v="0.02"/>
    <n v="0.06"/>
    <n v="0.02"/>
    <n v="0.02"/>
    <n v="0.02"/>
    <n v="0.9"/>
    <n v="180000"/>
    <n v="176460"/>
    <n v="304980"/>
    <n v="210120"/>
    <n v="408000"/>
    <n v="140000"/>
  </r>
  <r>
    <x v="0"/>
    <x v="2"/>
    <x v="0"/>
    <s v="General Surgery USU"/>
    <n v="2022"/>
    <x v="9"/>
    <n v="563703.58569574018"/>
    <n v="0.02"/>
    <n v="0.01"/>
    <n v="0.01"/>
    <n v="6.2100000000000002E-2"/>
    <n v="0.03"/>
    <n v="0.02"/>
    <n v="0.06"/>
    <n v="0.02"/>
    <n v="0.02"/>
    <n v="0.02"/>
    <n v="0.9"/>
    <n v="180000"/>
    <n v="176460"/>
    <n v="304980"/>
    <n v="210120"/>
    <n v="408000"/>
    <n v="140000"/>
  </r>
  <r>
    <x v="0"/>
    <x v="2"/>
    <x v="0"/>
    <s v="General Surgery USU"/>
    <n v="2023"/>
    <x v="10"/>
    <n v="633076.84402750398"/>
    <n v="0.02"/>
    <n v="0.01"/>
    <n v="0.01"/>
    <n v="6.2100000000000002E-2"/>
    <n v="0.03"/>
    <n v="0.02"/>
    <n v="0.06"/>
    <n v="0.02"/>
    <n v="0.02"/>
    <n v="0.02"/>
    <n v="0.9"/>
    <n v="180000"/>
    <n v="176460"/>
    <n v="304980"/>
    <n v="210120"/>
    <n v="408000"/>
    <n v="140000"/>
  </r>
  <r>
    <x v="0"/>
    <x v="2"/>
    <x v="0"/>
    <s v="General Surgery USU"/>
    <n v="2024"/>
    <x v="11"/>
    <n v="699827.65845398873"/>
    <n v="0.02"/>
    <n v="0.01"/>
    <n v="0.01"/>
    <n v="6.2100000000000002E-2"/>
    <n v="0.03"/>
    <n v="0.02"/>
    <n v="0.06"/>
    <n v="0.02"/>
    <n v="0.02"/>
    <n v="0.02"/>
    <n v="0.9"/>
    <n v="180000"/>
    <n v="176460"/>
    <n v="304980"/>
    <n v="210120"/>
    <n v="408000"/>
    <n v="140000"/>
  </r>
  <r>
    <x v="0"/>
    <x v="2"/>
    <x v="0"/>
    <s v="General Surgery USU"/>
    <n v="2025"/>
    <x v="12"/>
    <n v="765347.00767356099"/>
    <n v="0.02"/>
    <n v="0.01"/>
    <n v="0.01"/>
    <n v="6.2100000000000002E-2"/>
    <n v="0.03"/>
    <n v="0.02"/>
    <n v="0.06"/>
    <n v="0.02"/>
    <n v="0.02"/>
    <n v="0.02"/>
    <n v="0.9"/>
    <n v="180000"/>
    <n v="176460"/>
    <n v="304980"/>
    <n v="210120"/>
    <n v="408000"/>
    <n v="140000"/>
  </r>
  <r>
    <x v="0"/>
    <x v="2"/>
    <x v="0"/>
    <s v="General Surgery USU"/>
    <n v="2026"/>
    <x v="13"/>
    <n v="828389.49004259263"/>
    <n v="0.02"/>
    <n v="0.01"/>
    <n v="0.01"/>
    <n v="6.2100000000000002E-2"/>
    <n v="0.03"/>
    <n v="0.02"/>
    <n v="0.06"/>
    <n v="0.02"/>
    <n v="0.02"/>
    <n v="0.02"/>
    <n v="0.9"/>
    <n v="180000"/>
    <n v="176460"/>
    <n v="304980"/>
    <n v="210120"/>
    <n v="408000"/>
    <n v="140000"/>
  </r>
  <r>
    <x v="0"/>
    <x v="2"/>
    <x v="0"/>
    <s v="General Surgery USU"/>
    <n v="2027"/>
    <x v="14"/>
    <n v="890951.83217297471"/>
    <n v="0.02"/>
    <n v="0.01"/>
    <n v="0.01"/>
    <n v="6.2100000000000002E-2"/>
    <n v="0.03"/>
    <n v="0.02"/>
    <n v="0.06"/>
    <n v="0.02"/>
    <n v="0.02"/>
    <n v="0.02"/>
    <n v="0.9"/>
    <n v="180000"/>
    <n v="176460"/>
    <n v="304980"/>
    <n v="210120"/>
    <n v="408000"/>
    <n v="140000"/>
  </r>
  <r>
    <x v="0"/>
    <x v="2"/>
    <x v="0"/>
    <s v="General Surgery USU"/>
    <n v="2028"/>
    <x v="15"/>
    <n v="951136.17356786923"/>
    <n v="0.02"/>
    <n v="0.01"/>
    <n v="0.01"/>
    <n v="6.2100000000000002E-2"/>
    <n v="0.03"/>
    <n v="0.02"/>
    <n v="0.06"/>
    <n v="0.02"/>
    <n v="0.02"/>
    <n v="0.02"/>
    <n v="0.9"/>
    <n v="180000"/>
    <n v="176460"/>
    <n v="304980"/>
    <n v="210120"/>
    <n v="408000"/>
    <n v="140000"/>
  </r>
  <r>
    <x v="0"/>
    <x v="2"/>
    <x v="0"/>
    <s v="General Surgery USU"/>
    <n v="2029"/>
    <x v="16"/>
    <n v="1047802.4290000375"/>
    <n v="0.02"/>
    <n v="0.01"/>
    <n v="0.01"/>
    <n v="6.2100000000000002E-2"/>
    <n v="0.03"/>
    <n v="0.02"/>
    <n v="0.06"/>
    <n v="0.02"/>
    <n v="0.02"/>
    <n v="0.02"/>
    <n v="0.9"/>
    <n v="180000"/>
    <n v="176460"/>
    <n v="304980"/>
    <n v="210120"/>
    <n v="408000"/>
    <n v="140000"/>
  </r>
  <r>
    <x v="0"/>
    <x v="2"/>
    <x v="0"/>
    <s v="General Surgery USU"/>
    <n v="2030"/>
    <x v="17"/>
    <n v="1140738.209685764"/>
    <n v="0.02"/>
    <n v="0.01"/>
    <n v="0.01"/>
    <n v="6.2100000000000002E-2"/>
    <n v="0.03"/>
    <n v="0.02"/>
    <n v="0.06"/>
    <n v="0.02"/>
    <n v="0.02"/>
    <n v="0.02"/>
    <n v="0.9"/>
    <n v="180000"/>
    <n v="176460"/>
    <n v="304980"/>
    <n v="210120"/>
    <n v="408000"/>
    <n v="140000"/>
  </r>
  <r>
    <x v="0"/>
    <x v="2"/>
    <x v="0"/>
    <s v="General Surgery USU"/>
    <n v="2031"/>
    <x v="18"/>
    <n v="1231254.8157583571"/>
    <n v="0.02"/>
    <n v="0.01"/>
    <n v="0.01"/>
    <n v="6.2100000000000002E-2"/>
    <n v="0.03"/>
    <n v="0.02"/>
    <n v="0.06"/>
    <n v="0.02"/>
    <n v="0.02"/>
    <n v="0.02"/>
    <n v="0.9"/>
    <n v="180000"/>
    <n v="176460"/>
    <n v="304980"/>
    <n v="210120"/>
    <n v="408000"/>
    <n v="140000"/>
  </r>
  <r>
    <x v="0"/>
    <x v="2"/>
    <x v="0"/>
    <s v="General Surgery USU"/>
    <n v="2032"/>
    <x v="19"/>
    <n v="1318278.3019522629"/>
    <n v="0.02"/>
    <n v="0.01"/>
    <n v="0.01"/>
    <n v="6.2100000000000002E-2"/>
    <n v="0.03"/>
    <n v="0.02"/>
    <n v="0.06"/>
    <n v="0.02"/>
    <n v="0.02"/>
    <n v="0.02"/>
    <n v="0.9"/>
    <n v="180000"/>
    <n v="176460"/>
    <n v="304980"/>
    <n v="210120"/>
    <n v="408000"/>
    <n v="140000"/>
  </r>
  <r>
    <x v="0"/>
    <x v="2"/>
    <x v="0"/>
    <s v="General Surgery USU"/>
    <n v="2033"/>
    <x v="20"/>
    <n v="1403594.9536913906"/>
    <n v="0.02"/>
    <n v="0.01"/>
    <n v="0.01"/>
    <n v="6.2100000000000002E-2"/>
    <n v="0.03"/>
    <n v="0.02"/>
    <n v="0.06"/>
    <n v="0.02"/>
    <n v="0.02"/>
    <n v="0.02"/>
    <n v="0.9"/>
    <n v="180000"/>
    <n v="176460"/>
    <n v="304980"/>
    <n v="210120"/>
    <n v="408000"/>
    <n v="140000"/>
  </r>
  <r>
    <x v="0"/>
    <x v="2"/>
    <x v="0"/>
    <s v="General Surgery USU"/>
    <n v="2034"/>
    <x v="21"/>
    <n v="1485619.156828955"/>
    <n v="0.02"/>
    <n v="0.01"/>
    <n v="0.01"/>
    <n v="6.2100000000000002E-2"/>
    <n v="0.03"/>
    <n v="0.02"/>
    <n v="0.06"/>
    <n v="0.02"/>
    <n v="0.02"/>
    <n v="0.02"/>
    <n v="0.9"/>
    <n v="180000"/>
    <n v="176460"/>
    <n v="304980"/>
    <n v="210120"/>
    <n v="408000"/>
    <n v="140000"/>
  </r>
  <r>
    <x v="0"/>
    <x v="2"/>
    <x v="0"/>
    <s v="General Surgery USU"/>
    <n v="2035"/>
    <x v="22"/>
    <n v="1568551.9580712216"/>
    <n v="0.02"/>
    <n v="0.01"/>
    <n v="0.01"/>
    <n v="6.2100000000000002E-2"/>
    <n v="0.03"/>
    <n v="0.02"/>
    <n v="0.06"/>
    <n v="0.02"/>
    <n v="0.02"/>
    <n v="0.02"/>
    <n v="0.9"/>
    <n v="180000"/>
    <n v="176460"/>
    <n v="304980"/>
    <n v="210120"/>
    <n v="408000"/>
    <n v="140000"/>
  </r>
  <r>
    <x v="0"/>
    <x v="2"/>
    <x v="0"/>
    <s v="General Surgery USU"/>
    <n v="2036"/>
    <x v="23"/>
    <n v="1648313.7824803048"/>
    <n v="0.02"/>
    <n v="0.01"/>
    <n v="0.01"/>
    <n v="6.2100000000000002E-2"/>
    <n v="0.03"/>
    <n v="0.02"/>
    <n v="0.06"/>
    <n v="0.02"/>
    <n v="0.02"/>
    <n v="0.02"/>
    <n v="0.9"/>
    <n v="180000"/>
    <n v="176460"/>
    <n v="304980"/>
    <n v="210120"/>
    <n v="408000"/>
    <n v="140000"/>
  </r>
  <r>
    <x v="0"/>
    <x v="2"/>
    <x v="0"/>
    <s v="General Surgery USU"/>
    <n v="2037"/>
    <x v="24"/>
    <n v="1727461.4127613383"/>
    <n v="0.02"/>
    <n v="0.01"/>
    <n v="0.01"/>
    <n v="6.2100000000000002E-2"/>
    <n v="0.03"/>
    <n v="0.02"/>
    <n v="0.06"/>
    <n v="0.02"/>
    <n v="0.02"/>
    <n v="0.02"/>
    <n v="0.9"/>
    <n v="180000"/>
    <n v="176460"/>
    <n v="304980"/>
    <n v="210120"/>
    <n v="408000"/>
    <n v="140000"/>
  </r>
  <r>
    <x v="0"/>
    <x v="2"/>
    <x v="0"/>
    <s v="General Surgery USU"/>
    <n v="2038"/>
    <x v="25"/>
    <n v="1803596.991892806"/>
    <n v="0.02"/>
    <n v="0.01"/>
    <n v="0.01"/>
    <n v="6.2100000000000002E-2"/>
    <n v="0.03"/>
    <n v="0.02"/>
    <n v="0.06"/>
    <n v="0.02"/>
    <n v="0.02"/>
    <n v="0.02"/>
    <n v="0.9"/>
    <n v="180000"/>
    <n v="176460"/>
    <n v="304980"/>
    <n v="210120"/>
    <n v="408000"/>
    <n v="140000"/>
  </r>
  <r>
    <x v="0"/>
    <x v="2"/>
    <x v="0"/>
    <s v="General Surgery USU"/>
    <n v="2039"/>
    <x v="26"/>
    <n v="1878104.6600735392"/>
    <n v="0.02"/>
    <n v="0.01"/>
    <n v="0.01"/>
    <n v="6.2100000000000002E-2"/>
    <n v="0.03"/>
    <n v="0.02"/>
    <n v="0.06"/>
    <n v="0.02"/>
    <n v="0.02"/>
    <n v="0.02"/>
    <n v="0.9"/>
    <n v="180000"/>
    <n v="176460"/>
    <n v="304980"/>
    <n v="210120"/>
    <n v="408000"/>
    <n v="140000"/>
  </r>
  <r>
    <x v="0"/>
    <x v="2"/>
    <x v="0"/>
    <s v="General Surgery USU"/>
    <n v="2040"/>
    <x v="27"/>
    <n v="1949776.9128513357"/>
    <n v="0.02"/>
    <n v="0.01"/>
    <n v="0.01"/>
    <n v="6.2100000000000002E-2"/>
    <n v="0.03"/>
    <n v="0.02"/>
    <n v="0.06"/>
    <n v="0.02"/>
    <n v="0.02"/>
    <n v="0.02"/>
    <n v="0.9"/>
    <n v="180000"/>
    <n v="176460"/>
    <n v="304980"/>
    <n v="210120"/>
    <n v="408000"/>
    <n v="140000"/>
  </r>
  <r>
    <x v="0"/>
    <x v="2"/>
    <x v="0"/>
    <s v="General Surgery USU"/>
    <n v="2041"/>
    <x v="28"/>
    <n v="2018722.0449631331"/>
    <n v="0.02"/>
    <n v="0.01"/>
    <n v="0.01"/>
    <n v="6.2100000000000002E-2"/>
    <n v="0.03"/>
    <n v="0.02"/>
    <n v="0.06"/>
    <n v="0.02"/>
    <n v="0.02"/>
    <n v="0.02"/>
    <n v="0.9"/>
    <n v="180000"/>
    <n v="176460"/>
    <n v="304980"/>
    <n v="210120"/>
    <n v="408000"/>
    <n v="140000"/>
  </r>
  <r>
    <x v="0"/>
    <x v="2"/>
    <x v="0"/>
    <s v="General Surgery USU"/>
    <n v="2042"/>
    <x v="29"/>
    <n v="2085044.203384842"/>
    <n v="0.02"/>
    <n v="0.01"/>
    <n v="0.01"/>
    <n v="6.2100000000000002E-2"/>
    <n v="0.03"/>
    <n v="0.02"/>
    <n v="0.06"/>
    <n v="0.02"/>
    <n v="0.02"/>
    <n v="0.02"/>
    <n v="0.9"/>
    <n v="180000"/>
    <n v="176460"/>
    <n v="304980"/>
    <n v="210120"/>
    <n v="408000"/>
    <n v="140000"/>
  </r>
  <r>
    <x v="0"/>
    <x v="2"/>
    <x v="1"/>
    <s v="General Surgery HPSP"/>
    <n v="2013"/>
    <x v="0"/>
    <n v="41042.997114989732"/>
    <n v="0.02"/>
    <n v="0.01"/>
    <n v="0.01"/>
    <n v="6.2100000000000002E-2"/>
    <n v="0.03"/>
    <n v="0.02"/>
    <n v="0.06"/>
    <n v="0.02"/>
    <n v="0.02"/>
    <n v="0.02"/>
    <n v="0.9"/>
    <n v="180000"/>
    <n v="176460"/>
    <n v="304980"/>
    <n v="210120"/>
    <n v="408000"/>
    <n v="140000"/>
  </r>
  <r>
    <x v="0"/>
    <x v="2"/>
    <x v="1"/>
    <s v="General Surgery HPSP"/>
    <n v="2014"/>
    <x v="1"/>
    <n v="65715.375570480697"/>
    <n v="0.02"/>
    <n v="0.01"/>
    <n v="0.01"/>
    <n v="6.2100000000000002E-2"/>
    <n v="0.03"/>
    <n v="0.02"/>
    <n v="0.06"/>
    <n v="0.02"/>
    <n v="0.02"/>
    <n v="0.02"/>
    <n v="0.9"/>
    <n v="180000"/>
    <n v="176460"/>
    <n v="304980"/>
    <n v="210120"/>
    <n v="408000"/>
    <n v="140000"/>
  </r>
  <r>
    <x v="0"/>
    <x v="2"/>
    <x v="1"/>
    <s v="General Surgery HPSP"/>
    <n v="2015"/>
    <x v="2"/>
    <n v="89584.222784524245"/>
    <n v="0.02"/>
    <n v="0.01"/>
    <n v="0.01"/>
    <n v="6.2100000000000002E-2"/>
    <n v="0.03"/>
    <n v="0.02"/>
    <n v="0.06"/>
    <n v="0.02"/>
    <n v="0.02"/>
    <n v="0.02"/>
    <n v="0.9"/>
    <n v="180000"/>
    <n v="176460"/>
    <n v="304980"/>
    <n v="210120"/>
    <n v="408000"/>
    <n v="140000"/>
  </r>
  <r>
    <x v="0"/>
    <x v="2"/>
    <x v="1"/>
    <s v="General Surgery HPSP"/>
    <n v="2016"/>
    <x v="3"/>
    <n v="113201.76547692725"/>
    <n v="0.02"/>
    <n v="0.01"/>
    <n v="0.01"/>
    <n v="6.2100000000000002E-2"/>
    <n v="0.03"/>
    <n v="0.02"/>
    <n v="0.06"/>
    <n v="0.02"/>
    <n v="0.02"/>
    <n v="0.02"/>
    <n v="0.9"/>
    <n v="180000"/>
    <n v="176460"/>
    <n v="304980"/>
    <n v="210120"/>
    <n v="408000"/>
    <n v="140000"/>
  </r>
  <r>
    <x v="0"/>
    <x v="2"/>
    <x v="1"/>
    <s v="General Surgery HPSP"/>
    <n v="2017"/>
    <x v="4"/>
    <n v="172355.01813676453"/>
    <n v="0.02"/>
    <n v="0.01"/>
    <n v="0.01"/>
    <n v="6.2100000000000002E-2"/>
    <n v="0.03"/>
    <n v="0.02"/>
    <n v="0.06"/>
    <n v="0.02"/>
    <n v="0.02"/>
    <n v="0.02"/>
    <n v="0.9"/>
    <n v="180000"/>
    <n v="176460"/>
    <n v="304980"/>
    <n v="210120"/>
    <n v="408000"/>
    <n v="140000"/>
  </r>
  <r>
    <x v="0"/>
    <x v="2"/>
    <x v="1"/>
    <s v="General Surgery HPSP"/>
    <n v="2018"/>
    <x v="5"/>
    <n v="231206.76875199139"/>
    <n v="0.02"/>
    <n v="0.01"/>
    <n v="0.01"/>
    <n v="6.2100000000000002E-2"/>
    <n v="0.03"/>
    <n v="0.02"/>
    <n v="0.06"/>
    <n v="0.02"/>
    <n v="0.02"/>
    <n v="0.02"/>
    <n v="0.9"/>
    <n v="180000"/>
    <n v="176460"/>
    <n v="304980"/>
    <n v="210120"/>
    <n v="408000"/>
    <n v="140000"/>
  </r>
  <r>
    <x v="0"/>
    <x v="2"/>
    <x v="1"/>
    <s v="General Surgery HPSP"/>
    <n v="2019"/>
    <x v="6"/>
    <n v="290708.52795933932"/>
    <n v="0.02"/>
    <n v="0.01"/>
    <n v="0.01"/>
    <n v="6.2100000000000002E-2"/>
    <n v="0.03"/>
    <n v="0.02"/>
    <n v="0.06"/>
    <n v="0.02"/>
    <n v="0.02"/>
    <n v="0.02"/>
    <n v="0.9"/>
    <n v="180000"/>
    <n v="176460"/>
    <n v="304980"/>
    <n v="210120"/>
    <n v="408000"/>
    <n v="140000"/>
  </r>
  <r>
    <x v="0"/>
    <x v="2"/>
    <x v="1"/>
    <s v="General Surgery HPSP"/>
    <n v="2020"/>
    <x v="7"/>
    <n v="349825.65045436658"/>
    <n v="0.02"/>
    <n v="0.01"/>
    <n v="0.01"/>
    <n v="6.2100000000000002E-2"/>
    <n v="0.03"/>
    <n v="0.02"/>
    <n v="0.06"/>
    <n v="0.02"/>
    <n v="0.02"/>
    <n v="0.02"/>
    <n v="0.9"/>
    <n v="180000"/>
    <n v="176460"/>
    <n v="304980"/>
    <n v="210120"/>
    <n v="408000"/>
    <n v="140000"/>
  </r>
  <r>
    <x v="0"/>
    <x v="2"/>
    <x v="1"/>
    <s v="General Surgery HPSP"/>
    <n v="2021"/>
    <x v="8"/>
    <n v="408904.59985710343"/>
    <n v="0.02"/>
    <n v="0.01"/>
    <n v="0.01"/>
    <n v="6.2100000000000002E-2"/>
    <n v="0.03"/>
    <n v="0.02"/>
    <n v="0.06"/>
    <n v="0.02"/>
    <n v="0.02"/>
    <n v="0.02"/>
    <n v="0.9"/>
    <n v="180000"/>
    <n v="176460"/>
    <n v="304980"/>
    <n v="210120"/>
    <n v="408000"/>
    <n v="140000"/>
  </r>
  <r>
    <x v="0"/>
    <x v="2"/>
    <x v="1"/>
    <s v="General Surgery HPSP"/>
    <n v="2022"/>
    <x v="9"/>
    <n v="471953.95108422253"/>
    <n v="0.02"/>
    <n v="0.01"/>
    <n v="0.01"/>
    <n v="6.2100000000000002E-2"/>
    <n v="0.03"/>
    <n v="0.02"/>
    <n v="0.06"/>
    <n v="0.02"/>
    <n v="0.02"/>
    <n v="0.02"/>
    <n v="0.9"/>
    <n v="180000"/>
    <n v="176460"/>
    <n v="304980"/>
    <n v="210120"/>
    <n v="408000"/>
    <n v="140000"/>
  </r>
  <r>
    <x v="0"/>
    <x v="2"/>
    <x v="1"/>
    <s v="General Surgery HPSP"/>
    <n v="2023"/>
    <x v="10"/>
    <n v="541327.20941598632"/>
    <n v="0.02"/>
    <n v="0.01"/>
    <n v="0.01"/>
    <n v="6.2100000000000002E-2"/>
    <n v="0.03"/>
    <n v="0.02"/>
    <n v="0.06"/>
    <n v="0.02"/>
    <n v="0.02"/>
    <n v="0.02"/>
    <n v="0.9"/>
    <n v="180000"/>
    <n v="176460"/>
    <n v="304980"/>
    <n v="210120"/>
    <n v="408000"/>
    <n v="140000"/>
  </r>
  <r>
    <x v="0"/>
    <x v="2"/>
    <x v="1"/>
    <s v="General Surgery HPSP"/>
    <n v="2024"/>
    <x v="11"/>
    <n v="608078.02384247107"/>
    <n v="0.02"/>
    <n v="0.01"/>
    <n v="0.01"/>
    <n v="6.2100000000000002E-2"/>
    <n v="0.03"/>
    <n v="0.02"/>
    <n v="0.06"/>
    <n v="0.02"/>
    <n v="0.02"/>
    <n v="0.02"/>
    <n v="0.9"/>
    <n v="180000"/>
    <n v="176460"/>
    <n v="304980"/>
    <n v="210120"/>
    <n v="408000"/>
    <n v="140000"/>
  </r>
  <r>
    <x v="0"/>
    <x v="2"/>
    <x v="1"/>
    <s v="General Surgery HPSP"/>
    <n v="2025"/>
    <x v="12"/>
    <n v="673597.37306204333"/>
    <n v="0.02"/>
    <n v="0.01"/>
    <n v="0.01"/>
    <n v="6.2100000000000002E-2"/>
    <n v="0.03"/>
    <n v="0.02"/>
    <n v="0.06"/>
    <n v="0.02"/>
    <n v="0.02"/>
    <n v="0.02"/>
    <n v="0.9"/>
    <n v="180000"/>
    <n v="176460"/>
    <n v="304980"/>
    <n v="210120"/>
    <n v="408000"/>
    <n v="140000"/>
  </r>
  <r>
    <x v="0"/>
    <x v="2"/>
    <x v="1"/>
    <s v="General Surgery HPSP"/>
    <n v="2026"/>
    <x v="13"/>
    <n v="777490.7156867811"/>
    <n v="0.02"/>
    <n v="0.01"/>
    <n v="0.01"/>
    <n v="6.2100000000000002E-2"/>
    <n v="0.03"/>
    <n v="0.02"/>
    <n v="0.06"/>
    <n v="0.02"/>
    <n v="0.02"/>
    <n v="0.02"/>
    <n v="0.9"/>
    <n v="180000"/>
    <n v="176460"/>
    <n v="304980"/>
    <n v="210120"/>
    <n v="408000"/>
    <n v="140000"/>
  </r>
  <r>
    <x v="0"/>
    <x v="2"/>
    <x v="1"/>
    <s v="General Surgery HPSP"/>
    <n v="2027"/>
    <x v="14"/>
    <n v="879421.15826347889"/>
    <n v="0.02"/>
    <n v="0.01"/>
    <n v="0.01"/>
    <n v="6.2100000000000002E-2"/>
    <n v="0.03"/>
    <n v="0.02"/>
    <n v="0.06"/>
    <n v="0.02"/>
    <n v="0.02"/>
    <n v="0.02"/>
    <n v="0.9"/>
    <n v="180000"/>
    <n v="176460"/>
    <n v="304980"/>
    <n v="210120"/>
    <n v="408000"/>
    <n v="140000"/>
  </r>
  <r>
    <x v="0"/>
    <x v="2"/>
    <x v="1"/>
    <s v="General Surgery HPSP"/>
    <n v="2028"/>
    <x v="15"/>
    <n v="977418.00755759352"/>
    <n v="0.02"/>
    <n v="0.01"/>
    <n v="0.01"/>
    <n v="6.2100000000000002E-2"/>
    <n v="0.03"/>
    <n v="0.02"/>
    <n v="0.06"/>
    <n v="0.02"/>
    <n v="0.02"/>
    <n v="0.02"/>
    <n v="0.9"/>
    <n v="180000"/>
    <n v="176460"/>
    <n v="304980"/>
    <n v="210120"/>
    <n v="408000"/>
    <n v="140000"/>
  </r>
  <r>
    <x v="0"/>
    <x v="2"/>
    <x v="1"/>
    <s v="General Surgery HPSP"/>
    <n v="2029"/>
    <x v="16"/>
    <n v="1074084.2629897618"/>
    <n v="0.02"/>
    <n v="0.01"/>
    <n v="0.01"/>
    <n v="6.2100000000000002E-2"/>
    <n v="0.03"/>
    <n v="0.02"/>
    <n v="0.06"/>
    <n v="0.02"/>
    <n v="0.02"/>
    <n v="0.02"/>
    <n v="0.9"/>
    <n v="180000"/>
    <n v="176460"/>
    <n v="304980"/>
    <n v="210120"/>
    <n v="408000"/>
    <n v="140000"/>
  </r>
  <r>
    <x v="0"/>
    <x v="2"/>
    <x v="1"/>
    <s v="General Surgery HPSP"/>
    <n v="2030"/>
    <x v="17"/>
    <n v="1167020.0436754883"/>
    <n v="0.02"/>
    <n v="0.01"/>
    <n v="0.01"/>
    <n v="6.2100000000000002E-2"/>
    <n v="0.03"/>
    <n v="0.02"/>
    <n v="0.06"/>
    <n v="0.02"/>
    <n v="0.02"/>
    <n v="0.02"/>
    <n v="0.9"/>
    <n v="180000"/>
    <n v="176460"/>
    <n v="304980"/>
    <n v="210120"/>
    <n v="408000"/>
    <n v="140000"/>
  </r>
  <r>
    <x v="0"/>
    <x v="2"/>
    <x v="1"/>
    <s v="General Surgery HPSP"/>
    <n v="2031"/>
    <x v="18"/>
    <n v="1257536.6497480813"/>
    <n v="0.02"/>
    <n v="0.01"/>
    <n v="0.01"/>
    <n v="6.2100000000000002E-2"/>
    <n v="0.03"/>
    <n v="0.02"/>
    <n v="0.06"/>
    <n v="0.02"/>
    <n v="0.02"/>
    <n v="0.02"/>
    <n v="0.9"/>
    <n v="180000"/>
    <n v="176460"/>
    <n v="304980"/>
    <n v="210120"/>
    <n v="408000"/>
    <n v="140000"/>
  </r>
  <r>
    <x v="0"/>
    <x v="2"/>
    <x v="1"/>
    <s v="General Surgery HPSP"/>
    <n v="2032"/>
    <x v="19"/>
    <n v="1344560.1359419872"/>
    <n v="0.02"/>
    <n v="0.01"/>
    <n v="0.01"/>
    <n v="6.2100000000000002E-2"/>
    <n v="0.03"/>
    <n v="0.02"/>
    <n v="0.06"/>
    <n v="0.02"/>
    <n v="0.02"/>
    <n v="0.02"/>
    <n v="0.9"/>
    <n v="180000"/>
    <n v="176460"/>
    <n v="304980"/>
    <n v="210120"/>
    <n v="408000"/>
    <n v="140000"/>
  </r>
  <r>
    <x v="0"/>
    <x v="2"/>
    <x v="1"/>
    <s v="General Surgery HPSP"/>
    <n v="2033"/>
    <x v="20"/>
    <n v="1429876.7876811149"/>
    <n v="0.02"/>
    <n v="0.01"/>
    <n v="0.01"/>
    <n v="6.2100000000000002E-2"/>
    <n v="0.03"/>
    <n v="0.02"/>
    <n v="0.06"/>
    <n v="0.02"/>
    <n v="0.02"/>
    <n v="0.02"/>
    <n v="0.9"/>
    <n v="180000"/>
    <n v="176460"/>
    <n v="304980"/>
    <n v="210120"/>
    <n v="408000"/>
    <n v="140000"/>
  </r>
  <r>
    <x v="0"/>
    <x v="2"/>
    <x v="1"/>
    <s v="General Surgery HPSP"/>
    <n v="2034"/>
    <x v="21"/>
    <n v="1511900.9908186793"/>
    <n v="0.02"/>
    <n v="0.01"/>
    <n v="0.01"/>
    <n v="6.2100000000000002E-2"/>
    <n v="0.03"/>
    <n v="0.02"/>
    <n v="0.06"/>
    <n v="0.02"/>
    <n v="0.02"/>
    <n v="0.02"/>
    <n v="0.9"/>
    <n v="180000"/>
    <n v="176460"/>
    <n v="304980"/>
    <n v="210120"/>
    <n v="408000"/>
    <n v="140000"/>
  </r>
  <r>
    <x v="0"/>
    <x v="2"/>
    <x v="1"/>
    <s v="General Surgery HPSP"/>
    <n v="2035"/>
    <x v="22"/>
    <n v="1594833.7920609459"/>
    <n v="0.02"/>
    <n v="0.01"/>
    <n v="0.01"/>
    <n v="6.2100000000000002E-2"/>
    <n v="0.03"/>
    <n v="0.02"/>
    <n v="0.06"/>
    <n v="0.02"/>
    <n v="0.02"/>
    <n v="0.02"/>
    <n v="0.9"/>
    <n v="180000"/>
    <n v="176460"/>
    <n v="304980"/>
    <n v="210120"/>
    <n v="408000"/>
    <n v="140000"/>
  </r>
  <r>
    <x v="0"/>
    <x v="2"/>
    <x v="1"/>
    <s v="General Surgery HPSP"/>
    <n v="2036"/>
    <x v="23"/>
    <n v="1674595.6164700291"/>
    <n v="0.02"/>
    <n v="0.01"/>
    <n v="0.01"/>
    <n v="6.2100000000000002E-2"/>
    <n v="0.03"/>
    <n v="0.02"/>
    <n v="0.06"/>
    <n v="0.02"/>
    <n v="0.02"/>
    <n v="0.02"/>
    <n v="0.9"/>
    <n v="180000"/>
    <n v="176460"/>
    <n v="304980"/>
    <n v="210120"/>
    <n v="408000"/>
    <n v="140000"/>
  </r>
  <r>
    <x v="0"/>
    <x v="2"/>
    <x v="1"/>
    <s v="General Surgery HPSP"/>
    <n v="2037"/>
    <x v="24"/>
    <n v="1752566.3522263535"/>
    <n v="0.02"/>
    <n v="0.01"/>
    <n v="0.01"/>
    <n v="6.2100000000000002E-2"/>
    <n v="0.03"/>
    <n v="0.02"/>
    <n v="0.06"/>
    <n v="0.02"/>
    <n v="0.02"/>
    <n v="0.02"/>
    <n v="0.9"/>
    <n v="180000"/>
    <n v="176460"/>
    <n v="304980"/>
    <n v="210120"/>
    <n v="408000"/>
    <n v="140000"/>
  </r>
  <r>
    <x v="0"/>
    <x v="2"/>
    <x v="1"/>
    <s v="General Surgery HPSP"/>
    <n v="2038"/>
    <x v="25"/>
    <n v="1827795.939449488"/>
    <n v="0.02"/>
    <n v="0.01"/>
    <n v="0.01"/>
    <n v="6.2100000000000002E-2"/>
    <n v="0.03"/>
    <n v="0.02"/>
    <n v="0.06"/>
    <n v="0.02"/>
    <n v="0.02"/>
    <n v="0.02"/>
    <n v="0.9"/>
    <n v="180000"/>
    <n v="176460"/>
    <n v="304980"/>
    <n v="210120"/>
    <n v="408000"/>
    <n v="140000"/>
  </r>
  <r>
    <x v="0"/>
    <x v="2"/>
    <x v="1"/>
    <s v="General Surgery HPSP"/>
    <n v="2039"/>
    <x v="26"/>
    <n v="1900363.7850972048"/>
    <n v="0.02"/>
    <n v="0.01"/>
    <n v="0.01"/>
    <n v="6.2100000000000002E-2"/>
    <n v="0.03"/>
    <n v="0.02"/>
    <n v="0.06"/>
    <n v="0.02"/>
    <n v="0.02"/>
    <n v="0.02"/>
    <n v="0.9"/>
    <n v="180000"/>
    <n v="176460"/>
    <n v="304980"/>
    <n v="210120"/>
    <n v="408000"/>
    <n v="140000"/>
  </r>
  <r>
    <x v="0"/>
    <x v="2"/>
    <x v="1"/>
    <s v="General Surgery HPSP"/>
    <n v="2040"/>
    <x v="27"/>
    <n v="1970469.6414237358"/>
    <n v="0.02"/>
    <n v="0.01"/>
    <n v="0.01"/>
    <n v="6.2100000000000002E-2"/>
    <n v="0.03"/>
    <n v="0.02"/>
    <n v="0.06"/>
    <n v="0.02"/>
    <n v="0.02"/>
    <n v="0.02"/>
    <n v="0.9"/>
    <n v="180000"/>
    <n v="176460"/>
    <n v="304980"/>
    <n v="210120"/>
    <n v="408000"/>
    <n v="140000"/>
  </r>
  <r>
    <x v="0"/>
    <x v="2"/>
    <x v="1"/>
    <s v="General Surgery HPSP"/>
    <n v="2041"/>
    <x v="28"/>
    <n v="2038195.4569263963"/>
    <n v="0.02"/>
    <n v="0.01"/>
    <n v="0.01"/>
    <n v="6.2100000000000002E-2"/>
    <n v="0.03"/>
    <n v="0.02"/>
    <n v="0.06"/>
    <n v="0.02"/>
    <n v="0.02"/>
    <n v="0.02"/>
    <n v="0.9"/>
    <n v="180000"/>
    <n v="176460"/>
    <n v="304980"/>
    <n v="210120"/>
    <n v="408000"/>
    <n v="140000"/>
  </r>
  <r>
    <x v="0"/>
    <x v="2"/>
    <x v="1"/>
    <s v="General Surgery HPSP"/>
    <n v="2042"/>
    <x v="29"/>
    <n v="2103914.5327333035"/>
    <n v="0.02"/>
    <n v="0.01"/>
    <n v="0.01"/>
    <n v="6.2100000000000002E-2"/>
    <n v="0.03"/>
    <n v="0.02"/>
    <n v="0.06"/>
    <n v="0.02"/>
    <n v="0.02"/>
    <n v="0.02"/>
    <n v="0.9"/>
    <n v="180000"/>
    <n v="176460"/>
    <n v="304980"/>
    <n v="210120"/>
    <n v="408000"/>
    <n v="140000"/>
  </r>
  <r>
    <x v="0"/>
    <x v="2"/>
    <x v="2"/>
    <s v="General Surgery STD10"/>
    <n v="2013"/>
    <x v="0"/>
    <n v="-43015.05"/>
    <n v="0.02"/>
    <n v="0.01"/>
    <n v="0.01"/>
    <n v="6.2100000000000002E-2"/>
    <n v="0.03"/>
    <n v="0.02"/>
    <n v="0.06"/>
    <n v="0.02"/>
    <n v="0.02"/>
    <n v="0.02"/>
    <n v="0.9"/>
    <n v="180000"/>
    <n v="176460"/>
    <n v="304980"/>
    <n v="210120"/>
    <n v="408000"/>
    <n v="140000"/>
  </r>
  <r>
    <x v="0"/>
    <x v="2"/>
    <x v="2"/>
    <s v="General Surgery STD10"/>
    <n v="2014"/>
    <x v="1"/>
    <n v="-86352.285865219877"/>
    <n v="0.02"/>
    <n v="0.01"/>
    <n v="0.01"/>
    <n v="6.2100000000000002E-2"/>
    <n v="0.03"/>
    <n v="0.02"/>
    <n v="0.06"/>
    <n v="0.02"/>
    <n v="0.02"/>
    <n v="0.02"/>
    <n v="0.9"/>
    <n v="180000"/>
    <n v="176460"/>
    <n v="304980"/>
    <n v="210120"/>
    <n v="408000"/>
    <n v="140000"/>
  </r>
  <r>
    <x v="0"/>
    <x v="2"/>
    <x v="2"/>
    <s v="General Surgery STD10"/>
    <n v="2015"/>
    <x v="2"/>
    <n v="-138541.19578403595"/>
    <n v="0.02"/>
    <n v="0.01"/>
    <n v="0.01"/>
    <n v="6.2100000000000002E-2"/>
    <n v="0.03"/>
    <n v="0.02"/>
    <n v="0.06"/>
    <n v="0.02"/>
    <n v="0.02"/>
    <n v="0.02"/>
    <n v="0.9"/>
    <n v="180000"/>
    <n v="176460"/>
    <n v="304980"/>
    <n v="210120"/>
    <n v="408000"/>
    <n v="140000"/>
  </r>
  <r>
    <x v="0"/>
    <x v="2"/>
    <x v="2"/>
    <s v="General Surgery STD10"/>
    <n v="2016"/>
    <x v="3"/>
    <n v="-190867.38028908212"/>
    <n v="0.02"/>
    <n v="0.01"/>
    <n v="0.01"/>
    <n v="6.2100000000000002E-2"/>
    <n v="0.03"/>
    <n v="0.02"/>
    <n v="0.06"/>
    <n v="0.02"/>
    <n v="0.02"/>
    <n v="0.02"/>
    <n v="0.9"/>
    <n v="180000"/>
    <n v="176460"/>
    <n v="304980"/>
    <n v="210120"/>
    <n v="408000"/>
    <n v="140000"/>
  </r>
  <r>
    <x v="0"/>
    <x v="2"/>
    <x v="2"/>
    <s v="General Surgery STD10"/>
    <n v="2017"/>
    <x v="4"/>
    <n v="-157278.5148229824"/>
    <n v="0.02"/>
    <n v="0.01"/>
    <n v="0.01"/>
    <n v="6.2100000000000002E-2"/>
    <n v="0.03"/>
    <n v="0.02"/>
    <n v="0.06"/>
    <n v="0.02"/>
    <n v="0.02"/>
    <n v="0.02"/>
    <n v="0.9"/>
    <n v="180000"/>
    <n v="176460"/>
    <n v="304980"/>
    <n v="210120"/>
    <n v="408000"/>
    <n v="140000"/>
  </r>
  <r>
    <x v="0"/>
    <x v="2"/>
    <x v="2"/>
    <s v="General Surgery STD10"/>
    <n v="2018"/>
    <x v="5"/>
    <n v="-123668.32270644748"/>
    <n v="0.02"/>
    <n v="0.01"/>
    <n v="0.01"/>
    <n v="6.2100000000000002E-2"/>
    <n v="0.03"/>
    <n v="0.02"/>
    <n v="0.06"/>
    <n v="0.02"/>
    <n v="0.02"/>
    <n v="0.02"/>
    <n v="0.9"/>
    <n v="180000"/>
    <n v="176460"/>
    <n v="304980"/>
    <n v="210120"/>
    <n v="408000"/>
    <n v="140000"/>
  </r>
  <r>
    <x v="0"/>
    <x v="2"/>
    <x v="2"/>
    <s v="General Surgery STD10"/>
    <n v="2019"/>
    <x v="6"/>
    <n v="-90028.481028923678"/>
    <n v="0.02"/>
    <n v="0.01"/>
    <n v="0.01"/>
    <n v="6.2100000000000002E-2"/>
    <n v="0.03"/>
    <n v="0.02"/>
    <n v="0.06"/>
    <n v="0.02"/>
    <n v="0.02"/>
    <n v="0.02"/>
    <n v="0.9"/>
    <n v="180000"/>
    <n v="176460"/>
    <n v="304980"/>
    <n v="210120"/>
    <n v="408000"/>
    <n v="140000"/>
  </r>
  <r>
    <x v="0"/>
    <x v="2"/>
    <x v="2"/>
    <s v="General Surgery STD10"/>
    <n v="2020"/>
    <x v="7"/>
    <n v="-56350.829269688562"/>
    <n v="0.02"/>
    <n v="0.01"/>
    <n v="0.01"/>
    <n v="6.2100000000000002E-2"/>
    <n v="0.03"/>
    <n v="0.02"/>
    <n v="0.06"/>
    <n v="0.02"/>
    <n v="0.02"/>
    <n v="0.02"/>
    <n v="0.9"/>
    <n v="180000"/>
    <n v="176460"/>
    <n v="304980"/>
    <n v="210120"/>
    <n v="408000"/>
    <n v="140000"/>
  </r>
  <r>
    <x v="0"/>
    <x v="2"/>
    <x v="2"/>
    <s v="General Surgery STD10"/>
    <n v="2021"/>
    <x v="8"/>
    <n v="-22627.363852044567"/>
    <n v="0.02"/>
    <n v="0.01"/>
    <n v="0.01"/>
    <n v="6.2100000000000002E-2"/>
    <n v="0.03"/>
    <n v="0.02"/>
    <n v="0.06"/>
    <n v="0.02"/>
    <n v="0.02"/>
    <n v="0.02"/>
    <n v="0.9"/>
    <n v="180000"/>
    <n v="176460"/>
    <n v="304980"/>
    <n v="210120"/>
    <n v="408000"/>
    <n v="140000"/>
  </r>
  <r>
    <x v="0"/>
    <x v="2"/>
    <x v="2"/>
    <s v="General Surgery STD10"/>
    <n v="2022"/>
    <x v="9"/>
    <n v="98097.528519750078"/>
    <n v="0.02"/>
    <n v="0.01"/>
    <n v="0.01"/>
    <n v="6.2100000000000002E-2"/>
    <n v="0.03"/>
    <n v="0.02"/>
    <n v="0.06"/>
    <n v="0.02"/>
    <n v="0.02"/>
    <n v="0.02"/>
    <n v="0.9"/>
    <n v="180000"/>
    <n v="176460"/>
    <n v="304980"/>
    <n v="210120"/>
    <n v="408000"/>
    <n v="140000"/>
  </r>
  <r>
    <x v="0"/>
    <x v="2"/>
    <x v="2"/>
    <s v="General Surgery STD10"/>
    <n v="2023"/>
    <x v="10"/>
    <n v="215761.45782430616"/>
    <n v="0.02"/>
    <n v="0.01"/>
    <n v="0.01"/>
    <n v="6.2100000000000002E-2"/>
    <n v="0.03"/>
    <n v="0.02"/>
    <n v="0.06"/>
    <n v="0.02"/>
    <n v="0.02"/>
    <n v="0.02"/>
    <n v="0.9"/>
    <n v="180000"/>
    <n v="176460"/>
    <n v="304980"/>
    <n v="210120"/>
    <n v="408000"/>
    <n v="140000"/>
  </r>
  <r>
    <x v="0"/>
    <x v="2"/>
    <x v="2"/>
    <s v="General Surgery STD10"/>
    <n v="2024"/>
    <x v="11"/>
    <n v="331620.75173754466"/>
    <n v="0.02"/>
    <n v="0.01"/>
    <n v="0.01"/>
    <n v="6.2100000000000002E-2"/>
    <n v="0.03"/>
    <n v="0.02"/>
    <n v="0.06"/>
    <n v="0.02"/>
    <n v="0.02"/>
    <n v="0.02"/>
    <n v="0.9"/>
    <n v="180000"/>
    <n v="176460"/>
    <n v="304980"/>
    <n v="210120"/>
    <n v="408000"/>
    <n v="140000"/>
  </r>
  <r>
    <x v="0"/>
    <x v="2"/>
    <x v="2"/>
    <s v="General Surgery STD10"/>
    <n v="2025"/>
    <x v="12"/>
    <n v="445683.78447263583"/>
    <n v="0.02"/>
    <n v="0.01"/>
    <n v="0.01"/>
    <n v="6.2100000000000002E-2"/>
    <n v="0.03"/>
    <n v="0.02"/>
    <n v="0.06"/>
    <n v="0.02"/>
    <n v="0.02"/>
    <n v="0.02"/>
    <n v="0.9"/>
    <n v="180000"/>
    <n v="176460"/>
    <n v="304980"/>
    <n v="210120"/>
    <n v="408000"/>
    <n v="140000"/>
  </r>
  <r>
    <x v="0"/>
    <x v="2"/>
    <x v="2"/>
    <s v="General Surgery STD10"/>
    <n v="2026"/>
    <x v="13"/>
    <n v="557960.14877439756"/>
    <n v="0.02"/>
    <n v="0.01"/>
    <n v="0.01"/>
    <n v="6.2100000000000002E-2"/>
    <n v="0.03"/>
    <n v="0.02"/>
    <n v="0.06"/>
    <n v="0.02"/>
    <n v="0.02"/>
    <n v="0.02"/>
    <n v="0.9"/>
    <n v="180000"/>
    <n v="176460"/>
    <n v="304980"/>
    <n v="210120"/>
    <n v="408000"/>
    <n v="140000"/>
  </r>
  <r>
    <x v="0"/>
    <x v="2"/>
    <x v="2"/>
    <s v="General Surgery STD10"/>
    <n v="2027"/>
    <x v="14"/>
    <n v="668460.56304718286"/>
    <n v="0.02"/>
    <n v="0.01"/>
    <n v="0.01"/>
    <n v="6.2100000000000002E-2"/>
    <n v="0.03"/>
    <n v="0.02"/>
    <n v="0.06"/>
    <n v="0.02"/>
    <n v="0.02"/>
    <n v="0.02"/>
    <n v="0.9"/>
    <n v="180000"/>
    <n v="176460"/>
    <n v="304980"/>
    <n v="210120"/>
    <n v="408000"/>
    <n v="140000"/>
  </r>
  <r>
    <x v="0"/>
    <x v="2"/>
    <x v="2"/>
    <s v="General Surgery STD10"/>
    <n v="2028"/>
    <x v="15"/>
    <n v="777196.78369544318"/>
    <n v="0.02"/>
    <n v="0.01"/>
    <n v="0.01"/>
    <n v="6.2100000000000002E-2"/>
    <n v="0.03"/>
    <n v="0.02"/>
    <n v="0.06"/>
    <n v="0.02"/>
    <n v="0.02"/>
    <n v="0.02"/>
    <n v="0.9"/>
    <n v="180000"/>
    <n v="176460"/>
    <n v="304980"/>
    <n v="210120"/>
    <n v="408000"/>
    <n v="140000"/>
  </r>
  <r>
    <x v="0"/>
    <x v="2"/>
    <x v="2"/>
    <s v="General Surgery STD10"/>
    <n v="2029"/>
    <x v="16"/>
    <n v="884197.46596543386"/>
    <n v="0.02"/>
    <n v="0.01"/>
    <n v="0.01"/>
    <n v="6.2100000000000002E-2"/>
    <n v="0.03"/>
    <n v="0.02"/>
    <n v="0.06"/>
    <n v="0.02"/>
    <n v="0.02"/>
    <n v="0.02"/>
    <n v="0.9"/>
    <n v="180000"/>
    <n v="176460"/>
    <n v="304980"/>
    <n v="210120"/>
    <n v="408000"/>
    <n v="140000"/>
  </r>
  <r>
    <x v="0"/>
    <x v="2"/>
    <x v="2"/>
    <s v="General Surgery STD10"/>
    <n v="2030"/>
    <x v="17"/>
    <n v="989594.05461357662"/>
    <n v="0.02"/>
    <n v="0.01"/>
    <n v="0.01"/>
    <n v="6.2100000000000002E-2"/>
    <n v="0.03"/>
    <n v="0.02"/>
    <n v="0.06"/>
    <n v="0.02"/>
    <n v="0.02"/>
    <n v="0.02"/>
    <n v="0.9"/>
    <n v="180000"/>
    <n v="176460"/>
    <n v="304980"/>
    <n v="210120"/>
    <n v="408000"/>
    <n v="140000"/>
  </r>
  <r>
    <x v="0"/>
    <x v="2"/>
    <x v="2"/>
    <s v="General Surgery STD10"/>
    <n v="2031"/>
    <x v="18"/>
    <n v="1093394.4125889665"/>
    <n v="0.02"/>
    <n v="0.01"/>
    <n v="0.01"/>
    <n v="6.2100000000000002E-2"/>
    <n v="0.03"/>
    <n v="0.02"/>
    <n v="0.06"/>
    <n v="0.02"/>
    <n v="0.02"/>
    <n v="0.02"/>
    <n v="0.9"/>
    <n v="180000"/>
    <n v="176460"/>
    <n v="304980"/>
    <n v="210120"/>
    <n v="408000"/>
    <n v="140000"/>
  </r>
  <r>
    <x v="0"/>
    <x v="2"/>
    <x v="2"/>
    <s v="General Surgery STD10"/>
    <n v="2032"/>
    <x v="19"/>
    <n v="1210206.5167799559"/>
    <n v="0.02"/>
    <n v="0.01"/>
    <n v="0.01"/>
    <n v="6.2100000000000002E-2"/>
    <n v="0.03"/>
    <n v="0.02"/>
    <n v="0.06"/>
    <n v="0.02"/>
    <n v="0.02"/>
    <n v="0.02"/>
    <n v="0.9"/>
    <n v="180000"/>
    <n v="176460"/>
    <n v="304980"/>
    <n v="210120"/>
    <n v="408000"/>
    <n v="140000"/>
  </r>
  <r>
    <x v="0"/>
    <x v="2"/>
    <x v="2"/>
    <s v="General Surgery STD10"/>
    <n v="2033"/>
    <x v="20"/>
    <n v="1324737.8335912896"/>
    <n v="0.02"/>
    <n v="0.01"/>
    <n v="0.01"/>
    <n v="6.2100000000000002E-2"/>
    <n v="0.03"/>
    <n v="0.02"/>
    <n v="0.06"/>
    <n v="0.02"/>
    <n v="0.02"/>
    <n v="0.02"/>
    <n v="0.9"/>
    <n v="180000"/>
    <n v="176460"/>
    <n v="304980"/>
    <n v="210120"/>
    <n v="408000"/>
    <n v="140000"/>
  </r>
  <r>
    <x v="0"/>
    <x v="2"/>
    <x v="2"/>
    <s v="General Surgery STD10"/>
    <n v="2034"/>
    <x v="21"/>
    <n v="1437032.8033916366"/>
    <n v="0.02"/>
    <n v="0.01"/>
    <n v="0.01"/>
    <n v="6.2100000000000002E-2"/>
    <n v="0.03"/>
    <n v="0.02"/>
    <n v="0.06"/>
    <n v="0.02"/>
    <n v="0.02"/>
    <n v="0.02"/>
    <n v="0.9"/>
    <n v="180000"/>
    <n v="176460"/>
    <n v="304980"/>
    <n v="210120"/>
    <n v="408000"/>
    <n v="140000"/>
  </r>
  <r>
    <x v="0"/>
    <x v="2"/>
    <x v="2"/>
    <s v="General Surgery STD10"/>
    <n v="2035"/>
    <x v="22"/>
    <n v="1547135.0033529706"/>
    <n v="0.02"/>
    <n v="0.01"/>
    <n v="0.01"/>
    <n v="6.2100000000000002E-2"/>
    <n v="0.03"/>
    <n v="0.02"/>
    <n v="0.06"/>
    <n v="0.02"/>
    <n v="0.02"/>
    <n v="0.02"/>
    <n v="0.9"/>
    <n v="180000"/>
    <n v="176460"/>
    <n v="304980"/>
    <n v="210120"/>
    <n v="408000"/>
    <n v="140000"/>
  </r>
  <r>
    <x v="0"/>
    <x v="2"/>
    <x v="2"/>
    <s v="General Surgery STD10"/>
    <n v="2036"/>
    <x v="23"/>
    <n v="1655087.1641376535"/>
    <n v="0.02"/>
    <n v="0.01"/>
    <n v="0.01"/>
    <n v="6.2100000000000002E-2"/>
    <n v="0.03"/>
    <n v="0.02"/>
    <n v="0.06"/>
    <n v="0.02"/>
    <n v="0.02"/>
    <n v="0.02"/>
    <n v="0.9"/>
    <n v="180000"/>
    <n v="176460"/>
    <n v="304980"/>
    <n v="210120"/>
    <n v="408000"/>
    <n v="140000"/>
  </r>
  <r>
    <x v="0"/>
    <x v="2"/>
    <x v="2"/>
    <s v="General Surgery STD10"/>
    <n v="2037"/>
    <x v="24"/>
    <n v="1760931.1862652625"/>
    <n v="0.02"/>
    <n v="0.01"/>
    <n v="0.01"/>
    <n v="6.2100000000000002E-2"/>
    <n v="0.03"/>
    <n v="0.02"/>
    <n v="0.06"/>
    <n v="0.02"/>
    <n v="0.02"/>
    <n v="0.02"/>
    <n v="0.9"/>
    <n v="180000"/>
    <n v="176460"/>
    <n v="304980"/>
    <n v="210120"/>
    <n v="408000"/>
    <n v="140000"/>
  </r>
  <r>
    <x v="0"/>
    <x v="2"/>
    <x v="2"/>
    <s v="General Surgery STD10"/>
    <n v="2038"/>
    <x v="25"/>
    <n v="1864708.1561652392"/>
    <n v="0.02"/>
    <n v="0.01"/>
    <n v="0.01"/>
    <n v="6.2100000000000002E-2"/>
    <n v="0.03"/>
    <n v="0.02"/>
    <n v="0.06"/>
    <n v="0.02"/>
    <n v="0.02"/>
    <n v="0.02"/>
    <n v="0.9"/>
    <n v="180000"/>
    <n v="176460"/>
    <n v="304980"/>
    <n v="210120"/>
    <n v="408000"/>
    <n v="140000"/>
  </r>
  <r>
    <x v="0"/>
    <x v="2"/>
    <x v="2"/>
    <s v="General Surgery STD10"/>
    <n v="2039"/>
    <x v="26"/>
    <n v="1966456.6324504635"/>
    <n v="0.02"/>
    <n v="0.01"/>
    <n v="0.01"/>
    <n v="6.2100000000000002E-2"/>
    <n v="0.03"/>
    <n v="0.02"/>
    <n v="0.06"/>
    <n v="0.02"/>
    <n v="0.02"/>
    <n v="0.02"/>
    <n v="0.9"/>
    <n v="180000"/>
    <n v="176460"/>
    <n v="304980"/>
    <n v="210120"/>
    <n v="408000"/>
    <n v="140000"/>
  </r>
  <r>
    <x v="0"/>
    <x v="2"/>
    <x v="2"/>
    <s v="General Surgery STD10"/>
    <n v="2040"/>
    <x v="27"/>
    <n v="2066210.8195216733"/>
    <n v="0.02"/>
    <n v="0.01"/>
    <n v="0.01"/>
    <n v="6.2100000000000002E-2"/>
    <n v="0.03"/>
    <n v="0.02"/>
    <n v="0.06"/>
    <n v="0.02"/>
    <n v="0.02"/>
    <n v="0.02"/>
    <n v="0.9"/>
    <n v="180000"/>
    <n v="176460"/>
    <n v="304980"/>
    <n v="210120"/>
    <n v="408000"/>
    <n v="140000"/>
  </r>
  <r>
    <x v="0"/>
    <x v="2"/>
    <x v="2"/>
    <s v="General Surgery STD10"/>
    <n v="2041"/>
    <x v="28"/>
    <n v="2164009.7984011285"/>
    <n v="0.02"/>
    <n v="0.01"/>
    <n v="0.01"/>
    <n v="6.2100000000000002E-2"/>
    <n v="0.03"/>
    <n v="0.02"/>
    <n v="0.06"/>
    <n v="0.02"/>
    <n v="0.02"/>
    <n v="0.02"/>
    <n v="0.9"/>
    <n v="180000"/>
    <n v="176460"/>
    <n v="304980"/>
    <n v="210120"/>
    <n v="408000"/>
    <n v="140000"/>
  </r>
  <r>
    <x v="0"/>
    <x v="2"/>
    <x v="2"/>
    <s v="General Surgery STD10"/>
    <n v="2042"/>
    <x v="29"/>
    <n v="2259891.8844773457"/>
    <n v="0.02"/>
    <n v="0.01"/>
    <n v="0.01"/>
    <n v="6.2100000000000002E-2"/>
    <n v="0.03"/>
    <n v="0.02"/>
    <n v="0.06"/>
    <n v="0.02"/>
    <n v="0.02"/>
    <n v="0.02"/>
    <n v="0.9"/>
    <n v="180000"/>
    <n v="176460"/>
    <n v="304980"/>
    <n v="210120"/>
    <n v="408000"/>
    <n v="140000"/>
  </r>
  <r>
    <x v="0"/>
    <x v="2"/>
    <x v="3"/>
    <s v="General Surgery EXT"/>
    <n v="2013"/>
    <x v="0"/>
    <n v="-43015.05"/>
    <n v="0.02"/>
    <n v="0.01"/>
    <n v="0.01"/>
    <n v="6.2100000000000002E-2"/>
    <n v="0.03"/>
    <n v="0.02"/>
    <n v="0.06"/>
    <n v="0.02"/>
    <n v="0.02"/>
    <n v="0.02"/>
    <n v="0.9"/>
    <n v="180000"/>
    <n v="176460"/>
    <n v="304980"/>
    <n v="210120"/>
    <n v="408000"/>
    <n v="140000"/>
  </r>
  <r>
    <x v="0"/>
    <x v="2"/>
    <x v="3"/>
    <s v="General Surgery EXT"/>
    <n v="2014"/>
    <x v="1"/>
    <n v="-86352.285865219877"/>
    <n v="0.02"/>
    <n v="0.01"/>
    <n v="0.01"/>
    <n v="6.2100000000000002E-2"/>
    <n v="0.03"/>
    <n v="0.02"/>
    <n v="0.06"/>
    <n v="0.02"/>
    <n v="0.02"/>
    <n v="0.02"/>
    <n v="0.9"/>
    <n v="180000"/>
    <n v="176460"/>
    <n v="304980"/>
    <n v="210120"/>
    <n v="408000"/>
    <n v="140000"/>
  </r>
  <r>
    <x v="0"/>
    <x v="2"/>
    <x v="3"/>
    <s v="General Surgery EXT"/>
    <n v="2015"/>
    <x v="2"/>
    <n v="-138541.19578403595"/>
    <n v="0.02"/>
    <n v="0.01"/>
    <n v="0.01"/>
    <n v="6.2100000000000002E-2"/>
    <n v="0.03"/>
    <n v="0.02"/>
    <n v="0.06"/>
    <n v="0.02"/>
    <n v="0.02"/>
    <n v="0.02"/>
    <n v="0.9"/>
    <n v="180000"/>
    <n v="176460"/>
    <n v="304980"/>
    <n v="210120"/>
    <n v="408000"/>
    <n v="140000"/>
  </r>
  <r>
    <x v="0"/>
    <x v="2"/>
    <x v="3"/>
    <s v="General Surgery EXT"/>
    <n v="2016"/>
    <x v="3"/>
    <n v="-190867.38028908212"/>
    <n v="0.02"/>
    <n v="0.01"/>
    <n v="0.01"/>
    <n v="6.2100000000000002E-2"/>
    <n v="0.03"/>
    <n v="0.02"/>
    <n v="0.06"/>
    <n v="0.02"/>
    <n v="0.02"/>
    <n v="0.02"/>
    <n v="0.9"/>
    <n v="180000"/>
    <n v="176460"/>
    <n v="304980"/>
    <n v="210120"/>
    <n v="408000"/>
    <n v="140000"/>
  </r>
  <r>
    <x v="0"/>
    <x v="2"/>
    <x v="3"/>
    <s v="General Surgery EXT"/>
    <n v="2017"/>
    <x v="4"/>
    <n v="-157278.5148229824"/>
    <n v="0.02"/>
    <n v="0.01"/>
    <n v="0.01"/>
    <n v="6.2100000000000002E-2"/>
    <n v="0.03"/>
    <n v="0.02"/>
    <n v="0.06"/>
    <n v="0.02"/>
    <n v="0.02"/>
    <n v="0.02"/>
    <n v="0.9"/>
    <n v="180000"/>
    <n v="176460"/>
    <n v="304980"/>
    <n v="210120"/>
    <n v="408000"/>
    <n v="140000"/>
  </r>
  <r>
    <x v="0"/>
    <x v="2"/>
    <x v="3"/>
    <s v="General Surgery EXT"/>
    <n v="2018"/>
    <x v="5"/>
    <n v="-123668.32270644748"/>
    <n v="0.02"/>
    <n v="0.01"/>
    <n v="0.01"/>
    <n v="6.2100000000000002E-2"/>
    <n v="0.03"/>
    <n v="0.02"/>
    <n v="0.06"/>
    <n v="0.02"/>
    <n v="0.02"/>
    <n v="0.02"/>
    <n v="0.9"/>
    <n v="180000"/>
    <n v="176460"/>
    <n v="304980"/>
    <n v="210120"/>
    <n v="408000"/>
    <n v="140000"/>
  </r>
  <r>
    <x v="0"/>
    <x v="2"/>
    <x v="3"/>
    <s v="General Surgery EXT"/>
    <n v="2019"/>
    <x v="6"/>
    <n v="-90028.481028923678"/>
    <n v="0.02"/>
    <n v="0.01"/>
    <n v="0.01"/>
    <n v="6.2100000000000002E-2"/>
    <n v="0.03"/>
    <n v="0.02"/>
    <n v="0.06"/>
    <n v="0.02"/>
    <n v="0.02"/>
    <n v="0.02"/>
    <n v="0.9"/>
    <n v="180000"/>
    <n v="176460"/>
    <n v="304980"/>
    <n v="210120"/>
    <n v="408000"/>
    <n v="140000"/>
  </r>
  <r>
    <x v="0"/>
    <x v="2"/>
    <x v="3"/>
    <s v="General Surgery EXT"/>
    <n v="2020"/>
    <x v="7"/>
    <n v="-56350.829269688562"/>
    <n v="0.02"/>
    <n v="0.01"/>
    <n v="0.01"/>
    <n v="6.2100000000000002E-2"/>
    <n v="0.03"/>
    <n v="0.02"/>
    <n v="0.06"/>
    <n v="0.02"/>
    <n v="0.02"/>
    <n v="0.02"/>
    <n v="0.9"/>
    <n v="180000"/>
    <n v="176460"/>
    <n v="304980"/>
    <n v="210120"/>
    <n v="408000"/>
    <n v="140000"/>
  </r>
  <r>
    <x v="0"/>
    <x v="2"/>
    <x v="3"/>
    <s v="General Surgery EXT"/>
    <n v="2021"/>
    <x v="8"/>
    <n v="-22627.363852044567"/>
    <n v="0.02"/>
    <n v="0.01"/>
    <n v="0.01"/>
    <n v="6.2100000000000002E-2"/>
    <n v="0.03"/>
    <n v="0.02"/>
    <n v="0.06"/>
    <n v="0.02"/>
    <n v="0.02"/>
    <n v="0.02"/>
    <n v="0.9"/>
    <n v="180000"/>
    <n v="176460"/>
    <n v="304980"/>
    <n v="210120"/>
    <n v="408000"/>
    <n v="140000"/>
  </r>
  <r>
    <x v="0"/>
    <x v="2"/>
    <x v="3"/>
    <s v="General Surgery EXT"/>
    <n v="2022"/>
    <x v="9"/>
    <n v="108106.78426573933"/>
    <n v="0.02"/>
    <n v="0.01"/>
    <n v="0.01"/>
    <n v="6.2100000000000002E-2"/>
    <n v="0.03"/>
    <n v="0.02"/>
    <n v="0.06"/>
    <n v="0.02"/>
    <n v="0.02"/>
    <n v="0.02"/>
    <n v="0.9"/>
    <n v="180000"/>
    <n v="176460"/>
    <n v="304980"/>
    <n v="210120"/>
    <n v="408000"/>
    <n v="140000"/>
  </r>
  <r>
    <x v="0"/>
    <x v="2"/>
    <x v="3"/>
    <s v="General Surgery EXT"/>
    <n v="2023"/>
    <x v="10"/>
    <n v="235297.8939871898"/>
    <n v="0.02"/>
    <n v="0.01"/>
    <n v="0.01"/>
    <n v="6.2100000000000002E-2"/>
    <n v="0.03"/>
    <n v="0.02"/>
    <n v="0.06"/>
    <n v="0.02"/>
    <n v="0.02"/>
    <n v="0.02"/>
    <n v="0.9"/>
    <n v="180000"/>
    <n v="176460"/>
    <n v="304980"/>
    <n v="210120"/>
    <n v="408000"/>
    <n v="140000"/>
  </r>
  <r>
    <x v="0"/>
    <x v="2"/>
    <x v="3"/>
    <s v="General Surgery EXT"/>
    <n v="2024"/>
    <x v="11"/>
    <n v="360225.51116036967"/>
    <n v="0.02"/>
    <n v="0.01"/>
    <n v="0.01"/>
    <n v="6.2100000000000002E-2"/>
    <n v="0.03"/>
    <n v="0.02"/>
    <n v="0.06"/>
    <n v="0.02"/>
    <n v="0.02"/>
    <n v="0.02"/>
    <n v="0.9"/>
    <n v="180000"/>
    <n v="176460"/>
    <n v="304980"/>
    <n v="210120"/>
    <n v="408000"/>
    <n v="140000"/>
  </r>
  <r>
    <x v="0"/>
    <x v="2"/>
    <x v="3"/>
    <s v="General Surgery EXT"/>
    <n v="2025"/>
    <x v="12"/>
    <n v="482920.1099148225"/>
    <n v="0.02"/>
    <n v="0.01"/>
    <n v="0.01"/>
    <n v="6.2100000000000002E-2"/>
    <n v="0.03"/>
    <n v="0.02"/>
    <n v="0.06"/>
    <n v="0.02"/>
    <n v="0.02"/>
    <n v="0.02"/>
    <n v="0.9"/>
    <n v="180000"/>
    <n v="176460"/>
    <n v="304980"/>
    <n v="210120"/>
    <n v="408000"/>
    <n v="140000"/>
  </r>
  <r>
    <x v="0"/>
    <x v="2"/>
    <x v="3"/>
    <s v="General Surgery EXT"/>
    <n v="2026"/>
    <x v="13"/>
    <n v="603412.31851447269"/>
    <n v="0.02"/>
    <n v="0.01"/>
    <n v="0.01"/>
    <n v="6.2100000000000002E-2"/>
    <n v="0.03"/>
    <n v="0.02"/>
    <n v="0.06"/>
    <n v="0.02"/>
    <n v="0.02"/>
    <n v="0.02"/>
    <n v="0.9"/>
    <n v="180000"/>
    <n v="176460"/>
    <n v="304980"/>
    <n v="210120"/>
    <n v="408000"/>
    <n v="140000"/>
  </r>
  <r>
    <x v="0"/>
    <x v="2"/>
    <x v="3"/>
    <s v="General Surgery EXT"/>
    <n v="2027"/>
    <x v="14"/>
    <n v="721732.87775003025"/>
    <n v="0.02"/>
    <n v="0.01"/>
    <n v="0.01"/>
    <n v="6.2100000000000002E-2"/>
    <n v="0.03"/>
    <n v="0.02"/>
    <n v="0.06"/>
    <n v="0.02"/>
    <n v="0.02"/>
    <n v="0.02"/>
    <n v="0.9"/>
    <n v="180000"/>
    <n v="176460"/>
    <n v="304980"/>
    <n v="210120"/>
    <n v="408000"/>
    <n v="140000"/>
  </r>
  <r>
    <x v="0"/>
    <x v="2"/>
    <x v="3"/>
    <s v="General Surgery EXT"/>
    <n v="2028"/>
    <x v="15"/>
    <n v="837912.60207502032"/>
    <n v="0.02"/>
    <n v="0.01"/>
    <n v="0.01"/>
    <n v="6.2100000000000002E-2"/>
    <n v="0.03"/>
    <n v="0.02"/>
    <n v="0.06"/>
    <n v="0.02"/>
    <n v="0.02"/>
    <n v="0.02"/>
    <n v="0.9"/>
    <n v="180000"/>
    <n v="176460"/>
    <n v="304980"/>
    <n v="210120"/>
    <n v="408000"/>
    <n v="140000"/>
  </r>
  <r>
    <x v="0"/>
    <x v="2"/>
    <x v="3"/>
    <s v="General Surgery EXT"/>
    <n v="2029"/>
    <x v="16"/>
    <n v="951998.28689282155"/>
    <n v="0.02"/>
    <n v="0.01"/>
    <n v="0.01"/>
    <n v="6.2100000000000002E-2"/>
    <n v="0.03"/>
    <n v="0.02"/>
    <n v="0.06"/>
    <n v="0.02"/>
    <n v="0.02"/>
    <n v="0.02"/>
    <n v="0.9"/>
    <n v="180000"/>
    <n v="176460"/>
    <n v="304980"/>
    <n v="210120"/>
    <n v="408000"/>
    <n v="140000"/>
  </r>
  <r>
    <x v="0"/>
    <x v="2"/>
    <x v="3"/>
    <s v="General Surgery EXT"/>
    <n v="2030"/>
    <x v="17"/>
    <n v="1064138.6434334167"/>
    <n v="0.02"/>
    <n v="0.01"/>
    <n v="0.01"/>
    <n v="6.2100000000000002E-2"/>
    <n v="0.03"/>
    <n v="0.02"/>
    <n v="0.06"/>
    <n v="0.02"/>
    <n v="0.02"/>
    <n v="0.02"/>
    <n v="0.9"/>
    <n v="180000"/>
    <n v="176460"/>
    <n v="304980"/>
    <n v="210120"/>
    <n v="408000"/>
    <n v="140000"/>
  </r>
  <r>
    <x v="0"/>
    <x v="2"/>
    <x v="3"/>
    <s v="General Surgery EXT"/>
    <n v="2031"/>
    <x v="18"/>
    <n v="1174357.9695150815"/>
    <n v="0.02"/>
    <n v="0.01"/>
    <n v="0.01"/>
    <n v="6.2100000000000002E-2"/>
    <n v="0.03"/>
    <n v="0.02"/>
    <n v="0.06"/>
    <n v="0.02"/>
    <n v="0.02"/>
    <n v="0.02"/>
    <n v="0.9"/>
    <n v="180000"/>
    <n v="176460"/>
    <n v="304980"/>
    <n v="210120"/>
    <n v="408000"/>
    <n v="140000"/>
  </r>
  <r>
    <x v="0"/>
    <x v="2"/>
    <x v="3"/>
    <s v="General Surgery EXT"/>
    <n v="2032"/>
    <x v="19"/>
    <n v="1282680.7475420919"/>
    <n v="0.02"/>
    <n v="0.01"/>
    <n v="0.01"/>
    <n v="6.2100000000000002E-2"/>
    <n v="0.03"/>
    <n v="0.02"/>
    <n v="0.06"/>
    <n v="0.02"/>
    <n v="0.02"/>
    <n v="0.02"/>
    <n v="0.9"/>
    <n v="180000"/>
    <n v="176460"/>
    <n v="304980"/>
    <n v="210120"/>
    <n v="408000"/>
    <n v="140000"/>
  </r>
  <r>
    <x v="0"/>
    <x v="2"/>
    <x v="3"/>
    <s v="General Surgery EXT"/>
    <n v="2033"/>
    <x v="20"/>
    <n v="1389131.6092192363"/>
    <n v="0.02"/>
    <n v="0.01"/>
    <n v="0.01"/>
    <n v="6.2100000000000002E-2"/>
    <n v="0.03"/>
    <n v="0.02"/>
    <n v="0.06"/>
    <n v="0.02"/>
    <n v="0.02"/>
    <n v="0.02"/>
    <n v="0.9"/>
    <n v="180000"/>
    <n v="176460"/>
    <n v="304980"/>
    <n v="210120"/>
    <n v="408000"/>
    <n v="140000"/>
  </r>
  <r>
    <x v="0"/>
    <x v="2"/>
    <x v="3"/>
    <s v="General Surgery EXT"/>
    <n v="2034"/>
    <x v="21"/>
    <n v="1493735.3024783791"/>
    <n v="0.02"/>
    <n v="0.01"/>
    <n v="0.01"/>
    <n v="6.2100000000000002E-2"/>
    <n v="0.03"/>
    <n v="0.02"/>
    <n v="0.06"/>
    <n v="0.02"/>
    <n v="0.02"/>
    <n v="0.02"/>
    <n v="0.9"/>
    <n v="180000"/>
    <n v="176460"/>
    <n v="304980"/>
    <n v="210120"/>
    <n v="408000"/>
    <n v="140000"/>
  </r>
  <r>
    <x v="0"/>
    <x v="2"/>
    <x v="3"/>
    <s v="General Surgery EXT"/>
    <n v="2035"/>
    <x v="22"/>
    <n v="1596516.6605006268"/>
    <n v="0.02"/>
    <n v="0.01"/>
    <n v="0.01"/>
    <n v="6.2100000000000002E-2"/>
    <n v="0.03"/>
    <n v="0.02"/>
    <n v="0.06"/>
    <n v="0.02"/>
    <n v="0.02"/>
    <n v="0.02"/>
    <n v="0.9"/>
    <n v="180000"/>
    <n v="176460"/>
    <n v="304980"/>
    <n v="210120"/>
    <n v="408000"/>
    <n v="140000"/>
  </r>
  <r>
    <x v="0"/>
    <x v="2"/>
    <x v="3"/>
    <s v="General Surgery EXT"/>
    <n v="2036"/>
    <x v="23"/>
    <n v="1697500.5727234532"/>
    <n v="0.02"/>
    <n v="0.01"/>
    <n v="0.01"/>
    <n v="6.2100000000000002E-2"/>
    <n v="0.03"/>
    <n v="0.02"/>
    <n v="0.06"/>
    <n v="0.02"/>
    <n v="0.02"/>
    <n v="0.02"/>
    <n v="0.9"/>
    <n v="180000"/>
    <n v="176460"/>
    <n v="304980"/>
    <n v="210120"/>
    <n v="408000"/>
    <n v="140000"/>
  </r>
  <r>
    <x v="0"/>
    <x v="2"/>
    <x v="3"/>
    <s v="General Surgery EXT"/>
    <n v="2037"/>
    <x v="24"/>
    <n v="1796711.9577276502"/>
    <n v="0.02"/>
    <n v="0.01"/>
    <n v="0.01"/>
    <n v="6.2100000000000002E-2"/>
    <n v="0.03"/>
    <n v="0.02"/>
    <n v="0.06"/>
    <n v="0.02"/>
    <n v="0.02"/>
    <n v="0.02"/>
    <n v="0.9"/>
    <n v="180000"/>
    <n v="176460"/>
    <n v="304980"/>
    <n v="210120"/>
    <n v="408000"/>
    <n v="140000"/>
  </r>
  <r>
    <x v="0"/>
    <x v="2"/>
    <x v="3"/>
    <s v="General Surgery EXT"/>
    <n v="2038"/>
    <x v="25"/>
    <n v="1894175.7379042194"/>
    <n v="0.02"/>
    <n v="0.01"/>
    <n v="0.01"/>
    <n v="6.2100000000000002E-2"/>
    <n v="0.03"/>
    <n v="0.02"/>
    <n v="0.06"/>
    <n v="0.02"/>
    <n v="0.02"/>
    <n v="0.02"/>
    <n v="0.9"/>
    <n v="180000"/>
    <n v="176460"/>
    <n v="304980"/>
    <n v="210120"/>
    <n v="408000"/>
    <n v="140000"/>
  </r>
  <r>
    <x v="0"/>
    <x v="2"/>
    <x v="3"/>
    <s v="General Surgery EXT"/>
    <n v="2039"/>
    <x v="26"/>
    <n v="1989915.0863354483"/>
    <n v="0.02"/>
    <n v="0.01"/>
    <n v="0.01"/>
    <n v="6.2100000000000002E-2"/>
    <n v="0.03"/>
    <n v="0.02"/>
    <n v="0.06"/>
    <n v="0.02"/>
    <n v="0.02"/>
    <n v="0.02"/>
    <n v="0.9"/>
    <n v="180000"/>
    <n v="176460"/>
    <n v="304980"/>
    <n v="210120"/>
    <n v="408000"/>
    <n v="140000"/>
  </r>
  <r>
    <x v="0"/>
    <x v="2"/>
    <x v="3"/>
    <s v="General Surgery EXT"/>
    <n v="2040"/>
    <x v="27"/>
    <n v="2083949.5629040927"/>
    <n v="0.02"/>
    <n v="0.01"/>
    <n v="0.01"/>
    <n v="6.2100000000000002E-2"/>
    <n v="0.03"/>
    <n v="0.02"/>
    <n v="0.06"/>
    <n v="0.02"/>
    <n v="0.02"/>
    <n v="0.02"/>
    <n v="0.9"/>
    <n v="180000"/>
    <n v="176460"/>
    <n v="304980"/>
    <n v="210120"/>
    <n v="408000"/>
    <n v="140000"/>
  </r>
  <r>
    <x v="0"/>
    <x v="2"/>
    <x v="3"/>
    <s v="General Surgery EXT"/>
    <n v="2041"/>
    <x v="28"/>
    <n v="2176304.3094376833"/>
    <n v="0.02"/>
    <n v="0.01"/>
    <n v="0.01"/>
    <n v="6.2100000000000002E-2"/>
    <n v="0.03"/>
    <n v="0.02"/>
    <n v="0.06"/>
    <n v="0.02"/>
    <n v="0.02"/>
    <n v="0.02"/>
    <n v="0.9"/>
    <n v="180000"/>
    <n v="176460"/>
    <n v="304980"/>
    <n v="210120"/>
    <n v="408000"/>
    <n v="140000"/>
  </r>
  <r>
    <x v="0"/>
    <x v="2"/>
    <x v="3"/>
    <s v="General Surgery EXT"/>
    <n v="2042"/>
    <x v="29"/>
    <n v="2267004.3734828089"/>
    <n v="0.02"/>
    <n v="0.01"/>
    <n v="0.01"/>
    <n v="6.2100000000000002E-2"/>
    <n v="0.03"/>
    <n v="0.02"/>
    <n v="0.06"/>
    <n v="0.02"/>
    <n v="0.02"/>
    <n v="0.02"/>
    <n v="0.9"/>
    <n v="180000"/>
    <n v="176460"/>
    <n v="304980"/>
    <n v="210120"/>
    <n v="408000"/>
    <n v="140000"/>
  </r>
  <r>
    <x v="0"/>
    <x v="2"/>
    <x v="4"/>
    <s v="General Surgery IBR"/>
    <n v="2013"/>
    <x v="0"/>
    <n v="-43015.05"/>
    <n v="0.02"/>
    <n v="0.01"/>
    <n v="0.01"/>
    <n v="6.2100000000000002E-2"/>
    <n v="0.03"/>
    <n v="0.02"/>
    <n v="0.06"/>
    <n v="0.02"/>
    <n v="0.02"/>
    <n v="0.02"/>
    <n v="0.9"/>
    <n v="180000"/>
    <n v="176460"/>
    <n v="304980"/>
    <n v="210120"/>
    <n v="408000"/>
    <n v="140000"/>
  </r>
  <r>
    <x v="0"/>
    <x v="2"/>
    <x v="4"/>
    <s v="General Surgery IBR"/>
    <n v="2014"/>
    <x v="1"/>
    <n v="-86352.285865219877"/>
    <n v="0.02"/>
    <n v="0.01"/>
    <n v="0.01"/>
    <n v="6.2100000000000002E-2"/>
    <n v="0.03"/>
    <n v="0.02"/>
    <n v="0.06"/>
    <n v="0.02"/>
    <n v="0.02"/>
    <n v="0.02"/>
    <n v="0.9"/>
    <n v="180000"/>
    <n v="176460"/>
    <n v="304980"/>
    <n v="210120"/>
    <n v="408000"/>
    <n v="140000"/>
  </r>
  <r>
    <x v="0"/>
    <x v="2"/>
    <x v="4"/>
    <s v="General Surgery IBR"/>
    <n v="2015"/>
    <x v="2"/>
    <n v="-138541.19578403595"/>
    <n v="0.02"/>
    <n v="0.01"/>
    <n v="0.01"/>
    <n v="6.2100000000000002E-2"/>
    <n v="0.03"/>
    <n v="0.02"/>
    <n v="0.06"/>
    <n v="0.02"/>
    <n v="0.02"/>
    <n v="0.02"/>
    <n v="0.9"/>
    <n v="180000"/>
    <n v="176460"/>
    <n v="304980"/>
    <n v="210120"/>
    <n v="408000"/>
    <n v="140000"/>
  </r>
  <r>
    <x v="0"/>
    <x v="2"/>
    <x v="4"/>
    <s v="General Surgery IBR"/>
    <n v="2016"/>
    <x v="3"/>
    <n v="-190867.38028908212"/>
    <n v="0.02"/>
    <n v="0.01"/>
    <n v="0.01"/>
    <n v="6.2100000000000002E-2"/>
    <n v="0.03"/>
    <n v="0.02"/>
    <n v="0.06"/>
    <n v="0.02"/>
    <n v="0.02"/>
    <n v="0.02"/>
    <n v="0.9"/>
    <n v="180000"/>
    <n v="176460"/>
    <n v="304980"/>
    <n v="210120"/>
    <n v="408000"/>
    <n v="140000"/>
  </r>
  <r>
    <x v="0"/>
    <x v="2"/>
    <x v="4"/>
    <s v="General Surgery IBR"/>
    <n v="2017"/>
    <x v="4"/>
    <n v="-157278.5148229824"/>
    <n v="0.02"/>
    <n v="0.01"/>
    <n v="0.01"/>
    <n v="6.2100000000000002E-2"/>
    <n v="0.03"/>
    <n v="0.02"/>
    <n v="0.06"/>
    <n v="0.02"/>
    <n v="0.02"/>
    <n v="0.02"/>
    <n v="0.9"/>
    <n v="180000"/>
    <n v="176460"/>
    <n v="304980"/>
    <n v="210120"/>
    <n v="408000"/>
    <n v="140000"/>
  </r>
  <r>
    <x v="0"/>
    <x v="2"/>
    <x v="4"/>
    <s v="General Surgery IBR"/>
    <n v="2018"/>
    <x v="5"/>
    <n v="-123668.32270644748"/>
    <n v="0.02"/>
    <n v="0.01"/>
    <n v="0.01"/>
    <n v="6.2100000000000002E-2"/>
    <n v="0.03"/>
    <n v="0.02"/>
    <n v="0.06"/>
    <n v="0.02"/>
    <n v="0.02"/>
    <n v="0.02"/>
    <n v="0.9"/>
    <n v="180000"/>
    <n v="176460"/>
    <n v="304980"/>
    <n v="210120"/>
    <n v="408000"/>
    <n v="140000"/>
  </r>
  <r>
    <x v="0"/>
    <x v="2"/>
    <x v="4"/>
    <s v="General Surgery IBR"/>
    <n v="2019"/>
    <x v="6"/>
    <n v="-90028.481028923678"/>
    <n v="0.02"/>
    <n v="0.01"/>
    <n v="0.01"/>
    <n v="6.2100000000000002E-2"/>
    <n v="0.03"/>
    <n v="0.02"/>
    <n v="0.06"/>
    <n v="0.02"/>
    <n v="0.02"/>
    <n v="0.02"/>
    <n v="0.9"/>
    <n v="180000"/>
    <n v="176460"/>
    <n v="304980"/>
    <n v="210120"/>
    <n v="408000"/>
    <n v="140000"/>
  </r>
  <r>
    <x v="0"/>
    <x v="2"/>
    <x v="4"/>
    <s v="General Surgery IBR"/>
    <n v="2020"/>
    <x v="7"/>
    <n v="-56350.829269688562"/>
    <n v="0.02"/>
    <n v="0.01"/>
    <n v="0.01"/>
    <n v="6.2100000000000002E-2"/>
    <n v="0.03"/>
    <n v="0.02"/>
    <n v="0.06"/>
    <n v="0.02"/>
    <n v="0.02"/>
    <n v="0.02"/>
    <n v="0.9"/>
    <n v="180000"/>
    <n v="176460"/>
    <n v="304980"/>
    <n v="210120"/>
    <n v="408000"/>
    <n v="140000"/>
  </r>
  <r>
    <x v="0"/>
    <x v="2"/>
    <x v="4"/>
    <s v="General Surgery IBR"/>
    <n v="2021"/>
    <x v="8"/>
    <n v="-22627.363852044567"/>
    <n v="0.02"/>
    <n v="0.01"/>
    <n v="0.01"/>
    <n v="6.2100000000000002E-2"/>
    <n v="0.03"/>
    <n v="0.02"/>
    <n v="0.06"/>
    <n v="0.02"/>
    <n v="0.02"/>
    <n v="0.02"/>
    <n v="0.9"/>
    <n v="180000"/>
    <n v="176460"/>
    <n v="304980"/>
    <n v="210120"/>
    <n v="408000"/>
    <n v="140000"/>
  </r>
  <r>
    <x v="0"/>
    <x v="2"/>
    <x v="4"/>
    <s v="General Surgery IBR"/>
    <n v="2022"/>
    <x v="9"/>
    <e v="#VALUE!"/>
    <n v="0.02"/>
    <n v="0.01"/>
    <n v="0.01"/>
    <n v="6.2100000000000002E-2"/>
    <n v="0.03"/>
    <n v="0.02"/>
    <n v="0.06"/>
    <n v="0.02"/>
    <n v="0.02"/>
    <n v="0.02"/>
    <n v="0.9"/>
    <n v="180000"/>
    <n v="176460"/>
    <n v="304980"/>
    <n v="210120"/>
    <n v="408000"/>
    <n v="140000"/>
  </r>
  <r>
    <x v="0"/>
    <x v="2"/>
    <x v="4"/>
    <s v="General Surgery IBR"/>
    <n v="2023"/>
    <x v="10"/>
    <e v="#VALUE!"/>
    <n v="0.02"/>
    <n v="0.01"/>
    <n v="0.01"/>
    <n v="6.2100000000000002E-2"/>
    <n v="0.03"/>
    <n v="0.02"/>
    <n v="0.06"/>
    <n v="0.02"/>
    <n v="0.02"/>
    <n v="0.02"/>
    <n v="0.9"/>
    <n v="180000"/>
    <n v="176460"/>
    <n v="304980"/>
    <n v="210120"/>
    <n v="408000"/>
    <n v="140000"/>
  </r>
  <r>
    <x v="0"/>
    <x v="2"/>
    <x v="4"/>
    <s v="General Surgery IBR"/>
    <n v="2024"/>
    <x v="11"/>
    <e v="#VALUE!"/>
    <n v="0.02"/>
    <n v="0.01"/>
    <n v="0.01"/>
    <n v="6.2100000000000002E-2"/>
    <n v="0.03"/>
    <n v="0.02"/>
    <n v="0.06"/>
    <n v="0.02"/>
    <n v="0.02"/>
    <n v="0.02"/>
    <n v="0.9"/>
    <n v="180000"/>
    <n v="176460"/>
    <n v="304980"/>
    <n v="210120"/>
    <n v="408000"/>
    <n v="140000"/>
  </r>
  <r>
    <x v="0"/>
    <x v="2"/>
    <x v="4"/>
    <s v="General Surgery IBR"/>
    <n v="2025"/>
    <x v="12"/>
    <e v="#VALUE!"/>
    <n v="0.02"/>
    <n v="0.01"/>
    <n v="0.01"/>
    <n v="6.2100000000000002E-2"/>
    <n v="0.03"/>
    <n v="0.02"/>
    <n v="0.06"/>
    <n v="0.02"/>
    <n v="0.02"/>
    <n v="0.02"/>
    <n v="0.9"/>
    <n v="180000"/>
    <n v="176460"/>
    <n v="304980"/>
    <n v="210120"/>
    <n v="408000"/>
    <n v="140000"/>
  </r>
  <r>
    <x v="0"/>
    <x v="2"/>
    <x v="4"/>
    <s v="General Surgery IBR"/>
    <n v="2026"/>
    <x v="13"/>
    <e v="#VALUE!"/>
    <n v="0.02"/>
    <n v="0.01"/>
    <n v="0.01"/>
    <n v="6.2100000000000002E-2"/>
    <n v="0.03"/>
    <n v="0.02"/>
    <n v="0.06"/>
    <n v="0.02"/>
    <n v="0.02"/>
    <n v="0.02"/>
    <n v="0.9"/>
    <n v="180000"/>
    <n v="176460"/>
    <n v="304980"/>
    <n v="210120"/>
    <n v="408000"/>
    <n v="140000"/>
  </r>
  <r>
    <x v="0"/>
    <x v="2"/>
    <x v="4"/>
    <s v="General Surgery IBR"/>
    <n v="2027"/>
    <x v="14"/>
    <e v="#VALUE!"/>
    <n v="0.02"/>
    <n v="0.01"/>
    <n v="0.01"/>
    <n v="6.2100000000000002E-2"/>
    <n v="0.03"/>
    <n v="0.02"/>
    <n v="0.06"/>
    <n v="0.02"/>
    <n v="0.02"/>
    <n v="0.02"/>
    <n v="0.9"/>
    <n v="180000"/>
    <n v="176460"/>
    <n v="304980"/>
    <n v="210120"/>
    <n v="408000"/>
    <n v="140000"/>
  </r>
  <r>
    <x v="0"/>
    <x v="2"/>
    <x v="4"/>
    <s v="General Surgery IBR"/>
    <n v="2028"/>
    <x v="15"/>
    <e v="#VALUE!"/>
    <n v="0.02"/>
    <n v="0.01"/>
    <n v="0.01"/>
    <n v="6.2100000000000002E-2"/>
    <n v="0.03"/>
    <n v="0.02"/>
    <n v="0.06"/>
    <n v="0.02"/>
    <n v="0.02"/>
    <n v="0.02"/>
    <n v="0.9"/>
    <n v="180000"/>
    <n v="176460"/>
    <n v="304980"/>
    <n v="210120"/>
    <n v="408000"/>
    <n v="140000"/>
  </r>
  <r>
    <x v="0"/>
    <x v="2"/>
    <x v="4"/>
    <s v="General Surgery IBR"/>
    <n v="2029"/>
    <x v="16"/>
    <e v="#VALUE!"/>
    <n v="0.02"/>
    <n v="0.01"/>
    <n v="0.01"/>
    <n v="6.2100000000000002E-2"/>
    <n v="0.03"/>
    <n v="0.02"/>
    <n v="0.06"/>
    <n v="0.02"/>
    <n v="0.02"/>
    <n v="0.02"/>
    <n v="0.9"/>
    <n v="180000"/>
    <n v="176460"/>
    <n v="304980"/>
    <n v="210120"/>
    <n v="408000"/>
    <n v="140000"/>
  </r>
  <r>
    <x v="0"/>
    <x v="2"/>
    <x v="4"/>
    <s v="General Surgery IBR"/>
    <n v="2030"/>
    <x v="17"/>
    <e v="#VALUE!"/>
    <n v="0.02"/>
    <n v="0.01"/>
    <n v="0.01"/>
    <n v="6.2100000000000002E-2"/>
    <n v="0.03"/>
    <n v="0.02"/>
    <n v="0.06"/>
    <n v="0.02"/>
    <n v="0.02"/>
    <n v="0.02"/>
    <n v="0.9"/>
    <n v="180000"/>
    <n v="176460"/>
    <n v="304980"/>
    <n v="210120"/>
    <n v="408000"/>
    <n v="140000"/>
  </r>
  <r>
    <x v="0"/>
    <x v="2"/>
    <x v="4"/>
    <s v="General Surgery IBR"/>
    <n v="2031"/>
    <x v="18"/>
    <e v="#VALUE!"/>
    <n v="0.02"/>
    <n v="0.01"/>
    <n v="0.01"/>
    <n v="6.2100000000000002E-2"/>
    <n v="0.03"/>
    <n v="0.02"/>
    <n v="0.06"/>
    <n v="0.02"/>
    <n v="0.02"/>
    <n v="0.02"/>
    <n v="0.9"/>
    <n v="180000"/>
    <n v="176460"/>
    <n v="304980"/>
    <n v="210120"/>
    <n v="408000"/>
    <n v="140000"/>
  </r>
  <r>
    <x v="0"/>
    <x v="2"/>
    <x v="4"/>
    <s v="General Surgery IBR"/>
    <n v="2032"/>
    <x v="19"/>
    <e v="#VALUE!"/>
    <n v="0.02"/>
    <n v="0.01"/>
    <n v="0.01"/>
    <n v="6.2100000000000002E-2"/>
    <n v="0.03"/>
    <n v="0.02"/>
    <n v="0.06"/>
    <n v="0.02"/>
    <n v="0.02"/>
    <n v="0.02"/>
    <n v="0.9"/>
    <n v="180000"/>
    <n v="176460"/>
    <n v="304980"/>
    <n v="210120"/>
    <n v="408000"/>
    <n v="140000"/>
  </r>
  <r>
    <x v="0"/>
    <x v="2"/>
    <x v="4"/>
    <s v="General Surgery IBR"/>
    <n v="2033"/>
    <x v="20"/>
    <e v="#VALUE!"/>
    <n v="0.02"/>
    <n v="0.01"/>
    <n v="0.01"/>
    <n v="6.2100000000000002E-2"/>
    <n v="0.03"/>
    <n v="0.02"/>
    <n v="0.06"/>
    <n v="0.02"/>
    <n v="0.02"/>
    <n v="0.02"/>
    <n v="0.9"/>
    <n v="180000"/>
    <n v="176460"/>
    <n v="304980"/>
    <n v="210120"/>
    <n v="408000"/>
    <n v="140000"/>
  </r>
  <r>
    <x v="0"/>
    <x v="2"/>
    <x v="4"/>
    <s v="General Surgery IBR"/>
    <n v="2034"/>
    <x v="21"/>
    <e v="#VALUE!"/>
    <n v="0.02"/>
    <n v="0.01"/>
    <n v="0.01"/>
    <n v="6.2100000000000002E-2"/>
    <n v="0.03"/>
    <n v="0.02"/>
    <n v="0.06"/>
    <n v="0.02"/>
    <n v="0.02"/>
    <n v="0.02"/>
    <n v="0.9"/>
    <n v="180000"/>
    <n v="176460"/>
    <n v="304980"/>
    <n v="210120"/>
    <n v="408000"/>
    <n v="140000"/>
  </r>
  <r>
    <x v="0"/>
    <x v="2"/>
    <x v="4"/>
    <s v="General Surgery IBR"/>
    <n v="2035"/>
    <x v="22"/>
    <e v="#VALUE!"/>
    <n v="0.02"/>
    <n v="0.01"/>
    <n v="0.01"/>
    <n v="6.2100000000000002E-2"/>
    <n v="0.03"/>
    <n v="0.02"/>
    <n v="0.06"/>
    <n v="0.02"/>
    <n v="0.02"/>
    <n v="0.02"/>
    <n v="0.9"/>
    <n v="180000"/>
    <n v="176460"/>
    <n v="304980"/>
    <n v="210120"/>
    <n v="408000"/>
    <n v="140000"/>
  </r>
  <r>
    <x v="0"/>
    <x v="2"/>
    <x v="4"/>
    <s v="General Surgery IBR"/>
    <n v="2036"/>
    <x v="23"/>
    <e v="#VALUE!"/>
    <n v="0.02"/>
    <n v="0.01"/>
    <n v="0.01"/>
    <n v="6.2100000000000002E-2"/>
    <n v="0.03"/>
    <n v="0.02"/>
    <n v="0.06"/>
    <n v="0.02"/>
    <n v="0.02"/>
    <n v="0.02"/>
    <n v="0.9"/>
    <n v="180000"/>
    <n v="176460"/>
    <n v="304980"/>
    <n v="210120"/>
    <n v="408000"/>
    <n v="140000"/>
  </r>
  <r>
    <x v="0"/>
    <x v="2"/>
    <x v="4"/>
    <s v="General Surgery IBR"/>
    <n v="2037"/>
    <x v="24"/>
    <e v="#VALUE!"/>
    <n v="0.02"/>
    <n v="0.01"/>
    <n v="0.01"/>
    <n v="6.2100000000000002E-2"/>
    <n v="0.03"/>
    <n v="0.02"/>
    <n v="0.06"/>
    <n v="0.02"/>
    <n v="0.02"/>
    <n v="0.02"/>
    <n v="0.9"/>
    <n v="180000"/>
    <n v="176460"/>
    <n v="304980"/>
    <n v="210120"/>
    <n v="408000"/>
    <n v="140000"/>
  </r>
  <r>
    <x v="0"/>
    <x v="2"/>
    <x v="4"/>
    <s v="General Surgery IBR"/>
    <n v="2038"/>
    <x v="25"/>
    <e v="#VALUE!"/>
    <n v="0.02"/>
    <n v="0.01"/>
    <n v="0.01"/>
    <n v="6.2100000000000002E-2"/>
    <n v="0.03"/>
    <n v="0.02"/>
    <n v="0.06"/>
    <n v="0.02"/>
    <n v="0.02"/>
    <n v="0.02"/>
    <n v="0.9"/>
    <n v="180000"/>
    <n v="176460"/>
    <n v="304980"/>
    <n v="210120"/>
    <n v="408000"/>
    <n v="140000"/>
  </r>
  <r>
    <x v="0"/>
    <x v="2"/>
    <x v="4"/>
    <s v="General Surgery IBR"/>
    <n v="2039"/>
    <x v="26"/>
    <e v="#VALUE!"/>
    <n v="0.02"/>
    <n v="0.01"/>
    <n v="0.01"/>
    <n v="6.2100000000000002E-2"/>
    <n v="0.03"/>
    <n v="0.02"/>
    <n v="0.06"/>
    <n v="0.02"/>
    <n v="0.02"/>
    <n v="0.02"/>
    <n v="0.9"/>
    <n v="180000"/>
    <n v="176460"/>
    <n v="304980"/>
    <n v="210120"/>
    <n v="408000"/>
    <n v="140000"/>
  </r>
  <r>
    <x v="0"/>
    <x v="2"/>
    <x v="4"/>
    <s v="General Surgery IBR"/>
    <n v="2040"/>
    <x v="27"/>
    <e v="#VALUE!"/>
    <n v="0.02"/>
    <n v="0.01"/>
    <n v="0.01"/>
    <n v="6.2100000000000002E-2"/>
    <n v="0.03"/>
    <n v="0.02"/>
    <n v="0.06"/>
    <n v="0.02"/>
    <n v="0.02"/>
    <n v="0.02"/>
    <n v="0.9"/>
    <n v="180000"/>
    <n v="176460"/>
    <n v="304980"/>
    <n v="210120"/>
    <n v="408000"/>
    <n v="140000"/>
  </r>
  <r>
    <x v="0"/>
    <x v="2"/>
    <x v="4"/>
    <s v="General Surgery IBR"/>
    <n v="2041"/>
    <x v="28"/>
    <e v="#VALUE!"/>
    <n v="0.02"/>
    <n v="0.01"/>
    <n v="0.01"/>
    <n v="6.2100000000000002E-2"/>
    <n v="0.03"/>
    <n v="0.02"/>
    <n v="0.06"/>
    <n v="0.02"/>
    <n v="0.02"/>
    <n v="0.02"/>
    <n v="0.9"/>
    <n v="180000"/>
    <n v="176460"/>
    <n v="304980"/>
    <n v="210120"/>
    <n v="408000"/>
    <n v="140000"/>
  </r>
  <r>
    <x v="0"/>
    <x v="2"/>
    <x v="4"/>
    <s v="General Surgery IBR"/>
    <n v="2042"/>
    <x v="29"/>
    <e v="#VALUE!"/>
    <n v="0.02"/>
    <n v="0.01"/>
    <n v="0.01"/>
    <n v="6.2100000000000002E-2"/>
    <n v="0.03"/>
    <n v="0.02"/>
    <n v="0.06"/>
    <n v="0.02"/>
    <n v="0.02"/>
    <n v="0.02"/>
    <n v="0.9"/>
    <n v="180000"/>
    <n v="176460"/>
    <n v="304980"/>
    <n v="210120"/>
    <n v="408000"/>
    <n v="140000"/>
  </r>
  <r>
    <x v="0"/>
    <x v="2"/>
    <x v="5"/>
    <s v="General Surgery PAYE"/>
    <n v="2013"/>
    <x v="0"/>
    <n v="-43015.05"/>
    <n v="0.02"/>
    <n v="0.01"/>
    <n v="0.01"/>
    <n v="6.2100000000000002E-2"/>
    <n v="0.03"/>
    <n v="0.02"/>
    <n v="0.06"/>
    <n v="0.02"/>
    <n v="0.02"/>
    <n v="0.02"/>
    <n v="0.9"/>
    <n v="180000"/>
    <n v="176460"/>
    <n v="304980"/>
    <n v="210120"/>
    <n v="408000"/>
    <n v="140000"/>
  </r>
  <r>
    <x v="0"/>
    <x v="2"/>
    <x v="5"/>
    <s v="General Surgery PAYE"/>
    <n v="2014"/>
    <x v="1"/>
    <n v="-86352.285865219877"/>
    <n v="0.02"/>
    <n v="0.01"/>
    <n v="0.01"/>
    <n v="6.2100000000000002E-2"/>
    <n v="0.03"/>
    <n v="0.02"/>
    <n v="0.06"/>
    <n v="0.02"/>
    <n v="0.02"/>
    <n v="0.02"/>
    <n v="0.9"/>
    <n v="180000"/>
    <n v="176460"/>
    <n v="304980"/>
    <n v="210120"/>
    <n v="408000"/>
    <n v="140000"/>
  </r>
  <r>
    <x v="0"/>
    <x v="2"/>
    <x v="5"/>
    <s v="General Surgery PAYE"/>
    <n v="2015"/>
    <x v="2"/>
    <n v="-138541.19578403595"/>
    <n v="0.02"/>
    <n v="0.01"/>
    <n v="0.01"/>
    <n v="6.2100000000000002E-2"/>
    <n v="0.03"/>
    <n v="0.02"/>
    <n v="0.06"/>
    <n v="0.02"/>
    <n v="0.02"/>
    <n v="0.02"/>
    <n v="0.9"/>
    <n v="180000"/>
    <n v="176460"/>
    <n v="304980"/>
    <n v="210120"/>
    <n v="408000"/>
    <n v="140000"/>
  </r>
  <r>
    <x v="0"/>
    <x v="2"/>
    <x v="5"/>
    <s v="General Surgery PAYE"/>
    <n v="2016"/>
    <x v="3"/>
    <n v="-190867.38028908212"/>
    <n v="0.02"/>
    <n v="0.01"/>
    <n v="0.01"/>
    <n v="6.2100000000000002E-2"/>
    <n v="0.03"/>
    <n v="0.02"/>
    <n v="0.06"/>
    <n v="0.02"/>
    <n v="0.02"/>
    <n v="0.02"/>
    <n v="0.9"/>
    <n v="180000"/>
    <n v="176460"/>
    <n v="304980"/>
    <n v="210120"/>
    <n v="408000"/>
    <n v="140000"/>
  </r>
  <r>
    <x v="0"/>
    <x v="2"/>
    <x v="5"/>
    <s v="General Surgery PAYE"/>
    <n v="2017"/>
    <x v="4"/>
    <n v="-157278.5148229824"/>
    <n v="0.02"/>
    <n v="0.01"/>
    <n v="0.01"/>
    <n v="6.2100000000000002E-2"/>
    <n v="0.03"/>
    <n v="0.02"/>
    <n v="0.06"/>
    <n v="0.02"/>
    <n v="0.02"/>
    <n v="0.02"/>
    <n v="0.9"/>
    <n v="180000"/>
    <n v="176460"/>
    <n v="304980"/>
    <n v="210120"/>
    <n v="408000"/>
    <n v="140000"/>
  </r>
  <r>
    <x v="0"/>
    <x v="2"/>
    <x v="5"/>
    <s v="General Surgery PAYE"/>
    <n v="2018"/>
    <x v="5"/>
    <n v="-123668.32270644748"/>
    <n v="0.02"/>
    <n v="0.01"/>
    <n v="0.01"/>
    <n v="6.2100000000000002E-2"/>
    <n v="0.03"/>
    <n v="0.02"/>
    <n v="0.06"/>
    <n v="0.02"/>
    <n v="0.02"/>
    <n v="0.02"/>
    <n v="0.9"/>
    <n v="180000"/>
    <n v="176460"/>
    <n v="304980"/>
    <n v="210120"/>
    <n v="408000"/>
    <n v="140000"/>
  </r>
  <r>
    <x v="0"/>
    <x v="2"/>
    <x v="5"/>
    <s v="General Surgery PAYE"/>
    <n v="2019"/>
    <x v="6"/>
    <n v="-90028.481028923678"/>
    <n v="0.02"/>
    <n v="0.01"/>
    <n v="0.01"/>
    <n v="6.2100000000000002E-2"/>
    <n v="0.03"/>
    <n v="0.02"/>
    <n v="0.06"/>
    <n v="0.02"/>
    <n v="0.02"/>
    <n v="0.02"/>
    <n v="0.9"/>
    <n v="180000"/>
    <n v="176460"/>
    <n v="304980"/>
    <n v="210120"/>
    <n v="408000"/>
    <n v="140000"/>
  </r>
  <r>
    <x v="0"/>
    <x v="2"/>
    <x v="5"/>
    <s v="General Surgery PAYE"/>
    <n v="2020"/>
    <x v="7"/>
    <n v="-56350.829269688562"/>
    <n v="0.02"/>
    <n v="0.01"/>
    <n v="0.01"/>
    <n v="6.2100000000000002E-2"/>
    <n v="0.03"/>
    <n v="0.02"/>
    <n v="0.06"/>
    <n v="0.02"/>
    <n v="0.02"/>
    <n v="0.02"/>
    <n v="0.9"/>
    <n v="180000"/>
    <n v="176460"/>
    <n v="304980"/>
    <n v="210120"/>
    <n v="408000"/>
    <n v="140000"/>
  </r>
  <r>
    <x v="0"/>
    <x v="2"/>
    <x v="5"/>
    <s v="General Surgery PAYE"/>
    <n v="2021"/>
    <x v="8"/>
    <n v="-22627.363852044567"/>
    <n v="0.02"/>
    <n v="0.01"/>
    <n v="0.01"/>
    <n v="6.2100000000000002E-2"/>
    <n v="0.03"/>
    <n v="0.02"/>
    <n v="0.06"/>
    <n v="0.02"/>
    <n v="0.02"/>
    <n v="0.02"/>
    <n v="0.9"/>
    <n v="180000"/>
    <n v="176460"/>
    <n v="304980"/>
    <n v="210120"/>
    <n v="408000"/>
    <n v="140000"/>
  </r>
  <r>
    <x v="0"/>
    <x v="2"/>
    <x v="5"/>
    <s v="General Surgery PAYE"/>
    <n v="2022"/>
    <x v="9"/>
    <n v="99960.965661732902"/>
    <n v="0.02"/>
    <n v="0.01"/>
    <n v="0.01"/>
    <n v="6.2100000000000002E-2"/>
    <n v="0.03"/>
    <n v="0.02"/>
    <n v="0.06"/>
    <n v="0.02"/>
    <n v="0.02"/>
    <n v="0.02"/>
    <n v="0.9"/>
    <n v="180000"/>
    <n v="176460"/>
    <n v="304980"/>
    <n v="210120"/>
    <n v="408000"/>
    <n v="140000"/>
  </r>
  <r>
    <x v="0"/>
    <x v="2"/>
    <x v="5"/>
    <s v="General Surgery PAYE"/>
    <n v="2023"/>
    <x v="10"/>
    <n v="218978.76130617707"/>
    <n v="0.02"/>
    <n v="0.01"/>
    <n v="0.01"/>
    <n v="6.2100000000000002E-2"/>
    <n v="0.03"/>
    <n v="0.02"/>
    <n v="0.06"/>
    <n v="0.02"/>
    <n v="0.02"/>
    <n v="0.02"/>
    <n v="0.9"/>
    <n v="180000"/>
    <n v="176460"/>
    <n v="304980"/>
    <n v="210120"/>
    <n v="408000"/>
    <n v="140000"/>
  </r>
  <r>
    <x v="0"/>
    <x v="2"/>
    <x v="5"/>
    <s v="General Surgery PAYE"/>
    <n v="2024"/>
    <x v="11"/>
    <n v="335503.11706087657"/>
    <n v="0.02"/>
    <n v="0.01"/>
    <n v="0.01"/>
    <n v="6.2100000000000002E-2"/>
    <n v="0.03"/>
    <n v="0.02"/>
    <n v="0.06"/>
    <n v="0.02"/>
    <n v="0.02"/>
    <n v="0.02"/>
    <n v="0.9"/>
    <n v="180000"/>
    <n v="176460"/>
    <n v="304980"/>
    <n v="210120"/>
    <n v="408000"/>
    <n v="140000"/>
  </r>
  <r>
    <x v="0"/>
    <x v="2"/>
    <x v="5"/>
    <s v="General Surgery PAYE"/>
    <n v="2025"/>
    <x v="12"/>
    <n v="449587.57703868905"/>
    <n v="0.02"/>
    <n v="0.01"/>
    <n v="0.01"/>
    <n v="6.2100000000000002E-2"/>
    <n v="0.03"/>
    <n v="0.02"/>
    <n v="0.06"/>
    <n v="0.02"/>
    <n v="0.02"/>
    <n v="0.02"/>
    <n v="0.9"/>
    <n v="180000"/>
    <n v="176460"/>
    <n v="304980"/>
    <n v="210120"/>
    <n v="408000"/>
    <n v="140000"/>
  </r>
  <r>
    <x v="0"/>
    <x v="2"/>
    <x v="5"/>
    <s v="General Surgery PAYE"/>
    <n v="2026"/>
    <x v="13"/>
    <n v="561863.94134045066"/>
    <n v="0.02"/>
    <n v="0.01"/>
    <n v="0.01"/>
    <n v="6.2100000000000002E-2"/>
    <n v="0.03"/>
    <n v="0.02"/>
    <n v="0.06"/>
    <n v="0.02"/>
    <n v="0.02"/>
    <n v="0.02"/>
    <n v="0.9"/>
    <n v="180000"/>
    <n v="176460"/>
    <n v="304980"/>
    <n v="210120"/>
    <n v="408000"/>
    <n v="140000"/>
  </r>
  <r>
    <x v="0"/>
    <x v="2"/>
    <x v="5"/>
    <s v="General Surgery PAYE"/>
    <n v="2027"/>
    <x v="14"/>
    <n v="672364.35561323597"/>
    <n v="0.02"/>
    <n v="0.01"/>
    <n v="0.01"/>
    <n v="6.2100000000000002E-2"/>
    <n v="0.03"/>
    <n v="0.02"/>
    <n v="0.06"/>
    <n v="0.02"/>
    <n v="0.02"/>
    <n v="0.02"/>
    <n v="0.9"/>
    <n v="180000"/>
    <n v="176460"/>
    <n v="304980"/>
    <n v="210120"/>
    <n v="408000"/>
    <n v="140000"/>
  </r>
  <r>
    <x v="0"/>
    <x v="2"/>
    <x v="5"/>
    <s v="General Surgery PAYE"/>
    <n v="2028"/>
    <x v="15"/>
    <n v="781100.57626149629"/>
    <n v="0.02"/>
    <n v="0.01"/>
    <n v="0.01"/>
    <n v="6.2100000000000002E-2"/>
    <n v="0.03"/>
    <n v="0.02"/>
    <n v="0.06"/>
    <n v="0.02"/>
    <n v="0.02"/>
    <n v="0.02"/>
    <n v="0.9"/>
    <n v="180000"/>
    <n v="176460"/>
    <n v="304980"/>
    <n v="210120"/>
    <n v="408000"/>
    <n v="140000"/>
  </r>
  <r>
    <x v="0"/>
    <x v="2"/>
    <x v="5"/>
    <s v="General Surgery PAYE"/>
    <n v="2029"/>
    <x v="16"/>
    <n v="888101.25853148696"/>
    <n v="0.02"/>
    <n v="0.01"/>
    <n v="0.01"/>
    <n v="6.2100000000000002E-2"/>
    <n v="0.03"/>
    <n v="0.02"/>
    <n v="0.06"/>
    <n v="0.02"/>
    <n v="0.02"/>
    <n v="0.02"/>
    <n v="0.9"/>
    <n v="180000"/>
    <n v="176460"/>
    <n v="304980"/>
    <n v="210120"/>
    <n v="408000"/>
    <n v="140000"/>
  </r>
  <r>
    <x v="0"/>
    <x v="2"/>
    <x v="5"/>
    <s v="General Surgery PAYE"/>
    <n v="2030"/>
    <x v="17"/>
    <n v="993497.84717962972"/>
    <n v="0.02"/>
    <n v="0.01"/>
    <n v="0.01"/>
    <n v="6.2100000000000002E-2"/>
    <n v="0.03"/>
    <n v="0.02"/>
    <n v="0.06"/>
    <n v="0.02"/>
    <n v="0.02"/>
    <n v="0.02"/>
    <n v="0.9"/>
    <n v="180000"/>
    <n v="176460"/>
    <n v="304980"/>
    <n v="210120"/>
    <n v="408000"/>
    <n v="140000"/>
  </r>
  <r>
    <x v="0"/>
    <x v="2"/>
    <x v="5"/>
    <s v="General Surgery PAYE"/>
    <n v="2031"/>
    <x v="18"/>
    <n v="1097298.2051550196"/>
    <n v="0.02"/>
    <n v="0.01"/>
    <n v="0.01"/>
    <n v="6.2100000000000002E-2"/>
    <n v="0.03"/>
    <n v="0.02"/>
    <n v="0.06"/>
    <n v="0.02"/>
    <n v="0.02"/>
    <n v="0.02"/>
    <n v="0.9"/>
    <n v="180000"/>
    <n v="176460"/>
    <n v="304980"/>
    <n v="210120"/>
    <n v="408000"/>
    <n v="140000"/>
  </r>
  <r>
    <x v="0"/>
    <x v="2"/>
    <x v="5"/>
    <s v="General Surgery PAYE"/>
    <n v="2032"/>
    <x v="19"/>
    <n v="1209790.6123253831"/>
    <n v="0.02"/>
    <n v="0.01"/>
    <n v="0.01"/>
    <n v="6.2100000000000002E-2"/>
    <n v="0.03"/>
    <n v="0.02"/>
    <n v="0.06"/>
    <n v="0.02"/>
    <n v="0.02"/>
    <n v="0.02"/>
    <n v="0.9"/>
    <n v="180000"/>
    <n v="176460"/>
    <n v="304980"/>
    <n v="210120"/>
    <n v="408000"/>
    <n v="140000"/>
  </r>
  <r>
    <x v="0"/>
    <x v="2"/>
    <x v="5"/>
    <s v="General Surgery PAYE"/>
    <n v="2033"/>
    <x v="20"/>
    <n v="1324321.9291367168"/>
    <n v="0.02"/>
    <n v="0.01"/>
    <n v="0.01"/>
    <n v="6.2100000000000002E-2"/>
    <n v="0.03"/>
    <n v="0.02"/>
    <n v="0.06"/>
    <n v="0.02"/>
    <n v="0.02"/>
    <n v="0.02"/>
    <n v="0.9"/>
    <n v="180000"/>
    <n v="176460"/>
    <n v="304980"/>
    <n v="210120"/>
    <n v="408000"/>
    <n v="140000"/>
  </r>
  <r>
    <x v="0"/>
    <x v="2"/>
    <x v="5"/>
    <s v="General Surgery PAYE"/>
    <n v="2034"/>
    <x v="21"/>
    <n v="1436616.8989370638"/>
    <n v="0.02"/>
    <n v="0.01"/>
    <n v="0.01"/>
    <n v="6.2100000000000002E-2"/>
    <n v="0.03"/>
    <n v="0.02"/>
    <n v="0.06"/>
    <n v="0.02"/>
    <n v="0.02"/>
    <n v="0.02"/>
    <n v="0.9"/>
    <n v="180000"/>
    <n v="176460"/>
    <n v="304980"/>
    <n v="210120"/>
    <n v="408000"/>
    <n v="140000"/>
  </r>
  <r>
    <x v="0"/>
    <x v="2"/>
    <x v="5"/>
    <s v="General Surgery PAYE"/>
    <n v="2035"/>
    <x v="22"/>
    <n v="1546719.0988983978"/>
    <n v="0.02"/>
    <n v="0.01"/>
    <n v="0.01"/>
    <n v="6.2100000000000002E-2"/>
    <n v="0.03"/>
    <n v="0.02"/>
    <n v="0.06"/>
    <n v="0.02"/>
    <n v="0.02"/>
    <n v="0.02"/>
    <n v="0.9"/>
    <n v="180000"/>
    <n v="176460"/>
    <n v="304980"/>
    <n v="210120"/>
    <n v="408000"/>
    <n v="140000"/>
  </r>
  <r>
    <x v="0"/>
    <x v="2"/>
    <x v="5"/>
    <s v="General Surgery PAYE"/>
    <n v="2036"/>
    <x v="23"/>
    <n v="1654671.2596830807"/>
    <n v="0.02"/>
    <n v="0.01"/>
    <n v="0.01"/>
    <n v="6.2100000000000002E-2"/>
    <n v="0.03"/>
    <n v="0.02"/>
    <n v="0.06"/>
    <n v="0.02"/>
    <n v="0.02"/>
    <n v="0.02"/>
    <n v="0.9"/>
    <n v="180000"/>
    <n v="176460"/>
    <n v="304980"/>
    <n v="210120"/>
    <n v="408000"/>
    <n v="140000"/>
  </r>
  <r>
    <x v="0"/>
    <x v="2"/>
    <x v="5"/>
    <s v="General Surgery PAYE"/>
    <n v="2037"/>
    <x v="24"/>
    <n v="1760515.2818106897"/>
    <n v="0.02"/>
    <n v="0.01"/>
    <n v="0.01"/>
    <n v="6.2100000000000002E-2"/>
    <n v="0.03"/>
    <n v="0.02"/>
    <n v="0.06"/>
    <n v="0.02"/>
    <n v="0.02"/>
    <n v="0.02"/>
    <n v="0.9"/>
    <n v="180000"/>
    <n v="176460"/>
    <n v="304980"/>
    <n v="210120"/>
    <n v="408000"/>
    <n v="140000"/>
  </r>
  <r>
    <x v="0"/>
    <x v="2"/>
    <x v="5"/>
    <s v="General Surgery PAYE"/>
    <n v="2038"/>
    <x v="25"/>
    <n v="1864292.2517106663"/>
    <n v="0.02"/>
    <n v="0.01"/>
    <n v="0.01"/>
    <n v="6.2100000000000002E-2"/>
    <n v="0.03"/>
    <n v="0.02"/>
    <n v="0.06"/>
    <n v="0.02"/>
    <n v="0.02"/>
    <n v="0.02"/>
    <n v="0.9"/>
    <n v="180000"/>
    <n v="176460"/>
    <n v="304980"/>
    <n v="210120"/>
    <n v="408000"/>
    <n v="140000"/>
  </r>
  <r>
    <x v="0"/>
    <x v="2"/>
    <x v="5"/>
    <s v="General Surgery PAYE"/>
    <n v="2039"/>
    <x v="26"/>
    <n v="1966040.7279958907"/>
    <n v="0.02"/>
    <n v="0.01"/>
    <n v="0.01"/>
    <n v="6.2100000000000002E-2"/>
    <n v="0.03"/>
    <n v="0.02"/>
    <n v="0.06"/>
    <n v="0.02"/>
    <n v="0.02"/>
    <n v="0.02"/>
    <n v="0.9"/>
    <n v="180000"/>
    <n v="176460"/>
    <n v="304980"/>
    <n v="210120"/>
    <n v="408000"/>
    <n v="140000"/>
  </r>
  <r>
    <x v="0"/>
    <x v="2"/>
    <x v="5"/>
    <s v="General Surgery PAYE"/>
    <n v="2040"/>
    <x v="27"/>
    <n v="2065794.9150671004"/>
    <n v="0.02"/>
    <n v="0.01"/>
    <n v="0.01"/>
    <n v="6.2100000000000002E-2"/>
    <n v="0.03"/>
    <n v="0.02"/>
    <n v="0.06"/>
    <n v="0.02"/>
    <n v="0.02"/>
    <n v="0.02"/>
    <n v="0.9"/>
    <n v="180000"/>
    <n v="176460"/>
    <n v="304980"/>
    <n v="210120"/>
    <n v="408000"/>
    <n v="140000"/>
  </r>
  <r>
    <x v="0"/>
    <x v="2"/>
    <x v="5"/>
    <s v="General Surgery PAYE"/>
    <n v="2041"/>
    <x v="28"/>
    <n v="2163593.8939465559"/>
    <n v="0.02"/>
    <n v="0.01"/>
    <n v="0.01"/>
    <n v="6.2100000000000002E-2"/>
    <n v="0.03"/>
    <n v="0.02"/>
    <n v="0.06"/>
    <n v="0.02"/>
    <n v="0.02"/>
    <n v="0.02"/>
    <n v="0.9"/>
    <n v="180000"/>
    <n v="176460"/>
    <n v="304980"/>
    <n v="210120"/>
    <n v="408000"/>
    <n v="140000"/>
  </r>
  <r>
    <x v="0"/>
    <x v="2"/>
    <x v="5"/>
    <s v="General Surgery PAYE"/>
    <n v="2042"/>
    <x v="29"/>
    <n v="2259475.9800227731"/>
    <n v="0.02"/>
    <n v="0.01"/>
    <n v="0.01"/>
    <n v="6.2100000000000002E-2"/>
    <n v="0.03"/>
    <n v="0.02"/>
    <n v="0.06"/>
    <n v="0.02"/>
    <n v="0.02"/>
    <n v="0.02"/>
    <n v="0.9"/>
    <n v="180000"/>
    <n v="176460"/>
    <n v="304980"/>
    <n v="210120"/>
    <n v="408000"/>
    <n v="140000"/>
  </r>
  <r>
    <x v="0"/>
    <x v="2"/>
    <x v="6"/>
    <s v="General Surgery STD10R"/>
    <n v="2013"/>
    <x v="0"/>
    <n v="-43015.05"/>
    <n v="0.02"/>
    <n v="0.01"/>
    <n v="0.01"/>
    <n v="6.2100000000000002E-2"/>
    <n v="0.03"/>
    <n v="0.02"/>
    <n v="0.06"/>
    <n v="0.02"/>
    <n v="0.02"/>
    <n v="0.02"/>
    <n v="0.9"/>
    <n v="180000"/>
    <n v="176460"/>
    <n v="304980"/>
    <n v="210120"/>
    <n v="408000"/>
    <n v="140000"/>
  </r>
  <r>
    <x v="0"/>
    <x v="2"/>
    <x v="6"/>
    <s v="General Surgery STD10R"/>
    <n v="2014"/>
    <x v="1"/>
    <n v="-86352.285865219877"/>
    <n v="0.02"/>
    <n v="0.01"/>
    <n v="0.01"/>
    <n v="6.2100000000000002E-2"/>
    <n v="0.03"/>
    <n v="0.02"/>
    <n v="0.06"/>
    <n v="0.02"/>
    <n v="0.02"/>
    <n v="0.02"/>
    <n v="0.9"/>
    <n v="180000"/>
    <n v="176460"/>
    <n v="304980"/>
    <n v="210120"/>
    <n v="408000"/>
    <n v="140000"/>
  </r>
  <r>
    <x v="0"/>
    <x v="2"/>
    <x v="6"/>
    <s v="General Surgery STD10R"/>
    <n v="2015"/>
    <x v="2"/>
    <n v="-138541.19578403595"/>
    <n v="0.02"/>
    <n v="0.01"/>
    <n v="0.01"/>
    <n v="6.2100000000000002E-2"/>
    <n v="0.03"/>
    <n v="0.02"/>
    <n v="0.06"/>
    <n v="0.02"/>
    <n v="0.02"/>
    <n v="0.02"/>
    <n v="0.9"/>
    <n v="180000"/>
    <n v="176460"/>
    <n v="304980"/>
    <n v="210120"/>
    <n v="408000"/>
    <n v="140000"/>
  </r>
  <r>
    <x v="0"/>
    <x v="2"/>
    <x v="6"/>
    <s v="General Surgery STD10R"/>
    <n v="2016"/>
    <x v="3"/>
    <n v="-190867.38028908212"/>
    <n v="0.02"/>
    <n v="0.01"/>
    <n v="0.01"/>
    <n v="6.2100000000000002E-2"/>
    <n v="0.03"/>
    <n v="0.02"/>
    <n v="0.06"/>
    <n v="0.02"/>
    <n v="0.02"/>
    <n v="0.02"/>
    <n v="0.9"/>
    <n v="180000"/>
    <n v="176460"/>
    <n v="304980"/>
    <n v="210120"/>
    <n v="408000"/>
    <n v="140000"/>
  </r>
  <r>
    <x v="0"/>
    <x v="2"/>
    <x v="6"/>
    <s v="General Surgery STD10R"/>
    <n v="2017"/>
    <x v="4"/>
    <n v="-169241.36987416679"/>
    <n v="0.02"/>
    <n v="0.01"/>
    <n v="0.01"/>
    <n v="6.2100000000000002E-2"/>
    <n v="0.03"/>
    <n v="0.02"/>
    <n v="0.06"/>
    <n v="0.02"/>
    <n v="0.02"/>
    <n v="0.02"/>
    <n v="0.9"/>
    <n v="180000"/>
    <n v="176460"/>
    <n v="304980"/>
    <n v="210120"/>
    <n v="408000"/>
    <n v="140000"/>
  </r>
  <r>
    <x v="0"/>
    <x v="2"/>
    <x v="6"/>
    <s v="General Surgery STD10R"/>
    <n v="2018"/>
    <x v="5"/>
    <n v="-158404.5549729077"/>
    <n v="0.02"/>
    <n v="0.01"/>
    <n v="0.01"/>
    <n v="6.2100000000000002E-2"/>
    <n v="0.03"/>
    <n v="0.02"/>
    <n v="0.06"/>
    <n v="0.02"/>
    <n v="0.02"/>
    <n v="0.02"/>
    <n v="0.9"/>
    <n v="180000"/>
    <n v="176460"/>
    <n v="304980"/>
    <n v="210120"/>
    <n v="408000"/>
    <n v="140000"/>
  </r>
  <r>
    <x v="0"/>
    <x v="2"/>
    <x v="6"/>
    <s v="General Surgery STD10R"/>
    <n v="2019"/>
    <x v="6"/>
    <n v="-146441.25737997922"/>
    <n v="0.02"/>
    <n v="0.01"/>
    <n v="0.01"/>
    <n v="6.2100000000000002E-2"/>
    <n v="0.03"/>
    <n v="0.02"/>
    <n v="0.06"/>
    <n v="0.02"/>
    <n v="0.02"/>
    <n v="0.02"/>
    <n v="0.9"/>
    <n v="180000"/>
    <n v="176460"/>
    <n v="304980"/>
    <n v="210120"/>
    <n v="408000"/>
    <n v="140000"/>
  </r>
  <r>
    <x v="0"/>
    <x v="2"/>
    <x v="6"/>
    <s v="General Surgery STD10R"/>
    <n v="2020"/>
    <x v="7"/>
    <n v="-133396.14329882836"/>
    <n v="0.02"/>
    <n v="0.01"/>
    <n v="0.01"/>
    <n v="6.2100000000000002E-2"/>
    <n v="0.03"/>
    <n v="0.02"/>
    <n v="0.06"/>
    <n v="0.02"/>
    <n v="0.02"/>
    <n v="0.02"/>
    <n v="0.9"/>
    <n v="180000"/>
    <n v="176460"/>
    <n v="304980"/>
    <n v="210120"/>
    <n v="408000"/>
    <n v="140000"/>
  </r>
  <r>
    <x v="0"/>
    <x v="2"/>
    <x v="6"/>
    <s v="General Surgery STD10R"/>
    <n v="2021"/>
    <x v="8"/>
    <n v="-119311.49158581435"/>
    <n v="0.02"/>
    <n v="0.01"/>
    <n v="0.01"/>
    <n v="6.2100000000000002E-2"/>
    <n v="0.03"/>
    <n v="0.02"/>
    <n v="0.06"/>
    <n v="0.02"/>
    <n v="0.02"/>
    <n v="0.02"/>
    <n v="0.9"/>
    <n v="180000"/>
    <n v="176460"/>
    <n v="304980"/>
    <n v="210120"/>
    <n v="408000"/>
    <n v="140000"/>
  </r>
  <r>
    <x v="0"/>
    <x v="2"/>
    <x v="6"/>
    <s v="General Surgery STD10R"/>
    <n v="2022"/>
    <x v="9"/>
    <n v="6637.1457790879067"/>
    <n v="0.02"/>
    <n v="0.01"/>
    <n v="0.01"/>
    <n v="6.2100000000000002E-2"/>
    <n v="0.03"/>
    <n v="0.02"/>
    <n v="0.06"/>
    <n v="0.02"/>
    <n v="0.02"/>
    <n v="0.02"/>
    <n v="0.9"/>
    <n v="180000"/>
    <n v="176460"/>
    <n v="304980"/>
    <n v="210120"/>
    <n v="408000"/>
    <n v="140000"/>
  </r>
  <r>
    <x v="0"/>
    <x v="2"/>
    <x v="6"/>
    <s v="General Surgery STD10R"/>
    <n v="2023"/>
    <x v="10"/>
    <n v="129273.22908431753"/>
    <n v="0.02"/>
    <n v="0.01"/>
    <n v="0.01"/>
    <n v="6.2100000000000002E-2"/>
    <n v="0.03"/>
    <n v="0.02"/>
    <n v="0.06"/>
    <n v="0.02"/>
    <n v="0.02"/>
    <n v="0.02"/>
    <n v="0.9"/>
    <n v="180000"/>
    <n v="176460"/>
    <n v="304980"/>
    <n v="210120"/>
    <n v="408000"/>
    <n v="140000"/>
  </r>
  <r>
    <x v="0"/>
    <x v="2"/>
    <x v="6"/>
    <s v="General Surgery STD10R"/>
    <n v="2024"/>
    <x v="11"/>
    <n v="249865.20337131724"/>
    <n v="0.02"/>
    <n v="0.01"/>
    <n v="0.01"/>
    <n v="6.2100000000000002E-2"/>
    <n v="0.03"/>
    <n v="0.02"/>
    <n v="0.06"/>
    <n v="0.02"/>
    <n v="0.02"/>
    <n v="0.02"/>
    <n v="0.9"/>
    <n v="180000"/>
    <n v="176460"/>
    <n v="304980"/>
    <n v="210120"/>
    <n v="408000"/>
    <n v="140000"/>
  </r>
  <r>
    <x v="0"/>
    <x v="2"/>
    <x v="6"/>
    <s v="General Surgery STD10R"/>
    <n v="2025"/>
    <x v="12"/>
    <n v="368432.97661065479"/>
    <n v="0.02"/>
    <n v="0.01"/>
    <n v="0.01"/>
    <n v="6.2100000000000002E-2"/>
    <n v="0.03"/>
    <n v="0.02"/>
    <n v="0.06"/>
    <n v="0.02"/>
    <n v="0.02"/>
    <n v="0.02"/>
    <n v="0.9"/>
    <n v="180000"/>
    <n v="176460"/>
    <n v="304980"/>
    <n v="210120"/>
    <n v="408000"/>
    <n v="140000"/>
  </r>
  <r>
    <x v="0"/>
    <x v="2"/>
    <x v="6"/>
    <s v="General Surgery STD10R"/>
    <n v="2026"/>
    <x v="13"/>
    <n v="484997.11980471259"/>
    <n v="0.02"/>
    <n v="0.01"/>
    <n v="0.01"/>
    <n v="6.2100000000000002E-2"/>
    <n v="0.03"/>
    <n v="0.02"/>
    <n v="0.06"/>
    <n v="0.02"/>
    <n v="0.02"/>
    <n v="0.02"/>
    <n v="0.9"/>
    <n v="180000"/>
    <n v="176460"/>
    <n v="304980"/>
    <n v="210120"/>
    <n v="408000"/>
    <n v="140000"/>
  </r>
  <r>
    <x v="0"/>
    <x v="2"/>
    <x v="6"/>
    <s v="General Surgery STD10R"/>
    <n v="2027"/>
    <x v="14"/>
    <n v="606881.12112879532"/>
    <n v="0.02"/>
    <n v="0.01"/>
    <n v="0.01"/>
    <n v="6.2100000000000002E-2"/>
    <n v="0.03"/>
    <n v="0.02"/>
    <n v="0.06"/>
    <n v="0.02"/>
    <n v="0.02"/>
    <n v="0.02"/>
    <n v="0.9"/>
    <n v="180000"/>
    <n v="176460"/>
    <n v="304980"/>
    <n v="210120"/>
    <n v="408000"/>
    <n v="140000"/>
  </r>
  <r>
    <x v="0"/>
    <x v="2"/>
    <x v="6"/>
    <s v="General Surgery STD10R"/>
    <n v="2028"/>
    <x v="15"/>
    <n v="733403.28058345581"/>
    <n v="0.02"/>
    <n v="0.01"/>
    <n v="0.01"/>
    <n v="6.2100000000000002E-2"/>
    <n v="0.03"/>
    <n v="0.02"/>
    <n v="0.06"/>
    <n v="0.02"/>
    <n v="0.02"/>
    <n v="0.02"/>
    <n v="0.9"/>
    <n v="180000"/>
    <n v="176460"/>
    <n v="304980"/>
    <n v="210120"/>
    <n v="408000"/>
    <n v="140000"/>
  </r>
  <r>
    <x v="0"/>
    <x v="2"/>
    <x v="6"/>
    <s v="General Surgery STD10R"/>
    <n v="2029"/>
    <x v="16"/>
    <n v="857333.27829833527"/>
    <n v="0.02"/>
    <n v="0.01"/>
    <n v="0.01"/>
    <n v="6.2100000000000002E-2"/>
    <n v="0.03"/>
    <n v="0.02"/>
    <n v="0.06"/>
    <n v="0.02"/>
    <n v="0.02"/>
    <n v="0.02"/>
    <n v="0.9"/>
    <n v="180000"/>
    <n v="176460"/>
    <n v="304980"/>
    <n v="210120"/>
    <n v="408000"/>
    <n v="140000"/>
  </r>
  <r>
    <x v="0"/>
    <x v="2"/>
    <x v="6"/>
    <s v="General Surgery STD10R"/>
    <n v="2030"/>
    <x v="17"/>
    <n v="978843.81654184137"/>
    <n v="0.02"/>
    <n v="0.01"/>
    <n v="0.01"/>
    <n v="6.2100000000000002E-2"/>
    <n v="0.03"/>
    <n v="0.02"/>
    <n v="0.06"/>
    <n v="0.02"/>
    <n v="0.02"/>
    <n v="0.02"/>
    <n v="0.9"/>
    <n v="180000"/>
    <n v="176460"/>
    <n v="304980"/>
    <n v="210120"/>
    <n v="408000"/>
    <n v="140000"/>
  </r>
  <r>
    <x v="0"/>
    <x v="2"/>
    <x v="6"/>
    <s v="General Surgery STD10R"/>
    <n v="2031"/>
    <x v="18"/>
    <n v="1097982.0286913826"/>
    <n v="0.02"/>
    <n v="0.01"/>
    <n v="0.01"/>
    <n v="6.2100000000000002E-2"/>
    <n v="0.03"/>
    <n v="0.02"/>
    <n v="0.06"/>
    <n v="0.02"/>
    <n v="0.02"/>
    <n v="0.02"/>
    <n v="0.9"/>
    <n v="180000"/>
    <n v="176460"/>
    <n v="304980"/>
    <n v="210120"/>
    <n v="408000"/>
    <n v="140000"/>
  </r>
  <r>
    <x v="0"/>
    <x v="2"/>
    <x v="6"/>
    <s v="General Surgery STD10R"/>
    <n v="2032"/>
    <x v="19"/>
    <n v="1214794.132882372"/>
    <n v="0.02"/>
    <n v="0.01"/>
    <n v="0.01"/>
    <n v="6.2100000000000002E-2"/>
    <n v="0.03"/>
    <n v="0.02"/>
    <n v="0.06"/>
    <n v="0.02"/>
    <n v="0.02"/>
    <n v="0.02"/>
    <n v="0.9"/>
    <n v="180000"/>
    <n v="176460"/>
    <n v="304980"/>
    <n v="210120"/>
    <n v="408000"/>
    <n v="140000"/>
  </r>
  <r>
    <x v="0"/>
    <x v="2"/>
    <x v="6"/>
    <s v="General Surgery STD10R"/>
    <n v="2033"/>
    <x v="20"/>
    <n v="1329325.4496937057"/>
    <n v="0.02"/>
    <n v="0.01"/>
    <n v="0.01"/>
    <n v="6.2100000000000002E-2"/>
    <n v="0.03"/>
    <n v="0.02"/>
    <n v="0.06"/>
    <n v="0.02"/>
    <n v="0.02"/>
    <n v="0.02"/>
    <n v="0.9"/>
    <n v="180000"/>
    <n v="176460"/>
    <n v="304980"/>
    <n v="210120"/>
    <n v="408000"/>
    <n v="140000"/>
  </r>
  <r>
    <x v="0"/>
    <x v="2"/>
    <x v="6"/>
    <s v="General Surgery STD10R"/>
    <n v="2034"/>
    <x v="21"/>
    <n v="1441620.4194940527"/>
    <n v="0.02"/>
    <n v="0.01"/>
    <n v="0.01"/>
    <n v="6.2100000000000002E-2"/>
    <n v="0.03"/>
    <n v="0.02"/>
    <n v="0.06"/>
    <n v="0.02"/>
    <n v="0.02"/>
    <n v="0.02"/>
    <n v="0.9"/>
    <n v="180000"/>
    <n v="176460"/>
    <n v="304980"/>
    <n v="210120"/>
    <n v="408000"/>
    <n v="140000"/>
  </r>
  <r>
    <x v="0"/>
    <x v="2"/>
    <x v="6"/>
    <s v="General Surgery STD10R"/>
    <n v="2035"/>
    <x v="22"/>
    <n v="1551722.6194553867"/>
    <n v="0.02"/>
    <n v="0.01"/>
    <n v="0.01"/>
    <n v="6.2100000000000002E-2"/>
    <n v="0.03"/>
    <n v="0.02"/>
    <n v="0.06"/>
    <n v="0.02"/>
    <n v="0.02"/>
    <n v="0.02"/>
    <n v="0.9"/>
    <n v="180000"/>
    <n v="176460"/>
    <n v="304980"/>
    <n v="210120"/>
    <n v="408000"/>
    <n v="140000"/>
  </r>
  <r>
    <x v="0"/>
    <x v="2"/>
    <x v="6"/>
    <s v="General Surgery STD10R"/>
    <n v="2036"/>
    <x v="23"/>
    <n v="1659674.7802400696"/>
    <n v="0.02"/>
    <n v="0.01"/>
    <n v="0.01"/>
    <n v="6.2100000000000002E-2"/>
    <n v="0.03"/>
    <n v="0.02"/>
    <n v="0.06"/>
    <n v="0.02"/>
    <n v="0.02"/>
    <n v="0.02"/>
    <n v="0.9"/>
    <n v="180000"/>
    <n v="176460"/>
    <n v="304980"/>
    <n v="210120"/>
    <n v="408000"/>
    <n v="140000"/>
  </r>
  <r>
    <x v="0"/>
    <x v="2"/>
    <x v="6"/>
    <s v="General Surgery STD10R"/>
    <n v="2037"/>
    <x v="24"/>
    <n v="1765518.8023676786"/>
    <n v="0.02"/>
    <n v="0.01"/>
    <n v="0.01"/>
    <n v="6.2100000000000002E-2"/>
    <n v="0.03"/>
    <n v="0.02"/>
    <n v="0.06"/>
    <n v="0.02"/>
    <n v="0.02"/>
    <n v="0.02"/>
    <n v="0.9"/>
    <n v="180000"/>
    <n v="176460"/>
    <n v="304980"/>
    <n v="210120"/>
    <n v="408000"/>
    <n v="140000"/>
  </r>
  <r>
    <x v="0"/>
    <x v="2"/>
    <x v="6"/>
    <s v="General Surgery STD10R"/>
    <n v="2038"/>
    <x v="25"/>
    <n v="1869295.7722676552"/>
    <n v="0.02"/>
    <n v="0.01"/>
    <n v="0.01"/>
    <n v="6.2100000000000002E-2"/>
    <n v="0.03"/>
    <n v="0.02"/>
    <n v="0.06"/>
    <n v="0.02"/>
    <n v="0.02"/>
    <n v="0.02"/>
    <n v="0.9"/>
    <n v="180000"/>
    <n v="176460"/>
    <n v="304980"/>
    <n v="210120"/>
    <n v="408000"/>
    <n v="140000"/>
  </r>
  <r>
    <x v="0"/>
    <x v="2"/>
    <x v="6"/>
    <s v="General Surgery STD10R"/>
    <n v="2039"/>
    <x v="26"/>
    <n v="1971044.2485528796"/>
    <n v="0.02"/>
    <n v="0.01"/>
    <n v="0.01"/>
    <n v="6.2100000000000002E-2"/>
    <n v="0.03"/>
    <n v="0.02"/>
    <n v="0.06"/>
    <n v="0.02"/>
    <n v="0.02"/>
    <n v="0.02"/>
    <n v="0.9"/>
    <n v="180000"/>
    <n v="176460"/>
    <n v="304980"/>
    <n v="210120"/>
    <n v="408000"/>
    <n v="140000"/>
  </r>
  <r>
    <x v="0"/>
    <x v="2"/>
    <x v="6"/>
    <s v="General Surgery STD10R"/>
    <n v="2040"/>
    <x v="27"/>
    <n v="2070798.4356240893"/>
    <n v="0.02"/>
    <n v="0.01"/>
    <n v="0.01"/>
    <n v="6.2100000000000002E-2"/>
    <n v="0.03"/>
    <n v="0.02"/>
    <n v="0.06"/>
    <n v="0.02"/>
    <n v="0.02"/>
    <n v="0.02"/>
    <n v="0.9"/>
    <n v="180000"/>
    <n v="176460"/>
    <n v="304980"/>
    <n v="210120"/>
    <n v="408000"/>
    <n v="140000"/>
  </r>
  <r>
    <x v="0"/>
    <x v="2"/>
    <x v="6"/>
    <s v="General Surgery STD10R"/>
    <n v="2041"/>
    <x v="28"/>
    <n v="2168597.4145035446"/>
    <n v="0.02"/>
    <n v="0.01"/>
    <n v="0.01"/>
    <n v="6.2100000000000002E-2"/>
    <n v="0.03"/>
    <n v="0.02"/>
    <n v="0.06"/>
    <n v="0.02"/>
    <n v="0.02"/>
    <n v="0.02"/>
    <n v="0.9"/>
    <n v="180000"/>
    <n v="176460"/>
    <n v="304980"/>
    <n v="210120"/>
    <n v="408000"/>
    <n v="140000"/>
  </r>
  <r>
    <x v="0"/>
    <x v="2"/>
    <x v="6"/>
    <s v="General Surgery STD10R"/>
    <n v="2042"/>
    <x v="29"/>
    <n v="2264479.5005797618"/>
    <n v="0.02"/>
    <n v="0.01"/>
    <n v="0.01"/>
    <n v="6.2100000000000002E-2"/>
    <n v="0.03"/>
    <n v="0.02"/>
    <n v="0.06"/>
    <n v="0.02"/>
    <n v="0.02"/>
    <n v="0.02"/>
    <n v="0.9"/>
    <n v="180000"/>
    <n v="176460"/>
    <n v="304980"/>
    <n v="210120"/>
    <n v="408000"/>
    <n v="140000"/>
  </r>
  <r>
    <x v="0"/>
    <x v="2"/>
    <x v="7"/>
    <s v="General Surgery IBRR"/>
    <n v="2013"/>
    <x v="0"/>
    <n v="-43015.05"/>
    <n v="0.02"/>
    <n v="0.01"/>
    <n v="0.01"/>
    <n v="6.2100000000000002E-2"/>
    <n v="0.03"/>
    <n v="0.02"/>
    <n v="0.06"/>
    <n v="0.02"/>
    <n v="0.02"/>
    <n v="0.02"/>
    <n v="0.9"/>
    <n v="180000"/>
    <n v="176460"/>
    <n v="304980"/>
    <n v="210120"/>
    <n v="408000"/>
    <n v="140000"/>
  </r>
  <r>
    <x v="0"/>
    <x v="2"/>
    <x v="7"/>
    <s v="General Surgery IBRR"/>
    <n v="2014"/>
    <x v="1"/>
    <n v="-86352.285865219877"/>
    <n v="0.02"/>
    <n v="0.01"/>
    <n v="0.01"/>
    <n v="6.2100000000000002E-2"/>
    <n v="0.03"/>
    <n v="0.02"/>
    <n v="0.06"/>
    <n v="0.02"/>
    <n v="0.02"/>
    <n v="0.02"/>
    <n v="0.9"/>
    <n v="180000"/>
    <n v="176460"/>
    <n v="304980"/>
    <n v="210120"/>
    <n v="408000"/>
    <n v="140000"/>
  </r>
  <r>
    <x v="0"/>
    <x v="2"/>
    <x v="7"/>
    <s v="General Surgery IBRR"/>
    <n v="2015"/>
    <x v="2"/>
    <n v="-138541.19578403595"/>
    <n v="0.02"/>
    <n v="0.01"/>
    <n v="0.01"/>
    <n v="6.2100000000000002E-2"/>
    <n v="0.03"/>
    <n v="0.02"/>
    <n v="0.06"/>
    <n v="0.02"/>
    <n v="0.02"/>
    <n v="0.02"/>
    <n v="0.9"/>
    <n v="180000"/>
    <n v="176460"/>
    <n v="304980"/>
    <n v="210120"/>
    <n v="408000"/>
    <n v="140000"/>
  </r>
  <r>
    <x v="0"/>
    <x v="2"/>
    <x v="7"/>
    <s v="General Surgery IBRR"/>
    <n v="2016"/>
    <x v="3"/>
    <n v="-190867.38028908212"/>
    <n v="0.02"/>
    <n v="0.01"/>
    <n v="0.01"/>
    <n v="6.2100000000000002E-2"/>
    <n v="0.03"/>
    <n v="0.02"/>
    <n v="0.06"/>
    <n v="0.02"/>
    <n v="0.02"/>
    <n v="0.02"/>
    <n v="0.9"/>
    <n v="180000"/>
    <n v="176460"/>
    <n v="304980"/>
    <n v="210120"/>
    <n v="408000"/>
    <n v="140000"/>
  </r>
  <r>
    <x v="0"/>
    <x v="2"/>
    <x v="7"/>
    <s v="General Surgery IBRR"/>
    <n v="2017"/>
    <x v="4"/>
    <n v="-161673.72697596412"/>
    <n v="0.02"/>
    <n v="0.01"/>
    <n v="0.01"/>
    <n v="6.2100000000000002E-2"/>
    <n v="0.03"/>
    <n v="0.02"/>
    <n v="0.06"/>
    <n v="0.02"/>
    <n v="0.02"/>
    <n v="0.02"/>
    <n v="0.9"/>
    <n v="180000"/>
    <n v="176460"/>
    <n v="304980"/>
    <n v="210120"/>
    <n v="408000"/>
    <n v="140000"/>
  </r>
  <r>
    <x v="0"/>
    <x v="2"/>
    <x v="7"/>
    <s v="General Surgery IBRR"/>
    <n v="2018"/>
    <x v="5"/>
    <n v="-132585.52546268981"/>
    <n v="0.02"/>
    <n v="0.01"/>
    <n v="0.01"/>
    <n v="6.2100000000000002E-2"/>
    <n v="0.03"/>
    <n v="0.02"/>
    <n v="0.06"/>
    <n v="0.02"/>
    <n v="0.02"/>
    <n v="0.02"/>
    <n v="0.9"/>
    <n v="180000"/>
    <n v="176460"/>
    <n v="304980"/>
    <n v="210120"/>
    <n v="408000"/>
    <n v="140000"/>
  </r>
  <r>
    <x v="0"/>
    <x v="2"/>
    <x v="7"/>
    <s v="General Surgery IBRR"/>
    <n v="2019"/>
    <x v="6"/>
    <n v="-103593.03997577081"/>
    <n v="0.02"/>
    <n v="0.01"/>
    <n v="0.01"/>
    <n v="6.2100000000000002E-2"/>
    <n v="0.03"/>
    <n v="0.02"/>
    <n v="0.06"/>
    <n v="0.02"/>
    <n v="0.02"/>
    <n v="0.02"/>
    <n v="0.9"/>
    <n v="180000"/>
    <n v="176460"/>
    <n v="304980"/>
    <n v="210120"/>
    <n v="408000"/>
    <n v="140000"/>
  </r>
  <r>
    <x v="0"/>
    <x v="2"/>
    <x v="7"/>
    <s v="General Surgery IBRR"/>
    <n v="2020"/>
    <x v="7"/>
    <n v="-74686.7586801039"/>
    <n v="0.02"/>
    <n v="0.01"/>
    <n v="0.01"/>
    <n v="6.2100000000000002E-2"/>
    <n v="0.03"/>
    <n v="0.02"/>
    <n v="0.06"/>
    <n v="0.02"/>
    <n v="0.02"/>
    <n v="0.02"/>
    <n v="0.9"/>
    <n v="180000"/>
    <n v="176460"/>
    <n v="304980"/>
    <n v="210120"/>
    <n v="408000"/>
    <n v="140000"/>
  </r>
  <r>
    <x v="0"/>
    <x v="2"/>
    <x v="7"/>
    <s v="General Surgery IBRR"/>
    <n v="2021"/>
    <x v="8"/>
    <n v="-45857.386622987513"/>
    <n v="0.02"/>
    <n v="0.01"/>
    <n v="0.01"/>
    <n v="6.2100000000000002E-2"/>
    <n v="0.03"/>
    <n v="0.02"/>
    <n v="0.06"/>
    <n v="0.02"/>
    <n v="0.02"/>
    <n v="0.02"/>
    <n v="0.9"/>
    <n v="180000"/>
    <n v="176460"/>
    <n v="304980"/>
    <n v="210120"/>
    <n v="408000"/>
    <n v="140000"/>
  </r>
  <r>
    <x v="0"/>
    <x v="2"/>
    <x v="7"/>
    <s v="General Surgery IBRR"/>
    <n v="2022"/>
    <x v="9"/>
    <n v="80091.250741914744"/>
    <n v="0.02"/>
    <n v="0.01"/>
    <n v="0.01"/>
    <n v="6.2100000000000002E-2"/>
    <n v="0.03"/>
    <n v="0.02"/>
    <n v="0.06"/>
    <n v="0.02"/>
    <n v="0.02"/>
    <n v="0.02"/>
    <n v="0.9"/>
    <n v="180000"/>
    <n v="176460"/>
    <n v="304980"/>
    <n v="210120"/>
    <n v="408000"/>
    <n v="140000"/>
  </r>
  <r>
    <x v="0"/>
    <x v="2"/>
    <x v="7"/>
    <s v="General Surgery IBRR"/>
    <n v="2023"/>
    <x v="10"/>
    <n v="202727.33404714437"/>
    <n v="0.02"/>
    <n v="0.01"/>
    <n v="0.01"/>
    <n v="6.2100000000000002E-2"/>
    <n v="0.03"/>
    <n v="0.02"/>
    <n v="0.06"/>
    <n v="0.02"/>
    <n v="0.02"/>
    <n v="0.02"/>
    <n v="0.9"/>
    <n v="180000"/>
    <n v="176460"/>
    <n v="304980"/>
    <n v="210120"/>
    <n v="408000"/>
    <n v="140000"/>
  </r>
  <r>
    <x v="0"/>
    <x v="2"/>
    <x v="7"/>
    <s v="General Surgery IBRR"/>
    <n v="2024"/>
    <x v="11"/>
    <n v="323319.30833414407"/>
    <n v="0.02"/>
    <n v="0.01"/>
    <n v="0.01"/>
    <n v="6.2100000000000002E-2"/>
    <n v="0.03"/>
    <n v="0.02"/>
    <n v="0.06"/>
    <n v="0.02"/>
    <n v="0.02"/>
    <n v="0.02"/>
    <n v="0.9"/>
    <n v="180000"/>
    <n v="176460"/>
    <n v="304980"/>
    <n v="210120"/>
    <n v="408000"/>
    <n v="140000"/>
  </r>
  <r>
    <x v="0"/>
    <x v="2"/>
    <x v="7"/>
    <s v="General Surgery IBRR"/>
    <n v="2025"/>
    <x v="12"/>
    <n v="441887.08157348161"/>
    <n v="0.02"/>
    <n v="0.01"/>
    <n v="0.01"/>
    <n v="6.2100000000000002E-2"/>
    <n v="0.03"/>
    <n v="0.02"/>
    <n v="0.06"/>
    <n v="0.02"/>
    <n v="0.02"/>
    <n v="0.02"/>
    <n v="0.9"/>
    <n v="180000"/>
    <n v="176460"/>
    <n v="304980"/>
    <n v="210120"/>
    <n v="408000"/>
    <n v="140000"/>
  </r>
  <r>
    <x v="0"/>
    <x v="2"/>
    <x v="7"/>
    <s v="General Surgery IBRR"/>
    <n v="2026"/>
    <x v="13"/>
    <n v="558451.22476753942"/>
    <n v="0.02"/>
    <n v="0.01"/>
    <n v="0.01"/>
    <n v="6.2100000000000002E-2"/>
    <n v="0.03"/>
    <n v="0.02"/>
    <n v="0.06"/>
    <n v="0.02"/>
    <n v="0.02"/>
    <n v="0.02"/>
    <n v="0.9"/>
    <n v="180000"/>
    <n v="176460"/>
    <n v="304980"/>
    <n v="210120"/>
    <n v="408000"/>
    <n v="140000"/>
  </r>
  <r>
    <x v="0"/>
    <x v="2"/>
    <x v="7"/>
    <s v="General Surgery IBRR"/>
    <n v="2027"/>
    <x v="14"/>
    <n v="673032.9058329158"/>
    <n v="0.02"/>
    <n v="0.01"/>
    <n v="0.01"/>
    <n v="6.2100000000000002E-2"/>
    <n v="0.03"/>
    <n v="0.02"/>
    <n v="0.06"/>
    <n v="0.02"/>
    <n v="0.02"/>
    <n v="0.02"/>
    <n v="0.9"/>
    <n v="180000"/>
    <n v="176460"/>
    <n v="304980"/>
    <n v="210120"/>
    <n v="408000"/>
    <n v="140000"/>
  </r>
  <r>
    <x v="0"/>
    <x v="2"/>
    <x v="7"/>
    <s v="General Surgery IBRR"/>
    <n v="2028"/>
    <x v="15"/>
    <n v="785653.82740692433"/>
    <n v="0.02"/>
    <n v="0.01"/>
    <n v="0.01"/>
    <n v="6.2100000000000002E-2"/>
    <n v="0.03"/>
    <n v="0.02"/>
    <n v="0.06"/>
    <n v="0.02"/>
    <n v="0.02"/>
    <n v="0.02"/>
    <n v="0.9"/>
    <n v="180000"/>
    <n v="176460"/>
    <n v="304980"/>
    <n v="210120"/>
    <n v="408000"/>
    <n v="140000"/>
  </r>
  <r>
    <x v="0"/>
    <x v="2"/>
    <x v="7"/>
    <s v="General Surgery IBRR"/>
    <n v="2029"/>
    <x v="16"/>
    <n v="896352.11192872177"/>
    <n v="0.02"/>
    <n v="0.01"/>
    <n v="0.01"/>
    <n v="6.2100000000000002E-2"/>
    <n v="0.03"/>
    <n v="0.02"/>
    <n v="0.06"/>
    <n v="0.02"/>
    <n v="0.02"/>
    <n v="0.02"/>
    <n v="0.9"/>
    <n v="180000"/>
    <n v="176460"/>
    <n v="304980"/>
    <n v="210120"/>
    <n v="408000"/>
    <n v="140000"/>
  </r>
  <r>
    <x v="0"/>
    <x v="2"/>
    <x v="7"/>
    <s v="General Surgery IBRR"/>
    <n v="2030"/>
    <x v="17"/>
    <n v="1005268.2153796504"/>
    <n v="0.02"/>
    <n v="0.01"/>
    <n v="0.01"/>
    <n v="6.2100000000000002E-2"/>
    <n v="0.03"/>
    <n v="0.02"/>
    <n v="0.06"/>
    <n v="0.02"/>
    <n v="0.02"/>
    <n v="0.02"/>
    <n v="0.9"/>
    <n v="180000"/>
    <n v="176460"/>
    <n v="304980"/>
    <n v="210120"/>
    <n v="408000"/>
    <n v="140000"/>
  </r>
  <r>
    <x v="0"/>
    <x v="2"/>
    <x v="7"/>
    <s v="General Surgery IBRR"/>
    <n v="2031"/>
    <x v="18"/>
    <n v="1112418.5779265098"/>
    <n v="0.02"/>
    <n v="0.01"/>
    <n v="0.01"/>
    <n v="6.2100000000000002E-2"/>
    <n v="0.03"/>
    <n v="0.02"/>
    <n v="0.06"/>
    <n v="0.02"/>
    <n v="0.02"/>
    <n v="0.02"/>
    <n v="0.9"/>
    <n v="180000"/>
    <n v="176460"/>
    <n v="304980"/>
    <n v="210120"/>
    <n v="408000"/>
    <n v="140000"/>
  </r>
  <r>
    <x v="0"/>
    <x v="2"/>
    <x v="7"/>
    <s v="General Surgery IBRR"/>
    <n v="2032"/>
    <x v="19"/>
    <n v="1217820.2027698103"/>
    <n v="0.02"/>
    <n v="0.01"/>
    <n v="0.01"/>
    <n v="6.2100000000000002E-2"/>
    <n v="0.03"/>
    <n v="0.02"/>
    <n v="0.06"/>
    <n v="0.02"/>
    <n v="0.02"/>
    <n v="0.02"/>
    <n v="0.9"/>
    <n v="180000"/>
    <n v="176460"/>
    <n v="304980"/>
    <n v="210120"/>
    <n v="408000"/>
    <n v="140000"/>
  </r>
  <r>
    <x v="0"/>
    <x v="2"/>
    <x v="7"/>
    <s v="General Surgery IBRR"/>
    <n v="2033"/>
    <x v="20"/>
    <n v="1322417.2080475518"/>
    <n v="0.02"/>
    <n v="0.01"/>
    <n v="0.01"/>
    <n v="6.2100000000000002E-2"/>
    <n v="0.03"/>
    <n v="0.02"/>
    <n v="0.06"/>
    <n v="0.02"/>
    <n v="0.02"/>
    <n v="0.02"/>
    <n v="0.9"/>
    <n v="180000"/>
    <n v="176460"/>
    <n v="304980"/>
    <n v="210120"/>
    <n v="408000"/>
    <n v="140000"/>
  </r>
  <r>
    <x v="0"/>
    <x v="2"/>
    <x v="7"/>
    <s v="General Surgery IBRR"/>
    <n v="2034"/>
    <x v="21"/>
    <n v="1434712.1778478988"/>
    <n v="0.02"/>
    <n v="0.01"/>
    <n v="0.01"/>
    <n v="6.2100000000000002E-2"/>
    <n v="0.03"/>
    <n v="0.02"/>
    <n v="0.06"/>
    <n v="0.02"/>
    <n v="0.02"/>
    <n v="0.02"/>
    <n v="0.9"/>
    <n v="180000"/>
    <n v="176460"/>
    <n v="304980"/>
    <n v="210120"/>
    <n v="408000"/>
    <n v="140000"/>
  </r>
  <r>
    <x v="0"/>
    <x v="2"/>
    <x v="7"/>
    <s v="General Surgery IBRR"/>
    <n v="2035"/>
    <x v="22"/>
    <n v="1544814.3778092328"/>
    <n v="0.02"/>
    <n v="0.01"/>
    <n v="0.01"/>
    <n v="6.2100000000000002E-2"/>
    <n v="0.03"/>
    <n v="0.02"/>
    <n v="0.06"/>
    <n v="0.02"/>
    <n v="0.02"/>
    <n v="0.02"/>
    <n v="0.9"/>
    <n v="180000"/>
    <n v="176460"/>
    <n v="304980"/>
    <n v="210120"/>
    <n v="408000"/>
    <n v="140000"/>
  </r>
  <r>
    <x v="0"/>
    <x v="2"/>
    <x v="7"/>
    <s v="General Surgery IBRR"/>
    <n v="2036"/>
    <x v="23"/>
    <n v="1652766.5385939158"/>
    <n v="0.02"/>
    <n v="0.01"/>
    <n v="0.01"/>
    <n v="6.2100000000000002E-2"/>
    <n v="0.03"/>
    <n v="0.02"/>
    <n v="0.06"/>
    <n v="0.02"/>
    <n v="0.02"/>
    <n v="0.02"/>
    <n v="0.9"/>
    <n v="180000"/>
    <n v="176460"/>
    <n v="304980"/>
    <n v="210120"/>
    <n v="408000"/>
    <n v="140000"/>
  </r>
  <r>
    <x v="0"/>
    <x v="2"/>
    <x v="7"/>
    <s v="General Surgery IBRR"/>
    <n v="2037"/>
    <x v="24"/>
    <n v="1758610.5607215248"/>
    <n v="0.02"/>
    <n v="0.01"/>
    <n v="0.01"/>
    <n v="6.2100000000000002E-2"/>
    <n v="0.03"/>
    <n v="0.02"/>
    <n v="0.06"/>
    <n v="0.02"/>
    <n v="0.02"/>
    <n v="0.02"/>
    <n v="0.9"/>
    <n v="180000"/>
    <n v="176460"/>
    <n v="304980"/>
    <n v="210120"/>
    <n v="408000"/>
    <n v="140000"/>
  </r>
  <r>
    <x v="0"/>
    <x v="2"/>
    <x v="7"/>
    <s v="General Surgery IBRR"/>
    <n v="2038"/>
    <x v="25"/>
    <n v="1862387.5306215014"/>
    <n v="0.02"/>
    <n v="0.01"/>
    <n v="0.01"/>
    <n v="6.2100000000000002E-2"/>
    <n v="0.03"/>
    <n v="0.02"/>
    <n v="0.06"/>
    <n v="0.02"/>
    <n v="0.02"/>
    <n v="0.02"/>
    <n v="0.9"/>
    <n v="180000"/>
    <n v="176460"/>
    <n v="304980"/>
    <n v="210120"/>
    <n v="408000"/>
    <n v="140000"/>
  </r>
  <r>
    <x v="0"/>
    <x v="2"/>
    <x v="7"/>
    <s v="General Surgery IBRR"/>
    <n v="2039"/>
    <x v="26"/>
    <n v="1964136.0069067257"/>
    <n v="0.02"/>
    <n v="0.01"/>
    <n v="0.01"/>
    <n v="6.2100000000000002E-2"/>
    <n v="0.03"/>
    <n v="0.02"/>
    <n v="0.06"/>
    <n v="0.02"/>
    <n v="0.02"/>
    <n v="0.02"/>
    <n v="0.9"/>
    <n v="180000"/>
    <n v="176460"/>
    <n v="304980"/>
    <n v="210120"/>
    <n v="408000"/>
    <n v="140000"/>
  </r>
  <r>
    <x v="0"/>
    <x v="2"/>
    <x v="7"/>
    <s v="General Surgery IBRR"/>
    <n v="2040"/>
    <x v="27"/>
    <n v="2063890.1939779355"/>
    <n v="0.02"/>
    <n v="0.01"/>
    <n v="0.01"/>
    <n v="6.2100000000000002E-2"/>
    <n v="0.03"/>
    <n v="0.02"/>
    <n v="0.06"/>
    <n v="0.02"/>
    <n v="0.02"/>
    <n v="0.02"/>
    <n v="0.9"/>
    <n v="180000"/>
    <n v="176460"/>
    <n v="304980"/>
    <n v="210120"/>
    <n v="408000"/>
    <n v="140000"/>
  </r>
  <r>
    <x v="0"/>
    <x v="2"/>
    <x v="7"/>
    <s v="General Surgery IBRR"/>
    <n v="2041"/>
    <x v="28"/>
    <n v="2161689.1728573907"/>
    <n v="0.02"/>
    <n v="0.01"/>
    <n v="0.01"/>
    <n v="6.2100000000000002E-2"/>
    <n v="0.03"/>
    <n v="0.02"/>
    <n v="0.06"/>
    <n v="0.02"/>
    <n v="0.02"/>
    <n v="0.02"/>
    <n v="0.9"/>
    <n v="180000"/>
    <n v="176460"/>
    <n v="304980"/>
    <n v="210120"/>
    <n v="408000"/>
    <n v="140000"/>
  </r>
  <r>
    <x v="0"/>
    <x v="2"/>
    <x v="7"/>
    <s v="General Surgery IBRR"/>
    <n v="2042"/>
    <x v="29"/>
    <n v="2257571.258933608"/>
    <n v="0.02"/>
    <n v="0.01"/>
    <n v="0.01"/>
    <n v="6.2100000000000002E-2"/>
    <n v="0.03"/>
    <n v="0.02"/>
    <n v="0.06"/>
    <n v="0.02"/>
    <n v="0.02"/>
    <n v="0.02"/>
    <n v="0.9"/>
    <n v="180000"/>
    <n v="176460"/>
    <n v="304980"/>
    <n v="210120"/>
    <n v="408000"/>
    <n v="140000"/>
  </r>
  <r>
    <x v="0"/>
    <x v="2"/>
    <x v="8"/>
    <s v="General Surgery PAYER"/>
    <n v="2013"/>
    <x v="0"/>
    <n v="-43015.05"/>
    <n v="0.02"/>
    <n v="0.01"/>
    <n v="0.01"/>
    <n v="6.2100000000000002E-2"/>
    <n v="0.03"/>
    <n v="0.02"/>
    <n v="0.06"/>
    <n v="0.02"/>
    <n v="0.02"/>
    <n v="0.02"/>
    <n v="0.9"/>
    <n v="180000"/>
    <n v="176460"/>
    <n v="304980"/>
    <n v="210120"/>
    <n v="408000"/>
    <n v="140000"/>
  </r>
  <r>
    <x v="0"/>
    <x v="2"/>
    <x v="8"/>
    <s v="General Surgery PAYER"/>
    <n v="2014"/>
    <x v="1"/>
    <n v="-86352.285865219877"/>
    <n v="0.02"/>
    <n v="0.01"/>
    <n v="0.01"/>
    <n v="6.2100000000000002E-2"/>
    <n v="0.03"/>
    <n v="0.02"/>
    <n v="0.06"/>
    <n v="0.02"/>
    <n v="0.02"/>
    <n v="0.02"/>
    <n v="0.9"/>
    <n v="180000"/>
    <n v="176460"/>
    <n v="304980"/>
    <n v="210120"/>
    <n v="408000"/>
    <n v="140000"/>
  </r>
  <r>
    <x v="0"/>
    <x v="2"/>
    <x v="8"/>
    <s v="General Surgery PAYER"/>
    <n v="2015"/>
    <x v="2"/>
    <n v="-138541.19578403595"/>
    <n v="0.02"/>
    <n v="0.01"/>
    <n v="0.01"/>
    <n v="6.2100000000000002E-2"/>
    <n v="0.03"/>
    <n v="0.02"/>
    <n v="0.06"/>
    <n v="0.02"/>
    <n v="0.02"/>
    <n v="0.02"/>
    <n v="0.9"/>
    <n v="180000"/>
    <n v="176460"/>
    <n v="304980"/>
    <n v="210120"/>
    <n v="408000"/>
    <n v="140000"/>
  </r>
  <r>
    <x v="0"/>
    <x v="2"/>
    <x v="8"/>
    <s v="General Surgery PAYER"/>
    <n v="2016"/>
    <x v="3"/>
    <n v="-190867.38028908212"/>
    <n v="0.02"/>
    <n v="0.01"/>
    <n v="0.01"/>
    <n v="6.2100000000000002E-2"/>
    <n v="0.03"/>
    <n v="0.02"/>
    <n v="0.06"/>
    <n v="0.02"/>
    <n v="0.02"/>
    <n v="0.02"/>
    <n v="0.9"/>
    <n v="180000"/>
    <n v="176460"/>
    <n v="304980"/>
    <n v="210120"/>
    <n v="408000"/>
    <n v="140000"/>
  </r>
  <r>
    <x v="0"/>
    <x v="2"/>
    <x v="8"/>
    <s v="General Surgery PAYER"/>
    <n v="2017"/>
    <x v="4"/>
    <n v="-160208.65625830356"/>
    <n v="0.02"/>
    <n v="0.01"/>
    <n v="0.01"/>
    <n v="6.2100000000000002E-2"/>
    <n v="0.03"/>
    <n v="0.02"/>
    <n v="0.06"/>
    <n v="0.02"/>
    <n v="0.02"/>
    <n v="0.02"/>
    <n v="0.9"/>
    <n v="180000"/>
    <n v="176460"/>
    <n v="304980"/>
    <n v="210120"/>
    <n v="408000"/>
    <n v="140000"/>
  </r>
  <r>
    <x v="0"/>
    <x v="2"/>
    <x v="8"/>
    <s v="General Surgery PAYER"/>
    <n v="2018"/>
    <x v="5"/>
    <n v="-129613.12454394237"/>
    <n v="0.02"/>
    <n v="0.01"/>
    <n v="0.01"/>
    <n v="6.2100000000000002E-2"/>
    <n v="0.03"/>
    <n v="0.02"/>
    <n v="0.06"/>
    <n v="0.02"/>
    <n v="0.02"/>
    <n v="0.02"/>
    <n v="0.9"/>
    <n v="180000"/>
    <n v="176460"/>
    <n v="304980"/>
    <n v="210120"/>
    <n v="408000"/>
    <n v="140000"/>
  </r>
  <r>
    <x v="0"/>
    <x v="2"/>
    <x v="8"/>
    <s v="General Surgery PAYER"/>
    <n v="2019"/>
    <x v="6"/>
    <n v="-99071.520326821774"/>
    <n v="0.02"/>
    <n v="0.01"/>
    <n v="0.01"/>
    <n v="6.2100000000000002E-2"/>
    <n v="0.03"/>
    <n v="0.02"/>
    <n v="0.06"/>
    <n v="0.02"/>
    <n v="0.02"/>
    <n v="0.02"/>
    <n v="0.9"/>
    <n v="180000"/>
    <n v="176460"/>
    <n v="304980"/>
    <n v="210120"/>
    <n v="408000"/>
    <n v="140000"/>
  </r>
  <r>
    <x v="0"/>
    <x v="2"/>
    <x v="8"/>
    <s v="General Surgery PAYER"/>
    <n v="2020"/>
    <x v="7"/>
    <n v="-68574.782209965459"/>
    <n v="0.02"/>
    <n v="0.01"/>
    <n v="0.01"/>
    <n v="6.2100000000000002E-2"/>
    <n v="0.03"/>
    <n v="0.02"/>
    <n v="0.06"/>
    <n v="0.02"/>
    <n v="0.02"/>
    <n v="0.02"/>
    <n v="0.9"/>
    <n v="180000"/>
    <n v="176460"/>
    <n v="304980"/>
    <n v="210120"/>
    <n v="408000"/>
    <n v="140000"/>
  </r>
  <r>
    <x v="0"/>
    <x v="2"/>
    <x v="8"/>
    <s v="General Surgery PAYER"/>
    <n v="2021"/>
    <x v="8"/>
    <n v="-38114.045699339869"/>
    <n v="0.02"/>
    <n v="0.01"/>
    <n v="0.01"/>
    <n v="6.2100000000000002E-2"/>
    <n v="0.03"/>
    <n v="0.02"/>
    <n v="0.06"/>
    <n v="0.02"/>
    <n v="0.02"/>
    <n v="0.02"/>
    <n v="0.9"/>
    <n v="180000"/>
    <n v="176460"/>
    <n v="304980"/>
    <n v="210120"/>
    <n v="408000"/>
    <n v="140000"/>
  </r>
  <r>
    <x v="0"/>
    <x v="2"/>
    <x v="8"/>
    <s v="General Surgery PAYER"/>
    <n v="2022"/>
    <x v="9"/>
    <n v="87834.591665562388"/>
    <n v="0.02"/>
    <n v="0.01"/>
    <n v="0.01"/>
    <n v="6.2100000000000002E-2"/>
    <n v="0.03"/>
    <n v="0.02"/>
    <n v="0.06"/>
    <n v="0.02"/>
    <n v="0.02"/>
    <n v="0.02"/>
    <n v="0.9"/>
    <n v="180000"/>
    <n v="176460"/>
    <n v="304980"/>
    <n v="210120"/>
    <n v="408000"/>
    <n v="140000"/>
  </r>
  <r>
    <x v="0"/>
    <x v="2"/>
    <x v="8"/>
    <s v="General Surgery PAYER"/>
    <n v="2023"/>
    <x v="10"/>
    <n v="210470.67497079202"/>
    <n v="0.02"/>
    <n v="0.01"/>
    <n v="0.01"/>
    <n v="6.2100000000000002E-2"/>
    <n v="0.03"/>
    <n v="0.02"/>
    <n v="0.06"/>
    <n v="0.02"/>
    <n v="0.02"/>
    <n v="0.02"/>
    <n v="0.9"/>
    <n v="180000"/>
    <n v="176460"/>
    <n v="304980"/>
    <n v="210120"/>
    <n v="408000"/>
    <n v="140000"/>
  </r>
  <r>
    <x v="0"/>
    <x v="2"/>
    <x v="8"/>
    <s v="General Surgery PAYER"/>
    <n v="2024"/>
    <x v="11"/>
    <n v="331062.64925779169"/>
    <n v="0.02"/>
    <n v="0.01"/>
    <n v="0.01"/>
    <n v="6.2100000000000002E-2"/>
    <n v="0.03"/>
    <n v="0.02"/>
    <n v="0.06"/>
    <n v="0.02"/>
    <n v="0.02"/>
    <n v="0.02"/>
    <n v="0.9"/>
    <n v="180000"/>
    <n v="176460"/>
    <n v="304980"/>
    <n v="210120"/>
    <n v="408000"/>
    <n v="140000"/>
  </r>
  <r>
    <x v="0"/>
    <x v="2"/>
    <x v="8"/>
    <s v="General Surgery PAYER"/>
    <n v="2025"/>
    <x v="12"/>
    <n v="449630.42249712924"/>
    <n v="0.02"/>
    <n v="0.01"/>
    <n v="0.01"/>
    <n v="6.2100000000000002E-2"/>
    <n v="0.03"/>
    <n v="0.02"/>
    <n v="0.06"/>
    <n v="0.02"/>
    <n v="0.02"/>
    <n v="0.02"/>
    <n v="0.9"/>
    <n v="180000"/>
    <n v="176460"/>
    <n v="304980"/>
    <n v="210120"/>
    <n v="408000"/>
    <n v="140000"/>
  </r>
  <r>
    <x v="0"/>
    <x v="2"/>
    <x v="8"/>
    <s v="General Surgery PAYER"/>
    <n v="2026"/>
    <x v="13"/>
    <n v="566194.56569118705"/>
    <n v="0.02"/>
    <n v="0.01"/>
    <n v="0.01"/>
    <n v="6.2100000000000002E-2"/>
    <n v="0.03"/>
    <n v="0.02"/>
    <n v="0.06"/>
    <n v="0.02"/>
    <n v="0.02"/>
    <n v="0.02"/>
    <n v="0.9"/>
    <n v="180000"/>
    <n v="176460"/>
    <n v="304980"/>
    <n v="210120"/>
    <n v="408000"/>
    <n v="140000"/>
  </r>
  <r>
    <x v="0"/>
    <x v="2"/>
    <x v="8"/>
    <s v="General Surgery PAYER"/>
    <n v="2027"/>
    <x v="14"/>
    <n v="680776.24675656343"/>
    <n v="0.02"/>
    <n v="0.01"/>
    <n v="0.01"/>
    <n v="6.2100000000000002E-2"/>
    <n v="0.03"/>
    <n v="0.02"/>
    <n v="0.06"/>
    <n v="0.02"/>
    <n v="0.02"/>
    <n v="0.02"/>
    <n v="0.9"/>
    <n v="180000"/>
    <n v="176460"/>
    <n v="304980"/>
    <n v="210120"/>
    <n v="408000"/>
    <n v="140000"/>
  </r>
  <r>
    <x v="0"/>
    <x v="2"/>
    <x v="8"/>
    <s v="General Surgery PAYER"/>
    <n v="2028"/>
    <x v="15"/>
    <n v="793397.16833057196"/>
    <n v="0.02"/>
    <n v="0.01"/>
    <n v="0.01"/>
    <n v="6.2100000000000002E-2"/>
    <n v="0.03"/>
    <n v="0.02"/>
    <n v="0.06"/>
    <n v="0.02"/>
    <n v="0.02"/>
    <n v="0.02"/>
    <n v="0.9"/>
    <n v="180000"/>
    <n v="176460"/>
    <n v="304980"/>
    <n v="210120"/>
    <n v="408000"/>
    <n v="140000"/>
  </r>
  <r>
    <x v="0"/>
    <x v="2"/>
    <x v="8"/>
    <s v="General Surgery PAYER"/>
    <n v="2029"/>
    <x v="16"/>
    <n v="904095.4528523694"/>
    <n v="0.02"/>
    <n v="0.01"/>
    <n v="0.01"/>
    <n v="6.2100000000000002E-2"/>
    <n v="0.03"/>
    <n v="0.02"/>
    <n v="0.06"/>
    <n v="0.02"/>
    <n v="0.02"/>
    <n v="0.02"/>
    <n v="0.9"/>
    <n v="180000"/>
    <n v="176460"/>
    <n v="304980"/>
    <n v="210120"/>
    <n v="408000"/>
    <n v="140000"/>
  </r>
  <r>
    <x v="0"/>
    <x v="2"/>
    <x v="8"/>
    <s v="General Surgery PAYER"/>
    <n v="2030"/>
    <x v="17"/>
    <n v="1013011.556303298"/>
    <n v="0.02"/>
    <n v="0.01"/>
    <n v="0.01"/>
    <n v="6.2100000000000002E-2"/>
    <n v="0.03"/>
    <n v="0.02"/>
    <n v="0.06"/>
    <n v="0.02"/>
    <n v="0.02"/>
    <n v="0.02"/>
    <n v="0.9"/>
    <n v="180000"/>
    <n v="176460"/>
    <n v="304980"/>
    <n v="210120"/>
    <n v="408000"/>
    <n v="140000"/>
  </r>
  <r>
    <x v="0"/>
    <x v="2"/>
    <x v="8"/>
    <s v="General Surgery PAYER"/>
    <n v="2031"/>
    <x v="18"/>
    <n v="1120161.9188501574"/>
    <n v="0.02"/>
    <n v="0.01"/>
    <n v="0.01"/>
    <n v="6.2100000000000002E-2"/>
    <n v="0.03"/>
    <n v="0.02"/>
    <n v="0.06"/>
    <n v="0.02"/>
    <n v="0.02"/>
    <n v="0.02"/>
    <n v="0.9"/>
    <n v="180000"/>
    <n v="176460"/>
    <n v="304980"/>
    <n v="210120"/>
    <n v="408000"/>
    <n v="140000"/>
  </r>
  <r>
    <x v="0"/>
    <x v="2"/>
    <x v="8"/>
    <s v="General Surgery PAYER"/>
    <n v="2032"/>
    <x v="19"/>
    <n v="1225563.543693458"/>
    <n v="0.02"/>
    <n v="0.01"/>
    <n v="0.01"/>
    <n v="6.2100000000000002E-2"/>
    <n v="0.03"/>
    <n v="0.02"/>
    <n v="0.06"/>
    <n v="0.02"/>
    <n v="0.02"/>
    <n v="0.02"/>
    <n v="0.9"/>
    <n v="180000"/>
    <n v="176460"/>
    <n v="304980"/>
    <n v="210120"/>
    <n v="408000"/>
    <n v="140000"/>
  </r>
  <r>
    <x v="0"/>
    <x v="2"/>
    <x v="8"/>
    <s v="General Surgery PAYER"/>
    <n v="2033"/>
    <x v="20"/>
    <n v="1329233.9435547737"/>
    <n v="0.02"/>
    <n v="0.01"/>
    <n v="0.01"/>
    <n v="6.2100000000000002E-2"/>
    <n v="0.03"/>
    <n v="0.02"/>
    <n v="0.06"/>
    <n v="0.02"/>
    <n v="0.02"/>
    <n v="0.02"/>
    <n v="0.9"/>
    <n v="180000"/>
    <n v="176460"/>
    <n v="304980"/>
    <n v="210120"/>
    <n v="408000"/>
    <n v="140000"/>
  </r>
  <r>
    <x v="0"/>
    <x v="2"/>
    <x v="8"/>
    <s v="General Surgery PAYER"/>
    <n v="2034"/>
    <x v="21"/>
    <n v="1435231.4487931046"/>
    <n v="0.02"/>
    <n v="0.01"/>
    <n v="0.01"/>
    <n v="6.2100000000000002E-2"/>
    <n v="0.03"/>
    <n v="0.02"/>
    <n v="0.06"/>
    <n v="0.02"/>
    <n v="0.02"/>
    <n v="0.02"/>
    <n v="0.9"/>
    <n v="180000"/>
    <n v="176460"/>
    <n v="304980"/>
    <n v="210120"/>
    <n v="408000"/>
    <n v="140000"/>
  </r>
  <r>
    <x v="0"/>
    <x v="2"/>
    <x v="8"/>
    <s v="General Surgery PAYER"/>
    <n v="2035"/>
    <x v="22"/>
    <n v="1545333.6487544386"/>
    <n v="0.02"/>
    <n v="0.01"/>
    <n v="0.01"/>
    <n v="6.2100000000000002E-2"/>
    <n v="0.03"/>
    <n v="0.02"/>
    <n v="0.06"/>
    <n v="0.02"/>
    <n v="0.02"/>
    <n v="0.02"/>
    <n v="0.9"/>
    <n v="180000"/>
    <n v="176460"/>
    <n v="304980"/>
    <n v="210120"/>
    <n v="408000"/>
    <n v="140000"/>
  </r>
  <r>
    <x v="0"/>
    <x v="2"/>
    <x v="8"/>
    <s v="General Surgery PAYER"/>
    <n v="2036"/>
    <x v="23"/>
    <n v="1653285.8095391216"/>
    <n v="0.02"/>
    <n v="0.01"/>
    <n v="0.01"/>
    <n v="6.2100000000000002E-2"/>
    <n v="0.03"/>
    <n v="0.02"/>
    <n v="0.06"/>
    <n v="0.02"/>
    <n v="0.02"/>
    <n v="0.02"/>
    <n v="0.9"/>
    <n v="180000"/>
    <n v="176460"/>
    <n v="304980"/>
    <n v="210120"/>
    <n v="408000"/>
    <n v="140000"/>
  </r>
  <r>
    <x v="0"/>
    <x v="2"/>
    <x v="8"/>
    <s v="General Surgery PAYER"/>
    <n v="2037"/>
    <x v="24"/>
    <n v="1759129.8316667306"/>
    <n v="0.02"/>
    <n v="0.01"/>
    <n v="0.01"/>
    <n v="6.2100000000000002E-2"/>
    <n v="0.03"/>
    <n v="0.02"/>
    <n v="0.06"/>
    <n v="0.02"/>
    <n v="0.02"/>
    <n v="0.02"/>
    <n v="0.9"/>
    <n v="180000"/>
    <n v="176460"/>
    <n v="304980"/>
    <n v="210120"/>
    <n v="408000"/>
    <n v="140000"/>
  </r>
  <r>
    <x v="0"/>
    <x v="2"/>
    <x v="8"/>
    <s v="General Surgery PAYER"/>
    <n v="2038"/>
    <x v="25"/>
    <n v="1862906.8015667072"/>
    <n v="0.02"/>
    <n v="0.01"/>
    <n v="0.01"/>
    <n v="6.2100000000000002E-2"/>
    <n v="0.03"/>
    <n v="0.02"/>
    <n v="0.06"/>
    <n v="0.02"/>
    <n v="0.02"/>
    <n v="0.02"/>
    <n v="0.9"/>
    <n v="180000"/>
    <n v="176460"/>
    <n v="304980"/>
    <n v="210120"/>
    <n v="408000"/>
    <n v="140000"/>
  </r>
  <r>
    <x v="0"/>
    <x v="2"/>
    <x v="8"/>
    <s v="General Surgery PAYER"/>
    <n v="2039"/>
    <x v="26"/>
    <n v="1964655.2778519315"/>
    <n v="0.02"/>
    <n v="0.01"/>
    <n v="0.01"/>
    <n v="6.2100000000000002E-2"/>
    <n v="0.03"/>
    <n v="0.02"/>
    <n v="0.06"/>
    <n v="0.02"/>
    <n v="0.02"/>
    <n v="0.02"/>
    <n v="0.9"/>
    <n v="180000"/>
    <n v="176460"/>
    <n v="304980"/>
    <n v="210120"/>
    <n v="408000"/>
    <n v="140000"/>
  </r>
  <r>
    <x v="0"/>
    <x v="2"/>
    <x v="8"/>
    <s v="General Surgery PAYER"/>
    <n v="2040"/>
    <x v="27"/>
    <n v="2064409.4649231413"/>
    <n v="0.02"/>
    <n v="0.01"/>
    <n v="0.01"/>
    <n v="6.2100000000000002E-2"/>
    <n v="0.03"/>
    <n v="0.02"/>
    <n v="0.06"/>
    <n v="0.02"/>
    <n v="0.02"/>
    <n v="0.02"/>
    <n v="0.9"/>
    <n v="180000"/>
    <n v="176460"/>
    <n v="304980"/>
    <n v="210120"/>
    <n v="408000"/>
    <n v="140000"/>
  </r>
  <r>
    <x v="0"/>
    <x v="2"/>
    <x v="8"/>
    <s v="General Surgery PAYER"/>
    <n v="2041"/>
    <x v="28"/>
    <n v="2162208.443802597"/>
    <n v="0.02"/>
    <n v="0.01"/>
    <n v="0.01"/>
    <n v="6.2100000000000002E-2"/>
    <n v="0.03"/>
    <n v="0.02"/>
    <n v="0.06"/>
    <n v="0.02"/>
    <n v="0.02"/>
    <n v="0.02"/>
    <n v="0.9"/>
    <n v="180000"/>
    <n v="176460"/>
    <n v="304980"/>
    <n v="210120"/>
    <n v="408000"/>
    <n v="140000"/>
  </r>
  <r>
    <x v="0"/>
    <x v="2"/>
    <x v="8"/>
    <s v="General Surgery PAYER"/>
    <n v="2042"/>
    <x v="29"/>
    <n v="2258090.5298788142"/>
    <n v="0.02"/>
    <n v="0.01"/>
    <n v="0.01"/>
    <n v="6.2100000000000002E-2"/>
    <n v="0.03"/>
    <n v="0.02"/>
    <n v="0.06"/>
    <n v="0.02"/>
    <n v="0.02"/>
    <n v="0.02"/>
    <n v="0.9"/>
    <n v="180000"/>
    <n v="176460"/>
    <n v="304980"/>
    <n v="210120"/>
    <n v="408000"/>
    <n v="140000"/>
  </r>
  <r>
    <x v="0"/>
    <x v="2"/>
    <x v="9"/>
    <s v="General Surgery Ret20USU"/>
    <n v="2013"/>
    <x v="0"/>
    <n v="52525.686799999996"/>
    <n v="0.02"/>
    <n v="0.01"/>
    <n v="0.01"/>
    <n v="6.2100000000000002E-2"/>
    <n v="0.03"/>
    <n v="0.02"/>
    <n v="0.06"/>
    <n v="0.02"/>
    <n v="0.02"/>
    <n v="0.02"/>
    <n v="0.9"/>
    <n v="180000"/>
    <n v="176460"/>
    <n v="304980"/>
    <n v="210120"/>
    <n v="408000"/>
    <n v="140000"/>
  </r>
  <r>
    <x v="0"/>
    <x v="2"/>
    <x v="9"/>
    <s v="General Surgery Ret20USU"/>
    <n v="2014"/>
    <x v="1"/>
    <n v="103045.21008954883"/>
    <n v="0.02"/>
    <n v="0.01"/>
    <n v="0.01"/>
    <n v="6.2100000000000002E-2"/>
    <n v="0.03"/>
    <n v="0.02"/>
    <n v="0.06"/>
    <n v="0.02"/>
    <n v="0.02"/>
    <n v="0.02"/>
    <n v="0.9"/>
    <n v="180000"/>
    <n v="176460"/>
    <n v="304980"/>
    <n v="210120"/>
    <n v="408000"/>
    <n v="140000"/>
  </r>
  <r>
    <x v="0"/>
    <x v="2"/>
    <x v="9"/>
    <s v="General Surgery Ret20USU"/>
    <n v="2015"/>
    <x v="2"/>
    <n v="152565.98092317433"/>
    <n v="0.02"/>
    <n v="0.01"/>
    <n v="0.01"/>
    <n v="6.2100000000000002E-2"/>
    <n v="0.03"/>
    <n v="0.02"/>
    <n v="0.06"/>
    <n v="0.02"/>
    <n v="0.02"/>
    <n v="0.02"/>
    <n v="0.9"/>
    <n v="180000"/>
    <n v="176460"/>
    <n v="304980"/>
    <n v="210120"/>
    <n v="408000"/>
    <n v="140000"/>
  </r>
  <r>
    <x v="0"/>
    <x v="2"/>
    <x v="9"/>
    <s v="General Surgery Ret20USU"/>
    <n v="2016"/>
    <x v="3"/>
    <n v="204951.40008844491"/>
    <n v="0.02"/>
    <n v="0.01"/>
    <n v="0.01"/>
    <n v="6.2100000000000002E-2"/>
    <n v="0.03"/>
    <n v="0.02"/>
    <n v="0.06"/>
    <n v="0.02"/>
    <n v="0.02"/>
    <n v="0.02"/>
    <n v="0.9"/>
    <n v="180000"/>
    <n v="176460"/>
    <n v="304980"/>
    <n v="210120"/>
    <n v="408000"/>
    <n v="140000"/>
  </r>
  <r>
    <x v="0"/>
    <x v="2"/>
    <x v="9"/>
    <s v="General Surgery Ret20USU"/>
    <n v="2017"/>
    <x v="4"/>
    <n v="264104.65274828218"/>
    <n v="0.02"/>
    <n v="0.01"/>
    <n v="0.01"/>
    <n v="6.2100000000000002E-2"/>
    <n v="0.03"/>
    <n v="0.02"/>
    <n v="0.06"/>
    <n v="0.02"/>
    <n v="0.02"/>
    <n v="0.02"/>
    <n v="0.9"/>
    <n v="180000"/>
    <n v="176460"/>
    <n v="304980"/>
    <n v="210120"/>
    <n v="408000"/>
    <n v="140000"/>
  </r>
  <r>
    <x v="0"/>
    <x v="2"/>
    <x v="9"/>
    <s v="General Surgery Ret20USU"/>
    <n v="2018"/>
    <x v="5"/>
    <n v="322956.40336350905"/>
    <n v="0.02"/>
    <n v="0.01"/>
    <n v="0.01"/>
    <n v="6.2100000000000002E-2"/>
    <n v="0.03"/>
    <n v="0.02"/>
    <n v="0.06"/>
    <n v="0.02"/>
    <n v="0.02"/>
    <n v="0.02"/>
    <n v="0.9"/>
    <n v="180000"/>
    <n v="176460"/>
    <n v="304980"/>
    <n v="210120"/>
    <n v="408000"/>
    <n v="140000"/>
  </r>
  <r>
    <x v="0"/>
    <x v="2"/>
    <x v="9"/>
    <s v="General Surgery Ret20USU"/>
    <n v="2019"/>
    <x v="6"/>
    <n v="382458.16257085698"/>
    <n v="0.02"/>
    <n v="0.01"/>
    <n v="0.01"/>
    <n v="6.2100000000000002E-2"/>
    <n v="0.03"/>
    <n v="0.02"/>
    <n v="0.06"/>
    <n v="0.02"/>
    <n v="0.02"/>
    <n v="0.02"/>
    <n v="0.9"/>
    <n v="180000"/>
    <n v="176460"/>
    <n v="304980"/>
    <n v="210120"/>
    <n v="408000"/>
    <n v="140000"/>
  </r>
  <r>
    <x v="0"/>
    <x v="2"/>
    <x v="9"/>
    <s v="General Surgery Ret20USU"/>
    <n v="2020"/>
    <x v="7"/>
    <n v="441575.28506588424"/>
    <n v="0.02"/>
    <n v="0.01"/>
    <n v="0.01"/>
    <n v="6.2100000000000002E-2"/>
    <n v="0.03"/>
    <n v="0.02"/>
    <n v="0.06"/>
    <n v="0.02"/>
    <n v="0.02"/>
    <n v="0.02"/>
    <n v="0.9"/>
    <n v="180000"/>
    <n v="176460"/>
    <n v="304980"/>
    <n v="210120"/>
    <n v="408000"/>
    <n v="140000"/>
  </r>
  <r>
    <x v="0"/>
    <x v="2"/>
    <x v="9"/>
    <s v="General Surgery Ret20USU"/>
    <n v="2021"/>
    <x v="8"/>
    <n v="500654.23446862109"/>
    <n v="0.02"/>
    <n v="0.01"/>
    <n v="0.01"/>
    <n v="6.2100000000000002E-2"/>
    <n v="0.03"/>
    <n v="0.02"/>
    <n v="0.06"/>
    <n v="0.02"/>
    <n v="0.02"/>
    <n v="0.02"/>
    <n v="0.9"/>
    <n v="180000"/>
    <n v="176460"/>
    <n v="304980"/>
    <n v="210120"/>
    <n v="408000"/>
    <n v="140000"/>
  </r>
  <r>
    <x v="0"/>
    <x v="2"/>
    <x v="9"/>
    <s v="General Surgery Ret20USU"/>
    <n v="2022"/>
    <x v="9"/>
    <n v="563703.58569574018"/>
    <n v="0.02"/>
    <n v="0.01"/>
    <n v="0.01"/>
    <n v="6.2100000000000002E-2"/>
    <n v="0.03"/>
    <n v="0.02"/>
    <n v="0.06"/>
    <n v="0.02"/>
    <n v="0.02"/>
    <n v="0.02"/>
    <n v="0.9"/>
    <n v="180000"/>
    <n v="176460"/>
    <n v="304980"/>
    <n v="210120"/>
    <n v="408000"/>
    <n v="140000"/>
  </r>
  <r>
    <x v="0"/>
    <x v="2"/>
    <x v="9"/>
    <s v="General Surgery Ret20USU"/>
    <n v="2023"/>
    <x v="10"/>
    <n v="633076.84402750398"/>
    <n v="0.02"/>
    <n v="0.01"/>
    <n v="0.01"/>
    <n v="6.2100000000000002E-2"/>
    <n v="0.03"/>
    <n v="0.02"/>
    <n v="0.06"/>
    <n v="0.02"/>
    <n v="0.02"/>
    <n v="0.02"/>
    <n v="0.9"/>
    <n v="180000"/>
    <n v="176460"/>
    <n v="304980"/>
    <n v="210120"/>
    <n v="408000"/>
    <n v="140000"/>
  </r>
  <r>
    <x v="0"/>
    <x v="2"/>
    <x v="9"/>
    <s v="General Surgery Ret20USU"/>
    <n v="2024"/>
    <x v="11"/>
    <n v="699827.65845398873"/>
    <n v="0.02"/>
    <n v="0.01"/>
    <n v="0.01"/>
    <n v="6.2100000000000002E-2"/>
    <n v="0.03"/>
    <n v="0.02"/>
    <n v="0.06"/>
    <n v="0.02"/>
    <n v="0.02"/>
    <n v="0.02"/>
    <n v="0.9"/>
    <n v="180000"/>
    <n v="176460"/>
    <n v="304980"/>
    <n v="210120"/>
    <n v="408000"/>
    <n v="140000"/>
  </r>
  <r>
    <x v="0"/>
    <x v="2"/>
    <x v="9"/>
    <s v="General Surgery Ret20USU"/>
    <n v="2025"/>
    <x v="12"/>
    <n v="765347.00767356099"/>
    <n v="0.02"/>
    <n v="0.01"/>
    <n v="0.01"/>
    <n v="6.2100000000000002E-2"/>
    <n v="0.03"/>
    <n v="0.02"/>
    <n v="0.06"/>
    <n v="0.02"/>
    <n v="0.02"/>
    <n v="0.02"/>
    <n v="0.9"/>
    <n v="180000"/>
    <n v="176460"/>
    <n v="304980"/>
    <n v="210120"/>
    <n v="408000"/>
    <n v="140000"/>
  </r>
  <r>
    <x v="0"/>
    <x v="2"/>
    <x v="9"/>
    <s v="General Surgery Ret20USU"/>
    <n v="2026"/>
    <x v="13"/>
    <n v="828389.49004259263"/>
    <n v="0.02"/>
    <n v="0.01"/>
    <n v="0.01"/>
    <n v="6.2100000000000002E-2"/>
    <n v="0.03"/>
    <n v="0.02"/>
    <n v="0.06"/>
    <n v="0.02"/>
    <n v="0.02"/>
    <n v="0.02"/>
    <n v="0.9"/>
    <n v="180000"/>
    <n v="176460"/>
    <n v="304980"/>
    <n v="210120"/>
    <n v="408000"/>
    <n v="140000"/>
  </r>
  <r>
    <x v="0"/>
    <x v="2"/>
    <x v="9"/>
    <s v="General Surgery Ret20USU"/>
    <n v="2027"/>
    <x v="14"/>
    <n v="890951.83217297471"/>
    <n v="0.02"/>
    <n v="0.01"/>
    <n v="0.01"/>
    <n v="6.2100000000000002E-2"/>
    <n v="0.03"/>
    <n v="0.02"/>
    <n v="0.06"/>
    <n v="0.02"/>
    <n v="0.02"/>
    <n v="0.02"/>
    <n v="0.9"/>
    <n v="180000"/>
    <n v="176460"/>
    <n v="304980"/>
    <n v="210120"/>
    <n v="408000"/>
    <n v="140000"/>
  </r>
  <r>
    <x v="0"/>
    <x v="2"/>
    <x v="9"/>
    <s v="General Surgery Ret20USU"/>
    <n v="2028"/>
    <x v="15"/>
    <n v="951136.17356786923"/>
    <n v="0.02"/>
    <n v="0.01"/>
    <n v="0.01"/>
    <n v="6.2100000000000002E-2"/>
    <n v="0.03"/>
    <n v="0.02"/>
    <n v="0.06"/>
    <n v="0.02"/>
    <n v="0.02"/>
    <n v="0.02"/>
    <n v="0.9"/>
    <n v="180000"/>
    <n v="176460"/>
    <n v="304980"/>
    <n v="210120"/>
    <n v="408000"/>
    <n v="140000"/>
  </r>
  <r>
    <x v="0"/>
    <x v="2"/>
    <x v="9"/>
    <s v="General Surgery Ret20USU"/>
    <n v="2029"/>
    <x v="16"/>
    <n v="1047802.4290000375"/>
    <n v="0.02"/>
    <n v="0.01"/>
    <n v="0.01"/>
    <n v="6.2100000000000002E-2"/>
    <n v="0.03"/>
    <n v="0.02"/>
    <n v="0.06"/>
    <n v="0.02"/>
    <n v="0.02"/>
    <n v="0.02"/>
    <n v="0.9"/>
    <n v="180000"/>
    <n v="176460"/>
    <n v="304980"/>
    <n v="210120"/>
    <n v="408000"/>
    <n v="140000"/>
  </r>
  <r>
    <x v="0"/>
    <x v="2"/>
    <x v="9"/>
    <s v="General Surgery Ret20USU"/>
    <n v="2030"/>
    <x v="17"/>
    <n v="1140738.209685764"/>
    <n v="0.02"/>
    <n v="0.01"/>
    <n v="0.01"/>
    <n v="6.2100000000000002E-2"/>
    <n v="0.03"/>
    <n v="0.02"/>
    <n v="0.06"/>
    <n v="0.02"/>
    <n v="0.02"/>
    <n v="0.02"/>
    <n v="0.9"/>
    <n v="180000"/>
    <n v="176460"/>
    <n v="304980"/>
    <n v="210120"/>
    <n v="408000"/>
    <n v="140000"/>
  </r>
  <r>
    <x v="0"/>
    <x v="2"/>
    <x v="9"/>
    <s v="General Surgery Ret20USU"/>
    <n v="2031"/>
    <x v="18"/>
    <n v="1231254.8157583571"/>
    <n v="0.02"/>
    <n v="0.01"/>
    <n v="0.01"/>
    <n v="6.2100000000000002E-2"/>
    <n v="0.03"/>
    <n v="0.02"/>
    <n v="0.06"/>
    <n v="0.02"/>
    <n v="0.02"/>
    <n v="0.02"/>
    <n v="0.9"/>
    <n v="180000"/>
    <n v="176460"/>
    <n v="304980"/>
    <n v="210120"/>
    <n v="408000"/>
    <n v="140000"/>
  </r>
  <r>
    <x v="0"/>
    <x v="2"/>
    <x v="9"/>
    <s v="General Surgery Ret20USU"/>
    <n v="2032"/>
    <x v="19"/>
    <n v="1318278.3019522629"/>
    <n v="0.02"/>
    <n v="0.01"/>
    <n v="0.01"/>
    <n v="6.2100000000000002E-2"/>
    <n v="0.03"/>
    <n v="0.02"/>
    <n v="0.06"/>
    <n v="0.02"/>
    <n v="0.02"/>
    <n v="0.02"/>
    <n v="0.9"/>
    <n v="180000"/>
    <n v="176460"/>
    <n v="304980"/>
    <n v="210120"/>
    <n v="408000"/>
    <n v="140000"/>
  </r>
  <r>
    <x v="0"/>
    <x v="2"/>
    <x v="9"/>
    <s v="General Surgery Ret20USU"/>
    <n v="2033"/>
    <x v="20"/>
    <n v="1403594.9536913906"/>
    <n v="0.02"/>
    <n v="0.01"/>
    <n v="0.01"/>
    <n v="6.2100000000000002E-2"/>
    <n v="0.03"/>
    <n v="0.02"/>
    <n v="0.06"/>
    <n v="0.02"/>
    <n v="0.02"/>
    <n v="0.02"/>
    <n v="0.9"/>
    <n v="180000"/>
    <n v="176460"/>
    <n v="304980"/>
    <n v="210120"/>
    <n v="408000"/>
    <n v="140000"/>
  </r>
  <r>
    <x v="0"/>
    <x v="2"/>
    <x v="9"/>
    <s v="General Surgery Ret20USU"/>
    <n v="2034"/>
    <x v="21"/>
    <n v="1485619.156828955"/>
    <n v="0.02"/>
    <n v="0.01"/>
    <n v="0.01"/>
    <n v="6.2100000000000002E-2"/>
    <n v="0.03"/>
    <n v="0.02"/>
    <n v="0.06"/>
    <n v="0.02"/>
    <n v="0.02"/>
    <n v="0.02"/>
    <n v="0.9"/>
    <n v="180000"/>
    <n v="176460"/>
    <n v="304980"/>
    <n v="210120"/>
    <n v="408000"/>
    <n v="140000"/>
  </r>
  <r>
    <x v="0"/>
    <x v="2"/>
    <x v="9"/>
    <s v="General Surgery Ret20USU"/>
    <n v="2035"/>
    <x v="22"/>
    <n v="1568551.9580712216"/>
    <n v="0.02"/>
    <n v="0.01"/>
    <n v="0.01"/>
    <n v="6.2100000000000002E-2"/>
    <n v="0.03"/>
    <n v="0.02"/>
    <n v="0.06"/>
    <n v="0.02"/>
    <n v="0.02"/>
    <n v="0.02"/>
    <n v="0.9"/>
    <n v="180000"/>
    <n v="176460"/>
    <n v="304980"/>
    <n v="210120"/>
    <n v="408000"/>
    <n v="140000"/>
  </r>
  <r>
    <x v="0"/>
    <x v="2"/>
    <x v="9"/>
    <s v="General Surgery Ret20USU"/>
    <n v="2036"/>
    <x v="23"/>
    <n v="1648313.7824803048"/>
    <n v="0.02"/>
    <n v="0.01"/>
    <n v="0.01"/>
    <n v="6.2100000000000002E-2"/>
    <n v="0.03"/>
    <n v="0.02"/>
    <n v="0.06"/>
    <n v="0.02"/>
    <n v="0.02"/>
    <n v="0.02"/>
    <n v="0.9"/>
    <n v="180000"/>
    <n v="176460"/>
    <n v="304980"/>
    <n v="210120"/>
    <n v="408000"/>
    <n v="140000"/>
  </r>
  <r>
    <x v="0"/>
    <x v="2"/>
    <x v="9"/>
    <s v="General Surgery Ret20USU"/>
    <n v="2037"/>
    <x v="24"/>
    <n v="1756051.5526876431"/>
    <n v="0.02"/>
    <n v="0.01"/>
    <n v="0.01"/>
    <n v="6.2100000000000002E-2"/>
    <n v="0.03"/>
    <n v="0.02"/>
    <n v="0.06"/>
    <n v="0.02"/>
    <n v="0.02"/>
    <n v="0.02"/>
    <n v="0.9"/>
    <n v="180000"/>
    <n v="176460"/>
    <n v="304980"/>
    <n v="210120"/>
    <n v="408000"/>
    <n v="140000"/>
  </r>
  <r>
    <x v="0"/>
    <x v="2"/>
    <x v="9"/>
    <s v="General Surgery Ret20USU"/>
    <n v="2038"/>
    <x v="25"/>
    <n v="1861440.1652310845"/>
    <n v="0.02"/>
    <n v="0.01"/>
    <n v="0.01"/>
    <n v="6.2100000000000002E-2"/>
    <n v="0.03"/>
    <n v="0.02"/>
    <n v="0.06"/>
    <n v="0.02"/>
    <n v="0.02"/>
    <n v="0.02"/>
    <n v="0.9"/>
    <n v="180000"/>
    <n v="176460"/>
    <n v="304980"/>
    <n v="210120"/>
    <n v="408000"/>
    <n v="140000"/>
  </r>
  <r>
    <x v="0"/>
    <x v="2"/>
    <x v="9"/>
    <s v="General Surgery Ret20USU"/>
    <n v="2039"/>
    <x v="26"/>
    <n v="1964534.8352236957"/>
    <n v="0.02"/>
    <n v="0.01"/>
    <n v="0.01"/>
    <n v="6.2100000000000002E-2"/>
    <n v="0.03"/>
    <n v="0.02"/>
    <n v="0.06"/>
    <n v="0.02"/>
    <n v="0.02"/>
    <n v="0.02"/>
    <n v="0.9"/>
    <n v="180000"/>
    <n v="176460"/>
    <n v="304980"/>
    <n v="210120"/>
    <n v="408000"/>
    <n v="140000"/>
  </r>
  <r>
    <x v="0"/>
    <x v="2"/>
    <x v="9"/>
    <s v="General Surgery Ret20USU"/>
    <n v="2040"/>
    <x v="27"/>
    <n v="2065389.341178633"/>
    <n v="0.02"/>
    <n v="0.01"/>
    <n v="0.01"/>
    <n v="6.2100000000000002E-2"/>
    <n v="0.03"/>
    <n v="0.02"/>
    <n v="0.06"/>
    <n v="0.02"/>
    <n v="0.02"/>
    <n v="0.02"/>
    <n v="0.9"/>
    <n v="180000"/>
    <n v="176460"/>
    <n v="304980"/>
    <n v="210120"/>
    <n v="408000"/>
    <n v="140000"/>
  </r>
  <r>
    <x v="0"/>
    <x v="2"/>
    <x v="9"/>
    <s v="General Surgery Ret20USU"/>
    <n v="2041"/>
    <x v="28"/>
    <n v="2164056.0668627149"/>
    <n v="0.02"/>
    <n v="0.01"/>
    <n v="0.01"/>
    <n v="6.2100000000000002E-2"/>
    <n v="0.03"/>
    <n v="0.02"/>
    <n v="0.06"/>
    <n v="0.02"/>
    <n v="0.02"/>
    <n v="0.02"/>
    <n v="0.9"/>
    <n v="180000"/>
    <n v="176460"/>
    <n v="304980"/>
    <n v="210120"/>
    <n v="408000"/>
    <n v="140000"/>
  </r>
  <r>
    <x v="0"/>
    <x v="2"/>
    <x v="9"/>
    <s v="General Surgery Ret20USU"/>
    <n v="2042"/>
    <x v="29"/>
    <n v="2260586.0418002941"/>
    <n v="0.02"/>
    <n v="0.01"/>
    <n v="0.01"/>
    <n v="6.2100000000000002E-2"/>
    <n v="0.03"/>
    <n v="0.02"/>
    <n v="0.06"/>
    <n v="0.02"/>
    <n v="0.02"/>
    <n v="0.02"/>
    <n v="0.9"/>
    <n v="180000"/>
    <n v="176460"/>
    <n v="304980"/>
    <n v="210120"/>
    <n v="408000"/>
    <n v="140000"/>
  </r>
  <r>
    <x v="0"/>
    <x v="2"/>
    <x v="10"/>
    <s v="General Surgery Ret20HPSP"/>
    <n v="2013"/>
    <x v="0"/>
    <n v="41042.997114989732"/>
    <n v="0.02"/>
    <n v="0.01"/>
    <n v="0.01"/>
    <n v="6.2100000000000002E-2"/>
    <n v="0.03"/>
    <n v="0.02"/>
    <n v="0.06"/>
    <n v="0.02"/>
    <n v="0.02"/>
    <n v="0.02"/>
    <n v="0.9"/>
    <n v="180000"/>
    <n v="176460"/>
    <n v="304980"/>
    <n v="210120"/>
    <n v="408000"/>
    <n v="140000"/>
  </r>
  <r>
    <x v="0"/>
    <x v="2"/>
    <x v="10"/>
    <s v="General Surgery Ret20HPSP"/>
    <n v="2014"/>
    <x v="1"/>
    <n v="65715.375570480697"/>
    <n v="0.02"/>
    <n v="0.01"/>
    <n v="0.01"/>
    <n v="6.2100000000000002E-2"/>
    <n v="0.03"/>
    <n v="0.02"/>
    <n v="0.06"/>
    <n v="0.02"/>
    <n v="0.02"/>
    <n v="0.02"/>
    <n v="0.9"/>
    <n v="180000"/>
    <n v="176460"/>
    <n v="304980"/>
    <n v="210120"/>
    <n v="408000"/>
    <n v="140000"/>
  </r>
  <r>
    <x v="0"/>
    <x v="2"/>
    <x v="10"/>
    <s v="General Surgery Ret20HPSP"/>
    <n v="2015"/>
    <x v="2"/>
    <n v="89584.222784524245"/>
    <n v="0.02"/>
    <n v="0.01"/>
    <n v="0.01"/>
    <n v="6.2100000000000002E-2"/>
    <n v="0.03"/>
    <n v="0.02"/>
    <n v="0.06"/>
    <n v="0.02"/>
    <n v="0.02"/>
    <n v="0.02"/>
    <n v="0.9"/>
    <n v="180000"/>
    <n v="176460"/>
    <n v="304980"/>
    <n v="210120"/>
    <n v="408000"/>
    <n v="140000"/>
  </r>
  <r>
    <x v="0"/>
    <x v="2"/>
    <x v="10"/>
    <s v="General Surgery Ret20HPSP"/>
    <n v="2016"/>
    <x v="3"/>
    <n v="113201.76547692725"/>
    <n v="0.02"/>
    <n v="0.01"/>
    <n v="0.01"/>
    <n v="6.2100000000000002E-2"/>
    <n v="0.03"/>
    <n v="0.02"/>
    <n v="0.06"/>
    <n v="0.02"/>
    <n v="0.02"/>
    <n v="0.02"/>
    <n v="0.9"/>
    <n v="180000"/>
    <n v="176460"/>
    <n v="304980"/>
    <n v="210120"/>
    <n v="408000"/>
    <n v="140000"/>
  </r>
  <r>
    <x v="0"/>
    <x v="2"/>
    <x v="10"/>
    <s v="General Surgery Ret20HPSP"/>
    <n v="2017"/>
    <x v="4"/>
    <n v="172355.01813676453"/>
    <n v="0.02"/>
    <n v="0.01"/>
    <n v="0.01"/>
    <n v="6.2100000000000002E-2"/>
    <n v="0.03"/>
    <n v="0.02"/>
    <n v="0.06"/>
    <n v="0.02"/>
    <n v="0.02"/>
    <n v="0.02"/>
    <n v="0.9"/>
    <n v="180000"/>
    <n v="176460"/>
    <n v="304980"/>
    <n v="210120"/>
    <n v="408000"/>
    <n v="140000"/>
  </r>
  <r>
    <x v="0"/>
    <x v="2"/>
    <x v="10"/>
    <s v="General Surgery Ret20HPSP"/>
    <n v="2018"/>
    <x v="5"/>
    <n v="231206.76875199139"/>
    <n v="0.02"/>
    <n v="0.01"/>
    <n v="0.01"/>
    <n v="6.2100000000000002E-2"/>
    <n v="0.03"/>
    <n v="0.02"/>
    <n v="0.06"/>
    <n v="0.02"/>
    <n v="0.02"/>
    <n v="0.02"/>
    <n v="0.9"/>
    <n v="180000"/>
    <n v="176460"/>
    <n v="304980"/>
    <n v="210120"/>
    <n v="408000"/>
    <n v="140000"/>
  </r>
  <r>
    <x v="0"/>
    <x v="2"/>
    <x v="10"/>
    <s v="General Surgery Ret20HPSP"/>
    <n v="2019"/>
    <x v="6"/>
    <n v="290708.52795933932"/>
    <n v="0.02"/>
    <n v="0.01"/>
    <n v="0.01"/>
    <n v="6.2100000000000002E-2"/>
    <n v="0.03"/>
    <n v="0.02"/>
    <n v="0.06"/>
    <n v="0.02"/>
    <n v="0.02"/>
    <n v="0.02"/>
    <n v="0.9"/>
    <n v="180000"/>
    <n v="176460"/>
    <n v="304980"/>
    <n v="210120"/>
    <n v="408000"/>
    <n v="140000"/>
  </r>
  <r>
    <x v="0"/>
    <x v="2"/>
    <x v="10"/>
    <s v="General Surgery Ret20HPSP"/>
    <n v="2020"/>
    <x v="7"/>
    <n v="349825.65045436658"/>
    <n v="0.02"/>
    <n v="0.01"/>
    <n v="0.01"/>
    <n v="6.2100000000000002E-2"/>
    <n v="0.03"/>
    <n v="0.02"/>
    <n v="0.06"/>
    <n v="0.02"/>
    <n v="0.02"/>
    <n v="0.02"/>
    <n v="0.9"/>
    <n v="180000"/>
    <n v="176460"/>
    <n v="304980"/>
    <n v="210120"/>
    <n v="408000"/>
    <n v="140000"/>
  </r>
  <r>
    <x v="0"/>
    <x v="2"/>
    <x v="10"/>
    <s v="General Surgery Ret20HPSP"/>
    <n v="2021"/>
    <x v="8"/>
    <n v="408904.59985710343"/>
    <n v="0.02"/>
    <n v="0.01"/>
    <n v="0.01"/>
    <n v="6.2100000000000002E-2"/>
    <n v="0.03"/>
    <n v="0.02"/>
    <n v="0.06"/>
    <n v="0.02"/>
    <n v="0.02"/>
    <n v="0.02"/>
    <n v="0.9"/>
    <n v="180000"/>
    <n v="176460"/>
    <n v="304980"/>
    <n v="210120"/>
    <n v="408000"/>
    <n v="140000"/>
  </r>
  <r>
    <x v="0"/>
    <x v="2"/>
    <x v="10"/>
    <s v="General Surgery Ret20HPSP"/>
    <n v="2022"/>
    <x v="9"/>
    <n v="471953.95108422253"/>
    <n v="0.02"/>
    <n v="0.01"/>
    <n v="0.01"/>
    <n v="6.2100000000000002E-2"/>
    <n v="0.03"/>
    <n v="0.02"/>
    <n v="0.06"/>
    <n v="0.02"/>
    <n v="0.02"/>
    <n v="0.02"/>
    <n v="0.9"/>
    <n v="180000"/>
    <n v="176460"/>
    <n v="304980"/>
    <n v="210120"/>
    <n v="408000"/>
    <n v="140000"/>
  </r>
  <r>
    <x v="0"/>
    <x v="2"/>
    <x v="10"/>
    <s v="General Surgery Ret20HPSP"/>
    <n v="2023"/>
    <x v="10"/>
    <n v="541327.20941598632"/>
    <n v="0.02"/>
    <n v="0.01"/>
    <n v="0.01"/>
    <n v="6.2100000000000002E-2"/>
    <n v="0.03"/>
    <n v="0.02"/>
    <n v="0.06"/>
    <n v="0.02"/>
    <n v="0.02"/>
    <n v="0.02"/>
    <n v="0.9"/>
    <n v="180000"/>
    <n v="176460"/>
    <n v="304980"/>
    <n v="210120"/>
    <n v="408000"/>
    <n v="140000"/>
  </r>
  <r>
    <x v="0"/>
    <x v="2"/>
    <x v="10"/>
    <s v="General Surgery Ret20HPSP"/>
    <n v="2024"/>
    <x v="11"/>
    <n v="608078.02384247107"/>
    <n v="0.02"/>
    <n v="0.01"/>
    <n v="0.01"/>
    <n v="6.2100000000000002E-2"/>
    <n v="0.03"/>
    <n v="0.02"/>
    <n v="0.06"/>
    <n v="0.02"/>
    <n v="0.02"/>
    <n v="0.02"/>
    <n v="0.9"/>
    <n v="180000"/>
    <n v="176460"/>
    <n v="304980"/>
    <n v="210120"/>
    <n v="408000"/>
    <n v="140000"/>
  </r>
  <r>
    <x v="0"/>
    <x v="2"/>
    <x v="10"/>
    <s v="General Surgery Ret20HPSP"/>
    <n v="2025"/>
    <x v="12"/>
    <n v="673597.37306204333"/>
    <n v="0.02"/>
    <n v="0.01"/>
    <n v="0.01"/>
    <n v="6.2100000000000002E-2"/>
    <n v="0.03"/>
    <n v="0.02"/>
    <n v="0.06"/>
    <n v="0.02"/>
    <n v="0.02"/>
    <n v="0.02"/>
    <n v="0.9"/>
    <n v="180000"/>
    <n v="176460"/>
    <n v="304980"/>
    <n v="210120"/>
    <n v="408000"/>
    <n v="140000"/>
  </r>
  <r>
    <x v="0"/>
    <x v="2"/>
    <x v="10"/>
    <s v="General Surgery Ret20HPSP"/>
    <n v="2026"/>
    <x v="13"/>
    <n v="777490.7156867811"/>
    <n v="0.02"/>
    <n v="0.01"/>
    <n v="0.01"/>
    <n v="6.2100000000000002E-2"/>
    <n v="0.03"/>
    <n v="0.02"/>
    <n v="0.06"/>
    <n v="0.02"/>
    <n v="0.02"/>
    <n v="0.02"/>
    <n v="0.9"/>
    <n v="180000"/>
    <n v="176460"/>
    <n v="304980"/>
    <n v="210120"/>
    <n v="408000"/>
    <n v="140000"/>
  </r>
  <r>
    <x v="0"/>
    <x v="2"/>
    <x v="10"/>
    <s v="General Surgery Ret20HPSP"/>
    <n v="2027"/>
    <x v="14"/>
    <n v="879421.15826347889"/>
    <n v="0.02"/>
    <n v="0.01"/>
    <n v="0.01"/>
    <n v="6.2100000000000002E-2"/>
    <n v="0.03"/>
    <n v="0.02"/>
    <n v="0.06"/>
    <n v="0.02"/>
    <n v="0.02"/>
    <n v="0.02"/>
    <n v="0.9"/>
    <n v="180000"/>
    <n v="176460"/>
    <n v="304980"/>
    <n v="210120"/>
    <n v="408000"/>
    <n v="140000"/>
  </r>
  <r>
    <x v="0"/>
    <x v="2"/>
    <x v="10"/>
    <s v="General Surgery Ret20HPSP"/>
    <n v="2028"/>
    <x v="15"/>
    <n v="977418.00755759352"/>
    <n v="0.02"/>
    <n v="0.01"/>
    <n v="0.01"/>
    <n v="6.2100000000000002E-2"/>
    <n v="0.03"/>
    <n v="0.02"/>
    <n v="0.06"/>
    <n v="0.02"/>
    <n v="0.02"/>
    <n v="0.02"/>
    <n v="0.9"/>
    <n v="180000"/>
    <n v="176460"/>
    <n v="304980"/>
    <n v="210120"/>
    <n v="408000"/>
    <n v="140000"/>
  </r>
  <r>
    <x v="0"/>
    <x v="2"/>
    <x v="10"/>
    <s v="General Surgery Ret20HPSP"/>
    <n v="2029"/>
    <x v="16"/>
    <n v="1074084.2629897618"/>
    <n v="0.02"/>
    <n v="0.01"/>
    <n v="0.01"/>
    <n v="6.2100000000000002E-2"/>
    <n v="0.03"/>
    <n v="0.02"/>
    <n v="0.06"/>
    <n v="0.02"/>
    <n v="0.02"/>
    <n v="0.02"/>
    <n v="0.9"/>
    <n v="180000"/>
    <n v="176460"/>
    <n v="304980"/>
    <n v="210120"/>
    <n v="408000"/>
    <n v="140000"/>
  </r>
  <r>
    <x v="0"/>
    <x v="2"/>
    <x v="10"/>
    <s v="General Surgery Ret20HPSP"/>
    <n v="2030"/>
    <x v="17"/>
    <n v="1167020.0436754883"/>
    <n v="0.02"/>
    <n v="0.01"/>
    <n v="0.01"/>
    <n v="6.2100000000000002E-2"/>
    <n v="0.03"/>
    <n v="0.02"/>
    <n v="0.06"/>
    <n v="0.02"/>
    <n v="0.02"/>
    <n v="0.02"/>
    <n v="0.9"/>
    <n v="180000"/>
    <n v="176460"/>
    <n v="304980"/>
    <n v="210120"/>
    <n v="408000"/>
    <n v="140000"/>
  </r>
  <r>
    <x v="0"/>
    <x v="2"/>
    <x v="10"/>
    <s v="General Surgery Ret20HPSP"/>
    <n v="2031"/>
    <x v="18"/>
    <n v="1257536.6497480813"/>
    <n v="0.02"/>
    <n v="0.01"/>
    <n v="0.01"/>
    <n v="6.2100000000000002E-2"/>
    <n v="0.03"/>
    <n v="0.02"/>
    <n v="0.06"/>
    <n v="0.02"/>
    <n v="0.02"/>
    <n v="0.02"/>
    <n v="0.9"/>
    <n v="180000"/>
    <n v="176460"/>
    <n v="304980"/>
    <n v="210120"/>
    <n v="408000"/>
    <n v="140000"/>
  </r>
  <r>
    <x v="0"/>
    <x v="2"/>
    <x v="10"/>
    <s v="General Surgery Ret20HPSP"/>
    <n v="2032"/>
    <x v="19"/>
    <n v="1344560.1359419872"/>
    <n v="0.02"/>
    <n v="0.01"/>
    <n v="0.01"/>
    <n v="6.2100000000000002E-2"/>
    <n v="0.03"/>
    <n v="0.02"/>
    <n v="0.06"/>
    <n v="0.02"/>
    <n v="0.02"/>
    <n v="0.02"/>
    <n v="0.9"/>
    <n v="180000"/>
    <n v="176460"/>
    <n v="304980"/>
    <n v="210120"/>
    <n v="408000"/>
    <n v="140000"/>
  </r>
  <r>
    <x v="0"/>
    <x v="2"/>
    <x v="10"/>
    <s v="General Surgery Ret20HPSP"/>
    <n v="2033"/>
    <x v="20"/>
    <n v="1429876.7876811149"/>
    <n v="0.02"/>
    <n v="0.01"/>
    <n v="0.01"/>
    <n v="6.2100000000000002E-2"/>
    <n v="0.03"/>
    <n v="0.02"/>
    <n v="0.06"/>
    <n v="0.02"/>
    <n v="0.02"/>
    <n v="0.02"/>
    <n v="0.9"/>
    <n v="180000"/>
    <n v="176460"/>
    <n v="304980"/>
    <n v="210120"/>
    <n v="408000"/>
    <n v="140000"/>
  </r>
  <r>
    <x v="0"/>
    <x v="2"/>
    <x v="10"/>
    <s v="General Surgery Ret20HPSP"/>
    <n v="2034"/>
    <x v="21"/>
    <n v="1511900.9908186793"/>
    <n v="0.02"/>
    <n v="0.01"/>
    <n v="0.01"/>
    <n v="6.2100000000000002E-2"/>
    <n v="0.03"/>
    <n v="0.02"/>
    <n v="0.06"/>
    <n v="0.02"/>
    <n v="0.02"/>
    <n v="0.02"/>
    <n v="0.9"/>
    <n v="180000"/>
    <n v="176460"/>
    <n v="304980"/>
    <n v="210120"/>
    <n v="408000"/>
    <n v="140000"/>
  </r>
  <r>
    <x v="0"/>
    <x v="2"/>
    <x v="10"/>
    <s v="General Surgery Ret20HPSP"/>
    <n v="2035"/>
    <x v="22"/>
    <n v="1594833.7920609459"/>
    <n v="0.02"/>
    <n v="0.01"/>
    <n v="0.01"/>
    <n v="6.2100000000000002E-2"/>
    <n v="0.03"/>
    <n v="0.02"/>
    <n v="0.06"/>
    <n v="0.02"/>
    <n v="0.02"/>
    <n v="0.02"/>
    <n v="0.9"/>
    <n v="180000"/>
    <n v="176460"/>
    <n v="304980"/>
    <n v="210120"/>
    <n v="408000"/>
    <n v="140000"/>
  </r>
  <r>
    <x v="0"/>
    <x v="2"/>
    <x v="10"/>
    <s v="General Surgery Ret20HPSP"/>
    <n v="2036"/>
    <x v="23"/>
    <n v="1674595.6164700291"/>
    <n v="0.02"/>
    <n v="0.01"/>
    <n v="0.01"/>
    <n v="6.2100000000000002E-2"/>
    <n v="0.03"/>
    <n v="0.02"/>
    <n v="0.06"/>
    <n v="0.02"/>
    <n v="0.02"/>
    <n v="0.02"/>
    <n v="0.9"/>
    <n v="180000"/>
    <n v="176460"/>
    <n v="304980"/>
    <n v="210120"/>
    <n v="408000"/>
    <n v="140000"/>
  </r>
  <r>
    <x v="0"/>
    <x v="2"/>
    <x v="10"/>
    <s v="General Surgery Ret20HPSP"/>
    <n v="2037"/>
    <x v="24"/>
    <n v="1738378.1638923103"/>
    <n v="0.02"/>
    <n v="0.01"/>
    <n v="0.01"/>
    <n v="6.2100000000000002E-2"/>
    <n v="0.03"/>
    <n v="0.02"/>
    <n v="0.06"/>
    <n v="0.02"/>
    <n v="0.02"/>
    <n v="0.02"/>
    <n v="0.9"/>
    <n v="180000"/>
    <n v="176460"/>
    <n v="304980"/>
    <n v="210120"/>
    <n v="408000"/>
    <n v="140000"/>
  </r>
  <r>
    <x v="0"/>
    <x v="2"/>
    <x v="10"/>
    <s v="General Surgery Ret20HPSP"/>
    <n v="2038"/>
    <x v="25"/>
    <n v="1845155.883686031"/>
    <n v="0.02"/>
    <n v="0.01"/>
    <n v="0.01"/>
    <n v="6.2100000000000002E-2"/>
    <n v="0.03"/>
    <n v="0.02"/>
    <n v="0.06"/>
    <n v="0.02"/>
    <n v="0.02"/>
    <n v="0.02"/>
    <n v="0.9"/>
    <n v="180000"/>
    <n v="176460"/>
    <n v="304980"/>
    <n v="210120"/>
    <n v="408000"/>
    <n v="140000"/>
  </r>
  <r>
    <x v="0"/>
    <x v="2"/>
    <x v="10"/>
    <s v="General Surgery Ret20HPSP"/>
    <n v="2039"/>
    <x v="26"/>
    <n v="1949585.9794570378"/>
    <n v="0.02"/>
    <n v="0.01"/>
    <n v="0.01"/>
    <n v="6.2100000000000002E-2"/>
    <n v="0.03"/>
    <n v="0.02"/>
    <n v="0.06"/>
    <n v="0.02"/>
    <n v="0.02"/>
    <n v="0.02"/>
    <n v="0.9"/>
    <n v="180000"/>
    <n v="176460"/>
    <n v="304980"/>
    <n v="210120"/>
    <n v="408000"/>
    <n v="140000"/>
  </r>
  <r>
    <x v="0"/>
    <x v="2"/>
    <x v="10"/>
    <s v="General Surgery Ret20HPSP"/>
    <n v="2040"/>
    <x v="27"/>
    <n v="2051724.3042166384"/>
    <n v="0.02"/>
    <n v="0.01"/>
    <n v="0.01"/>
    <n v="6.2100000000000002E-2"/>
    <n v="0.03"/>
    <n v="0.02"/>
    <n v="0.06"/>
    <n v="0.02"/>
    <n v="0.02"/>
    <n v="0.02"/>
    <n v="0.9"/>
    <n v="180000"/>
    <n v="176460"/>
    <n v="304980"/>
    <n v="210120"/>
    <n v="408000"/>
    <n v="140000"/>
  </r>
  <r>
    <x v="0"/>
    <x v="2"/>
    <x v="10"/>
    <s v="General Surgery Ret20HPSP"/>
    <n v="2041"/>
    <x v="28"/>
    <n v="2151625.2360616853"/>
    <n v="0.02"/>
    <n v="0.01"/>
    <n v="0.01"/>
    <n v="6.2100000000000002E-2"/>
    <n v="0.03"/>
    <n v="0.02"/>
    <n v="0.06"/>
    <n v="0.02"/>
    <n v="0.02"/>
    <n v="0.02"/>
    <n v="0.9"/>
    <n v="180000"/>
    <n v="176460"/>
    <n v="304980"/>
    <n v="210120"/>
    <n v="408000"/>
    <n v="140000"/>
  </r>
  <r>
    <x v="0"/>
    <x v="2"/>
    <x v="10"/>
    <s v="General Surgery Ret20HPSP"/>
    <n v="2042"/>
    <x v="29"/>
    <n v="2249341.7217765106"/>
    <n v="0.02"/>
    <n v="0.01"/>
    <n v="0.01"/>
    <n v="6.2100000000000002E-2"/>
    <n v="0.03"/>
    <n v="0.02"/>
    <n v="0.06"/>
    <n v="0.02"/>
    <n v="0.02"/>
    <n v="0.02"/>
    <n v="0.9"/>
    <n v="180000"/>
    <n v="176460"/>
    <n v="304980"/>
    <n v="210120"/>
    <n v="408000"/>
    <n v="140000"/>
  </r>
  <r>
    <x v="0"/>
    <x v="2"/>
    <x v="11"/>
    <s v="General Surgery USUPriv"/>
    <n v="2013"/>
    <x v="0"/>
    <n v="52525.686799999996"/>
    <n v="0.02"/>
    <n v="0.01"/>
    <n v="0.01"/>
    <n v="6.2100000000000002E-2"/>
    <n v="0.03"/>
    <n v="0.02"/>
    <n v="0.06"/>
    <n v="0.02"/>
    <n v="0.02"/>
    <n v="0.02"/>
    <n v="0.9"/>
    <n v="180000"/>
    <n v="176460"/>
    <n v="304980"/>
    <n v="210120"/>
    <n v="408000"/>
    <n v="140000"/>
  </r>
  <r>
    <x v="0"/>
    <x v="2"/>
    <x v="11"/>
    <s v="General Surgery USUPriv"/>
    <n v="2014"/>
    <x v="1"/>
    <n v="103045.21008954883"/>
    <n v="0.02"/>
    <n v="0.01"/>
    <n v="0.01"/>
    <n v="6.2100000000000002E-2"/>
    <n v="0.03"/>
    <n v="0.02"/>
    <n v="0.06"/>
    <n v="0.02"/>
    <n v="0.02"/>
    <n v="0.02"/>
    <n v="0.9"/>
    <n v="180000"/>
    <n v="176460"/>
    <n v="304980"/>
    <n v="210120"/>
    <n v="408000"/>
    <n v="140000"/>
  </r>
  <r>
    <x v="0"/>
    <x v="2"/>
    <x v="11"/>
    <s v="General Surgery USUPriv"/>
    <n v="2015"/>
    <x v="2"/>
    <n v="152565.98092317433"/>
    <n v="0.02"/>
    <n v="0.01"/>
    <n v="0.01"/>
    <n v="6.2100000000000002E-2"/>
    <n v="0.03"/>
    <n v="0.02"/>
    <n v="0.06"/>
    <n v="0.02"/>
    <n v="0.02"/>
    <n v="0.02"/>
    <n v="0.9"/>
    <n v="180000"/>
    <n v="176460"/>
    <n v="304980"/>
    <n v="210120"/>
    <n v="408000"/>
    <n v="140000"/>
  </r>
  <r>
    <x v="0"/>
    <x v="2"/>
    <x v="11"/>
    <s v="General Surgery USUPriv"/>
    <n v="2016"/>
    <x v="3"/>
    <n v="204951.40008844491"/>
    <n v="0.02"/>
    <n v="0.01"/>
    <n v="0.01"/>
    <n v="6.2100000000000002E-2"/>
    <n v="0.03"/>
    <n v="0.02"/>
    <n v="0.06"/>
    <n v="0.02"/>
    <n v="0.02"/>
    <n v="0.02"/>
    <n v="0.9"/>
    <n v="180000"/>
    <n v="176460"/>
    <n v="304980"/>
    <n v="210120"/>
    <n v="408000"/>
    <n v="140000"/>
  </r>
  <r>
    <x v="0"/>
    <x v="2"/>
    <x v="11"/>
    <s v="General Surgery USUPriv"/>
    <n v="2017"/>
    <x v="4"/>
    <n v="264104.65274828218"/>
    <n v="0.02"/>
    <n v="0.01"/>
    <n v="0.01"/>
    <n v="6.2100000000000002E-2"/>
    <n v="0.03"/>
    <n v="0.02"/>
    <n v="0.06"/>
    <n v="0.02"/>
    <n v="0.02"/>
    <n v="0.02"/>
    <n v="0.9"/>
    <n v="180000"/>
    <n v="176460"/>
    <n v="304980"/>
    <n v="210120"/>
    <n v="408000"/>
    <n v="140000"/>
  </r>
  <r>
    <x v="0"/>
    <x v="2"/>
    <x v="11"/>
    <s v="General Surgery USUPriv"/>
    <n v="2018"/>
    <x v="5"/>
    <n v="322956.40336350905"/>
    <n v="0.02"/>
    <n v="0.01"/>
    <n v="0.01"/>
    <n v="6.2100000000000002E-2"/>
    <n v="0.03"/>
    <n v="0.02"/>
    <n v="0.06"/>
    <n v="0.02"/>
    <n v="0.02"/>
    <n v="0.02"/>
    <n v="0.9"/>
    <n v="180000"/>
    <n v="176460"/>
    <n v="304980"/>
    <n v="210120"/>
    <n v="408000"/>
    <n v="140000"/>
  </r>
  <r>
    <x v="0"/>
    <x v="2"/>
    <x v="11"/>
    <s v="General Surgery USUPriv"/>
    <n v="2019"/>
    <x v="6"/>
    <n v="382458.16257085698"/>
    <n v="0.02"/>
    <n v="0.01"/>
    <n v="0.01"/>
    <n v="6.2100000000000002E-2"/>
    <n v="0.03"/>
    <n v="0.02"/>
    <n v="0.06"/>
    <n v="0.02"/>
    <n v="0.02"/>
    <n v="0.02"/>
    <n v="0.9"/>
    <n v="180000"/>
    <n v="176460"/>
    <n v="304980"/>
    <n v="210120"/>
    <n v="408000"/>
    <n v="140000"/>
  </r>
  <r>
    <x v="0"/>
    <x v="2"/>
    <x v="11"/>
    <s v="General Surgery USUPriv"/>
    <n v="2020"/>
    <x v="7"/>
    <n v="441575.28506588424"/>
    <n v="0.02"/>
    <n v="0.01"/>
    <n v="0.01"/>
    <n v="6.2100000000000002E-2"/>
    <n v="0.03"/>
    <n v="0.02"/>
    <n v="0.06"/>
    <n v="0.02"/>
    <n v="0.02"/>
    <n v="0.02"/>
    <n v="0.9"/>
    <n v="180000"/>
    <n v="176460"/>
    <n v="304980"/>
    <n v="210120"/>
    <n v="408000"/>
    <n v="140000"/>
  </r>
  <r>
    <x v="0"/>
    <x v="2"/>
    <x v="11"/>
    <s v="General Surgery USUPriv"/>
    <n v="2021"/>
    <x v="8"/>
    <n v="500654.23446862109"/>
    <n v="0.02"/>
    <n v="0.01"/>
    <n v="0.01"/>
    <n v="6.2100000000000002E-2"/>
    <n v="0.03"/>
    <n v="0.02"/>
    <n v="0.06"/>
    <n v="0.02"/>
    <n v="0.02"/>
    <n v="0.02"/>
    <n v="0.9"/>
    <n v="180000"/>
    <n v="176460"/>
    <n v="304980"/>
    <n v="210120"/>
    <n v="408000"/>
    <n v="140000"/>
  </r>
  <r>
    <x v="0"/>
    <x v="2"/>
    <x v="11"/>
    <s v="General Surgery USUPriv"/>
    <n v="2022"/>
    <x v="9"/>
    <n v="563703.58569574018"/>
    <n v="0.02"/>
    <n v="0.01"/>
    <n v="0.01"/>
    <n v="6.2100000000000002E-2"/>
    <n v="0.03"/>
    <n v="0.02"/>
    <n v="0.06"/>
    <n v="0.02"/>
    <n v="0.02"/>
    <n v="0.02"/>
    <n v="0.9"/>
    <n v="180000"/>
    <n v="176460"/>
    <n v="304980"/>
    <n v="210120"/>
    <n v="408000"/>
    <n v="140000"/>
  </r>
  <r>
    <x v="0"/>
    <x v="2"/>
    <x v="11"/>
    <s v="General Surgery USUPriv"/>
    <n v="2023"/>
    <x v="10"/>
    <n v="633076.84402750398"/>
    <n v="0.02"/>
    <n v="0.01"/>
    <n v="0.01"/>
    <n v="6.2100000000000002E-2"/>
    <n v="0.03"/>
    <n v="0.02"/>
    <n v="0.06"/>
    <n v="0.02"/>
    <n v="0.02"/>
    <n v="0.02"/>
    <n v="0.9"/>
    <n v="180000"/>
    <n v="176460"/>
    <n v="304980"/>
    <n v="210120"/>
    <n v="408000"/>
    <n v="140000"/>
  </r>
  <r>
    <x v="0"/>
    <x v="2"/>
    <x v="11"/>
    <s v="General Surgery USUPriv"/>
    <n v="2024"/>
    <x v="11"/>
    <n v="699827.65845398873"/>
    <n v="0.02"/>
    <n v="0.01"/>
    <n v="0.01"/>
    <n v="6.2100000000000002E-2"/>
    <n v="0.03"/>
    <n v="0.02"/>
    <n v="0.06"/>
    <n v="0.02"/>
    <n v="0.02"/>
    <n v="0.02"/>
    <n v="0.9"/>
    <n v="180000"/>
    <n v="176460"/>
    <n v="304980"/>
    <n v="210120"/>
    <n v="408000"/>
    <n v="140000"/>
  </r>
  <r>
    <x v="0"/>
    <x v="2"/>
    <x v="11"/>
    <s v="General Surgery USUPriv"/>
    <n v="2025"/>
    <x v="12"/>
    <n v="765347.00767356099"/>
    <n v="0.02"/>
    <n v="0.01"/>
    <n v="0.01"/>
    <n v="6.2100000000000002E-2"/>
    <n v="0.03"/>
    <n v="0.02"/>
    <n v="0.06"/>
    <n v="0.02"/>
    <n v="0.02"/>
    <n v="0.02"/>
    <n v="0.9"/>
    <n v="180000"/>
    <n v="176460"/>
    <n v="304980"/>
    <n v="210120"/>
    <n v="408000"/>
    <n v="140000"/>
  </r>
  <r>
    <x v="0"/>
    <x v="2"/>
    <x v="11"/>
    <s v="General Surgery USUPriv"/>
    <n v="2026"/>
    <x v="13"/>
    <n v="828389.49004259263"/>
    <n v="0.02"/>
    <n v="0.01"/>
    <n v="0.01"/>
    <n v="6.2100000000000002E-2"/>
    <n v="0.03"/>
    <n v="0.02"/>
    <n v="0.06"/>
    <n v="0.02"/>
    <n v="0.02"/>
    <n v="0.02"/>
    <n v="0.9"/>
    <n v="180000"/>
    <n v="176460"/>
    <n v="304980"/>
    <n v="210120"/>
    <n v="408000"/>
    <n v="140000"/>
  </r>
  <r>
    <x v="0"/>
    <x v="2"/>
    <x v="11"/>
    <s v="General Surgery USUPriv"/>
    <n v="2027"/>
    <x v="14"/>
    <n v="890951.83217297471"/>
    <n v="0.02"/>
    <n v="0.01"/>
    <n v="0.01"/>
    <n v="6.2100000000000002E-2"/>
    <n v="0.03"/>
    <n v="0.02"/>
    <n v="0.06"/>
    <n v="0.02"/>
    <n v="0.02"/>
    <n v="0.02"/>
    <n v="0.9"/>
    <n v="180000"/>
    <n v="176460"/>
    <n v="304980"/>
    <n v="210120"/>
    <n v="408000"/>
    <n v="140000"/>
  </r>
  <r>
    <x v="0"/>
    <x v="2"/>
    <x v="11"/>
    <s v="General Surgery USUPriv"/>
    <n v="2028"/>
    <x v="15"/>
    <n v="951136.17356786923"/>
    <n v="0.02"/>
    <n v="0.01"/>
    <n v="0.01"/>
    <n v="6.2100000000000002E-2"/>
    <n v="0.03"/>
    <n v="0.02"/>
    <n v="0.06"/>
    <n v="0.02"/>
    <n v="0.02"/>
    <n v="0.02"/>
    <n v="0.9"/>
    <n v="180000"/>
    <n v="176460"/>
    <n v="304980"/>
    <n v="210120"/>
    <n v="408000"/>
    <n v="140000"/>
  </r>
  <r>
    <x v="0"/>
    <x v="2"/>
    <x v="11"/>
    <s v="General Surgery USUPriv"/>
    <n v="2029"/>
    <x v="16"/>
    <n v="1063957.0644373742"/>
    <n v="0.02"/>
    <n v="0.01"/>
    <n v="0.01"/>
    <n v="6.2100000000000002E-2"/>
    <n v="0.03"/>
    <n v="0.02"/>
    <n v="0.06"/>
    <n v="0.02"/>
    <n v="0.02"/>
    <n v="0.02"/>
    <n v="0.9"/>
    <n v="180000"/>
    <n v="176460"/>
    <n v="304980"/>
    <n v="210120"/>
    <n v="408000"/>
    <n v="140000"/>
  </r>
  <r>
    <x v="0"/>
    <x v="2"/>
    <x v="11"/>
    <s v="General Surgery USUPriv"/>
    <n v="2030"/>
    <x v="17"/>
    <n v="1174442.2094810961"/>
    <n v="0.02"/>
    <n v="0.01"/>
    <n v="0.01"/>
    <n v="6.2100000000000002E-2"/>
    <n v="0.03"/>
    <n v="0.02"/>
    <n v="0.06"/>
    <n v="0.02"/>
    <n v="0.02"/>
    <n v="0.02"/>
    <n v="0.9"/>
    <n v="180000"/>
    <n v="176460"/>
    <n v="304980"/>
    <n v="210120"/>
    <n v="408000"/>
    <n v="140000"/>
  </r>
  <r>
    <x v="0"/>
    <x v="2"/>
    <x v="11"/>
    <s v="General Surgery USUPriv"/>
    <n v="2031"/>
    <x v="18"/>
    <n v="1282641.0068065529"/>
    <n v="0.02"/>
    <n v="0.01"/>
    <n v="0.01"/>
    <n v="6.2100000000000002E-2"/>
    <n v="0.03"/>
    <n v="0.02"/>
    <n v="0.06"/>
    <n v="0.02"/>
    <n v="0.02"/>
    <n v="0.02"/>
    <n v="0.9"/>
    <n v="180000"/>
    <n v="176460"/>
    <n v="304980"/>
    <n v="210120"/>
    <n v="408000"/>
    <n v="140000"/>
  </r>
  <r>
    <x v="0"/>
    <x v="2"/>
    <x v="11"/>
    <s v="General Surgery USUPriv"/>
    <n v="2032"/>
    <x v="19"/>
    <n v="1388601.7811007318"/>
    <n v="0.02"/>
    <n v="0.01"/>
    <n v="0.01"/>
    <n v="6.2100000000000002E-2"/>
    <n v="0.03"/>
    <n v="0.02"/>
    <n v="0.06"/>
    <n v="0.02"/>
    <n v="0.02"/>
    <n v="0.02"/>
    <n v="0.9"/>
    <n v="180000"/>
    <n v="176460"/>
    <n v="304980"/>
    <n v="210120"/>
    <n v="408000"/>
    <n v="140000"/>
  </r>
  <r>
    <x v="0"/>
    <x v="2"/>
    <x v="11"/>
    <s v="General Surgery USUPriv"/>
    <n v="2033"/>
    <x v="20"/>
    <n v="1492371.8077308575"/>
    <n v="0.02"/>
    <n v="0.01"/>
    <n v="0.01"/>
    <n v="6.2100000000000002E-2"/>
    <n v="0.03"/>
    <n v="0.02"/>
    <n v="0.06"/>
    <n v="0.02"/>
    <n v="0.02"/>
    <n v="0.02"/>
    <n v="0.9"/>
    <n v="180000"/>
    <n v="176460"/>
    <n v="304980"/>
    <n v="210120"/>
    <n v="408000"/>
    <n v="140000"/>
  </r>
  <r>
    <x v="0"/>
    <x v="2"/>
    <x v="11"/>
    <s v="General Surgery USUPriv"/>
    <n v="2034"/>
    <x v="21"/>
    <n v="1593997.3362836642"/>
    <n v="0.02"/>
    <n v="0.01"/>
    <n v="0.01"/>
    <n v="6.2100000000000002E-2"/>
    <n v="0.03"/>
    <n v="0.02"/>
    <n v="0.06"/>
    <n v="0.02"/>
    <n v="0.02"/>
    <n v="0.02"/>
    <n v="0.9"/>
    <n v="180000"/>
    <n v="176460"/>
    <n v="304980"/>
    <n v="210120"/>
    <n v="408000"/>
    <n v="140000"/>
  </r>
  <r>
    <x v="0"/>
    <x v="2"/>
    <x v="11"/>
    <s v="General Surgery USUPriv"/>
    <n v="2035"/>
    <x v="22"/>
    <n v="1693523.6135567729"/>
    <n v="0.02"/>
    <n v="0.01"/>
    <n v="0.01"/>
    <n v="6.2100000000000002E-2"/>
    <n v="0.03"/>
    <n v="0.02"/>
    <n v="0.06"/>
    <n v="0.02"/>
    <n v="0.02"/>
    <n v="0.02"/>
    <n v="0.9"/>
    <n v="180000"/>
    <n v="176460"/>
    <n v="304980"/>
    <n v="210120"/>
    <n v="408000"/>
    <n v="140000"/>
  </r>
  <r>
    <x v="0"/>
    <x v="2"/>
    <x v="11"/>
    <s v="General Surgery USUPriv"/>
    <n v="2036"/>
    <x v="23"/>
    <n v="1790994.906015431"/>
    <n v="0.02"/>
    <n v="0.01"/>
    <n v="0.01"/>
    <n v="6.2100000000000002E-2"/>
    <n v="0.03"/>
    <n v="0.02"/>
    <n v="0.06"/>
    <n v="0.02"/>
    <n v="0.02"/>
    <n v="0.02"/>
    <n v="0.9"/>
    <n v="180000"/>
    <n v="176460"/>
    <n v="304980"/>
    <n v="210120"/>
    <n v="408000"/>
    <n v="140000"/>
  </r>
  <r>
    <x v="0"/>
    <x v="2"/>
    <x v="11"/>
    <s v="General Surgery USUPriv"/>
    <n v="2037"/>
    <x v="24"/>
    <n v="1886454.5217275389"/>
    <n v="0.02"/>
    <n v="0.01"/>
    <n v="0.01"/>
    <n v="6.2100000000000002E-2"/>
    <n v="0.03"/>
    <n v="0.02"/>
    <n v="0.06"/>
    <n v="0.02"/>
    <n v="0.02"/>
    <n v="0.02"/>
    <n v="0.9"/>
    <n v="180000"/>
    <n v="176460"/>
    <n v="304980"/>
    <n v="210120"/>
    <n v="408000"/>
    <n v="140000"/>
  </r>
  <r>
    <x v="0"/>
    <x v="2"/>
    <x v="11"/>
    <s v="General Surgery USUPriv"/>
    <n v="2038"/>
    <x v="25"/>
    <n v="1979944.8317895634"/>
    <n v="0.02"/>
    <n v="0.01"/>
    <n v="0.01"/>
    <n v="6.2100000000000002E-2"/>
    <n v="0.03"/>
    <n v="0.02"/>
    <n v="0.06"/>
    <n v="0.02"/>
    <n v="0.02"/>
    <n v="0.02"/>
    <n v="0.9"/>
    <n v="180000"/>
    <n v="176460"/>
    <n v="304980"/>
    <n v="210120"/>
    <n v="408000"/>
    <n v="140000"/>
  </r>
  <r>
    <x v="0"/>
    <x v="2"/>
    <x v="11"/>
    <s v="General Surgery USUPriv"/>
    <n v="2039"/>
    <x v="26"/>
    <n v="2071507.2912556231"/>
    <n v="0.02"/>
    <n v="0.01"/>
    <n v="0.01"/>
    <n v="6.2100000000000002E-2"/>
    <n v="0.03"/>
    <n v="0.02"/>
    <n v="0.06"/>
    <n v="0.02"/>
    <n v="0.02"/>
    <n v="0.02"/>
    <n v="0.9"/>
    <n v="180000"/>
    <n v="176460"/>
    <n v="304980"/>
    <n v="210120"/>
    <n v="408000"/>
    <n v="140000"/>
  </r>
  <r>
    <x v="0"/>
    <x v="2"/>
    <x v="11"/>
    <s v="General Surgery USUPriv"/>
    <n v="2040"/>
    <x v="27"/>
    <n v="2161213.9436480175"/>
    <n v="0.02"/>
    <n v="0.01"/>
    <n v="0.01"/>
    <n v="6.2100000000000002E-2"/>
    <n v="0.03"/>
    <n v="0.02"/>
    <n v="0.06"/>
    <n v="0.02"/>
    <n v="0.02"/>
    <n v="0.02"/>
    <n v="0.9"/>
    <n v="180000"/>
    <n v="176460"/>
    <n v="304980"/>
    <n v="210120"/>
    <n v="408000"/>
    <n v="140000"/>
  </r>
  <r>
    <x v="0"/>
    <x v="2"/>
    <x v="11"/>
    <s v="General Surgery USUPriv"/>
    <n v="2041"/>
    <x v="28"/>
    <n v="2249169.2567417109"/>
    <n v="0.02"/>
    <n v="0.01"/>
    <n v="0.01"/>
    <n v="6.2100000000000002E-2"/>
    <n v="0.03"/>
    <n v="0.02"/>
    <n v="0.06"/>
    <n v="0.02"/>
    <n v="0.02"/>
    <n v="0.02"/>
    <n v="0.9"/>
    <n v="180000"/>
    <n v="176460"/>
    <n v="304980"/>
    <n v="210120"/>
    <n v="408000"/>
    <n v="140000"/>
  </r>
  <r>
    <x v="0"/>
    <x v="2"/>
    <x v="11"/>
    <s v="General Surgery USUPriv"/>
    <n v="2042"/>
    <x v="29"/>
    <n v="2335407.3487364543"/>
    <n v="0.02"/>
    <n v="0.01"/>
    <n v="0.01"/>
    <n v="6.2100000000000002E-2"/>
    <n v="0.03"/>
    <n v="0.02"/>
    <n v="0.06"/>
    <n v="0.02"/>
    <n v="0.02"/>
    <n v="0.02"/>
    <n v="0.9"/>
    <n v="180000"/>
    <n v="176460"/>
    <n v="304980"/>
    <n v="210120"/>
    <n v="408000"/>
    <n v="140000"/>
  </r>
  <r>
    <x v="0"/>
    <x v="2"/>
    <x v="12"/>
    <s v="General Surgery HPSPPriv"/>
    <n v="2013"/>
    <x v="0"/>
    <n v="41042.997114989732"/>
    <n v="0.02"/>
    <n v="0.01"/>
    <n v="0.01"/>
    <n v="6.2100000000000002E-2"/>
    <n v="0.03"/>
    <n v="0.02"/>
    <n v="0.06"/>
    <n v="0.02"/>
    <n v="0.02"/>
    <n v="0.02"/>
    <n v="0.9"/>
    <n v="180000"/>
    <n v="176460"/>
    <n v="304980"/>
    <n v="210120"/>
    <n v="408000"/>
    <n v="140000"/>
  </r>
  <r>
    <x v="0"/>
    <x v="2"/>
    <x v="12"/>
    <s v="General Surgery HPSPPriv"/>
    <n v="2014"/>
    <x v="1"/>
    <n v="65715.375570480697"/>
    <n v="0.02"/>
    <n v="0.01"/>
    <n v="0.01"/>
    <n v="6.2100000000000002E-2"/>
    <n v="0.03"/>
    <n v="0.02"/>
    <n v="0.06"/>
    <n v="0.02"/>
    <n v="0.02"/>
    <n v="0.02"/>
    <n v="0.9"/>
    <n v="180000"/>
    <n v="176460"/>
    <n v="304980"/>
    <n v="210120"/>
    <n v="408000"/>
    <n v="140000"/>
  </r>
  <r>
    <x v="0"/>
    <x v="2"/>
    <x v="12"/>
    <s v="General Surgery HPSPPriv"/>
    <n v="2015"/>
    <x v="2"/>
    <n v="89584.222784524245"/>
    <n v="0.02"/>
    <n v="0.01"/>
    <n v="0.01"/>
    <n v="6.2100000000000002E-2"/>
    <n v="0.03"/>
    <n v="0.02"/>
    <n v="0.06"/>
    <n v="0.02"/>
    <n v="0.02"/>
    <n v="0.02"/>
    <n v="0.9"/>
    <n v="180000"/>
    <n v="176460"/>
    <n v="304980"/>
    <n v="210120"/>
    <n v="408000"/>
    <n v="140000"/>
  </r>
  <r>
    <x v="0"/>
    <x v="2"/>
    <x v="12"/>
    <s v="General Surgery HPSPPriv"/>
    <n v="2016"/>
    <x v="3"/>
    <n v="113201.76547692725"/>
    <n v="0.02"/>
    <n v="0.01"/>
    <n v="0.01"/>
    <n v="6.2100000000000002E-2"/>
    <n v="0.03"/>
    <n v="0.02"/>
    <n v="0.06"/>
    <n v="0.02"/>
    <n v="0.02"/>
    <n v="0.02"/>
    <n v="0.9"/>
    <n v="180000"/>
    <n v="176460"/>
    <n v="304980"/>
    <n v="210120"/>
    <n v="408000"/>
    <n v="140000"/>
  </r>
  <r>
    <x v="0"/>
    <x v="2"/>
    <x v="12"/>
    <s v="General Surgery HPSPPriv"/>
    <n v="2017"/>
    <x v="4"/>
    <n v="172355.01813676453"/>
    <n v="0.02"/>
    <n v="0.01"/>
    <n v="0.01"/>
    <n v="6.2100000000000002E-2"/>
    <n v="0.03"/>
    <n v="0.02"/>
    <n v="0.06"/>
    <n v="0.02"/>
    <n v="0.02"/>
    <n v="0.02"/>
    <n v="0.9"/>
    <n v="180000"/>
    <n v="176460"/>
    <n v="304980"/>
    <n v="210120"/>
    <n v="408000"/>
    <n v="140000"/>
  </r>
  <r>
    <x v="0"/>
    <x v="2"/>
    <x v="12"/>
    <s v="General Surgery HPSPPriv"/>
    <n v="2018"/>
    <x v="5"/>
    <n v="231206.76875199139"/>
    <n v="0.02"/>
    <n v="0.01"/>
    <n v="0.01"/>
    <n v="6.2100000000000002E-2"/>
    <n v="0.03"/>
    <n v="0.02"/>
    <n v="0.06"/>
    <n v="0.02"/>
    <n v="0.02"/>
    <n v="0.02"/>
    <n v="0.9"/>
    <n v="180000"/>
    <n v="176460"/>
    <n v="304980"/>
    <n v="210120"/>
    <n v="408000"/>
    <n v="140000"/>
  </r>
  <r>
    <x v="0"/>
    <x v="2"/>
    <x v="12"/>
    <s v="General Surgery HPSPPriv"/>
    <n v="2019"/>
    <x v="6"/>
    <n v="290708.52795933932"/>
    <n v="0.02"/>
    <n v="0.01"/>
    <n v="0.01"/>
    <n v="6.2100000000000002E-2"/>
    <n v="0.03"/>
    <n v="0.02"/>
    <n v="0.06"/>
    <n v="0.02"/>
    <n v="0.02"/>
    <n v="0.02"/>
    <n v="0.9"/>
    <n v="180000"/>
    <n v="176460"/>
    <n v="304980"/>
    <n v="210120"/>
    <n v="408000"/>
    <n v="140000"/>
  </r>
  <r>
    <x v="0"/>
    <x v="2"/>
    <x v="12"/>
    <s v="General Surgery HPSPPriv"/>
    <n v="2020"/>
    <x v="7"/>
    <n v="349825.65045436658"/>
    <n v="0.02"/>
    <n v="0.01"/>
    <n v="0.01"/>
    <n v="6.2100000000000002E-2"/>
    <n v="0.03"/>
    <n v="0.02"/>
    <n v="0.06"/>
    <n v="0.02"/>
    <n v="0.02"/>
    <n v="0.02"/>
    <n v="0.9"/>
    <n v="180000"/>
    <n v="176460"/>
    <n v="304980"/>
    <n v="210120"/>
    <n v="408000"/>
    <n v="140000"/>
  </r>
  <r>
    <x v="0"/>
    <x v="2"/>
    <x v="12"/>
    <s v="General Surgery HPSPPriv"/>
    <n v="2021"/>
    <x v="8"/>
    <n v="408904.59985710343"/>
    <n v="0.02"/>
    <n v="0.01"/>
    <n v="0.01"/>
    <n v="6.2100000000000002E-2"/>
    <n v="0.03"/>
    <n v="0.02"/>
    <n v="0.06"/>
    <n v="0.02"/>
    <n v="0.02"/>
    <n v="0.02"/>
    <n v="0.9"/>
    <n v="180000"/>
    <n v="176460"/>
    <n v="304980"/>
    <n v="210120"/>
    <n v="408000"/>
    <n v="140000"/>
  </r>
  <r>
    <x v="0"/>
    <x v="2"/>
    <x v="12"/>
    <s v="General Surgery HPSPPriv"/>
    <n v="2022"/>
    <x v="9"/>
    <n v="471953.95108422253"/>
    <n v="0.02"/>
    <n v="0.01"/>
    <n v="0.01"/>
    <n v="6.2100000000000002E-2"/>
    <n v="0.03"/>
    <n v="0.02"/>
    <n v="0.06"/>
    <n v="0.02"/>
    <n v="0.02"/>
    <n v="0.02"/>
    <n v="0.9"/>
    <n v="180000"/>
    <n v="176460"/>
    <n v="304980"/>
    <n v="210120"/>
    <n v="408000"/>
    <n v="140000"/>
  </r>
  <r>
    <x v="0"/>
    <x v="2"/>
    <x v="12"/>
    <s v="General Surgery HPSPPriv"/>
    <n v="2023"/>
    <x v="10"/>
    <n v="541327.20941598632"/>
    <n v="0.02"/>
    <n v="0.01"/>
    <n v="0.01"/>
    <n v="6.2100000000000002E-2"/>
    <n v="0.03"/>
    <n v="0.02"/>
    <n v="0.06"/>
    <n v="0.02"/>
    <n v="0.02"/>
    <n v="0.02"/>
    <n v="0.9"/>
    <n v="180000"/>
    <n v="176460"/>
    <n v="304980"/>
    <n v="210120"/>
    <n v="408000"/>
    <n v="140000"/>
  </r>
  <r>
    <x v="0"/>
    <x v="2"/>
    <x v="12"/>
    <s v="General Surgery HPSPPriv"/>
    <n v="2024"/>
    <x v="11"/>
    <n v="608078.02384247107"/>
    <n v="0.02"/>
    <n v="0.01"/>
    <n v="0.01"/>
    <n v="6.2100000000000002E-2"/>
    <n v="0.03"/>
    <n v="0.02"/>
    <n v="0.06"/>
    <n v="0.02"/>
    <n v="0.02"/>
    <n v="0.02"/>
    <n v="0.9"/>
    <n v="180000"/>
    <n v="176460"/>
    <n v="304980"/>
    <n v="210120"/>
    <n v="408000"/>
    <n v="140000"/>
  </r>
  <r>
    <x v="0"/>
    <x v="2"/>
    <x v="12"/>
    <s v="General Surgery HPSPPriv"/>
    <n v="2025"/>
    <x v="12"/>
    <n v="673597.37306204333"/>
    <n v="0.02"/>
    <n v="0.01"/>
    <n v="0.01"/>
    <n v="6.2100000000000002E-2"/>
    <n v="0.03"/>
    <n v="0.02"/>
    <n v="0.06"/>
    <n v="0.02"/>
    <n v="0.02"/>
    <n v="0.02"/>
    <n v="0.9"/>
    <n v="180000"/>
    <n v="176460"/>
    <n v="304980"/>
    <n v="210120"/>
    <n v="408000"/>
    <n v="140000"/>
  </r>
  <r>
    <x v="0"/>
    <x v="2"/>
    <x v="12"/>
    <s v="General Surgery HPSPPriv"/>
    <n v="2026"/>
    <x v="13"/>
    <n v="793732.99795575952"/>
    <n v="0.02"/>
    <n v="0.01"/>
    <n v="0.01"/>
    <n v="6.2100000000000002E-2"/>
    <n v="0.03"/>
    <n v="0.02"/>
    <n v="0.06"/>
    <n v="0.02"/>
    <n v="0.02"/>
    <n v="0.02"/>
    <n v="0.9"/>
    <n v="180000"/>
    <n v="176460"/>
    <n v="304980"/>
    <n v="210120"/>
    <n v="408000"/>
    <n v="140000"/>
  </r>
  <r>
    <x v="0"/>
    <x v="2"/>
    <x v="12"/>
    <s v="General Surgery HPSPPriv"/>
    <n v="2027"/>
    <x v="14"/>
    <n v="911377.99245233729"/>
    <n v="0.02"/>
    <n v="0.01"/>
    <n v="0.01"/>
    <n v="6.2100000000000002E-2"/>
    <n v="0.03"/>
    <n v="0.02"/>
    <n v="0.06"/>
    <n v="0.02"/>
    <n v="0.02"/>
    <n v="0.02"/>
    <n v="0.9"/>
    <n v="180000"/>
    <n v="176460"/>
    <n v="304980"/>
    <n v="210120"/>
    <n v="408000"/>
    <n v="140000"/>
  </r>
  <r>
    <x v="0"/>
    <x v="2"/>
    <x v="12"/>
    <s v="General Surgery HPSPPriv"/>
    <n v="2028"/>
    <x v="15"/>
    <n v="1026585.1253518885"/>
    <n v="0.02"/>
    <n v="0.01"/>
    <n v="0.01"/>
    <n v="6.2100000000000002E-2"/>
    <n v="0.03"/>
    <n v="0.02"/>
    <n v="0.06"/>
    <n v="0.02"/>
    <n v="0.02"/>
    <n v="0.02"/>
    <n v="0.9"/>
    <n v="180000"/>
    <n v="176460"/>
    <n v="304980"/>
    <n v="210120"/>
    <n v="408000"/>
    <n v="140000"/>
  </r>
  <r>
    <x v="0"/>
    <x v="2"/>
    <x v="12"/>
    <s v="General Surgery HPSPPriv"/>
    <n v="2029"/>
    <x v="16"/>
    <n v="1139406.0162213936"/>
    <n v="0.02"/>
    <n v="0.01"/>
    <n v="0.01"/>
    <n v="6.2100000000000002E-2"/>
    <n v="0.03"/>
    <n v="0.02"/>
    <n v="0.06"/>
    <n v="0.02"/>
    <n v="0.02"/>
    <n v="0.02"/>
    <n v="0.9"/>
    <n v="180000"/>
    <n v="176460"/>
    <n v="304980"/>
    <n v="210120"/>
    <n v="408000"/>
    <n v="140000"/>
  </r>
  <r>
    <x v="0"/>
    <x v="2"/>
    <x v="12"/>
    <s v="General Surgery HPSPPriv"/>
    <n v="2030"/>
    <x v="17"/>
    <n v="1249891.1612651155"/>
    <n v="0.02"/>
    <n v="0.01"/>
    <n v="0.01"/>
    <n v="6.2100000000000002E-2"/>
    <n v="0.03"/>
    <n v="0.02"/>
    <n v="0.06"/>
    <n v="0.02"/>
    <n v="0.02"/>
    <n v="0.02"/>
    <n v="0.9"/>
    <n v="180000"/>
    <n v="176460"/>
    <n v="304980"/>
    <n v="210120"/>
    <n v="408000"/>
    <n v="140000"/>
  </r>
  <r>
    <x v="0"/>
    <x v="2"/>
    <x v="12"/>
    <s v="General Surgery HPSPPriv"/>
    <n v="2031"/>
    <x v="18"/>
    <n v="1358089.9585905722"/>
    <n v="0.02"/>
    <n v="0.01"/>
    <n v="0.01"/>
    <n v="6.2100000000000002E-2"/>
    <n v="0.03"/>
    <n v="0.02"/>
    <n v="0.06"/>
    <n v="0.02"/>
    <n v="0.02"/>
    <n v="0.02"/>
    <n v="0.9"/>
    <n v="180000"/>
    <n v="176460"/>
    <n v="304980"/>
    <n v="210120"/>
    <n v="408000"/>
    <n v="140000"/>
  </r>
  <r>
    <x v="0"/>
    <x v="2"/>
    <x v="12"/>
    <s v="General Surgery HPSPPriv"/>
    <n v="2032"/>
    <x v="19"/>
    <n v="1464050.7328847512"/>
    <n v="0.02"/>
    <n v="0.01"/>
    <n v="0.01"/>
    <n v="6.2100000000000002E-2"/>
    <n v="0.03"/>
    <n v="0.02"/>
    <n v="0.06"/>
    <n v="0.02"/>
    <n v="0.02"/>
    <n v="0.02"/>
    <n v="0.9"/>
    <n v="180000"/>
    <n v="176460"/>
    <n v="304980"/>
    <n v="210120"/>
    <n v="408000"/>
    <n v="140000"/>
  </r>
  <r>
    <x v="0"/>
    <x v="2"/>
    <x v="12"/>
    <s v="General Surgery HPSPPriv"/>
    <n v="2033"/>
    <x v="20"/>
    <n v="1567820.7595148769"/>
    <n v="0.02"/>
    <n v="0.01"/>
    <n v="0.01"/>
    <n v="6.2100000000000002E-2"/>
    <n v="0.03"/>
    <n v="0.02"/>
    <n v="0.06"/>
    <n v="0.02"/>
    <n v="0.02"/>
    <n v="0.02"/>
    <n v="0.9"/>
    <n v="180000"/>
    <n v="176460"/>
    <n v="304980"/>
    <n v="210120"/>
    <n v="408000"/>
    <n v="140000"/>
  </r>
  <r>
    <x v="0"/>
    <x v="2"/>
    <x v="12"/>
    <s v="General Surgery HPSPPriv"/>
    <n v="2034"/>
    <x v="21"/>
    <n v="1669446.2880676836"/>
    <n v="0.02"/>
    <n v="0.01"/>
    <n v="0.01"/>
    <n v="6.2100000000000002E-2"/>
    <n v="0.03"/>
    <n v="0.02"/>
    <n v="0.06"/>
    <n v="0.02"/>
    <n v="0.02"/>
    <n v="0.02"/>
    <n v="0.9"/>
    <n v="180000"/>
    <n v="176460"/>
    <n v="304980"/>
    <n v="210120"/>
    <n v="408000"/>
    <n v="140000"/>
  </r>
  <r>
    <x v="0"/>
    <x v="2"/>
    <x v="12"/>
    <s v="General Surgery HPSPPriv"/>
    <n v="2035"/>
    <x v="22"/>
    <n v="1768972.5653407923"/>
    <n v="0.02"/>
    <n v="0.01"/>
    <n v="0.01"/>
    <n v="6.2100000000000002E-2"/>
    <n v="0.03"/>
    <n v="0.02"/>
    <n v="0.06"/>
    <n v="0.02"/>
    <n v="0.02"/>
    <n v="0.02"/>
    <n v="0.9"/>
    <n v="180000"/>
    <n v="176460"/>
    <n v="304980"/>
    <n v="210120"/>
    <n v="408000"/>
    <n v="140000"/>
  </r>
  <r>
    <x v="0"/>
    <x v="2"/>
    <x v="12"/>
    <s v="General Surgery HPSPPriv"/>
    <n v="2036"/>
    <x v="23"/>
    <n v="1866443.8577994504"/>
    <n v="0.02"/>
    <n v="0.01"/>
    <n v="0.01"/>
    <n v="6.2100000000000002E-2"/>
    <n v="0.03"/>
    <n v="0.02"/>
    <n v="0.06"/>
    <n v="0.02"/>
    <n v="0.02"/>
    <n v="0.02"/>
    <n v="0.9"/>
    <n v="180000"/>
    <n v="176460"/>
    <n v="304980"/>
    <n v="210120"/>
    <n v="408000"/>
    <n v="140000"/>
  </r>
  <r>
    <x v="0"/>
    <x v="2"/>
    <x v="12"/>
    <s v="General Surgery HPSPPriv"/>
    <n v="2037"/>
    <x v="24"/>
    <n v="1961903.4735115583"/>
    <n v="0.02"/>
    <n v="0.01"/>
    <n v="0.01"/>
    <n v="6.2100000000000002E-2"/>
    <n v="0.03"/>
    <n v="0.02"/>
    <n v="0.06"/>
    <n v="0.02"/>
    <n v="0.02"/>
    <n v="0.02"/>
    <n v="0.9"/>
    <n v="180000"/>
    <n v="176460"/>
    <n v="304980"/>
    <n v="210120"/>
    <n v="408000"/>
    <n v="140000"/>
  </r>
  <r>
    <x v="0"/>
    <x v="2"/>
    <x v="12"/>
    <s v="General Surgery HPSPPriv"/>
    <n v="2038"/>
    <x v="25"/>
    <n v="2055393.7835735828"/>
    <n v="0.02"/>
    <n v="0.01"/>
    <n v="0.01"/>
    <n v="6.2100000000000002E-2"/>
    <n v="0.03"/>
    <n v="0.02"/>
    <n v="0.06"/>
    <n v="0.02"/>
    <n v="0.02"/>
    <n v="0.02"/>
    <n v="0.9"/>
    <n v="180000"/>
    <n v="176460"/>
    <n v="304980"/>
    <n v="210120"/>
    <n v="408000"/>
    <n v="140000"/>
  </r>
  <r>
    <x v="0"/>
    <x v="2"/>
    <x v="12"/>
    <s v="General Surgery HPSPPriv"/>
    <n v="2039"/>
    <x v="26"/>
    <n v="2146956.2430396425"/>
    <n v="0.02"/>
    <n v="0.01"/>
    <n v="0.01"/>
    <n v="6.2100000000000002E-2"/>
    <n v="0.03"/>
    <n v="0.02"/>
    <n v="0.06"/>
    <n v="0.02"/>
    <n v="0.02"/>
    <n v="0.02"/>
    <n v="0.9"/>
    <n v="180000"/>
    <n v="176460"/>
    <n v="304980"/>
    <n v="210120"/>
    <n v="408000"/>
    <n v="140000"/>
  </r>
  <r>
    <x v="0"/>
    <x v="2"/>
    <x v="12"/>
    <s v="General Surgery HPSPPriv"/>
    <n v="2040"/>
    <x v="27"/>
    <n v="2236662.8954320368"/>
    <n v="0.02"/>
    <n v="0.01"/>
    <n v="0.01"/>
    <n v="6.2100000000000002E-2"/>
    <n v="0.03"/>
    <n v="0.02"/>
    <n v="0.06"/>
    <n v="0.02"/>
    <n v="0.02"/>
    <n v="0.02"/>
    <n v="0.9"/>
    <n v="180000"/>
    <n v="176460"/>
    <n v="304980"/>
    <n v="210120"/>
    <n v="408000"/>
    <n v="140000"/>
  </r>
  <r>
    <x v="0"/>
    <x v="2"/>
    <x v="12"/>
    <s v="General Surgery HPSPPriv"/>
    <n v="2041"/>
    <x v="28"/>
    <n v="2324618.2085257303"/>
    <n v="0.02"/>
    <n v="0.01"/>
    <n v="0.01"/>
    <n v="6.2100000000000002E-2"/>
    <n v="0.03"/>
    <n v="0.02"/>
    <n v="0.06"/>
    <n v="0.02"/>
    <n v="0.02"/>
    <n v="0.02"/>
    <n v="0.9"/>
    <n v="180000"/>
    <n v="176460"/>
    <n v="304980"/>
    <n v="210120"/>
    <n v="408000"/>
    <n v="140000"/>
  </r>
  <r>
    <x v="0"/>
    <x v="2"/>
    <x v="12"/>
    <s v="General Surgery HPSPPriv"/>
    <n v="2042"/>
    <x v="29"/>
    <n v="2410856.3005204736"/>
    <n v="0.02"/>
    <n v="0.01"/>
    <n v="0.01"/>
    <n v="6.2100000000000002E-2"/>
    <n v="0.03"/>
    <n v="0.02"/>
    <n v="0.06"/>
    <n v="0.02"/>
    <n v="0.02"/>
    <n v="0.02"/>
    <n v="0.9"/>
    <n v="180000"/>
    <n v="176460"/>
    <n v="304980"/>
    <n v="210120"/>
    <n v="408000"/>
    <n v="140000"/>
  </r>
  <r>
    <x v="0"/>
    <x v="3"/>
    <x v="0"/>
    <s v="Ophthalmology USU"/>
    <n v="2013"/>
    <x v="0"/>
    <n v="52525.686799999996"/>
    <n v="0.02"/>
    <n v="0.01"/>
    <n v="0.01"/>
    <n v="6.2100000000000002E-2"/>
    <n v="0.03"/>
    <n v="0.02"/>
    <n v="0.06"/>
    <n v="0.02"/>
    <n v="0.02"/>
    <n v="0.02"/>
    <n v="0.9"/>
    <n v="180000"/>
    <n v="176460"/>
    <n v="304980"/>
    <n v="210120"/>
    <n v="408000"/>
    <n v="140000"/>
  </r>
  <r>
    <x v="0"/>
    <x v="3"/>
    <x v="0"/>
    <s v="Ophthalmology USU"/>
    <n v="2014"/>
    <x v="1"/>
    <n v="103045.21008954883"/>
    <n v="0.02"/>
    <n v="0.01"/>
    <n v="0.01"/>
    <n v="6.2100000000000002E-2"/>
    <n v="0.03"/>
    <n v="0.02"/>
    <n v="0.06"/>
    <n v="0.02"/>
    <n v="0.02"/>
    <n v="0.02"/>
    <n v="0.9"/>
    <n v="180000"/>
    <n v="176460"/>
    <n v="304980"/>
    <n v="210120"/>
    <n v="408000"/>
    <n v="140000"/>
  </r>
  <r>
    <x v="0"/>
    <x v="3"/>
    <x v="0"/>
    <s v="Ophthalmology USU"/>
    <n v="2015"/>
    <x v="2"/>
    <n v="152565.98092317433"/>
    <n v="0.02"/>
    <n v="0.01"/>
    <n v="0.01"/>
    <n v="6.2100000000000002E-2"/>
    <n v="0.03"/>
    <n v="0.02"/>
    <n v="0.06"/>
    <n v="0.02"/>
    <n v="0.02"/>
    <n v="0.02"/>
    <n v="0.9"/>
    <n v="180000"/>
    <n v="176460"/>
    <n v="304980"/>
    <n v="210120"/>
    <n v="408000"/>
    <n v="140000"/>
  </r>
  <r>
    <x v="0"/>
    <x v="3"/>
    <x v="0"/>
    <s v="Ophthalmology USU"/>
    <n v="2016"/>
    <x v="3"/>
    <n v="204951.40008844491"/>
    <n v="0.02"/>
    <n v="0.01"/>
    <n v="0.01"/>
    <n v="6.2100000000000002E-2"/>
    <n v="0.03"/>
    <n v="0.02"/>
    <n v="0.06"/>
    <n v="0.02"/>
    <n v="0.02"/>
    <n v="0.02"/>
    <n v="0.9"/>
    <n v="180000"/>
    <n v="176460"/>
    <n v="304980"/>
    <n v="210120"/>
    <n v="408000"/>
    <n v="140000"/>
  </r>
  <r>
    <x v="0"/>
    <x v="3"/>
    <x v="0"/>
    <s v="Ophthalmology USU"/>
    <n v="2017"/>
    <x v="4"/>
    <n v="264104.65274828218"/>
    <n v="0.02"/>
    <n v="0.01"/>
    <n v="0.01"/>
    <n v="6.2100000000000002E-2"/>
    <n v="0.03"/>
    <n v="0.02"/>
    <n v="0.06"/>
    <n v="0.02"/>
    <n v="0.02"/>
    <n v="0.02"/>
    <n v="0.9"/>
    <n v="180000"/>
    <n v="176460"/>
    <n v="304980"/>
    <n v="210120"/>
    <n v="408000"/>
    <n v="140000"/>
  </r>
  <r>
    <x v="0"/>
    <x v="3"/>
    <x v="0"/>
    <s v="Ophthalmology USU"/>
    <n v="2018"/>
    <x v="5"/>
    <n v="322956.40336350905"/>
    <n v="0.02"/>
    <n v="0.01"/>
    <n v="0.01"/>
    <n v="6.2100000000000002E-2"/>
    <n v="0.03"/>
    <n v="0.02"/>
    <n v="0.06"/>
    <n v="0.02"/>
    <n v="0.02"/>
    <n v="0.02"/>
    <n v="0.9"/>
    <n v="180000"/>
    <n v="176460"/>
    <n v="304980"/>
    <n v="210120"/>
    <n v="408000"/>
    <n v="140000"/>
  </r>
  <r>
    <x v="0"/>
    <x v="3"/>
    <x v="0"/>
    <s v="Ophthalmology USU"/>
    <n v="2019"/>
    <x v="6"/>
    <n v="382458.16257085698"/>
    <n v="0.02"/>
    <n v="0.01"/>
    <n v="0.01"/>
    <n v="6.2100000000000002E-2"/>
    <n v="0.03"/>
    <n v="0.02"/>
    <n v="0.06"/>
    <n v="0.02"/>
    <n v="0.02"/>
    <n v="0.02"/>
    <n v="0.9"/>
    <n v="180000"/>
    <n v="176460"/>
    <n v="304980"/>
    <n v="210120"/>
    <n v="408000"/>
    <n v="140000"/>
  </r>
  <r>
    <x v="0"/>
    <x v="3"/>
    <x v="0"/>
    <s v="Ophthalmology USU"/>
    <n v="2020"/>
    <x v="7"/>
    <n v="441575.28506588424"/>
    <n v="0.02"/>
    <n v="0.01"/>
    <n v="0.01"/>
    <n v="6.2100000000000002E-2"/>
    <n v="0.03"/>
    <n v="0.02"/>
    <n v="0.06"/>
    <n v="0.02"/>
    <n v="0.02"/>
    <n v="0.02"/>
    <n v="0.9"/>
    <n v="180000"/>
    <n v="176460"/>
    <n v="304980"/>
    <n v="210120"/>
    <n v="408000"/>
    <n v="140000"/>
  </r>
  <r>
    <x v="0"/>
    <x v="3"/>
    <x v="0"/>
    <s v="Ophthalmology USU"/>
    <n v="2021"/>
    <x v="8"/>
    <n v="507094.5855820186"/>
    <n v="0.02"/>
    <n v="0.01"/>
    <n v="0.01"/>
    <n v="6.2100000000000002E-2"/>
    <n v="0.03"/>
    <n v="0.02"/>
    <n v="0.06"/>
    <n v="0.02"/>
    <n v="0.02"/>
    <n v="0.02"/>
    <n v="0.9"/>
    <n v="180000"/>
    <n v="176460"/>
    <n v="304980"/>
    <n v="210120"/>
    <n v="408000"/>
    <n v="140000"/>
  </r>
  <r>
    <x v="0"/>
    <x v="3"/>
    <x v="0"/>
    <s v="Ophthalmology USU"/>
    <n v="2022"/>
    <x v="9"/>
    <n v="571175.83136914426"/>
    <n v="0.02"/>
    <n v="0.01"/>
    <n v="0.01"/>
    <n v="6.2100000000000002E-2"/>
    <n v="0.03"/>
    <n v="0.02"/>
    <n v="0.06"/>
    <n v="0.02"/>
    <n v="0.02"/>
    <n v="0.02"/>
    <n v="0.9"/>
    <n v="180000"/>
    <n v="176460"/>
    <n v="304980"/>
    <n v="210120"/>
    <n v="408000"/>
    <n v="140000"/>
  </r>
  <r>
    <x v="0"/>
    <x v="3"/>
    <x v="0"/>
    <s v="Ophthalmology USU"/>
    <n v="2023"/>
    <x v="10"/>
    <n v="640549.08970090805"/>
    <n v="0.02"/>
    <n v="0.01"/>
    <n v="0.01"/>
    <n v="6.2100000000000002E-2"/>
    <n v="0.03"/>
    <n v="0.02"/>
    <n v="0.06"/>
    <n v="0.02"/>
    <n v="0.02"/>
    <n v="0.02"/>
    <n v="0.9"/>
    <n v="180000"/>
    <n v="176460"/>
    <n v="304980"/>
    <n v="210120"/>
    <n v="408000"/>
    <n v="140000"/>
  </r>
  <r>
    <x v="0"/>
    <x v="3"/>
    <x v="0"/>
    <s v="Ophthalmology USU"/>
    <n v="2024"/>
    <x v="11"/>
    <n v="707299.9041273928"/>
    <n v="0.02"/>
    <n v="0.01"/>
    <n v="0.01"/>
    <n v="6.2100000000000002E-2"/>
    <n v="0.03"/>
    <n v="0.02"/>
    <n v="0.06"/>
    <n v="0.02"/>
    <n v="0.02"/>
    <n v="0.02"/>
    <n v="0.9"/>
    <n v="180000"/>
    <n v="176460"/>
    <n v="304980"/>
    <n v="210120"/>
    <n v="408000"/>
    <n v="140000"/>
  </r>
  <r>
    <x v="0"/>
    <x v="3"/>
    <x v="0"/>
    <s v="Ophthalmology USU"/>
    <n v="2025"/>
    <x v="12"/>
    <n v="772819.25334696507"/>
    <n v="0.02"/>
    <n v="0.01"/>
    <n v="0.01"/>
    <n v="6.2100000000000002E-2"/>
    <n v="0.03"/>
    <n v="0.02"/>
    <n v="0.06"/>
    <n v="0.02"/>
    <n v="0.02"/>
    <n v="0.02"/>
    <n v="0.9"/>
    <n v="180000"/>
    <n v="176460"/>
    <n v="304980"/>
    <n v="210120"/>
    <n v="408000"/>
    <n v="140000"/>
  </r>
  <r>
    <x v="0"/>
    <x v="3"/>
    <x v="0"/>
    <s v="Ophthalmology USU"/>
    <n v="2026"/>
    <x v="13"/>
    <n v="835861.73571599671"/>
    <n v="0.02"/>
    <n v="0.01"/>
    <n v="0.01"/>
    <n v="6.2100000000000002E-2"/>
    <n v="0.03"/>
    <n v="0.02"/>
    <n v="0.06"/>
    <n v="0.02"/>
    <n v="0.02"/>
    <n v="0.02"/>
    <n v="0.9"/>
    <n v="180000"/>
    <n v="176460"/>
    <n v="304980"/>
    <n v="210120"/>
    <n v="408000"/>
    <n v="140000"/>
  </r>
  <r>
    <x v="0"/>
    <x v="3"/>
    <x v="0"/>
    <s v="Ophthalmology USU"/>
    <n v="2027"/>
    <x v="14"/>
    <n v="898424.07784637879"/>
    <n v="0.02"/>
    <n v="0.01"/>
    <n v="0.01"/>
    <n v="6.2100000000000002E-2"/>
    <n v="0.03"/>
    <n v="0.02"/>
    <n v="0.06"/>
    <n v="0.02"/>
    <n v="0.02"/>
    <n v="0.02"/>
    <n v="0.9"/>
    <n v="180000"/>
    <n v="176460"/>
    <n v="304980"/>
    <n v="210120"/>
    <n v="408000"/>
    <n v="140000"/>
  </r>
  <r>
    <x v="0"/>
    <x v="3"/>
    <x v="0"/>
    <s v="Ophthalmology USU"/>
    <n v="2028"/>
    <x v="15"/>
    <n v="977501.32186304743"/>
    <n v="0.02"/>
    <n v="0.01"/>
    <n v="0.01"/>
    <n v="6.2100000000000002E-2"/>
    <n v="0.03"/>
    <n v="0.02"/>
    <n v="0.06"/>
    <n v="0.02"/>
    <n v="0.02"/>
    <n v="0.02"/>
    <n v="0.9"/>
    <n v="180000"/>
    <n v="176460"/>
    <n v="304980"/>
    <n v="210120"/>
    <n v="408000"/>
    <n v="140000"/>
  </r>
  <r>
    <x v="0"/>
    <x v="3"/>
    <x v="0"/>
    <s v="Ophthalmology USU"/>
    <n v="2029"/>
    <x v="16"/>
    <n v="1055985.7838459916"/>
    <n v="0.02"/>
    <n v="0.01"/>
    <n v="0.01"/>
    <n v="6.2100000000000002E-2"/>
    <n v="0.03"/>
    <n v="0.02"/>
    <n v="0.06"/>
    <n v="0.02"/>
    <n v="0.02"/>
    <n v="0.02"/>
    <n v="0.9"/>
    <n v="180000"/>
    <n v="176460"/>
    <n v="304980"/>
    <n v="210120"/>
    <n v="408000"/>
    <n v="140000"/>
  </r>
  <r>
    <x v="0"/>
    <x v="3"/>
    <x v="0"/>
    <s v="Ophthalmology USU"/>
    <n v="2030"/>
    <x v="17"/>
    <n v="1131448.8761624622"/>
    <n v="0.02"/>
    <n v="0.01"/>
    <n v="0.01"/>
    <n v="6.2100000000000002E-2"/>
    <n v="0.03"/>
    <n v="0.02"/>
    <n v="0.06"/>
    <n v="0.02"/>
    <n v="0.02"/>
    <n v="0.02"/>
    <n v="0.9"/>
    <n v="180000"/>
    <n v="176460"/>
    <n v="304980"/>
    <n v="210120"/>
    <n v="408000"/>
    <n v="140000"/>
  </r>
  <r>
    <x v="0"/>
    <x v="3"/>
    <x v="0"/>
    <s v="Ophthalmology USU"/>
    <n v="2031"/>
    <x v="18"/>
    <n v="1205174.3072175798"/>
    <n v="0.02"/>
    <n v="0.01"/>
    <n v="0.01"/>
    <n v="6.2100000000000002E-2"/>
    <n v="0.03"/>
    <n v="0.02"/>
    <n v="0.06"/>
    <n v="0.02"/>
    <n v="0.02"/>
    <n v="0.02"/>
    <n v="0.9"/>
    <n v="180000"/>
    <n v="176460"/>
    <n v="304980"/>
    <n v="210120"/>
    <n v="408000"/>
    <n v="140000"/>
  </r>
  <r>
    <x v="0"/>
    <x v="3"/>
    <x v="0"/>
    <s v="Ophthalmology USU"/>
    <n v="2032"/>
    <x v="19"/>
    <n v="1276061.611783335"/>
    <n v="0.02"/>
    <n v="0.01"/>
    <n v="0.01"/>
    <n v="6.2100000000000002E-2"/>
    <n v="0.03"/>
    <n v="0.02"/>
    <n v="0.06"/>
    <n v="0.02"/>
    <n v="0.02"/>
    <n v="0.02"/>
    <n v="0.9"/>
    <n v="180000"/>
    <n v="176460"/>
    <n v="304980"/>
    <n v="210120"/>
    <n v="408000"/>
    <n v="140000"/>
  </r>
  <r>
    <x v="0"/>
    <x v="3"/>
    <x v="0"/>
    <s v="Ophthalmology USU"/>
    <n v="2033"/>
    <x v="20"/>
    <n v="1345871.5855089282"/>
    <n v="0.02"/>
    <n v="0.01"/>
    <n v="0.01"/>
    <n v="6.2100000000000002E-2"/>
    <n v="0.03"/>
    <n v="0.02"/>
    <n v="0.06"/>
    <n v="0.02"/>
    <n v="0.02"/>
    <n v="0.02"/>
    <n v="0.9"/>
    <n v="180000"/>
    <n v="176460"/>
    <n v="304980"/>
    <n v="210120"/>
    <n v="408000"/>
    <n v="140000"/>
  </r>
  <r>
    <x v="0"/>
    <x v="3"/>
    <x v="0"/>
    <s v="Ophthalmology USU"/>
    <n v="2034"/>
    <x v="21"/>
    <n v="1412994.1146940521"/>
    <n v="0.02"/>
    <n v="0.01"/>
    <n v="0.01"/>
    <n v="6.2100000000000002E-2"/>
    <n v="0.03"/>
    <n v="0.02"/>
    <n v="0.06"/>
    <n v="0.02"/>
    <n v="0.02"/>
    <n v="0.02"/>
    <n v="0.9"/>
    <n v="180000"/>
    <n v="176460"/>
    <n v="304980"/>
    <n v="210120"/>
    <n v="408000"/>
    <n v="140000"/>
  </r>
  <r>
    <x v="0"/>
    <x v="3"/>
    <x v="0"/>
    <s v="Ophthalmology USU"/>
    <n v="2035"/>
    <x v="22"/>
    <n v="1481067.593662441"/>
    <n v="0.02"/>
    <n v="0.01"/>
    <n v="0.01"/>
    <n v="6.2100000000000002E-2"/>
    <n v="0.03"/>
    <n v="0.02"/>
    <n v="0.06"/>
    <n v="0.02"/>
    <n v="0.02"/>
    <n v="0.02"/>
    <n v="0.9"/>
    <n v="180000"/>
    <n v="176460"/>
    <n v="304980"/>
    <n v="210120"/>
    <n v="408000"/>
    <n v="140000"/>
  </r>
  <r>
    <x v="0"/>
    <x v="3"/>
    <x v="0"/>
    <s v="Ophthalmology USU"/>
    <n v="2036"/>
    <x v="23"/>
    <n v="1546514.7164774714"/>
    <n v="0.02"/>
    <n v="0.01"/>
    <n v="0.01"/>
    <n v="6.2100000000000002E-2"/>
    <n v="0.03"/>
    <n v="0.02"/>
    <n v="0.06"/>
    <n v="0.02"/>
    <n v="0.02"/>
    <n v="0.02"/>
    <n v="0.9"/>
    <n v="180000"/>
    <n v="176460"/>
    <n v="304980"/>
    <n v="210120"/>
    <n v="408000"/>
    <n v="140000"/>
  </r>
  <r>
    <x v="0"/>
    <x v="3"/>
    <x v="0"/>
    <s v="Ophthalmology USU"/>
    <n v="2037"/>
    <x v="24"/>
    <n v="1612026.008553809"/>
    <n v="0.02"/>
    <n v="0.01"/>
    <n v="0.01"/>
    <n v="6.2100000000000002E-2"/>
    <n v="0.03"/>
    <n v="0.02"/>
    <n v="0.06"/>
    <n v="0.02"/>
    <n v="0.02"/>
    <n v="0.02"/>
    <n v="0.9"/>
    <n v="180000"/>
    <n v="176460"/>
    <n v="304980"/>
    <n v="210120"/>
    <n v="408000"/>
    <n v="140000"/>
  </r>
  <r>
    <x v="0"/>
    <x v="3"/>
    <x v="0"/>
    <s v="Ophthalmology USU"/>
    <n v="2038"/>
    <x v="25"/>
    <n v="1675009.7114175963"/>
    <n v="0.02"/>
    <n v="0.01"/>
    <n v="0.01"/>
    <n v="6.2100000000000002E-2"/>
    <n v="0.03"/>
    <n v="0.02"/>
    <n v="0.06"/>
    <n v="0.02"/>
    <n v="0.02"/>
    <n v="0.02"/>
    <n v="0.9"/>
    <n v="180000"/>
    <n v="176460"/>
    <n v="304980"/>
    <n v="210120"/>
    <n v="408000"/>
    <n v="140000"/>
  </r>
  <r>
    <x v="0"/>
    <x v="3"/>
    <x v="0"/>
    <s v="Ophthalmology USU"/>
    <n v="2039"/>
    <x v="26"/>
    <n v="1736929.4846493725"/>
    <n v="0.02"/>
    <n v="0.01"/>
    <n v="0.01"/>
    <n v="6.2100000000000002E-2"/>
    <n v="0.03"/>
    <n v="0.02"/>
    <n v="0.06"/>
    <n v="0.02"/>
    <n v="0.02"/>
    <n v="0.02"/>
    <n v="0.9"/>
    <n v="180000"/>
    <n v="176460"/>
    <n v="304980"/>
    <n v="210120"/>
    <n v="408000"/>
    <n v="140000"/>
  </r>
  <r>
    <x v="0"/>
    <x v="3"/>
    <x v="0"/>
    <s v="Ophthalmology USU"/>
    <n v="2040"/>
    <x v="27"/>
    <n v="1796460.2279338895"/>
    <n v="0.02"/>
    <n v="0.01"/>
    <n v="0.01"/>
    <n v="6.2100000000000002E-2"/>
    <n v="0.03"/>
    <n v="0.02"/>
    <n v="0.06"/>
    <n v="0.02"/>
    <n v="0.02"/>
    <n v="0.02"/>
    <n v="0.9"/>
    <n v="180000"/>
    <n v="176460"/>
    <n v="304980"/>
    <n v="210120"/>
    <n v="408000"/>
    <n v="140000"/>
  </r>
  <r>
    <x v="0"/>
    <x v="3"/>
    <x v="0"/>
    <s v="Ophthalmology USU"/>
    <n v="2041"/>
    <x v="28"/>
    <n v="1853694.1526717667"/>
    <n v="0.02"/>
    <n v="0.01"/>
    <n v="0.01"/>
    <n v="6.2100000000000002E-2"/>
    <n v="0.03"/>
    <n v="0.02"/>
    <n v="0.06"/>
    <n v="0.02"/>
    <n v="0.02"/>
    <n v="0.02"/>
    <n v="0.9"/>
    <n v="180000"/>
    <n v="176460"/>
    <n v="304980"/>
    <n v="210120"/>
    <n v="408000"/>
    <n v="140000"/>
  </r>
  <r>
    <x v="0"/>
    <x v="3"/>
    <x v="0"/>
    <s v="Ophthalmology USU"/>
    <n v="2042"/>
    <x v="29"/>
    <n v="1908719.910044868"/>
    <n v="0.02"/>
    <n v="0.01"/>
    <n v="0.01"/>
    <n v="6.2100000000000002E-2"/>
    <n v="0.03"/>
    <n v="0.02"/>
    <n v="0.06"/>
    <n v="0.02"/>
    <n v="0.02"/>
    <n v="0.02"/>
    <n v="0.9"/>
    <n v="180000"/>
    <n v="176460"/>
    <n v="304980"/>
    <n v="210120"/>
    <n v="408000"/>
    <n v="140000"/>
  </r>
  <r>
    <x v="0"/>
    <x v="3"/>
    <x v="1"/>
    <s v="Ophthalmology HPSP"/>
    <n v="2013"/>
    <x v="0"/>
    <n v="41042.997114989732"/>
    <n v="0.02"/>
    <n v="0.01"/>
    <n v="0.01"/>
    <n v="6.2100000000000002E-2"/>
    <n v="0.03"/>
    <n v="0.02"/>
    <n v="0.06"/>
    <n v="0.02"/>
    <n v="0.02"/>
    <n v="0.02"/>
    <n v="0.9"/>
    <n v="180000"/>
    <n v="176460"/>
    <n v="304980"/>
    <n v="210120"/>
    <n v="408000"/>
    <n v="140000"/>
  </r>
  <r>
    <x v="0"/>
    <x v="3"/>
    <x v="1"/>
    <s v="Ophthalmology HPSP"/>
    <n v="2014"/>
    <x v="1"/>
    <n v="65715.375570480697"/>
    <n v="0.02"/>
    <n v="0.01"/>
    <n v="0.01"/>
    <n v="6.2100000000000002E-2"/>
    <n v="0.03"/>
    <n v="0.02"/>
    <n v="0.06"/>
    <n v="0.02"/>
    <n v="0.02"/>
    <n v="0.02"/>
    <n v="0.9"/>
    <n v="180000"/>
    <n v="176460"/>
    <n v="304980"/>
    <n v="210120"/>
    <n v="408000"/>
    <n v="140000"/>
  </r>
  <r>
    <x v="0"/>
    <x v="3"/>
    <x v="1"/>
    <s v="Ophthalmology HPSP"/>
    <n v="2015"/>
    <x v="2"/>
    <n v="89584.222784524245"/>
    <n v="0.02"/>
    <n v="0.01"/>
    <n v="0.01"/>
    <n v="6.2100000000000002E-2"/>
    <n v="0.03"/>
    <n v="0.02"/>
    <n v="0.06"/>
    <n v="0.02"/>
    <n v="0.02"/>
    <n v="0.02"/>
    <n v="0.9"/>
    <n v="180000"/>
    <n v="176460"/>
    <n v="304980"/>
    <n v="210120"/>
    <n v="408000"/>
    <n v="140000"/>
  </r>
  <r>
    <x v="0"/>
    <x v="3"/>
    <x v="1"/>
    <s v="Ophthalmology HPSP"/>
    <n v="2016"/>
    <x v="3"/>
    <n v="113201.76547692725"/>
    <n v="0.02"/>
    <n v="0.01"/>
    <n v="0.01"/>
    <n v="6.2100000000000002E-2"/>
    <n v="0.03"/>
    <n v="0.02"/>
    <n v="0.06"/>
    <n v="0.02"/>
    <n v="0.02"/>
    <n v="0.02"/>
    <n v="0.9"/>
    <n v="180000"/>
    <n v="176460"/>
    <n v="304980"/>
    <n v="210120"/>
    <n v="408000"/>
    <n v="140000"/>
  </r>
  <r>
    <x v="0"/>
    <x v="3"/>
    <x v="1"/>
    <s v="Ophthalmology HPSP"/>
    <n v="2017"/>
    <x v="4"/>
    <n v="172355.01813676453"/>
    <n v="0.02"/>
    <n v="0.01"/>
    <n v="0.01"/>
    <n v="6.2100000000000002E-2"/>
    <n v="0.03"/>
    <n v="0.02"/>
    <n v="0.06"/>
    <n v="0.02"/>
    <n v="0.02"/>
    <n v="0.02"/>
    <n v="0.9"/>
    <n v="180000"/>
    <n v="176460"/>
    <n v="304980"/>
    <n v="210120"/>
    <n v="408000"/>
    <n v="140000"/>
  </r>
  <r>
    <x v="0"/>
    <x v="3"/>
    <x v="1"/>
    <s v="Ophthalmology HPSP"/>
    <n v="2018"/>
    <x v="5"/>
    <n v="231206.76875199139"/>
    <n v="0.02"/>
    <n v="0.01"/>
    <n v="0.01"/>
    <n v="6.2100000000000002E-2"/>
    <n v="0.03"/>
    <n v="0.02"/>
    <n v="0.06"/>
    <n v="0.02"/>
    <n v="0.02"/>
    <n v="0.02"/>
    <n v="0.9"/>
    <n v="180000"/>
    <n v="176460"/>
    <n v="304980"/>
    <n v="210120"/>
    <n v="408000"/>
    <n v="140000"/>
  </r>
  <r>
    <x v="0"/>
    <x v="3"/>
    <x v="1"/>
    <s v="Ophthalmology HPSP"/>
    <n v="2019"/>
    <x v="6"/>
    <n v="290708.52795933932"/>
    <n v="0.02"/>
    <n v="0.01"/>
    <n v="0.01"/>
    <n v="6.2100000000000002E-2"/>
    <n v="0.03"/>
    <n v="0.02"/>
    <n v="0.06"/>
    <n v="0.02"/>
    <n v="0.02"/>
    <n v="0.02"/>
    <n v="0.9"/>
    <n v="180000"/>
    <n v="176460"/>
    <n v="304980"/>
    <n v="210120"/>
    <n v="408000"/>
    <n v="140000"/>
  </r>
  <r>
    <x v="0"/>
    <x v="3"/>
    <x v="1"/>
    <s v="Ophthalmology HPSP"/>
    <n v="2020"/>
    <x v="7"/>
    <n v="349825.65045436658"/>
    <n v="0.02"/>
    <n v="0.01"/>
    <n v="0.01"/>
    <n v="6.2100000000000002E-2"/>
    <n v="0.03"/>
    <n v="0.02"/>
    <n v="0.06"/>
    <n v="0.02"/>
    <n v="0.02"/>
    <n v="0.02"/>
    <n v="0.9"/>
    <n v="180000"/>
    <n v="176460"/>
    <n v="304980"/>
    <n v="210120"/>
    <n v="408000"/>
    <n v="140000"/>
  </r>
  <r>
    <x v="0"/>
    <x v="3"/>
    <x v="1"/>
    <s v="Ophthalmology HPSP"/>
    <n v="2021"/>
    <x v="8"/>
    <n v="415344.95097050094"/>
    <n v="0.02"/>
    <n v="0.01"/>
    <n v="0.01"/>
    <n v="6.2100000000000002E-2"/>
    <n v="0.03"/>
    <n v="0.02"/>
    <n v="0.06"/>
    <n v="0.02"/>
    <n v="0.02"/>
    <n v="0.02"/>
    <n v="0.9"/>
    <n v="180000"/>
    <n v="176460"/>
    <n v="304980"/>
    <n v="210120"/>
    <n v="408000"/>
    <n v="140000"/>
  </r>
  <r>
    <x v="0"/>
    <x v="3"/>
    <x v="1"/>
    <s v="Ophthalmology HPSP"/>
    <n v="2022"/>
    <x v="9"/>
    <n v="479426.19675762666"/>
    <n v="0.02"/>
    <n v="0.01"/>
    <n v="0.01"/>
    <n v="6.2100000000000002E-2"/>
    <n v="0.03"/>
    <n v="0.02"/>
    <n v="0.06"/>
    <n v="0.02"/>
    <n v="0.02"/>
    <n v="0.02"/>
    <n v="0.9"/>
    <n v="180000"/>
    <n v="176460"/>
    <n v="304980"/>
    <n v="210120"/>
    <n v="408000"/>
    <n v="140000"/>
  </r>
  <r>
    <x v="0"/>
    <x v="3"/>
    <x v="1"/>
    <s v="Ophthalmology HPSP"/>
    <n v="2023"/>
    <x v="10"/>
    <n v="548799.45508939051"/>
    <n v="0.02"/>
    <n v="0.01"/>
    <n v="0.01"/>
    <n v="6.2100000000000002E-2"/>
    <n v="0.03"/>
    <n v="0.02"/>
    <n v="0.06"/>
    <n v="0.02"/>
    <n v="0.02"/>
    <n v="0.02"/>
    <n v="0.9"/>
    <n v="180000"/>
    <n v="176460"/>
    <n v="304980"/>
    <n v="210120"/>
    <n v="408000"/>
    <n v="140000"/>
  </r>
  <r>
    <x v="0"/>
    <x v="3"/>
    <x v="1"/>
    <s v="Ophthalmology HPSP"/>
    <n v="2024"/>
    <x v="11"/>
    <n v="615550.26951587526"/>
    <n v="0.02"/>
    <n v="0.01"/>
    <n v="0.01"/>
    <n v="6.2100000000000002E-2"/>
    <n v="0.03"/>
    <n v="0.02"/>
    <n v="0.06"/>
    <n v="0.02"/>
    <n v="0.02"/>
    <n v="0.02"/>
    <n v="0.9"/>
    <n v="180000"/>
    <n v="176460"/>
    <n v="304980"/>
    <n v="210120"/>
    <n v="408000"/>
    <n v="140000"/>
  </r>
  <r>
    <x v="0"/>
    <x v="3"/>
    <x v="1"/>
    <s v="Ophthalmology HPSP"/>
    <n v="2025"/>
    <x v="12"/>
    <n v="702296.76911767572"/>
    <n v="0.02"/>
    <n v="0.01"/>
    <n v="0.01"/>
    <n v="6.2100000000000002E-2"/>
    <n v="0.03"/>
    <n v="0.02"/>
    <n v="0.06"/>
    <n v="0.02"/>
    <n v="0.02"/>
    <n v="0.02"/>
    <n v="0.9"/>
    <n v="180000"/>
    <n v="176460"/>
    <n v="304980"/>
    <n v="210120"/>
    <n v="408000"/>
    <n v="140000"/>
  </r>
  <r>
    <x v="0"/>
    <x v="3"/>
    <x v="1"/>
    <s v="Ophthalmology HPSP"/>
    <n v="2026"/>
    <x v="13"/>
    <n v="785704.07567828626"/>
    <n v="0.02"/>
    <n v="0.01"/>
    <n v="0.01"/>
    <n v="6.2100000000000002E-2"/>
    <n v="0.03"/>
    <n v="0.02"/>
    <n v="0.06"/>
    <n v="0.02"/>
    <n v="0.02"/>
    <n v="0.02"/>
    <n v="0.9"/>
    <n v="180000"/>
    <n v="176460"/>
    <n v="304980"/>
    <n v="210120"/>
    <n v="408000"/>
    <n v="140000"/>
  </r>
  <r>
    <x v="0"/>
    <x v="3"/>
    <x v="1"/>
    <s v="Ophthalmology HPSP"/>
    <n v="2027"/>
    <x v="14"/>
    <n v="867947.23438278178"/>
    <n v="0.02"/>
    <n v="0.01"/>
    <n v="0.01"/>
    <n v="6.2100000000000002E-2"/>
    <n v="0.03"/>
    <n v="0.02"/>
    <n v="0.06"/>
    <n v="0.02"/>
    <n v="0.02"/>
    <n v="0.02"/>
    <n v="0.9"/>
    <n v="180000"/>
    <n v="176460"/>
    <n v="304980"/>
    <n v="210120"/>
    <n v="408000"/>
    <n v="140000"/>
  </r>
  <r>
    <x v="0"/>
    <x v="3"/>
    <x v="1"/>
    <s v="Ophthalmology HPSP"/>
    <n v="2028"/>
    <x v="15"/>
    <n v="947024.47839945043"/>
    <n v="0.02"/>
    <n v="0.01"/>
    <n v="0.01"/>
    <n v="6.2100000000000002E-2"/>
    <n v="0.03"/>
    <n v="0.02"/>
    <n v="0.06"/>
    <n v="0.02"/>
    <n v="0.02"/>
    <n v="0.02"/>
    <n v="0.9"/>
    <n v="180000"/>
    <n v="176460"/>
    <n v="304980"/>
    <n v="210120"/>
    <n v="408000"/>
    <n v="140000"/>
  </r>
  <r>
    <x v="0"/>
    <x v="3"/>
    <x v="1"/>
    <s v="Ophthalmology HPSP"/>
    <n v="2029"/>
    <x v="16"/>
    <n v="1025508.9403823945"/>
    <n v="0.02"/>
    <n v="0.01"/>
    <n v="0.01"/>
    <n v="6.2100000000000002E-2"/>
    <n v="0.03"/>
    <n v="0.02"/>
    <n v="0.06"/>
    <n v="0.02"/>
    <n v="0.02"/>
    <n v="0.02"/>
    <n v="0.9"/>
    <n v="180000"/>
    <n v="176460"/>
    <n v="304980"/>
    <n v="210120"/>
    <n v="408000"/>
    <n v="140000"/>
  </r>
  <r>
    <x v="0"/>
    <x v="3"/>
    <x v="1"/>
    <s v="Ophthalmology HPSP"/>
    <n v="2030"/>
    <x v="17"/>
    <n v="1100972.032698865"/>
    <n v="0.02"/>
    <n v="0.01"/>
    <n v="0.01"/>
    <n v="6.2100000000000002E-2"/>
    <n v="0.03"/>
    <n v="0.02"/>
    <n v="0.06"/>
    <n v="0.02"/>
    <n v="0.02"/>
    <n v="0.02"/>
    <n v="0.9"/>
    <n v="180000"/>
    <n v="176460"/>
    <n v="304980"/>
    <n v="210120"/>
    <n v="408000"/>
    <n v="140000"/>
  </r>
  <r>
    <x v="0"/>
    <x v="3"/>
    <x v="1"/>
    <s v="Ophthalmology HPSP"/>
    <n v="2031"/>
    <x v="18"/>
    <n v="1174697.4637539827"/>
    <n v="0.02"/>
    <n v="0.01"/>
    <n v="0.01"/>
    <n v="6.2100000000000002E-2"/>
    <n v="0.03"/>
    <n v="0.02"/>
    <n v="0.06"/>
    <n v="0.02"/>
    <n v="0.02"/>
    <n v="0.02"/>
    <n v="0.9"/>
    <n v="180000"/>
    <n v="176460"/>
    <n v="304980"/>
    <n v="210120"/>
    <n v="408000"/>
    <n v="140000"/>
  </r>
  <r>
    <x v="0"/>
    <x v="3"/>
    <x v="1"/>
    <s v="Ophthalmology HPSP"/>
    <n v="2032"/>
    <x v="19"/>
    <n v="1245584.7683197379"/>
    <n v="0.02"/>
    <n v="0.01"/>
    <n v="0.01"/>
    <n v="6.2100000000000002E-2"/>
    <n v="0.03"/>
    <n v="0.02"/>
    <n v="0.06"/>
    <n v="0.02"/>
    <n v="0.02"/>
    <n v="0.02"/>
    <n v="0.9"/>
    <n v="180000"/>
    <n v="176460"/>
    <n v="304980"/>
    <n v="210120"/>
    <n v="408000"/>
    <n v="140000"/>
  </r>
  <r>
    <x v="0"/>
    <x v="3"/>
    <x v="1"/>
    <s v="Ophthalmology HPSP"/>
    <n v="2033"/>
    <x v="20"/>
    <n v="1315394.742045331"/>
    <n v="0.02"/>
    <n v="0.01"/>
    <n v="0.01"/>
    <n v="6.2100000000000002E-2"/>
    <n v="0.03"/>
    <n v="0.02"/>
    <n v="0.06"/>
    <n v="0.02"/>
    <n v="0.02"/>
    <n v="0.02"/>
    <n v="0.9"/>
    <n v="180000"/>
    <n v="176460"/>
    <n v="304980"/>
    <n v="210120"/>
    <n v="408000"/>
    <n v="140000"/>
  </r>
  <r>
    <x v="0"/>
    <x v="3"/>
    <x v="1"/>
    <s v="Ophthalmology HPSP"/>
    <n v="2034"/>
    <x v="21"/>
    <n v="1382517.271230455"/>
    <n v="0.02"/>
    <n v="0.01"/>
    <n v="0.01"/>
    <n v="6.2100000000000002E-2"/>
    <n v="0.03"/>
    <n v="0.02"/>
    <n v="0.06"/>
    <n v="0.02"/>
    <n v="0.02"/>
    <n v="0.02"/>
    <n v="0.9"/>
    <n v="180000"/>
    <n v="176460"/>
    <n v="304980"/>
    <n v="210120"/>
    <n v="408000"/>
    <n v="140000"/>
  </r>
  <r>
    <x v="0"/>
    <x v="3"/>
    <x v="1"/>
    <s v="Ophthalmology HPSP"/>
    <n v="2035"/>
    <x v="22"/>
    <n v="1450590.7501988439"/>
    <n v="0.02"/>
    <n v="0.01"/>
    <n v="0.01"/>
    <n v="6.2100000000000002E-2"/>
    <n v="0.03"/>
    <n v="0.02"/>
    <n v="0.06"/>
    <n v="0.02"/>
    <n v="0.02"/>
    <n v="0.02"/>
    <n v="0.9"/>
    <n v="180000"/>
    <n v="176460"/>
    <n v="304980"/>
    <n v="210120"/>
    <n v="408000"/>
    <n v="140000"/>
  </r>
  <r>
    <x v="0"/>
    <x v="3"/>
    <x v="1"/>
    <s v="Ophthalmology HPSP"/>
    <n v="2036"/>
    <x v="23"/>
    <n v="1516037.8730138743"/>
    <n v="0.02"/>
    <n v="0.01"/>
    <n v="0.01"/>
    <n v="6.2100000000000002E-2"/>
    <n v="0.03"/>
    <n v="0.02"/>
    <n v="0.06"/>
    <n v="0.02"/>
    <n v="0.02"/>
    <n v="0.02"/>
    <n v="0.9"/>
    <n v="180000"/>
    <n v="176460"/>
    <n v="304980"/>
    <n v="210120"/>
    <n v="408000"/>
    <n v="140000"/>
  </r>
  <r>
    <x v="0"/>
    <x v="3"/>
    <x v="1"/>
    <s v="Ophthalmology HPSP"/>
    <n v="2037"/>
    <x v="24"/>
    <n v="1580282.3149652933"/>
    <n v="0.02"/>
    <n v="0.01"/>
    <n v="0.01"/>
    <n v="6.2100000000000002E-2"/>
    <n v="0.03"/>
    <n v="0.02"/>
    <n v="0.06"/>
    <n v="0.02"/>
    <n v="0.02"/>
    <n v="0.02"/>
    <n v="0.9"/>
    <n v="180000"/>
    <n v="176460"/>
    <n v="304980"/>
    <n v="210120"/>
    <n v="408000"/>
    <n v="140000"/>
  </r>
  <r>
    <x v="0"/>
    <x v="3"/>
    <x v="1"/>
    <s v="Ophthalmology HPSP"/>
    <n v="2038"/>
    <x v="25"/>
    <n v="1642290.7766854183"/>
    <n v="0.02"/>
    <n v="0.01"/>
    <n v="0.01"/>
    <n v="6.2100000000000002E-2"/>
    <n v="0.03"/>
    <n v="0.02"/>
    <n v="0.06"/>
    <n v="0.02"/>
    <n v="0.02"/>
    <n v="0.02"/>
    <n v="0.9"/>
    <n v="180000"/>
    <n v="176460"/>
    <n v="304980"/>
    <n v="210120"/>
    <n v="408000"/>
    <n v="140000"/>
  </r>
  <r>
    <x v="0"/>
    <x v="3"/>
    <x v="1"/>
    <s v="Ophthalmology HPSP"/>
    <n v="2039"/>
    <x v="26"/>
    <n v="1702140.1710427799"/>
    <n v="0.02"/>
    <n v="0.01"/>
    <n v="0.01"/>
    <n v="6.2100000000000002E-2"/>
    <n v="0.03"/>
    <n v="0.02"/>
    <n v="0.06"/>
    <n v="0.02"/>
    <n v="0.02"/>
    <n v="0.02"/>
    <n v="0.9"/>
    <n v="180000"/>
    <n v="176460"/>
    <n v="304980"/>
    <n v="210120"/>
    <n v="408000"/>
    <n v="140000"/>
  </r>
  <r>
    <x v="0"/>
    <x v="3"/>
    <x v="1"/>
    <s v="Ophthalmology HPSP"/>
    <n v="2040"/>
    <x v="27"/>
    <n v="1760019.0753387962"/>
    <n v="0.02"/>
    <n v="0.01"/>
    <n v="0.01"/>
    <n v="6.2100000000000002E-2"/>
    <n v="0.03"/>
    <n v="0.02"/>
    <n v="0.06"/>
    <n v="0.02"/>
    <n v="0.02"/>
    <n v="0.02"/>
    <n v="0.9"/>
    <n v="180000"/>
    <n v="176460"/>
    <n v="304980"/>
    <n v="210120"/>
    <n v="408000"/>
    <n v="140000"/>
  </r>
  <r>
    <x v="0"/>
    <x v="3"/>
    <x v="1"/>
    <s v="Ophthalmology HPSP"/>
    <n v="2041"/>
    <x v="28"/>
    <n v="1815990.4442863264"/>
    <n v="0.02"/>
    <n v="0.01"/>
    <n v="0.01"/>
    <n v="6.2100000000000002E-2"/>
    <n v="0.03"/>
    <n v="0.02"/>
    <n v="0.06"/>
    <n v="0.02"/>
    <n v="0.02"/>
    <n v="0.02"/>
    <n v="0.9"/>
    <n v="180000"/>
    <n v="176460"/>
    <n v="304980"/>
    <n v="210120"/>
    <n v="408000"/>
    <n v="140000"/>
  </r>
  <r>
    <x v="0"/>
    <x v="3"/>
    <x v="1"/>
    <s v="Ophthalmology HPSP"/>
    <n v="2042"/>
    <x v="29"/>
    <n v="1870409.3192359314"/>
    <n v="0.02"/>
    <n v="0.01"/>
    <n v="0.01"/>
    <n v="6.2100000000000002E-2"/>
    <n v="0.03"/>
    <n v="0.02"/>
    <n v="0.06"/>
    <n v="0.02"/>
    <n v="0.02"/>
    <n v="0.02"/>
    <n v="0.9"/>
    <n v="180000"/>
    <n v="176460"/>
    <n v="304980"/>
    <n v="210120"/>
    <n v="408000"/>
    <n v="140000"/>
  </r>
  <r>
    <x v="0"/>
    <x v="3"/>
    <x v="2"/>
    <s v="Ophthalmology STD10"/>
    <n v="2013"/>
    <x v="0"/>
    <n v="-43015.05"/>
    <n v="0.02"/>
    <n v="0.01"/>
    <n v="0.01"/>
    <n v="6.2100000000000002E-2"/>
    <n v="0.03"/>
    <n v="0.02"/>
    <n v="0.06"/>
    <n v="0.02"/>
    <n v="0.02"/>
    <n v="0.02"/>
    <n v="0.9"/>
    <n v="180000"/>
    <n v="176460"/>
    <n v="304980"/>
    <n v="210120"/>
    <n v="408000"/>
    <n v="140000"/>
  </r>
  <r>
    <x v="0"/>
    <x v="3"/>
    <x v="2"/>
    <s v="Ophthalmology STD10"/>
    <n v="2014"/>
    <x v="1"/>
    <n v="-86352.285865219877"/>
    <n v="0.02"/>
    <n v="0.01"/>
    <n v="0.01"/>
    <n v="6.2100000000000002E-2"/>
    <n v="0.03"/>
    <n v="0.02"/>
    <n v="0.06"/>
    <n v="0.02"/>
    <n v="0.02"/>
    <n v="0.02"/>
    <n v="0.9"/>
    <n v="180000"/>
    <n v="176460"/>
    <n v="304980"/>
    <n v="210120"/>
    <n v="408000"/>
    <n v="140000"/>
  </r>
  <r>
    <x v="0"/>
    <x v="3"/>
    <x v="2"/>
    <s v="Ophthalmology STD10"/>
    <n v="2015"/>
    <x v="2"/>
    <n v="-138541.19578403595"/>
    <n v="0.02"/>
    <n v="0.01"/>
    <n v="0.01"/>
    <n v="6.2100000000000002E-2"/>
    <n v="0.03"/>
    <n v="0.02"/>
    <n v="0.06"/>
    <n v="0.02"/>
    <n v="0.02"/>
    <n v="0.02"/>
    <n v="0.9"/>
    <n v="180000"/>
    <n v="176460"/>
    <n v="304980"/>
    <n v="210120"/>
    <n v="408000"/>
    <n v="140000"/>
  </r>
  <r>
    <x v="0"/>
    <x v="3"/>
    <x v="2"/>
    <s v="Ophthalmology STD10"/>
    <n v="2016"/>
    <x v="3"/>
    <n v="-190867.38028908212"/>
    <n v="0.02"/>
    <n v="0.01"/>
    <n v="0.01"/>
    <n v="6.2100000000000002E-2"/>
    <n v="0.03"/>
    <n v="0.02"/>
    <n v="0.06"/>
    <n v="0.02"/>
    <n v="0.02"/>
    <n v="0.02"/>
    <n v="0.9"/>
    <n v="180000"/>
    <n v="176460"/>
    <n v="304980"/>
    <n v="210120"/>
    <n v="408000"/>
    <n v="140000"/>
  </r>
  <r>
    <x v="0"/>
    <x v="3"/>
    <x v="2"/>
    <s v="Ophthalmology STD10"/>
    <n v="2017"/>
    <x v="4"/>
    <n v="-157278.5148229824"/>
    <n v="0.02"/>
    <n v="0.01"/>
    <n v="0.01"/>
    <n v="6.2100000000000002E-2"/>
    <n v="0.03"/>
    <n v="0.02"/>
    <n v="0.06"/>
    <n v="0.02"/>
    <n v="0.02"/>
    <n v="0.02"/>
    <n v="0.9"/>
    <n v="180000"/>
    <n v="176460"/>
    <n v="304980"/>
    <n v="210120"/>
    <n v="408000"/>
    <n v="140000"/>
  </r>
  <r>
    <x v="0"/>
    <x v="3"/>
    <x v="2"/>
    <s v="Ophthalmology STD10"/>
    <n v="2018"/>
    <x v="5"/>
    <n v="-123668.32270644748"/>
    <n v="0.02"/>
    <n v="0.01"/>
    <n v="0.01"/>
    <n v="6.2100000000000002E-2"/>
    <n v="0.03"/>
    <n v="0.02"/>
    <n v="0.06"/>
    <n v="0.02"/>
    <n v="0.02"/>
    <n v="0.02"/>
    <n v="0.9"/>
    <n v="180000"/>
    <n v="176460"/>
    <n v="304980"/>
    <n v="210120"/>
    <n v="408000"/>
    <n v="140000"/>
  </r>
  <r>
    <x v="0"/>
    <x v="3"/>
    <x v="2"/>
    <s v="Ophthalmology STD10"/>
    <n v="2019"/>
    <x v="6"/>
    <n v="-90028.481028923678"/>
    <n v="0.02"/>
    <n v="0.01"/>
    <n v="0.01"/>
    <n v="6.2100000000000002E-2"/>
    <n v="0.03"/>
    <n v="0.02"/>
    <n v="0.06"/>
    <n v="0.02"/>
    <n v="0.02"/>
    <n v="0.02"/>
    <n v="0.9"/>
    <n v="180000"/>
    <n v="176460"/>
    <n v="304980"/>
    <n v="210120"/>
    <n v="408000"/>
    <n v="140000"/>
  </r>
  <r>
    <x v="0"/>
    <x v="3"/>
    <x v="2"/>
    <s v="Ophthalmology STD10"/>
    <n v="2020"/>
    <x v="7"/>
    <n v="-56350.829269688562"/>
    <n v="0.02"/>
    <n v="0.01"/>
    <n v="0.01"/>
    <n v="6.2100000000000002E-2"/>
    <n v="0.03"/>
    <n v="0.02"/>
    <n v="0.06"/>
    <n v="0.02"/>
    <n v="0.02"/>
    <n v="0.02"/>
    <n v="0.9"/>
    <n v="180000"/>
    <n v="176460"/>
    <n v="304980"/>
    <n v="210120"/>
    <n v="408000"/>
    <n v="140000"/>
  </r>
  <r>
    <x v="0"/>
    <x v="3"/>
    <x v="2"/>
    <s v="Ophthalmology STD10"/>
    <n v="2021"/>
    <x v="8"/>
    <n v="26876.035603202909"/>
    <n v="0.02"/>
    <n v="0.01"/>
    <n v="0.01"/>
    <n v="6.2100000000000002E-2"/>
    <n v="0.03"/>
    <n v="0.02"/>
    <n v="0.06"/>
    <n v="0.02"/>
    <n v="0.02"/>
    <n v="0.02"/>
    <n v="0.9"/>
    <n v="180000"/>
    <n v="176460"/>
    <n v="304980"/>
    <n v="210120"/>
    <n v="408000"/>
    <n v="140000"/>
  </r>
  <r>
    <x v="0"/>
    <x v="3"/>
    <x v="2"/>
    <s v="Ophthalmology STD10"/>
    <n v="2022"/>
    <x v="9"/>
    <n v="103491.49829725681"/>
    <n v="0.02"/>
    <n v="0.01"/>
    <n v="0.01"/>
    <n v="6.2100000000000002E-2"/>
    <n v="0.03"/>
    <n v="0.02"/>
    <n v="0.06"/>
    <n v="0.02"/>
    <n v="0.02"/>
    <n v="0.02"/>
    <n v="0.9"/>
    <n v="180000"/>
    <n v="176460"/>
    <n v="304980"/>
    <n v="210120"/>
    <n v="408000"/>
    <n v="140000"/>
  </r>
  <r>
    <x v="0"/>
    <x v="3"/>
    <x v="2"/>
    <s v="Ophthalmology STD10"/>
    <n v="2023"/>
    <x v="10"/>
    <n v="179181.92917670266"/>
    <n v="0.02"/>
    <n v="0.01"/>
    <n v="0.01"/>
    <n v="6.2100000000000002E-2"/>
    <n v="0.03"/>
    <n v="0.02"/>
    <n v="0.06"/>
    <n v="0.02"/>
    <n v="0.02"/>
    <n v="0.02"/>
    <n v="0.9"/>
    <n v="180000"/>
    <n v="176460"/>
    <n v="304980"/>
    <n v="210120"/>
    <n v="408000"/>
    <n v="140000"/>
  </r>
  <r>
    <x v="0"/>
    <x v="3"/>
    <x v="2"/>
    <s v="Ophthalmology STD10"/>
    <n v="2024"/>
    <x v="11"/>
    <n v="253936.2835310339"/>
    <n v="0.02"/>
    <n v="0.01"/>
    <n v="0.01"/>
    <n v="6.2100000000000002E-2"/>
    <n v="0.03"/>
    <n v="0.02"/>
    <n v="0.06"/>
    <n v="0.02"/>
    <n v="0.02"/>
    <n v="0.02"/>
    <n v="0.9"/>
    <n v="180000"/>
    <n v="176460"/>
    <n v="304980"/>
    <n v="210120"/>
    <n v="408000"/>
    <n v="140000"/>
  </r>
  <r>
    <x v="0"/>
    <x v="3"/>
    <x v="2"/>
    <s v="Ophthalmology STD10"/>
    <n v="2025"/>
    <x v="12"/>
    <n v="327745.17896686774"/>
    <n v="0.02"/>
    <n v="0.01"/>
    <n v="0.01"/>
    <n v="6.2100000000000002E-2"/>
    <n v="0.03"/>
    <n v="0.02"/>
    <n v="0.06"/>
    <n v="0.02"/>
    <n v="0.02"/>
    <n v="0.02"/>
    <n v="0.9"/>
    <n v="180000"/>
    <n v="176460"/>
    <n v="304980"/>
    <n v="210120"/>
    <n v="408000"/>
    <n v="140000"/>
  </r>
  <r>
    <x v="0"/>
    <x v="3"/>
    <x v="2"/>
    <s v="Ophthalmology STD10"/>
    <n v="2026"/>
    <x v="13"/>
    <n v="400600.79200982198"/>
    <n v="0.02"/>
    <n v="0.01"/>
    <n v="0.01"/>
    <n v="6.2100000000000002E-2"/>
    <n v="0.03"/>
    <n v="0.02"/>
    <n v="0.06"/>
    <n v="0.02"/>
    <n v="0.02"/>
    <n v="0.02"/>
    <n v="0.9"/>
    <n v="180000"/>
    <n v="176460"/>
    <n v="304980"/>
    <n v="210120"/>
    <n v="408000"/>
    <n v="140000"/>
  </r>
  <r>
    <x v="0"/>
    <x v="3"/>
    <x v="2"/>
    <s v="Ophthalmology STD10"/>
    <n v="2027"/>
    <x v="14"/>
    <n v="472496.76017805224"/>
    <n v="0.02"/>
    <n v="0.01"/>
    <n v="0.01"/>
    <n v="6.2100000000000002E-2"/>
    <n v="0.03"/>
    <n v="0.02"/>
    <n v="0.06"/>
    <n v="0.02"/>
    <n v="0.02"/>
    <n v="0.02"/>
    <n v="0.9"/>
    <n v="180000"/>
    <n v="176460"/>
    <n v="304980"/>
    <n v="210120"/>
    <n v="408000"/>
    <n v="140000"/>
  </r>
  <r>
    <x v="0"/>
    <x v="3"/>
    <x v="2"/>
    <s v="Ophthalmology STD10"/>
    <n v="2028"/>
    <x v="15"/>
    <n v="543428.08925328299"/>
    <n v="0.02"/>
    <n v="0.01"/>
    <n v="0.01"/>
    <n v="6.2100000000000002E-2"/>
    <n v="0.03"/>
    <n v="0.02"/>
    <n v="0.06"/>
    <n v="0.02"/>
    <n v="0.02"/>
    <n v="0.02"/>
    <n v="0.9"/>
    <n v="180000"/>
    <n v="176460"/>
    <n v="304980"/>
    <n v="210120"/>
    <n v="408000"/>
    <n v="140000"/>
  </r>
  <r>
    <x v="0"/>
    <x v="3"/>
    <x v="2"/>
    <s v="Ophthalmology STD10"/>
    <n v="2029"/>
    <x v="16"/>
    <n v="613391.06548860797"/>
    <n v="0.02"/>
    <n v="0.01"/>
    <n v="0.01"/>
    <n v="6.2100000000000002E-2"/>
    <n v="0.03"/>
    <n v="0.02"/>
    <n v="0.06"/>
    <n v="0.02"/>
    <n v="0.02"/>
    <n v="0.02"/>
    <n v="0.9"/>
    <n v="180000"/>
    <n v="176460"/>
    <n v="304980"/>
    <n v="210120"/>
    <n v="408000"/>
    <n v="140000"/>
  </r>
  <r>
    <x v="0"/>
    <x v="3"/>
    <x v="2"/>
    <s v="Ophthalmology STD10"/>
    <n v="2030"/>
    <x v="17"/>
    <n v="682383.17250512436"/>
    <n v="0.02"/>
    <n v="0.01"/>
    <n v="0.01"/>
    <n v="6.2100000000000002E-2"/>
    <n v="0.03"/>
    <n v="0.02"/>
    <n v="0.06"/>
    <n v="0.02"/>
    <n v="0.02"/>
    <n v="0.02"/>
    <n v="0.9"/>
    <n v="180000"/>
    <n v="176460"/>
    <n v="304980"/>
    <n v="210120"/>
    <n v="408000"/>
    <n v="140000"/>
  </r>
  <r>
    <x v="0"/>
    <x v="3"/>
    <x v="2"/>
    <s v="Ophthalmology STD10"/>
    <n v="2031"/>
    <x v="18"/>
    <n v="764996.42135545844"/>
    <n v="0.02"/>
    <n v="0.01"/>
    <n v="0.01"/>
    <n v="6.2100000000000002E-2"/>
    <n v="0.03"/>
    <n v="0.02"/>
    <n v="0.06"/>
    <n v="0.02"/>
    <n v="0.02"/>
    <n v="0.02"/>
    <n v="0.9"/>
    <n v="180000"/>
    <n v="176460"/>
    <n v="304980"/>
    <n v="210120"/>
    <n v="408000"/>
    <n v="140000"/>
  </r>
  <r>
    <x v="0"/>
    <x v="3"/>
    <x v="2"/>
    <s v="Ophthalmology STD10"/>
    <n v="2032"/>
    <x v="19"/>
    <n v="845934.18828095275"/>
    <n v="0.02"/>
    <n v="0.01"/>
    <n v="0.01"/>
    <n v="6.2100000000000002E-2"/>
    <n v="0.03"/>
    <n v="0.02"/>
    <n v="0.06"/>
    <n v="0.02"/>
    <n v="0.02"/>
    <n v="0.02"/>
    <n v="0.9"/>
    <n v="180000"/>
    <n v="176460"/>
    <n v="304980"/>
    <n v="210120"/>
    <n v="408000"/>
    <n v="140000"/>
  </r>
  <r>
    <x v="0"/>
    <x v="3"/>
    <x v="2"/>
    <s v="Ophthalmology STD10"/>
    <n v="2033"/>
    <x v="20"/>
    <n v="925230.94570235885"/>
    <n v="0.02"/>
    <n v="0.01"/>
    <n v="0.01"/>
    <n v="6.2100000000000002E-2"/>
    <n v="0.03"/>
    <n v="0.02"/>
    <n v="0.06"/>
    <n v="0.02"/>
    <n v="0.02"/>
    <n v="0.02"/>
    <n v="0.9"/>
    <n v="180000"/>
    <n v="176460"/>
    <n v="304980"/>
    <n v="210120"/>
    <n v="408000"/>
    <n v="140000"/>
  </r>
  <r>
    <x v="0"/>
    <x v="3"/>
    <x v="2"/>
    <s v="Ophthalmology STD10"/>
    <n v="2034"/>
    <x v="21"/>
    <n v="1002920.4429309787"/>
    <n v="0.02"/>
    <n v="0.01"/>
    <n v="0.01"/>
    <n v="6.2100000000000002E-2"/>
    <n v="0.03"/>
    <n v="0.02"/>
    <n v="0.06"/>
    <n v="0.02"/>
    <n v="0.02"/>
    <n v="0.02"/>
    <n v="0.9"/>
    <n v="180000"/>
    <n v="176460"/>
    <n v="304980"/>
    <n v="210120"/>
    <n v="408000"/>
    <n v="140000"/>
  </r>
  <r>
    <x v="0"/>
    <x v="3"/>
    <x v="2"/>
    <s v="Ophthalmology STD10"/>
    <n v="2035"/>
    <x v="22"/>
    <n v="1079023.4196661317"/>
    <n v="0.02"/>
    <n v="0.01"/>
    <n v="0.01"/>
    <n v="6.2100000000000002E-2"/>
    <n v="0.03"/>
    <n v="0.02"/>
    <n v="0.06"/>
    <n v="0.02"/>
    <n v="0.02"/>
    <n v="0.02"/>
    <n v="0.9"/>
    <n v="180000"/>
    <n v="176460"/>
    <n v="304980"/>
    <n v="210120"/>
    <n v="408000"/>
    <n v="140000"/>
  </r>
  <r>
    <x v="0"/>
    <x v="3"/>
    <x v="2"/>
    <s v="Ophthalmology STD10"/>
    <n v="2036"/>
    <x v="23"/>
    <n v="1153530.6919895392"/>
    <n v="0.02"/>
    <n v="0.01"/>
    <n v="0.01"/>
    <n v="6.2100000000000002E-2"/>
    <n v="0.03"/>
    <n v="0.02"/>
    <n v="0.06"/>
    <n v="0.02"/>
    <n v="0.02"/>
    <n v="0.02"/>
    <n v="0.9"/>
    <n v="180000"/>
    <n v="176460"/>
    <n v="304980"/>
    <n v="210120"/>
    <n v="408000"/>
    <n v="140000"/>
  </r>
  <r>
    <x v="0"/>
    <x v="3"/>
    <x v="2"/>
    <s v="Ophthalmology STD10"/>
    <n v="2037"/>
    <x v="24"/>
    <n v="1226476.5624710091"/>
    <n v="0.02"/>
    <n v="0.01"/>
    <n v="0.01"/>
    <n v="6.2100000000000002E-2"/>
    <n v="0.03"/>
    <n v="0.02"/>
    <n v="0.06"/>
    <n v="0.02"/>
    <n v="0.02"/>
    <n v="0.02"/>
    <n v="0.9"/>
    <n v="180000"/>
    <n v="176460"/>
    <n v="304980"/>
    <n v="210120"/>
    <n v="408000"/>
    <n v="140000"/>
  </r>
  <r>
    <x v="0"/>
    <x v="3"/>
    <x v="2"/>
    <s v="Ophthalmology STD10"/>
    <n v="2038"/>
    <x v="25"/>
    <n v="1297894.5732873101"/>
    <n v="0.02"/>
    <n v="0.01"/>
    <n v="0.01"/>
    <n v="6.2100000000000002E-2"/>
    <n v="0.03"/>
    <n v="0.02"/>
    <n v="0.06"/>
    <n v="0.02"/>
    <n v="0.02"/>
    <n v="0.02"/>
    <n v="0.9"/>
    <n v="180000"/>
    <n v="176460"/>
    <n v="304980"/>
    <n v="210120"/>
    <n v="408000"/>
    <n v="140000"/>
  </r>
  <r>
    <x v="0"/>
    <x v="3"/>
    <x v="2"/>
    <s v="Ophthalmology STD10"/>
    <n v="2039"/>
    <x v="26"/>
    <n v="1367817.523688935"/>
    <n v="0.02"/>
    <n v="0.01"/>
    <n v="0.01"/>
    <n v="6.2100000000000002E-2"/>
    <n v="0.03"/>
    <n v="0.02"/>
    <n v="0.06"/>
    <n v="0.02"/>
    <n v="0.02"/>
    <n v="0.02"/>
    <n v="0.9"/>
    <n v="180000"/>
    <n v="176460"/>
    <n v="304980"/>
    <n v="210120"/>
    <n v="408000"/>
    <n v="140000"/>
  </r>
  <r>
    <x v="0"/>
    <x v="3"/>
    <x v="2"/>
    <s v="Ophthalmology STD10"/>
    <n v="2040"/>
    <x v="27"/>
    <n v="1436277.4870499002"/>
    <n v="0.02"/>
    <n v="0.01"/>
    <n v="0.01"/>
    <n v="6.2100000000000002E-2"/>
    <n v="0.03"/>
    <n v="0.02"/>
    <n v="0.06"/>
    <n v="0.02"/>
    <n v="0.02"/>
    <n v="0.02"/>
    <n v="0.9"/>
    <n v="180000"/>
    <n v="176460"/>
    <n v="304980"/>
    <n v="210120"/>
    <n v="408000"/>
    <n v="140000"/>
  </r>
  <r>
    <x v="0"/>
    <x v="3"/>
    <x v="2"/>
    <s v="Ophthalmology STD10"/>
    <n v="2041"/>
    <x v="28"/>
    <n v="1503305.8275109262"/>
    <n v="0.02"/>
    <n v="0.01"/>
    <n v="0.01"/>
    <n v="6.2100000000000002E-2"/>
    <n v="0.03"/>
    <n v="0.02"/>
    <n v="0.06"/>
    <n v="0.02"/>
    <n v="0.02"/>
    <n v="0.02"/>
    <n v="0.9"/>
    <n v="180000"/>
    <n v="176460"/>
    <n v="304980"/>
    <n v="210120"/>
    <n v="408000"/>
    <n v="140000"/>
  </r>
  <r>
    <x v="0"/>
    <x v="3"/>
    <x v="2"/>
    <s v="Ophthalmology STD10"/>
    <n v="2042"/>
    <x v="29"/>
    <n v="1568933.2162260774"/>
    <n v="0.02"/>
    <n v="0.01"/>
    <n v="0.01"/>
    <n v="6.2100000000000002E-2"/>
    <n v="0.03"/>
    <n v="0.02"/>
    <n v="0.06"/>
    <n v="0.02"/>
    <n v="0.02"/>
    <n v="0.02"/>
    <n v="0.9"/>
    <n v="180000"/>
    <n v="176460"/>
    <n v="304980"/>
    <n v="210120"/>
    <n v="408000"/>
    <n v="140000"/>
  </r>
  <r>
    <x v="0"/>
    <x v="3"/>
    <x v="3"/>
    <s v="Ophthalmology EXT"/>
    <n v="2013"/>
    <x v="0"/>
    <n v="-43015.05"/>
    <n v="0.02"/>
    <n v="0.01"/>
    <n v="0.01"/>
    <n v="6.2100000000000002E-2"/>
    <n v="0.03"/>
    <n v="0.02"/>
    <n v="0.06"/>
    <n v="0.02"/>
    <n v="0.02"/>
    <n v="0.02"/>
    <n v="0.9"/>
    <n v="180000"/>
    <n v="176460"/>
    <n v="304980"/>
    <n v="210120"/>
    <n v="408000"/>
    <n v="140000"/>
  </r>
  <r>
    <x v="0"/>
    <x v="3"/>
    <x v="3"/>
    <s v="Ophthalmology EXT"/>
    <n v="2014"/>
    <x v="1"/>
    <n v="-86352.285865219877"/>
    <n v="0.02"/>
    <n v="0.01"/>
    <n v="0.01"/>
    <n v="6.2100000000000002E-2"/>
    <n v="0.03"/>
    <n v="0.02"/>
    <n v="0.06"/>
    <n v="0.02"/>
    <n v="0.02"/>
    <n v="0.02"/>
    <n v="0.9"/>
    <n v="180000"/>
    <n v="176460"/>
    <n v="304980"/>
    <n v="210120"/>
    <n v="408000"/>
    <n v="140000"/>
  </r>
  <r>
    <x v="0"/>
    <x v="3"/>
    <x v="3"/>
    <s v="Ophthalmology EXT"/>
    <n v="2015"/>
    <x v="2"/>
    <n v="-138541.19578403595"/>
    <n v="0.02"/>
    <n v="0.01"/>
    <n v="0.01"/>
    <n v="6.2100000000000002E-2"/>
    <n v="0.03"/>
    <n v="0.02"/>
    <n v="0.06"/>
    <n v="0.02"/>
    <n v="0.02"/>
    <n v="0.02"/>
    <n v="0.9"/>
    <n v="180000"/>
    <n v="176460"/>
    <n v="304980"/>
    <n v="210120"/>
    <n v="408000"/>
    <n v="140000"/>
  </r>
  <r>
    <x v="0"/>
    <x v="3"/>
    <x v="3"/>
    <s v="Ophthalmology EXT"/>
    <n v="2016"/>
    <x v="3"/>
    <n v="-190867.38028908212"/>
    <n v="0.02"/>
    <n v="0.01"/>
    <n v="0.01"/>
    <n v="6.2100000000000002E-2"/>
    <n v="0.03"/>
    <n v="0.02"/>
    <n v="0.06"/>
    <n v="0.02"/>
    <n v="0.02"/>
    <n v="0.02"/>
    <n v="0.9"/>
    <n v="180000"/>
    <n v="176460"/>
    <n v="304980"/>
    <n v="210120"/>
    <n v="408000"/>
    <n v="140000"/>
  </r>
  <r>
    <x v="0"/>
    <x v="3"/>
    <x v="3"/>
    <s v="Ophthalmology EXT"/>
    <n v="2017"/>
    <x v="4"/>
    <n v="-157278.5148229824"/>
    <n v="0.02"/>
    <n v="0.01"/>
    <n v="0.01"/>
    <n v="6.2100000000000002E-2"/>
    <n v="0.03"/>
    <n v="0.02"/>
    <n v="0.06"/>
    <n v="0.02"/>
    <n v="0.02"/>
    <n v="0.02"/>
    <n v="0.9"/>
    <n v="180000"/>
    <n v="176460"/>
    <n v="304980"/>
    <n v="210120"/>
    <n v="408000"/>
    <n v="140000"/>
  </r>
  <r>
    <x v="0"/>
    <x v="3"/>
    <x v="3"/>
    <s v="Ophthalmology EXT"/>
    <n v="2018"/>
    <x v="5"/>
    <n v="-123668.32270644748"/>
    <n v="0.02"/>
    <n v="0.01"/>
    <n v="0.01"/>
    <n v="6.2100000000000002E-2"/>
    <n v="0.03"/>
    <n v="0.02"/>
    <n v="0.06"/>
    <n v="0.02"/>
    <n v="0.02"/>
    <n v="0.02"/>
    <n v="0.9"/>
    <n v="180000"/>
    <n v="176460"/>
    <n v="304980"/>
    <n v="210120"/>
    <n v="408000"/>
    <n v="140000"/>
  </r>
  <r>
    <x v="0"/>
    <x v="3"/>
    <x v="3"/>
    <s v="Ophthalmology EXT"/>
    <n v="2019"/>
    <x v="6"/>
    <n v="-90028.481028923678"/>
    <n v="0.02"/>
    <n v="0.01"/>
    <n v="0.01"/>
    <n v="6.2100000000000002E-2"/>
    <n v="0.03"/>
    <n v="0.02"/>
    <n v="0.06"/>
    <n v="0.02"/>
    <n v="0.02"/>
    <n v="0.02"/>
    <n v="0.9"/>
    <n v="180000"/>
    <n v="176460"/>
    <n v="304980"/>
    <n v="210120"/>
    <n v="408000"/>
    <n v="140000"/>
  </r>
  <r>
    <x v="0"/>
    <x v="3"/>
    <x v="3"/>
    <s v="Ophthalmology EXT"/>
    <n v="2020"/>
    <x v="7"/>
    <n v="-56350.829269688562"/>
    <n v="0.02"/>
    <n v="0.01"/>
    <n v="0.01"/>
    <n v="6.2100000000000002E-2"/>
    <n v="0.03"/>
    <n v="0.02"/>
    <n v="0.06"/>
    <n v="0.02"/>
    <n v="0.02"/>
    <n v="0.02"/>
    <n v="0.9"/>
    <n v="180000"/>
    <n v="176460"/>
    <n v="304980"/>
    <n v="210120"/>
    <n v="408000"/>
    <n v="140000"/>
  </r>
  <r>
    <x v="0"/>
    <x v="3"/>
    <x v="3"/>
    <s v="Ophthalmology EXT"/>
    <n v="2021"/>
    <x v="8"/>
    <n v="36881.363452660458"/>
    <n v="0.02"/>
    <n v="0.01"/>
    <n v="0.01"/>
    <n v="6.2100000000000002E-2"/>
    <n v="0.03"/>
    <n v="0.02"/>
    <n v="0.06"/>
    <n v="0.02"/>
    <n v="0.02"/>
    <n v="0.02"/>
    <n v="0.9"/>
    <n v="180000"/>
    <n v="176460"/>
    <n v="304980"/>
    <n v="210120"/>
    <n v="408000"/>
    <n v="140000"/>
  </r>
  <r>
    <x v="0"/>
    <x v="3"/>
    <x v="3"/>
    <s v="Ophthalmology EXT"/>
    <n v="2022"/>
    <x v="9"/>
    <n v="123020.26784617899"/>
    <n v="0.02"/>
    <n v="0.01"/>
    <n v="0.01"/>
    <n v="6.2100000000000002E-2"/>
    <n v="0.03"/>
    <n v="0.02"/>
    <n v="0.06"/>
    <n v="0.02"/>
    <n v="0.02"/>
    <n v="0.02"/>
    <n v="0.9"/>
    <n v="180000"/>
    <n v="176460"/>
    <n v="304980"/>
    <n v="210120"/>
    <n v="408000"/>
    <n v="140000"/>
  </r>
  <r>
    <x v="0"/>
    <x v="3"/>
    <x v="3"/>
    <s v="Ophthalmology EXT"/>
    <n v="2023"/>
    <x v="10"/>
    <n v="207775.4633358139"/>
    <n v="0.02"/>
    <n v="0.01"/>
    <n v="0.01"/>
    <n v="6.2100000000000002E-2"/>
    <n v="0.03"/>
    <n v="0.02"/>
    <n v="0.06"/>
    <n v="0.02"/>
    <n v="0.02"/>
    <n v="0.02"/>
    <n v="0.9"/>
    <n v="180000"/>
    <n v="176460"/>
    <n v="304980"/>
    <n v="210120"/>
    <n v="408000"/>
    <n v="140000"/>
  </r>
  <r>
    <x v="0"/>
    <x v="3"/>
    <x v="3"/>
    <s v="Ophthalmology EXT"/>
    <n v="2024"/>
    <x v="11"/>
    <n v="291157.99645484064"/>
    <n v="0.02"/>
    <n v="0.01"/>
    <n v="0.01"/>
    <n v="6.2100000000000002E-2"/>
    <n v="0.03"/>
    <n v="0.02"/>
    <n v="0.06"/>
    <n v="0.02"/>
    <n v="0.02"/>
    <n v="0.02"/>
    <n v="0.9"/>
    <n v="180000"/>
    <n v="176460"/>
    <n v="304980"/>
    <n v="210120"/>
    <n v="408000"/>
    <n v="140000"/>
  </r>
  <r>
    <x v="0"/>
    <x v="3"/>
    <x v="3"/>
    <s v="Ophthalmology EXT"/>
    <n v="2025"/>
    <x v="12"/>
    <n v="373179.51207408914"/>
    <n v="0.02"/>
    <n v="0.01"/>
    <n v="0.01"/>
    <n v="6.2100000000000002E-2"/>
    <n v="0.03"/>
    <n v="0.02"/>
    <n v="0.06"/>
    <n v="0.02"/>
    <n v="0.02"/>
    <n v="0.02"/>
    <n v="0.9"/>
    <n v="180000"/>
    <n v="176460"/>
    <n v="304980"/>
    <n v="210120"/>
    <n v="408000"/>
    <n v="140000"/>
  </r>
  <r>
    <x v="0"/>
    <x v="3"/>
    <x v="3"/>
    <s v="Ophthalmology EXT"/>
    <n v="2026"/>
    <x v="13"/>
    <n v="453852.20124822052"/>
    <n v="0.02"/>
    <n v="0.01"/>
    <n v="0.01"/>
    <n v="6.2100000000000002E-2"/>
    <n v="0.03"/>
    <n v="0.02"/>
    <n v="0.06"/>
    <n v="0.02"/>
    <n v="0.02"/>
    <n v="0.02"/>
    <n v="0.9"/>
    <n v="180000"/>
    <n v="176460"/>
    <n v="304980"/>
    <n v="210120"/>
    <n v="408000"/>
    <n v="140000"/>
  </r>
  <r>
    <x v="0"/>
    <x v="3"/>
    <x v="3"/>
    <s v="Ophthalmology EXT"/>
    <n v="2027"/>
    <x v="14"/>
    <n v="533188.75206558185"/>
    <n v="0.02"/>
    <n v="0.01"/>
    <n v="0.01"/>
    <n v="6.2100000000000002E-2"/>
    <n v="0.03"/>
    <n v="0.02"/>
    <n v="0.06"/>
    <n v="0.02"/>
    <n v="0.02"/>
    <n v="0.02"/>
    <n v="0.9"/>
    <n v="180000"/>
    <n v="176460"/>
    <n v="304980"/>
    <n v="210120"/>
    <n v="408000"/>
    <n v="140000"/>
  </r>
  <r>
    <x v="0"/>
    <x v="3"/>
    <x v="3"/>
    <s v="Ophthalmology EXT"/>
    <n v="2028"/>
    <x v="15"/>
    <n v="611202.3033463438"/>
    <n v="0.02"/>
    <n v="0.01"/>
    <n v="0.01"/>
    <n v="6.2100000000000002E-2"/>
    <n v="0.03"/>
    <n v="0.02"/>
    <n v="0.06"/>
    <n v="0.02"/>
    <n v="0.02"/>
    <n v="0.02"/>
    <n v="0.9"/>
    <n v="180000"/>
    <n v="176460"/>
    <n v="304980"/>
    <n v="210120"/>
    <n v="408000"/>
    <n v="140000"/>
  </r>
  <r>
    <x v="0"/>
    <x v="3"/>
    <x v="3"/>
    <s v="Ophthalmology EXT"/>
    <n v="2029"/>
    <x v="16"/>
    <n v="687906.40104134066"/>
    <n v="0.02"/>
    <n v="0.01"/>
    <n v="0.01"/>
    <n v="6.2100000000000002E-2"/>
    <n v="0.03"/>
    <n v="0.02"/>
    <n v="0.06"/>
    <n v="0.02"/>
    <n v="0.02"/>
    <n v="0.02"/>
    <n v="0.9"/>
    <n v="180000"/>
    <n v="176460"/>
    <n v="304980"/>
    <n v="210120"/>
    <n v="408000"/>
    <n v="140000"/>
  </r>
  <r>
    <x v="0"/>
    <x v="3"/>
    <x v="3"/>
    <s v="Ophthalmology EXT"/>
    <n v="2030"/>
    <x v="17"/>
    <n v="763314.95719137299"/>
    <n v="0.02"/>
    <n v="0.01"/>
    <n v="0.01"/>
    <n v="6.2100000000000002E-2"/>
    <n v="0.03"/>
    <n v="0.02"/>
    <n v="0.06"/>
    <n v="0.02"/>
    <n v="0.02"/>
    <n v="0.02"/>
    <n v="0.9"/>
    <n v="180000"/>
    <n v="176460"/>
    <n v="304980"/>
    <n v="210120"/>
    <n v="408000"/>
    <n v="140000"/>
  </r>
  <r>
    <x v="0"/>
    <x v="3"/>
    <x v="3"/>
    <s v="Ophthalmology EXT"/>
    <n v="2031"/>
    <x v="18"/>
    <n v="837442.2113137152"/>
    <n v="0.02"/>
    <n v="0.01"/>
    <n v="0.01"/>
    <n v="6.2100000000000002E-2"/>
    <n v="0.03"/>
    <n v="0.02"/>
    <n v="0.06"/>
    <n v="0.02"/>
    <n v="0.02"/>
    <n v="0.02"/>
    <n v="0.9"/>
    <n v="180000"/>
    <n v="176460"/>
    <n v="304980"/>
    <n v="210120"/>
    <n v="408000"/>
    <n v="140000"/>
  </r>
  <r>
    <x v="0"/>
    <x v="3"/>
    <x v="3"/>
    <s v="Ophthalmology EXT"/>
    <n v="2032"/>
    <x v="19"/>
    <n v="910302.69408920757"/>
    <n v="0.02"/>
    <n v="0.01"/>
    <n v="0.01"/>
    <n v="6.2100000000000002E-2"/>
    <n v="0.03"/>
    <n v="0.02"/>
    <n v="0.06"/>
    <n v="0.02"/>
    <n v="0.02"/>
    <n v="0.02"/>
    <n v="0.9"/>
    <n v="180000"/>
    <n v="176460"/>
    <n v="304980"/>
    <n v="210120"/>
    <n v="408000"/>
    <n v="140000"/>
  </r>
  <r>
    <x v="0"/>
    <x v="3"/>
    <x v="3"/>
    <s v="Ophthalmology EXT"/>
    <n v="2033"/>
    <x v="20"/>
    <n v="981911.19322962943"/>
    <n v="0.02"/>
    <n v="0.01"/>
    <n v="0.01"/>
    <n v="6.2100000000000002E-2"/>
    <n v="0.03"/>
    <n v="0.02"/>
    <n v="0.06"/>
    <n v="0.02"/>
    <n v="0.02"/>
    <n v="0.02"/>
    <n v="0.9"/>
    <n v="180000"/>
    <n v="176460"/>
    <n v="304980"/>
    <n v="210120"/>
    <n v="408000"/>
    <n v="140000"/>
  </r>
  <r>
    <x v="0"/>
    <x v="3"/>
    <x v="3"/>
    <s v="Ophthalmology EXT"/>
    <n v="2034"/>
    <x v="21"/>
    <n v="1052282.7214110533"/>
    <n v="0.02"/>
    <n v="0.01"/>
    <n v="0.01"/>
    <n v="6.2100000000000002E-2"/>
    <n v="0.03"/>
    <n v="0.02"/>
    <n v="0.06"/>
    <n v="0.02"/>
    <n v="0.02"/>
    <n v="0.02"/>
    <n v="0.9"/>
    <n v="180000"/>
    <n v="176460"/>
    <n v="304980"/>
    <n v="210120"/>
    <n v="408000"/>
    <n v="140000"/>
  </r>
  <r>
    <x v="0"/>
    <x v="3"/>
    <x v="3"/>
    <s v="Ophthalmology EXT"/>
    <n v="2035"/>
    <x v="22"/>
    <n v="1121420.1841092787"/>
    <n v="0.02"/>
    <n v="0.01"/>
    <n v="0.01"/>
    <n v="6.2100000000000002E-2"/>
    <n v="0.03"/>
    <n v="0.02"/>
    <n v="0.06"/>
    <n v="0.02"/>
    <n v="0.02"/>
    <n v="0.02"/>
    <n v="0.9"/>
    <n v="180000"/>
    <n v="176460"/>
    <n v="304980"/>
    <n v="210120"/>
    <n v="408000"/>
    <n v="140000"/>
  </r>
  <r>
    <x v="0"/>
    <x v="3"/>
    <x v="3"/>
    <s v="Ophthalmology EXT"/>
    <n v="2036"/>
    <x v="23"/>
    <n v="1189297.4221314036"/>
    <n v="0.02"/>
    <n v="0.01"/>
    <n v="0.01"/>
    <n v="6.2100000000000002E-2"/>
    <n v="0.03"/>
    <n v="0.02"/>
    <n v="0.06"/>
    <n v="0.02"/>
    <n v="0.02"/>
    <n v="0.02"/>
    <n v="0.9"/>
    <n v="180000"/>
    <n v="176460"/>
    <n v="304980"/>
    <n v="210120"/>
    <n v="408000"/>
    <n v="140000"/>
  </r>
  <r>
    <x v="0"/>
    <x v="3"/>
    <x v="3"/>
    <s v="Ophthalmology EXT"/>
    <n v="2037"/>
    <x v="24"/>
    <n v="1255932.5803519916"/>
    <n v="0.02"/>
    <n v="0.01"/>
    <n v="0.01"/>
    <n v="6.2100000000000002E-2"/>
    <n v="0.03"/>
    <n v="0.02"/>
    <n v="0.06"/>
    <n v="0.02"/>
    <n v="0.02"/>
    <n v="0.02"/>
    <n v="0.9"/>
    <n v="180000"/>
    <n v="176460"/>
    <n v="304980"/>
    <n v="210120"/>
    <n v="408000"/>
    <n v="140000"/>
  </r>
  <r>
    <x v="0"/>
    <x v="3"/>
    <x v="3"/>
    <s v="Ophthalmology EXT"/>
    <n v="2038"/>
    <x v="25"/>
    <n v="1321343.8214549078"/>
    <n v="0.02"/>
    <n v="0.01"/>
    <n v="0.01"/>
    <n v="6.2100000000000002E-2"/>
    <n v="0.03"/>
    <n v="0.02"/>
    <n v="0.06"/>
    <n v="0.02"/>
    <n v="0.02"/>
    <n v="0.02"/>
    <n v="0.9"/>
    <n v="180000"/>
    <n v="176460"/>
    <n v="304980"/>
    <n v="210120"/>
    <n v="408000"/>
    <n v="140000"/>
  </r>
  <r>
    <x v="0"/>
    <x v="3"/>
    <x v="3"/>
    <s v="Ophthalmology EXT"/>
    <n v="2039"/>
    <x v="26"/>
    <n v="1385549.3059195587"/>
    <n v="0.02"/>
    <n v="0.01"/>
    <n v="0.01"/>
    <n v="6.2100000000000002E-2"/>
    <n v="0.03"/>
    <n v="0.02"/>
    <n v="0.06"/>
    <n v="0.02"/>
    <n v="0.02"/>
    <n v="0.02"/>
    <n v="0.9"/>
    <n v="180000"/>
    <n v="176460"/>
    <n v="304980"/>
    <n v="210120"/>
    <n v="408000"/>
    <n v="140000"/>
  </r>
  <r>
    <x v="0"/>
    <x v="3"/>
    <x v="3"/>
    <s v="Ophthalmology EXT"/>
    <n v="2040"/>
    <x v="27"/>
    <n v="1448567.1733953403"/>
    <n v="0.02"/>
    <n v="0.01"/>
    <n v="0.01"/>
    <n v="6.2100000000000002E-2"/>
    <n v="0.03"/>
    <n v="0.02"/>
    <n v="0.06"/>
    <n v="0.02"/>
    <n v="0.02"/>
    <n v="0.02"/>
    <n v="0.9"/>
    <n v="180000"/>
    <n v="176460"/>
    <n v="304980"/>
    <n v="210120"/>
    <n v="408000"/>
    <n v="140000"/>
  </r>
  <r>
    <x v="0"/>
    <x v="3"/>
    <x v="3"/>
    <s v="Ophthalmology EXT"/>
    <n v="2041"/>
    <x v="28"/>
    <n v="1510415.5253876974"/>
    <n v="0.02"/>
    <n v="0.01"/>
    <n v="0.01"/>
    <n v="6.2100000000000002E-2"/>
    <n v="0.03"/>
    <n v="0.02"/>
    <n v="0.06"/>
    <n v="0.02"/>
    <n v="0.02"/>
    <n v="0.02"/>
    <n v="0.9"/>
    <n v="180000"/>
    <n v="176460"/>
    <n v="304980"/>
    <n v="210120"/>
    <n v="408000"/>
    <n v="140000"/>
  </r>
  <r>
    <x v="0"/>
    <x v="3"/>
    <x v="3"/>
    <s v="Ophthalmology EXT"/>
    <n v="2042"/>
    <x v="29"/>
    <n v="1571112.409183118"/>
    <n v="0.02"/>
    <n v="0.01"/>
    <n v="0.01"/>
    <n v="6.2100000000000002E-2"/>
    <n v="0.03"/>
    <n v="0.02"/>
    <n v="0.06"/>
    <n v="0.02"/>
    <n v="0.02"/>
    <n v="0.02"/>
    <n v="0.9"/>
    <n v="180000"/>
    <n v="176460"/>
    <n v="304980"/>
    <n v="210120"/>
    <n v="408000"/>
    <n v="140000"/>
  </r>
  <r>
    <x v="0"/>
    <x v="3"/>
    <x v="4"/>
    <s v="Ophthalmology IBR"/>
    <n v="2013"/>
    <x v="0"/>
    <n v="-43015.05"/>
    <n v="0.02"/>
    <n v="0.01"/>
    <n v="0.01"/>
    <n v="6.2100000000000002E-2"/>
    <n v="0.03"/>
    <n v="0.02"/>
    <n v="0.06"/>
    <n v="0.02"/>
    <n v="0.02"/>
    <n v="0.02"/>
    <n v="0.9"/>
    <n v="180000"/>
    <n v="176460"/>
    <n v="304980"/>
    <n v="210120"/>
    <n v="408000"/>
    <n v="140000"/>
  </r>
  <r>
    <x v="0"/>
    <x v="3"/>
    <x v="4"/>
    <s v="Ophthalmology IBR"/>
    <n v="2014"/>
    <x v="1"/>
    <n v="-86352.285865219877"/>
    <n v="0.02"/>
    <n v="0.01"/>
    <n v="0.01"/>
    <n v="6.2100000000000002E-2"/>
    <n v="0.03"/>
    <n v="0.02"/>
    <n v="0.06"/>
    <n v="0.02"/>
    <n v="0.02"/>
    <n v="0.02"/>
    <n v="0.9"/>
    <n v="180000"/>
    <n v="176460"/>
    <n v="304980"/>
    <n v="210120"/>
    <n v="408000"/>
    <n v="140000"/>
  </r>
  <r>
    <x v="0"/>
    <x v="3"/>
    <x v="4"/>
    <s v="Ophthalmology IBR"/>
    <n v="2015"/>
    <x v="2"/>
    <n v="-138541.19578403595"/>
    <n v="0.02"/>
    <n v="0.01"/>
    <n v="0.01"/>
    <n v="6.2100000000000002E-2"/>
    <n v="0.03"/>
    <n v="0.02"/>
    <n v="0.06"/>
    <n v="0.02"/>
    <n v="0.02"/>
    <n v="0.02"/>
    <n v="0.9"/>
    <n v="180000"/>
    <n v="176460"/>
    <n v="304980"/>
    <n v="210120"/>
    <n v="408000"/>
    <n v="140000"/>
  </r>
  <r>
    <x v="0"/>
    <x v="3"/>
    <x v="4"/>
    <s v="Ophthalmology IBR"/>
    <n v="2016"/>
    <x v="3"/>
    <n v="-190867.38028908212"/>
    <n v="0.02"/>
    <n v="0.01"/>
    <n v="0.01"/>
    <n v="6.2100000000000002E-2"/>
    <n v="0.03"/>
    <n v="0.02"/>
    <n v="0.06"/>
    <n v="0.02"/>
    <n v="0.02"/>
    <n v="0.02"/>
    <n v="0.9"/>
    <n v="180000"/>
    <n v="176460"/>
    <n v="304980"/>
    <n v="210120"/>
    <n v="408000"/>
    <n v="140000"/>
  </r>
  <r>
    <x v="0"/>
    <x v="3"/>
    <x v="4"/>
    <s v="Ophthalmology IBR"/>
    <n v="2017"/>
    <x v="4"/>
    <n v="-157278.5148229824"/>
    <n v="0.02"/>
    <n v="0.01"/>
    <n v="0.01"/>
    <n v="6.2100000000000002E-2"/>
    <n v="0.03"/>
    <n v="0.02"/>
    <n v="0.06"/>
    <n v="0.02"/>
    <n v="0.02"/>
    <n v="0.02"/>
    <n v="0.9"/>
    <n v="180000"/>
    <n v="176460"/>
    <n v="304980"/>
    <n v="210120"/>
    <n v="408000"/>
    <n v="140000"/>
  </r>
  <r>
    <x v="0"/>
    <x v="3"/>
    <x v="4"/>
    <s v="Ophthalmology IBR"/>
    <n v="2018"/>
    <x v="5"/>
    <n v="-123668.32270644748"/>
    <n v="0.02"/>
    <n v="0.01"/>
    <n v="0.01"/>
    <n v="6.2100000000000002E-2"/>
    <n v="0.03"/>
    <n v="0.02"/>
    <n v="0.06"/>
    <n v="0.02"/>
    <n v="0.02"/>
    <n v="0.02"/>
    <n v="0.9"/>
    <n v="180000"/>
    <n v="176460"/>
    <n v="304980"/>
    <n v="210120"/>
    <n v="408000"/>
    <n v="140000"/>
  </r>
  <r>
    <x v="0"/>
    <x v="3"/>
    <x v="4"/>
    <s v="Ophthalmology IBR"/>
    <n v="2019"/>
    <x v="6"/>
    <n v="-90028.481028923678"/>
    <n v="0.02"/>
    <n v="0.01"/>
    <n v="0.01"/>
    <n v="6.2100000000000002E-2"/>
    <n v="0.03"/>
    <n v="0.02"/>
    <n v="0.06"/>
    <n v="0.02"/>
    <n v="0.02"/>
    <n v="0.02"/>
    <n v="0.9"/>
    <n v="180000"/>
    <n v="176460"/>
    <n v="304980"/>
    <n v="210120"/>
    <n v="408000"/>
    <n v="140000"/>
  </r>
  <r>
    <x v="0"/>
    <x v="3"/>
    <x v="4"/>
    <s v="Ophthalmology IBR"/>
    <n v="2020"/>
    <x v="7"/>
    <n v="-56350.829269688562"/>
    <n v="0.02"/>
    <n v="0.01"/>
    <n v="0.01"/>
    <n v="6.2100000000000002E-2"/>
    <n v="0.03"/>
    <n v="0.02"/>
    <n v="0.06"/>
    <n v="0.02"/>
    <n v="0.02"/>
    <n v="0.02"/>
    <n v="0.9"/>
    <n v="180000"/>
    <n v="176460"/>
    <n v="304980"/>
    <n v="210120"/>
    <n v="408000"/>
    <n v="140000"/>
  </r>
  <r>
    <x v="0"/>
    <x v="3"/>
    <x v="4"/>
    <s v="Ophthalmology IBR"/>
    <n v="2021"/>
    <x v="8"/>
    <n v="27943.565442437699"/>
    <n v="0.02"/>
    <n v="0.01"/>
    <n v="0.01"/>
    <n v="6.2100000000000002E-2"/>
    <n v="0.03"/>
    <n v="0.02"/>
    <n v="0.06"/>
    <n v="0.02"/>
    <n v="0.02"/>
    <n v="0.02"/>
    <n v="0.9"/>
    <n v="180000"/>
    <n v="176460"/>
    <n v="304980"/>
    <n v="210120"/>
    <n v="408000"/>
    <n v="140000"/>
  </r>
  <r>
    <x v="0"/>
    <x v="3"/>
    <x v="4"/>
    <s v="Ophthalmology IBR"/>
    <n v="2022"/>
    <x v="9"/>
    <n v="106303.7682095881"/>
    <n v="0.02"/>
    <n v="0.01"/>
    <n v="0.01"/>
    <n v="6.2100000000000002E-2"/>
    <n v="0.03"/>
    <n v="0.02"/>
    <n v="0.06"/>
    <n v="0.02"/>
    <n v="0.02"/>
    <n v="0.02"/>
    <n v="0.9"/>
    <n v="180000"/>
    <n v="176460"/>
    <n v="304980"/>
    <n v="210120"/>
    <n v="408000"/>
    <n v="140000"/>
  </r>
  <r>
    <x v="0"/>
    <x v="3"/>
    <x v="4"/>
    <s v="Ophthalmology IBR"/>
    <n v="2023"/>
    <x v="10"/>
    <n v="183036.07286700184"/>
    <n v="0.02"/>
    <n v="0.01"/>
    <n v="0.01"/>
    <n v="6.2100000000000002E-2"/>
    <n v="0.03"/>
    <n v="0.02"/>
    <n v="0.06"/>
    <n v="0.02"/>
    <n v="0.02"/>
    <n v="0.02"/>
    <n v="0.9"/>
    <n v="180000"/>
    <n v="176460"/>
    <n v="304980"/>
    <n v="210120"/>
    <n v="408000"/>
    <n v="140000"/>
  </r>
  <r>
    <x v="0"/>
    <x v="3"/>
    <x v="4"/>
    <s v="Ophthalmology IBR"/>
    <n v="2024"/>
    <x v="11"/>
    <n v="258175.06180717674"/>
    <n v="0.02"/>
    <n v="0.01"/>
    <n v="0.01"/>
    <n v="6.2100000000000002E-2"/>
    <n v="0.03"/>
    <n v="0.02"/>
    <n v="0.06"/>
    <n v="0.02"/>
    <n v="0.02"/>
    <n v="0.02"/>
    <n v="0.9"/>
    <n v="180000"/>
    <n v="176460"/>
    <n v="304980"/>
    <n v="210120"/>
    <n v="408000"/>
    <n v="140000"/>
  </r>
  <r>
    <x v="0"/>
    <x v="3"/>
    <x v="4"/>
    <s v="Ophthalmology IBR"/>
    <n v="2025"/>
    <x v="12"/>
    <n v="331983.95724301058"/>
    <n v="0.02"/>
    <n v="0.01"/>
    <n v="0.01"/>
    <n v="6.2100000000000002E-2"/>
    <n v="0.03"/>
    <n v="0.02"/>
    <n v="0.06"/>
    <n v="0.02"/>
    <n v="0.02"/>
    <n v="0.02"/>
    <n v="0.9"/>
    <n v="180000"/>
    <n v="176460"/>
    <n v="304980"/>
    <n v="210120"/>
    <n v="408000"/>
    <n v="140000"/>
  </r>
  <r>
    <x v="0"/>
    <x v="3"/>
    <x v="4"/>
    <s v="Ophthalmology IBR"/>
    <n v="2026"/>
    <x v="13"/>
    <n v="404839.57028596482"/>
    <n v="0.02"/>
    <n v="0.01"/>
    <n v="0.01"/>
    <n v="6.2100000000000002E-2"/>
    <n v="0.03"/>
    <n v="0.02"/>
    <n v="0.06"/>
    <n v="0.02"/>
    <n v="0.02"/>
    <n v="0.02"/>
    <n v="0.9"/>
    <n v="180000"/>
    <n v="176460"/>
    <n v="304980"/>
    <n v="210120"/>
    <n v="408000"/>
    <n v="140000"/>
  </r>
  <r>
    <x v="0"/>
    <x v="3"/>
    <x v="4"/>
    <s v="Ophthalmology IBR"/>
    <n v="2027"/>
    <x v="14"/>
    <n v="476735.53845419508"/>
    <n v="0.02"/>
    <n v="0.01"/>
    <n v="0.01"/>
    <n v="6.2100000000000002E-2"/>
    <n v="0.03"/>
    <n v="0.02"/>
    <n v="0.06"/>
    <n v="0.02"/>
    <n v="0.02"/>
    <n v="0.02"/>
    <n v="0.9"/>
    <n v="180000"/>
    <n v="176460"/>
    <n v="304980"/>
    <n v="210120"/>
    <n v="408000"/>
    <n v="140000"/>
  </r>
  <r>
    <x v="0"/>
    <x v="3"/>
    <x v="4"/>
    <s v="Ophthalmology IBR"/>
    <n v="2028"/>
    <x v="15"/>
    <n v="547666.86752942589"/>
    <n v="0.02"/>
    <n v="0.01"/>
    <n v="0.01"/>
    <n v="6.2100000000000002E-2"/>
    <n v="0.03"/>
    <n v="0.02"/>
    <n v="0.06"/>
    <n v="0.02"/>
    <n v="0.02"/>
    <n v="0.02"/>
    <n v="0.9"/>
    <n v="180000"/>
    <n v="176460"/>
    <n v="304980"/>
    <n v="210120"/>
    <n v="408000"/>
    <n v="140000"/>
  </r>
  <r>
    <x v="0"/>
    <x v="3"/>
    <x v="4"/>
    <s v="Ophthalmology IBR"/>
    <n v="2029"/>
    <x v="16"/>
    <n v="617629.84376475087"/>
    <n v="0.02"/>
    <n v="0.01"/>
    <n v="0.01"/>
    <n v="6.2100000000000002E-2"/>
    <n v="0.03"/>
    <n v="0.02"/>
    <n v="0.06"/>
    <n v="0.02"/>
    <n v="0.02"/>
    <n v="0.02"/>
    <n v="0.9"/>
    <n v="180000"/>
    <n v="176460"/>
    <n v="304980"/>
    <n v="210120"/>
    <n v="408000"/>
    <n v="140000"/>
  </r>
  <r>
    <x v="0"/>
    <x v="3"/>
    <x v="4"/>
    <s v="Ophthalmology IBR"/>
    <n v="2030"/>
    <x v="17"/>
    <n v="686621.95078126725"/>
    <n v="0.02"/>
    <n v="0.01"/>
    <n v="0.01"/>
    <n v="6.2100000000000002E-2"/>
    <n v="0.03"/>
    <n v="0.02"/>
    <n v="0.06"/>
    <n v="0.02"/>
    <n v="0.02"/>
    <n v="0.02"/>
    <n v="0.9"/>
    <n v="180000"/>
    <n v="176460"/>
    <n v="304980"/>
    <n v="210120"/>
    <n v="408000"/>
    <n v="140000"/>
  </r>
  <r>
    <x v="0"/>
    <x v="3"/>
    <x v="4"/>
    <s v="Ophthalmology IBR"/>
    <n v="2031"/>
    <x v="18"/>
    <n v="764568.77020615363"/>
    <n v="0.02"/>
    <n v="0.01"/>
    <n v="0.01"/>
    <n v="6.2100000000000002E-2"/>
    <n v="0.03"/>
    <n v="0.02"/>
    <n v="0.06"/>
    <n v="0.02"/>
    <n v="0.02"/>
    <n v="0.02"/>
    <n v="0.9"/>
    <n v="180000"/>
    <n v="176460"/>
    <n v="304980"/>
    <n v="210120"/>
    <n v="408000"/>
    <n v="140000"/>
  </r>
  <r>
    <x v="0"/>
    <x v="3"/>
    <x v="4"/>
    <s v="Ophthalmology IBR"/>
    <n v="2032"/>
    <x v="19"/>
    <n v="845506.53713164793"/>
    <n v="0.02"/>
    <n v="0.01"/>
    <n v="0.01"/>
    <n v="6.2100000000000002E-2"/>
    <n v="0.03"/>
    <n v="0.02"/>
    <n v="0.06"/>
    <n v="0.02"/>
    <n v="0.02"/>
    <n v="0.02"/>
    <n v="0.9"/>
    <n v="180000"/>
    <n v="176460"/>
    <n v="304980"/>
    <n v="210120"/>
    <n v="408000"/>
    <n v="140000"/>
  </r>
  <r>
    <x v="0"/>
    <x v="3"/>
    <x v="4"/>
    <s v="Ophthalmology IBR"/>
    <n v="2033"/>
    <x v="20"/>
    <n v="924803.29455305403"/>
    <n v="0.02"/>
    <n v="0.01"/>
    <n v="0.01"/>
    <n v="6.2100000000000002E-2"/>
    <n v="0.03"/>
    <n v="0.02"/>
    <n v="0.06"/>
    <n v="0.02"/>
    <n v="0.02"/>
    <n v="0.02"/>
    <n v="0.9"/>
    <n v="180000"/>
    <n v="176460"/>
    <n v="304980"/>
    <n v="210120"/>
    <n v="408000"/>
    <n v="140000"/>
  </r>
  <r>
    <x v="0"/>
    <x v="3"/>
    <x v="4"/>
    <s v="Ophthalmology IBR"/>
    <n v="2034"/>
    <x v="21"/>
    <n v="1002492.7917816739"/>
    <n v="0.02"/>
    <n v="0.01"/>
    <n v="0.01"/>
    <n v="6.2100000000000002E-2"/>
    <n v="0.03"/>
    <n v="0.02"/>
    <n v="0.06"/>
    <n v="0.02"/>
    <n v="0.02"/>
    <n v="0.02"/>
    <n v="0.9"/>
    <n v="180000"/>
    <n v="176460"/>
    <n v="304980"/>
    <n v="210120"/>
    <n v="408000"/>
    <n v="140000"/>
  </r>
  <r>
    <x v="0"/>
    <x v="3"/>
    <x v="4"/>
    <s v="Ophthalmology IBR"/>
    <n v="2035"/>
    <x v="22"/>
    <n v="1078595.7685168269"/>
    <n v="0.02"/>
    <n v="0.01"/>
    <n v="0.01"/>
    <n v="6.2100000000000002E-2"/>
    <n v="0.03"/>
    <n v="0.02"/>
    <n v="0.06"/>
    <n v="0.02"/>
    <n v="0.02"/>
    <n v="0.02"/>
    <n v="0.9"/>
    <n v="180000"/>
    <n v="176460"/>
    <n v="304980"/>
    <n v="210120"/>
    <n v="408000"/>
    <n v="140000"/>
  </r>
  <r>
    <x v="0"/>
    <x v="3"/>
    <x v="4"/>
    <s v="Ophthalmology IBR"/>
    <n v="2036"/>
    <x v="23"/>
    <n v="1153103.0408402344"/>
    <n v="0.02"/>
    <n v="0.01"/>
    <n v="0.01"/>
    <n v="6.2100000000000002E-2"/>
    <n v="0.03"/>
    <n v="0.02"/>
    <n v="0.06"/>
    <n v="0.02"/>
    <n v="0.02"/>
    <n v="0.02"/>
    <n v="0.9"/>
    <n v="180000"/>
    <n v="176460"/>
    <n v="304980"/>
    <n v="210120"/>
    <n v="408000"/>
    <n v="140000"/>
  </r>
  <r>
    <x v="0"/>
    <x v="3"/>
    <x v="4"/>
    <s v="Ophthalmology IBR"/>
    <n v="2037"/>
    <x v="24"/>
    <n v="1226048.9113217043"/>
    <n v="0.02"/>
    <n v="0.01"/>
    <n v="0.01"/>
    <n v="6.2100000000000002E-2"/>
    <n v="0.03"/>
    <n v="0.02"/>
    <n v="0.06"/>
    <n v="0.02"/>
    <n v="0.02"/>
    <n v="0.02"/>
    <n v="0.9"/>
    <n v="180000"/>
    <n v="176460"/>
    <n v="304980"/>
    <n v="210120"/>
    <n v="408000"/>
    <n v="140000"/>
  </r>
  <r>
    <x v="0"/>
    <x v="3"/>
    <x v="4"/>
    <s v="Ophthalmology IBR"/>
    <n v="2038"/>
    <x v="25"/>
    <n v="1297466.9221380053"/>
    <n v="0.02"/>
    <n v="0.01"/>
    <n v="0.01"/>
    <n v="6.2100000000000002E-2"/>
    <n v="0.03"/>
    <n v="0.02"/>
    <n v="0.06"/>
    <n v="0.02"/>
    <n v="0.02"/>
    <n v="0.02"/>
    <n v="0.9"/>
    <n v="180000"/>
    <n v="176460"/>
    <n v="304980"/>
    <n v="210120"/>
    <n v="408000"/>
    <n v="140000"/>
  </r>
  <r>
    <x v="0"/>
    <x v="3"/>
    <x v="4"/>
    <s v="Ophthalmology IBR"/>
    <n v="2039"/>
    <x v="26"/>
    <n v="1367389.8725396302"/>
    <n v="0.02"/>
    <n v="0.01"/>
    <n v="0.01"/>
    <n v="6.2100000000000002E-2"/>
    <n v="0.03"/>
    <n v="0.02"/>
    <n v="0.06"/>
    <n v="0.02"/>
    <n v="0.02"/>
    <n v="0.02"/>
    <n v="0.9"/>
    <n v="180000"/>
    <n v="176460"/>
    <n v="304980"/>
    <n v="210120"/>
    <n v="408000"/>
    <n v="140000"/>
  </r>
  <r>
    <x v="0"/>
    <x v="3"/>
    <x v="4"/>
    <s v="Ophthalmology IBR"/>
    <n v="2040"/>
    <x v="27"/>
    <n v="1435849.8359005954"/>
    <n v="0.02"/>
    <n v="0.01"/>
    <n v="0.01"/>
    <n v="6.2100000000000002E-2"/>
    <n v="0.03"/>
    <n v="0.02"/>
    <n v="0.06"/>
    <n v="0.02"/>
    <n v="0.02"/>
    <n v="0.02"/>
    <n v="0.9"/>
    <n v="180000"/>
    <n v="176460"/>
    <n v="304980"/>
    <n v="210120"/>
    <n v="408000"/>
    <n v="140000"/>
  </r>
  <r>
    <x v="0"/>
    <x v="3"/>
    <x v="4"/>
    <s v="Ophthalmology IBR"/>
    <n v="2041"/>
    <x v="28"/>
    <n v="1502878.1763616214"/>
    <n v="0.02"/>
    <n v="0.01"/>
    <n v="0.01"/>
    <n v="6.2100000000000002E-2"/>
    <n v="0.03"/>
    <n v="0.02"/>
    <n v="0.06"/>
    <n v="0.02"/>
    <n v="0.02"/>
    <n v="0.02"/>
    <n v="0.9"/>
    <n v="180000"/>
    <n v="176460"/>
    <n v="304980"/>
    <n v="210120"/>
    <n v="408000"/>
    <n v="140000"/>
  </r>
  <r>
    <x v="0"/>
    <x v="3"/>
    <x v="4"/>
    <s v="Ophthalmology IBR"/>
    <n v="2042"/>
    <x v="29"/>
    <n v="1568505.5650767726"/>
    <n v="0.02"/>
    <n v="0.01"/>
    <n v="0.01"/>
    <n v="6.2100000000000002E-2"/>
    <n v="0.03"/>
    <n v="0.02"/>
    <n v="0.06"/>
    <n v="0.02"/>
    <n v="0.02"/>
    <n v="0.02"/>
    <n v="0.9"/>
    <n v="180000"/>
    <n v="176460"/>
    <n v="304980"/>
    <n v="210120"/>
    <n v="408000"/>
    <n v="140000"/>
  </r>
  <r>
    <x v="0"/>
    <x v="3"/>
    <x v="5"/>
    <s v="Ophthalmology PAYE"/>
    <n v="2013"/>
    <x v="0"/>
    <n v="-43015.05"/>
    <n v="0.02"/>
    <n v="0.01"/>
    <n v="0.01"/>
    <n v="6.2100000000000002E-2"/>
    <n v="0.03"/>
    <n v="0.02"/>
    <n v="0.06"/>
    <n v="0.02"/>
    <n v="0.02"/>
    <n v="0.02"/>
    <n v="0.9"/>
    <n v="180000"/>
    <n v="176460"/>
    <n v="304980"/>
    <n v="210120"/>
    <n v="408000"/>
    <n v="140000"/>
  </r>
  <r>
    <x v="0"/>
    <x v="3"/>
    <x v="5"/>
    <s v="Ophthalmology PAYE"/>
    <n v="2014"/>
    <x v="1"/>
    <n v="-86352.285865219877"/>
    <n v="0.02"/>
    <n v="0.01"/>
    <n v="0.01"/>
    <n v="6.2100000000000002E-2"/>
    <n v="0.03"/>
    <n v="0.02"/>
    <n v="0.06"/>
    <n v="0.02"/>
    <n v="0.02"/>
    <n v="0.02"/>
    <n v="0.9"/>
    <n v="180000"/>
    <n v="176460"/>
    <n v="304980"/>
    <n v="210120"/>
    <n v="408000"/>
    <n v="140000"/>
  </r>
  <r>
    <x v="0"/>
    <x v="3"/>
    <x v="5"/>
    <s v="Ophthalmology PAYE"/>
    <n v="2015"/>
    <x v="2"/>
    <n v="-138541.19578403595"/>
    <n v="0.02"/>
    <n v="0.01"/>
    <n v="0.01"/>
    <n v="6.2100000000000002E-2"/>
    <n v="0.03"/>
    <n v="0.02"/>
    <n v="0.06"/>
    <n v="0.02"/>
    <n v="0.02"/>
    <n v="0.02"/>
    <n v="0.9"/>
    <n v="180000"/>
    <n v="176460"/>
    <n v="304980"/>
    <n v="210120"/>
    <n v="408000"/>
    <n v="140000"/>
  </r>
  <r>
    <x v="0"/>
    <x v="3"/>
    <x v="5"/>
    <s v="Ophthalmology PAYE"/>
    <n v="2016"/>
    <x v="3"/>
    <n v="-190867.38028908212"/>
    <n v="0.02"/>
    <n v="0.01"/>
    <n v="0.01"/>
    <n v="6.2100000000000002E-2"/>
    <n v="0.03"/>
    <n v="0.02"/>
    <n v="0.06"/>
    <n v="0.02"/>
    <n v="0.02"/>
    <n v="0.02"/>
    <n v="0.9"/>
    <n v="180000"/>
    <n v="176460"/>
    <n v="304980"/>
    <n v="210120"/>
    <n v="408000"/>
    <n v="140000"/>
  </r>
  <r>
    <x v="0"/>
    <x v="3"/>
    <x v="5"/>
    <s v="Ophthalmology PAYE"/>
    <n v="2017"/>
    <x v="4"/>
    <n v="-157278.5148229824"/>
    <n v="0.02"/>
    <n v="0.01"/>
    <n v="0.01"/>
    <n v="6.2100000000000002E-2"/>
    <n v="0.03"/>
    <n v="0.02"/>
    <n v="0.06"/>
    <n v="0.02"/>
    <n v="0.02"/>
    <n v="0.02"/>
    <n v="0.9"/>
    <n v="180000"/>
    <n v="176460"/>
    <n v="304980"/>
    <n v="210120"/>
    <n v="408000"/>
    <n v="140000"/>
  </r>
  <r>
    <x v="0"/>
    <x v="3"/>
    <x v="5"/>
    <s v="Ophthalmology PAYE"/>
    <n v="2018"/>
    <x v="5"/>
    <n v="-123668.32270644748"/>
    <n v="0.02"/>
    <n v="0.01"/>
    <n v="0.01"/>
    <n v="6.2100000000000002E-2"/>
    <n v="0.03"/>
    <n v="0.02"/>
    <n v="0.06"/>
    <n v="0.02"/>
    <n v="0.02"/>
    <n v="0.02"/>
    <n v="0.9"/>
    <n v="180000"/>
    <n v="176460"/>
    <n v="304980"/>
    <n v="210120"/>
    <n v="408000"/>
    <n v="140000"/>
  </r>
  <r>
    <x v="0"/>
    <x v="3"/>
    <x v="5"/>
    <s v="Ophthalmology PAYE"/>
    <n v="2019"/>
    <x v="6"/>
    <n v="-90028.481028923678"/>
    <n v="0.02"/>
    <n v="0.01"/>
    <n v="0.01"/>
    <n v="6.2100000000000002E-2"/>
    <n v="0.03"/>
    <n v="0.02"/>
    <n v="0.06"/>
    <n v="0.02"/>
    <n v="0.02"/>
    <n v="0.02"/>
    <n v="0.9"/>
    <n v="180000"/>
    <n v="176460"/>
    <n v="304980"/>
    <n v="210120"/>
    <n v="408000"/>
    <n v="140000"/>
  </r>
  <r>
    <x v="0"/>
    <x v="3"/>
    <x v="5"/>
    <s v="Ophthalmology PAYE"/>
    <n v="2020"/>
    <x v="7"/>
    <n v="-56350.829269688562"/>
    <n v="0.02"/>
    <n v="0.01"/>
    <n v="0.01"/>
    <n v="6.2100000000000002E-2"/>
    <n v="0.03"/>
    <n v="0.02"/>
    <n v="0.06"/>
    <n v="0.02"/>
    <n v="0.02"/>
    <n v="0.02"/>
    <n v="0.9"/>
    <n v="180000"/>
    <n v="176460"/>
    <n v="304980"/>
    <n v="210120"/>
    <n v="408000"/>
    <n v="140000"/>
  </r>
  <r>
    <x v="0"/>
    <x v="3"/>
    <x v="5"/>
    <s v="Ophthalmology PAYE"/>
    <n v="2021"/>
    <x v="8"/>
    <n v="35556.825450469871"/>
    <n v="0.02"/>
    <n v="0.01"/>
    <n v="0.01"/>
    <n v="6.2100000000000002E-2"/>
    <n v="0.03"/>
    <n v="0.02"/>
    <n v="0.06"/>
    <n v="0.02"/>
    <n v="0.02"/>
    <n v="0.02"/>
    <n v="0.9"/>
    <n v="180000"/>
    <n v="176460"/>
    <n v="304980"/>
    <n v="210120"/>
    <n v="408000"/>
    <n v="140000"/>
  </r>
  <r>
    <x v="0"/>
    <x v="3"/>
    <x v="5"/>
    <s v="Ophthalmology PAYE"/>
    <n v="2022"/>
    <x v="9"/>
    <n v="120920.73592195942"/>
    <n v="0.02"/>
    <n v="0.01"/>
    <n v="0.01"/>
    <n v="6.2100000000000002E-2"/>
    <n v="0.03"/>
    <n v="0.02"/>
    <n v="0.06"/>
    <n v="0.02"/>
    <n v="0.02"/>
    <n v="0.02"/>
    <n v="0.9"/>
    <n v="180000"/>
    <n v="176460"/>
    <n v="304980"/>
    <n v="210120"/>
    <n v="408000"/>
    <n v="140000"/>
  </r>
  <r>
    <x v="0"/>
    <x v="3"/>
    <x v="5"/>
    <s v="Ophthalmology PAYE"/>
    <n v="2023"/>
    <x v="10"/>
    <n v="204525.70718099157"/>
    <n v="0.02"/>
    <n v="0.01"/>
    <n v="0.01"/>
    <n v="6.2100000000000002E-2"/>
    <n v="0.03"/>
    <n v="0.02"/>
    <n v="0.06"/>
    <n v="0.02"/>
    <n v="0.02"/>
    <n v="0.02"/>
    <n v="0.9"/>
    <n v="180000"/>
    <n v="176460"/>
    <n v="304980"/>
    <n v="210120"/>
    <n v="408000"/>
    <n v="140000"/>
  </r>
  <r>
    <x v="0"/>
    <x v="3"/>
    <x v="5"/>
    <s v="Ophthalmology PAYE"/>
    <n v="2024"/>
    <x v="11"/>
    <n v="286408.70795152872"/>
    <n v="0.02"/>
    <n v="0.01"/>
    <n v="0.01"/>
    <n v="6.2100000000000002E-2"/>
    <n v="0.03"/>
    <n v="0.02"/>
    <n v="0.06"/>
    <n v="0.02"/>
    <n v="0.02"/>
    <n v="0.02"/>
    <n v="0.9"/>
    <n v="180000"/>
    <n v="176460"/>
    <n v="304980"/>
    <n v="210120"/>
    <n v="408000"/>
    <n v="140000"/>
  </r>
  <r>
    <x v="0"/>
    <x v="3"/>
    <x v="5"/>
    <s v="Ophthalmology PAYE"/>
    <n v="2025"/>
    <x v="12"/>
    <n v="366605.90985574445"/>
    <n v="0.02"/>
    <n v="0.01"/>
    <n v="0.01"/>
    <n v="6.2100000000000002E-2"/>
    <n v="0.03"/>
    <n v="0.02"/>
    <n v="0.06"/>
    <n v="0.02"/>
    <n v="0.02"/>
    <n v="0.02"/>
    <n v="0.9"/>
    <n v="180000"/>
    <n v="176460"/>
    <n v="304980"/>
    <n v="210120"/>
    <n v="408000"/>
    <n v="140000"/>
  </r>
  <r>
    <x v="0"/>
    <x v="3"/>
    <x v="5"/>
    <s v="Ophthalmology PAYE"/>
    <n v="2026"/>
    <x v="13"/>
    <n v="445152.70514710661"/>
    <n v="0.02"/>
    <n v="0.01"/>
    <n v="0.01"/>
    <n v="6.2100000000000002E-2"/>
    <n v="0.03"/>
    <n v="0.02"/>
    <n v="0.06"/>
    <n v="0.02"/>
    <n v="0.02"/>
    <n v="0.02"/>
    <n v="0.9"/>
    <n v="180000"/>
    <n v="176460"/>
    <n v="304980"/>
    <n v="210120"/>
    <n v="408000"/>
    <n v="140000"/>
  </r>
  <r>
    <x v="0"/>
    <x v="3"/>
    <x v="5"/>
    <s v="Ophthalmology PAYE"/>
    <n v="2027"/>
    <x v="14"/>
    <n v="522083.72403448209"/>
    <n v="0.02"/>
    <n v="0.01"/>
    <n v="0.01"/>
    <n v="6.2100000000000002E-2"/>
    <n v="0.03"/>
    <n v="0.02"/>
    <n v="0.06"/>
    <n v="0.02"/>
    <n v="0.02"/>
    <n v="0.02"/>
    <n v="0.9"/>
    <n v="180000"/>
    <n v="176460"/>
    <n v="304980"/>
    <n v="210120"/>
    <n v="408000"/>
    <n v="140000"/>
  </r>
  <r>
    <x v="0"/>
    <x v="3"/>
    <x v="5"/>
    <s v="Ophthalmology PAYE"/>
    <n v="2028"/>
    <x v="15"/>
    <n v="597432.85160706693"/>
    <n v="0.02"/>
    <n v="0.01"/>
    <n v="0.01"/>
    <n v="6.2100000000000002E-2"/>
    <n v="0.03"/>
    <n v="0.02"/>
    <n v="0.06"/>
    <n v="0.02"/>
    <n v="0.02"/>
    <n v="0.02"/>
    <n v="0.9"/>
    <n v="180000"/>
    <n v="176460"/>
    <n v="304980"/>
    <n v="210120"/>
    <n v="408000"/>
    <n v="140000"/>
  </r>
  <r>
    <x v="0"/>
    <x v="3"/>
    <x v="5"/>
    <s v="Ophthalmology PAYE"/>
    <n v="2029"/>
    <x v="16"/>
    <n v="671233.24436970102"/>
    <n v="0.02"/>
    <n v="0.01"/>
    <n v="0.01"/>
    <n v="6.2100000000000002E-2"/>
    <n v="0.03"/>
    <n v="0.02"/>
    <n v="0.06"/>
    <n v="0.02"/>
    <n v="0.02"/>
    <n v="0.02"/>
    <n v="0.9"/>
    <n v="180000"/>
    <n v="176460"/>
    <n v="304980"/>
    <n v="210120"/>
    <n v="408000"/>
    <n v="140000"/>
  </r>
  <r>
    <x v="0"/>
    <x v="3"/>
    <x v="5"/>
    <s v="Ophthalmology PAYE"/>
    <n v="2030"/>
    <x v="17"/>
    <n v="743517.34639788978"/>
    <n v="0.02"/>
    <n v="0.01"/>
    <n v="0.01"/>
    <n v="6.2100000000000002E-2"/>
    <n v="0.03"/>
    <n v="0.02"/>
    <n v="0.06"/>
    <n v="0.02"/>
    <n v="0.02"/>
    <n v="0.02"/>
    <n v="0.9"/>
    <n v="180000"/>
    <n v="176460"/>
    <n v="304980"/>
    <n v="210120"/>
    <n v="408000"/>
    <n v="140000"/>
  </r>
  <r>
    <x v="0"/>
    <x v="3"/>
    <x v="5"/>
    <s v="Ophthalmology PAYE"/>
    <n v="2031"/>
    <x v="18"/>
    <n v="814316.90512162168"/>
    <n v="0.02"/>
    <n v="0.01"/>
    <n v="0.01"/>
    <n v="6.2100000000000002E-2"/>
    <n v="0.03"/>
    <n v="0.02"/>
    <n v="0.06"/>
    <n v="0.02"/>
    <n v="0.02"/>
    <n v="0.02"/>
    <n v="0.9"/>
    <n v="180000"/>
    <n v="176460"/>
    <n v="304980"/>
    <n v="210120"/>
    <n v="408000"/>
    <n v="140000"/>
  </r>
  <r>
    <x v="0"/>
    <x v="3"/>
    <x v="5"/>
    <s v="Ophthalmology PAYE"/>
    <n v="2032"/>
    <x v="19"/>
    <n v="883662.98674684705"/>
    <n v="0.02"/>
    <n v="0.01"/>
    <n v="0.01"/>
    <n v="6.2100000000000002E-2"/>
    <n v="0.03"/>
    <n v="0.02"/>
    <n v="0.06"/>
    <n v="0.02"/>
    <n v="0.02"/>
    <n v="0.02"/>
    <n v="0.9"/>
    <n v="180000"/>
    <n v="176460"/>
    <n v="304980"/>
    <n v="210120"/>
    <n v="408000"/>
    <n v="140000"/>
  </r>
  <r>
    <x v="0"/>
    <x v="3"/>
    <x v="5"/>
    <s v="Ophthalmology PAYE"/>
    <n v="2033"/>
    <x v="20"/>
    <n v="951585.99132326059"/>
    <n v="0.02"/>
    <n v="0.01"/>
    <n v="0.01"/>
    <n v="6.2100000000000002E-2"/>
    <n v="0.03"/>
    <n v="0.02"/>
    <n v="0.06"/>
    <n v="0.02"/>
    <n v="0.02"/>
    <n v="0.02"/>
    <n v="0.9"/>
    <n v="180000"/>
    <n v="176460"/>
    <n v="304980"/>
    <n v="210120"/>
    <n v="408000"/>
    <n v="140000"/>
  </r>
  <r>
    <x v="0"/>
    <x v="3"/>
    <x v="5"/>
    <s v="Ophthalmology PAYE"/>
    <n v="2034"/>
    <x v="21"/>
    <n v="1018115.6674668189"/>
    <n v="0.02"/>
    <n v="0.01"/>
    <n v="0.01"/>
    <n v="6.2100000000000002E-2"/>
    <n v="0.03"/>
    <n v="0.02"/>
    <n v="0.06"/>
    <n v="0.02"/>
    <n v="0.02"/>
    <n v="0.02"/>
    <n v="0.9"/>
    <n v="180000"/>
    <n v="176460"/>
    <n v="304980"/>
    <n v="210120"/>
    <n v="408000"/>
    <n v="140000"/>
  </r>
  <r>
    <x v="0"/>
    <x v="3"/>
    <x v="5"/>
    <s v="Ophthalmology PAYE"/>
    <n v="2035"/>
    <x v="22"/>
    <n v="1083268.8246898991"/>
    <n v="0.02"/>
    <n v="0.01"/>
    <n v="0.01"/>
    <n v="6.2100000000000002E-2"/>
    <n v="0.03"/>
    <n v="0.02"/>
    <n v="0.06"/>
    <n v="0.02"/>
    <n v="0.02"/>
    <n v="0.02"/>
    <n v="0.9"/>
    <n v="180000"/>
    <n v="176460"/>
    <n v="304980"/>
    <n v="210120"/>
    <n v="408000"/>
    <n v="140000"/>
  </r>
  <r>
    <x v="0"/>
    <x v="3"/>
    <x v="5"/>
    <s v="Ophthalmology PAYE"/>
    <n v="2036"/>
    <x v="23"/>
    <n v="1147358.5885807059"/>
    <n v="0.02"/>
    <n v="0.01"/>
    <n v="0.01"/>
    <n v="6.2100000000000002E-2"/>
    <n v="0.03"/>
    <n v="0.02"/>
    <n v="0.06"/>
    <n v="0.02"/>
    <n v="0.02"/>
    <n v="0.02"/>
    <n v="0.9"/>
    <n v="180000"/>
    <n v="176460"/>
    <n v="304980"/>
    <n v="210120"/>
    <n v="408000"/>
    <n v="140000"/>
  </r>
  <r>
    <x v="0"/>
    <x v="3"/>
    <x v="5"/>
    <s v="Ophthalmology PAYE"/>
    <n v="2037"/>
    <x v="24"/>
    <n v="1220304.4590621758"/>
    <n v="0.02"/>
    <n v="0.01"/>
    <n v="0.01"/>
    <n v="6.2100000000000002E-2"/>
    <n v="0.03"/>
    <n v="0.02"/>
    <n v="0.06"/>
    <n v="0.02"/>
    <n v="0.02"/>
    <n v="0.02"/>
    <n v="0.9"/>
    <n v="180000"/>
    <n v="176460"/>
    <n v="304980"/>
    <n v="210120"/>
    <n v="408000"/>
    <n v="140000"/>
  </r>
  <r>
    <x v="0"/>
    <x v="3"/>
    <x v="5"/>
    <s v="Ophthalmology PAYE"/>
    <n v="2038"/>
    <x v="25"/>
    <n v="1291722.4698784768"/>
    <n v="0.02"/>
    <n v="0.01"/>
    <n v="0.01"/>
    <n v="6.2100000000000002E-2"/>
    <n v="0.03"/>
    <n v="0.02"/>
    <n v="0.06"/>
    <n v="0.02"/>
    <n v="0.02"/>
    <n v="0.02"/>
    <n v="0.9"/>
    <n v="180000"/>
    <n v="176460"/>
    <n v="304980"/>
    <n v="210120"/>
    <n v="408000"/>
    <n v="140000"/>
  </r>
  <r>
    <x v="0"/>
    <x v="3"/>
    <x v="5"/>
    <s v="Ophthalmology PAYE"/>
    <n v="2039"/>
    <x v="26"/>
    <n v="1361645.4202801017"/>
    <n v="0.02"/>
    <n v="0.01"/>
    <n v="0.01"/>
    <n v="6.2100000000000002E-2"/>
    <n v="0.03"/>
    <n v="0.02"/>
    <n v="0.06"/>
    <n v="0.02"/>
    <n v="0.02"/>
    <n v="0.02"/>
    <n v="0.9"/>
    <n v="180000"/>
    <n v="176460"/>
    <n v="304980"/>
    <n v="210120"/>
    <n v="408000"/>
    <n v="140000"/>
  </r>
  <r>
    <x v="0"/>
    <x v="3"/>
    <x v="5"/>
    <s v="Ophthalmology PAYE"/>
    <n v="2040"/>
    <x v="27"/>
    <n v="1430105.383641067"/>
    <n v="0.02"/>
    <n v="0.01"/>
    <n v="0.01"/>
    <n v="6.2100000000000002E-2"/>
    <n v="0.03"/>
    <n v="0.02"/>
    <n v="0.06"/>
    <n v="0.02"/>
    <n v="0.02"/>
    <n v="0.02"/>
    <n v="0.9"/>
    <n v="180000"/>
    <n v="176460"/>
    <n v="304980"/>
    <n v="210120"/>
    <n v="408000"/>
    <n v="140000"/>
  </r>
  <r>
    <x v="0"/>
    <x v="3"/>
    <x v="5"/>
    <s v="Ophthalmology PAYE"/>
    <n v="2041"/>
    <x v="28"/>
    <n v="1497133.7241020929"/>
    <n v="0.02"/>
    <n v="0.01"/>
    <n v="0.01"/>
    <n v="6.2100000000000002E-2"/>
    <n v="0.03"/>
    <n v="0.02"/>
    <n v="0.06"/>
    <n v="0.02"/>
    <n v="0.02"/>
    <n v="0.02"/>
    <n v="0.9"/>
    <n v="180000"/>
    <n v="176460"/>
    <n v="304980"/>
    <n v="210120"/>
    <n v="408000"/>
    <n v="140000"/>
  </r>
  <r>
    <x v="0"/>
    <x v="3"/>
    <x v="5"/>
    <s v="Ophthalmology PAYE"/>
    <n v="2042"/>
    <x v="29"/>
    <n v="1562761.1128172441"/>
    <n v="0.02"/>
    <n v="0.01"/>
    <n v="0.01"/>
    <n v="6.2100000000000002E-2"/>
    <n v="0.03"/>
    <n v="0.02"/>
    <n v="0.06"/>
    <n v="0.02"/>
    <n v="0.02"/>
    <n v="0.02"/>
    <n v="0.9"/>
    <n v="180000"/>
    <n v="176460"/>
    <n v="304980"/>
    <n v="210120"/>
    <n v="408000"/>
    <n v="140000"/>
  </r>
  <r>
    <x v="0"/>
    <x v="3"/>
    <x v="6"/>
    <s v="Ophthalmology STD10R"/>
    <n v="2013"/>
    <x v="0"/>
    <n v="-43015.05"/>
    <n v="0.02"/>
    <n v="0.01"/>
    <n v="0.01"/>
    <n v="6.2100000000000002E-2"/>
    <n v="0.03"/>
    <n v="0.02"/>
    <n v="0.06"/>
    <n v="0.02"/>
    <n v="0.02"/>
    <n v="0.02"/>
    <n v="0.9"/>
    <n v="180000"/>
    <n v="176460"/>
    <n v="304980"/>
    <n v="210120"/>
    <n v="408000"/>
    <n v="140000"/>
  </r>
  <r>
    <x v="0"/>
    <x v="3"/>
    <x v="6"/>
    <s v="Ophthalmology STD10R"/>
    <n v="2014"/>
    <x v="1"/>
    <n v="-86352.285865219877"/>
    <n v="0.02"/>
    <n v="0.01"/>
    <n v="0.01"/>
    <n v="6.2100000000000002E-2"/>
    <n v="0.03"/>
    <n v="0.02"/>
    <n v="0.06"/>
    <n v="0.02"/>
    <n v="0.02"/>
    <n v="0.02"/>
    <n v="0.9"/>
    <n v="180000"/>
    <n v="176460"/>
    <n v="304980"/>
    <n v="210120"/>
    <n v="408000"/>
    <n v="140000"/>
  </r>
  <r>
    <x v="0"/>
    <x v="3"/>
    <x v="6"/>
    <s v="Ophthalmology STD10R"/>
    <n v="2015"/>
    <x v="2"/>
    <n v="-138541.19578403595"/>
    <n v="0.02"/>
    <n v="0.01"/>
    <n v="0.01"/>
    <n v="6.2100000000000002E-2"/>
    <n v="0.03"/>
    <n v="0.02"/>
    <n v="0.06"/>
    <n v="0.02"/>
    <n v="0.02"/>
    <n v="0.02"/>
    <n v="0.9"/>
    <n v="180000"/>
    <n v="176460"/>
    <n v="304980"/>
    <n v="210120"/>
    <n v="408000"/>
    <n v="140000"/>
  </r>
  <r>
    <x v="0"/>
    <x v="3"/>
    <x v="6"/>
    <s v="Ophthalmology STD10R"/>
    <n v="2016"/>
    <x v="3"/>
    <n v="-190867.38028908212"/>
    <n v="0.02"/>
    <n v="0.01"/>
    <n v="0.01"/>
    <n v="6.2100000000000002E-2"/>
    <n v="0.03"/>
    <n v="0.02"/>
    <n v="0.06"/>
    <n v="0.02"/>
    <n v="0.02"/>
    <n v="0.02"/>
    <n v="0.9"/>
    <n v="180000"/>
    <n v="176460"/>
    <n v="304980"/>
    <n v="210120"/>
    <n v="408000"/>
    <n v="140000"/>
  </r>
  <r>
    <x v="0"/>
    <x v="3"/>
    <x v="6"/>
    <s v="Ophthalmology STD10R"/>
    <n v="2017"/>
    <x v="4"/>
    <n v="-169241.36987416679"/>
    <n v="0.02"/>
    <n v="0.01"/>
    <n v="0.01"/>
    <n v="6.2100000000000002E-2"/>
    <n v="0.03"/>
    <n v="0.02"/>
    <n v="0.06"/>
    <n v="0.02"/>
    <n v="0.02"/>
    <n v="0.02"/>
    <n v="0.9"/>
    <n v="180000"/>
    <n v="176460"/>
    <n v="304980"/>
    <n v="210120"/>
    <n v="408000"/>
    <n v="140000"/>
  </r>
  <r>
    <x v="0"/>
    <x v="3"/>
    <x v="6"/>
    <s v="Ophthalmology STD10R"/>
    <n v="2018"/>
    <x v="5"/>
    <n v="-158404.5549729077"/>
    <n v="0.02"/>
    <n v="0.01"/>
    <n v="0.01"/>
    <n v="6.2100000000000002E-2"/>
    <n v="0.03"/>
    <n v="0.02"/>
    <n v="0.06"/>
    <n v="0.02"/>
    <n v="0.02"/>
    <n v="0.02"/>
    <n v="0.9"/>
    <n v="180000"/>
    <n v="176460"/>
    <n v="304980"/>
    <n v="210120"/>
    <n v="408000"/>
    <n v="140000"/>
  </r>
  <r>
    <x v="0"/>
    <x v="3"/>
    <x v="6"/>
    <s v="Ophthalmology STD10R"/>
    <n v="2019"/>
    <x v="6"/>
    <n v="-146441.25737997922"/>
    <n v="0.02"/>
    <n v="0.01"/>
    <n v="0.01"/>
    <n v="6.2100000000000002E-2"/>
    <n v="0.03"/>
    <n v="0.02"/>
    <n v="0.06"/>
    <n v="0.02"/>
    <n v="0.02"/>
    <n v="0.02"/>
    <n v="0.9"/>
    <n v="180000"/>
    <n v="176460"/>
    <n v="304980"/>
    <n v="210120"/>
    <n v="408000"/>
    <n v="140000"/>
  </r>
  <r>
    <x v="0"/>
    <x v="3"/>
    <x v="6"/>
    <s v="Ophthalmology STD10R"/>
    <n v="2020"/>
    <x v="7"/>
    <n v="-133396.14329882836"/>
    <n v="0.02"/>
    <n v="0.01"/>
    <n v="0.01"/>
    <n v="6.2100000000000002E-2"/>
    <n v="0.03"/>
    <n v="0.02"/>
    <n v="0.06"/>
    <n v="0.02"/>
    <n v="0.02"/>
    <n v="0.02"/>
    <n v="0.9"/>
    <n v="180000"/>
    <n v="176460"/>
    <n v="304980"/>
    <n v="210120"/>
    <n v="408000"/>
    <n v="140000"/>
  </r>
  <r>
    <x v="0"/>
    <x v="3"/>
    <x v="6"/>
    <s v="Ophthalmology STD10R"/>
    <n v="2021"/>
    <x v="8"/>
    <n v="-45900.782267235554"/>
    <n v="0.02"/>
    <n v="0.01"/>
    <n v="0.01"/>
    <n v="6.2100000000000002E-2"/>
    <n v="0.03"/>
    <n v="0.02"/>
    <n v="0.06"/>
    <n v="0.02"/>
    <n v="0.02"/>
    <n v="0.02"/>
    <n v="0.9"/>
    <n v="180000"/>
    <n v="176460"/>
    <n v="304980"/>
    <n v="210120"/>
    <n v="408000"/>
    <n v="140000"/>
  </r>
  <r>
    <x v="0"/>
    <x v="3"/>
    <x v="6"/>
    <s v="Ophthalmology STD10R"/>
    <n v="2022"/>
    <x v="9"/>
    <n v="34777.593199235358"/>
    <n v="0.02"/>
    <n v="0.01"/>
    <n v="0.01"/>
    <n v="6.2100000000000002E-2"/>
    <n v="0.03"/>
    <n v="0.02"/>
    <n v="0.06"/>
    <n v="0.02"/>
    <n v="0.02"/>
    <n v="0.02"/>
    <n v="0.9"/>
    <n v="180000"/>
    <n v="176460"/>
    <n v="304980"/>
    <n v="210120"/>
    <n v="408000"/>
    <n v="140000"/>
  </r>
  <r>
    <x v="0"/>
    <x v="3"/>
    <x v="6"/>
    <s v="Ophthalmology STD10R"/>
    <n v="2023"/>
    <x v="10"/>
    <n v="114335.25496809394"/>
    <n v="0.02"/>
    <n v="0.01"/>
    <n v="0.01"/>
    <n v="6.2100000000000002E-2"/>
    <n v="0.03"/>
    <n v="0.02"/>
    <n v="0.06"/>
    <n v="0.02"/>
    <n v="0.02"/>
    <n v="0.02"/>
    <n v="0.9"/>
    <n v="180000"/>
    <n v="176460"/>
    <n v="304980"/>
    <n v="210120"/>
    <n v="408000"/>
    <n v="140000"/>
  </r>
  <r>
    <x v="0"/>
    <x v="3"/>
    <x v="6"/>
    <s v="Ophthalmology STD10R"/>
    <n v="2024"/>
    <x v="11"/>
    <n v="192770.58294646168"/>
    <n v="0.02"/>
    <n v="0.01"/>
    <n v="0.01"/>
    <n v="6.2100000000000002E-2"/>
    <n v="0.03"/>
    <n v="0.02"/>
    <n v="0.06"/>
    <n v="0.02"/>
    <n v="0.02"/>
    <n v="0.02"/>
    <n v="0.9"/>
    <n v="180000"/>
    <n v="176460"/>
    <n v="304980"/>
    <n v="210120"/>
    <n v="408000"/>
    <n v="140000"/>
  </r>
  <r>
    <x v="0"/>
    <x v="3"/>
    <x v="6"/>
    <s v="Ophthalmology STD10R"/>
    <n v="2025"/>
    <x v="12"/>
    <n v="270083.1654411538"/>
    <n v="0.02"/>
    <n v="0.01"/>
    <n v="0.01"/>
    <n v="6.2100000000000002E-2"/>
    <n v="0.03"/>
    <n v="0.02"/>
    <n v="0.06"/>
    <n v="0.02"/>
    <n v="0.02"/>
    <n v="0.02"/>
    <n v="0.9"/>
    <n v="180000"/>
    <n v="176460"/>
    <n v="304980"/>
    <n v="210120"/>
    <n v="408000"/>
    <n v="140000"/>
  </r>
  <r>
    <x v="0"/>
    <x v="3"/>
    <x v="6"/>
    <s v="Ophthalmology STD10R"/>
    <n v="2026"/>
    <x v="13"/>
    <n v="346273.71762256062"/>
    <n v="0.02"/>
    <n v="0.01"/>
    <n v="0.01"/>
    <n v="6.2100000000000002E-2"/>
    <n v="0.03"/>
    <n v="0.02"/>
    <n v="0.06"/>
    <n v="0.02"/>
    <n v="0.02"/>
    <n v="0.02"/>
    <n v="0.9"/>
    <n v="180000"/>
    <n v="176460"/>
    <n v="304980"/>
    <n v="210120"/>
    <n v="408000"/>
    <n v="140000"/>
  </r>
  <r>
    <x v="0"/>
    <x v="3"/>
    <x v="6"/>
    <s v="Ophthalmology STD10R"/>
    <n v="2027"/>
    <x v="14"/>
    <n v="428646.3246659569"/>
    <n v="0.02"/>
    <n v="0.01"/>
    <n v="0.01"/>
    <n v="6.2100000000000002E-2"/>
    <n v="0.03"/>
    <n v="0.02"/>
    <n v="0.06"/>
    <n v="0.02"/>
    <n v="0.02"/>
    <n v="0.02"/>
    <n v="0.9"/>
    <n v="180000"/>
    <n v="176460"/>
    <n v="304980"/>
    <n v="210120"/>
    <n v="408000"/>
    <n v="140000"/>
  </r>
  <r>
    <x v="0"/>
    <x v="3"/>
    <x v="6"/>
    <s v="Ophthalmology STD10R"/>
    <n v="2028"/>
    <x v="15"/>
    <n v="516500.32567519939"/>
    <n v="0.02"/>
    <n v="0.01"/>
    <n v="0.01"/>
    <n v="6.2100000000000002E-2"/>
    <n v="0.03"/>
    <n v="0.02"/>
    <n v="0.06"/>
    <n v="0.02"/>
    <n v="0.02"/>
    <n v="0.02"/>
    <n v="0.9"/>
    <n v="180000"/>
    <n v="176460"/>
    <n v="304980"/>
    <n v="210120"/>
    <n v="408000"/>
    <n v="140000"/>
  </r>
  <r>
    <x v="0"/>
    <x v="3"/>
    <x v="6"/>
    <s v="Ophthalmology STD10R"/>
    <n v="2029"/>
    <x v="16"/>
    <n v="602570.92796612286"/>
    <n v="0.02"/>
    <n v="0.01"/>
    <n v="0.01"/>
    <n v="6.2100000000000002E-2"/>
    <n v="0.03"/>
    <n v="0.02"/>
    <n v="0.06"/>
    <n v="0.02"/>
    <n v="0.02"/>
    <n v="0.02"/>
    <n v="0.9"/>
    <n v="180000"/>
    <n v="176460"/>
    <n v="304980"/>
    <n v="210120"/>
    <n v="408000"/>
    <n v="140000"/>
  </r>
  <r>
    <x v="0"/>
    <x v="3"/>
    <x v="6"/>
    <s v="Ophthalmology STD10R"/>
    <n v="2030"/>
    <x v="17"/>
    <n v="686894.87017738365"/>
    <n v="0.02"/>
    <n v="0.01"/>
    <n v="0.01"/>
    <n v="6.2100000000000002E-2"/>
    <n v="0.03"/>
    <n v="0.02"/>
    <n v="0.06"/>
    <n v="0.02"/>
    <n v="0.02"/>
    <n v="0.02"/>
    <n v="0.9"/>
    <n v="180000"/>
    <n v="176460"/>
    <n v="304980"/>
    <n v="210120"/>
    <n v="408000"/>
    <n v="140000"/>
  </r>
  <r>
    <x v="0"/>
    <x v="3"/>
    <x v="6"/>
    <s v="Ophthalmology STD10R"/>
    <n v="2031"/>
    <x v="18"/>
    <n v="769508.11902771785"/>
    <n v="0.02"/>
    <n v="0.01"/>
    <n v="0.01"/>
    <n v="6.2100000000000002E-2"/>
    <n v="0.03"/>
    <n v="0.02"/>
    <n v="0.06"/>
    <n v="0.02"/>
    <n v="0.02"/>
    <n v="0.02"/>
    <n v="0.9"/>
    <n v="180000"/>
    <n v="176460"/>
    <n v="304980"/>
    <n v="210120"/>
    <n v="408000"/>
    <n v="140000"/>
  </r>
  <r>
    <x v="0"/>
    <x v="3"/>
    <x v="6"/>
    <s v="Ophthalmology STD10R"/>
    <n v="2032"/>
    <x v="19"/>
    <n v="850445.88595321216"/>
    <n v="0.02"/>
    <n v="0.01"/>
    <n v="0.01"/>
    <n v="6.2100000000000002E-2"/>
    <n v="0.03"/>
    <n v="0.02"/>
    <n v="0.06"/>
    <n v="0.02"/>
    <n v="0.02"/>
    <n v="0.02"/>
    <n v="0.9"/>
    <n v="180000"/>
    <n v="176460"/>
    <n v="304980"/>
    <n v="210120"/>
    <n v="408000"/>
    <n v="140000"/>
  </r>
  <r>
    <x v="0"/>
    <x v="3"/>
    <x v="6"/>
    <s v="Ophthalmology STD10R"/>
    <n v="2033"/>
    <x v="20"/>
    <n v="929742.64337461814"/>
    <n v="0.02"/>
    <n v="0.01"/>
    <n v="0.01"/>
    <n v="6.2100000000000002E-2"/>
    <n v="0.03"/>
    <n v="0.02"/>
    <n v="0.06"/>
    <n v="0.02"/>
    <n v="0.02"/>
    <n v="0.02"/>
    <n v="0.9"/>
    <n v="180000"/>
    <n v="176460"/>
    <n v="304980"/>
    <n v="210120"/>
    <n v="408000"/>
    <n v="140000"/>
  </r>
  <r>
    <x v="0"/>
    <x v="3"/>
    <x v="6"/>
    <s v="Ophthalmology STD10R"/>
    <n v="2034"/>
    <x v="21"/>
    <n v="1007432.140603238"/>
    <n v="0.02"/>
    <n v="0.01"/>
    <n v="0.01"/>
    <n v="6.2100000000000002E-2"/>
    <n v="0.03"/>
    <n v="0.02"/>
    <n v="0.06"/>
    <n v="0.02"/>
    <n v="0.02"/>
    <n v="0.02"/>
    <n v="0.9"/>
    <n v="180000"/>
    <n v="176460"/>
    <n v="304980"/>
    <n v="210120"/>
    <n v="408000"/>
    <n v="140000"/>
  </r>
  <r>
    <x v="0"/>
    <x v="3"/>
    <x v="6"/>
    <s v="Ophthalmology STD10R"/>
    <n v="2035"/>
    <x v="22"/>
    <n v="1083535.117338391"/>
    <n v="0.02"/>
    <n v="0.01"/>
    <n v="0.01"/>
    <n v="6.2100000000000002E-2"/>
    <n v="0.03"/>
    <n v="0.02"/>
    <n v="0.06"/>
    <n v="0.02"/>
    <n v="0.02"/>
    <n v="0.02"/>
    <n v="0.9"/>
    <n v="180000"/>
    <n v="176460"/>
    <n v="304980"/>
    <n v="210120"/>
    <n v="408000"/>
    <n v="140000"/>
  </r>
  <r>
    <x v="0"/>
    <x v="3"/>
    <x v="6"/>
    <s v="Ophthalmology STD10R"/>
    <n v="2036"/>
    <x v="23"/>
    <n v="1158042.3896617985"/>
    <n v="0.02"/>
    <n v="0.01"/>
    <n v="0.01"/>
    <n v="6.2100000000000002E-2"/>
    <n v="0.03"/>
    <n v="0.02"/>
    <n v="0.06"/>
    <n v="0.02"/>
    <n v="0.02"/>
    <n v="0.02"/>
    <n v="0.9"/>
    <n v="180000"/>
    <n v="176460"/>
    <n v="304980"/>
    <n v="210120"/>
    <n v="408000"/>
    <n v="140000"/>
  </r>
  <r>
    <x v="0"/>
    <x v="3"/>
    <x v="6"/>
    <s v="Ophthalmology STD10R"/>
    <n v="2037"/>
    <x v="24"/>
    <n v="1230988.2601432684"/>
    <n v="0.02"/>
    <n v="0.01"/>
    <n v="0.01"/>
    <n v="6.2100000000000002E-2"/>
    <n v="0.03"/>
    <n v="0.02"/>
    <n v="0.06"/>
    <n v="0.02"/>
    <n v="0.02"/>
    <n v="0.02"/>
    <n v="0.9"/>
    <n v="180000"/>
    <n v="176460"/>
    <n v="304980"/>
    <n v="210120"/>
    <n v="408000"/>
    <n v="140000"/>
  </r>
  <r>
    <x v="0"/>
    <x v="3"/>
    <x v="6"/>
    <s v="Ophthalmology STD10R"/>
    <n v="2038"/>
    <x v="25"/>
    <n v="1302406.2709595694"/>
    <n v="0.02"/>
    <n v="0.01"/>
    <n v="0.01"/>
    <n v="6.2100000000000002E-2"/>
    <n v="0.03"/>
    <n v="0.02"/>
    <n v="0.06"/>
    <n v="0.02"/>
    <n v="0.02"/>
    <n v="0.02"/>
    <n v="0.9"/>
    <n v="180000"/>
    <n v="176460"/>
    <n v="304980"/>
    <n v="210120"/>
    <n v="408000"/>
    <n v="140000"/>
  </r>
  <r>
    <x v="0"/>
    <x v="3"/>
    <x v="6"/>
    <s v="Ophthalmology STD10R"/>
    <n v="2039"/>
    <x v="26"/>
    <n v="1372329.2213611943"/>
    <n v="0.02"/>
    <n v="0.01"/>
    <n v="0.01"/>
    <n v="6.2100000000000002E-2"/>
    <n v="0.03"/>
    <n v="0.02"/>
    <n v="0.06"/>
    <n v="0.02"/>
    <n v="0.02"/>
    <n v="0.02"/>
    <n v="0.9"/>
    <n v="180000"/>
    <n v="176460"/>
    <n v="304980"/>
    <n v="210120"/>
    <n v="408000"/>
    <n v="140000"/>
  </r>
  <r>
    <x v="0"/>
    <x v="3"/>
    <x v="6"/>
    <s v="Ophthalmology STD10R"/>
    <n v="2040"/>
    <x v="27"/>
    <n v="1440789.1847221595"/>
    <n v="0.02"/>
    <n v="0.01"/>
    <n v="0.01"/>
    <n v="6.2100000000000002E-2"/>
    <n v="0.03"/>
    <n v="0.02"/>
    <n v="0.06"/>
    <n v="0.02"/>
    <n v="0.02"/>
    <n v="0.02"/>
    <n v="0.9"/>
    <n v="180000"/>
    <n v="176460"/>
    <n v="304980"/>
    <n v="210120"/>
    <n v="408000"/>
    <n v="140000"/>
  </r>
  <r>
    <x v="0"/>
    <x v="3"/>
    <x v="6"/>
    <s v="Ophthalmology STD10R"/>
    <n v="2041"/>
    <x v="28"/>
    <n v="1507817.5251831855"/>
    <n v="0.02"/>
    <n v="0.01"/>
    <n v="0.01"/>
    <n v="6.2100000000000002E-2"/>
    <n v="0.03"/>
    <n v="0.02"/>
    <n v="0.06"/>
    <n v="0.02"/>
    <n v="0.02"/>
    <n v="0.02"/>
    <n v="0.9"/>
    <n v="180000"/>
    <n v="176460"/>
    <n v="304980"/>
    <n v="210120"/>
    <n v="408000"/>
    <n v="140000"/>
  </r>
  <r>
    <x v="0"/>
    <x v="3"/>
    <x v="6"/>
    <s v="Ophthalmology STD10R"/>
    <n v="2042"/>
    <x v="29"/>
    <n v="1573444.9138983367"/>
    <n v="0.02"/>
    <n v="0.01"/>
    <n v="0.01"/>
    <n v="6.2100000000000002E-2"/>
    <n v="0.03"/>
    <n v="0.02"/>
    <n v="0.06"/>
    <n v="0.02"/>
    <n v="0.02"/>
    <n v="0.02"/>
    <n v="0.9"/>
    <n v="180000"/>
    <n v="176460"/>
    <n v="304980"/>
    <n v="210120"/>
    <n v="408000"/>
    <n v="140000"/>
  </r>
  <r>
    <x v="0"/>
    <x v="3"/>
    <x v="7"/>
    <s v="Ophthalmology IBRR"/>
    <n v="2013"/>
    <x v="0"/>
    <n v="-43015.05"/>
    <n v="0.02"/>
    <n v="0.01"/>
    <n v="0.01"/>
    <n v="6.2100000000000002E-2"/>
    <n v="0.03"/>
    <n v="0.02"/>
    <n v="0.06"/>
    <n v="0.02"/>
    <n v="0.02"/>
    <n v="0.02"/>
    <n v="0.9"/>
    <n v="180000"/>
    <n v="176460"/>
    <n v="304980"/>
    <n v="210120"/>
    <n v="408000"/>
    <n v="140000"/>
  </r>
  <r>
    <x v="0"/>
    <x v="3"/>
    <x v="7"/>
    <s v="Ophthalmology IBRR"/>
    <n v="2014"/>
    <x v="1"/>
    <n v="-86352.285865219877"/>
    <n v="0.02"/>
    <n v="0.01"/>
    <n v="0.01"/>
    <n v="6.2100000000000002E-2"/>
    <n v="0.03"/>
    <n v="0.02"/>
    <n v="0.06"/>
    <n v="0.02"/>
    <n v="0.02"/>
    <n v="0.02"/>
    <n v="0.9"/>
    <n v="180000"/>
    <n v="176460"/>
    <n v="304980"/>
    <n v="210120"/>
    <n v="408000"/>
    <n v="140000"/>
  </r>
  <r>
    <x v="0"/>
    <x v="3"/>
    <x v="7"/>
    <s v="Ophthalmology IBRR"/>
    <n v="2015"/>
    <x v="2"/>
    <n v="-138541.19578403595"/>
    <n v="0.02"/>
    <n v="0.01"/>
    <n v="0.01"/>
    <n v="6.2100000000000002E-2"/>
    <n v="0.03"/>
    <n v="0.02"/>
    <n v="0.06"/>
    <n v="0.02"/>
    <n v="0.02"/>
    <n v="0.02"/>
    <n v="0.9"/>
    <n v="180000"/>
    <n v="176460"/>
    <n v="304980"/>
    <n v="210120"/>
    <n v="408000"/>
    <n v="140000"/>
  </r>
  <r>
    <x v="0"/>
    <x v="3"/>
    <x v="7"/>
    <s v="Ophthalmology IBRR"/>
    <n v="2016"/>
    <x v="3"/>
    <n v="-190867.38028908212"/>
    <n v="0.02"/>
    <n v="0.01"/>
    <n v="0.01"/>
    <n v="6.2100000000000002E-2"/>
    <n v="0.03"/>
    <n v="0.02"/>
    <n v="0.06"/>
    <n v="0.02"/>
    <n v="0.02"/>
    <n v="0.02"/>
    <n v="0.9"/>
    <n v="180000"/>
    <n v="176460"/>
    <n v="304980"/>
    <n v="210120"/>
    <n v="408000"/>
    <n v="140000"/>
  </r>
  <r>
    <x v="0"/>
    <x v="3"/>
    <x v="7"/>
    <s v="Ophthalmology IBRR"/>
    <n v="2017"/>
    <x v="4"/>
    <n v="-161673.72697596412"/>
    <n v="0.02"/>
    <n v="0.01"/>
    <n v="0.01"/>
    <n v="6.2100000000000002E-2"/>
    <n v="0.03"/>
    <n v="0.02"/>
    <n v="0.06"/>
    <n v="0.02"/>
    <n v="0.02"/>
    <n v="0.02"/>
    <n v="0.9"/>
    <n v="180000"/>
    <n v="176460"/>
    <n v="304980"/>
    <n v="210120"/>
    <n v="408000"/>
    <n v="140000"/>
  </r>
  <r>
    <x v="0"/>
    <x v="3"/>
    <x v="7"/>
    <s v="Ophthalmology IBRR"/>
    <n v="2018"/>
    <x v="5"/>
    <n v="-132585.52546268981"/>
    <n v="0.02"/>
    <n v="0.01"/>
    <n v="0.01"/>
    <n v="6.2100000000000002E-2"/>
    <n v="0.03"/>
    <n v="0.02"/>
    <n v="0.06"/>
    <n v="0.02"/>
    <n v="0.02"/>
    <n v="0.02"/>
    <n v="0.9"/>
    <n v="180000"/>
    <n v="176460"/>
    <n v="304980"/>
    <n v="210120"/>
    <n v="408000"/>
    <n v="140000"/>
  </r>
  <r>
    <x v="0"/>
    <x v="3"/>
    <x v="7"/>
    <s v="Ophthalmology IBRR"/>
    <n v="2019"/>
    <x v="6"/>
    <n v="-103593.03997577081"/>
    <n v="0.02"/>
    <n v="0.01"/>
    <n v="0.01"/>
    <n v="6.2100000000000002E-2"/>
    <n v="0.03"/>
    <n v="0.02"/>
    <n v="0.06"/>
    <n v="0.02"/>
    <n v="0.02"/>
    <n v="0.02"/>
    <n v="0.9"/>
    <n v="180000"/>
    <n v="176460"/>
    <n v="304980"/>
    <n v="210120"/>
    <n v="408000"/>
    <n v="140000"/>
  </r>
  <r>
    <x v="0"/>
    <x v="3"/>
    <x v="7"/>
    <s v="Ophthalmology IBRR"/>
    <n v="2020"/>
    <x v="7"/>
    <n v="-74686.7586801039"/>
    <n v="0.02"/>
    <n v="0.01"/>
    <n v="0.01"/>
    <n v="6.2100000000000002E-2"/>
    <n v="0.03"/>
    <n v="0.02"/>
    <n v="0.06"/>
    <n v="0.02"/>
    <n v="0.02"/>
    <n v="0.02"/>
    <n v="0.9"/>
    <n v="180000"/>
    <n v="176460"/>
    <n v="304980"/>
    <n v="210120"/>
    <n v="408000"/>
    <n v="140000"/>
  </r>
  <r>
    <x v="0"/>
    <x v="3"/>
    <x v="7"/>
    <s v="Ophthalmology IBRR"/>
    <n v="2021"/>
    <x v="8"/>
    <n v="12808.602351488909"/>
    <n v="0.02"/>
    <n v="0.01"/>
    <n v="0.01"/>
    <n v="6.2100000000000002E-2"/>
    <n v="0.03"/>
    <n v="0.02"/>
    <n v="0.06"/>
    <n v="0.02"/>
    <n v="0.02"/>
    <n v="0.02"/>
    <n v="0.9"/>
    <n v="180000"/>
    <n v="176460"/>
    <n v="304980"/>
    <n v="210120"/>
    <n v="408000"/>
    <n v="140000"/>
  </r>
  <r>
    <x v="0"/>
    <x v="3"/>
    <x v="7"/>
    <s v="Ophthalmology IBRR"/>
    <n v="2022"/>
    <x v="9"/>
    <n v="93486.977817959822"/>
    <n v="0.02"/>
    <n v="0.01"/>
    <n v="0.01"/>
    <n v="6.2100000000000002E-2"/>
    <n v="0.03"/>
    <n v="0.02"/>
    <n v="0.06"/>
    <n v="0.02"/>
    <n v="0.02"/>
    <n v="0.02"/>
    <n v="0.9"/>
    <n v="180000"/>
    <n v="176460"/>
    <n v="304980"/>
    <n v="210120"/>
    <n v="408000"/>
    <n v="140000"/>
  </r>
  <r>
    <x v="0"/>
    <x v="3"/>
    <x v="7"/>
    <s v="Ophthalmology IBRR"/>
    <n v="2023"/>
    <x v="10"/>
    <n v="173044.6395868184"/>
    <n v="0.02"/>
    <n v="0.01"/>
    <n v="0.01"/>
    <n v="6.2100000000000002E-2"/>
    <n v="0.03"/>
    <n v="0.02"/>
    <n v="0.06"/>
    <n v="0.02"/>
    <n v="0.02"/>
    <n v="0.02"/>
    <n v="0.9"/>
    <n v="180000"/>
    <n v="176460"/>
    <n v="304980"/>
    <n v="210120"/>
    <n v="408000"/>
    <n v="140000"/>
  </r>
  <r>
    <x v="0"/>
    <x v="3"/>
    <x v="7"/>
    <s v="Ophthalmology IBRR"/>
    <n v="2024"/>
    <x v="11"/>
    <n v="251479.96756518615"/>
    <n v="0.02"/>
    <n v="0.01"/>
    <n v="0.01"/>
    <n v="6.2100000000000002E-2"/>
    <n v="0.03"/>
    <n v="0.02"/>
    <n v="0.06"/>
    <n v="0.02"/>
    <n v="0.02"/>
    <n v="0.02"/>
    <n v="0.9"/>
    <n v="180000"/>
    <n v="176460"/>
    <n v="304980"/>
    <n v="210120"/>
    <n v="408000"/>
    <n v="140000"/>
  </r>
  <r>
    <x v="0"/>
    <x v="3"/>
    <x v="7"/>
    <s v="Ophthalmology IBRR"/>
    <n v="2025"/>
    <x v="12"/>
    <n v="328792.55005987827"/>
    <n v="0.02"/>
    <n v="0.01"/>
    <n v="0.01"/>
    <n v="6.2100000000000002E-2"/>
    <n v="0.03"/>
    <n v="0.02"/>
    <n v="0.06"/>
    <n v="0.02"/>
    <n v="0.02"/>
    <n v="0.02"/>
    <n v="0.9"/>
    <n v="180000"/>
    <n v="176460"/>
    <n v="304980"/>
    <n v="210120"/>
    <n v="408000"/>
    <n v="140000"/>
  </r>
  <r>
    <x v="0"/>
    <x v="3"/>
    <x v="7"/>
    <s v="Ophthalmology IBRR"/>
    <n v="2026"/>
    <x v="13"/>
    <n v="404983.10224128509"/>
    <n v="0.02"/>
    <n v="0.01"/>
    <n v="0.01"/>
    <n v="6.2100000000000002E-2"/>
    <n v="0.03"/>
    <n v="0.02"/>
    <n v="0.06"/>
    <n v="0.02"/>
    <n v="0.02"/>
    <n v="0.02"/>
    <n v="0.9"/>
    <n v="180000"/>
    <n v="176460"/>
    <n v="304980"/>
    <n v="210120"/>
    <n v="408000"/>
    <n v="140000"/>
  </r>
  <r>
    <x v="0"/>
    <x v="3"/>
    <x v="7"/>
    <s v="Ophthalmology IBRR"/>
    <n v="2027"/>
    <x v="14"/>
    <n v="480053.38902597502"/>
    <n v="0.02"/>
    <n v="0.01"/>
    <n v="0.01"/>
    <n v="6.2100000000000002E-2"/>
    <n v="0.03"/>
    <n v="0.02"/>
    <n v="0.06"/>
    <n v="0.02"/>
    <n v="0.02"/>
    <n v="0.02"/>
    <n v="0.9"/>
    <n v="180000"/>
    <n v="176460"/>
    <n v="304980"/>
    <n v="210120"/>
    <n v="408000"/>
    <n v="140000"/>
  </r>
  <r>
    <x v="0"/>
    <x v="3"/>
    <x v="7"/>
    <s v="Ophthalmology IBRR"/>
    <n v="2028"/>
    <x v="15"/>
    <n v="554006.15215456556"/>
    <n v="0.02"/>
    <n v="0.01"/>
    <n v="0.01"/>
    <n v="6.2100000000000002E-2"/>
    <n v="0.03"/>
    <n v="0.02"/>
    <n v="0.06"/>
    <n v="0.02"/>
    <n v="0.02"/>
    <n v="0.02"/>
    <n v="0.9"/>
    <n v="180000"/>
    <n v="176460"/>
    <n v="304980"/>
    <n v="210120"/>
    <n v="408000"/>
    <n v="140000"/>
  </r>
  <r>
    <x v="0"/>
    <x v="3"/>
    <x v="7"/>
    <s v="Ophthalmology IBRR"/>
    <n v="2029"/>
    <x v="16"/>
    <n v="626845.04125240701"/>
    <n v="0.02"/>
    <n v="0.01"/>
    <n v="0.01"/>
    <n v="6.2100000000000002E-2"/>
    <n v="0.03"/>
    <n v="0.02"/>
    <n v="0.06"/>
    <n v="0.02"/>
    <n v="0.02"/>
    <n v="0.02"/>
    <n v="0.9"/>
    <n v="180000"/>
    <n v="176460"/>
    <n v="304980"/>
    <n v="210120"/>
    <n v="408000"/>
    <n v="140000"/>
  </r>
  <r>
    <x v="0"/>
    <x v="3"/>
    <x v="7"/>
    <s v="Ophthalmology IBRR"/>
    <n v="2030"/>
    <x v="17"/>
    <n v="698574.54867109016"/>
    <n v="0.02"/>
    <n v="0.01"/>
    <n v="0.01"/>
    <n v="6.2100000000000002E-2"/>
    <n v="0.03"/>
    <n v="0.02"/>
    <n v="0.06"/>
    <n v="0.02"/>
    <n v="0.02"/>
    <n v="0.02"/>
    <n v="0.9"/>
    <n v="180000"/>
    <n v="176460"/>
    <n v="304980"/>
    <n v="210120"/>
    <n v="408000"/>
    <n v="140000"/>
  </r>
  <r>
    <x v="0"/>
    <x v="3"/>
    <x v="7"/>
    <s v="Ophthalmology IBRR"/>
    <n v="2031"/>
    <x v="18"/>
    <n v="769199.94791874243"/>
    <n v="0.02"/>
    <n v="0.01"/>
    <n v="0.01"/>
    <n v="6.2100000000000002E-2"/>
    <n v="0.03"/>
    <n v="0.02"/>
    <n v="0.06"/>
    <n v="0.02"/>
    <n v="0.02"/>
    <n v="0.02"/>
    <n v="0.9"/>
    <n v="180000"/>
    <n v="176460"/>
    <n v="304980"/>
    <n v="210120"/>
    <n v="408000"/>
    <n v="140000"/>
  </r>
  <r>
    <x v="0"/>
    <x v="3"/>
    <x v="7"/>
    <s v="Ophthalmology IBRR"/>
    <n v="2032"/>
    <x v="19"/>
    <n v="844481.71986372327"/>
    <n v="0.02"/>
    <n v="0.01"/>
    <n v="0.01"/>
    <n v="6.2100000000000002E-2"/>
    <n v="0.03"/>
    <n v="0.02"/>
    <n v="0.06"/>
    <n v="0.02"/>
    <n v="0.02"/>
    <n v="0.02"/>
    <n v="0.9"/>
    <n v="180000"/>
    <n v="176460"/>
    <n v="304980"/>
    <n v="210120"/>
    <n v="408000"/>
    <n v="140000"/>
  </r>
  <r>
    <x v="0"/>
    <x v="3"/>
    <x v="7"/>
    <s v="Ophthalmology IBRR"/>
    <n v="2033"/>
    <x v="20"/>
    <n v="923778.47728512925"/>
    <n v="0.02"/>
    <n v="0.01"/>
    <n v="0.01"/>
    <n v="6.2100000000000002E-2"/>
    <n v="0.03"/>
    <n v="0.02"/>
    <n v="0.06"/>
    <n v="0.02"/>
    <n v="0.02"/>
    <n v="0.02"/>
    <n v="0.9"/>
    <n v="180000"/>
    <n v="176460"/>
    <n v="304980"/>
    <n v="210120"/>
    <n v="408000"/>
    <n v="140000"/>
  </r>
  <r>
    <x v="0"/>
    <x v="3"/>
    <x v="7"/>
    <s v="Ophthalmology IBRR"/>
    <n v="2034"/>
    <x v="21"/>
    <n v="1001467.9745137491"/>
    <n v="0.02"/>
    <n v="0.01"/>
    <n v="0.01"/>
    <n v="6.2100000000000002E-2"/>
    <n v="0.03"/>
    <n v="0.02"/>
    <n v="0.06"/>
    <n v="0.02"/>
    <n v="0.02"/>
    <n v="0.02"/>
    <n v="0.9"/>
    <n v="180000"/>
    <n v="176460"/>
    <n v="304980"/>
    <n v="210120"/>
    <n v="408000"/>
    <n v="140000"/>
  </r>
  <r>
    <x v="0"/>
    <x v="3"/>
    <x v="7"/>
    <s v="Ophthalmology IBRR"/>
    <n v="2035"/>
    <x v="22"/>
    <n v="1077570.9512489021"/>
    <n v="0.02"/>
    <n v="0.01"/>
    <n v="0.01"/>
    <n v="6.2100000000000002E-2"/>
    <n v="0.03"/>
    <n v="0.02"/>
    <n v="0.06"/>
    <n v="0.02"/>
    <n v="0.02"/>
    <n v="0.02"/>
    <n v="0.9"/>
    <n v="180000"/>
    <n v="176460"/>
    <n v="304980"/>
    <n v="210120"/>
    <n v="408000"/>
    <n v="140000"/>
  </r>
  <r>
    <x v="0"/>
    <x v="3"/>
    <x v="7"/>
    <s v="Ophthalmology IBRR"/>
    <n v="2036"/>
    <x v="23"/>
    <n v="1152078.2235723096"/>
    <n v="0.02"/>
    <n v="0.01"/>
    <n v="0.01"/>
    <n v="6.2100000000000002E-2"/>
    <n v="0.03"/>
    <n v="0.02"/>
    <n v="0.06"/>
    <n v="0.02"/>
    <n v="0.02"/>
    <n v="0.02"/>
    <n v="0.9"/>
    <n v="180000"/>
    <n v="176460"/>
    <n v="304980"/>
    <n v="210120"/>
    <n v="408000"/>
    <n v="140000"/>
  </r>
  <r>
    <x v="0"/>
    <x v="3"/>
    <x v="7"/>
    <s v="Ophthalmology IBRR"/>
    <n v="2037"/>
    <x v="24"/>
    <n v="1225024.0940537795"/>
    <n v="0.02"/>
    <n v="0.01"/>
    <n v="0.01"/>
    <n v="6.2100000000000002E-2"/>
    <n v="0.03"/>
    <n v="0.02"/>
    <n v="0.06"/>
    <n v="0.02"/>
    <n v="0.02"/>
    <n v="0.02"/>
    <n v="0.9"/>
    <n v="180000"/>
    <n v="176460"/>
    <n v="304980"/>
    <n v="210120"/>
    <n v="408000"/>
    <n v="140000"/>
  </r>
  <r>
    <x v="0"/>
    <x v="3"/>
    <x v="7"/>
    <s v="Ophthalmology IBRR"/>
    <n v="2038"/>
    <x v="25"/>
    <n v="1296442.1048700805"/>
    <n v="0.02"/>
    <n v="0.01"/>
    <n v="0.01"/>
    <n v="6.2100000000000002E-2"/>
    <n v="0.03"/>
    <n v="0.02"/>
    <n v="0.06"/>
    <n v="0.02"/>
    <n v="0.02"/>
    <n v="0.02"/>
    <n v="0.9"/>
    <n v="180000"/>
    <n v="176460"/>
    <n v="304980"/>
    <n v="210120"/>
    <n v="408000"/>
    <n v="140000"/>
  </r>
  <r>
    <x v="0"/>
    <x v="3"/>
    <x v="7"/>
    <s v="Ophthalmology IBRR"/>
    <n v="2039"/>
    <x v="26"/>
    <n v="1366365.0552717054"/>
    <n v="0.02"/>
    <n v="0.01"/>
    <n v="0.01"/>
    <n v="6.2100000000000002E-2"/>
    <n v="0.03"/>
    <n v="0.02"/>
    <n v="0.06"/>
    <n v="0.02"/>
    <n v="0.02"/>
    <n v="0.02"/>
    <n v="0.9"/>
    <n v="180000"/>
    <n v="176460"/>
    <n v="304980"/>
    <n v="210120"/>
    <n v="408000"/>
    <n v="140000"/>
  </r>
  <r>
    <x v="0"/>
    <x v="3"/>
    <x v="7"/>
    <s v="Ophthalmology IBRR"/>
    <n v="2040"/>
    <x v="27"/>
    <n v="1434825.0186326706"/>
    <n v="0.02"/>
    <n v="0.01"/>
    <n v="0.01"/>
    <n v="6.2100000000000002E-2"/>
    <n v="0.03"/>
    <n v="0.02"/>
    <n v="0.06"/>
    <n v="0.02"/>
    <n v="0.02"/>
    <n v="0.02"/>
    <n v="0.9"/>
    <n v="180000"/>
    <n v="176460"/>
    <n v="304980"/>
    <n v="210120"/>
    <n v="408000"/>
    <n v="140000"/>
  </r>
  <r>
    <x v="0"/>
    <x v="3"/>
    <x v="7"/>
    <s v="Ophthalmology IBRR"/>
    <n v="2041"/>
    <x v="28"/>
    <n v="1501853.3590936966"/>
    <n v="0.02"/>
    <n v="0.01"/>
    <n v="0.01"/>
    <n v="6.2100000000000002E-2"/>
    <n v="0.03"/>
    <n v="0.02"/>
    <n v="0.06"/>
    <n v="0.02"/>
    <n v="0.02"/>
    <n v="0.02"/>
    <n v="0.9"/>
    <n v="180000"/>
    <n v="176460"/>
    <n v="304980"/>
    <n v="210120"/>
    <n v="408000"/>
    <n v="140000"/>
  </r>
  <r>
    <x v="0"/>
    <x v="3"/>
    <x v="7"/>
    <s v="Ophthalmology IBRR"/>
    <n v="2042"/>
    <x v="29"/>
    <n v="1567480.7478088478"/>
    <n v="0.02"/>
    <n v="0.01"/>
    <n v="0.01"/>
    <n v="6.2100000000000002E-2"/>
    <n v="0.03"/>
    <n v="0.02"/>
    <n v="0.06"/>
    <n v="0.02"/>
    <n v="0.02"/>
    <n v="0.02"/>
    <n v="0.9"/>
    <n v="180000"/>
    <n v="176460"/>
    <n v="304980"/>
    <n v="210120"/>
    <n v="408000"/>
    <n v="140000"/>
  </r>
  <r>
    <x v="0"/>
    <x v="3"/>
    <x v="8"/>
    <s v="Ophthalmology PAYER"/>
    <n v="2013"/>
    <x v="0"/>
    <n v="-43015.05"/>
    <n v="0.02"/>
    <n v="0.01"/>
    <n v="0.01"/>
    <n v="6.2100000000000002E-2"/>
    <n v="0.03"/>
    <n v="0.02"/>
    <n v="0.06"/>
    <n v="0.02"/>
    <n v="0.02"/>
    <n v="0.02"/>
    <n v="0.9"/>
    <n v="180000"/>
    <n v="176460"/>
    <n v="304980"/>
    <n v="210120"/>
    <n v="408000"/>
    <n v="140000"/>
  </r>
  <r>
    <x v="0"/>
    <x v="3"/>
    <x v="8"/>
    <s v="Ophthalmology PAYER"/>
    <n v="2014"/>
    <x v="1"/>
    <n v="-86352.285865219877"/>
    <n v="0.02"/>
    <n v="0.01"/>
    <n v="0.01"/>
    <n v="6.2100000000000002E-2"/>
    <n v="0.03"/>
    <n v="0.02"/>
    <n v="0.06"/>
    <n v="0.02"/>
    <n v="0.02"/>
    <n v="0.02"/>
    <n v="0.9"/>
    <n v="180000"/>
    <n v="176460"/>
    <n v="304980"/>
    <n v="210120"/>
    <n v="408000"/>
    <n v="140000"/>
  </r>
  <r>
    <x v="0"/>
    <x v="3"/>
    <x v="8"/>
    <s v="Ophthalmology PAYER"/>
    <n v="2015"/>
    <x v="2"/>
    <n v="-138541.19578403595"/>
    <n v="0.02"/>
    <n v="0.01"/>
    <n v="0.01"/>
    <n v="6.2100000000000002E-2"/>
    <n v="0.03"/>
    <n v="0.02"/>
    <n v="0.06"/>
    <n v="0.02"/>
    <n v="0.02"/>
    <n v="0.02"/>
    <n v="0.9"/>
    <n v="180000"/>
    <n v="176460"/>
    <n v="304980"/>
    <n v="210120"/>
    <n v="408000"/>
    <n v="140000"/>
  </r>
  <r>
    <x v="0"/>
    <x v="3"/>
    <x v="8"/>
    <s v="Ophthalmology PAYER"/>
    <n v="2016"/>
    <x v="3"/>
    <n v="-190867.38028908212"/>
    <n v="0.02"/>
    <n v="0.01"/>
    <n v="0.01"/>
    <n v="6.2100000000000002E-2"/>
    <n v="0.03"/>
    <n v="0.02"/>
    <n v="0.06"/>
    <n v="0.02"/>
    <n v="0.02"/>
    <n v="0.02"/>
    <n v="0.9"/>
    <n v="180000"/>
    <n v="176460"/>
    <n v="304980"/>
    <n v="210120"/>
    <n v="408000"/>
    <n v="140000"/>
  </r>
  <r>
    <x v="0"/>
    <x v="3"/>
    <x v="8"/>
    <s v="Ophthalmology PAYER"/>
    <n v="2017"/>
    <x v="4"/>
    <n v="-160208.65625830356"/>
    <n v="0.02"/>
    <n v="0.01"/>
    <n v="0.01"/>
    <n v="6.2100000000000002E-2"/>
    <n v="0.03"/>
    <n v="0.02"/>
    <n v="0.06"/>
    <n v="0.02"/>
    <n v="0.02"/>
    <n v="0.02"/>
    <n v="0.9"/>
    <n v="180000"/>
    <n v="176460"/>
    <n v="304980"/>
    <n v="210120"/>
    <n v="408000"/>
    <n v="140000"/>
  </r>
  <r>
    <x v="0"/>
    <x v="3"/>
    <x v="8"/>
    <s v="Ophthalmology PAYER"/>
    <n v="2018"/>
    <x v="5"/>
    <n v="-129613.12454394237"/>
    <n v="0.02"/>
    <n v="0.01"/>
    <n v="0.01"/>
    <n v="6.2100000000000002E-2"/>
    <n v="0.03"/>
    <n v="0.02"/>
    <n v="0.06"/>
    <n v="0.02"/>
    <n v="0.02"/>
    <n v="0.02"/>
    <n v="0.9"/>
    <n v="180000"/>
    <n v="176460"/>
    <n v="304980"/>
    <n v="210120"/>
    <n v="408000"/>
    <n v="140000"/>
  </r>
  <r>
    <x v="0"/>
    <x v="3"/>
    <x v="8"/>
    <s v="Ophthalmology PAYER"/>
    <n v="2019"/>
    <x v="6"/>
    <n v="-99071.520326821774"/>
    <n v="0.02"/>
    <n v="0.01"/>
    <n v="0.01"/>
    <n v="6.2100000000000002E-2"/>
    <n v="0.03"/>
    <n v="0.02"/>
    <n v="0.06"/>
    <n v="0.02"/>
    <n v="0.02"/>
    <n v="0.02"/>
    <n v="0.9"/>
    <n v="180000"/>
    <n v="176460"/>
    <n v="304980"/>
    <n v="210120"/>
    <n v="408000"/>
    <n v="140000"/>
  </r>
  <r>
    <x v="0"/>
    <x v="3"/>
    <x v="8"/>
    <s v="Ophthalmology PAYER"/>
    <n v="2020"/>
    <x v="7"/>
    <n v="-68574.782209965459"/>
    <n v="0.02"/>
    <n v="0.01"/>
    <n v="0.01"/>
    <n v="6.2100000000000002E-2"/>
    <n v="0.03"/>
    <n v="0.02"/>
    <n v="0.06"/>
    <n v="0.02"/>
    <n v="0.02"/>
    <n v="0.02"/>
    <n v="0.9"/>
    <n v="180000"/>
    <n v="176460"/>
    <n v="304980"/>
    <n v="210120"/>
    <n v="408000"/>
    <n v="140000"/>
  </r>
  <r>
    <x v="0"/>
    <x v="3"/>
    <x v="8"/>
    <s v="Ophthalmology PAYER"/>
    <n v="2021"/>
    <x v="8"/>
    <n v="23332.872510192974"/>
    <n v="0.02"/>
    <n v="0.01"/>
    <n v="0.01"/>
    <n v="6.2100000000000002E-2"/>
    <n v="0.03"/>
    <n v="0.02"/>
    <n v="0.06"/>
    <n v="0.02"/>
    <n v="0.02"/>
    <n v="0.02"/>
    <n v="0.9"/>
    <n v="180000"/>
    <n v="176460"/>
    <n v="304980"/>
    <n v="210120"/>
    <n v="408000"/>
    <n v="140000"/>
  </r>
  <r>
    <x v="0"/>
    <x v="3"/>
    <x v="8"/>
    <s v="Ophthalmology PAYER"/>
    <n v="2022"/>
    <x v="9"/>
    <n v="108696.78298168253"/>
    <n v="0.02"/>
    <n v="0.01"/>
    <n v="0.01"/>
    <n v="6.2100000000000002E-2"/>
    <n v="0.03"/>
    <n v="0.02"/>
    <n v="0.06"/>
    <n v="0.02"/>
    <n v="0.02"/>
    <n v="0.02"/>
    <n v="0.9"/>
    <n v="180000"/>
    <n v="176460"/>
    <n v="304980"/>
    <n v="210120"/>
    <n v="408000"/>
    <n v="140000"/>
  </r>
  <r>
    <x v="0"/>
    <x v="3"/>
    <x v="8"/>
    <s v="Ophthalmology PAYER"/>
    <n v="2023"/>
    <x v="10"/>
    <n v="192301.75424071465"/>
    <n v="0.02"/>
    <n v="0.01"/>
    <n v="0.01"/>
    <n v="6.2100000000000002E-2"/>
    <n v="0.03"/>
    <n v="0.02"/>
    <n v="0.06"/>
    <n v="0.02"/>
    <n v="0.02"/>
    <n v="0.02"/>
    <n v="0.9"/>
    <n v="180000"/>
    <n v="176460"/>
    <n v="304980"/>
    <n v="210120"/>
    <n v="408000"/>
    <n v="140000"/>
  </r>
  <r>
    <x v="0"/>
    <x v="3"/>
    <x v="8"/>
    <s v="Ophthalmology PAYER"/>
    <n v="2024"/>
    <x v="11"/>
    <n v="274184.75501125184"/>
    <n v="0.02"/>
    <n v="0.01"/>
    <n v="0.01"/>
    <n v="6.2100000000000002E-2"/>
    <n v="0.03"/>
    <n v="0.02"/>
    <n v="0.06"/>
    <n v="0.02"/>
    <n v="0.02"/>
    <n v="0.02"/>
    <n v="0.9"/>
    <n v="180000"/>
    <n v="176460"/>
    <n v="304980"/>
    <n v="210120"/>
    <n v="408000"/>
    <n v="140000"/>
  </r>
  <r>
    <x v="0"/>
    <x v="3"/>
    <x v="8"/>
    <s v="Ophthalmology PAYER"/>
    <n v="2025"/>
    <x v="12"/>
    <n v="354381.95691546757"/>
    <n v="0.02"/>
    <n v="0.01"/>
    <n v="0.01"/>
    <n v="6.2100000000000002E-2"/>
    <n v="0.03"/>
    <n v="0.02"/>
    <n v="0.06"/>
    <n v="0.02"/>
    <n v="0.02"/>
    <n v="0.02"/>
    <n v="0.9"/>
    <n v="180000"/>
    <n v="176460"/>
    <n v="304980"/>
    <n v="210120"/>
    <n v="408000"/>
    <n v="140000"/>
  </r>
  <r>
    <x v="0"/>
    <x v="3"/>
    <x v="8"/>
    <s v="Ophthalmology PAYER"/>
    <n v="2026"/>
    <x v="13"/>
    <n v="432928.75220682973"/>
    <n v="0.02"/>
    <n v="0.01"/>
    <n v="0.01"/>
    <n v="6.2100000000000002E-2"/>
    <n v="0.03"/>
    <n v="0.02"/>
    <n v="0.06"/>
    <n v="0.02"/>
    <n v="0.02"/>
    <n v="0.02"/>
    <n v="0.9"/>
    <n v="180000"/>
    <n v="176460"/>
    <n v="304980"/>
    <n v="210120"/>
    <n v="408000"/>
    <n v="140000"/>
  </r>
  <r>
    <x v="0"/>
    <x v="3"/>
    <x v="8"/>
    <s v="Ophthalmology PAYER"/>
    <n v="2027"/>
    <x v="14"/>
    <n v="509859.77109420521"/>
    <n v="0.02"/>
    <n v="0.01"/>
    <n v="0.01"/>
    <n v="6.2100000000000002E-2"/>
    <n v="0.03"/>
    <n v="0.02"/>
    <n v="0.06"/>
    <n v="0.02"/>
    <n v="0.02"/>
    <n v="0.02"/>
    <n v="0.9"/>
    <n v="180000"/>
    <n v="176460"/>
    <n v="304980"/>
    <n v="210120"/>
    <n v="408000"/>
    <n v="140000"/>
  </r>
  <r>
    <x v="0"/>
    <x v="3"/>
    <x v="8"/>
    <s v="Ophthalmology PAYER"/>
    <n v="2028"/>
    <x v="15"/>
    <n v="585208.89866678999"/>
    <n v="0.02"/>
    <n v="0.01"/>
    <n v="0.01"/>
    <n v="6.2100000000000002E-2"/>
    <n v="0.03"/>
    <n v="0.02"/>
    <n v="0.06"/>
    <n v="0.02"/>
    <n v="0.02"/>
    <n v="0.02"/>
    <n v="0.9"/>
    <n v="180000"/>
    <n v="176460"/>
    <n v="304980"/>
    <n v="210120"/>
    <n v="408000"/>
    <n v="140000"/>
  </r>
  <r>
    <x v="0"/>
    <x v="3"/>
    <x v="8"/>
    <s v="Ophthalmology PAYER"/>
    <n v="2029"/>
    <x v="16"/>
    <n v="659009.29142942408"/>
    <n v="0.02"/>
    <n v="0.01"/>
    <n v="0.01"/>
    <n v="6.2100000000000002E-2"/>
    <n v="0.03"/>
    <n v="0.02"/>
    <n v="0.06"/>
    <n v="0.02"/>
    <n v="0.02"/>
    <n v="0.02"/>
    <n v="0.9"/>
    <n v="180000"/>
    <n v="176460"/>
    <n v="304980"/>
    <n v="210120"/>
    <n v="408000"/>
    <n v="140000"/>
  </r>
  <r>
    <x v="0"/>
    <x v="3"/>
    <x v="8"/>
    <s v="Ophthalmology PAYER"/>
    <n v="2030"/>
    <x v="17"/>
    <n v="731293.39345761284"/>
    <n v="0.02"/>
    <n v="0.01"/>
    <n v="0.01"/>
    <n v="6.2100000000000002E-2"/>
    <n v="0.03"/>
    <n v="0.02"/>
    <n v="0.06"/>
    <n v="0.02"/>
    <n v="0.02"/>
    <n v="0.02"/>
    <n v="0.9"/>
    <n v="180000"/>
    <n v="176460"/>
    <n v="304980"/>
    <n v="210120"/>
    <n v="408000"/>
    <n v="140000"/>
  </r>
  <r>
    <x v="0"/>
    <x v="3"/>
    <x v="8"/>
    <s v="Ophthalmology PAYER"/>
    <n v="2031"/>
    <x v="18"/>
    <n v="802092.95218134485"/>
    <n v="0.02"/>
    <n v="0.01"/>
    <n v="0.01"/>
    <n v="6.2100000000000002E-2"/>
    <n v="0.03"/>
    <n v="0.02"/>
    <n v="0.06"/>
    <n v="0.02"/>
    <n v="0.02"/>
    <n v="0.02"/>
    <n v="0.9"/>
    <n v="180000"/>
    <n v="176460"/>
    <n v="304980"/>
    <n v="210120"/>
    <n v="408000"/>
    <n v="140000"/>
  </r>
  <r>
    <x v="0"/>
    <x v="3"/>
    <x v="8"/>
    <s v="Ophthalmology PAYER"/>
    <n v="2032"/>
    <x v="19"/>
    <n v="871620.23975915043"/>
    <n v="0.02"/>
    <n v="0.01"/>
    <n v="0.01"/>
    <n v="6.2100000000000002E-2"/>
    <n v="0.03"/>
    <n v="0.02"/>
    <n v="0.06"/>
    <n v="0.02"/>
    <n v="0.02"/>
    <n v="0.02"/>
    <n v="0.9"/>
    <n v="180000"/>
    <n v="176460"/>
    <n v="304980"/>
    <n v="210120"/>
    <n v="408000"/>
    <n v="140000"/>
  </r>
  <r>
    <x v="0"/>
    <x v="3"/>
    <x v="8"/>
    <s v="Ophthalmology PAYER"/>
    <n v="2033"/>
    <x v="20"/>
    <n v="940056.0802305385"/>
    <n v="0.02"/>
    <n v="0.01"/>
    <n v="0.01"/>
    <n v="6.2100000000000002E-2"/>
    <n v="0.03"/>
    <n v="0.02"/>
    <n v="0.06"/>
    <n v="0.02"/>
    <n v="0.02"/>
    <n v="0.02"/>
    <n v="0.9"/>
    <n v="180000"/>
    <n v="176460"/>
    <n v="304980"/>
    <n v="210120"/>
    <n v="408000"/>
    <n v="140000"/>
  </r>
  <r>
    <x v="0"/>
    <x v="3"/>
    <x v="8"/>
    <s v="Ophthalmology PAYER"/>
    <n v="2034"/>
    <x v="21"/>
    <n v="1007407.7543580562"/>
    <n v="0.02"/>
    <n v="0.01"/>
    <n v="0.01"/>
    <n v="6.2100000000000002E-2"/>
    <n v="0.03"/>
    <n v="0.02"/>
    <n v="0.06"/>
    <n v="0.02"/>
    <n v="0.02"/>
    <n v="0.02"/>
    <n v="0.9"/>
    <n v="180000"/>
    <n v="176460"/>
    <n v="304980"/>
    <n v="210120"/>
    <n v="408000"/>
    <n v="140000"/>
  </r>
  <r>
    <x v="0"/>
    <x v="3"/>
    <x v="8"/>
    <s v="Ophthalmology PAYER"/>
    <n v="2035"/>
    <x v="22"/>
    <n v="1077165.0181249641"/>
    <n v="0.02"/>
    <n v="0.01"/>
    <n v="0.01"/>
    <n v="6.2100000000000002E-2"/>
    <n v="0.03"/>
    <n v="0.02"/>
    <n v="0.06"/>
    <n v="0.02"/>
    <n v="0.02"/>
    <n v="0.02"/>
    <n v="0.9"/>
    <n v="180000"/>
    <n v="176460"/>
    <n v="304980"/>
    <n v="210120"/>
    <n v="408000"/>
    <n v="140000"/>
  </r>
  <r>
    <x v="0"/>
    <x v="3"/>
    <x v="8"/>
    <s v="Ophthalmology PAYER"/>
    <n v="2036"/>
    <x v="23"/>
    <n v="1151672.2904483716"/>
    <n v="0.02"/>
    <n v="0.01"/>
    <n v="0.01"/>
    <n v="6.2100000000000002E-2"/>
    <n v="0.03"/>
    <n v="0.02"/>
    <n v="0.06"/>
    <n v="0.02"/>
    <n v="0.02"/>
    <n v="0.02"/>
    <n v="0.9"/>
    <n v="180000"/>
    <n v="176460"/>
    <n v="304980"/>
    <n v="210120"/>
    <n v="408000"/>
    <n v="140000"/>
  </r>
  <r>
    <x v="0"/>
    <x v="3"/>
    <x v="8"/>
    <s v="Ophthalmology PAYER"/>
    <n v="2037"/>
    <x v="24"/>
    <n v="1224618.1609298415"/>
    <n v="0.02"/>
    <n v="0.01"/>
    <n v="0.01"/>
    <n v="6.2100000000000002E-2"/>
    <n v="0.03"/>
    <n v="0.02"/>
    <n v="0.06"/>
    <n v="0.02"/>
    <n v="0.02"/>
    <n v="0.02"/>
    <n v="0.9"/>
    <n v="180000"/>
    <n v="176460"/>
    <n v="304980"/>
    <n v="210120"/>
    <n v="408000"/>
    <n v="140000"/>
  </r>
  <r>
    <x v="0"/>
    <x v="3"/>
    <x v="8"/>
    <s v="Ophthalmology PAYER"/>
    <n v="2038"/>
    <x v="25"/>
    <n v="1296036.1717461424"/>
    <n v="0.02"/>
    <n v="0.01"/>
    <n v="0.01"/>
    <n v="6.2100000000000002E-2"/>
    <n v="0.03"/>
    <n v="0.02"/>
    <n v="0.06"/>
    <n v="0.02"/>
    <n v="0.02"/>
    <n v="0.02"/>
    <n v="0.9"/>
    <n v="180000"/>
    <n v="176460"/>
    <n v="304980"/>
    <n v="210120"/>
    <n v="408000"/>
    <n v="140000"/>
  </r>
  <r>
    <x v="0"/>
    <x v="3"/>
    <x v="8"/>
    <s v="Ophthalmology PAYER"/>
    <n v="2039"/>
    <x v="26"/>
    <n v="1365959.1221477673"/>
    <n v="0.02"/>
    <n v="0.01"/>
    <n v="0.01"/>
    <n v="6.2100000000000002E-2"/>
    <n v="0.03"/>
    <n v="0.02"/>
    <n v="0.06"/>
    <n v="0.02"/>
    <n v="0.02"/>
    <n v="0.02"/>
    <n v="0.9"/>
    <n v="180000"/>
    <n v="176460"/>
    <n v="304980"/>
    <n v="210120"/>
    <n v="408000"/>
    <n v="140000"/>
  </r>
  <r>
    <x v="0"/>
    <x v="3"/>
    <x v="8"/>
    <s v="Ophthalmology PAYER"/>
    <n v="2040"/>
    <x v="27"/>
    <n v="1434419.0855087326"/>
    <n v="0.02"/>
    <n v="0.01"/>
    <n v="0.01"/>
    <n v="6.2100000000000002E-2"/>
    <n v="0.03"/>
    <n v="0.02"/>
    <n v="0.06"/>
    <n v="0.02"/>
    <n v="0.02"/>
    <n v="0.02"/>
    <n v="0.9"/>
    <n v="180000"/>
    <n v="176460"/>
    <n v="304980"/>
    <n v="210120"/>
    <n v="408000"/>
    <n v="140000"/>
  </r>
  <r>
    <x v="0"/>
    <x v="3"/>
    <x v="8"/>
    <s v="Ophthalmology PAYER"/>
    <n v="2041"/>
    <x v="28"/>
    <n v="1501447.4259697585"/>
    <n v="0.02"/>
    <n v="0.01"/>
    <n v="0.01"/>
    <n v="6.2100000000000002E-2"/>
    <n v="0.03"/>
    <n v="0.02"/>
    <n v="0.06"/>
    <n v="0.02"/>
    <n v="0.02"/>
    <n v="0.02"/>
    <n v="0.9"/>
    <n v="180000"/>
    <n v="176460"/>
    <n v="304980"/>
    <n v="210120"/>
    <n v="408000"/>
    <n v="140000"/>
  </r>
  <r>
    <x v="0"/>
    <x v="3"/>
    <x v="8"/>
    <s v="Ophthalmology PAYER"/>
    <n v="2042"/>
    <x v="29"/>
    <n v="1567074.8146849098"/>
    <n v="0.02"/>
    <n v="0.01"/>
    <n v="0.01"/>
    <n v="6.2100000000000002E-2"/>
    <n v="0.03"/>
    <n v="0.02"/>
    <n v="0.06"/>
    <n v="0.02"/>
    <n v="0.02"/>
    <n v="0.02"/>
    <n v="0.9"/>
    <n v="180000"/>
    <n v="176460"/>
    <n v="304980"/>
    <n v="210120"/>
    <n v="408000"/>
    <n v="140000"/>
  </r>
  <r>
    <x v="0"/>
    <x v="3"/>
    <x v="9"/>
    <s v="Ophthalmology Ret20USU"/>
    <n v="2013"/>
    <x v="0"/>
    <n v="52525.686799999996"/>
    <n v="0.02"/>
    <n v="0.01"/>
    <n v="0.01"/>
    <n v="6.2100000000000002E-2"/>
    <n v="0.03"/>
    <n v="0.02"/>
    <n v="0.06"/>
    <n v="0.02"/>
    <n v="0.02"/>
    <n v="0.02"/>
    <n v="0.9"/>
    <n v="180000"/>
    <n v="176460"/>
    <n v="304980"/>
    <n v="210120"/>
    <n v="408000"/>
    <n v="140000"/>
  </r>
  <r>
    <x v="0"/>
    <x v="3"/>
    <x v="9"/>
    <s v="Ophthalmology Ret20USU"/>
    <n v="2014"/>
    <x v="1"/>
    <n v="103045.21008954883"/>
    <n v="0.02"/>
    <n v="0.01"/>
    <n v="0.01"/>
    <n v="6.2100000000000002E-2"/>
    <n v="0.03"/>
    <n v="0.02"/>
    <n v="0.06"/>
    <n v="0.02"/>
    <n v="0.02"/>
    <n v="0.02"/>
    <n v="0.9"/>
    <n v="180000"/>
    <n v="176460"/>
    <n v="304980"/>
    <n v="210120"/>
    <n v="408000"/>
    <n v="140000"/>
  </r>
  <r>
    <x v="0"/>
    <x v="3"/>
    <x v="9"/>
    <s v="Ophthalmology Ret20USU"/>
    <n v="2015"/>
    <x v="2"/>
    <n v="152565.98092317433"/>
    <n v="0.02"/>
    <n v="0.01"/>
    <n v="0.01"/>
    <n v="6.2100000000000002E-2"/>
    <n v="0.03"/>
    <n v="0.02"/>
    <n v="0.06"/>
    <n v="0.02"/>
    <n v="0.02"/>
    <n v="0.02"/>
    <n v="0.9"/>
    <n v="180000"/>
    <n v="176460"/>
    <n v="304980"/>
    <n v="210120"/>
    <n v="408000"/>
    <n v="140000"/>
  </r>
  <r>
    <x v="0"/>
    <x v="3"/>
    <x v="9"/>
    <s v="Ophthalmology Ret20USU"/>
    <n v="2016"/>
    <x v="3"/>
    <n v="204951.40008844491"/>
    <n v="0.02"/>
    <n v="0.01"/>
    <n v="0.01"/>
    <n v="6.2100000000000002E-2"/>
    <n v="0.03"/>
    <n v="0.02"/>
    <n v="0.06"/>
    <n v="0.02"/>
    <n v="0.02"/>
    <n v="0.02"/>
    <n v="0.9"/>
    <n v="180000"/>
    <n v="176460"/>
    <n v="304980"/>
    <n v="210120"/>
    <n v="408000"/>
    <n v="140000"/>
  </r>
  <r>
    <x v="0"/>
    <x v="3"/>
    <x v="9"/>
    <s v="Ophthalmology Ret20USU"/>
    <n v="2017"/>
    <x v="4"/>
    <n v="264104.65274828218"/>
    <n v="0.02"/>
    <n v="0.01"/>
    <n v="0.01"/>
    <n v="6.2100000000000002E-2"/>
    <n v="0.03"/>
    <n v="0.02"/>
    <n v="0.06"/>
    <n v="0.02"/>
    <n v="0.02"/>
    <n v="0.02"/>
    <n v="0.9"/>
    <n v="180000"/>
    <n v="176460"/>
    <n v="304980"/>
    <n v="210120"/>
    <n v="408000"/>
    <n v="140000"/>
  </r>
  <r>
    <x v="0"/>
    <x v="3"/>
    <x v="9"/>
    <s v="Ophthalmology Ret20USU"/>
    <n v="2018"/>
    <x v="5"/>
    <n v="322956.40336350905"/>
    <n v="0.02"/>
    <n v="0.01"/>
    <n v="0.01"/>
    <n v="6.2100000000000002E-2"/>
    <n v="0.03"/>
    <n v="0.02"/>
    <n v="0.06"/>
    <n v="0.02"/>
    <n v="0.02"/>
    <n v="0.02"/>
    <n v="0.9"/>
    <n v="180000"/>
    <n v="176460"/>
    <n v="304980"/>
    <n v="210120"/>
    <n v="408000"/>
    <n v="140000"/>
  </r>
  <r>
    <x v="0"/>
    <x v="3"/>
    <x v="9"/>
    <s v="Ophthalmology Ret20USU"/>
    <n v="2019"/>
    <x v="6"/>
    <n v="382458.16257085698"/>
    <n v="0.02"/>
    <n v="0.01"/>
    <n v="0.01"/>
    <n v="6.2100000000000002E-2"/>
    <n v="0.03"/>
    <n v="0.02"/>
    <n v="0.06"/>
    <n v="0.02"/>
    <n v="0.02"/>
    <n v="0.02"/>
    <n v="0.9"/>
    <n v="180000"/>
    <n v="176460"/>
    <n v="304980"/>
    <n v="210120"/>
    <n v="408000"/>
    <n v="140000"/>
  </r>
  <r>
    <x v="0"/>
    <x v="3"/>
    <x v="9"/>
    <s v="Ophthalmology Ret20USU"/>
    <n v="2020"/>
    <x v="7"/>
    <n v="441575.28506588424"/>
    <n v="0.02"/>
    <n v="0.01"/>
    <n v="0.01"/>
    <n v="6.2100000000000002E-2"/>
    <n v="0.03"/>
    <n v="0.02"/>
    <n v="0.06"/>
    <n v="0.02"/>
    <n v="0.02"/>
    <n v="0.02"/>
    <n v="0.9"/>
    <n v="180000"/>
    <n v="176460"/>
    <n v="304980"/>
    <n v="210120"/>
    <n v="408000"/>
    <n v="140000"/>
  </r>
  <r>
    <x v="0"/>
    <x v="3"/>
    <x v="9"/>
    <s v="Ophthalmology Ret20USU"/>
    <n v="2021"/>
    <x v="8"/>
    <n v="507094.5855820186"/>
    <n v="0.02"/>
    <n v="0.01"/>
    <n v="0.01"/>
    <n v="6.2100000000000002E-2"/>
    <n v="0.03"/>
    <n v="0.02"/>
    <n v="0.06"/>
    <n v="0.02"/>
    <n v="0.02"/>
    <n v="0.02"/>
    <n v="0.9"/>
    <n v="180000"/>
    <n v="176460"/>
    <n v="304980"/>
    <n v="210120"/>
    <n v="408000"/>
    <n v="140000"/>
  </r>
  <r>
    <x v="0"/>
    <x v="3"/>
    <x v="9"/>
    <s v="Ophthalmology Ret20USU"/>
    <n v="2022"/>
    <x v="9"/>
    <n v="571175.83136914426"/>
    <n v="0.02"/>
    <n v="0.01"/>
    <n v="0.01"/>
    <n v="6.2100000000000002E-2"/>
    <n v="0.03"/>
    <n v="0.02"/>
    <n v="0.06"/>
    <n v="0.02"/>
    <n v="0.02"/>
    <n v="0.02"/>
    <n v="0.9"/>
    <n v="180000"/>
    <n v="176460"/>
    <n v="304980"/>
    <n v="210120"/>
    <n v="408000"/>
    <n v="140000"/>
  </r>
  <r>
    <x v="0"/>
    <x v="3"/>
    <x v="9"/>
    <s v="Ophthalmology Ret20USU"/>
    <n v="2023"/>
    <x v="10"/>
    <n v="640549.08970090805"/>
    <n v="0.02"/>
    <n v="0.01"/>
    <n v="0.01"/>
    <n v="6.2100000000000002E-2"/>
    <n v="0.03"/>
    <n v="0.02"/>
    <n v="0.06"/>
    <n v="0.02"/>
    <n v="0.02"/>
    <n v="0.02"/>
    <n v="0.9"/>
    <n v="180000"/>
    <n v="176460"/>
    <n v="304980"/>
    <n v="210120"/>
    <n v="408000"/>
    <n v="140000"/>
  </r>
  <r>
    <x v="0"/>
    <x v="3"/>
    <x v="9"/>
    <s v="Ophthalmology Ret20USU"/>
    <n v="2024"/>
    <x v="11"/>
    <n v="707299.9041273928"/>
    <n v="0.02"/>
    <n v="0.01"/>
    <n v="0.01"/>
    <n v="6.2100000000000002E-2"/>
    <n v="0.03"/>
    <n v="0.02"/>
    <n v="0.06"/>
    <n v="0.02"/>
    <n v="0.02"/>
    <n v="0.02"/>
    <n v="0.9"/>
    <n v="180000"/>
    <n v="176460"/>
    <n v="304980"/>
    <n v="210120"/>
    <n v="408000"/>
    <n v="140000"/>
  </r>
  <r>
    <x v="0"/>
    <x v="3"/>
    <x v="9"/>
    <s v="Ophthalmology Ret20USU"/>
    <n v="2025"/>
    <x v="12"/>
    <n v="772819.25334696507"/>
    <n v="0.02"/>
    <n v="0.01"/>
    <n v="0.01"/>
    <n v="6.2100000000000002E-2"/>
    <n v="0.03"/>
    <n v="0.02"/>
    <n v="0.06"/>
    <n v="0.02"/>
    <n v="0.02"/>
    <n v="0.02"/>
    <n v="0.9"/>
    <n v="180000"/>
    <n v="176460"/>
    <n v="304980"/>
    <n v="210120"/>
    <n v="408000"/>
    <n v="140000"/>
  </r>
  <r>
    <x v="0"/>
    <x v="3"/>
    <x v="9"/>
    <s v="Ophthalmology Ret20USU"/>
    <n v="2026"/>
    <x v="13"/>
    <n v="835861.73571599671"/>
    <n v="0.02"/>
    <n v="0.01"/>
    <n v="0.01"/>
    <n v="6.2100000000000002E-2"/>
    <n v="0.03"/>
    <n v="0.02"/>
    <n v="0.06"/>
    <n v="0.02"/>
    <n v="0.02"/>
    <n v="0.02"/>
    <n v="0.9"/>
    <n v="180000"/>
    <n v="176460"/>
    <n v="304980"/>
    <n v="210120"/>
    <n v="408000"/>
    <n v="140000"/>
  </r>
  <r>
    <x v="0"/>
    <x v="3"/>
    <x v="9"/>
    <s v="Ophthalmology Ret20USU"/>
    <n v="2027"/>
    <x v="14"/>
    <n v="898424.07784637879"/>
    <n v="0.02"/>
    <n v="0.01"/>
    <n v="0.01"/>
    <n v="6.2100000000000002E-2"/>
    <n v="0.03"/>
    <n v="0.02"/>
    <n v="0.06"/>
    <n v="0.02"/>
    <n v="0.02"/>
    <n v="0.02"/>
    <n v="0.9"/>
    <n v="180000"/>
    <n v="176460"/>
    <n v="304980"/>
    <n v="210120"/>
    <n v="408000"/>
    <n v="140000"/>
  </r>
  <r>
    <x v="0"/>
    <x v="3"/>
    <x v="9"/>
    <s v="Ophthalmology Ret20USU"/>
    <n v="2028"/>
    <x v="15"/>
    <n v="977501.32186304743"/>
    <n v="0.02"/>
    <n v="0.01"/>
    <n v="0.01"/>
    <n v="6.2100000000000002E-2"/>
    <n v="0.03"/>
    <n v="0.02"/>
    <n v="0.06"/>
    <n v="0.02"/>
    <n v="0.02"/>
    <n v="0.02"/>
    <n v="0.9"/>
    <n v="180000"/>
    <n v="176460"/>
    <n v="304980"/>
    <n v="210120"/>
    <n v="408000"/>
    <n v="140000"/>
  </r>
  <r>
    <x v="0"/>
    <x v="3"/>
    <x v="9"/>
    <s v="Ophthalmology Ret20USU"/>
    <n v="2029"/>
    <x v="16"/>
    <n v="1055985.7838459916"/>
    <n v="0.02"/>
    <n v="0.01"/>
    <n v="0.01"/>
    <n v="6.2100000000000002E-2"/>
    <n v="0.03"/>
    <n v="0.02"/>
    <n v="0.06"/>
    <n v="0.02"/>
    <n v="0.02"/>
    <n v="0.02"/>
    <n v="0.9"/>
    <n v="180000"/>
    <n v="176460"/>
    <n v="304980"/>
    <n v="210120"/>
    <n v="408000"/>
    <n v="140000"/>
  </r>
  <r>
    <x v="0"/>
    <x v="3"/>
    <x v="9"/>
    <s v="Ophthalmology Ret20USU"/>
    <n v="2030"/>
    <x v="17"/>
    <n v="1131448.8761624622"/>
    <n v="0.02"/>
    <n v="0.01"/>
    <n v="0.01"/>
    <n v="6.2100000000000002E-2"/>
    <n v="0.03"/>
    <n v="0.02"/>
    <n v="0.06"/>
    <n v="0.02"/>
    <n v="0.02"/>
    <n v="0.02"/>
    <n v="0.9"/>
    <n v="180000"/>
    <n v="176460"/>
    <n v="304980"/>
    <n v="210120"/>
    <n v="408000"/>
    <n v="140000"/>
  </r>
  <r>
    <x v="0"/>
    <x v="3"/>
    <x v="9"/>
    <s v="Ophthalmology Ret20USU"/>
    <n v="2031"/>
    <x v="18"/>
    <n v="1205174.3072175798"/>
    <n v="0.02"/>
    <n v="0.01"/>
    <n v="0.01"/>
    <n v="6.2100000000000002E-2"/>
    <n v="0.03"/>
    <n v="0.02"/>
    <n v="0.06"/>
    <n v="0.02"/>
    <n v="0.02"/>
    <n v="0.02"/>
    <n v="0.9"/>
    <n v="180000"/>
    <n v="176460"/>
    <n v="304980"/>
    <n v="210120"/>
    <n v="408000"/>
    <n v="140000"/>
  </r>
  <r>
    <x v="0"/>
    <x v="3"/>
    <x v="9"/>
    <s v="Ophthalmology Ret20USU"/>
    <n v="2032"/>
    <x v="19"/>
    <n v="1276061.611783335"/>
    <n v="0.02"/>
    <n v="0.01"/>
    <n v="0.01"/>
    <n v="6.2100000000000002E-2"/>
    <n v="0.03"/>
    <n v="0.02"/>
    <n v="0.06"/>
    <n v="0.02"/>
    <n v="0.02"/>
    <n v="0.02"/>
    <n v="0.9"/>
    <n v="180000"/>
    <n v="176460"/>
    <n v="304980"/>
    <n v="210120"/>
    <n v="408000"/>
    <n v="140000"/>
  </r>
  <r>
    <x v="0"/>
    <x v="3"/>
    <x v="9"/>
    <s v="Ophthalmology Ret20USU"/>
    <n v="2033"/>
    <x v="20"/>
    <n v="1345871.5855089282"/>
    <n v="0.02"/>
    <n v="0.01"/>
    <n v="0.01"/>
    <n v="6.2100000000000002E-2"/>
    <n v="0.03"/>
    <n v="0.02"/>
    <n v="0.06"/>
    <n v="0.02"/>
    <n v="0.02"/>
    <n v="0.02"/>
    <n v="0.9"/>
    <n v="180000"/>
    <n v="176460"/>
    <n v="304980"/>
    <n v="210120"/>
    <n v="408000"/>
    <n v="140000"/>
  </r>
  <r>
    <x v="0"/>
    <x v="3"/>
    <x v="9"/>
    <s v="Ophthalmology Ret20USU"/>
    <n v="2034"/>
    <x v="21"/>
    <n v="1412994.1146940521"/>
    <n v="0.02"/>
    <n v="0.01"/>
    <n v="0.01"/>
    <n v="6.2100000000000002E-2"/>
    <n v="0.03"/>
    <n v="0.02"/>
    <n v="0.06"/>
    <n v="0.02"/>
    <n v="0.02"/>
    <n v="0.02"/>
    <n v="0.9"/>
    <n v="180000"/>
    <n v="176460"/>
    <n v="304980"/>
    <n v="210120"/>
    <n v="408000"/>
    <n v="140000"/>
  </r>
  <r>
    <x v="0"/>
    <x v="3"/>
    <x v="9"/>
    <s v="Ophthalmology Ret20USU"/>
    <n v="2035"/>
    <x v="22"/>
    <n v="1481067.593662441"/>
    <n v="0.02"/>
    <n v="0.01"/>
    <n v="0.01"/>
    <n v="6.2100000000000002E-2"/>
    <n v="0.03"/>
    <n v="0.02"/>
    <n v="0.06"/>
    <n v="0.02"/>
    <n v="0.02"/>
    <n v="0.02"/>
    <n v="0.9"/>
    <n v="180000"/>
    <n v="176460"/>
    <n v="304980"/>
    <n v="210120"/>
    <n v="408000"/>
    <n v="140000"/>
  </r>
  <r>
    <x v="0"/>
    <x v="3"/>
    <x v="9"/>
    <s v="Ophthalmology Ret20USU"/>
    <n v="2036"/>
    <x v="23"/>
    <n v="1546514.7164774714"/>
    <n v="0.02"/>
    <n v="0.01"/>
    <n v="0.01"/>
    <n v="6.2100000000000002E-2"/>
    <n v="0.03"/>
    <n v="0.02"/>
    <n v="0.06"/>
    <n v="0.02"/>
    <n v="0.02"/>
    <n v="0.02"/>
    <n v="0.9"/>
    <n v="180000"/>
    <n v="176460"/>
    <n v="304980"/>
    <n v="210120"/>
    <n v="408000"/>
    <n v="140000"/>
  </r>
  <r>
    <x v="0"/>
    <x v="3"/>
    <x v="9"/>
    <s v="Ophthalmology Ret20USU"/>
    <n v="2037"/>
    <x v="24"/>
    <n v="1597837.8202197659"/>
    <n v="0.02"/>
    <n v="0.01"/>
    <n v="0.01"/>
    <n v="6.2100000000000002E-2"/>
    <n v="0.03"/>
    <n v="0.02"/>
    <n v="0.06"/>
    <n v="0.02"/>
    <n v="0.02"/>
    <n v="0.02"/>
    <n v="0.9"/>
    <n v="180000"/>
    <n v="176460"/>
    <n v="304980"/>
    <n v="210120"/>
    <n v="408000"/>
    <n v="140000"/>
  </r>
  <r>
    <x v="0"/>
    <x v="3"/>
    <x v="9"/>
    <s v="Ophthalmology Ret20USU"/>
    <n v="2038"/>
    <x v="25"/>
    <n v="1647181.6313860628"/>
    <n v="0.02"/>
    <n v="0.01"/>
    <n v="0.01"/>
    <n v="6.2100000000000002E-2"/>
    <n v="0.03"/>
    <n v="0.02"/>
    <n v="0.06"/>
    <n v="0.02"/>
    <n v="0.02"/>
    <n v="0.02"/>
    <n v="0.9"/>
    <n v="180000"/>
    <n v="176460"/>
    <n v="304980"/>
    <n v="210120"/>
    <n v="408000"/>
    <n v="140000"/>
  </r>
  <r>
    <x v="0"/>
    <x v="3"/>
    <x v="9"/>
    <s v="Ophthalmology Ret20USU"/>
    <n v="2039"/>
    <x v="26"/>
    <n v="1695988.6208614472"/>
    <n v="0.02"/>
    <n v="0.01"/>
    <n v="0.01"/>
    <n v="6.2100000000000002E-2"/>
    <n v="0.03"/>
    <n v="0.02"/>
    <n v="0.06"/>
    <n v="0.02"/>
    <n v="0.02"/>
    <n v="0.02"/>
    <n v="0.9"/>
    <n v="180000"/>
    <n v="176460"/>
    <n v="304980"/>
    <n v="210120"/>
    <n v="408000"/>
    <n v="140000"/>
  </r>
  <r>
    <x v="0"/>
    <x v="3"/>
    <x v="9"/>
    <s v="Ophthalmology Ret20USU"/>
    <n v="2040"/>
    <x v="27"/>
    <n v="1771906.7316851513"/>
    <n v="0.02"/>
    <n v="0.01"/>
    <n v="0.01"/>
    <n v="6.2100000000000002E-2"/>
    <n v="0.03"/>
    <n v="0.02"/>
    <n v="0.06"/>
    <n v="0.02"/>
    <n v="0.02"/>
    <n v="0.02"/>
    <n v="0.9"/>
    <n v="180000"/>
    <n v="176460"/>
    <n v="304980"/>
    <n v="210120"/>
    <n v="408000"/>
    <n v="140000"/>
  </r>
  <r>
    <x v="0"/>
    <x v="3"/>
    <x v="9"/>
    <s v="Ophthalmology Ret20USU"/>
    <n v="2041"/>
    <x v="28"/>
    <n v="1845992.5312793702"/>
    <n v="0.02"/>
    <n v="0.01"/>
    <n v="0.01"/>
    <n v="6.2100000000000002E-2"/>
    <n v="0.03"/>
    <n v="0.02"/>
    <n v="0.06"/>
    <n v="0.02"/>
    <n v="0.02"/>
    <n v="0.02"/>
    <n v="0.9"/>
    <n v="180000"/>
    <n v="176460"/>
    <n v="304980"/>
    <n v="210120"/>
    <n v="408000"/>
    <n v="140000"/>
  </r>
  <r>
    <x v="0"/>
    <x v="3"/>
    <x v="9"/>
    <s v="Ophthalmology Ret20USU"/>
    <n v="2042"/>
    <x v="29"/>
    <n v="1918294.3805520567"/>
    <n v="0.02"/>
    <n v="0.01"/>
    <n v="0.01"/>
    <n v="6.2100000000000002E-2"/>
    <n v="0.03"/>
    <n v="0.02"/>
    <n v="0.06"/>
    <n v="0.02"/>
    <n v="0.02"/>
    <n v="0.02"/>
    <n v="0.9"/>
    <n v="180000"/>
    <n v="176460"/>
    <n v="304980"/>
    <n v="210120"/>
    <n v="408000"/>
    <n v="140000"/>
  </r>
  <r>
    <x v="0"/>
    <x v="3"/>
    <x v="10"/>
    <s v="Ophthalmology Ret20HPSP"/>
    <n v="2013"/>
    <x v="0"/>
    <n v="41042.997114989732"/>
    <n v="0.02"/>
    <n v="0.01"/>
    <n v="0.01"/>
    <n v="6.2100000000000002E-2"/>
    <n v="0.03"/>
    <n v="0.02"/>
    <n v="0.06"/>
    <n v="0.02"/>
    <n v="0.02"/>
    <n v="0.02"/>
    <n v="0.9"/>
    <n v="180000"/>
    <n v="176460"/>
    <n v="304980"/>
    <n v="210120"/>
    <n v="408000"/>
    <n v="140000"/>
  </r>
  <r>
    <x v="0"/>
    <x v="3"/>
    <x v="10"/>
    <s v="Ophthalmology Ret20HPSP"/>
    <n v="2014"/>
    <x v="1"/>
    <n v="65715.375570480697"/>
    <n v="0.02"/>
    <n v="0.01"/>
    <n v="0.01"/>
    <n v="6.2100000000000002E-2"/>
    <n v="0.03"/>
    <n v="0.02"/>
    <n v="0.06"/>
    <n v="0.02"/>
    <n v="0.02"/>
    <n v="0.02"/>
    <n v="0.9"/>
    <n v="180000"/>
    <n v="176460"/>
    <n v="304980"/>
    <n v="210120"/>
    <n v="408000"/>
    <n v="140000"/>
  </r>
  <r>
    <x v="0"/>
    <x v="3"/>
    <x v="10"/>
    <s v="Ophthalmology Ret20HPSP"/>
    <n v="2015"/>
    <x v="2"/>
    <n v="89584.222784524245"/>
    <n v="0.02"/>
    <n v="0.01"/>
    <n v="0.01"/>
    <n v="6.2100000000000002E-2"/>
    <n v="0.03"/>
    <n v="0.02"/>
    <n v="0.06"/>
    <n v="0.02"/>
    <n v="0.02"/>
    <n v="0.02"/>
    <n v="0.9"/>
    <n v="180000"/>
    <n v="176460"/>
    <n v="304980"/>
    <n v="210120"/>
    <n v="408000"/>
    <n v="140000"/>
  </r>
  <r>
    <x v="0"/>
    <x v="3"/>
    <x v="10"/>
    <s v="Ophthalmology Ret20HPSP"/>
    <n v="2016"/>
    <x v="3"/>
    <n v="113201.76547692725"/>
    <n v="0.02"/>
    <n v="0.01"/>
    <n v="0.01"/>
    <n v="6.2100000000000002E-2"/>
    <n v="0.03"/>
    <n v="0.02"/>
    <n v="0.06"/>
    <n v="0.02"/>
    <n v="0.02"/>
    <n v="0.02"/>
    <n v="0.9"/>
    <n v="180000"/>
    <n v="176460"/>
    <n v="304980"/>
    <n v="210120"/>
    <n v="408000"/>
    <n v="140000"/>
  </r>
  <r>
    <x v="0"/>
    <x v="3"/>
    <x v="10"/>
    <s v="Ophthalmology Ret20HPSP"/>
    <n v="2017"/>
    <x v="4"/>
    <n v="172355.01813676453"/>
    <n v="0.02"/>
    <n v="0.01"/>
    <n v="0.01"/>
    <n v="6.2100000000000002E-2"/>
    <n v="0.03"/>
    <n v="0.02"/>
    <n v="0.06"/>
    <n v="0.02"/>
    <n v="0.02"/>
    <n v="0.02"/>
    <n v="0.9"/>
    <n v="180000"/>
    <n v="176460"/>
    <n v="304980"/>
    <n v="210120"/>
    <n v="408000"/>
    <n v="140000"/>
  </r>
  <r>
    <x v="0"/>
    <x v="3"/>
    <x v="10"/>
    <s v="Ophthalmology Ret20HPSP"/>
    <n v="2018"/>
    <x v="5"/>
    <n v="231206.76875199139"/>
    <n v="0.02"/>
    <n v="0.01"/>
    <n v="0.01"/>
    <n v="6.2100000000000002E-2"/>
    <n v="0.03"/>
    <n v="0.02"/>
    <n v="0.06"/>
    <n v="0.02"/>
    <n v="0.02"/>
    <n v="0.02"/>
    <n v="0.9"/>
    <n v="180000"/>
    <n v="176460"/>
    <n v="304980"/>
    <n v="210120"/>
    <n v="408000"/>
    <n v="140000"/>
  </r>
  <r>
    <x v="0"/>
    <x v="3"/>
    <x v="10"/>
    <s v="Ophthalmology Ret20HPSP"/>
    <n v="2019"/>
    <x v="6"/>
    <n v="290708.52795933932"/>
    <n v="0.02"/>
    <n v="0.01"/>
    <n v="0.01"/>
    <n v="6.2100000000000002E-2"/>
    <n v="0.03"/>
    <n v="0.02"/>
    <n v="0.06"/>
    <n v="0.02"/>
    <n v="0.02"/>
    <n v="0.02"/>
    <n v="0.9"/>
    <n v="180000"/>
    <n v="176460"/>
    <n v="304980"/>
    <n v="210120"/>
    <n v="408000"/>
    <n v="140000"/>
  </r>
  <r>
    <x v="0"/>
    <x v="3"/>
    <x v="10"/>
    <s v="Ophthalmology Ret20HPSP"/>
    <n v="2020"/>
    <x v="7"/>
    <n v="349825.65045436658"/>
    <n v="0.02"/>
    <n v="0.01"/>
    <n v="0.01"/>
    <n v="6.2100000000000002E-2"/>
    <n v="0.03"/>
    <n v="0.02"/>
    <n v="0.06"/>
    <n v="0.02"/>
    <n v="0.02"/>
    <n v="0.02"/>
    <n v="0.9"/>
    <n v="180000"/>
    <n v="176460"/>
    <n v="304980"/>
    <n v="210120"/>
    <n v="408000"/>
    <n v="140000"/>
  </r>
  <r>
    <x v="0"/>
    <x v="3"/>
    <x v="10"/>
    <s v="Ophthalmology Ret20HPSP"/>
    <n v="2021"/>
    <x v="8"/>
    <n v="415344.95097050094"/>
    <n v="0.02"/>
    <n v="0.01"/>
    <n v="0.01"/>
    <n v="6.2100000000000002E-2"/>
    <n v="0.03"/>
    <n v="0.02"/>
    <n v="0.06"/>
    <n v="0.02"/>
    <n v="0.02"/>
    <n v="0.02"/>
    <n v="0.9"/>
    <n v="180000"/>
    <n v="176460"/>
    <n v="304980"/>
    <n v="210120"/>
    <n v="408000"/>
    <n v="140000"/>
  </r>
  <r>
    <x v="0"/>
    <x v="3"/>
    <x v="10"/>
    <s v="Ophthalmology Ret20HPSP"/>
    <n v="2022"/>
    <x v="9"/>
    <n v="479426.19675762666"/>
    <n v="0.02"/>
    <n v="0.01"/>
    <n v="0.01"/>
    <n v="6.2100000000000002E-2"/>
    <n v="0.03"/>
    <n v="0.02"/>
    <n v="0.06"/>
    <n v="0.02"/>
    <n v="0.02"/>
    <n v="0.02"/>
    <n v="0.9"/>
    <n v="180000"/>
    <n v="176460"/>
    <n v="304980"/>
    <n v="210120"/>
    <n v="408000"/>
    <n v="140000"/>
  </r>
  <r>
    <x v="0"/>
    <x v="3"/>
    <x v="10"/>
    <s v="Ophthalmology Ret20HPSP"/>
    <n v="2023"/>
    <x v="10"/>
    <n v="548799.45508939051"/>
    <n v="0.02"/>
    <n v="0.01"/>
    <n v="0.01"/>
    <n v="6.2100000000000002E-2"/>
    <n v="0.03"/>
    <n v="0.02"/>
    <n v="0.06"/>
    <n v="0.02"/>
    <n v="0.02"/>
    <n v="0.02"/>
    <n v="0.9"/>
    <n v="180000"/>
    <n v="176460"/>
    <n v="304980"/>
    <n v="210120"/>
    <n v="408000"/>
    <n v="140000"/>
  </r>
  <r>
    <x v="0"/>
    <x v="3"/>
    <x v="10"/>
    <s v="Ophthalmology Ret20HPSP"/>
    <n v="2024"/>
    <x v="11"/>
    <n v="615550.26951587526"/>
    <n v="0.02"/>
    <n v="0.01"/>
    <n v="0.01"/>
    <n v="6.2100000000000002E-2"/>
    <n v="0.03"/>
    <n v="0.02"/>
    <n v="0.06"/>
    <n v="0.02"/>
    <n v="0.02"/>
    <n v="0.02"/>
    <n v="0.9"/>
    <n v="180000"/>
    <n v="176460"/>
    <n v="304980"/>
    <n v="210120"/>
    <n v="408000"/>
    <n v="140000"/>
  </r>
  <r>
    <x v="0"/>
    <x v="3"/>
    <x v="10"/>
    <s v="Ophthalmology Ret20HPSP"/>
    <n v="2025"/>
    <x v="12"/>
    <n v="702296.76911767572"/>
    <n v="0.02"/>
    <n v="0.01"/>
    <n v="0.01"/>
    <n v="6.2100000000000002E-2"/>
    <n v="0.03"/>
    <n v="0.02"/>
    <n v="0.06"/>
    <n v="0.02"/>
    <n v="0.02"/>
    <n v="0.02"/>
    <n v="0.9"/>
    <n v="180000"/>
    <n v="176460"/>
    <n v="304980"/>
    <n v="210120"/>
    <n v="408000"/>
    <n v="140000"/>
  </r>
  <r>
    <x v="0"/>
    <x v="3"/>
    <x v="10"/>
    <s v="Ophthalmology Ret20HPSP"/>
    <n v="2026"/>
    <x v="13"/>
    <n v="785704.07567828626"/>
    <n v="0.02"/>
    <n v="0.01"/>
    <n v="0.01"/>
    <n v="6.2100000000000002E-2"/>
    <n v="0.03"/>
    <n v="0.02"/>
    <n v="0.06"/>
    <n v="0.02"/>
    <n v="0.02"/>
    <n v="0.02"/>
    <n v="0.9"/>
    <n v="180000"/>
    <n v="176460"/>
    <n v="304980"/>
    <n v="210120"/>
    <n v="408000"/>
    <n v="140000"/>
  </r>
  <r>
    <x v="0"/>
    <x v="3"/>
    <x v="10"/>
    <s v="Ophthalmology Ret20HPSP"/>
    <n v="2027"/>
    <x v="14"/>
    <n v="867947.23438278178"/>
    <n v="0.02"/>
    <n v="0.01"/>
    <n v="0.01"/>
    <n v="6.2100000000000002E-2"/>
    <n v="0.03"/>
    <n v="0.02"/>
    <n v="0.06"/>
    <n v="0.02"/>
    <n v="0.02"/>
    <n v="0.02"/>
    <n v="0.9"/>
    <n v="180000"/>
    <n v="176460"/>
    <n v="304980"/>
    <n v="210120"/>
    <n v="408000"/>
    <n v="140000"/>
  </r>
  <r>
    <x v="0"/>
    <x v="3"/>
    <x v="10"/>
    <s v="Ophthalmology Ret20HPSP"/>
    <n v="2028"/>
    <x v="15"/>
    <n v="947024.47839945043"/>
    <n v="0.02"/>
    <n v="0.01"/>
    <n v="0.01"/>
    <n v="6.2100000000000002E-2"/>
    <n v="0.03"/>
    <n v="0.02"/>
    <n v="0.06"/>
    <n v="0.02"/>
    <n v="0.02"/>
    <n v="0.02"/>
    <n v="0.9"/>
    <n v="180000"/>
    <n v="176460"/>
    <n v="304980"/>
    <n v="210120"/>
    <n v="408000"/>
    <n v="140000"/>
  </r>
  <r>
    <x v="0"/>
    <x v="3"/>
    <x v="10"/>
    <s v="Ophthalmology Ret20HPSP"/>
    <n v="2029"/>
    <x v="16"/>
    <n v="1025508.9403823945"/>
    <n v="0.02"/>
    <n v="0.01"/>
    <n v="0.01"/>
    <n v="6.2100000000000002E-2"/>
    <n v="0.03"/>
    <n v="0.02"/>
    <n v="0.06"/>
    <n v="0.02"/>
    <n v="0.02"/>
    <n v="0.02"/>
    <n v="0.9"/>
    <n v="180000"/>
    <n v="176460"/>
    <n v="304980"/>
    <n v="210120"/>
    <n v="408000"/>
    <n v="140000"/>
  </r>
  <r>
    <x v="0"/>
    <x v="3"/>
    <x v="10"/>
    <s v="Ophthalmology Ret20HPSP"/>
    <n v="2030"/>
    <x v="17"/>
    <n v="1100972.032698865"/>
    <n v="0.02"/>
    <n v="0.01"/>
    <n v="0.01"/>
    <n v="6.2100000000000002E-2"/>
    <n v="0.03"/>
    <n v="0.02"/>
    <n v="0.06"/>
    <n v="0.02"/>
    <n v="0.02"/>
    <n v="0.02"/>
    <n v="0.9"/>
    <n v="180000"/>
    <n v="176460"/>
    <n v="304980"/>
    <n v="210120"/>
    <n v="408000"/>
    <n v="140000"/>
  </r>
  <r>
    <x v="0"/>
    <x v="3"/>
    <x v="10"/>
    <s v="Ophthalmology Ret20HPSP"/>
    <n v="2031"/>
    <x v="18"/>
    <n v="1174697.4637539827"/>
    <n v="0.02"/>
    <n v="0.01"/>
    <n v="0.01"/>
    <n v="6.2100000000000002E-2"/>
    <n v="0.03"/>
    <n v="0.02"/>
    <n v="0.06"/>
    <n v="0.02"/>
    <n v="0.02"/>
    <n v="0.02"/>
    <n v="0.9"/>
    <n v="180000"/>
    <n v="176460"/>
    <n v="304980"/>
    <n v="210120"/>
    <n v="408000"/>
    <n v="140000"/>
  </r>
  <r>
    <x v="0"/>
    <x v="3"/>
    <x v="10"/>
    <s v="Ophthalmology Ret20HPSP"/>
    <n v="2032"/>
    <x v="19"/>
    <n v="1245584.7683197379"/>
    <n v="0.02"/>
    <n v="0.01"/>
    <n v="0.01"/>
    <n v="6.2100000000000002E-2"/>
    <n v="0.03"/>
    <n v="0.02"/>
    <n v="0.06"/>
    <n v="0.02"/>
    <n v="0.02"/>
    <n v="0.02"/>
    <n v="0.9"/>
    <n v="180000"/>
    <n v="176460"/>
    <n v="304980"/>
    <n v="210120"/>
    <n v="408000"/>
    <n v="140000"/>
  </r>
  <r>
    <x v="0"/>
    <x v="3"/>
    <x v="10"/>
    <s v="Ophthalmology Ret20HPSP"/>
    <n v="2033"/>
    <x v="20"/>
    <n v="1315394.742045331"/>
    <n v="0.02"/>
    <n v="0.01"/>
    <n v="0.01"/>
    <n v="6.2100000000000002E-2"/>
    <n v="0.03"/>
    <n v="0.02"/>
    <n v="0.06"/>
    <n v="0.02"/>
    <n v="0.02"/>
    <n v="0.02"/>
    <n v="0.9"/>
    <n v="180000"/>
    <n v="176460"/>
    <n v="304980"/>
    <n v="210120"/>
    <n v="408000"/>
    <n v="140000"/>
  </r>
  <r>
    <x v="0"/>
    <x v="3"/>
    <x v="10"/>
    <s v="Ophthalmology Ret20HPSP"/>
    <n v="2034"/>
    <x v="21"/>
    <n v="1382517.271230455"/>
    <n v="0.02"/>
    <n v="0.01"/>
    <n v="0.01"/>
    <n v="6.2100000000000002E-2"/>
    <n v="0.03"/>
    <n v="0.02"/>
    <n v="0.06"/>
    <n v="0.02"/>
    <n v="0.02"/>
    <n v="0.02"/>
    <n v="0.9"/>
    <n v="180000"/>
    <n v="176460"/>
    <n v="304980"/>
    <n v="210120"/>
    <n v="408000"/>
    <n v="140000"/>
  </r>
  <r>
    <x v="0"/>
    <x v="3"/>
    <x v="10"/>
    <s v="Ophthalmology Ret20HPSP"/>
    <n v="2035"/>
    <x v="22"/>
    <n v="1450590.7501988439"/>
    <n v="0.02"/>
    <n v="0.01"/>
    <n v="0.01"/>
    <n v="6.2100000000000002E-2"/>
    <n v="0.03"/>
    <n v="0.02"/>
    <n v="0.06"/>
    <n v="0.02"/>
    <n v="0.02"/>
    <n v="0.02"/>
    <n v="0.9"/>
    <n v="180000"/>
    <n v="176460"/>
    <n v="304980"/>
    <n v="210120"/>
    <n v="408000"/>
    <n v="140000"/>
  </r>
  <r>
    <x v="0"/>
    <x v="3"/>
    <x v="10"/>
    <s v="Ophthalmology Ret20HPSP"/>
    <n v="2036"/>
    <x v="23"/>
    <n v="1516037.8730138743"/>
    <n v="0.02"/>
    <n v="0.01"/>
    <n v="0.01"/>
    <n v="6.2100000000000002E-2"/>
    <n v="0.03"/>
    <n v="0.02"/>
    <n v="0.06"/>
    <n v="0.02"/>
    <n v="0.02"/>
    <n v="0.02"/>
    <n v="0.9"/>
    <n v="180000"/>
    <n v="176460"/>
    <n v="304980"/>
    <n v="210120"/>
    <n v="408000"/>
    <n v="140000"/>
  </r>
  <r>
    <x v="0"/>
    <x v="3"/>
    <x v="10"/>
    <s v="Ophthalmology Ret20HPSP"/>
    <n v="2037"/>
    <x v="24"/>
    <n v="1593862.3039296188"/>
    <n v="0.02"/>
    <n v="0.01"/>
    <n v="0.01"/>
    <n v="6.2100000000000002E-2"/>
    <n v="0.03"/>
    <n v="0.02"/>
    <n v="0.06"/>
    <n v="0.02"/>
    <n v="0.02"/>
    <n v="0.02"/>
    <n v="0.9"/>
    <n v="180000"/>
    <n v="176460"/>
    <n v="304980"/>
    <n v="210120"/>
    <n v="408000"/>
    <n v="140000"/>
  </r>
  <r>
    <x v="0"/>
    <x v="3"/>
    <x v="10"/>
    <s v="Ophthalmology Ret20HPSP"/>
    <n v="2038"/>
    <x v="25"/>
    <n v="1669850.9897736334"/>
    <n v="0.02"/>
    <n v="0.01"/>
    <n v="0.01"/>
    <n v="6.2100000000000002E-2"/>
    <n v="0.03"/>
    <n v="0.02"/>
    <n v="0.06"/>
    <n v="0.02"/>
    <n v="0.02"/>
    <n v="0.02"/>
    <n v="0.9"/>
    <n v="180000"/>
    <n v="176460"/>
    <n v="304980"/>
    <n v="210120"/>
    <n v="408000"/>
    <n v="140000"/>
  </r>
  <r>
    <x v="0"/>
    <x v="3"/>
    <x v="10"/>
    <s v="Ophthalmology Ret20HPSP"/>
    <n v="2039"/>
    <x v="26"/>
    <n v="1744050.9682031726"/>
    <n v="0.02"/>
    <n v="0.01"/>
    <n v="0.01"/>
    <n v="6.2100000000000002E-2"/>
    <n v="0.03"/>
    <n v="0.02"/>
    <n v="0.06"/>
    <n v="0.02"/>
    <n v="0.02"/>
    <n v="0.02"/>
    <n v="0.9"/>
    <n v="180000"/>
    <n v="176460"/>
    <n v="304980"/>
    <n v="210120"/>
    <n v="408000"/>
    <n v="140000"/>
  </r>
  <r>
    <x v="0"/>
    <x v="3"/>
    <x v="10"/>
    <s v="Ophthalmology Ret20HPSP"/>
    <n v="2040"/>
    <x v="27"/>
    <n v="1816507.9548734077"/>
    <n v="0.02"/>
    <n v="0.01"/>
    <n v="0.01"/>
    <n v="6.2100000000000002E-2"/>
    <n v="0.03"/>
    <n v="0.02"/>
    <n v="0.06"/>
    <n v="0.02"/>
    <n v="0.02"/>
    <n v="0.02"/>
    <n v="0.9"/>
    <n v="180000"/>
    <n v="176460"/>
    <n v="304980"/>
    <n v="210120"/>
    <n v="408000"/>
    <n v="140000"/>
  </r>
  <r>
    <x v="0"/>
    <x v="3"/>
    <x v="10"/>
    <s v="Ophthalmology Ret20HPSP"/>
    <n v="2041"/>
    <x v="28"/>
    <n v="1887266.3840174039"/>
    <n v="0.02"/>
    <n v="0.01"/>
    <n v="0.01"/>
    <n v="6.2100000000000002E-2"/>
    <n v="0.03"/>
    <n v="0.02"/>
    <n v="0.06"/>
    <n v="0.02"/>
    <n v="0.02"/>
    <n v="0.02"/>
    <n v="0.9"/>
    <n v="180000"/>
    <n v="176460"/>
    <n v="304980"/>
    <n v="210120"/>
    <n v="408000"/>
    <n v="140000"/>
  </r>
  <r>
    <x v="0"/>
    <x v="3"/>
    <x v="10"/>
    <s v="Ophthalmology Ret20HPSP"/>
    <n v="2042"/>
    <x v="29"/>
    <n v="1956369.4476868878"/>
    <n v="0.02"/>
    <n v="0.01"/>
    <n v="0.01"/>
    <n v="6.2100000000000002E-2"/>
    <n v="0.03"/>
    <n v="0.02"/>
    <n v="0.06"/>
    <n v="0.02"/>
    <n v="0.02"/>
    <n v="0.02"/>
    <n v="0.9"/>
    <n v="180000"/>
    <n v="176460"/>
    <n v="304980"/>
    <n v="210120"/>
    <n v="408000"/>
    <n v="140000"/>
  </r>
  <r>
    <x v="0"/>
    <x v="3"/>
    <x v="11"/>
    <s v="Ophthalmology USUPriv"/>
    <n v="2013"/>
    <x v="0"/>
    <n v="52525.686799999996"/>
    <n v="0.02"/>
    <n v="0.01"/>
    <n v="0.01"/>
    <n v="6.2100000000000002E-2"/>
    <n v="0.03"/>
    <n v="0.02"/>
    <n v="0.06"/>
    <n v="0.02"/>
    <n v="0.02"/>
    <n v="0.02"/>
    <n v="0.9"/>
    <n v="180000"/>
    <n v="176460"/>
    <n v="304980"/>
    <n v="210120"/>
    <n v="408000"/>
    <n v="140000"/>
  </r>
  <r>
    <x v="0"/>
    <x v="3"/>
    <x v="11"/>
    <s v="Ophthalmology USUPriv"/>
    <n v="2014"/>
    <x v="1"/>
    <n v="103045.21008954883"/>
    <n v="0.02"/>
    <n v="0.01"/>
    <n v="0.01"/>
    <n v="6.2100000000000002E-2"/>
    <n v="0.03"/>
    <n v="0.02"/>
    <n v="0.06"/>
    <n v="0.02"/>
    <n v="0.02"/>
    <n v="0.02"/>
    <n v="0.9"/>
    <n v="180000"/>
    <n v="176460"/>
    <n v="304980"/>
    <n v="210120"/>
    <n v="408000"/>
    <n v="140000"/>
  </r>
  <r>
    <x v="0"/>
    <x v="3"/>
    <x v="11"/>
    <s v="Ophthalmology USUPriv"/>
    <n v="2015"/>
    <x v="2"/>
    <n v="152565.98092317433"/>
    <n v="0.02"/>
    <n v="0.01"/>
    <n v="0.01"/>
    <n v="6.2100000000000002E-2"/>
    <n v="0.03"/>
    <n v="0.02"/>
    <n v="0.06"/>
    <n v="0.02"/>
    <n v="0.02"/>
    <n v="0.02"/>
    <n v="0.9"/>
    <n v="180000"/>
    <n v="176460"/>
    <n v="304980"/>
    <n v="210120"/>
    <n v="408000"/>
    <n v="140000"/>
  </r>
  <r>
    <x v="0"/>
    <x v="3"/>
    <x v="11"/>
    <s v="Ophthalmology USUPriv"/>
    <n v="2016"/>
    <x v="3"/>
    <n v="204951.40008844491"/>
    <n v="0.02"/>
    <n v="0.01"/>
    <n v="0.01"/>
    <n v="6.2100000000000002E-2"/>
    <n v="0.03"/>
    <n v="0.02"/>
    <n v="0.06"/>
    <n v="0.02"/>
    <n v="0.02"/>
    <n v="0.02"/>
    <n v="0.9"/>
    <n v="180000"/>
    <n v="176460"/>
    <n v="304980"/>
    <n v="210120"/>
    <n v="408000"/>
    <n v="140000"/>
  </r>
  <r>
    <x v="0"/>
    <x v="3"/>
    <x v="11"/>
    <s v="Ophthalmology USUPriv"/>
    <n v="2017"/>
    <x v="4"/>
    <n v="264104.65274828218"/>
    <n v="0.02"/>
    <n v="0.01"/>
    <n v="0.01"/>
    <n v="6.2100000000000002E-2"/>
    <n v="0.03"/>
    <n v="0.02"/>
    <n v="0.06"/>
    <n v="0.02"/>
    <n v="0.02"/>
    <n v="0.02"/>
    <n v="0.9"/>
    <n v="180000"/>
    <n v="176460"/>
    <n v="304980"/>
    <n v="210120"/>
    <n v="408000"/>
    <n v="140000"/>
  </r>
  <r>
    <x v="0"/>
    <x v="3"/>
    <x v="11"/>
    <s v="Ophthalmology USUPriv"/>
    <n v="2018"/>
    <x v="5"/>
    <n v="322956.40336350905"/>
    <n v="0.02"/>
    <n v="0.01"/>
    <n v="0.01"/>
    <n v="6.2100000000000002E-2"/>
    <n v="0.03"/>
    <n v="0.02"/>
    <n v="0.06"/>
    <n v="0.02"/>
    <n v="0.02"/>
    <n v="0.02"/>
    <n v="0.9"/>
    <n v="180000"/>
    <n v="176460"/>
    <n v="304980"/>
    <n v="210120"/>
    <n v="408000"/>
    <n v="140000"/>
  </r>
  <r>
    <x v="0"/>
    <x v="3"/>
    <x v="11"/>
    <s v="Ophthalmology USUPriv"/>
    <n v="2019"/>
    <x v="6"/>
    <n v="382458.16257085698"/>
    <n v="0.02"/>
    <n v="0.01"/>
    <n v="0.01"/>
    <n v="6.2100000000000002E-2"/>
    <n v="0.03"/>
    <n v="0.02"/>
    <n v="0.06"/>
    <n v="0.02"/>
    <n v="0.02"/>
    <n v="0.02"/>
    <n v="0.9"/>
    <n v="180000"/>
    <n v="176460"/>
    <n v="304980"/>
    <n v="210120"/>
    <n v="408000"/>
    <n v="140000"/>
  </r>
  <r>
    <x v="0"/>
    <x v="3"/>
    <x v="11"/>
    <s v="Ophthalmology USUPriv"/>
    <n v="2020"/>
    <x v="7"/>
    <n v="441575.28506588424"/>
    <n v="0.02"/>
    <n v="0.01"/>
    <n v="0.01"/>
    <n v="6.2100000000000002E-2"/>
    <n v="0.03"/>
    <n v="0.02"/>
    <n v="0.06"/>
    <n v="0.02"/>
    <n v="0.02"/>
    <n v="0.02"/>
    <n v="0.9"/>
    <n v="180000"/>
    <n v="176460"/>
    <n v="304980"/>
    <n v="210120"/>
    <n v="408000"/>
    <n v="140000"/>
  </r>
  <r>
    <x v="0"/>
    <x v="3"/>
    <x v="11"/>
    <s v="Ophthalmology USUPriv"/>
    <n v="2021"/>
    <x v="8"/>
    <n v="507094.5855820186"/>
    <n v="0.02"/>
    <n v="0.01"/>
    <n v="0.01"/>
    <n v="6.2100000000000002E-2"/>
    <n v="0.03"/>
    <n v="0.02"/>
    <n v="0.06"/>
    <n v="0.02"/>
    <n v="0.02"/>
    <n v="0.02"/>
    <n v="0.9"/>
    <n v="180000"/>
    <n v="176460"/>
    <n v="304980"/>
    <n v="210120"/>
    <n v="408000"/>
    <n v="140000"/>
  </r>
  <r>
    <x v="0"/>
    <x v="3"/>
    <x v="11"/>
    <s v="Ophthalmology USUPriv"/>
    <n v="2022"/>
    <x v="9"/>
    <n v="571175.83136914426"/>
    <n v="0.02"/>
    <n v="0.01"/>
    <n v="0.01"/>
    <n v="6.2100000000000002E-2"/>
    <n v="0.03"/>
    <n v="0.02"/>
    <n v="0.06"/>
    <n v="0.02"/>
    <n v="0.02"/>
    <n v="0.02"/>
    <n v="0.9"/>
    <n v="180000"/>
    <n v="176460"/>
    <n v="304980"/>
    <n v="210120"/>
    <n v="408000"/>
    <n v="140000"/>
  </r>
  <r>
    <x v="0"/>
    <x v="3"/>
    <x v="11"/>
    <s v="Ophthalmology USUPriv"/>
    <n v="2023"/>
    <x v="10"/>
    <n v="640549.08970090805"/>
    <n v="0.02"/>
    <n v="0.01"/>
    <n v="0.01"/>
    <n v="6.2100000000000002E-2"/>
    <n v="0.03"/>
    <n v="0.02"/>
    <n v="0.06"/>
    <n v="0.02"/>
    <n v="0.02"/>
    <n v="0.02"/>
    <n v="0.9"/>
    <n v="180000"/>
    <n v="176460"/>
    <n v="304980"/>
    <n v="210120"/>
    <n v="408000"/>
    <n v="140000"/>
  </r>
  <r>
    <x v="0"/>
    <x v="3"/>
    <x v="11"/>
    <s v="Ophthalmology USUPriv"/>
    <n v="2024"/>
    <x v="11"/>
    <n v="707299.9041273928"/>
    <n v="0.02"/>
    <n v="0.01"/>
    <n v="0.01"/>
    <n v="6.2100000000000002E-2"/>
    <n v="0.03"/>
    <n v="0.02"/>
    <n v="0.06"/>
    <n v="0.02"/>
    <n v="0.02"/>
    <n v="0.02"/>
    <n v="0.9"/>
    <n v="180000"/>
    <n v="176460"/>
    <n v="304980"/>
    <n v="210120"/>
    <n v="408000"/>
    <n v="140000"/>
  </r>
  <r>
    <x v="0"/>
    <x v="3"/>
    <x v="11"/>
    <s v="Ophthalmology USUPriv"/>
    <n v="2025"/>
    <x v="12"/>
    <n v="772819.25334696507"/>
    <n v="0.02"/>
    <n v="0.01"/>
    <n v="0.01"/>
    <n v="6.2100000000000002E-2"/>
    <n v="0.03"/>
    <n v="0.02"/>
    <n v="0.06"/>
    <n v="0.02"/>
    <n v="0.02"/>
    <n v="0.02"/>
    <n v="0.9"/>
    <n v="180000"/>
    <n v="176460"/>
    <n v="304980"/>
    <n v="210120"/>
    <n v="408000"/>
    <n v="140000"/>
  </r>
  <r>
    <x v="0"/>
    <x v="3"/>
    <x v="11"/>
    <s v="Ophthalmology USUPriv"/>
    <n v="2026"/>
    <x v="13"/>
    <n v="835861.73571599671"/>
    <n v="0.02"/>
    <n v="0.01"/>
    <n v="0.01"/>
    <n v="6.2100000000000002E-2"/>
    <n v="0.03"/>
    <n v="0.02"/>
    <n v="0.06"/>
    <n v="0.02"/>
    <n v="0.02"/>
    <n v="0.02"/>
    <n v="0.9"/>
    <n v="180000"/>
    <n v="176460"/>
    <n v="304980"/>
    <n v="210120"/>
    <n v="408000"/>
    <n v="140000"/>
  </r>
  <r>
    <x v="0"/>
    <x v="3"/>
    <x v="11"/>
    <s v="Ophthalmology USUPriv"/>
    <n v="2027"/>
    <x v="14"/>
    <n v="898424.07784637879"/>
    <n v="0.02"/>
    <n v="0.01"/>
    <n v="0.01"/>
    <n v="6.2100000000000002E-2"/>
    <n v="0.03"/>
    <n v="0.02"/>
    <n v="0.06"/>
    <n v="0.02"/>
    <n v="0.02"/>
    <n v="0.02"/>
    <n v="0.9"/>
    <n v="180000"/>
    <n v="176460"/>
    <n v="304980"/>
    <n v="210120"/>
    <n v="408000"/>
    <n v="140000"/>
  </r>
  <r>
    <x v="0"/>
    <x v="3"/>
    <x v="11"/>
    <s v="Ophthalmology USUPriv"/>
    <n v="2028"/>
    <x v="15"/>
    <n v="977908.45370372676"/>
    <n v="0.02"/>
    <n v="0.01"/>
    <n v="0.01"/>
    <n v="6.2100000000000002E-2"/>
    <n v="0.03"/>
    <n v="0.02"/>
    <n v="0.06"/>
    <n v="0.02"/>
    <n v="0.02"/>
    <n v="0.02"/>
    <n v="0.9"/>
    <n v="180000"/>
    <n v="176460"/>
    <n v="304980"/>
    <n v="210120"/>
    <n v="408000"/>
    <n v="140000"/>
  </r>
  <r>
    <x v="0"/>
    <x v="3"/>
    <x v="11"/>
    <s v="Ophthalmology USUPriv"/>
    <n v="2029"/>
    <x v="16"/>
    <n v="1055829.0053266813"/>
    <n v="0.02"/>
    <n v="0.01"/>
    <n v="0.01"/>
    <n v="6.2100000000000002E-2"/>
    <n v="0.03"/>
    <n v="0.02"/>
    <n v="0.06"/>
    <n v="0.02"/>
    <n v="0.02"/>
    <n v="0.02"/>
    <n v="0.9"/>
    <n v="180000"/>
    <n v="176460"/>
    <n v="304980"/>
    <n v="210120"/>
    <n v="408000"/>
    <n v="140000"/>
  </r>
  <r>
    <x v="0"/>
    <x v="3"/>
    <x v="11"/>
    <s v="Ophthalmology USUPriv"/>
    <n v="2030"/>
    <x v="17"/>
    <n v="1132216.5505101089"/>
    <n v="0.02"/>
    <n v="0.01"/>
    <n v="0.01"/>
    <n v="6.2100000000000002E-2"/>
    <n v="0.03"/>
    <n v="0.02"/>
    <n v="0.06"/>
    <n v="0.02"/>
    <n v="0.02"/>
    <n v="0.02"/>
    <n v="0.9"/>
    <n v="180000"/>
    <n v="176460"/>
    <n v="304980"/>
    <n v="210120"/>
    <n v="408000"/>
    <n v="140000"/>
  </r>
  <r>
    <x v="0"/>
    <x v="3"/>
    <x v="11"/>
    <s v="Ophthalmology USUPriv"/>
    <n v="2031"/>
    <x v="18"/>
    <n v="1207101.298276216"/>
    <n v="0.02"/>
    <n v="0.01"/>
    <n v="0.01"/>
    <n v="6.2100000000000002E-2"/>
    <n v="0.03"/>
    <n v="0.02"/>
    <n v="0.06"/>
    <n v="0.02"/>
    <n v="0.02"/>
    <n v="0.02"/>
    <n v="0.9"/>
    <n v="180000"/>
    <n v="176460"/>
    <n v="304980"/>
    <n v="210120"/>
    <n v="408000"/>
    <n v="140000"/>
  </r>
  <r>
    <x v="0"/>
    <x v="3"/>
    <x v="11"/>
    <s v="Ophthalmology USUPriv"/>
    <n v="2032"/>
    <x v="19"/>
    <n v="1280512.5543724606"/>
    <n v="0.02"/>
    <n v="0.01"/>
    <n v="0.01"/>
    <n v="6.2100000000000002E-2"/>
    <n v="0.03"/>
    <n v="0.02"/>
    <n v="0.06"/>
    <n v="0.02"/>
    <n v="0.02"/>
    <n v="0.02"/>
    <n v="0.9"/>
    <n v="180000"/>
    <n v="176460"/>
    <n v="304980"/>
    <n v="210120"/>
    <n v="408000"/>
    <n v="140000"/>
  </r>
  <r>
    <x v="0"/>
    <x v="3"/>
    <x v="11"/>
    <s v="Ophthalmology USUPriv"/>
    <n v="2033"/>
    <x v="20"/>
    <n v="1352430.3796083278"/>
    <n v="0.02"/>
    <n v="0.01"/>
    <n v="0.01"/>
    <n v="6.2100000000000002E-2"/>
    <n v="0.03"/>
    <n v="0.02"/>
    <n v="0.06"/>
    <n v="0.02"/>
    <n v="0.02"/>
    <n v="0.02"/>
    <n v="0.9"/>
    <n v="180000"/>
    <n v="176460"/>
    <n v="304980"/>
    <n v="210120"/>
    <n v="408000"/>
    <n v="140000"/>
  </r>
  <r>
    <x v="0"/>
    <x v="3"/>
    <x v="11"/>
    <s v="Ophthalmology USUPriv"/>
    <n v="2034"/>
    <x v="21"/>
    <n v="1422885.6295962231"/>
    <n v="0.02"/>
    <n v="0.01"/>
    <n v="0.01"/>
    <n v="6.2100000000000002E-2"/>
    <n v="0.03"/>
    <n v="0.02"/>
    <n v="0.06"/>
    <n v="0.02"/>
    <n v="0.02"/>
    <n v="0.02"/>
    <n v="0.9"/>
    <n v="180000"/>
    <n v="176460"/>
    <n v="304980"/>
    <n v="210120"/>
    <n v="408000"/>
    <n v="140000"/>
  </r>
  <r>
    <x v="0"/>
    <x v="3"/>
    <x v="11"/>
    <s v="Ophthalmology USUPriv"/>
    <n v="2035"/>
    <x v="22"/>
    <n v="1491908.5091310779"/>
    <n v="0.02"/>
    <n v="0.01"/>
    <n v="0.01"/>
    <n v="6.2100000000000002E-2"/>
    <n v="0.03"/>
    <n v="0.02"/>
    <n v="0.06"/>
    <n v="0.02"/>
    <n v="0.02"/>
    <n v="0.02"/>
    <n v="0.9"/>
    <n v="180000"/>
    <n v="176460"/>
    <n v="304980"/>
    <n v="210120"/>
    <n v="408000"/>
    <n v="140000"/>
  </r>
  <r>
    <x v="0"/>
    <x v="3"/>
    <x v="11"/>
    <s v="Ophthalmology USUPriv"/>
    <n v="2036"/>
    <x v="23"/>
    <n v="1559528.5862856153"/>
    <n v="0.02"/>
    <n v="0.01"/>
    <n v="0.01"/>
    <n v="6.2100000000000002E-2"/>
    <n v="0.03"/>
    <n v="0.02"/>
    <n v="0.06"/>
    <n v="0.02"/>
    <n v="0.02"/>
    <n v="0.02"/>
    <n v="0.9"/>
    <n v="180000"/>
    <n v="176460"/>
    <n v="304980"/>
    <n v="210120"/>
    <n v="408000"/>
    <n v="140000"/>
  </r>
  <r>
    <x v="0"/>
    <x v="3"/>
    <x v="11"/>
    <s v="Ophthalmology USUPriv"/>
    <n v="2037"/>
    <x v="24"/>
    <n v="1625774.8061903811"/>
    <n v="0.02"/>
    <n v="0.01"/>
    <n v="0.01"/>
    <n v="6.2100000000000002E-2"/>
    <n v="0.03"/>
    <n v="0.02"/>
    <n v="0.06"/>
    <n v="0.02"/>
    <n v="0.02"/>
    <n v="0.02"/>
    <n v="0.9"/>
    <n v="180000"/>
    <n v="176460"/>
    <n v="304980"/>
    <n v="210120"/>
    <n v="408000"/>
    <n v="140000"/>
  </r>
  <r>
    <x v="0"/>
    <x v="3"/>
    <x v="11"/>
    <s v="Ophthalmology USUPriv"/>
    <n v="2038"/>
    <x v="25"/>
    <n v="1690675.5045058508"/>
    <n v="0.02"/>
    <n v="0.01"/>
    <n v="0.01"/>
    <n v="6.2100000000000002E-2"/>
    <n v="0.03"/>
    <n v="0.02"/>
    <n v="0.06"/>
    <n v="0.02"/>
    <n v="0.02"/>
    <n v="0.02"/>
    <n v="0.9"/>
    <n v="180000"/>
    <n v="176460"/>
    <n v="304980"/>
    <n v="210120"/>
    <n v="408000"/>
    <n v="140000"/>
  </r>
  <r>
    <x v="0"/>
    <x v="3"/>
    <x v="11"/>
    <s v="Ophthalmology USUPriv"/>
    <n v="2039"/>
    <x v="26"/>
    <n v="1754258.4205937502"/>
    <n v="0.02"/>
    <n v="0.01"/>
    <n v="0.01"/>
    <n v="6.2100000000000002E-2"/>
    <n v="0.03"/>
    <n v="0.02"/>
    <n v="0.06"/>
    <n v="0.02"/>
    <n v="0.02"/>
    <n v="0.02"/>
    <n v="0.9"/>
    <n v="180000"/>
    <n v="176460"/>
    <n v="304980"/>
    <n v="210120"/>
    <n v="408000"/>
    <n v="140000"/>
  </r>
  <r>
    <x v="0"/>
    <x v="3"/>
    <x v="11"/>
    <s v="Ophthalmology USUPriv"/>
    <n v="2040"/>
    <x v="27"/>
    <n v="1816550.7103945534"/>
    <n v="0.02"/>
    <n v="0.01"/>
    <n v="0.01"/>
    <n v="6.2100000000000002E-2"/>
    <n v="0.03"/>
    <n v="0.02"/>
    <n v="0.06"/>
    <n v="0.02"/>
    <n v="0.02"/>
    <n v="0.02"/>
    <n v="0.9"/>
    <n v="180000"/>
    <n v="176460"/>
    <n v="304980"/>
    <n v="210120"/>
    <n v="408000"/>
    <n v="140000"/>
  </r>
  <r>
    <x v="0"/>
    <x v="3"/>
    <x v="11"/>
    <s v="Ophthalmology USUPriv"/>
    <n v="2041"/>
    <x v="28"/>
    <n v="1877578.9590179566"/>
    <n v="0.02"/>
    <n v="0.01"/>
    <n v="0.01"/>
    <n v="6.2100000000000002E-2"/>
    <n v="0.03"/>
    <n v="0.02"/>
    <n v="0.06"/>
    <n v="0.02"/>
    <n v="0.02"/>
    <n v="0.02"/>
    <n v="0.9"/>
    <n v="180000"/>
    <n v="176460"/>
    <n v="304980"/>
    <n v="210120"/>
    <n v="408000"/>
    <n v="140000"/>
  </r>
  <r>
    <x v="0"/>
    <x v="3"/>
    <x v="11"/>
    <s v="Ophthalmology USUPriv"/>
    <n v="2042"/>
    <x v="29"/>
    <n v="1937369.1930529587"/>
    <n v="0.02"/>
    <n v="0.01"/>
    <n v="0.01"/>
    <n v="6.2100000000000002E-2"/>
    <n v="0.03"/>
    <n v="0.02"/>
    <n v="0.06"/>
    <n v="0.02"/>
    <n v="0.02"/>
    <n v="0.02"/>
    <n v="0.9"/>
    <n v="180000"/>
    <n v="176460"/>
    <n v="304980"/>
    <n v="210120"/>
    <n v="408000"/>
    <n v="140000"/>
  </r>
  <r>
    <x v="0"/>
    <x v="3"/>
    <x v="12"/>
    <s v="Ophthalmology HPSPPriv"/>
    <n v="2013"/>
    <x v="0"/>
    <n v="41042.997114989732"/>
    <n v="0.02"/>
    <n v="0.01"/>
    <n v="0.01"/>
    <n v="6.2100000000000002E-2"/>
    <n v="0.03"/>
    <n v="0.02"/>
    <n v="0.06"/>
    <n v="0.02"/>
    <n v="0.02"/>
    <n v="0.02"/>
    <n v="0.9"/>
    <n v="180000"/>
    <n v="176460"/>
    <n v="304980"/>
    <n v="210120"/>
    <n v="408000"/>
    <n v="140000"/>
  </r>
  <r>
    <x v="0"/>
    <x v="3"/>
    <x v="12"/>
    <s v="Ophthalmology HPSPPriv"/>
    <n v="2014"/>
    <x v="1"/>
    <n v="65715.375570480697"/>
    <n v="0.02"/>
    <n v="0.01"/>
    <n v="0.01"/>
    <n v="6.2100000000000002E-2"/>
    <n v="0.03"/>
    <n v="0.02"/>
    <n v="0.06"/>
    <n v="0.02"/>
    <n v="0.02"/>
    <n v="0.02"/>
    <n v="0.9"/>
    <n v="180000"/>
    <n v="176460"/>
    <n v="304980"/>
    <n v="210120"/>
    <n v="408000"/>
    <n v="140000"/>
  </r>
  <r>
    <x v="0"/>
    <x v="3"/>
    <x v="12"/>
    <s v="Ophthalmology HPSPPriv"/>
    <n v="2015"/>
    <x v="2"/>
    <n v="89584.222784524245"/>
    <n v="0.02"/>
    <n v="0.01"/>
    <n v="0.01"/>
    <n v="6.2100000000000002E-2"/>
    <n v="0.03"/>
    <n v="0.02"/>
    <n v="0.06"/>
    <n v="0.02"/>
    <n v="0.02"/>
    <n v="0.02"/>
    <n v="0.9"/>
    <n v="180000"/>
    <n v="176460"/>
    <n v="304980"/>
    <n v="210120"/>
    <n v="408000"/>
    <n v="140000"/>
  </r>
  <r>
    <x v="0"/>
    <x v="3"/>
    <x v="12"/>
    <s v="Ophthalmology HPSPPriv"/>
    <n v="2016"/>
    <x v="3"/>
    <n v="113201.76547692725"/>
    <n v="0.02"/>
    <n v="0.01"/>
    <n v="0.01"/>
    <n v="6.2100000000000002E-2"/>
    <n v="0.03"/>
    <n v="0.02"/>
    <n v="0.06"/>
    <n v="0.02"/>
    <n v="0.02"/>
    <n v="0.02"/>
    <n v="0.9"/>
    <n v="180000"/>
    <n v="176460"/>
    <n v="304980"/>
    <n v="210120"/>
    <n v="408000"/>
    <n v="140000"/>
  </r>
  <r>
    <x v="0"/>
    <x v="3"/>
    <x v="12"/>
    <s v="Ophthalmology HPSPPriv"/>
    <n v="2017"/>
    <x v="4"/>
    <n v="172355.01813676453"/>
    <n v="0.02"/>
    <n v="0.01"/>
    <n v="0.01"/>
    <n v="6.2100000000000002E-2"/>
    <n v="0.03"/>
    <n v="0.02"/>
    <n v="0.06"/>
    <n v="0.02"/>
    <n v="0.02"/>
    <n v="0.02"/>
    <n v="0.9"/>
    <n v="180000"/>
    <n v="176460"/>
    <n v="304980"/>
    <n v="210120"/>
    <n v="408000"/>
    <n v="140000"/>
  </r>
  <r>
    <x v="0"/>
    <x v="3"/>
    <x v="12"/>
    <s v="Ophthalmology HPSPPriv"/>
    <n v="2018"/>
    <x v="5"/>
    <n v="231206.76875199139"/>
    <n v="0.02"/>
    <n v="0.01"/>
    <n v="0.01"/>
    <n v="6.2100000000000002E-2"/>
    <n v="0.03"/>
    <n v="0.02"/>
    <n v="0.06"/>
    <n v="0.02"/>
    <n v="0.02"/>
    <n v="0.02"/>
    <n v="0.9"/>
    <n v="180000"/>
    <n v="176460"/>
    <n v="304980"/>
    <n v="210120"/>
    <n v="408000"/>
    <n v="140000"/>
  </r>
  <r>
    <x v="0"/>
    <x v="3"/>
    <x v="12"/>
    <s v="Ophthalmology HPSPPriv"/>
    <n v="2019"/>
    <x v="6"/>
    <n v="290708.52795933932"/>
    <n v="0.02"/>
    <n v="0.01"/>
    <n v="0.01"/>
    <n v="6.2100000000000002E-2"/>
    <n v="0.03"/>
    <n v="0.02"/>
    <n v="0.06"/>
    <n v="0.02"/>
    <n v="0.02"/>
    <n v="0.02"/>
    <n v="0.9"/>
    <n v="180000"/>
    <n v="176460"/>
    <n v="304980"/>
    <n v="210120"/>
    <n v="408000"/>
    <n v="140000"/>
  </r>
  <r>
    <x v="0"/>
    <x v="3"/>
    <x v="12"/>
    <s v="Ophthalmology HPSPPriv"/>
    <n v="2020"/>
    <x v="7"/>
    <n v="349825.65045436658"/>
    <n v="0.02"/>
    <n v="0.01"/>
    <n v="0.01"/>
    <n v="6.2100000000000002E-2"/>
    <n v="0.03"/>
    <n v="0.02"/>
    <n v="0.06"/>
    <n v="0.02"/>
    <n v="0.02"/>
    <n v="0.02"/>
    <n v="0.9"/>
    <n v="180000"/>
    <n v="176460"/>
    <n v="304980"/>
    <n v="210120"/>
    <n v="408000"/>
    <n v="140000"/>
  </r>
  <r>
    <x v="0"/>
    <x v="3"/>
    <x v="12"/>
    <s v="Ophthalmology HPSPPriv"/>
    <n v="2021"/>
    <x v="8"/>
    <n v="415344.95097050094"/>
    <n v="0.02"/>
    <n v="0.01"/>
    <n v="0.01"/>
    <n v="6.2100000000000002E-2"/>
    <n v="0.03"/>
    <n v="0.02"/>
    <n v="0.06"/>
    <n v="0.02"/>
    <n v="0.02"/>
    <n v="0.02"/>
    <n v="0.9"/>
    <n v="180000"/>
    <n v="176460"/>
    <n v="304980"/>
    <n v="210120"/>
    <n v="408000"/>
    <n v="140000"/>
  </r>
  <r>
    <x v="0"/>
    <x v="3"/>
    <x v="12"/>
    <s v="Ophthalmology HPSPPriv"/>
    <n v="2022"/>
    <x v="9"/>
    <n v="479426.19675762666"/>
    <n v="0.02"/>
    <n v="0.01"/>
    <n v="0.01"/>
    <n v="6.2100000000000002E-2"/>
    <n v="0.03"/>
    <n v="0.02"/>
    <n v="0.06"/>
    <n v="0.02"/>
    <n v="0.02"/>
    <n v="0.02"/>
    <n v="0.9"/>
    <n v="180000"/>
    <n v="176460"/>
    <n v="304980"/>
    <n v="210120"/>
    <n v="408000"/>
    <n v="140000"/>
  </r>
  <r>
    <x v="0"/>
    <x v="3"/>
    <x v="12"/>
    <s v="Ophthalmology HPSPPriv"/>
    <n v="2023"/>
    <x v="10"/>
    <n v="548799.45508939051"/>
    <n v="0.02"/>
    <n v="0.01"/>
    <n v="0.01"/>
    <n v="6.2100000000000002E-2"/>
    <n v="0.03"/>
    <n v="0.02"/>
    <n v="0.06"/>
    <n v="0.02"/>
    <n v="0.02"/>
    <n v="0.02"/>
    <n v="0.9"/>
    <n v="180000"/>
    <n v="176460"/>
    <n v="304980"/>
    <n v="210120"/>
    <n v="408000"/>
    <n v="140000"/>
  </r>
  <r>
    <x v="0"/>
    <x v="3"/>
    <x v="12"/>
    <s v="Ophthalmology HPSPPriv"/>
    <n v="2024"/>
    <x v="11"/>
    <n v="615550.26951587526"/>
    <n v="0.02"/>
    <n v="0.01"/>
    <n v="0.01"/>
    <n v="6.2100000000000002E-2"/>
    <n v="0.03"/>
    <n v="0.02"/>
    <n v="0.06"/>
    <n v="0.02"/>
    <n v="0.02"/>
    <n v="0.02"/>
    <n v="0.9"/>
    <n v="180000"/>
    <n v="176460"/>
    <n v="304980"/>
    <n v="210120"/>
    <n v="408000"/>
    <n v="140000"/>
  </r>
  <r>
    <x v="0"/>
    <x v="3"/>
    <x v="12"/>
    <s v="Ophthalmology HPSPPriv"/>
    <n v="2025"/>
    <x v="12"/>
    <n v="699917.29877801158"/>
    <n v="0.02"/>
    <n v="0.01"/>
    <n v="0.01"/>
    <n v="6.2100000000000002E-2"/>
    <n v="0.03"/>
    <n v="0.02"/>
    <n v="0.06"/>
    <n v="0.02"/>
    <n v="0.02"/>
    <n v="0.02"/>
    <n v="0.9"/>
    <n v="180000"/>
    <n v="176460"/>
    <n v="304980"/>
    <n v="210120"/>
    <n v="408000"/>
    <n v="140000"/>
  </r>
  <r>
    <x v="0"/>
    <x v="3"/>
    <x v="12"/>
    <s v="Ophthalmology HPSPPriv"/>
    <n v="2026"/>
    <x v="13"/>
    <n v="782624.27339588059"/>
    <n v="0.02"/>
    <n v="0.01"/>
    <n v="0.01"/>
    <n v="6.2100000000000002E-2"/>
    <n v="0.03"/>
    <n v="0.02"/>
    <n v="0.06"/>
    <n v="0.02"/>
    <n v="0.02"/>
    <n v="0.02"/>
    <n v="0.9"/>
    <n v="180000"/>
    <n v="176460"/>
    <n v="304980"/>
    <n v="210120"/>
    <n v="408000"/>
    <n v="140000"/>
  </r>
  <r>
    <x v="0"/>
    <x v="3"/>
    <x v="12"/>
    <s v="Ophthalmology HPSPPriv"/>
    <n v="2027"/>
    <x v="14"/>
    <n v="863703.91236836778"/>
    <n v="0.02"/>
    <n v="0.01"/>
    <n v="0.01"/>
    <n v="6.2100000000000002E-2"/>
    <n v="0.03"/>
    <n v="0.02"/>
    <n v="0.06"/>
    <n v="0.02"/>
    <n v="0.02"/>
    <n v="0.02"/>
    <n v="0.9"/>
    <n v="180000"/>
    <n v="176460"/>
    <n v="304980"/>
    <n v="210120"/>
    <n v="408000"/>
    <n v="140000"/>
  </r>
  <r>
    <x v="0"/>
    <x v="3"/>
    <x v="12"/>
    <s v="Ophthalmology HPSPPriv"/>
    <n v="2028"/>
    <x v="15"/>
    <n v="943188.28822571575"/>
    <n v="0.02"/>
    <n v="0.01"/>
    <n v="0.01"/>
    <n v="6.2100000000000002E-2"/>
    <n v="0.03"/>
    <n v="0.02"/>
    <n v="0.06"/>
    <n v="0.02"/>
    <n v="0.02"/>
    <n v="0.02"/>
    <n v="0.9"/>
    <n v="180000"/>
    <n v="176460"/>
    <n v="304980"/>
    <n v="210120"/>
    <n v="408000"/>
    <n v="140000"/>
  </r>
  <r>
    <x v="0"/>
    <x v="3"/>
    <x v="12"/>
    <s v="Ophthalmology HPSPPriv"/>
    <n v="2029"/>
    <x v="16"/>
    <n v="1021108.8398486704"/>
    <n v="0.02"/>
    <n v="0.01"/>
    <n v="0.01"/>
    <n v="6.2100000000000002E-2"/>
    <n v="0.03"/>
    <n v="0.02"/>
    <n v="0.06"/>
    <n v="0.02"/>
    <n v="0.02"/>
    <n v="0.02"/>
    <n v="0.9"/>
    <n v="180000"/>
    <n v="176460"/>
    <n v="304980"/>
    <n v="210120"/>
    <n v="408000"/>
    <n v="140000"/>
  </r>
  <r>
    <x v="0"/>
    <x v="3"/>
    <x v="12"/>
    <s v="Ophthalmology HPSPPriv"/>
    <n v="2030"/>
    <x v="17"/>
    <n v="1097496.385032098"/>
    <n v="0.02"/>
    <n v="0.01"/>
    <n v="0.01"/>
    <n v="6.2100000000000002E-2"/>
    <n v="0.03"/>
    <n v="0.02"/>
    <n v="0.06"/>
    <n v="0.02"/>
    <n v="0.02"/>
    <n v="0.02"/>
    <n v="0.9"/>
    <n v="180000"/>
    <n v="176460"/>
    <n v="304980"/>
    <n v="210120"/>
    <n v="408000"/>
    <n v="140000"/>
  </r>
  <r>
    <x v="0"/>
    <x v="3"/>
    <x v="12"/>
    <s v="Ophthalmology HPSPPriv"/>
    <n v="2031"/>
    <x v="18"/>
    <n v="1172381.1327982051"/>
    <n v="0.02"/>
    <n v="0.01"/>
    <n v="0.01"/>
    <n v="6.2100000000000002E-2"/>
    <n v="0.03"/>
    <n v="0.02"/>
    <n v="0.06"/>
    <n v="0.02"/>
    <n v="0.02"/>
    <n v="0.02"/>
    <n v="0.9"/>
    <n v="180000"/>
    <n v="176460"/>
    <n v="304980"/>
    <n v="210120"/>
    <n v="408000"/>
    <n v="140000"/>
  </r>
  <r>
    <x v="0"/>
    <x v="3"/>
    <x v="12"/>
    <s v="Ophthalmology HPSPPriv"/>
    <n v="2032"/>
    <x v="19"/>
    <n v="1245792.3888944497"/>
    <n v="0.02"/>
    <n v="0.01"/>
    <n v="0.01"/>
    <n v="6.2100000000000002E-2"/>
    <n v="0.03"/>
    <n v="0.02"/>
    <n v="0.06"/>
    <n v="0.02"/>
    <n v="0.02"/>
    <n v="0.02"/>
    <n v="0.9"/>
    <n v="180000"/>
    <n v="176460"/>
    <n v="304980"/>
    <n v="210120"/>
    <n v="408000"/>
    <n v="140000"/>
  </r>
  <r>
    <x v="0"/>
    <x v="3"/>
    <x v="12"/>
    <s v="Ophthalmology HPSPPriv"/>
    <n v="2033"/>
    <x v="20"/>
    <n v="1317710.2141303169"/>
    <n v="0.02"/>
    <n v="0.01"/>
    <n v="0.01"/>
    <n v="6.2100000000000002E-2"/>
    <n v="0.03"/>
    <n v="0.02"/>
    <n v="0.06"/>
    <n v="0.02"/>
    <n v="0.02"/>
    <n v="0.02"/>
    <n v="0.9"/>
    <n v="180000"/>
    <n v="176460"/>
    <n v="304980"/>
    <n v="210120"/>
    <n v="408000"/>
    <n v="140000"/>
  </r>
  <r>
    <x v="0"/>
    <x v="3"/>
    <x v="12"/>
    <s v="Ophthalmology HPSPPriv"/>
    <n v="2034"/>
    <x v="21"/>
    <n v="1388165.4641182122"/>
    <n v="0.02"/>
    <n v="0.01"/>
    <n v="0.01"/>
    <n v="6.2100000000000002E-2"/>
    <n v="0.03"/>
    <n v="0.02"/>
    <n v="0.06"/>
    <n v="0.02"/>
    <n v="0.02"/>
    <n v="0.02"/>
    <n v="0.9"/>
    <n v="180000"/>
    <n v="176460"/>
    <n v="304980"/>
    <n v="210120"/>
    <n v="408000"/>
    <n v="140000"/>
  </r>
  <r>
    <x v="0"/>
    <x v="3"/>
    <x v="12"/>
    <s v="Ophthalmology HPSPPriv"/>
    <n v="2035"/>
    <x v="22"/>
    <n v="1457188.343653067"/>
    <n v="0.02"/>
    <n v="0.01"/>
    <n v="0.01"/>
    <n v="6.2100000000000002E-2"/>
    <n v="0.03"/>
    <n v="0.02"/>
    <n v="0.06"/>
    <n v="0.02"/>
    <n v="0.02"/>
    <n v="0.02"/>
    <n v="0.9"/>
    <n v="180000"/>
    <n v="176460"/>
    <n v="304980"/>
    <n v="210120"/>
    <n v="408000"/>
    <n v="140000"/>
  </r>
  <r>
    <x v="0"/>
    <x v="3"/>
    <x v="12"/>
    <s v="Ophthalmology HPSPPriv"/>
    <n v="2036"/>
    <x v="23"/>
    <n v="1524808.4208076044"/>
    <n v="0.02"/>
    <n v="0.01"/>
    <n v="0.01"/>
    <n v="6.2100000000000002E-2"/>
    <n v="0.03"/>
    <n v="0.02"/>
    <n v="0.06"/>
    <n v="0.02"/>
    <n v="0.02"/>
    <n v="0.02"/>
    <n v="0.9"/>
    <n v="180000"/>
    <n v="176460"/>
    <n v="304980"/>
    <n v="210120"/>
    <n v="408000"/>
    <n v="140000"/>
  </r>
  <r>
    <x v="0"/>
    <x v="3"/>
    <x v="12"/>
    <s v="Ophthalmology HPSPPriv"/>
    <n v="2037"/>
    <x v="24"/>
    <n v="1591054.6407123702"/>
    <n v="0.02"/>
    <n v="0.01"/>
    <n v="0.01"/>
    <n v="6.2100000000000002E-2"/>
    <n v="0.03"/>
    <n v="0.02"/>
    <n v="0.06"/>
    <n v="0.02"/>
    <n v="0.02"/>
    <n v="0.02"/>
    <n v="0.9"/>
    <n v="180000"/>
    <n v="176460"/>
    <n v="304980"/>
    <n v="210120"/>
    <n v="408000"/>
    <n v="140000"/>
  </r>
  <r>
    <x v="0"/>
    <x v="3"/>
    <x v="12"/>
    <s v="Ophthalmology HPSPPriv"/>
    <n v="2038"/>
    <x v="25"/>
    <n v="1655955.3390278397"/>
    <n v="0.02"/>
    <n v="0.01"/>
    <n v="0.01"/>
    <n v="6.2100000000000002E-2"/>
    <n v="0.03"/>
    <n v="0.02"/>
    <n v="0.06"/>
    <n v="0.02"/>
    <n v="0.02"/>
    <n v="0.02"/>
    <n v="0.9"/>
    <n v="180000"/>
    <n v="176460"/>
    <n v="304980"/>
    <n v="210120"/>
    <n v="408000"/>
    <n v="140000"/>
  </r>
  <r>
    <x v="0"/>
    <x v="3"/>
    <x v="12"/>
    <s v="Ophthalmology HPSPPriv"/>
    <n v="2039"/>
    <x v="26"/>
    <n v="1719538.2551157391"/>
    <n v="0.02"/>
    <n v="0.01"/>
    <n v="0.01"/>
    <n v="6.2100000000000002E-2"/>
    <n v="0.03"/>
    <n v="0.02"/>
    <n v="0.06"/>
    <n v="0.02"/>
    <n v="0.02"/>
    <n v="0.02"/>
    <n v="0.9"/>
    <n v="180000"/>
    <n v="176460"/>
    <n v="304980"/>
    <n v="210120"/>
    <n v="408000"/>
    <n v="140000"/>
  </r>
  <r>
    <x v="0"/>
    <x v="3"/>
    <x v="12"/>
    <s v="Ophthalmology HPSPPriv"/>
    <n v="2040"/>
    <x v="27"/>
    <n v="1781830.5449165422"/>
    <n v="0.02"/>
    <n v="0.01"/>
    <n v="0.01"/>
    <n v="6.2100000000000002E-2"/>
    <n v="0.03"/>
    <n v="0.02"/>
    <n v="0.06"/>
    <n v="0.02"/>
    <n v="0.02"/>
    <n v="0.02"/>
    <n v="0.9"/>
    <n v="180000"/>
    <n v="176460"/>
    <n v="304980"/>
    <n v="210120"/>
    <n v="408000"/>
    <n v="140000"/>
  </r>
  <r>
    <x v="0"/>
    <x v="3"/>
    <x v="12"/>
    <s v="Ophthalmology HPSPPriv"/>
    <n v="2041"/>
    <x v="28"/>
    <n v="1842858.7935399455"/>
    <n v="0.02"/>
    <n v="0.01"/>
    <n v="0.01"/>
    <n v="6.2100000000000002E-2"/>
    <n v="0.03"/>
    <n v="0.02"/>
    <n v="0.06"/>
    <n v="0.02"/>
    <n v="0.02"/>
    <n v="0.02"/>
    <n v="0.9"/>
    <n v="180000"/>
    <n v="176460"/>
    <n v="304980"/>
    <n v="210120"/>
    <n v="408000"/>
    <n v="140000"/>
  </r>
  <r>
    <x v="0"/>
    <x v="3"/>
    <x v="12"/>
    <s v="Ophthalmology HPSPPriv"/>
    <n v="2042"/>
    <x v="29"/>
    <n v="1902649.0275749476"/>
    <n v="0.02"/>
    <n v="0.01"/>
    <n v="0.01"/>
    <n v="6.2100000000000002E-2"/>
    <n v="0.03"/>
    <n v="0.02"/>
    <n v="0.06"/>
    <n v="0.02"/>
    <n v="0.02"/>
    <n v="0.02"/>
    <n v="0.9"/>
    <n v="180000"/>
    <n v="176460"/>
    <n v="304980"/>
    <n v="210120"/>
    <n v="408000"/>
    <n v="140000"/>
  </r>
  <r>
    <x v="0"/>
    <x v="0"/>
    <x v="15"/>
    <s v="Internal Medicine ZERO"/>
    <n v="2013"/>
    <x v="0"/>
    <n v="0"/>
    <n v="0.02"/>
    <n v="0.01"/>
    <n v="0.01"/>
    <n v="6.2100000000000002E-2"/>
    <n v="0.03"/>
    <n v="0.02"/>
    <n v="0.06"/>
    <n v="0.02"/>
    <n v="0.02"/>
    <n v="0.02"/>
    <n v="0.9"/>
    <n v="180000"/>
    <n v="176460"/>
    <n v="304980"/>
    <n v="210120"/>
    <n v="408000"/>
    <n v="140000"/>
  </r>
  <r>
    <x v="0"/>
    <x v="0"/>
    <x v="15"/>
    <s v="Internal Medicine ZERO"/>
    <n v="2014"/>
    <x v="1"/>
    <n v="0"/>
    <n v="0.02"/>
    <n v="0.01"/>
    <n v="0.01"/>
    <n v="6.2100000000000002E-2"/>
    <n v="0.03"/>
    <n v="0.02"/>
    <n v="0.06"/>
    <n v="0.02"/>
    <n v="0.02"/>
    <n v="0.02"/>
    <n v="0.9"/>
    <n v="180000"/>
    <n v="176460"/>
    <n v="304980"/>
    <n v="210120"/>
    <n v="408000"/>
    <n v="140000"/>
  </r>
  <r>
    <x v="0"/>
    <x v="0"/>
    <x v="15"/>
    <s v="Internal Medicine ZERO"/>
    <n v="2015"/>
    <x v="2"/>
    <n v="0"/>
    <n v="0.02"/>
    <n v="0.01"/>
    <n v="0.01"/>
    <n v="6.2100000000000002E-2"/>
    <n v="0.03"/>
    <n v="0.02"/>
    <n v="0.06"/>
    <n v="0.02"/>
    <n v="0.02"/>
    <n v="0.02"/>
    <n v="0.9"/>
    <n v="180000"/>
    <n v="176460"/>
    <n v="304980"/>
    <n v="210120"/>
    <n v="408000"/>
    <n v="140000"/>
  </r>
  <r>
    <x v="0"/>
    <x v="0"/>
    <x v="15"/>
    <s v="Internal Medicine ZERO"/>
    <n v="2016"/>
    <x v="3"/>
    <n v="0"/>
    <n v="0.02"/>
    <n v="0.01"/>
    <n v="0.01"/>
    <n v="6.2100000000000002E-2"/>
    <n v="0.03"/>
    <n v="0.02"/>
    <n v="0.06"/>
    <n v="0.02"/>
    <n v="0.02"/>
    <n v="0.02"/>
    <n v="0.9"/>
    <n v="180000"/>
    <n v="176460"/>
    <n v="304980"/>
    <n v="210120"/>
    <n v="408000"/>
    <n v="140000"/>
  </r>
  <r>
    <x v="0"/>
    <x v="0"/>
    <x v="15"/>
    <s v="Internal Medicine ZERO"/>
    <n v="2017"/>
    <x v="4"/>
    <n v="33588.865466099727"/>
    <n v="0.02"/>
    <n v="0.01"/>
    <n v="0.01"/>
    <n v="6.2100000000000002E-2"/>
    <n v="0.03"/>
    <n v="0.02"/>
    <n v="0.06"/>
    <n v="0.02"/>
    <n v="0.02"/>
    <n v="0.02"/>
    <n v="0.9"/>
    <n v="180000"/>
    <n v="176460"/>
    <n v="304980"/>
    <n v="210120"/>
    <n v="408000"/>
    <n v="140000"/>
  </r>
  <r>
    <x v="0"/>
    <x v="0"/>
    <x v="15"/>
    <s v="Internal Medicine ZERO"/>
    <n v="2018"/>
    <x v="5"/>
    <n v="67199.057582634647"/>
    <n v="0.02"/>
    <n v="0.01"/>
    <n v="0.01"/>
    <n v="6.2100000000000002E-2"/>
    <n v="0.03"/>
    <n v="0.02"/>
    <n v="0.06"/>
    <n v="0.02"/>
    <n v="0.02"/>
    <n v="0.02"/>
    <n v="0.9"/>
    <n v="180000"/>
    <n v="176460"/>
    <n v="304980"/>
    <n v="210120"/>
    <n v="408000"/>
    <n v="140000"/>
  </r>
  <r>
    <x v="0"/>
    <x v="0"/>
    <x v="15"/>
    <s v="Internal Medicine ZERO"/>
    <n v="2019"/>
    <x v="6"/>
    <n v="100838.89926015845"/>
    <n v="0.02"/>
    <n v="0.01"/>
    <n v="0.01"/>
    <n v="6.2100000000000002E-2"/>
    <n v="0.03"/>
    <n v="0.02"/>
    <n v="0.06"/>
    <n v="0.02"/>
    <n v="0.02"/>
    <n v="0.02"/>
    <n v="0.9"/>
    <n v="180000"/>
    <n v="176460"/>
    <n v="304980"/>
    <n v="210120"/>
    <n v="408000"/>
    <n v="140000"/>
  </r>
  <r>
    <x v="0"/>
    <x v="0"/>
    <x v="15"/>
    <s v="Internal Medicine ZERO"/>
    <n v="2020"/>
    <x v="7"/>
    <n v="193988.15726185089"/>
    <n v="0.02"/>
    <n v="0.01"/>
    <n v="0.01"/>
    <n v="6.2100000000000002E-2"/>
    <n v="0.03"/>
    <n v="0.02"/>
    <n v="0.06"/>
    <n v="0.02"/>
    <n v="0.02"/>
    <n v="0.02"/>
    <n v="0.9"/>
    <n v="180000"/>
    <n v="176460"/>
    <n v="304980"/>
    <n v="210120"/>
    <n v="408000"/>
    <n v="140000"/>
  </r>
  <r>
    <x v="0"/>
    <x v="0"/>
    <x v="15"/>
    <s v="Internal Medicine ZERO"/>
    <n v="2021"/>
    <x v="8"/>
    <n v="285304.23639855447"/>
    <n v="0.02"/>
    <n v="0.01"/>
    <n v="0.01"/>
    <n v="6.2100000000000002E-2"/>
    <n v="0.03"/>
    <n v="0.02"/>
    <n v="0.06"/>
    <n v="0.02"/>
    <n v="0.02"/>
    <n v="0.02"/>
    <n v="0.9"/>
    <n v="180000"/>
    <n v="176460"/>
    <n v="304980"/>
    <n v="210120"/>
    <n v="408000"/>
    <n v="140000"/>
  </r>
  <r>
    <x v="0"/>
    <x v="0"/>
    <x v="15"/>
    <s v="Internal Medicine ZERO"/>
    <n v="2022"/>
    <x v="9"/>
    <n v="374823.27716435486"/>
    <n v="0.02"/>
    <n v="0.01"/>
    <n v="0.01"/>
    <n v="6.2100000000000002E-2"/>
    <n v="0.03"/>
    <n v="0.02"/>
    <n v="0.06"/>
    <n v="0.02"/>
    <n v="0.02"/>
    <n v="0.02"/>
    <n v="0.9"/>
    <n v="180000"/>
    <n v="176460"/>
    <n v="304980"/>
    <n v="210120"/>
    <n v="408000"/>
    <n v="140000"/>
  </r>
  <r>
    <x v="0"/>
    <x v="0"/>
    <x v="15"/>
    <s v="Internal Medicine ZERO"/>
    <n v="2023"/>
    <x v="10"/>
    <n v="462580.70571298164"/>
    <n v="0.02"/>
    <n v="0.01"/>
    <n v="0.01"/>
    <n v="6.2100000000000002E-2"/>
    <n v="0.03"/>
    <n v="0.02"/>
    <n v="0.06"/>
    <n v="0.02"/>
    <n v="0.02"/>
    <n v="0.02"/>
    <n v="0.9"/>
    <n v="180000"/>
    <n v="176460"/>
    <n v="304980"/>
    <n v="210120"/>
    <n v="408000"/>
    <n v="140000"/>
  </r>
  <r>
    <x v="0"/>
    <x v="0"/>
    <x v="15"/>
    <s v="Internal Medicine ZERO"/>
    <n v="2024"/>
    <x v="11"/>
    <n v="548611.24803059478"/>
    <n v="0.02"/>
    <n v="0.01"/>
    <n v="0.01"/>
    <n v="6.2100000000000002E-2"/>
    <n v="0.03"/>
    <n v="0.02"/>
    <n v="0.06"/>
    <n v="0.02"/>
    <n v="0.02"/>
    <n v="0.02"/>
    <n v="0.9"/>
    <n v="180000"/>
    <n v="176460"/>
    <n v="304980"/>
    <n v="210120"/>
    <n v="408000"/>
    <n v="140000"/>
  </r>
  <r>
    <x v="0"/>
    <x v="0"/>
    <x v="15"/>
    <s v="Internal Medicine ZERO"/>
    <n v="2025"/>
    <x v="12"/>
    <n v="632948.94382583583"/>
    <n v="0.02"/>
    <n v="0.01"/>
    <n v="0.01"/>
    <n v="6.2100000000000002E-2"/>
    <n v="0.03"/>
    <n v="0.02"/>
    <n v="0.06"/>
    <n v="0.02"/>
    <n v="0.02"/>
    <n v="0.02"/>
    <n v="0.9"/>
    <n v="180000"/>
    <n v="176460"/>
    <n v="304980"/>
    <n v="210120"/>
    <n v="408000"/>
    <n v="140000"/>
  </r>
  <r>
    <x v="0"/>
    <x v="0"/>
    <x v="15"/>
    <s v="Internal Medicine ZERO"/>
    <n v="2026"/>
    <x v="13"/>
    <n v="715627.16014282708"/>
    <n v="0.02"/>
    <n v="0.01"/>
    <n v="0.01"/>
    <n v="6.2100000000000002E-2"/>
    <n v="0.03"/>
    <n v="0.02"/>
    <n v="0.06"/>
    <n v="0.02"/>
    <n v="0.02"/>
    <n v="0.02"/>
    <n v="0.9"/>
    <n v="180000"/>
    <n v="176460"/>
    <n v="304980"/>
    <n v="210120"/>
    <n v="408000"/>
    <n v="140000"/>
  </r>
  <r>
    <x v="0"/>
    <x v="0"/>
    <x v="15"/>
    <s v="Internal Medicine ZERO"/>
    <n v="2027"/>
    <x v="14"/>
    <n v="796678.6047026891"/>
    <n v="0.02"/>
    <n v="0.01"/>
    <n v="0.01"/>
    <n v="6.2100000000000002E-2"/>
    <n v="0.03"/>
    <n v="0.02"/>
    <n v="0.06"/>
    <n v="0.02"/>
    <n v="0.02"/>
    <n v="0.02"/>
    <n v="0.9"/>
    <n v="180000"/>
    <n v="176460"/>
    <n v="304980"/>
    <n v="210120"/>
    <n v="408000"/>
    <n v="140000"/>
  </r>
  <r>
    <x v="0"/>
    <x v="0"/>
    <x v="15"/>
    <s v="Internal Medicine ZERO"/>
    <n v="2028"/>
    <x v="15"/>
    <n v="876135.33897903201"/>
    <n v="0.02"/>
    <n v="0.01"/>
    <n v="0.01"/>
    <n v="6.2100000000000002E-2"/>
    <n v="0.03"/>
    <n v="0.02"/>
    <n v="0.06"/>
    <n v="0.02"/>
    <n v="0.02"/>
    <n v="0.02"/>
    <n v="0.9"/>
    <n v="180000"/>
    <n v="176460"/>
    <n v="304980"/>
    <n v="210120"/>
    <n v="408000"/>
    <n v="140000"/>
  </r>
  <r>
    <x v="0"/>
    <x v="0"/>
    <x v="15"/>
    <s v="Internal Medicine ZERO"/>
    <n v="2029"/>
    <x v="16"/>
    <n v="954028.79101276596"/>
    <n v="0.02"/>
    <n v="0.01"/>
    <n v="0.01"/>
    <n v="6.2100000000000002E-2"/>
    <n v="0.03"/>
    <n v="0.02"/>
    <n v="0.06"/>
    <n v="0.02"/>
    <n v="0.02"/>
    <n v="0.02"/>
    <n v="0.9"/>
    <n v="180000"/>
    <n v="176460"/>
    <n v="304980"/>
    <n v="210120"/>
    <n v="408000"/>
    <n v="140000"/>
  </r>
  <r>
    <x v="0"/>
    <x v="0"/>
    <x v="15"/>
    <s v="Internal Medicine ZERO"/>
    <n v="2030"/>
    <x v="17"/>
    <n v="1030389.7679714675"/>
    <n v="0.02"/>
    <n v="0.01"/>
    <n v="0.01"/>
    <n v="6.2100000000000002E-2"/>
    <n v="0.03"/>
    <n v="0.02"/>
    <n v="0.06"/>
    <n v="0.02"/>
    <n v="0.02"/>
    <n v="0.02"/>
    <n v="0.9"/>
    <n v="180000"/>
    <n v="176460"/>
    <n v="304980"/>
    <n v="210120"/>
    <n v="408000"/>
    <n v="140000"/>
  </r>
  <r>
    <x v="0"/>
    <x v="0"/>
    <x v="15"/>
    <s v="Internal Medicine ZERO"/>
    <n v="2031"/>
    <x v="18"/>
    <n v="1105248.4684584311"/>
    <n v="0.02"/>
    <n v="0.01"/>
    <n v="0.01"/>
    <n v="6.2100000000000002E-2"/>
    <n v="0.03"/>
    <n v="0.02"/>
    <n v="0.06"/>
    <n v="0.02"/>
    <n v="0.02"/>
    <n v="0.02"/>
    <n v="0.9"/>
    <n v="180000"/>
    <n v="176460"/>
    <n v="304980"/>
    <n v="210120"/>
    <n v="408000"/>
    <n v="140000"/>
  </r>
  <r>
    <x v="0"/>
    <x v="0"/>
    <x v="15"/>
    <s v="Internal Medicine ZERO"/>
    <n v="2032"/>
    <x v="19"/>
    <n v="1178634.4945764341"/>
    <n v="0.02"/>
    <n v="0.01"/>
    <n v="0.01"/>
    <n v="6.2100000000000002E-2"/>
    <n v="0.03"/>
    <n v="0.02"/>
    <n v="0.06"/>
    <n v="0.02"/>
    <n v="0.02"/>
    <n v="0.02"/>
    <n v="0.9"/>
    <n v="180000"/>
    <n v="176460"/>
    <n v="304980"/>
    <n v="210120"/>
    <n v="408000"/>
    <n v="140000"/>
  </r>
  <r>
    <x v="0"/>
    <x v="0"/>
    <x v="15"/>
    <s v="Internal Medicine ZERO"/>
    <n v="2033"/>
    <x v="20"/>
    <n v="1250529.0617074224"/>
    <n v="0.02"/>
    <n v="0.01"/>
    <n v="0.01"/>
    <n v="6.2100000000000002E-2"/>
    <n v="0.03"/>
    <n v="0.02"/>
    <n v="0.06"/>
    <n v="0.02"/>
    <n v="0.02"/>
    <n v="0.02"/>
    <n v="0.9"/>
    <n v="180000"/>
    <n v="176460"/>
    <n v="304980"/>
    <n v="210120"/>
    <n v="408000"/>
    <n v="140000"/>
  </r>
  <r>
    <x v="0"/>
    <x v="0"/>
    <x v="15"/>
    <s v="Internal Medicine ZERO"/>
    <n v="2034"/>
    <x v="21"/>
    <n v="1320961.5096317111"/>
    <n v="0.02"/>
    <n v="0.01"/>
    <n v="0.01"/>
    <n v="6.2100000000000002E-2"/>
    <n v="0.03"/>
    <n v="0.02"/>
    <n v="0.06"/>
    <n v="0.02"/>
    <n v="0.02"/>
    <n v="0.02"/>
    <n v="0.9"/>
    <n v="180000"/>
    <n v="176460"/>
    <n v="304980"/>
    <n v="210120"/>
    <n v="408000"/>
    <n v="140000"/>
  </r>
  <r>
    <x v="0"/>
    <x v="0"/>
    <x v="15"/>
    <s v="Internal Medicine ZERO"/>
    <n v="2035"/>
    <x v="22"/>
    <n v="1389962.0342022455"/>
    <n v="0.02"/>
    <n v="0.01"/>
    <n v="0.01"/>
    <n v="6.2100000000000002E-2"/>
    <n v="0.03"/>
    <n v="0.02"/>
    <n v="0.06"/>
    <n v="0.02"/>
    <n v="0.02"/>
    <n v="0.02"/>
    <n v="0.9"/>
    <n v="180000"/>
    <n v="176460"/>
    <n v="304980"/>
    <n v="210120"/>
    <n v="408000"/>
    <n v="140000"/>
  </r>
  <r>
    <x v="0"/>
    <x v="0"/>
    <x v="15"/>
    <s v="Internal Medicine ZERO"/>
    <n v="2036"/>
    <x v="23"/>
    <n v="1457560.1947250965"/>
    <n v="0.02"/>
    <n v="0.01"/>
    <n v="0.01"/>
    <n v="6.2100000000000002E-2"/>
    <n v="0.03"/>
    <n v="0.02"/>
    <n v="0.06"/>
    <n v="0.02"/>
    <n v="0.02"/>
    <n v="0.02"/>
    <n v="0.9"/>
    <n v="180000"/>
    <n v="176460"/>
    <n v="304980"/>
    <n v="210120"/>
    <n v="408000"/>
    <n v="140000"/>
  </r>
  <r>
    <x v="0"/>
    <x v="0"/>
    <x v="15"/>
    <s v="Internal Medicine ZERO"/>
    <n v="2037"/>
    <x v="24"/>
    <n v="1523784.9277360518"/>
    <n v="0.02"/>
    <n v="0.01"/>
    <n v="0.01"/>
    <n v="6.2100000000000002E-2"/>
    <n v="0.03"/>
    <n v="0.02"/>
    <n v="0.06"/>
    <n v="0.02"/>
    <n v="0.02"/>
    <n v="0.02"/>
    <n v="0.9"/>
    <n v="180000"/>
    <n v="176460"/>
    <n v="304980"/>
    <n v="210120"/>
    <n v="408000"/>
    <n v="140000"/>
  </r>
  <r>
    <x v="0"/>
    <x v="0"/>
    <x v="15"/>
    <s v="Internal Medicine ZERO"/>
    <n v="2038"/>
    <x v="25"/>
    <n v="1588664.5604693545"/>
    <n v="0.02"/>
    <n v="0.01"/>
    <n v="0.01"/>
    <n v="6.2100000000000002E-2"/>
    <n v="0.03"/>
    <n v="0.02"/>
    <n v="0.06"/>
    <n v="0.02"/>
    <n v="0.02"/>
    <n v="0.02"/>
    <n v="0.9"/>
    <n v="180000"/>
    <n v="176460"/>
    <n v="304980"/>
    <n v="210120"/>
    <n v="408000"/>
    <n v="140000"/>
  </r>
  <r>
    <x v="0"/>
    <x v="0"/>
    <x v="15"/>
    <s v="Internal Medicine ZERO"/>
    <n v="2039"/>
    <x v="26"/>
    <n v="1652226.8240257173"/>
    <n v="0.02"/>
    <n v="0.01"/>
    <n v="0.01"/>
    <n v="6.2100000000000002E-2"/>
    <n v="0.03"/>
    <n v="0.02"/>
    <n v="0.06"/>
    <n v="0.02"/>
    <n v="0.02"/>
    <n v="0.02"/>
    <n v="0.9"/>
    <n v="180000"/>
    <n v="176460"/>
    <n v="304980"/>
    <n v="210120"/>
    <n v="408000"/>
    <n v="140000"/>
  </r>
  <r>
    <x v="0"/>
    <x v="0"/>
    <x v="15"/>
    <s v="Internal Medicine ZERO"/>
    <n v="2040"/>
    <x v="27"/>
    <n v="1714498.8662465829"/>
    <n v="0.02"/>
    <n v="0.01"/>
    <n v="0.01"/>
    <n v="6.2100000000000002E-2"/>
    <n v="0.03"/>
    <n v="0.02"/>
    <n v="0.06"/>
    <n v="0.02"/>
    <n v="0.02"/>
    <n v="0.02"/>
    <n v="0.9"/>
    <n v="180000"/>
    <n v="176460"/>
    <n v="304980"/>
    <n v="210120"/>
    <n v="408000"/>
    <n v="140000"/>
  </r>
  <r>
    <x v="0"/>
    <x v="0"/>
    <x v="15"/>
    <s v="Internal Medicine ZERO"/>
    <n v="2041"/>
    <x v="28"/>
    <n v="1775507.2643014197"/>
    <n v="0.02"/>
    <n v="0.01"/>
    <n v="0.01"/>
    <n v="6.2100000000000002E-2"/>
    <n v="0.03"/>
    <n v="0.02"/>
    <n v="0.06"/>
    <n v="0.02"/>
    <n v="0.02"/>
    <n v="0.02"/>
    <n v="0.9"/>
    <n v="180000"/>
    <n v="176460"/>
    <n v="304980"/>
    <n v="210120"/>
    <n v="408000"/>
    <n v="140000"/>
  </r>
  <r>
    <x v="0"/>
    <x v="0"/>
    <x v="15"/>
    <s v="Internal Medicine ZERO"/>
    <n v="2042"/>
    <x v="29"/>
    <n v="1835278.0369946901"/>
    <n v="0.02"/>
    <n v="0.01"/>
    <n v="0.01"/>
    <n v="6.2100000000000002E-2"/>
    <n v="0.03"/>
    <n v="0.02"/>
    <n v="0.06"/>
    <n v="0.02"/>
    <n v="0.02"/>
    <n v="0.02"/>
    <n v="0.9"/>
    <n v="180000"/>
    <n v="176460"/>
    <n v="304980"/>
    <n v="210120"/>
    <n v="408000"/>
    <n v="140000"/>
  </r>
  <r>
    <x v="0"/>
    <x v="1"/>
    <x v="15"/>
    <s v="Orthopedics ZERO"/>
    <n v="2013"/>
    <x v="0"/>
    <n v="0"/>
    <n v="0.02"/>
    <n v="0.01"/>
    <n v="0.01"/>
    <n v="6.2100000000000002E-2"/>
    <n v="0.03"/>
    <n v="0.02"/>
    <n v="0.06"/>
    <n v="0.02"/>
    <n v="0.02"/>
    <n v="0.02"/>
    <n v="0.9"/>
    <n v="180000"/>
    <n v="176460"/>
    <n v="304980"/>
    <n v="210120"/>
    <n v="408000"/>
    <n v="140000"/>
  </r>
  <r>
    <x v="0"/>
    <x v="1"/>
    <x v="15"/>
    <s v="Orthopedics ZERO"/>
    <n v="2014"/>
    <x v="1"/>
    <n v="0"/>
    <n v="0.02"/>
    <n v="0.01"/>
    <n v="0.01"/>
    <n v="6.2100000000000002E-2"/>
    <n v="0.03"/>
    <n v="0.02"/>
    <n v="0.06"/>
    <n v="0.02"/>
    <n v="0.02"/>
    <n v="0.02"/>
    <n v="0.9"/>
    <n v="180000"/>
    <n v="176460"/>
    <n v="304980"/>
    <n v="210120"/>
    <n v="408000"/>
    <n v="140000"/>
  </r>
  <r>
    <x v="0"/>
    <x v="1"/>
    <x v="15"/>
    <s v="Orthopedics ZERO"/>
    <n v="2015"/>
    <x v="2"/>
    <n v="0"/>
    <n v="0.02"/>
    <n v="0.01"/>
    <n v="0.01"/>
    <n v="6.2100000000000002E-2"/>
    <n v="0.03"/>
    <n v="0.02"/>
    <n v="0.06"/>
    <n v="0.02"/>
    <n v="0.02"/>
    <n v="0.02"/>
    <n v="0.9"/>
    <n v="180000"/>
    <n v="176460"/>
    <n v="304980"/>
    <n v="210120"/>
    <n v="408000"/>
    <n v="140000"/>
  </r>
  <r>
    <x v="0"/>
    <x v="1"/>
    <x v="15"/>
    <s v="Orthopedics ZERO"/>
    <n v="2016"/>
    <x v="3"/>
    <n v="0"/>
    <n v="0.02"/>
    <n v="0.01"/>
    <n v="0.01"/>
    <n v="6.2100000000000002E-2"/>
    <n v="0.03"/>
    <n v="0.02"/>
    <n v="0.06"/>
    <n v="0.02"/>
    <n v="0.02"/>
    <n v="0.02"/>
    <n v="0.9"/>
    <n v="180000"/>
    <n v="176460"/>
    <n v="304980"/>
    <n v="210120"/>
    <n v="408000"/>
    <n v="140000"/>
  </r>
  <r>
    <x v="0"/>
    <x v="1"/>
    <x v="15"/>
    <s v="Orthopedics ZERO"/>
    <n v="2017"/>
    <x v="4"/>
    <n v="33588.865466099727"/>
    <n v="0.02"/>
    <n v="0.01"/>
    <n v="0.01"/>
    <n v="6.2100000000000002E-2"/>
    <n v="0.03"/>
    <n v="0.02"/>
    <n v="0.06"/>
    <n v="0.02"/>
    <n v="0.02"/>
    <n v="0.02"/>
    <n v="0.9"/>
    <n v="180000"/>
    <n v="176460"/>
    <n v="304980"/>
    <n v="210120"/>
    <n v="408000"/>
    <n v="140000"/>
  </r>
  <r>
    <x v="0"/>
    <x v="1"/>
    <x v="15"/>
    <s v="Orthopedics ZERO"/>
    <n v="2018"/>
    <x v="5"/>
    <n v="67199.057582634647"/>
    <n v="0.02"/>
    <n v="0.01"/>
    <n v="0.01"/>
    <n v="6.2100000000000002E-2"/>
    <n v="0.03"/>
    <n v="0.02"/>
    <n v="0.06"/>
    <n v="0.02"/>
    <n v="0.02"/>
    <n v="0.02"/>
    <n v="0.9"/>
    <n v="180000"/>
    <n v="176460"/>
    <n v="304980"/>
    <n v="210120"/>
    <n v="408000"/>
    <n v="140000"/>
  </r>
  <r>
    <x v="0"/>
    <x v="1"/>
    <x v="15"/>
    <s v="Orthopedics ZERO"/>
    <n v="2019"/>
    <x v="6"/>
    <n v="100838.89926015845"/>
    <n v="0.02"/>
    <n v="0.01"/>
    <n v="0.01"/>
    <n v="6.2100000000000002E-2"/>
    <n v="0.03"/>
    <n v="0.02"/>
    <n v="0.06"/>
    <n v="0.02"/>
    <n v="0.02"/>
    <n v="0.02"/>
    <n v="0.9"/>
    <n v="180000"/>
    <n v="176460"/>
    <n v="304980"/>
    <n v="210120"/>
    <n v="408000"/>
    <n v="140000"/>
  </r>
  <r>
    <x v="0"/>
    <x v="1"/>
    <x v="15"/>
    <s v="Orthopedics ZERO"/>
    <n v="2020"/>
    <x v="7"/>
    <n v="134516.55101939355"/>
    <n v="0.02"/>
    <n v="0.01"/>
    <n v="0.01"/>
    <n v="6.2100000000000002E-2"/>
    <n v="0.03"/>
    <n v="0.02"/>
    <n v="0.06"/>
    <n v="0.02"/>
    <n v="0.02"/>
    <n v="0.02"/>
    <n v="0.9"/>
    <n v="180000"/>
    <n v="176460"/>
    <n v="304980"/>
    <n v="210120"/>
    <n v="408000"/>
    <n v="140000"/>
  </r>
  <r>
    <x v="0"/>
    <x v="1"/>
    <x v="15"/>
    <s v="Orthopedics ZERO"/>
    <n v="2021"/>
    <x v="8"/>
    <n v="168240.01643703756"/>
    <n v="0.02"/>
    <n v="0.01"/>
    <n v="0.01"/>
    <n v="6.2100000000000002E-2"/>
    <n v="0.03"/>
    <n v="0.02"/>
    <n v="0.06"/>
    <n v="0.02"/>
    <n v="0.02"/>
    <n v="0.02"/>
    <n v="0.9"/>
    <n v="180000"/>
    <n v="176460"/>
    <n v="304980"/>
    <n v="210120"/>
    <n v="408000"/>
    <n v="140000"/>
  </r>
  <r>
    <x v="0"/>
    <x v="1"/>
    <x v="15"/>
    <s v="Orthopedics ZERO"/>
    <n v="2022"/>
    <x v="9"/>
    <n v="360726.73797044711"/>
    <n v="0.02"/>
    <n v="0.01"/>
    <n v="0.01"/>
    <n v="6.2100000000000002E-2"/>
    <n v="0.03"/>
    <n v="0.02"/>
    <n v="0.06"/>
    <n v="0.02"/>
    <n v="0.02"/>
    <n v="0.02"/>
    <n v="0.9"/>
    <n v="180000"/>
    <n v="176460"/>
    <n v="304980"/>
    <n v="210120"/>
    <n v="408000"/>
    <n v="140000"/>
  </r>
  <r>
    <x v="0"/>
    <x v="1"/>
    <x v="15"/>
    <s v="Orthopedics ZERO"/>
    <n v="2023"/>
    <x v="10"/>
    <n v="547607.05013880588"/>
    <n v="0.02"/>
    <n v="0.01"/>
    <n v="0.01"/>
    <n v="6.2100000000000002E-2"/>
    <n v="0.03"/>
    <n v="0.02"/>
    <n v="0.06"/>
    <n v="0.02"/>
    <n v="0.02"/>
    <n v="0.02"/>
    <n v="0.9"/>
    <n v="180000"/>
    <n v="176460"/>
    <n v="304980"/>
    <n v="210120"/>
    <n v="408000"/>
    <n v="140000"/>
  </r>
  <r>
    <x v="0"/>
    <x v="1"/>
    <x v="15"/>
    <s v="Orthopedics ZERO"/>
    <n v="2024"/>
    <x v="11"/>
    <n v="730824.29244430526"/>
    <n v="0.02"/>
    <n v="0.01"/>
    <n v="0.01"/>
    <n v="6.2100000000000002E-2"/>
    <n v="0.03"/>
    <n v="0.02"/>
    <n v="0.06"/>
    <n v="0.02"/>
    <n v="0.02"/>
    <n v="0.02"/>
    <n v="0.9"/>
    <n v="180000"/>
    <n v="176460"/>
    <n v="304980"/>
    <n v="210120"/>
    <n v="408000"/>
    <n v="140000"/>
  </r>
  <r>
    <x v="0"/>
    <x v="1"/>
    <x v="15"/>
    <s v="Orthopedics ZERO"/>
    <n v="2025"/>
    <x v="12"/>
    <n v="910450.25337892817"/>
    <n v="0.02"/>
    <n v="0.01"/>
    <n v="0.01"/>
    <n v="6.2100000000000002E-2"/>
    <n v="0.03"/>
    <n v="0.02"/>
    <n v="0.06"/>
    <n v="0.02"/>
    <n v="0.02"/>
    <n v="0.02"/>
    <n v="0.9"/>
    <n v="180000"/>
    <n v="176460"/>
    <n v="304980"/>
    <n v="210120"/>
    <n v="408000"/>
    <n v="140000"/>
  </r>
  <r>
    <x v="0"/>
    <x v="1"/>
    <x v="15"/>
    <s v="Orthopedics ZERO"/>
    <n v="2026"/>
    <x v="13"/>
    <n v="1086555.3148775743"/>
    <n v="0.02"/>
    <n v="0.01"/>
    <n v="0.01"/>
    <n v="6.2100000000000002E-2"/>
    <n v="0.03"/>
    <n v="0.02"/>
    <n v="0.06"/>
    <n v="0.02"/>
    <n v="0.02"/>
    <n v="0.02"/>
    <n v="0.9"/>
    <n v="180000"/>
    <n v="176460"/>
    <n v="304980"/>
    <n v="210120"/>
    <n v="408000"/>
    <n v="140000"/>
  </r>
  <r>
    <x v="0"/>
    <x v="1"/>
    <x v="15"/>
    <s v="Orthopedics ZERO"/>
    <n v="2027"/>
    <x v="14"/>
    <n v="1259208.4798667249"/>
    <n v="0.02"/>
    <n v="0.01"/>
    <n v="0.01"/>
    <n v="6.2100000000000002E-2"/>
    <n v="0.03"/>
    <n v="0.02"/>
    <n v="0.06"/>
    <n v="0.02"/>
    <n v="0.02"/>
    <n v="0.02"/>
    <n v="0.9"/>
    <n v="180000"/>
    <n v="176460"/>
    <n v="304980"/>
    <n v="210120"/>
    <n v="408000"/>
    <n v="140000"/>
  </r>
  <r>
    <x v="0"/>
    <x v="1"/>
    <x v="15"/>
    <s v="Orthopedics ZERO"/>
    <n v="2028"/>
    <x v="15"/>
    <n v="1428477.3992738379"/>
    <n v="0.02"/>
    <n v="0.01"/>
    <n v="0.01"/>
    <n v="6.2100000000000002E-2"/>
    <n v="0.03"/>
    <n v="0.02"/>
    <n v="0.06"/>
    <n v="0.02"/>
    <n v="0.02"/>
    <n v="0.02"/>
    <n v="0.9"/>
    <n v="180000"/>
    <n v="176460"/>
    <n v="304980"/>
    <n v="210120"/>
    <n v="408000"/>
    <n v="140000"/>
  </r>
  <r>
    <x v="0"/>
    <x v="1"/>
    <x v="15"/>
    <s v="Orthopedics ZERO"/>
    <n v="2029"/>
    <x v="16"/>
    <n v="1594428.398508019"/>
    <n v="0.02"/>
    <n v="0.01"/>
    <n v="0.01"/>
    <n v="6.2100000000000002E-2"/>
    <n v="0.03"/>
    <n v="0.02"/>
    <n v="0.06"/>
    <n v="0.02"/>
    <n v="0.02"/>
    <n v="0.02"/>
    <n v="0.9"/>
    <n v="180000"/>
    <n v="176460"/>
    <n v="304980"/>
    <n v="210120"/>
    <n v="408000"/>
    <n v="140000"/>
  </r>
  <r>
    <x v="0"/>
    <x v="1"/>
    <x v="15"/>
    <s v="Orthopedics ZERO"/>
    <n v="2030"/>
    <x v="17"/>
    <n v="1757126.5034223141"/>
    <n v="0.02"/>
    <n v="0.01"/>
    <n v="0.01"/>
    <n v="6.2100000000000002E-2"/>
    <n v="0.03"/>
    <n v="0.02"/>
    <n v="0.06"/>
    <n v="0.02"/>
    <n v="0.02"/>
    <n v="0.02"/>
    <n v="0.9"/>
    <n v="180000"/>
    <n v="176460"/>
    <n v="304980"/>
    <n v="210120"/>
    <n v="408000"/>
    <n v="140000"/>
  </r>
  <r>
    <x v="0"/>
    <x v="1"/>
    <x v="15"/>
    <s v="Orthopedics ZERO"/>
    <n v="2031"/>
    <x v="18"/>
    <n v="1916635.4657677584"/>
    <n v="0.02"/>
    <n v="0.01"/>
    <n v="0.01"/>
    <n v="6.2100000000000002E-2"/>
    <n v="0.03"/>
    <n v="0.02"/>
    <n v="0.06"/>
    <n v="0.02"/>
    <n v="0.02"/>
    <n v="0.02"/>
    <n v="0.9"/>
    <n v="180000"/>
    <n v="176460"/>
    <n v="304980"/>
    <n v="210120"/>
    <n v="408000"/>
    <n v="140000"/>
  </r>
  <r>
    <x v="0"/>
    <x v="1"/>
    <x v="15"/>
    <s v="Orthopedics ZERO"/>
    <n v="2032"/>
    <x v="19"/>
    <n v="2073017.788149127"/>
    <n v="0.02"/>
    <n v="0.01"/>
    <n v="0.01"/>
    <n v="6.2100000000000002E-2"/>
    <n v="0.03"/>
    <n v="0.02"/>
    <n v="0.06"/>
    <n v="0.02"/>
    <n v="0.02"/>
    <n v="0.02"/>
    <n v="0.9"/>
    <n v="180000"/>
    <n v="176460"/>
    <n v="304980"/>
    <n v="210120"/>
    <n v="408000"/>
    <n v="140000"/>
  </r>
  <r>
    <x v="0"/>
    <x v="1"/>
    <x v="15"/>
    <s v="Orthopedics ZERO"/>
    <n v="2033"/>
    <x v="20"/>
    <n v="2226334.7484921319"/>
    <n v="0.02"/>
    <n v="0.01"/>
    <n v="0.01"/>
    <n v="6.2100000000000002E-2"/>
    <n v="0.03"/>
    <n v="0.02"/>
    <n v="0.06"/>
    <n v="0.02"/>
    <n v="0.02"/>
    <n v="0.02"/>
    <n v="0.9"/>
    <n v="180000"/>
    <n v="176460"/>
    <n v="304980"/>
    <n v="210120"/>
    <n v="408000"/>
    <n v="140000"/>
  </r>
  <r>
    <x v="0"/>
    <x v="1"/>
    <x v="15"/>
    <s v="Orthopedics ZERO"/>
    <n v="2034"/>
    <x v="21"/>
    <n v="2376646.4240316255"/>
    <n v="0.02"/>
    <n v="0.01"/>
    <n v="0.01"/>
    <n v="6.2100000000000002E-2"/>
    <n v="0.03"/>
    <n v="0.02"/>
    <n v="0.06"/>
    <n v="0.02"/>
    <n v="0.02"/>
    <n v="0.02"/>
    <n v="0.9"/>
    <n v="180000"/>
    <n v="176460"/>
    <n v="304980"/>
    <n v="210120"/>
    <n v="408000"/>
    <n v="140000"/>
  </r>
  <r>
    <x v="0"/>
    <x v="1"/>
    <x v="15"/>
    <s v="Orthopedics ZERO"/>
    <n v="2035"/>
    <x v="22"/>
    <n v="2524011.7148301755"/>
    <n v="0.02"/>
    <n v="0.01"/>
    <n v="0.01"/>
    <n v="6.2100000000000002E-2"/>
    <n v="0.03"/>
    <n v="0.02"/>
    <n v="0.06"/>
    <n v="0.02"/>
    <n v="0.02"/>
    <n v="0.02"/>
    <n v="0.9"/>
    <n v="180000"/>
    <n v="176460"/>
    <n v="304980"/>
    <n v="210120"/>
    <n v="408000"/>
    <n v="140000"/>
  </r>
  <r>
    <x v="0"/>
    <x v="1"/>
    <x v="15"/>
    <s v="Orthopedics ZERO"/>
    <n v="2036"/>
    <x v="23"/>
    <n v="2668488.3668362042"/>
    <n v="0.02"/>
    <n v="0.01"/>
    <n v="0.01"/>
    <n v="6.2100000000000002E-2"/>
    <n v="0.03"/>
    <n v="0.02"/>
    <n v="0.06"/>
    <n v="0.02"/>
    <n v="0.02"/>
    <n v="0.02"/>
    <n v="0.9"/>
    <n v="180000"/>
    <n v="176460"/>
    <n v="304980"/>
    <n v="210120"/>
    <n v="408000"/>
    <n v="140000"/>
  </r>
  <r>
    <x v="0"/>
    <x v="1"/>
    <x v="15"/>
    <s v="Orthopedics ZERO"/>
    <n v="2037"/>
    <x v="24"/>
    <n v="2809969.7902480396"/>
    <n v="0.02"/>
    <n v="0.01"/>
    <n v="0.01"/>
    <n v="6.2100000000000002E-2"/>
    <n v="0.03"/>
    <n v="0.02"/>
    <n v="0.06"/>
    <n v="0.02"/>
    <n v="0.02"/>
    <n v="0.02"/>
    <n v="0.9"/>
    <n v="180000"/>
    <n v="176460"/>
    <n v="304980"/>
    <n v="210120"/>
    <n v="408000"/>
    <n v="140000"/>
  </r>
  <r>
    <x v="0"/>
    <x v="1"/>
    <x v="15"/>
    <s v="Orthopedics ZERO"/>
    <n v="2038"/>
    <x v="25"/>
    <n v="2948503.0242826822"/>
    <n v="0.02"/>
    <n v="0.01"/>
    <n v="0.01"/>
    <n v="6.2100000000000002E-2"/>
    <n v="0.03"/>
    <n v="0.02"/>
    <n v="0.06"/>
    <n v="0.02"/>
    <n v="0.02"/>
    <n v="0.02"/>
    <n v="0.9"/>
    <n v="180000"/>
    <n v="176460"/>
    <n v="304980"/>
    <n v="210120"/>
    <n v="408000"/>
    <n v="140000"/>
  </r>
  <r>
    <x v="0"/>
    <x v="1"/>
    <x v="15"/>
    <s v="Orthopedics ZERO"/>
    <n v="2039"/>
    <x v="26"/>
    <n v="3084150.9458124577"/>
    <n v="0.02"/>
    <n v="0.01"/>
    <n v="0.01"/>
    <n v="6.2100000000000002E-2"/>
    <n v="0.03"/>
    <n v="0.02"/>
    <n v="0.06"/>
    <n v="0.02"/>
    <n v="0.02"/>
    <n v="0.02"/>
    <n v="0.9"/>
    <n v="180000"/>
    <n v="176460"/>
    <n v="304980"/>
    <n v="210120"/>
    <n v="408000"/>
    <n v="140000"/>
  </r>
  <r>
    <x v="0"/>
    <x v="1"/>
    <x v="15"/>
    <s v="Orthopedics ZERO"/>
    <n v="2040"/>
    <x v="27"/>
    <n v="3216975.051182148"/>
    <n v="0.02"/>
    <n v="0.01"/>
    <n v="0.01"/>
    <n v="6.2100000000000002E-2"/>
    <n v="0.03"/>
    <n v="0.02"/>
    <n v="0.06"/>
    <n v="0.02"/>
    <n v="0.02"/>
    <n v="0.02"/>
    <n v="0.9"/>
    <n v="180000"/>
    <n v="176460"/>
    <n v="304980"/>
    <n v="210120"/>
    <n v="408000"/>
    <n v="140000"/>
  </r>
  <r>
    <x v="0"/>
    <x v="1"/>
    <x v="15"/>
    <s v="Orthopedics ZERO"/>
    <n v="2041"/>
    <x v="28"/>
    <n v="3347035.4875785788"/>
    <n v="0.02"/>
    <n v="0.01"/>
    <n v="0.01"/>
    <n v="6.2100000000000002E-2"/>
    <n v="0.03"/>
    <n v="0.02"/>
    <n v="0.06"/>
    <n v="0.02"/>
    <n v="0.02"/>
    <n v="0.02"/>
    <n v="0.9"/>
    <n v="180000"/>
    <n v="176460"/>
    <n v="304980"/>
    <n v="210120"/>
    <n v="408000"/>
    <n v="140000"/>
  </r>
  <r>
    <x v="0"/>
    <x v="1"/>
    <x v="15"/>
    <s v="Orthopedics ZERO"/>
    <n v="2042"/>
    <x v="29"/>
    <n v="3474391.0836598589"/>
    <n v="0.02"/>
    <n v="0.01"/>
    <n v="0.01"/>
    <n v="6.2100000000000002E-2"/>
    <n v="0.03"/>
    <n v="0.02"/>
    <n v="0.06"/>
    <n v="0.02"/>
    <n v="0.02"/>
    <n v="0.02"/>
    <n v="0.9"/>
    <n v="180000"/>
    <n v="176460"/>
    <n v="304980"/>
    <n v="210120"/>
    <n v="408000"/>
    <n v="140000"/>
  </r>
  <r>
    <x v="0"/>
    <x v="2"/>
    <x v="15"/>
    <s v="General Surgery ZERO"/>
    <n v="2013"/>
    <x v="0"/>
    <n v="0"/>
    <n v="0.02"/>
    <n v="0.01"/>
    <n v="0.01"/>
    <n v="6.2100000000000002E-2"/>
    <n v="0.03"/>
    <n v="0.02"/>
    <n v="0.06"/>
    <n v="0.02"/>
    <n v="0.02"/>
    <n v="0.02"/>
    <n v="0.9"/>
    <n v="180000"/>
    <n v="176460"/>
    <n v="304980"/>
    <n v="210120"/>
    <n v="408000"/>
    <n v="140000"/>
  </r>
  <r>
    <x v="0"/>
    <x v="2"/>
    <x v="15"/>
    <s v="General Surgery ZERO"/>
    <n v="2014"/>
    <x v="1"/>
    <n v="0"/>
    <n v="0.02"/>
    <n v="0.01"/>
    <n v="0.01"/>
    <n v="6.2100000000000002E-2"/>
    <n v="0.03"/>
    <n v="0.02"/>
    <n v="0.06"/>
    <n v="0.02"/>
    <n v="0.02"/>
    <n v="0.02"/>
    <n v="0.9"/>
    <n v="180000"/>
    <n v="176460"/>
    <n v="304980"/>
    <n v="210120"/>
    <n v="408000"/>
    <n v="140000"/>
  </r>
  <r>
    <x v="0"/>
    <x v="2"/>
    <x v="15"/>
    <s v="General Surgery ZERO"/>
    <n v="2015"/>
    <x v="2"/>
    <n v="0"/>
    <n v="0.02"/>
    <n v="0.01"/>
    <n v="0.01"/>
    <n v="6.2100000000000002E-2"/>
    <n v="0.03"/>
    <n v="0.02"/>
    <n v="0.06"/>
    <n v="0.02"/>
    <n v="0.02"/>
    <n v="0.02"/>
    <n v="0.9"/>
    <n v="180000"/>
    <n v="176460"/>
    <n v="304980"/>
    <n v="210120"/>
    <n v="408000"/>
    <n v="140000"/>
  </r>
  <r>
    <x v="0"/>
    <x v="2"/>
    <x v="15"/>
    <s v="General Surgery ZERO"/>
    <n v="2016"/>
    <x v="3"/>
    <n v="0"/>
    <n v="0.02"/>
    <n v="0.01"/>
    <n v="0.01"/>
    <n v="6.2100000000000002E-2"/>
    <n v="0.03"/>
    <n v="0.02"/>
    <n v="0.06"/>
    <n v="0.02"/>
    <n v="0.02"/>
    <n v="0.02"/>
    <n v="0.9"/>
    <n v="180000"/>
    <n v="176460"/>
    <n v="304980"/>
    <n v="210120"/>
    <n v="408000"/>
    <n v="140000"/>
  </r>
  <r>
    <x v="0"/>
    <x v="2"/>
    <x v="15"/>
    <s v="General Surgery ZERO"/>
    <n v="2017"/>
    <x v="4"/>
    <n v="33588.865466099727"/>
    <n v="0.02"/>
    <n v="0.01"/>
    <n v="0.01"/>
    <n v="6.2100000000000002E-2"/>
    <n v="0.03"/>
    <n v="0.02"/>
    <n v="0.06"/>
    <n v="0.02"/>
    <n v="0.02"/>
    <n v="0.02"/>
    <n v="0.9"/>
    <n v="180000"/>
    <n v="176460"/>
    <n v="304980"/>
    <n v="210120"/>
    <n v="408000"/>
    <n v="140000"/>
  </r>
  <r>
    <x v="0"/>
    <x v="2"/>
    <x v="15"/>
    <s v="General Surgery ZERO"/>
    <n v="2018"/>
    <x v="5"/>
    <n v="67199.057582634647"/>
    <n v="0.02"/>
    <n v="0.01"/>
    <n v="0.01"/>
    <n v="6.2100000000000002E-2"/>
    <n v="0.03"/>
    <n v="0.02"/>
    <n v="0.06"/>
    <n v="0.02"/>
    <n v="0.02"/>
    <n v="0.02"/>
    <n v="0.9"/>
    <n v="180000"/>
    <n v="176460"/>
    <n v="304980"/>
    <n v="210120"/>
    <n v="408000"/>
    <n v="140000"/>
  </r>
  <r>
    <x v="0"/>
    <x v="2"/>
    <x v="15"/>
    <s v="General Surgery ZERO"/>
    <n v="2019"/>
    <x v="6"/>
    <n v="100838.89926015845"/>
    <n v="0.02"/>
    <n v="0.01"/>
    <n v="0.01"/>
    <n v="6.2100000000000002E-2"/>
    <n v="0.03"/>
    <n v="0.02"/>
    <n v="0.06"/>
    <n v="0.02"/>
    <n v="0.02"/>
    <n v="0.02"/>
    <n v="0.9"/>
    <n v="180000"/>
    <n v="176460"/>
    <n v="304980"/>
    <n v="210120"/>
    <n v="408000"/>
    <n v="140000"/>
  </r>
  <r>
    <x v="0"/>
    <x v="2"/>
    <x v="15"/>
    <s v="General Surgery ZERO"/>
    <n v="2020"/>
    <x v="7"/>
    <n v="134516.55101939355"/>
    <n v="0.02"/>
    <n v="0.01"/>
    <n v="0.01"/>
    <n v="6.2100000000000002E-2"/>
    <n v="0.03"/>
    <n v="0.02"/>
    <n v="0.06"/>
    <n v="0.02"/>
    <n v="0.02"/>
    <n v="0.02"/>
    <n v="0.9"/>
    <n v="180000"/>
    <n v="176460"/>
    <n v="304980"/>
    <n v="210120"/>
    <n v="408000"/>
    <n v="140000"/>
  </r>
  <r>
    <x v="0"/>
    <x v="2"/>
    <x v="15"/>
    <s v="General Surgery ZERO"/>
    <n v="2021"/>
    <x v="8"/>
    <n v="168240.01643703756"/>
    <n v="0.02"/>
    <n v="0.01"/>
    <n v="0.01"/>
    <n v="6.2100000000000002E-2"/>
    <n v="0.03"/>
    <n v="0.02"/>
    <n v="0.06"/>
    <n v="0.02"/>
    <n v="0.02"/>
    <n v="0.02"/>
    <n v="0.9"/>
    <n v="180000"/>
    <n v="176460"/>
    <n v="304980"/>
    <n v="210120"/>
    <n v="408000"/>
    <n v="140000"/>
  </r>
  <r>
    <x v="0"/>
    <x v="2"/>
    <x v="15"/>
    <s v="General Surgery ZERO"/>
    <n v="2022"/>
    <x v="9"/>
    <n v="312881.60421563673"/>
    <n v="0.02"/>
    <n v="0.01"/>
    <n v="0.01"/>
    <n v="6.2100000000000002E-2"/>
    <n v="0.03"/>
    <n v="0.02"/>
    <n v="0.06"/>
    <n v="0.02"/>
    <n v="0.02"/>
    <n v="0.02"/>
    <n v="0.9"/>
    <n v="180000"/>
    <n v="176460"/>
    <n v="304980"/>
    <n v="210120"/>
    <n v="408000"/>
    <n v="140000"/>
  </r>
  <r>
    <x v="0"/>
    <x v="2"/>
    <x v="15"/>
    <s v="General Surgery ZERO"/>
    <n v="2023"/>
    <x v="10"/>
    <n v="453310.33021427668"/>
    <n v="0.02"/>
    <n v="0.01"/>
    <n v="0.01"/>
    <n v="6.2100000000000002E-2"/>
    <n v="0.03"/>
    <n v="0.02"/>
    <n v="0.06"/>
    <n v="0.02"/>
    <n v="0.02"/>
    <n v="0.02"/>
    <n v="0.9"/>
    <n v="180000"/>
    <n v="176460"/>
    <n v="304980"/>
    <n v="210120"/>
    <n v="408000"/>
    <n v="140000"/>
  </r>
  <r>
    <x v="0"/>
    <x v="2"/>
    <x v="15"/>
    <s v="General Surgery ZERO"/>
    <n v="2024"/>
    <x v="11"/>
    <n v="590838.00095417025"/>
    <n v="0.02"/>
    <n v="0.01"/>
    <n v="0.01"/>
    <n v="6.2100000000000002E-2"/>
    <n v="0.03"/>
    <n v="0.02"/>
    <n v="0.06"/>
    <n v="0.02"/>
    <n v="0.02"/>
    <n v="0.02"/>
    <n v="0.9"/>
    <n v="180000"/>
    <n v="176460"/>
    <n v="304980"/>
    <n v="210120"/>
    <n v="408000"/>
    <n v="140000"/>
  </r>
  <r>
    <x v="0"/>
    <x v="2"/>
    <x v="15"/>
    <s v="General Surgery ZERO"/>
    <n v="2025"/>
    <x v="12"/>
    <n v="725525.79746867809"/>
    <n v="0.02"/>
    <n v="0.01"/>
    <n v="0.01"/>
    <n v="6.2100000000000002E-2"/>
    <n v="0.03"/>
    <n v="0.02"/>
    <n v="0.06"/>
    <n v="0.02"/>
    <n v="0.02"/>
    <n v="0.02"/>
    <n v="0.9"/>
    <n v="180000"/>
    <n v="176460"/>
    <n v="304980"/>
    <n v="210120"/>
    <n v="408000"/>
    <n v="140000"/>
  </r>
  <r>
    <x v="0"/>
    <x v="2"/>
    <x v="15"/>
    <s v="General Surgery ZERO"/>
    <n v="2026"/>
    <x v="13"/>
    <n v="857433.57599032996"/>
    <n v="0.02"/>
    <n v="0.01"/>
    <n v="0.01"/>
    <n v="6.2100000000000002E-2"/>
    <n v="0.03"/>
    <n v="0.02"/>
    <n v="0.06"/>
    <n v="0.02"/>
    <n v="0.02"/>
    <n v="0.02"/>
    <n v="0.9"/>
    <n v="180000"/>
    <n v="176460"/>
    <n v="304980"/>
    <n v="210120"/>
    <n v="408000"/>
    <n v="140000"/>
  </r>
  <r>
    <x v="0"/>
    <x v="2"/>
    <x v="15"/>
    <s v="General Surgery ZERO"/>
    <n v="2027"/>
    <x v="14"/>
    <n v="986619.89757311926"/>
    <n v="0.02"/>
    <n v="0.01"/>
    <n v="0.01"/>
    <n v="6.2100000000000002E-2"/>
    <n v="0.03"/>
    <n v="0.02"/>
    <n v="0.06"/>
    <n v="0.02"/>
    <n v="0.02"/>
    <n v="0.02"/>
    <n v="0.9"/>
    <n v="180000"/>
    <n v="176460"/>
    <n v="304980"/>
    <n v="210120"/>
    <n v="408000"/>
    <n v="140000"/>
  </r>
  <r>
    <x v="0"/>
    <x v="2"/>
    <x v="15"/>
    <s v="General Surgery ZERO"/>
    <n v="2028"/>
    <x v="15"/>
    <n v="1113142.0570277798"/>
    <n v="0.02"/>
    <n v="0.01"/>
    <n v="0.01"/>
    <n v="6.2100000000000002E-2"/>
    <n v="0.03"/>
    <n v="0.02"/>
    <n v="0.06"/>
    <n v="0.02"/>
    <n v="0.02"/>
    <n v="0.02"/>
    <n v="0.9"/>
    <n v="180000"/>
    <n v="176460"/>
    <n v="304980"/>
    <n v="210120"/>
    <n v="408000"/>
    <n v="140000"/>
  </r>
  <r>
    <x v="0"/>
    <x v="2"/>
    <x v="15"/>
    <s v="General Surgery ZERO"/>
    <n v="2029"/>
    <x v="16"/>
    <n v="1237072.0547426592"/>
    <n v="0.02"/>
    <n v="0.01"/>
    <n v="0.01"/>
    <n v="6.2100000000000002E-2"/>
    <n v="0.03"/>
    <n v="0.02"/>
    <n v="0.06"/>
    <n v="0.02"/>
    <n v="0.02"/>
    <n v="0.02"/>
    <n v="0.9"/>
    <n v="180000"/>
    <n v="176460"/>
    <n v="304980"/>
    <n v="210120"/>
    <n v="408000"/>
    <n v="140000"/>
  </r>
  <r>
    <x v="0"/>
    <x v="2"/>
    <x v="15"/>
    <s v="General Surgery ZERO"/>
    <n v="2030"/>
    <x v="17"/>
    <n v="1358582.5929861653"/>
    <n v="0.02"/>
    <n v="0.01"/>
    <n v="0.01"/>
    <n v="6.2100000000000002E-2"/>
    <n v="0.03"/>
    <n v="0.02"/>
    <n v="0.06"/>
    <n v="0.02"/>
    <n v="0.02"/>
    <n v="0.02"/>
    <n v="0.9"/>
    <n v="180000"/>
    <n v="176460"/>
    <n v="304980"/>
    <n v="210120"/>
    <n v="408000"/>
    <n v="140000"/>
  </r>
  <r>
    <x v="0"/>
    <x v="2"/>
    <x v="15"/>
    <s v="General Surgery ZERO"/>
    <n v="2031"/>
    <x v="18"/>
    <n v="1477720.8051357067"/>
    <n v="0.02"/>
    <n v="0.01"/>
    <n v="0.01"/>
    <n v="6.2100000000000002E-2"/>
    <n v="0.03"/>
    <n v="0.02"/>
    <n v="0.06"/>
    <n v="0.02"/>
    <n v="0.02"/>
    <n v="0.02"/>
    <n v="0.9"/>
    <n v="180000"/>
    <n v="176460"/>
    <n v="304980"/>
    <n v="210120"/>
    <n v="408000"/>
    <n v="140000"/>
  </r>
  <r>
    <x v="0"/>
    <x v="2"/>
    <x v="15"/>
    <s v="General Surgery ZERO"/>
    <n v="2032"/>
    <x v="19"/>
    <n v="1594532.9093266961"/>
    <n v="0.02"/>
    <n v="0.01"/>
    <n v="0.01"/>
    <n v="6.2100000000000002E-2"/>
    <n v="0.03"/>
    <n v="0.02"/>
    <n v="0.06"/>
    <n v="0.02"/>
    <n v="0.02"/>
    <n v="0.02"/>
    <n v="0.9"/>
    <n v="180000"/>
    <n v="176460"/>
    <n v="304980"/>
    <n v="210120"/>
    <n v="408000"/>
    <n v="140000"/>
  </r>
  <r>
    <x v="0"/>
    <x v="2"/>
    <x v="15"/>
    <s v="General Surgery ZERO"/>
    <n v="2033"/>
    <x v="20"/>
    <n v="1709064.2261380297"/>
    <n v="0.02"/>
    <n v="0.01"/>
    <n v="0.01"/>
    <n v="6.2100000000000002E-2"/>
    <n v="0.03"/>
    <n v="0.02"/>
    <n v="0.06"/>
    <n v="0.02"/>
    <n v="0.02"/>
    <n v="0.02"/>
    <n v="0.9"/>
    <n v="180000"/>
    <n v="176460"/>
    <n v="304980"/>
    <n v="210120"/>
    <n v="408000"/>
    <n v="140000"/>
  </r>
  <r>
    <x v="0"/>
    <x v="2"/>
    <x v="15"/>
    <s v="General Surgery ZERO"/>
    <n v="2034"/>
    <x v="21"/>
    <n v="1821359.1959383767"/>
    <n v="0.02"/>
    <n v="0.01"/>
    <n v="0.01"/>
    <n v="6.2100000000000002E-2"/>
    <n v="0.03"/>
    <n v="0.02"/>
    <n v="0.06"/>
    <n v="0.02"/>
    <n v="0.02"/>
    <n v="0.02"/>
    <n v="0.9"/>
    <n v="180000"/>
    <n v="176460"/>
    <n v="304980"/>
    <n v="210120"/>
    <n v="408000"/>
    <n v="140000"/>
  </r>
  <r>
    <x v="0"/>
    <x v="2"/>
    <x v="15"/>
    <s v="General Surgery ZERO"/>
    <n v="2035"/>
    <x v="22"/>
    <n v="1931461.3958997107"/>
    <n v="0.02"/>
    <n v="0.01"/>
    <n v="0.01"/>
    <n v="6.2100000000000002E-2"/>
    <n v="0.03"/>
    <n v="0.02"/>
    <n v="0.06"/>
    <n v="0.02"/>
    <n v="0.02"/>
    <n v="0.02"/>
    <n v="0.9"/>
    <n v="180000"/>
    <n v="176460"/>
    <n v="304980"/>
    <n v="210120"/>
    <n v="408000"/>
    <n v="140000"/>
  </r>
  <r>
    <x v="0"/>
    <x v="2"/>
    <x v="15"/>
    <s v="General Surgery ZERO"/>
    <n v="2036"/>
    <x v="23"/>
    <n v="2039413.5566843937"/>
    <n v="0.02"/>
    <n v="0.01"/>
    <n v="0.01"/>
    <n v="6.2100000000000002E-2"/>
    <n v="0.03"/>
    <n v="0.02"/>
    <n v="0.06"/>
    <n v="0.02"/>
    <n v="0.02"/>
    <n v="0.02"/>
    <n v="0.9"/>
    <n v="180000"/>
    <n v="176460"/>
    <n v="304980"/>
    <n v="210120"/>
    <n v="408000"/>
    <n v="140000"/>
  </r>
  <r>
    <x v="0"/>
    <x v="2"/>
    <x v="15"/>
    <s v="General Surgery ZERO"/>
    <n v="2037"/>
    <x v="24"/>
    <n v="2145257.5788120027"/>
    <n v="0.02"/>
    <n v="0.01"/>
    <n v="0.01"/>
    <n v="6.2100000000000002E-2"/>
    <n v="0.03"/>
    <n v="0.02"/>
    <n v="0.06"/>
    <n v="0.02"/>
    <n v="0.02"/>
    <n v="0.02"/>
    <n v="0.9"/>
    <n v="180000"/>
    <n v="176460"/>
    <n v="304980"/>
    <n v="210120"/>
    <n v="408000"/>
    <n v="140000"/>
  </r>
  <r>
    <x v="0"/>
    <x v="2"/>
    <x v="15"/>
    <s v="General Surgery ZERO"/>
    <n v="2038"/>
    <x v="25"/>
    <n v="2249034.5487119793"/>
    <n v="0.02"/>
    <n v="0.01"/>
    <n v="0.01"/>
    <n v="6.2100000000000002E-2"/>
    <n v="0.03"/>
    <n v="0.02"/>
    <n v="0.06"/>
    <n v="0.02"/>
    <n v="0.02"/>
    <n v="0.02"/>
    <n v="0.9"/>
    <n v="180000"/>
    <n v="176460"/>
    <n v="304980"/>
    <n v="210120"/>
    <n v="408000"/>
    <n v="140000"/>
  </r>
  <r>
    <x v="0"/>
    <x v="2"/>
    <x v="15"/>
    <s v="General Surgery ZERO"/>
    <n v="2039"/>
    <x v="26"/>
    <n v="2350783.0249972036"/>
    <n v="0.02"/>
    <n v="0.01"/>
    <n v="0.01"/>
    <n v="6.2100000000000002E-2"/>
    <n v="0.03"/>
    <n v="0.02"/>
    <n v="0.06"/>
    <n v="0.02"/>
    <n v="0.02"/>
    <n v="0.02"/>
    <n v="0.9"/>
    <n v="180000"/>
    <n v="176460"/>
    <n v="304980"/>
    <n v="210120"/>
    <n v="408000"/>
    <n v="140000"/>
  </r>
  <r>
    <x v="0"/>
    <x v="2"/>
    <x v="15"/>
    <s v="General Surgery ZERO"/>
    <n v="2040"/>
    <x v="27"/>
    <n v="2450537.2120684134"/>
    <n v="0.02"/>
    <n v="0.01"/>
    <n v="0.01"/>
    <n v="6.2100000000000002E-2"/>
    <n v="0.03"/>
    <n v="0.02"/>
    <n v="0.06"/>
    <n v="0.02"/>
    <n v="0.02"/>
    <n v="0.02"/>
    <n v="0.9"/>
    <n v="180000"/>
    <n v="176460"/>
    <n v="304980"/>
    <n v="210120"/>
    <n v="408000"/>
    <n v="140000"/>
  </r>
  <r>
    <x v="0"/>
    <x v="2"/>
    <x v="15"/>
    <s v="General Surgery ZERO"/>
    <n v="2041"/>
    <x v="28"/>
    <n v="2548336.1909478689"/>
    <n v="0.02"/>
    <n v="0.01"/>
    <n v="0.01"/>
    <n v="6.2100000000000002E-2"/>
    <n v="0.03"/>
    <n v="0.02"/>
    <n v="0.06"/>
    <n v="0.02"/>
    <n v="0.02"/>
    <n v="0.02"/>
    <n v="0.9"/>
    <n v="180000"/>
    <n v="176460"/>
    <n v="304980"/>
    <n v="210120"/>
    <n v="408000"/>
    <n v="140000"/>
  </r>
  <r>
    <x v="0"/>
    <x v="2"/>
    <x v="15"/>
    <s v="General Surgery ZERO"/>
    <n v="2042"/>
    <x v="29"/>
    <n v="2644218.2770240861"/>
    <n v="0.02"/>
    <n v="0.01"/>
    <n v="0.01"/>
    <n v="6.2100000000000002E-2"/>
    <n v="0.03"/>
    <n v="0.02"/>
    <n v="0.06"/>
    <n v="0.02"/>
    <n v="0.02"/>
    <n v="0.02"/>
    <n v="0.9"/>
    <n v="180000"/>
    <n v="176460"/>
    <n v="304980"/>
    <n v="210120"/>
    <n v="408000"/>
    <n v="140000"/>
  </r>
  <r>
    <x v="0"/>
    <x v="3"/>
    <x v="15"/>
    <s v="Ophthalmology ZERO"/>
    <n v="2013"/>
    <x v="0"/>
    <n v="0"/>
    <n v="0.02"/>
    <n v="0.01"/>
    <n v="0.01"/>
    <n v="6.2100000000000002E-2"/>
    <n v="0.03"/>
    <n v="0.02"/>
    <n v="0.06"/>
    <n v="0.02"/>
    <n v="0.02"/>
    <n v="0.02"/>
    <n v="0.9"/>
    <n v="180000"/>
    <n v="176460"/>
    <n v="304980"/>
    <n v="210120"/>
    <n v="408000"/>
    <n v="140000"/>
  </r>
  <r>
    <x v="0"/>
    <x v="3"/>
    <x v="15"/>
    <s v="Ophthalmology ZERO"/>
    <n v="2014"/>
    <x v="1"/>
    <n v="0"/>
    <n v="0.02"/>
    <n v="0.01"/>
    <n v="0.01"/>
    <n v="6.2100000000000002E-2"/>
    <n v="0.03"/>
    <n v="0.02"/>
    <n v="0.06"/>
    <n v="0.02"/>
    <n v="0.02"/>
    <n v="0.02"/>
    <n v="0.9"/>
    <n v="180000"/>
    <n v="176460"/>
    <n v="304980"/>
    <n v="210120"/>
    <n v="408000"/>
    <n v="140000"/>
  </r>
  <r>
    <x v="0"/>
    <x v="3"/>
    <x v="15"/>
    <s v="Ophthalmology ZERO"/>
    <n v="2015"/>
    <x v="2"/>
    <n v="0"/>
    <n v="0.02"/>
    <n v="0.01"/>
    <n v="0.01"/>
    <n v="6.2100000000000002E-2"/>
    <n v="0.03"/>
    <n v="0.02"/>
    <n v="0.06"/>
    <n v="0.02"/>
    <n v="0.02"/>
    <n v="0.02"/>
    <n v="0.9"/>
    <n v="180000"/>
    <n v="176460"/>
    <n v="304980"/>
    <n v="210120"/>
    <n v="408000"/>
    <n v="140000"/>
  </r>
  <r>
    <x v="0"/>
    <x v="3"/>
    <x v="15"/>
    <s v="Ophthalmology ZERO"/>
    <n v="2016"/>
    <x v="3"/>
    <n v="0"/>
    <n v="0.02"/>
    <n v="0.01"/>
    <n v="0.01"/>
    <n v="6.2100000000000002E-2"/>
    <n v="0.03"/>
    <n v="0.02"/>
    <n v="0.06"/>
    <n v="0.02"/>
    <n v="0.02"/>
    <n v="0.02"/>
    <n v="0.9"/>
    <n v="180000"/>
    <n v="176460"/>
    <n v="304980"/>
    <n v="210120"/>
    <n v="408000"/>
    <n v="140000"/>
  </r>
  <r>
    <x v="0"/>
    <x v="3"/>
    <x v="15"/>
    <s v="Ophthalmology ZERO"/>
    <n v="2017"/>
    <x v="4"/>
    <n v="33588.865466099727"/>
    <n v="0.02"/>
    <n v="0.01"/>
    <n v="0.01"/>
    <n v="6.2100000000000002E-2"/>
    <n v="0.03"/>
    <n v="0.02"/>
    <n v="0.06"/>
    <n v="0.02"/>
    <n v="0.02"/>
    <n v="0.02"/>
    <n v="0.9"/>
    <n v="180000"/>
    <n v="176460"/>
    <n v="304980"/>
    <n v="210120"/>
    <n v="408000"/>
    <n v="140000"/>
  </r>
  <r>
    <x v="0"/>
    <x v="3"/>
    <x v="15"/>
    <s v="Ophthalmology ZERO"/>
    <n v="2018"/>
    <x v="5"/>
    <n v="67199.057582634647"/>
    <n v="0.02"/>
    <n v="0.01"/>
    <n v="0.01"/>
    <n v="6.2100000000000002E-2"/>
    <n v="0.03"/>
    <n v="0.02"/>
    <n v="0.06"/>
    <n v="0.02"/>
    <n v="0.02"/>
    <n v="0.02"/>
    <n v="0.9"/>
    <n v="180000"/>
    <n v="176460"/>
    <n v="304980"/>
    <n v="210120"/>
    <n v="408000"/>
    <n v="140000"/>
  </r>
  <r>
    <x v="0"/>
    <x v="3"/>
    <x v="15"/>
    <s v="Ophthalmology ZERO"/>
    <n v="2019"/>
    <x v="6"/>
    <n v="100838.89926015845"/>
    <n v="0.02"/>
    <n v="0.01"/>
    <n v="0.01"/>
    <n v="6.2100000000000002E-2"/>
    <n v="0.03"/>
    <n v="0.02"/>
    <n v="0.06"/>
    <n v="0.02"/>
    <n v="0.02"/>
    <n v="0.02"/>
    <n v="0.9"/>
    <n v="180000"/>
    <n v="176460"/>
    <n v="304980"/>
    <n v="210120"/>
    <n v="408000"/>
    <n v="140000"/>
  </r>
  <r>
    <x v="0"/>
    <x v="3"/>
    <x v="15"/>
    <s v="Ophthalmology ZERO"/>
    <n v="2020"/>
    <x v="7"/>
    <n v="134516.55101939355"/>
    <n v="0.02"/>
    <n v="0.01"/>
    <n v="0.01"/>
    <n v="6.2100000000000002E-2"/>
    <n v="0.03"/>
    <n v="0.02"/>
    <n v="0.06"/>
    <n v="0.02"/>
    <n v="0.02"/>
    <n v="0.02"/>
    <n v="0.9"/>
    <n v="180000"/>
    <n v="176460"/>
    <n v="304980"/>
    <n v="210120"/>
    <n v="408000"/>
    <n v="140000"/>
  </r>
  <r>
    <x v="0"/>
    <x v="3"/>
    <x v="15"/>
    <s v="Ophthalmology ZERO"/>
    <n v="2021"/>
    <x v="8"/>
    <n v="241650.72575561632"/>
    <n v="0.02"/>
    <n v="0.01"/>
    <n v="0.01"/>
    <n v="6.2100000000000002E-2"/>
    <n v="0.03"/>
    <n v="0.02"/>
    <n v="0.06"/>
    <n v="0.02"/>
    <n v="0.02"/>
    <n v="0.02"/>
    <n v="0.9"/>
    <n v="180000"/>
    <n v="176460"/>
    <n v="304980"/>
    <n v="210120"/>
    <n v="408000"/>
    <n v="140000"/>
  </r>
  <r>
    <x v="0"/>
    <x v="3"/>
    <x v="15"/>
    <s v="Ophthalmology ZERO"/>
    <n v="2022"/>
    <x v="9"/>
    <n v="341022.05163578416"/>
    <n v="0.02"/>
    <n v="0.01"/>
    <n v="0.01"/>
    <n v="6.2100000000000002E-2"/>
    <n v="0.03"/>
    <n v="0.02"/>
    <n v="0.06"/>
    <n v="0.02"/>
    <n v="0.02"/>
    <n v="0.02"/>
    <n v="0.9"/>
    <n v="180000"/>
    <n v="176460"/>
    <n v="304980"/>
    <n v="210120"/>
    <n v="408000"/>
    <n v="140000"/>
  </r>
  <r>
    <x v="0"/>
    <x v="3"/>
    <x v="15"/>
    <s v="Ophthalmology ZERO"/>
    <n v="2023"/>
    <x v="10"/>
    <n v="438372.3560980531"/>
    <n v="0.02"/>
    <n v="0.01"/>
    <n v="0.01"/>
    <n v="6.2100000000000002E-2"/>
    <n v="0.03"/>
    <n v="0.02"/>
    <n v="0.06"/>
    <n v="0.02"/>
    <n v="0.02"/>
    <n v="0.02"/>
    <n v="0.9"/>
    <n v="180000"/>
    <n v="176460"/>
    <n v="304980"/>
    <n v="210120"/>
    <n v="408000"/>
    <n v="140000"/>
  </r>
  <r>
    <x v="0"/>
    <x v="3"/>
    <x v="15"/>
    <s v="Ophthalmology ZERO"/>
    <n v="2024"/>
    <x v="11"/>
    <n v="533743.38052931475"/>
    <n v="0.02"/>
    <n v="0.01"/>
    <n v="0.01"/>
    <n v="6.2100000000000002E-2"/>
    <n v="0.03"/>
    <n v="0.02"/>
    <n v="0.06"/>
    <n v="0.02"/>
    <n v="0.02"/>
    <n v="0.02"/>
    <n v="0.9"/>
    <n v="180000"/>
    <n v="176460"/>
    <n v="304980"/>
    <n v="210120"/>
    <n v="408000"/>
    <n v="140000"/>
  </r>
  <r>
    <x v="0"/>
    <x v="3"/>
    <x v="15"/>
    <s v="Ophthalmology ZERO"/>
    <n v="2025"/>
    <x v="12"/>
    <n v="627175.98629917717"/>
    <n v="0.02"/>
    <n v="0.01"/>
    <n v="0.01"/>
    <n v="6.2100000000000002E-2"/>
    <n v="0.03"/>
    <n v="0.02"/>
    <n v="0.06"/>
    <n v="0.02"/>
    <n v="0.02"/>
    <n v="0.02"/>
    <n v="0.9"/>
    <n v="180000"/>
    <n v="176460"/>
    <n v="304980"/>
    <n v="210120"/>
    <n v="408000"/>
    <n v="140000"/>
  </r>
  <r>
    <x v="0"/>
    <x v="3"/>
    <x v="15"/>
    <s v="Ophthalmology ZERO"/>
    <n v="2026"/>
    <x v="13"/>
    <n v="718710.17380817805"/>
    <n v="0.02"/>
    <n v="0.01"/>
    <n v="0.01"/>
    <n v="6.2100000000000002E-2"/>
    <n v="0.03"/>
    <n v="0.02"/>
    <n v="0.06"/>
    <n v="0.02"/>
    <n v="0.02"/>
    <n v="0.02"/>
    <n v="0.9"/>
    <n v="180000"/>
    <n v="176460"/>
    <n v="304980"/>
    <n v="210120"/>
    <n v="408000"/>
    <n v="140000"/>
  </r>
  <r>
    <x v="0"/>
    <x v="3"/>
    <x v="15"/>
    <s v="Ophthalmology ZERO"/>
    <n v="2027"/>
    <x v="14"/>
    <n v="808385.10111028096"/>
    <n v="0.02"/>
    <n v="0.01"/>
    <n v="0.01"/>
    <n v="6.2100000000000002E-2"/>
    <n v="0.03"/>
    <n v="0.02"/>
    <n v="0.06"/>
    <n v="0.02"/>
    <n v="0.02"/>
    <n v="0.02"/>
    <n v="0.9"/>
    <n v="180000"/>
    <n v="176460"/>
    <n v="304980"/>
    <n v="210120"/>
    <n v="408000"/>
    <n v="140000"/>
  </r>
  <r>
    <x v="0"/>
    <x v="3"/>
    <x v="15"/>
    <s v="Ophthalmology ZERO"/>
    <n v="2028"/>
    <x v="15"/>
    <n v="896239.10211952345"/>
    <n v="0.02"/>
    <n v="0.01"/>
    <n v="0.01"/>
    <n v="6.2100000000000002E-2"/>
    <n v="0.03"/>
    <n v="0.02"/>
    <n v="0.06"/>
    <n v="0.02"/>
    <n v="0.02"/>
    <n v="0.02"/>
    <n v="0.9"/>
    <n v="180000"/>
    <n v="176460"/>
    <n v="304980"/>
    <n v="210120"/>
    <n v="408000"/>
    <n v="140000"/>
  </r>
  <r>
    <x v="0"/>
    <x v="3"/>
    <x v="15"/>
    <s v="Ophthalmology ZERO"/>
    <n v="2029"/>
    <x v="16"/>
    <n v="982309.70441044692"/>
    <n v="0.02"/>
    <n v="0.01"/>
    <n v="0.01"/>
    <n v="6.2100000000000002E-2"/>
    <n v="0.03"/>
    <n v="0.02"/>
    <n v="0.06"/>
    <n v="0.02"/>
    <n v="0.02"/>
    <n v="0.02"/>
    <n v="0.9"/>
    <n v="180000"/>
    <n v="176460"/>
    <n v="304980"/>
    <n v="210120"/>
    <n v="408000"/>
    <n v="140000"/>
  </r>
  <r>
    <x v="0"/>
    <x v="3"/>
    <x v="15"/>
    <s v="Ophthalmology ZERO"/>
    <n v="2030"/>
    <x v="17"/>
    <n v="1066633.6466217076"/>
    <n v="0.02"/>
    <n v="0.01"/>
    <n v="0.01"/>
    <n v="6.2100000000000002E-2"/>
    <n v="0.03"/>
    <n v="0.02"/>
    <n v="0.06"/>
    <n v="0.02"/>
    <n v="0.02"/>
    <n v="0.02"/>
    <n v="0.9"/>
    <n v="180000"/>
    <n v="176460"/>
    <n v="304980"/>
    <n v="210120"/>
    <n v="408000"/>
    <n v="140000"/>
  </r>
  <r>
    <x v="0"/>
    <x v="3"/>
    <x v="15"/>
    <s v="Ophthalmology ZERO"/>
    <n v="2031"/>
    <x v="18"/>
    <n v="1149246.8954720418"/>
    <n v="0.02"/>
    <n v="0.01"/>
    <n v="0.01"/>
    <n v="6.2100000000000002E-2"/>
    <n v="0.03"/>
    <n v="0.02"/>
    <n v="0.06"/>
    <n v="0.02"/>
    <n v="0.02"/>
    <n v="0.02"/>
    <n v="0.9"/>
    <n v="180000"/>
    <n v="176460"/>
    <n v="304980"/>
    <n v="210120"/>
    <n v="408000"/>
    <n v="140000"/>
  </r>
  <r>
    <x v="0"/>
    <x v="3"/>
    <x v="15"/>
    <s v="Ophthalmology ZERO"/>
    <n v="2032"/>
    <x v="19"/>
    <n v="1230184.6623975362"/>
    <n v="0.02"/>
    <n v="0.01"/>
    <n v="0.01"/>
    <n v="6.2100000000000002E-2"/>
    <n v="0.03"/>
    <n v="0.02"/>
    <n v="0.06"/>
    <n v="0.02"/>
    <n v="0.02"/>
    <n v="0.02"/>
    <n v="0.9"/>
    <n v="180000"/>
    <n v="176460"/>
    <n v="304980"/>
    <n v="210120"/>
    <n v="408000"/>
    <n v="140000"/>
  </r>
  <r>
    <x v="0"/>
    <x v="3"/>
    <x v="15"/>
    <s v="Ophthalmology ZERO"/>
    <n v="2033"/>
    <x v="20"/>
    <n v="1309481.4198189422"/>
    <n v="0.02"/>
    <n v="0.01"/>
    <n v="0.01"/>
    <n v="6.2100000000000002E-2"/>
    <n v="0.03"/>
    <n v="0.02"/>
    <n v="0.06"/>
    <n v="0.02"/>
    <n v="0.02"/>
    <n v="0.02"/>
    <n v="0.9"/>
    <n v="180000"/>
    <n v="176460"/>
    <n v="304980"/>
    <n v="210120"/>
    <n v="408000"/>
    <n v="140000"/>
  </r>
  <r>
    <x v="0"/>
    <x v="3"/>
    <x v="15"/>
    <s v="Ophthalmology ZERO"/>
    <n v="2034"/>
    <x v="21"/>
    <n v="1387170.9170475621"/>
    <n v="0.02"/>
    <n v="0.01"/>
    <n v="0.01"/>
    <n v="6.2100000000000002E-2"/>
    <n v="0.03"/>
    <n v="0.02"/>
    <n v="0.06"/>
    <n v="0.02"/>
    <n v="0.02"/>
    <n v="0.02"/>
    <n v="0.9"/>
    <n v="180000"/>
    <n v="176460"/>
    <n v="304980"/>
    <n v="210120"/>
    <n v="408000"/>
    <n v="140000"/>
  </r>
  <r>
    <x v="0"/>
    <x v="3"/>
    <x v="15"/>
    <s v="Ophthalmology ZERO"/>
    <n v="2035"/>
    <x v="22"/>
    <n v="1463273.8937827151"/>
    <n v="0.02"/>
    <n v="0.01"/>
    <n v="0.01"/>
    <n v="6.2100000000000002E-2"/>
    <n v="0.03"/>
    <n v="0.02"/>
    <n v="0.06"/>
    <n v="0.02"/>
    <n v="0.02"/>
    <n v="0.02"/>
    <n v="0.9"/>
    <n v="180000"/>
    <n v="176460"/>
    <n v="304980"/>
    <n v="210120"/>
    <n v="408000"/>
    <n v="140000"/>
  </r>
  <r>
    <x v="0"/>
    <x v="3"/>
    <x v="15"/>
    <s v="Ophthalmology ZERO"/>
    <n v="2036"/>
    <x v="23"/>
    <n v="1537781.1661061225"/>
    <n v="0.02"/>
    <n v="0.01"/>
    <n v="0.01"/>
    <n v="6.2100000000000002E-2"/>
    <n v="0.03"/>
    <n v="0.02"/>
    <n v="0.06"/>
    <n v="0.02"/>
    <n v="0.02"/>
    <n v="0.02"/>
    <n v="0.9"/>
    <n v="180000"/>
    <n v="176460"/>
    <n v="304980"/>
    <n v="210120"/>
    <n v="408000"/>
    <n v="140000"/>
  </r>
  <r>
    <x v="0"/>
    <x v="3"/>
    <x v="15"/>
    <s v="Ophthalmology ZERO"/>
    <n v="2037"/>
    <x v="24"/>
    <n v="1610727.0365875924"/>
    <n v="0.02"/>
    <n v="0.01"/>
    <n v="0.01"/>
    <n v="6.2100000000000002E-2"/>
    <n v="0.03"/>
    <n v="0.02"/>
    <n v="0.06"/>
    <n v="0.02"/>
    <n v="0.02"/>
    <n v="0.02"/>
    <n v="0.9"/>
    <n v="180000"/>
    <n v="176460"/>
    <n v="304980"/>
    <n v="210120"/>
    <n v="408000"/>
    <n v="140000"/>
  </r>
  <r>
    <x v="0"/>
    <x v="3"/>
    <x v="15"/>
    <s v="Ophthalmology ZERO"/>
    <n v="2038"/>
    <x v="25"/>
    <n v="1682145.0474038934"/>
    <n v="0.02"/>
    <n v="0.01"/>
    <n v="0.01"/>
    <n v="6.2100000000000002E-2"/>
    <n v="0.03"/>
    <n v="0.02"/>
    <n v="0.06"/>
    <n v="0.02"/>
    <n v="0.02"/>
    <n v="0.02"/>
    <n v="0.9"/>
    <n v="180000"/>
    <n v="176460"/>
    <n v="304980"/>
    <n v="210120"/>
    <n v="408000"/>
    <n v="140000"/>
  </r>
  <r>
    <x v="0"/>
    <x v="3"/>
    <x v="15"/>
    <s v="Ophthalmology ZERO"/>
    <n v="2039"/>
    <x v="26"/>
    <n v="1752067.9978055183"/>
    <n v="0.02"/>
    <n v="0.01"/>
    <n v="0.01"/>
    <n v="6.2100000000000002E-2"/>
    <n v="0.03"/>
    <n v="0.02"/>
    <n v="0.06"/>
    <n v="0.02"/>
    <n v="0.02"/>
    <n v="0.02"/>
    <n v="0.9"/>
    <n v="180000"/>
    <n v="176460"/>
    <n v="304980"/>
    <n v="210120"/>
    <n v="408000"/>
    <n v="140000"/>
  </r>
  <r>
    <x v="0"/>
    <x v="3"/>
    <x v="15"/>
    <s v="Ophthalmology ZERO"/>
    <n v="2040"/>
    <x v="27"/>
    <n v="1820527.9611664836"/>
    <n v="0.02"/>
    <n v="0.01"/>
    <n v="0.01"/>
    <n v="6.2100000000000002E-2"/>
    <n v="0.03"/>
    <n v="0.02"/>
    <n v="0.06"/>
    <n v="0.02"/>
    <n v="0.02"/>
    <n v="0.02"/>
    <n v="0.9"/>
    <n v="180000"/>
    <n v="176460"/>
    <n v="304980"/>
    <n v="210120"/>
    <n v="408000"/>
    <n v="140000"/>
  </r>
  <r>
    <x v="0"/>
    <x v="3"/>
    <x v="15"/>
    <s v="Ophthalmology ZERO"/>
    <n v="2041"/>
    <x v="28"/>
    <n v="1887556.3016275095"/>
    <n v="0.02"/>
    <n v="0.01"/>
    <n v="0.01"/>
    <n v="6.2100000000000002E-2"/>
    <n v="0.03"/>
    <n v="0.02"/>
    <n v="0.06"/>
    <n v="0.02"/>
    <n v="0.02"/>
    <n v="0.02"/>
    <n v="0.9"/>
    <n v="180000"/>
    <n v="176460"/>
    <n v="304980"/>
    <n v="210120"/>
    <n v="408000"/>
    <n v="140000"/>
  </r>
  <r>
    <x v="0"/>
    <x v="3"/>
    <x v="15"/>
    <s v="Ophthalmology ZERO"/>
    <n v="2042"/>
    <x v="29"/>
    <n v="1953183.6903426608"/>
    <n v="0.02"/>
    <n v="0.01"/>
    <n v="0.01"/>
    <n v="6.2100000000000002E-2"/>
    <n v="0.03"/>
    <n v="0.02"/>
    <n v="0.06"/>
    <n v="0.02"/>
    <n v="0.02"/>
    <n v="0.02"/>
    <n v="0.9"/>
    <n v="180000"/>
    <n v="176460"/>
    <n v="304980"/>
    <n v="210120"/>
    <n v="408000"/>
    <n v="14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chartFormat="1">
  <location ref="B7:J39" firstHeaderRow="1" firstDataRow="3" firstDataCol="1" rowPageCount="2" colPageCount="1"/>
  <pivotFields count="7">
    <pivotField axis="axisPage" showAll="0" defaultSubtotal="0">
      <items count="2">
        <item m="1" x="1"/>
        <item x="0"/>
      </items>
    </pivotField>
    <pivotField axis="axisCol" showAll="0" defaultSubtotal="0">
      <items count="4">
        <item x="2"/>
        <item x="0"/>
        <item x="3"/>
        <item x="1"/>
      </items>
    </pivotField>
    <pivotField axis="axisCol" showAll="0" defaultSubtotal="0">
      <items count="42">
        <item m="1" x="16"/>
        <item m="1" x="33"/>
        <item m="1" x="23"/>
        <item m="1" x="34"/>
        <item m="1" x="26"/>
        <item m="1" x="20"/>
        <item m="1" x="22"/>
        <item m="1" x="38"/>
        <item m="1" x="40"/>
        <item m="1" x="41"/>
        <item m="1" x="18"/>
        <item m="1" x="37"/>
        <item m="1" x="32"/>
        <item m="1" x="28"/>
        <item m="1" x="24"/>
        <item m="1" x="19"/>
        <item m="1" x="39"/>
        <item m="1" x="27"/>
        <item m="1" x="30"/>
        <item m="1" x="36"/>
        <item m="1" x="17"/>
        <item m="1" x="21"/>
        <item m="1" x="31"/>
        <item m="1" x="35"/>
        <item m="1" x="29"/>
        <item m="1" x="25"/>
        <item x="3"/>
        <item x="1"/>
        <item x="12"/>
        <item x="4"/>
        <item x="7"/>
        <item x="13"/>
        <item x="5"/>
        <item x="8"/>
        <item x="14"/>
        <item x="10"/>
        <item x="9"/>
        <item x="2"/>
        <item x="6"/>
        <item x="0"/>
        <item x="11"/>
        <item x="15"/>
      </items>
    </pivotField>
    <pivotField axis="axisPage" multipleItemSelectionAllowed="1" showAll="0" defaultSubtotal="0">
      <items count="84">
        <item h="1" x="31"/>
        <item h="1" x="29"/>
        <item h="1" x="40"/>
        <item h="1" x="32"/>
        <item h="1" x="35"/>
        <item h="1" x="33"/>
        <item h="1" x="36"/>
        <item h="1" x="38"/>
        <item h="1" x="37"/>
        <item h="1" x="30"/>
        <item h="1" x="34"/>
        <item h="1" x="28"/>
        <item h="1" x="39"/>
        <item h="1" x="56"/>
        <item h="1" x="3"/>
        <item h="1" x="1"/>
        <item h="1" x="12"/>
        <item h="1" x="4"/>
        <item h="1" x="7"/>
        <item h="1" x="13"/>
        <item h="1" x="5"/>
        <item h="1" x="8"/>
        <item h="1" x="14"/>
        <item h="1" x="10"/>
        <item h="1" x="9"/>
        <item h="1" x="2"/>
        <item h="1" x="6"/>
        <item h="1" x="0"/>
        <item h="1" x="11"/>
        <item h="1" x="54"/>
        <item m="1" x="69"/>
        <item m="1" x="77"/>
        <item m="1" x="82"/>
        <item m="1" x="60"/>
        <item m="1" x="75"/>
        <item m="1" x="72"/>
        <item m="1" x="74"/>
        <item m="1" x="62"/>
        <item m="1" x="67"/>
        <item m="1" x="80"/>
        <item m="1" x="63"/>
        <item m="1" x="66"/>
        <item m="1" x="68"/>
        <item m="1" x="61"/>
        <item m="1" x="58"/>
        <item m="1" x="81"/>
        <item m="1" x="70"/>
        <item m="1" x="71"/>
        <item m="1" x="83"/>
        <item m="1" x="79"/>
        <item m="1" x="59"/>
        <item m="1" x="78"/>
        <item m="1" x="73"/>
        <item m="1" x="65"/>
        <item m="1" x="64"/>
        <item m="1" x="76"/>
        <item h="1" x="44"/>
        <item h="1" x="42"/>
        <item h="1" x="53"/>
        <item h="1" x="45"/>
        <item h="1" x="48"/>
        <item h="1" x="46"/>
        <item h="1" x="49"/>
        <item h="1" x="51"/>
        <item h="1" x="50"/>
        <item h="1" x="43"/>
        <item h="1" x="47"/>
        <item h="1" x="41"/>
        <item h="1" x="52"/>
        <item h="1" x="57"/>
        <item h="1" x="18"/>
        <item x="16"/>
        <item x="27"/>
        <item h="1" x="19"/>
        <item h="1" x="22"/>
        <item h="1" x="20"/>
        <item h="1" x="23"/>
        <item x="25"/>
        <item x="24"/>
        <item h="1" x="17"/>
        <item x="21"/>
        <item x="15"/>
        <item x="26"/>
        <item x="55"/>
      </items>
    </pivotField>
    <pivotField showAll="0" defaultSubtotal="0"/>
    <pivotField axis="axisRow" showAll="0" defaultSubtotal="0">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dataField="1" showAll="0" defaultSubtotal="0"/>
  </pivotFields>
  <rowFields count="1">
    <field x="5"/>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rowItems>
  <colFields count="2">
    <field x="2"/>
    <field x="1"/>
  </colFields>
  <colItems count="8">
    <i>
      <x v="27"/>
      <x v="3"/>
    </i>
    <i>
      <x v="28"/>
      <x v="3"/>
    </i>
    <i>
      <x v="35"/>
      <x v="3"/>
    </i>
    <i>
      <x v="36"/>
      <x v="3"/>
    </i>
    <i>
      <x v="38"/>
      <x v="3"/>
    </i>
    <i>
      <x v="39"/>
      <x v="3"/>
    </i>
    <i>
      <x v="40"/>
      <x v="3"/>
    </i>
    <i>
      <x v="41"/>
      <x v="3"/>
    </i>
  </colItems>
  <pageFields count="2">
    <pageField fld="0" item="1" hier="-1"/>
    <pageField fld="3" hier="-1"/>
  </pageFields>
  <dataFields count="1">
    <dataField name="Sum of NPV" fld="6" baseField="5" baseItem="7" numFmtId="164"/>
  </dataFields>
  <formats count="1">
    <format dxfId="0">
      <pivotArea type="all" dataOnly="0" outline="0" fieldPosition="0"/>
    </format>
  </formats>
  <chartFormats count="118">
    <chartFormat chart="0" format="0" series="1">
      <pivotArea type="data" outline="0" fieldPosition="0">
        <references count="2">
          <reference field="1" count="1" selected="0">
            <x v="0"/>
          </reference>
          <reference field="2" count="1" selected="0">
            <x v="26"/>
          </reference>
        </references>
      </pivotArea>
    </chartFormat>
    <chartFormat chart="0" format="1" series="1">
      <pivotArea type="data" outline="0" fieldPosition="0">
        <references count="2">
          <reference field="1" count="1" selected="0">
            <x v="1"/>
          </reference>
          <reference field="2" count="1" selected="0">
            <x v="26"/>
          </reference>
        </references>
      </pivotArea>
    </chartFormat>
    <chartFormat chart="0" format="2" series="1">
      <pivotArea type="data" outline="0" fieldPosition="0">
        <references count="2">
          <reference field="1" count="1" selected="0">
            <x v="2"/>
          </reference>
          <reference field="2" count="1" selected="0">
            <x v="26"/>
          </reference>
        </references>
      </pivotArea>
    </chartFormat>
    <chartFormat chart="0" format="3" series="1">
      <pivotArea type="data" outline="0" fieldPosition="0">
        <references count="2">
          <reference field="1" count="1" selected="0">
            <x v="3"/>
          </reference>
          <reference field="2" count="1" selected="0">
            <x v="26"/>
          </reference>
        </references>
      </pivotArea>
    </chartFormat>
    <chartFormat chart="0" format="4" series="1">
      <pivotArea type="data" outline="0" fieldPosition="0">
        <references count="2">
          <reference field="1" count="1" selected="0">
            <x v="0"/>
          </reference>
          <reference field="2" count="1" selected="0">
            <x v="27"/>
          </reference>
        </references>
      </pivotArea>
    </chartFormat>
    <chartFormat chart="0" format="5" series="1">
      <pivotArea type="data" outline="0" fieldPosition="0">
        <references count="2">
          <reference field="1" count="1" selected="0">
            <x v="1"/>
          </reference>
          <reference field="2" count="1" selected="0">
            <x v="27"/>
          </reference>
        </references>
      </pivotArea>
    </chartFormat>
    <chartFormat chart="0" format="6" series="1">
      <pivotArea type="data" outline="0" fieldPosition="0">
        <references count="2">
          <reference field="1" count="1" selected="0">
            <x v="2"/>
          </reference>
          <reference field="2" count="1" selected="0">
            <x v="27"/>
          </reference>
        </references>
      </pivotArea>
    </chartFormat>
    <chartFormat chart="0" format="7" series="1">
      <pivotArea type="data" outline="0" fieldPosition="0">
        <references count="2">
          <reference field="1" count="1" selected="0">
            <x v="3"/>
          </reference>
          <reference field="2" count="1" selected="0">
            <x v="27"/>
          </reference>
        </references>
      </pivotArea>
    </chartFormat>
    <chartFormat chart="0" format="8" series="1">
      <pivotArea type="data" outline="0" fieldPosition="0">
        <references count="2">
          <reference field="1" count="1" selected="0">
            <x v="0"/>
          </reference>
          <reference field="2" count="1" selected="0">
            <x v="28"/>
          </reference>
        </references>
      </pivotArea>
    </chartFormat>
    <chartFormat chart="0" format="9" series="1">
      <pivotArea type="data" outline="0" fieldPosition="0">
        <references count="2">
          <reference field="1" count="1" selected="0">
            <x v="1"/>
          </reference>
          <reference field="2" count="1" selected="0">
            <x v="28"/>
          </reference>
        </references>
      </pivotArea>
    </chartFormat>
    <chartFormat chart="0" format="10" series="1">
      <pivotArea type="data" outline="0" fieldPosition="0">
        <references count="2">
          <reference field="1" count="1" selected="0">
            <x v="2"/>
          </reference>
          <reference field="2" count="1" selected="0">
            <x v="28"/>
          </reference>
        </references>
      </pivotArea>
    </chartFormat>
    <chartFormat chart="0" format="11" series="1">
      <pivotArea type="data" outline="0" fieldPosition="0">
        <references count="2">
          <reference field="1" count="1" selected="0">
            <x v="3"/>
          </reference>
          <reference field="2" count="1" selected="0">
            <x v="28"/>
          </reference>
        </references>
      </pivotArea>
    </chartFormat>
    <chartFormat chart="0" format="12" series="1">
      <pivotArea type="data" outline="0" fieldPosition="0">
        <references count="2">
          <reference field="1" count="1" selected="0">
            <x v="0"/>
          </reference>
          <reference field="2" count="1" selected="0">
            <x v="29"/>
          </reference>
        </references>
      </pivotArea>
    </chartFormat>
    <chartFormat chart="0" format="13" series="1">
      <pivotArea type="data" outline="0" fieldPosition="0">
        <references count="2">
          <reference field="1" count="1" selected="0">
            <x v="1"/>
          </reference>
          <reference field="2" count="1" selected="0">
            <x v="29"/>
          </reference>
        </references>
      </pivotArea>
    </chartFormat>
    <chartFormat chart="0" format="14" series="1">
      <pivotArea type="data" outline="0" fieldPosition="0">
        <references count="2">
          <reference field="1" count="1" selected="0">
            <x v="2"/>
          </reference>
          <reference field="2" count="1" selected="0">
            <x v="29"/>
          </reference>
        </references>
      </pivotArea>
    </chartFormat>
    <chartFormat chart="0" format="15" series="1">
      <pivotArea type="data" outline="0" fieldPosition="0">
        <references count="2">
          <reference field="1" count="1" selected="0">
            <x v="3"/>
          </reference>
          <reference field="2" count="1" selected="0">
            <x v="29"/>
          </reference>
        </references>
      </pivotArea>
    </chartFormat>
    <chartFormat chart="0" format="16" series="1">
      <pivotArea type="data" outline="0" fieldPosition="0">
        <references count="2">
          <reference field="1" count="1" selected="0">
            <x v="0"/>
          </reference>
          <reference field="2" count="1" selected="0">
            <x v="30"/>
          </reference>
        </references>
      </pivotArea>
    </chartFormat>
    <chartFormat chart="0" format="17" series="1">
      <pivotArea type="data" outline="0" fieldPosition="0">
        <references count="2">
          <reference field="1" count="1" selected="0">
            <x v="1"/>
          </reference>
          <reference field="2" count="1" selected="0">
            <x v="30"/>
          </reference>
        </references>
      </pivotArea>
    </chartFormat>
    <chartFormat chart="0" format="18" series="1">
      <pivotArea type="data" outline="0" fieldPosition="0">
        <references count="2">
          <reference field="1" count="1" selected="0">
            <x v="2"/>
          </reference>
          <reference field="2" count="1" selected="0">
            <x v="30"/>
          </reference>
        </references>
      </pivotArea>
    </chartFormat>
    <chartFormat chart="0" format="19" series="1">
      <pivotArea type="data" outline="0" fieldPosition="0">
        <references count="2">
          <reference field="1" count="1" selected="0">
            <x v="3"/>
          </reference>
          <reference field="2" count="1" selected="0">
            <x v="30"/>
          </reference>
        </references>
      </pivotArea>
    </chartFormat>
    <chartFormat chart="0" format="20" series="1">
      <pivotArea type="data" outline="0" fieldPosition="0">
        <references count="2">
          <reference field="1" count="1" selected="0">
            <x v="1"/>
          </reference>
          <reference field="2" count="1" selected="0">
            <x v="31"/>
          </reference>
        </references>
      </pivotArea>
    </chartFormat>
    <chartFormat chart="0" format="21" series="1">
      <pivotArea type="data" outline="0" fieldPosition="0">
        <references count="2">
          <reference field="1" count="1" selected="0">
            <x v="0"/>
          </reference>
          <reference field="2" count="1" selected="0">
            <x v="32"/>
          </reference>
        </references>
      </pivotArea>
    </chartFormat>
    <chartFormat chart="0" format="22" series="1">
      <pivotArea type="data" outline="0" fieldPosition="0">
        <references count="2">
          <reference field="1" count="1" selected="0">
            <x v="1"/>
          </reference>
          <reference field="2" count="1" selected="0">
            <x v="32"/>
          </reference>
        </references>
      </pivotArea>
    </chartFormat>
    <chartFormat chart="0" format="23" series="1">
      <pivotArea type="data" outline="0" fieldPosition="0">
        <references count="2">
          <reference field="1" count="1" selected="0">
            <x v="2"/>
          </reference>
          <reference field="2" count="1" selected="0">
            <x v="32"/>
          </reference>
        </references>
      </pivotArea>
    </chartFormat>
    <chartFormat chart="0" format="24" series="1">
      <pivotArea type="data" outline="0" fieldPosition="0">
        <references count="2">
          <reference field="1" count="1" selected="0">
            <x v="3"/>
          </reference>
          <reference field="2" count="1" selected="0">
            <x v="32"/>
          </reference>
        </references>
      </pivotArea>
    </chartFormat>
    <chartFormat chart="0" format="25" series="1">
      <pivotArea type="data" outline="0" fieldPosition="0">
        <references count="2">
          <reference field="1" count="1" selected="0">
            <x v="0"/>
          </reference>
          <reference field="2" count="1" selected="0">
            <x v="33"/>
          </reference>
        </references>
      </pivotArea>
    </chartFormat>
    <chartFormat chart="0" format="26" series="1">
      <pivotArea type="data" outline="0" fieldPosition="0">
        <references count="2">
          <reference field="1" count="1" selected="0">
            <x v="1"/>
          </reference>
          <reference field="2" count="1" selected="0">
            <x v="33"/>
          </reference>
        </references>
      </pivotArea>
    </chartFormat>
    <chartFormat chart="0" format="27" series="1">
      <pivotArea type="data" outline="0" fieldPosition="0">
        <references count="2">
          <reference field="1" count="1" selected="0">
            <x v="2"/>
          </reference>
          <reference field="2" count="1" selected="0">
            <x v="33"/>
          </reference>
        </references>
      </pivotArea>
    </chartFormat>
    <chartFormat chart="0" format="28" series="1">
      <pivotArea type="data" outline="0" fieldPosition="0">
        <references count="2">
          <reference field="1" count="1" selected="0">
            <x v="3"/>
          </reference>
          <reference field="2" count="1" selected="0">
            <x v="33"/>
          </reference>
        </references>
      </pivotArea>
    </chartFormat>
    <chartFormat chart="0" format="29" series="1">
      <pivotArea type="data" outline="0" fieldPosition="0">
        <references count="2">
          <reference field="1" count="1" selected="0">
            <x v="1"/>
          </reference>
          <reference field="2" count="1" selected="0">
            <x v="34"/>
          </reference>
        </references>
      </pivotArea>
    </chartFormat>
    <chartFormat chart="0" format="30" series="1">
      <pivotArea type="data" outline="0" fieldPosition="0">
        <references count="2">
          <reference field="1" count="1" selected="0">
            <x v="0"/>
          </reference>
          <reference field="2" count="1" selected="0">
            <x v="35"/>
          </reference>
        </references>
      </pivotArea>
    </chartFormat>
    <chartFormat chart="0" format="31" series="1">
      <pivotArea type="data" outline="0" fieldPosition="0">
        <references count="2">
          <reference field="1" count="1" selected="0">
            <x v="1"/>
          </reference>
          <reference field="2" count="1" selected="0">
            <x v="35"/>
          </reference>
        </references>
      </pivotArea>
    </chartFormat>
    <chartFormat chart="0" format="32" series="1">
      <pivotArea type="data" outline="0" fieldPosition="0">
        <references count="2">
          <reference field="1" count="1" selected="0">
            <x v="2"/>
          </reference>
          <reference field="2" count="1" selected="0">
            <x v="35"/>
          </reference>
        </references>
      </pivotArea>
    </chartFormat>
    <chartFormat chart="0" format="33" series="1">
      <pivotArea type="data" outline="0" fieldPosition="0">
        <references count="2">
          <reference field="1" count="1" selected="0">
            <x v="3"/>
          </reference>
          <reference field="2" count="1" selected="0">
            <x v="35"/>
          </reference>
        </references>
      </pivotArea>
    </chartFormat>
    <chartFormat chart="0" format="34" series="1">
      <pivotArea type="data" outline="0" fieldPosition="0">
        <references count="2">
          <reference field="1" count="1" selected="0">
            <x v="0"/>
          </reference>
          <reference field="2" count="1" selected="0">
            <x v="36"/>
          </reference>
        </references>
      </pivotArea>
    </chartFormat>
    <chartFormat chart="0" format="35" series="1">
      <pivotArea type="data" outline="0" fieldPosition="0">
        <references count="2">
          <reference field="1" count="1" selected="0">
            <x v="1"/>
          </reference>
          <reference field="2" count="1" selected="0">
            <x v="36"/>
          </reference>
        </references>
      </pivotArea>
    </chartFormat>
    <chartFormat chart="0" format="36" series="1">
      <pivotArea type="data" outline="0" fieldPosition="0">
        <references count="2">
          <reference field="1" count="1" selected="0">
            <x v="2"/>
          </reference>
          <reference field="2" count="1" selected="0">
            <x v="36"/>
          </reference>
        </references>
      </pivotArea>
    </chartFormat>
    <chartFormat chart="0" format="37" series="1">
      <pivotArea type="data" outline="0" fieldPosition="0">
        <references count="2">
          <reference field="1" count="1" selected="0">
            <x v="3"/>
          </reference>
          <reference field="2" count="1" selected="0">
            <x v="36"/>
          </reference>
        </references>
      </pivotArea>
    </chartFormat>
    <chartFormat chart="0" format="38" series="1">
      <pivotArea type="data" outline="0" fieldPosition="0">
        <references count="2">
          <reference field="1" count="1" selected="0">
            <x v="0"/>
          </reference>
          <reference field="2" count="1" selected="0">
            <x v="37"/>
          </reference>
        </references>
      </pivotArea>
    </chartFormat>
    <chartFormat chart="0" format="39" series="1">
      <pivotArea type="data" outline="0" fieldPosition="0">
        <references count="2">
          <reference field="1" count="1" selected="0">
            <x v="1"/>
          </reference>
          <reference field="2" count="1" selected="0">
            <x v="37"/>
          </reference>
        </references>
      </pivotArea>
    </chartFormat>
    <chartFormat chart="0" format="40" series="1">
      <pivotArea type="data" outline="0" fieldPosition="0">
        <references count="2">
          <reference field="1" count="1" selected="0">
            <x v="2"/>
          </reference>
          <reference field="2" count="1" selected="0">
            <x v="37"/>
          </reference>
        </references>
      </pivotArea>
    </chartFormat>
    <chartFormat chart="0" format="41" series="1">
      <pivotArea type="data" outline="0" fieldPosition="0">
        <references count="2">
          <reference field="1" count="1" selected="0">
            <x v="3"/>
          </reference>
          <reference field="2" count="1" selected="0">
            <x v="37"/>
          </reference>
        </references>
      </pivotArea>
    </chartFormat>
    <chartFormat chart="0" format="42" series="1">
      <pivotArea type="data" outline="0" fieldPosition="0">
        <references count="2">
          <reference field="1" count="1" selected="0">
            <x v="0"/>
          </reference>
          <reference field="2" count="1" selected="0">
            <x v="38"/>
          </reference>
        </references>
      </pivotArea>
    </chartFormat>
    <chartFormat chart="0" format="43" series="1">
      <pivotArea type="data" outline="0" fieldPosition="0">
        <references count="2">
          <reference field="1" count="1" selected="0">
            <x v="1"/>
          </reference>
          <reference field="2" count="1" selected="0">
            <x v="38"/>
          </reference>
        </references>
      </pivotArea>
    </chartFormat>
    <chartFormat chart="0" format="44" series="1">
      <pivotArea type="data" outline="0" fieldPosition="0">
        <references count="2">
          <reference field="1" count="1" selected="0">
            <x v="2"/>
          </reference>
          <reference field="2" count="1" selected="0">
            <x v="38"/>
          </reference>
        </references>
      </pivotArea>
    </chartFormat>
    <chartFormat chart="0" format="45" series="1">
      <pivotArea type="data" outline="0" fieldPosition="0">
        <references count="2">
          <reference field="1" count="1" selected="0">
            <x v="3"/>
          </reference>
          <reference field="2" count="1" selected="0">
            <x v="38"/>
          </reference>
        </references>
      </pivotArea>
    </chartFormat>
    <chartFormat chart="0" format="46" series="1">
      <pivotArea type="data" outline="0" fieldPosition="0">
        <references count="2">
          <reference field="1" count="1" selected="0">
            <x v="0"/>
          </reference>
          <reference field="2" count="1" selected="0">
            <x v="39"/>
          </reference>
        </references>
      </pivotArea>
    </chartFormat>
    <chartFormat chart="0" format="47" series="1">
      <pivotArea type="data" outline="0" fieldPosition="0">
        <references count="2">
          <reference field="1" count="1" selected="0">
            <x v="1"/>
          </reference>
          <reference field="2" count="1" selected="0">
            <x v="39"/>
          </reference>
        </references>
      </pivotArea>
    </chartFormat>
    <chartFormat chart="0" format="48" series="1">
      <pivotArea type="data" outline="0" fieldPosition="0">
        <references count="2">
          <reference field="1" count="1" selected="0">
            <x v="2"/>
          </reference>
          <reference field="2" count="1" selected="0">
            <x v="39"/>
          </reference>
        </references>
      </pivotArea>
    </chartFormat>
    <chartFormat chart="0" format="49" series="1">
      <pivotArea type="data" outline="0" fieldPosition="0">
        <references count="2">
          <reference field="1" count="1" selected="0">
            <x v="3"/>
          </reference>
          <reference field="2" count="1" selected="0">
            <x v="39"/>
          </reference>
        </references>
      </pivotArea>
    </chartFormat>
    <chartFormat chart="0" format="50" series="1">
      <pivotArea type="data" outline="0" fieldPosition="0">
        <references count="2">
          <reference field="1" count="1" selected="0">
            <x v="0"/>
          </reference>
          <reference field="2" count="1" selected="0">
            <x v="40"/>
          </reference>
        </references>
      </pivotArea>
    </chartFormat>
    <chartFormat chart="0" format="51" series="1">
      <pivotArea type="data" outline="0" fieldPosition="0">
        <references count="2">
          <reference field="1" count="1" selected="0">
            <x v="1"/>
          </reference>
          <reference field="2" count="1" selected="0">
            <x v="40"/>
          </reference>
        </references>
      </pivotArea>
    </chartFormat>
    <chartFormat chart="0" format="52" series="1">
      <pivotArea type="data" outline="0" fieldPosition="0">
        <references count="2">
          <reference field="1" count="1" selected="0">
            <x v="2"/>
          </reference>
          <reference field="2" count="1" selected="0">
            <x v="40"/>
          </reference>
        </references>
      </pivotArea>
    </chartFormat>
    <chartFormat chart="0" format="53" series="1">
      <pivotArea type="data" outline="0" fieldPosition="0">
        <references count="2">
          <reference field="1" count="1" selected="0">
            <x v="3"/>
          </reference>
          <reference field="2" count="1" selected="0">
            <x v="40"/>
          </reference>
        </references>
      </pivotArea>
    </chartFormat>
    <chartFormat chart="0" format="54" series="1">
      <pivotArea type="data" outline="0" fieldPosition="0">
        <references count="2">
          <reference field="1" count="1" selected="0">
            <x v="0"/>
          </reference>
          <reference field="2" count="1" selected="0">
            <x v="41"/>
          </reference>
        </references>
      </pivotArea>
    </chartFormat>
    <chartFormat chart="0" format="55" series="1">
      <pivotArea type="data" outline="0" fieldPosition="0">
        <references count="2">
          <reference field="1" count="1" selected="0">
            <x v="1"/>
          </reference>
          <reference field="2" count="1" selected="0">
            <x v="41"/>
          </reference>
        </references>
      </pivotArea>
    </chartFormat>
    <chartFormat chart="0" format="56" series="1">
      <pivotArea type="data" outline="0" fieldPosition="0">
        <references count="2">
          <reference field="1" count="1" selected="0">
            <x v="2"/>
          </reference>
          <reference field="2" count="1" selected="0">
            <x v="41"/>
          </reference>
        </references>
      </pivotArea>
    </chartFormat>
    <chartFormat chart="0" format="57" series="1">
      <pivotArea type="data" outline="0" fieldPosition="0">
        <references count="2">
          <reference field="1" count="1" selected="0">
            <x v="3"/>
          </reference>
          <reference field="2" count="1" selected="0">
            <x v="41"/>
          </reference>
        </references>
      </pivotArea>
    </chartFormat>
    <chartFormat chart="0" format="58" series="1">
      <pivotArea type="data" outline="0" fieldPosition="0">
        <references count="3">
          <reference field="4294967294" count="1" selected="0">
            <x v="0"/>
          </reference>
          <reference field="1" count="1" selected="0">
            <x v="0"/>
          </reference>
          <reference field="2" count="1" selected="0">
            <x v="26"/>
          </reference>
        </references>
      </pivotArea>
    </chartFormat>
    <chartFormat chart="0" format="59" series="1">
      <pivotArea type="data" outline="0" fieldPosition="0">
        <references count="3">
          <reference field="4294967294" count="1" selected="0">
            <x v="0"/>
          </reference>
          <reference field="1" count="1" selected="0">
            <x v="1"/>
          </reference>
          <reference field="2" count="1" selected="0">
            <x v="26"/>
          </reference>
        </references>
      </pivotArea>
    </chartFormat>
    <chartFormat chart="0" format="60" series="1">
      <pivotArea type="data" outline="0" fieldPosition="0">
        <references count="3">
          <reference field="4294967294" count="1" selected="0">
            <x v="0"/>
          </reference>
          <reference field="1" count="1" selected="0">
            <x v="2"/>
          </reference>
          <reference field="2" count="1" selected="0">
            <x v="26"/>
          </reference>
        </references>
      </pivotArea>
    </chartFormat>
    <chartFormat chart="0" format="61" series="1">
      <pivotArea type="data" outline="0" fieldPosition="0">
        <references count="3">
          <reference field="4294967294" count="1" selected="0">
            <x v="0"/>
          </reference>
          <reference field="1" count="1" selected="0">
            <x v="3"/>
          </reference>
          <reference field="2" count="1" selected="0">
            <x v="26"/>
          </reference>
        </references>
      </pivotArea>
    </chartFormat>
    <chartFormat chart="0" format="62" series="1">
      <pivotArea type="data" outline="0" fieldPosition="0">
        <references count="3">
          <reference field="4294967294" count="1" selected="0">
            <x v="0"/>
          </reference>
          <reference field="1" count="1" selected="0">
            <x v="0"/>
          </reference>
          <reference field="2" count="1" selected="0">
            <x v="27"/>
          </reference>
        </references>
      </pivotArea>
    </chartFormat>
    <chartFormat chart="0" format="63" series="1">
      <pivotArea type="data" outline="0" fieldPosition="0">
        <references count="3">
          <reference field="4294967294" count="1" selected="0">
            <x v="0"/>
          </reference>
          <reference field="1" count="1" selected="0">
            <x v="1"/>
          </reference>
          <reference field="2" count="1" selected="0">
            <x v="27"/>
          </reference>
        </references>
      </pivotArea>
    </chartFormat>
    <chartFormat chart="0" format="64" series="1">
      <pivotArea type="data" outline="0" fieldPosition="0">
        <references count="3">
          <reference field="4294967294" count="1" selected="0">
            <x v="0"/>
          </reference>
          <reference field="1" count="1" selected="0">
            <x v="2"/>
          </reference>
          <reference field="2" count="1" selected="0">
            <x v="27"/>
          </reference>
        </references>
      </pivotArea>
    </chartFormat>
    <chartFormat chart="0" format="65" series="1">
      <pivotArea type="data" outline="0" fieldPosition="0">
        <references count="3">
          <reference field="4294967294" count="1" selected="0">
            <x v="0"/>
          </reference>
          <reference field="1" count="1" selected="0">
            <x v="3"/>
          </reference>
          <reference field="2" count="1" selected="0">
            <x v="27"/>
          </reference>
        </references>
      </pivotArea>
    </chartFormat>
    <chartFormat chart="0" format="66" series="1">
      <pivotArea type="data" outline="0" fieldPosition="0">
        <references count="3">
          <reference field="4294967294" count="1" selected="0">
            <x v="0"/>
          </reference>
          <reference field="1" count="1" selected="0">
            <x v="0"/>
          </reference>
          <reference field="2" count="1" selected="0">
            <x v="28"/>
          </reference>
        </references>
      </pivotArea>
    </chartFormat>
    <chartFormat chart="0" format="67" series="1">
      <pivotArea type="data" outline="0" fieldPosition="0">
        <references count="3">
          <reference field="4294967294" count="1" selected="0">
            <x v="0"/>
          </reference>
          <reference field="1" count="1" selected="0">
            <x v="1"/>
          </reference>
          <reference field="2" count="1" selected="0">
            <x v="28"/>
          </reference>
        </references>
      </pivotArea>
    </chartFormat>
    <chartFormat chart="0" format="68" series="1">
      <pivotArea type="data" outline="0" fieldPosition="0">
        <references count="3">
          <reference field="4294967294" count="1" selected="0">
            <x v="0"/>
          </reference>
          <reference field="1" count="1" selected="0">
            <x v="2"/>
          </reference>
          <reference field="2" count="1" selected="0">
            <x v="28"/>
          </reference>
        </references>
      </pivotArea>
    </chartFormat>
    <chartFormat chart="0" format="69" series="1">
      <pivotArea type="data" outline="0" fieldPosition="0">
        <references count="3">
          <reference field="4294967294" count="1" selected="0">
            <x v="0"/>
          </reference>
          <reference field="1" count="1" selected="0">
            <x v="3"/>
          </reference>
          <reference field="2" count="1" selected="0">
            <x v="28"/>
          </reference>
        </references>
      </pivotArea>
    </chartFormat>
    <chartFormat chart="0" format="70" series="1">
      <pivotArea type="data" outline="0" fieldPosition="0">
        <references count="3">
          <reference field="4294967294" count="1" selected="0">
            <x v="0"/>
          </reference>
          <reference field="1" count="1" selected="0">
            <x v="0"/>
          </reference>
          <reference field="2" count="1" selected="0">
            <x v="29"/>
          </reference>
        </references>
      </pivotArea>
    </chartFormat>
    <chartFormat chart="0" format="71" series="1">
      <pivotArea type="data" outline="0" fieldPosition="0">
        <references count="3">
          <reference field="4294967294" count="1" selected="0">
            <x v="0"/>
          </reference>
          <reference field="1" count="1" selected="0">
            <x v="1"/>
          </reference>
          <reference field="2" count="1" selected="0">
            <x v="29"/>
          </reference>
        </references>
      </pivotArea>
    </chartFormat>
    <chartFormat chart="0" format="72" series="1">
      <pivotArea type="data" outline="0" fieldPosition="0">
        <references count="3">
          <reference field="4294967294" count="1" selected="0">
            <x v="0"/>
          </reference>
          <reference field="1" count="1" selected="0">
            <x v="2"/>
          </reference>
          <reference field="2" count="1" selected="0">
            <x v="29"/>
          </reference>
        </references>
      </pivotArea>
    </chartFormat>
    <chartFormat chart="0" format="73" series="1">
      <pivotArea type="data" outline="0" fieldPosition="0">
        <references count="3">
          <reference field="4294967294" count="1" selected="0">
            <x v="0"/>
          </reference>
          <reference field="1" count="1" selected="0">
            <x v="3"/>
          </reference>
          <reference field="2" count="1" selected="0">
            <x v="29"/>
          </reference>
        </references>
      </pivotArea>
    </chartFormat>
    <chartFormat chart="0" format="74" series="1">
      <pivotArea type="data" outline="0" fieldPosition="0">
        <references count="3">
          <reference field="4294967294" count="1" selected="0">
            <x v="0"/>
          </reference>
          <reference field="1" count="1" selected="0">
            <x v="0"/>
          </reference>
          <reference field="2" count="1" selected="0">
            <x v="30"/>
          </reference>
        </references>
      </pivotArea>
    </chartFormat>
    <chartFormat chart="0" format="75" series="1">
      <pivotArea type="data" outline="0" fieldPosition="0">
        <references count="3">
          <reference field="4294967294" count="1" selected="0">
            <x v="0"/>
          </reference>
          <reference field="1" count="1" selected="0">
            <x v="1"/>
          </reference>
          <reference field="2" count="1" selected="0">
            <x v="30"/>
          </reference>
        </references>
      </pivotArea>
    </chartFormat>
    <chartFormat chart="0" format="76" series="1">
      <pivotArea type="data" outline="0" fieldPosition="0">
        <references count="3">
          <reference field="4294967294" count="1" selected="0">
            <x v="0"/>
          </reference>
          <reference field="1" count="1" selected="0">
            <x v="2"/>
          </reference>
          <reference field="2" count="1" selected="0">
            <x v="30"/>
          </reference>
        </references>
      </pivotArea>
    </chartFormat>
    <chartFormat chart="0" format="77" series="1">
      <pivotArea type="data" outline="0" fieldPosition="0">
        <references count="3">
          <reference field="4294967294" count="1" selected="0">
            <x v="0"/>
          </reference>
          <reference field="1" count="1" selected="0">
            <x v="3"/>
          </reference>
          <reference field="2" count="1" selected="0">
            <x v="30"/>
          </reference>
        </references>
      </pivotArea>
    </chartFormat>
    <chartFormat chart="0" format="78" series="1">
      <pivotArea type="data" outline="0" fieldPosition="0">
        <references count="3">
          <reference field="4294967294" count="1" selected="0">
            <x v="0"/>
          </reference>
          <reference field="1" count="1" selected="0">
            <x v="1"/>
          </reference>
          <reference field="2" count="1" selected="0">
            <x v="31"/>
          </reference>
        </references>
      </pivotArea>
    </chartFormat>
    <chartFormat chart="0" format="79" series="1">
      <pivotArea type="data" outline="0" fieldPosition="0">
        <references count="3">
          <reference field="4294967294" count="1" selected="0">
            <x v="0"/>
          </reference>
          <reference field="1" count="1" selected="0">
            <x v="0"/>
          </reference>
          <reference field="2" count="1" selected="0">
            <x v="32"/>
          </reference>
        </references>
      </pivotArea>
    </chartFormat>
    <chartFormat chart="0" format="80" series="1">
      <pivotArea type="data" outline="0" fieldPosition="0">
        <references count="3">
          <reference field="4294967294" count="1" selected="0">
            <x v="0"/>
          </reference>
          <reference field="1" count="1" selected="0">
            <x v="1"/>
          </reference>
          <reference field="2" count="1" selected="0">
            <x v="32"/>
          </reference>
        </references>
      </pivotArea>
    </chartFormat>
    <chartFormat chart="0" format="81" series="1">
      <pivotArea type="data" outline="0" fieldPosition="0">
        <references count="3">
          <reference field="4294967294" count="1" selected="0">
            <x v="0"/>
          </reference>
          <reference field="1" count="1" selected="0">
            <x v="2"/>
          </reference>
          <reference field="2" count="1" selected="0">
            <x v="32"/>
          </reference>
        </references>
      </pivotArea>
    </chartFormat>
    <chartFormat chart="0" format="82" series="1">
      <pivotArea type="data" outline="0" fieldPosition="0">
        <references count="3">
          <reference field="4294967294" count="1" selected="0">
            <x v="0"/>
          </reference>
          <reference field="1" count="1" selected="0">
            <x v="3"/>
          </reference>
          <reference field="2" count="1" selected="0">
            <x v="32"/>
          </reference>
        </references>
      </pivotArea>
    </chartFormat>
    <chartFormat chart="0" format="83" series="1">
      <pivotArea type="data" outline="0" fieldPosition="0">
        <references count="3">
          <reference field="4294967294" count="1" selected="0">
            <x v="0"/>
          </reference>
          <reference field="1" count="1" selected="0">
            <x v="0"/>
          </reference>
          <reference field="2" count="1" selected="0">
            <x v="33"/>
          </reference>
        </references>
      </pivotArea>
    </chartFormat>
    <chartFormat chart="0" format="84" series="1">
      <pivotArea type="data" outline="0" fieldPosition="0">
        <references count="3">
          <reference field="4294967294" count="1" selected="0">
            <x v="0"/>
          </reference>
          <reference field="1" count="1" selected="0">
            <x v="1"/>
          </reference>
          <reference field="2" count="1" selected="0">
            <x v="33"/>
          </reference>
        </references>
      </pivotArea>
    </chartFormat>
    <chartFormat chart="0" format="85" series="1">
      <pivotArea type="data" outline="0" fieldPosition="0">
        <references count="3">
          <reference field="4294967294" count="1" selected="0">
            <x v="0"/>
          </reference>
          <reference field="1" count="1" selected="0">
            <x v="2"/>
          </reference>
          <reference field="2" count="1" selected="0">
            <x v="33"/>
          </reference>
        </references>
      </pivotArea>
    </chartFormat>
    <chartFormat chart="0" format="86" series="1">
      <pivotArea type="data" outline="0" fieldPosition="0">
        <references count="3">
          <reference field="4294967294" count="1" selected="0">
            <x v="0"/>
          </reference>
          <reference field="1" count="1" selected="0">
            <x v="3"/>
          </reference>
          <reference field="2" count="1" selected="0">
            <x v="33"/>
          </reference>
        </references>
      </pivotArea>
    </chartFormat>
    <chartFormat chart="0" format="87" series="1">
      <pivotArea type="data" outline="0" fieldPosition="0">
        <references count="3">
          <reference field="4294967294" count="1" selected="0">
            <x v="0"/>
          </reference>
          <reference field="1" count="1" selected="0">
            <x v="1"/>
          </reference>
          <reference field="2" count="1" selected="0">
            <x v="34"/>
          </reference>
        </references>
      </pivotArea>
    </chartFormat>
    <chartFormat chart="0" format="88" series="1">
      <pivotArea type="data" outline="0" fieldPosition="0">
        <references count="3">
          <reference field="4294967294" count="1" selected="0">
            <x v="0"/>
          </reference>
          <reference field="1" count="1" selected="0">
            <x v="0"/>
          </reference>
          <reference field="2" count="1" selected="0">
            <x v="35"/>
          </reference>
        </references>
      </pivotArea>
    </chartFormat>
    <chartFormat chart="0" format="89" series="1">
      <pivotArea type="data" outline="0" fieldPosition="0">
        <references count="3">
          <reference field="4294967294" count="1" selected="0">
            <x v="0"/>
          </reference>
          <reference field="1" count="1" selected="0">
            <x v="1"/>
          </reference>
          <reference field="2" count="1" selected="0">
            <x v="35"/>
          </reference>
        </references>
      </pivotArea>
    </chartFormat>
    <chartFormat chart="0" format="90" series="1">
      <pivotArea type="data" outline="0" fieldPosition="0">
        <references count="3">
          <reference field="4294967294" count="1" selected="0">
            <x v="0"/>
          </reference>
          <reference field="1" count="1" selected="0">
            <x v="2"/>
          </reference>
          <reference field="2" count="1" selected="0">
            <x v="35"/>
          </reference>
        </references>
      </pivotArea>
    </chartFormat>
    <chartFormat chart="0" format="91" series="1">
      <pivotArea type="data" outline="0" fieldPosition="0">
        <references count="3">
          <reference field="4294967294" count="1" selected="0">
            <x v="0"/>
          </reference>
          <reference field="1" count="1" selected="0">
            <x v="3"/>
          </reference>
          <reference field="2" count="1" selected="0">
            <x v="35"/>
          </reference>
        </references>
      </pivotArea>
    </chartFormat>
    <chartFormat chart="0" format="92" series="1">
      <pivotArea type="data" outline="0" fieldPosition="0">
        <references count="3">
          <reference field="4294967294" count="1" selected="0">
            <x v="0"/>
          </reference>
          <reference field="1" count="1" selected="0">
            <x v="0"/>
          </reference>
          <reference field="2" count="1" selected="0">
            <x v="36"/>
          </reference>
        </references>
      </pivotArea>
    </chartFormat>
    <chartFormat chart="0" format="93" series="1">
      <pivotArea type="data" outline="0" fieldPosition="0">
        <references count="3">
          <reference field="4294967294" count="1" selected="0">
            <x v="0"/>
          </reference>
          <reference field="1" count="1" selected="0">
            <x v="1"/>
          </reference>
          <reference field="2" count="1" selected="0">
            <x v="36"/>
          </reference>
        </references>
      </pivotArea>
    </chartFormat>
    <chartFormat chart="0" format="94" series="1">
      <pivotArea type="data" outline="0" fieldPosition="0">
        <references count="3">
          <reference field="4294967294" count="1" selected="0">
            <x v="0"/>
          </reference>
          <reference field="1" count="1" selected="0">
            <x v="2"/>
          </reference>
          <reference field="2" count="1" selected="0">
            <x v="36"/>
          </reference>
        </references>
      </pivotArea>
    </chartFormat>
    <chartFormat chart="0" format="95" series="1">
      <pivotArea type="data" outline="0" fieldPosition="0">
        <references count="3">
          <reference field="4294967294" count="1" selected="0">
            <x v="0"/>
          </reference>
          <reference field="1" count="1" selected="0">
            <x v="3"/>
          </reference>
          <reference field="2" count="1" selected="0">
            <x v="36"/>
          </reference>
        </references>
      </pivotArea>
    </chartFormat>
    <chartFormat chart="0" format="96" series="1">
      <pivotArea type="data" outline="0" fieldPosition="0">
        <references count="3">
          <reference field="4294967294" count="1" selected="0">
            <x v="0"/>
          </reference>
          <reference field="1" count="1" selected="0">
            <x v="0"/>
          </reference>
          <reference field="2" count="1" selected="0">
            <x v="37"/>
          </reference>
        </references>
      </pivotArea>
    </chartFormat>
    <chartFormat chart="0" format="97" series="1">
      <pivotArea type="data" outline="0" fieldPosition="0">
        <references count="3">
          <reference field="4294967294" count="1" selected="0">
            <x v="0"/>
          </reference>
          <reference field="1" count="1" selected="0">
            <x v="1"/>
          </reference>
          <reference field="2" count="1" selected="0">
            <x v="37"/>
          </reference>
        </references>
      </pivotArea>
    </chartFormat>
    <chartFormat chart="0" format="98" series="1">
      <pivotArea type="data" outline="0" fieldPosition="0">
        <references count="3">
          <reference field="4294967294" count="1" selected="0">
            <x v="0"/>
          </reference>
          <reference field="1" count="1" selected="0">
            <x v="2"/>
          </reference>
          <reference field="2" count="1" selected="0">
            <x v="37"/>
          </reference>
        </references>
      </pivotArea>
    </chartFormat>
    <chartFormat chart="0" format="99" series="1">
      <pivotArea type="data" outline="0" fieldPosition="0">
        <references count="3">
          <reference field="4294967294" count="1" selected="0">
            <x v="0"/>
          </reference>
          <reference field="1" count="1" selected="0">
            <x v="3"/>
          </reference>
          <reference field="2" count="1" selected="0">
            <x v="37"/>
          </reference>
        </references>
      </pivotArea>
    </chartFormat>
    <chartFormat chart="0" format="100" series="1">
      <pivotArea type="data" outline="0" fieldPosition="0">
        <references count="3">
          <reference field="4294967294" count="1" selected="0">
            <x v="0"/>
          </reference>
          <reference field="1" count="1" selected="0">
            <x v="0"/>
          </reference>
          <reference field="2" count="1" selected="0">
            <x v="38"/>
          </reference>
        </references>
      </pivotArea>
    </chartFormat>
    <chartFormat chart="0" format="101" series="1">
      <pivotArea type="data" outline="0" fieldPosition="0">
        <references count="3">
          <reference field="4294967294" count="1" selected="0">
            <x v="0"/>
          </reference>
          <reference field="1" count="1" selected="0">
            <x v="1"/>
          </reference>
          <reference field="2" count="1" selected="0">
            <x v="38"/>
          </reference>
        </references>
      </pivotArea>
    </chartFormat>
    <chartFormat chart="0" format="102" series="1">
      <pivotArea type="data" outline="0" fieldPosition="0">
        <references count="3">
          <reference field="4294967294" count="1" selected="0">
            <x v="0"/>
          </reference>
          <reference field="1" count="1" selected="0">
            <x v="2"/>
          </reference>
          <reference field="2" count="1" selected="0">
            <x v="38"/>
          </reference>
        </references>
      </pivotArea>
    </chartFormat>
    <chartFormat chart="0" format="103" series="1">
      <pivotArea type="data" outline="0" fieldPosition="0">
        <references count="3">
          <reference field="4294967294" count="1" selected="0">
            <x v="0"/>
          </reference>
          <reference field="1" count="1" selected="0">
            <x v="3"/>
          </reference>
          <reference field="2" count="1" selected="0">
            <x v="38"/>
          </reference>
        </references>
      </pivotArea>
    </chartFormat>
    <chartFormat chart="0" format="104" series="1">
      <pivotArea type="data" outline="0" fieldPosition="0">
        <references count="3">
          <reference field="4294967294" count="1" selected="0">
            <x v="0"/>
          </reference>
          <reference field="1" count="1" selected="0">
            <x v="0"/>
          </reference>
          <reference field="2" count="1" selected="0">
            <x v="39"/>
          </reference>
        </references>
      </pivotArea>
    </chartFormat>
    <chartFormat chart="0" format="105" series="1">
      <pivotArea type="data" outline="0" fieldPosition="0">
        <references count="3">
          <reference field="4294967294" count="1" selected="0">
            <x v="0"/>
          </reference>
          <reference field="1" count="1" selected="0">
            <x v="1"/>
          </reference>
          <reference field="2" count="1" selected="0">
            <x v="39"/>
          </reference>
        </references>
      </pivotArea>
    </chartFormat>
    <chartFormat chart="0" format="106" series="1">
      <pivotArea type="data" outline="0" fieldPosition="0">
        <references count="3">
          <reference field="4294967294" count="1" selected="0">
            <x v="0"/>
          </reference>
          <reference field="1" count="1" selected="0">
            <x v="2"/>
          </reference>
          <reference field="2" count="1" selected="0">
            <x v="39"/>
          </reference>
        </references>
      </pivotArea>
    </chartFormat>
    <chartFormat chart="0" format="107" series="1">
      <pivotArea type="data" outline="0" fieldPosition="0">
        <references count="3">
          <reference field="4294967294" count="1" selected="0">
            <x v="0"/>
          </reference>
          <reference field="1" count="1" selected="0">
            <x v="3"/>
          </reference>
          <reference field="2" count="1" selected="0">
            <x v="39"/>
          </reference>
        </references>
      </pivotArea>
    </chartFormat>
    <chartFormat chart="0" format="108" series="1">
      <pivotArea type="data" outline="0" fieldPosition="0">
        <references count="3">
          <reference field="4294967294" count="1" selected="0">
            <x v="0"/>
          </reference>
          <reference field="1" count="1" selected="0">
            <x v="0"/>
          </reference>
          <reference field="2" count="1" selected="0">
            <x v="40"/>
          </reference>
        </references>
      </pivotArea>
    </chartFormat>
    <chartFormat chart="0" format="109" series="1">
      <pivotArea type="data" outline="0" fieldPosition="0">
        <references count="3">
          <reference field="4294967294" count="1" selected="0">
            <x v="0"/>
          </reference>
          <reference field="1" count="1" selected="0">
            <x v="1"/>
          </reference>
          <reference field="2" count="1" selected="0">
            <x v="40"/>
          </reference>
        </references>
      </pivotArea>
    </chartFormat>
    <chartFormat chart="0" format="110" series="1">
      <pivotArea type="data" outline="0" fieldPosition="0">
        <references count="3">
          <reference field="4294967294" count="1" selected="0">
            <x v="0"/>
          </reference>
          <reference field="1" count="1" selected="0">
            <x v="2"/>
          </reference>
          <reference field="2" count="1" selected="0">
            <x v="40"/>
          </reference>
        </references>
      </pivotArea>
    </chartFormat>
    <chartFormat chart="0" format="111" series="1">
      <pivotArea type="data" outline="0" fieldPosition="0">
        <references count="3">
          <reference field="4294967294" count="1" selected="0">
            <x v="0"/>
          </reference>
          <reference field="1" count="1" selected="0">
            <x v="3"/>
          </reference>
          <reference field="2" count="1" selected="0">
            <x v="40"/>
          </reference>
        </references>
      </pivotArea>
    </chartFormat>
    <chartFormat chart="0" format="112" series="1">
      <pivotArea type="data" outline="0" fieldPosition="0">
        <references count="3">
          <reference field="4294967294" count="1" selected="0">
            <x v="0"/>
          </reference>
          <reference field="1" count="1" selected="0">
            <x v="0"/>
          </reference>
          <reference field="2" count="1" selected="0">
            <x v="41"/>
          </reference>
        </references>
      </pivotArea>
    </chartFormat>
    <chartFormat chart="0" format="113" series="1">
      <pivotArea type="data" outline="0" fieldPosition="0">
        <references count="3">
          <reference field="4294967294" count="1" selected="0">
            <x v="0"/>
          </reference>
          <reference field="1" count="1" selected="0">
            <x v="1"/>
          </reference>
          <reference field="2" count="1" selected="0">
            <x v="41"/>
          </reference>
        </references>
      </pivotArea>
    </chartFormat>
    <chartFormat chart="0" format="114" series="1">
      <pivotArea type="data" outline="0" fieldPosition="0">
        <references count="3">
          <reference field="4294967294" count="1" selected="0">
            <x v="0"/>
          </reference>
          <reference field="1" count="1" selected="0">
            <x v="2"/>
          </reference>
          <reference field="2" count="1" selected="0">
            <x v="41"/>
          </reference>
        </references>
      </pivotArea>
    </chartFormat>
    <chartFormat chart="0" format="115" series="1">
      <pivotArea type="data" outline="0" fieldPosition="0">
        <references count="3">
          <reference field="4294967294" count="1" selected="0">
            <x v="0"/>
          </reference>
          <reference field="1" count="1" selected="0">
            <x v="3"/>
          </reference>
          <reference field="2" count="1" selected="0">
            <x v="41"/>
          </reference>
        </references>
      </pivotArea>
    </chartFormat>
    <chartFormat chart="0" format="116" series="1">
      <pivotArea type="data" outline="0" fieldPosition="0">
        <references count="2">
          <reference field="4294967294" count="1" selected="0">
            <x v="0"/>
          </reference>
          <reference field="2" count="1" selected="0">
            <x v="40"/>
          </reference>
        </references>
      </pivotArea>
    </chartFormat>
    <chartFormat chart="0" format="117" series="1">
      <pivotArea type="data" outline="0" fieldPosition="0">
        <references count="2">
          <reference field="4294967294" count="1" selected="0">
            <x v="0"/>
          </reference>
          <reference field="2" count="1" selected="0">
            <x v="41"/>
          </reference>
        </references>
      </pivotArea>
    </chartFormat>
  </chart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chartFormat="1">
  <location ref="B7:F24" firstHeaderRow="1" firstDataRow="2" firstDataCol="1" rowPageCount="2" colPageCount="1"/>
  <pivotFields count="24">
    <pivotField axis="axisPage" showAll="0" defaultSubtotal="0">
      <items count="2">
        <item m="1" x="1"/>
        <item x="0"/>
      </items>
    </pivotField>
    <pivotField axis="axisCol" showAll="0" defaultSubtotal="0">
      <items count="4">
        <item x="2"/>
        <item x="0"/>
        <item x="3"/>
        <item x="1"/>
      </items>
    </pivotField>
    <pivotField axis="axisRow" showAll="0" defaultSubtotal="0">
      <items count="16">
        <item x="3"/>
        <item x="1"/>
        <item x="12"/>
        <item x="4"/>
        <item x="7"/>
        <item x="13"/>
        <item x="5"/>
        <item x="8"/>
        <item x="14"/>
        <item x="10"/>
        <item x="9"/>
        <item x="2"/>
        <item x="6"/>
        <item x="0"/>
        <item x="11"/>
        <item x="15"/>
      </items>
    </pivotField>
    <pivotField showAll="0" defaultSubtotal="0"/>
    <pivotField showAll="0" defaultSubtotal="0"/>
    <pivotField axis="axisPage" showAll="0" defaultSubtotal="0">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dataField="1" showAll="0" defaultSubtotal="0"/>
    <pivotField numFmtId="10" showAll="0" defaultSubtotal="0"/>
    <pivotField numFmtId="10" showAll="0" defaultSubtotal="0"/>
    <pivotField numFmtId="10" showAll="0" defaultSubtotal="0"/>
    <pivotField numFmtId="10" showAll="0" defaultSubtotal="0"/>
    <pivotField numFmtId="10" showAll="0" defaultSubtotal="0"/>
    <pivotField numFmtId="10" showAll="0" defaultSubtotal="0"/>
    <pivotField numFmtId="10" showAll="0" defaultSubtotal="0"/>
    <pivotField numFmtId="10" showAll="0" defaultSubtotal="0"/>
    <pivotField numFmtId="10" showAll="0" defaultSubtotal="0"/>
    <pivotField numFmtId="10" showAll="0" defaultSubtotal="0"/>
    <pivotField numFmtId="10"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s>
  <rowFields count="1">
    <field x="2"/>
  </rowFields>
  <rowItems count="16">
    <i>
      <x/>
    </i>
    <i>
      <x v="1"/>
    </i>
    <i>
      <x v="2"/>
    </i>
    <i>
      <x v="3"/>
    </i>
    <i>
      <x v="4"/>
    </i>
    <i>
      <x v="5"/>
    </i>
    <i>
      <x v="6"/>
    </i>
    <i>
      <x v="7"/>
    </i>
    <i>
      <x v="8"/>
    </i>
    <i>
      <x v="9"/>
    </i>
    <i>
      <x v="10"/>
    </i>
    <i>
      <x v="11"/>
    </i>
    <i>
      <x v="12"/>
    </i>
    <i>
      <x v="13"/>
    </i>
    <i>
      <x v="14"/>
    </i>
    <i>
      <x v="15"/>
    </i>
  </rowItems>
  <colFields count="1">
    <field x="1"/>
  </colFields>
  <colItems count="4">
    <i>
      <x/>
    </i>
    <i>
      <x v="1"/>
    </i>
    <i>
      <x v="2"/>
    </i>
    <i>
      <x v="3"/>
    </i>
  </colItems>
  <pageFields count="2">
    <pageField fld="5" item="29" hier="-1"/>
    <pageField fld="0" item="1" hier="-1"/>
  </pageFields>
  <dataFields count="1">
    <dataField name="Average of NPV" fld="6" subtotal="average" baseField="2" baseItem="4" numFmtId="164"/>
  </dataFields>
  <chartFormats count="4">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85"/>
  <sheetViews>
    <sheetView workbookViewId="0"/>
  </sheetViews>
  <sheetFormatPr defaultRowHeight="15" x14ac:dyDescent="0.25"/>
  <cols>
    <col min="2" max="2" width="25.85546875" bestFit="1" customWidth="1"/>
    <col min="7" max="7" width="4.140625" customWidth="1"/>
    <col min="12" max="12" width="11.140625" bestFit="1" customWidth="1"/>
  </cols>
  <sheetData>
    <row r="1" spans="1:11" ht="14.45" x14ac:dyDescent="0.3">
      <c r="A1" t="s">
        <v>294</v>
      </c>
    </row>
    <row r="5" spans="1:11" ht="14.45" x14ac:dyDescent="0.3">
      <c r="B5" t="s">
        <v>293</v>
      </c>
    </row>
    <row r="6" spans="1:11" ht="14.45" x14ac:dyDescent="0.3">
      <c r="B6" s="15" t="s">
        <v>76</v>
      </c>
      <c r="C6" s="16" t="s">
        <v>8</v>
      </c>
      <c r="D6" s="17" t="s">
        <v>7</v>
      </c>
    </row>
    <row r="7" spans="1:11" ht="14.45" x14ac:dyDescent="0.3">
      <c r="B7" s="18" t="s">
        <v>11</v>
      </c>
      <c r="C7" s="8">
        <v>10</v>
      </c>
      <c r="D7" s="9">
        <v>7</v>
      </c>
    </row>
    <row r="8" spans="1:11" ht="14.45" x14ac:dyDescent="0.3">
      <c r="B8" s="18" t="s">
        <v>5</v>
      </c>
      <c r="C8" s="8">
        <v>12</v>
      </c>
      <c r="D8" s="9">
        <v>9</v>
      </c>
    </row>
    <row r="9" spans="1:11" ht="14.45" x14ac:dyDescent="0.3">
      <c r="B9" s="18" t="s">
        <v>6</v>
      </c>
      <c r="C9" s="8"/>
      <c r="D9" s="9"/>
    </row>
    <row r="10" spans="1:11" ht="14.45" x14ac:dyDescent="0.3">
      <c r="B10" s="18" t="s">
        <v>227</v>
      </c>
      <c r="C10" s="8">
        <v>11</v>
      </c>
      <c r="D10" s="9">
        <v>8</v>
      </c>
    </row>
    <row r="11" spans="1:11" ht="14.45" x14ac:dyDescent="0.3">
      <c r="B11" s="19" t="s">
        <v>177</v>
      </c>
      <c r="C11" s="11">
        <v>12</v>
      </c>
      <c r="D11" s="12">
        <v>9</v>
      </c>
    </row>
    <row r="14" spans="1:11" ht="14.45" x14ac:dyDescent="0.3">
      <c r="B14" s="14" t="s">
        <v>295</v>
      </c>
      <c r="D14" t="s">
        <v>291</v>
      </c>
      <c r="I14" t="s">
        <v>292</v>
      </c>
      <c r="K14" s="24"/>
    </row>
    <row r="15" spans="1:11" ht="14.45" x14ac:dyDescent="0.3">
      <c r="B15" s="15" t="s">
        <v>76</v>
      </c>
      <c r="C15" s="16">
        <v>20</v>
      </c>
      <c r="D15" s="16">
        <v>21</v>
      </c>
      <c r="E15" s="16">
        <v>22</v>
      </c>
      <c r="F15" s="16">
        <v>23</v>
      </c>
      <c r="G15" s="16"/>
      <c r="H15" s="15">
        <v>20</v>
      </c>
      <c r="I15" s="16">
        <v>21</v>
      </c>
      <c r="J15" s="16">
        <v>22</v>
      </c>
      <c r="K15" s="17">
        <v>23</v>
      </c>
    </row>
    <row r="16" spans="1:11" ht="14.45" x14ac:dyDescent="0.3">
      <c r="B16" s="18" t="s">
        <v>11</v>
      </c>
      <c r="C16" s="8">
        <f>4+MOD(C$15-$C7,4)</f>
        <v>6</v>
      </c>
      <c r="D16" s="8">
        <f t="shared" ref="D16:E16" si="0">4+MOD(D$15-$C7,4)</f>
        <v>7</v>
      </c>
      <c r="E16" s="8">
        <f t="shared" si="0"/>
        <v>4</v>
      </c>
      <c r="F16" s="8">
        <f t="shared" ref="F16" si="1">4+MOD(F$15-$C7,4)</f>
        <v>5</v>
      </c>
      <c r="G16" s="8"/>
      <c r="H16" s="7">
        <f>4+MOD(C$15-$D7,4)</f>
        <v>5</v>
      </c>
      <c r="I16" s="8">
        <f t="shared" ref="I16:K16" si="2">4+MOD(D$15-$D7,4)</f>
        <v>6</v>
      </c>
      <c r="J16" s="8">
        <f t="shared" si="2"/>
        <v>7</v>
      </c>
      <c r="K16" s="8">
        <f t="shared" si="2"/>
        <v>4</v>
      </c>
    </row>
    <row r="17" spans="2:11" ht="14.45" x14ac:dyDescent="0.3">
      <c r="B17" s="18" t="s">
        <v>5</v>
      </c>
      <c r="C17" s="102">
        <f t="shared" ref="C17:E17" si="3">4+MOD(C$15-$C8,4)</f>
        <v>4</v>
      </c>
      <c r="D17" s="8">
        <f t="shared" si="3"/>
        <v>5</v>
      </c>
      <c r="E17" s="8">
        <f t="shared" si="3"/>
        <v>6</v>
      </c>
      <c r="F17" s="8">
        <f t="shared" ref="F17" si="4">4+MOD(F$15-$C8,4)</f>
        <v>7</v>
      </c>
      <c r="G17" s="8"/>
      <c r="H17" s="7">
        <f t="shared" ref="H17:H20" si="5">4+MOD(C$15-$D8,4)</f>
        <v>7</v>
      </c>
      <c r="I17" s="8">
        <f t="shared" ref="I17:I20" si="6">4+MOD(D$15-$D8,4)</f>
        <v>4</v>
      </c>
      <c r="J17" s="8">
        <f t="shared" ref="J17:K20" si="7">4+MOD(E$15-$D8,4)</f>
        <v>5</v>
      </c>
      <c r="K17" s="8">
        <f t="shared" si="7"/>
        <v>6</v>
      </c>
    </row>
    <row r="18" spans="2:11" ht="14.45" x14ac:dyDescent="0.3">
      <c r="B18" s="18" t="s">
        <v>6</v>
      </c>
      <c r="C18" s="8"/>
      <c r="D18" s="8"/>
      <c r="E18" s="8"/>
      <c r="F18" s="8"/>
      <c r="G18" s="8"/>
      <c r="H18" s="7"/>
      <c r="I18" s="8"/>
      <c r="J18" s="8"/>
      <c r="K18" s="8"/>
    </row>
    <row r="19" spans="2:11" ht="14.45" x14ac:dyDescent="0.3">
      <c r="B19" s="18" t="s">
        <v>227</v>
      </c>
      <c r="C19" s="8">
        <f t="shared" ref="C19:F19" si="8">4+MOD(C$15-$C10,4)</f>
        <v>5</v>
      </c>
      <c r="D19" s="8">
        <f t="shared" si="8"/>
        <v>6</v>
      </c>
      <c r="E19" s="8">
        <f t="shared" si="8"/>
        <v>7</v>
      </c>
      <c r="F19" s="8">
        <f t="shared" si="8"/>
        <v>4</v>
      </c>
      <c r="G19" s="8"/>
      <c r="H19" s="104">
        <f t="shared" si="5"/>
        <v>4</v>
      </c>
      <c r="I19" s="8">
        <f t="shared" si="6"/>
        <v>5</v>
      </c>
      <c r="J19" s="8">
        <f t="shared" si="7"/>
        <v>6</v>
      </c>
      <c r="K19" s="8">
        <f t="shared" si="7"/>
        <v>7</v>
      </c>
    </row>
    <row r="20" spans="2:11" ht="14.45" x14ac:dyDescent="0.3">
      <c r="B20" s="19" t="s">
        <v>177</v>
      </c>
      <c r="C20" s="103">
        <f t="shared" ref="C20:F20" si="9">4+MOD(C$15-$C11,4)</f>
        <v>4</v>
      </c>
      <c r="D20" s="11">
        <f t="shared" si="9"/>
        <v>5</v>
      </c>
      <c r="E20" s="11">
        <f t="shared" si="9"/>
        <v>6</v>
      </c>
      <c r="F20" s="11">
        <f t="shared" si="9"/>
        <v>7</v>
      </c>
      <c r="G20" s="11"/>
      <c r="H20" s="10">
        <f t="shared" si="5"/>
        <v>7</v>
      </c>
      <c r="I20" s="11">
        <f t="shared" si="6"/>
        <v>4</v>
      </c>
      <c r="J20" s="11">
        <f t="shared" si="7"/>
        <v>5</v>
      </c>
      <c r="K20" s="11">
        <f t="shared" si="7"/>
        <v>6</v>
      </c>
    </row>
    <row r="23" spans="2:11" ht="14.45" x14ac:dyDescent="0.3">
      <c r="B23" s="14" t="s">
        <v>296</v>
      </c>
      <c r="D23" t="s">
        <v>291</v>
      </c>
      <c r="I23" t="s">
        <v>292</v>
      </c>
    </row>
    <row r="24" spans="2:11" ht="14.45" x14ac:dyDescent="0.3">
      <c r="B24" s="15" t="s">
        <v>76</v>
      </c>
      <c r="C24" s="16">
        <v>20</v>
      </c>
      <c r="D24" s="16">
        <v>21</v>
      </c>
      <c r="E24" s="16">
        <v>22</v>
      </c>
      <c r="F24" s="16">
        <v>23</v>
      </c>
      <c r="G24" s="16"/>
      <c r="H24" s="15">
        <v>20</v>
      </c>
      <c r="I24" s="16">
        <v>21</v>
      </c>
      <c r="J24" s="16">
        <v>22</v>
      </c>
      <c r="K24" s="17">
        <v>23</v>
      </c>
    </row>
    <row r="25" spans="2:11" ht="14.45" x14ac:dyDescent="0.3">
      <c r="B25" s="18" t="s">
        <v>11</v>
      </c>
      <c r="C25" s="105" t="s">
        <v>286</v>
      </c>
      <c r="D25" s="105" t="s">
        <v>285</v>
      </c>
      <c r="E25" s="105">
        <f t="shared" ref="E25" si="10">4+MOD(E$15-$C16,4)</f>
        <v>4</v>
      </c>
      <c r="F25" s="105" t="s">
        <v>290</v>
      </c>
      <c r="G25" s="8"/>
      <c r="H25" s="109" t="s">
        <v>290</v>
      </c>
      <c r="I25" s="105" t="s">
        <v>286</v>
      </c>
      <c r="J25" s="105" t="s">
        <v>285</v>
      </c>
      <c r="K25" s="107" t="s">
        <v>288</v>
      </c>
    </row>
    <row r="26" spans="2:11" ht="14.45" x14ac:dyDescent="0.3">
      <c r="B26" s="18" t="s">
        <v>5</v>
      </c>
      <c r="C26" s="102">
        <f t="shared" ref="C26" si="11">4+MOD(C$15-$C17,4)</f>
        <v>4</v>
      </c>
      <c r="D26" s="105" t="s">
        <v>290</v>
      </c>
      <c r="E26" s="105" t="s">
        <v>286</v>
      </c>
      <c r="F26" s="105" t="s">
        <v>285</v>
      </c>
      <c r="G26" s="8"/>
      <c r="H26" s="109" t="s">
        <v>285</v>
      </c>
      <c r="I26" s="105">
        <f t="shared" ref="I26" si="12">4+MOD(D$15-$D17,4)</f>
        <v>4</v>
      </c>
      <c r="J26" s="105" t="s">
        <v>290</v>
      </c>
      <c r="K26" s="107" t="s">
        <v>286</v>
      </c>
    </row>
    <row r="27" spans="2:11" x14ac:dyDescent="0.25">
      <c r="B27" s="18" t="s">
        <v>6</v>
      </c>
      <c r="C27" s="8"/>
      <c r="D27" s="8"/>
      <c r="E27" s="105"/>
      <c r="F27" s="105"/>
      <c r="G27" s="8"/>
      <c r="H27" s="109"/>
      <c r="I27" s="105"/>
      <c r="J27" s="105"/>
      <c r="K27" s="107"/>
    </row>
    <row r="28" spans="2:11" x14ac:dyDescent="0.25">
      <c r="B28" s="18" t="s">
        <v>227</v>
      </c>
      <c r="C28" s="105" t="s">
        <v>290</v>
      </c>
      <c r="D28" s="105" t="s">
        <v>286</v>
      </c>
      <c r="E28" s="105" t="s">
        <v>285</v>
      </c>
      <c r="F28" s="105" t="s">
        <v>288</v>
      </c>
      <c r="G28" s="8"/>
      <c r="H28" s="110">
        <v>4</v>
      </c>
      <c r="I28" s="105" t="s">
        <v>290</v>
      </c>
      <c r="J28" s="105" t="s">
        <v>286</v>
      </c>
      <c r="K28" s="107" t="s">
        <v>285</v>
      </c>
    </row>
    <row r="29" spans="2:11" x14ac:dyDescent="0.25">
      <c r="B29" s="19" t="s">
        <v>177</v>
      </c>
      <c r="C29" s="103">
        <f t="shared" ref="C29" si="13">4+MOD(C$15-$C20,4)</f>
        <v>4</v>
      </c>
      <c r="D29" s="106" t="s">
        <v>290</v>
      </c>
      <c r="E29" s="106" t="s">
        <v>286</v>
      </c>
      <c r="F29" s="106" t="s">
        <v>285</v>
      </c>
      <c r="G29" s="11"/>
      <c r="H29" s="111" t="s">
        <v>285</v>
      </c>
      <c r="I29" s="106">
        <f t="shared" ref="I29" si="14">4+MOD(D$15-$D20,4)</f>
        <v>4</v>
      </c>
      <c r="J29" s="106" t="s">
        <v>290</v>
      </c>
      <c r="K29" s="108" t="s">
        <v>286</v>
      </c>
    </row>
    <row r="32" spans="2:11" x14ac:dyDescent="0.25">
      <c r="B32" s="14" t="s">
        <v>297</v>
      </c>
      <c r="D32" t="s">
        <v>291</v>
      </c>
      <c r="I32" t="s">
        <v>292</v>
      </c>
    </row>
    <row r="33" spans="2:11" x14ac:dyDescent="0.25">
      <c r="B33" s="15" t="s">
        <v>76</v>
      </c>
      <c r="C33" s="16">
        <v>20</v>
      </c>
      <c r="D33" s="16">
        <v>21</v>
      </c>
      <c r="E33" s="16">
        <v>22</v>
      </c>
      <c r="F33" s="16">
        <v>23</v>
      </c>
      <c r="G33" s="16"/>
      <c r="H33" s="15">
        <v>20</v>
      </c>
      <c r="I33" s="16">
        <v>21</v>
      </c>
      <c r="J33" s="16">
        <v>22</v>
      </c>
      <c r="K33" s="17">
        <v>23</v>
      </c>
    </row>
    <row r="34" spans="2:11" x14ac:dyDescent="0.25">
      <c r="B34" s="18" t="s">
        <v>11</v>
      </c>
      <c r="C34" s="8">
        <f>InputData!N57-InputData!L57</f>
        <v>-114000</v>
      </c>
      <c r="D34" s="8">
        <f>InputData!L57-InputData!M57</f>
        <v>71000</v>
      </c>
      <c r="E34" s="8"/>
      <c r="F34" s="8"/>
      <c r="G34" s="8"/>
      <c r="H34" s="8"/>
      <c r="I34" s="8"/>
      <c r="J34" s="8"/>
      <c r="K34" s="9"/>
    </row>
    <row r="35" spans="2:11" x14ac:dyDescent="0.25">
      <c r="B35" s="18" t="s">
        <v>5</v>
      </c>
      <c r="C35" s="8">
        <f>InputData!L58-InputData!L58</f>
        <v>0</v>
      </c>
      <c r="D35" s="8"/>
      <c r="E35" s="8"/>
      <c r="F35" s="8"/>
      <c r="G35" s="8"/>
      <c r="H35" s="8"/>
      <c r="I35" s="8"/>
      <c r="J35" s="8"/>
      <c r="K35" s="9"/>
    </row>
    <row r="36" spans="2:11" x14ac:dyDescent="0.25">
      <c r="B36" s="18" t="s">
        <v>6</v>
      </c>
      <c r="C36" s="8"/>
      <c r="D36" s="8"/>
      <c r="E36" s="8"/>
      <c r="F36" s="8"/>
      <c r="G36" s="8"/>
      <c r="H36" s="8"/>
      <c r="I36" s="8"/>
      <c r="J36" s="8"/>
      <c r="K36" s="9"/>
    </row>
    <row r="37" spans="2:11" x14ac:dyDescent="0.25">
      <c r="B37" s="18" t="s">
        <v>227</v>
      </c>
      <c r="C37" s="8">
        <f>InputData!P60-InputData!L60</f>
        <v>-117000</v>
      </c>
      <c r="D37" s="8"/>
      <c r="E37" s="8"/>
      <c r="F37" s="8"/>
      <c r="G37" s="8"/>
      <c r="H37" s="8"/>
      <c r="I37" s="8"/>
      <c r="J37" s="8"/>
      <c r="K37" s="9"/>
    </row>
    <row r="38" spans="2:11" x14ac:dyDescent="0.25">
      <c r="B38" s="19" t="s">
        <v>177</v>
      </c>
      <c r="C38" s="11">
        <f>InputData!L61-InputData!L61</f>
        <v>0</v>
      </c>
      <c r="D38" s="11"/>
      <c r="E38" s="11"/>
      <c r="F38" s="11"/>
      <c r="G38" s="11"/>
      <c r="H38" s="11"/>
      <c r="I38" s="11"/>
      <c r="J38" s="11"/>
      <c r="K38" s="12"/>
    </row>
    <row r="40" spans="2:11" x14ac:dyDescent="0.25">
      <c r="B40" s="14" t="s">
        <v>304</v>
      </c>
      <c r="D40" t="s">
        <v>291</v>
      </c>
      <c r="I40" t="s">
        <v>292</v>
      </c>
    </row>
    <row r="41" spans="2:11" x14ac:dyDescent="0.25">
      <c r="B41" s="15" t="s">
        <v>76</v>
      </c>
      <c r="C41" s="16">
        <v>20</v>
      </c>
      <c r="D41" s="16">
        <v>21</v>
      </c>
      <c r="E41" s="16">
        <v>22</v>
      </c>
      <c r="F41" s="16">
        <v>23</v>
      </c>
      <c r="G41" s="16"/>
      <c r="H41" s="15">
        <v>20</v>
      </c>
      <c r="I41" s="16">
        <v>21</v>
      </c>
      <c r="J41" s="16">
        <v>22</v>
      </c>
      <c r="K41" s="17">
        <v>23</v>
      </c>
    </row>
    <row r="42" spans="2:11" x14ac:dyDescent="0.25">
      <c r="B42" s="18" t="s">
        <v>11</v>
      </c>
      <c r="C42" s="100">
        <f>InputData!$C$13*(IntMed!$EO31+IntMed!$EP31)-(IntMed!$J31+IntMed!$K31)</f>
        <v>11977.066473765793</v>
      </c>
      <c r="D42" s="105"/>
      <c r="E42" s="105"/>
      <c r="F42" s="105"/>
      <c r="G42" s="8"/>
      <c r="H42" s="112">
        <f>InputData!$C$13*(IntMed!$EO31+IntMed!$EP31)-(IntMed!$AF31+IntMed!$AG31)</f>
        <v>15974.032898883364</v>
      </c>
      <c r="I42" s="105"/>
      <c r="J42" s="105"/>
      <c r="K42" s="9"/>
    </row>
    <row r="43" spans="2:11" x14ac:dyDescent="0.25">
      <c r="B43" s="18" t="s">
        <v>5</v>
      </c>
      <c r="C43" s="100">
        <f>InputData!$C$13*(GenSurg!$EO31+GenSurg!$EP31)-(GenSurg!$J31+GenSurg!$K31)</f>
        <v>92528.507640692667</v>
      </c>
      <c r="D43" s="105"/>
      <c r="E43" s="105"/>
      <c r="F43" s="105"/>
      <c r="G43" s="8"/>
      <c r="H43" s="112">
        <f>InputData!$C$13*(GenSurg!$EO31+GenSurg!$EP31)-(GenSurg!$AF31+GenSurg!$AG31)</f>
        <v>96525.474065810209</v>
      </c>
      <c r="I43" s="105"/>
      <c r="J43" s="105"/>
      <c r="K43" s="9"/>
    </row>
    <row r="44" spans="2:11" x14ac:dyDescent="0.25">
      <c r="B44" s="18" t="s">
        <v>6</v>
      </c>
      <c r="C44" s="100"/>
      <c r="D44" s="8"/>
      <c r="E44" s="105"/>
      <c r="F44" s="105"/>
      <c r="G44" s="8"/>
      <c r="H44" s="112"/>
      <c r="I44" s="105"/>
      <c r="J44" s="105"/>
      <c r="K44" s="9"/>
    </row>
    <row r="45" spans="2:11" x14ac:dyDescent="0.25">
      <c r="B45" s="18" t="s">
        <v>227</v>
      </c>
      <c r="C45" s="100">
        <f>InputData!$C$13*(Ophtha!$EO31+Ophtha!$EP31)-(Ophtha!$J31+Ophtha!$K31)</f>
        <v>35769.638264880603</v>
      </c>
      <c r="D45" s="105"/>
      <c r="E45" s="105"/>
      <c r="F45" s="105"/>
      <c r="G45" s="8"/>
      <c r="H45" s="112">
        <f>InputData!$C$13*(IntMed!$EO31+IntMed!$EP31)-(IntMed!$AF31+IntMed!$AG31)</f>
        <v>15974.032898883364</v>
      </c>
      <c r="I45" s="105"/>
      <c r="J45" s="105"/>
      <c r="K45" s="9"/>
    </row>
    <row r="46" spans="2:11" x14ac:dyDescent="0.25">
      <c r="B46" s="19" t="s">
        <v>177</v>
      </c>
      <c r="C46" s="92">
        <f>InputData!$C$13*(Ortho!$EO31+Ortho!$EP31)-(Ortho!$J31+Ortho!$K31)</f>
        <v>208815.07453468104</v>
      </c>
      <c r="D46" s="106"/>
      <c r="E46" s="108"/>
      <c r="F46" s="106"/>
      <c r="G46" s="11"/>
      <c r="H46" s="113">
        <f>InputData!$C$13*(Ortho!$EO31+Ortho!$EP31)-(Ortho!$AF31+Ortho!$AG31)</f>
        <v>212812.04095979859</v>
      </c>
      <c r="I46" s="106"/>
      <c r="J46" s="106"/>
      <c r="K46" s="12"/>
    </row>
    <row r="49" spans="2:11" x14ac:dyDescent="0.25">
      <c r="B49" s="14" t="s">
        <v>303</v>
      </c>
      <c r="D49" t="s">
        <v>291</v>
      </c>
      <c r="I49" t="s">
        <v>292</v>
      </c>
    </row>
    <row r="50" spans="2:11" x14ac:dyDescent="0.25">
      <c r="B50" s="15" t="s">
        <v>76</v>
      </c>
      <c r="C50" s="16">
        <v>20</v>
      </c>
      <c r="D50" s="16">
        <v>21</v>
      </c>
      <c r="E50" s="16">
        <v>22</v>
      </c>
      <c r="F50" s="16">
        <v>23</v>
      </c>
      <c r="G50" s="16"/>
      <c r="H50" s="15">
        <v>20</v>
      </c>
      <c r="I50" s="16">
        <v>21</v>
      </c>
      <c r="J50" s="16">
        <v>22</v>
      </c>
      <c r="K50" s="17">
        <v>23</v>
      </c>
    </row>
    <row r="51" spans="2:11" x14ac:dyDescent="0.25">
      <c r="B51" s="18" t="s">
        <v>11</v>
      </c>
      <c r="C51" s="100">
        <f>(0.025*20*(IntMed!$F$28+IntMed!$F$29+IntMed!$F$30)/3)*(1-((1+InputData!$C$5)/((1+InputData!$C$3)*(1+InputData!$C$7)))^28)/(1-((1+InputData!$C$5)/((1+InputData!$C$3)*(1+InputData!$C$7))))</f>
        <v>901811.75121889671</v>
      </c>
      <c r="D51" s="100">
        <f>(0.025*21*(IntMed!$F$29+IntMed!$F$30+IntMed!$F$31)/3)*(1-((1+InputData!$C$5)/((1+InputData!$C$3)*(1+InputData!$C$7)))^27)/(1-(1+InputData!$C$5)/((1+InputData!$C$3)*(1+InputData!$C$7)))</f>
        <v>1004150.6333318626</v>
      </c>
      <c r="E51" s="100">
        <f>(0.025*22*(IntMed!$F$30+IntMed!$F$31+IntMed!$F$32)/3)*(1-((1+InputData!$C$5)/((1+InputData!$C$3)*(1+InputData!$C$7)))^26)/(1-(1+InputData!$C$5)/((1+InputData!$C$3)*(1+InputData!$C$7)))</f>
        <v>1064179.6744694486</v>
      </c>
      <c r="F51" s="100">
        <f>(0.025*23*(IntMed!$F$31+IntMed!$F$32+IntMed!$F$33)/3)*(1-((1+InputData!$C$5)/((1+InputData!$C$3)*(1+InputData!$C$7)))^25)/(1-(1+InputData!$C$5)/((1+InputData!$C$3)*(1+InputData!$C$7)))</f>
        <v>1141121.1656003261</v>
      </c>
      <c r="G51" s="8"/>
      <c r="H51" s="112"/>
      <c r="I51" s="100"/>
      <c r="J51" s="100"/>
      <c r="K51" s="9"/>
    </row>
    <row r="52" spans="2:11" x14ac:dyDescent="0.25">
      <c r="B52" s="18" t="s">
        <v>5</v>
      </c>
      <c r="C52" s="100"/>
      <c r="D52" s="105"/>
      <c r="E52" s="105"/>
      <c r="F52" s="105"/>
      <c r="G52" s="8"/>
      <c r="H52" s="112"/>
      <c r="I52" s="105"/>
      <c r="J52" s="105"/>
      <c r="K52" s="9"/>
    </row>
    <row r="53" spans="2:11" x14ac:dyDescent="0.25">
      <c r="B53" s="18" t="s">
        <v>6</v>
      </c>
      <c r="C53" s="100"/>
      <c r="D53" s="8"/>
      <c r="E53" s="105"/>
      <c r="F53" s="105"/>
      <c r="G53" s="8"/>
      <c r="H53" s="112"/>
      <c r="I53" s="105"/>
      <c r="J53" s="105"/>
      <c r="K53" s="9"/>
    </row>
    <row r="54" spans="2:11" x14ac:dyDescent="0.25">
      <c r="B54" s="18" t="s">
        <v>227</v>
      </c>
      <c r="C54" s="100"/>
      <c r="D54" s="105"/>
      <c r="E54" s="105"/>
      <c r="F54" s="105"/>
      <c r="G54" s="8"/>
      <c r="H54" s="112"/>
      <c r="I54" s="105"/>
      <c r="J54" s="105"/>
      <c r="K54" s="9"/>
    </row>
    <row r="55" spans="2:11" x14ac:dyDescent="0.25">
      <c r="B55" s="19" t="s">
        <v>177</v>
      </c>
      <c r="C55" s="92"/>
      <c r="D55" s="106"/>
      <c r="E55" s="106"/>
      <c r="F55" s="106"/>
      <c r="G55" s="11"/>
      <c r="H55" s="113"/>
      <c r="I55" s="106"/>
      <c r="J55" s="106"/>
      <c r="K55" s="12"/>
    </row>
    <row r="56" spans="2:11" x14ac:dyDescent="0.25">
      <c r="B56" s="14" t="s">
        <v>298</v>
      </c>
    </row>
    <row r="59" spans="2:11" x14ac:dyDescent="0.25">
      <c r="B59" s="14" t="s">
        <v>301</v>
      </c>
      <c r="D59" t="s">
        <v>291</v>
      </c>
      <c r="I59" t="s">
        <v>292</v>
      </c>
    </row>
    <row r="60" spans="2:11" x14ac:dyDescent="0.25">
      <c r="B60" s="15" t="s">
        <v>76</v>
      </c>
      <c r="C60" s="16">
        <v>20</v>
      </c>
      <c r="D60" s="16">
        <v>21</v>
      </c>
      <c r="E60" s="16">
        <v>22</v>
      </c>
      <c r="F60" s="16">
        <v>23</v>
      </c>
      <c r="G60" s="16"/>
      <c r="H60" s="15">
        <v>20</v>
      </c>
      <c r="I60" s="16">
        <v>21</v>
      </c>
      <c r="J60" s="16">
        <v>22</v>
      </c>
      <c r="K60" s="17">
        <v>23</v>
      </c>
    </row>
    <row r="61" spans="2:11" x14ac:dyDescent="0.25">
      <c r="B61" s="18" t="s">
        <v>11</v>
      </c>
      <c r="C61" s="100">
        <f>C51</f>
        <v>901811.75121889671</v>
      </c>
      <c r="D61" s="100">
        <f>D51/((1+InputData!$C$3)*(1+InputData!$C$7))</f>
        <v>955787.77206535568</v>
      </c>
      <c r="E61" s="100">
        <f>E51/((1+InputData!$C$3)*(1+InputData!$C$7))^2</f>
        <v>964140.14584601379</v>
      </c>
      <c r="F61" s="100">
        <f>F51/((1+InputData!$C$3)*(1+InputData!$C$7))^3</f>
        <v>984055.45096766541</v>
      </c>
      <c r="G61" s="8"/>
      <c r="H61" s="112"/>
      <c r="I61" s="100"/>
      <c r="J61" s="100"/>
      <c r="K61" s="9"/>
    </row>
    <row r="62" spans="2:11" x14ac:dyDescent="0.25">
      <c r="B62" s="18" t="s">
        <v>5</v>
      </c>
      <c r="C62" s="100"/>
      <c r="D62" s="105"/>
      <c r="E62" s="105"/>
      <c r="F62" s="105"/>
      <c r="G62" s="8"/>
      <c r="H62" s="112"/>
      <c r="I62" s="105"/>
      <c r="J62" s="105"/>
      <c r="K62" s="9"/>
    </row>
    <row r="63" spans="2:11" x14ac:dyDescent="0.25">
      <c r="B63" s="18" t="s">
        <v>6</v>
      </c>
      <c r="C63" s="100"/>
      <c r="D63" s="8"/>
      <c r="E63" s="105"/>
      <c r="F63" s="105"/>
      <c r="G63" s="8"/>
      <c r="H63" s="112"/>
      <c r="I63" s="105"/>
      <c r="J63" s="105"/>
      <c r="K63" s="9"/>
    </row>
    <row r="64" spans="2:11" x14ac:dyDescent="0.25">
      <c r="B64" s="18" t="s">
        <v>227</v>
      </c>
      <c r="C64" s="100"/>
      <c r="D64" s="105"/>
      <c r="E64" s="105"/>
      <c r="F64" s="105"/>
      <c r="G64" s="8"/>
      <c r="H64" s="112"/>
      <c r="I64" s="105"/>
      <c r="J64" s="105"/>
      <c r="K64" s="9"/>
    </row>
    <row r="65" spans="2:11" x14ac:dyDescent="0.25">
      <c r="B65" s="19" t="s">
        <v>177</v>
      </c>
      <c r="C65" s="92"/>
      <c r="D65" s="106"/>
      <c r="E65" s="106"/>
      <c r="F65" s="106"/>
      <c r="G65" s="11"/>
      <c r="H65" s="113"/>
      <c r="I65" s="106"/>
      <c r="J65" s="106"/>
      <c r="K65" s="12"/>
    </row>
    <row r="66" spans="2:11" x14ac:dyDescent="0.25">
      <c r="B66" s="14" t="s">
        <v>298</v>
      </c>
    </row>
    <row r="69" spans="2:11" x14ac:dyDescent="0.25">
      <c r="B69" s="14" t="s">
        <v>307</v>
      </c>
      <c r="D69" t="s">
        <v>291</v>
      </c>
      <c r="I69" t="s">
        <v>292</v>
      </c>
    </row>
    <row r="70" spans="2:11" x14ac:dyDescent="0.25">
      <c r="B70" s="15" t="s">
        <v>76</v>
      </c>
      <c r="C70" s="16">
        <v>20</v>
      </c>
      <c r="D70" s="16">
        <v>21</v>
      </c>
      <c r="E70" s="16">
        <v>22</v>
      </c>
      <c r="F70" s="16">
        <v>23</v>
      </c>
      <c r="G70" s="16"/>
      <c r="H70" s="15">
        <v>20</v>
      </c>
      <c r="I70" s="16">
        <v>21</v>
      </c>
      <c r="J70" s="16">
        <v>22</v>
      </c>
      <c r="K70" s="17">
        <v>23</v>
      </c>
    </row>
    <row r="71" spans="2:11" x14ac:dyDescent="0.25">
      <c r="B71" s="18" t="s">
        <v>11</v>
      </c>
      <c r="C71" s="115">
        <f>C61/((1+InputData!$C$3)*(1+InputData!$C$7))^24</f>
        <v>275815.31352667266</v>
      </c>
      <c r="D71" s="115">
        <f>D61/((1+InputData!$C$3)*(1+InputData!$C$7))^24</f>
        <v>292323.6514281985</v>
      </c>
      <c r="E71" s="115">
        <f>E61/((1+InputData!$C$3)*(1+InputData!$C$7))^24</f>
        <v>294878.18965626048</v>
      </c>
      <c r="F71" s="115">
        <f>F61/((1+InputData!$C$3)*(1+InputData!$C$7))^24</f>
        <v>300969.20157608012</v>
      </c>
      <c r="G71" s="14"/>
      <c r="H71" s="112"/>
      <c r="I71" s="100"/>
      <c r="J71" s="100"/>
      <c r="K71" s="9"/>
    </row>
    <row r="72" spans="2:11" x14ac:dyDescent="0.25">
      <c r="B72" s="18" t="s">
        <v>5</v>
      </c>
      <c r="C72" s="100"/>
      <c r="D72" s="105"/>
      <c r="E72" s="105"/>
      <c r="F72" s="105"/>
      <c r="G72" s="8"/>
      <c r="H72" s="112"/>
      <c r="I72" s="105"/>
      <c r="J72" s="105"/>
      <c r="K72" s="9"/>
    </row>
    <row r="73" spans="2:11" x14ac:dyDescent="0.25">
      <c r="B73" s="18" t="s">
        <v>6</v>
      </c>
      <c r="C73" s="100"/>
      <c r="D73" s="8"/>
      <c r="E73" s="105"/>
      <c r="F73" s="105"/>
      <c r="G73" s="8"/>
      <c r="H73" s="112"/>
      <c r="I73" s="105"/>
      <c r="J73" s="105"/>
      <c r="K73" s="9"/>
    </row>
    <row r="74" spans="2:11" x14ac:dyDescent="0.25">
      <c r="B74" s="18" t="s">
        <v>227</v>
      </c>
      <c r="C74" s="100"/>
      <c r="D74" s="105"/>
      <c r="E74" s="105"/>
      <c r="F74" s="105"/>
      <c r="G74" s="8"/>
      <c r="H74" s="112"/>
      <c r="I74" s="105"/>
      <c r="J74" s="105"/>
      <c r="K74" s="9"/>
    </row>
    <row r="75" spans="2:11" x14ac:dyDescent="0.25">
      <c r="B75" s="19" t="s">
        <v>177</v>
      </c>
      <c r="C75" s="92"/>
      <c r="D75" s="106"/>
      <c r="E75" s="106"/>
      <c r="F75" s="106"/>
      <c r="G75" s="11"/>
      <c r="H75" s="113"/>
      <c r="I75" s="106"/>
      <c r="J75" s="106"/>
      <c r="K75" s="12"/>
    </row>
    <row r="76" spans="2:11" x14ac:dyDescent="0.25">
      <c r="B76" s="14" t="s">
        <v>298</v>
      </c>
    </row>
    <row r="77" spans="2:11" x14ac:dyDescent="0.25">
      <c r="B77" s="14"/>
    </row>
    <row r="79" spans="2:11" x14ac:dyDescent="0.25">
      <c r="B79" t="s">
        <v>302</v>
      </c>
    </row>
    <row r="80" spans="2:11" x14ac:dyDescent="0.25">
      <c r="B80" s="15" t="s">
        <v>76</v>
      </c>
      <c r="C80" s="16">
        <v>20</v>
      </c>
      <c r="D80" s="16">
        <v>21</v>
      </c>
      <c r="E80" s="16">
        <v>22</v>
      </c>
      <c r="F80" s="16">
        <v>23</v>
      </c>
      <c r="G80" s="16"/>
      <c r="H80" s="15">
        <v>20</v>
      </c>
      <c r="I80" s="16">
        <v>21</v>
      </c>
      <c r="J80" s="16">
        <v>22</v>
      </c>
      <c r="K80" s="17">
        <v>23</v>
      </c>
    </row>
    <row r="81" spans="2:11" x14ac:dyDescent="0.25">
      <c r="B81" s="18" t="s">
        <v>11</v>
      </c>
      <c r="C81" s="100">
        <f>InputData!H57+InputData!H57/((1+InputData!$C$3)*(1+InputData!$C$7))</f>
        <v>25373.881591471538</v>
      </c>
      <c r="D81" s="100">
        <f>InputData!I57+InputData!I57/((1+InputData!$C$3)*(1+InputData!$C$7))+InputData!I57/((1+InputData!$C$3)*(1+InputData!$C$7))^2</f>
        <v>65730.108553635684</v>
      </c>
      <c r="E81" s="100">
        <f>InputData!J57+InputData!J57/((1+InputData!$C$3)*(1+InputData!$C$7))+InputData!J57/((1+InputData!$C$3)*(1+InputData!$C$7))^2+InputData!J57/((1+InputData!$C$3)*(1+InputData!$C$7))^3</f>
        <v>130206.62310469584</v>
      </c>
      <c r="F81" s="100"/>
      <c r="G81" s="8"/>
      <c r="H81" s="112"/>
      <c r="I81" s="100"/>
      <c r="J81" s="100"/>
      <c r="K81" s="9"/>
    </row>
    <row r="82" spans="2:11" x14ac:dyDescent="0.25">
      <c r="B82" s="18" t="s">
        <v>5</v>
      </c>
      <c r="C82" s="100"/>
      <c r="D82" s="105"/>
      <c r="E82" s="105"/>
      <c r="F82" s="105"/>
      <c r="G82" s="8"/>
      <c r="H82" s="112"/>
      <c r="I82" s="105"/>
      <c r="J82" s="105"/>
      <c r="K82" s="9"/>
    </row>
    <row r="83" spans="2:11" x14ac:dyDescent="0.25">
      <c r="B83" s="18" t="s">
        <v>6</v>
      </c>
      <c r="C83" s="100"/>
      <c r="D83" s="8"/>
      <c r="E83" s="105"/>
      <c r="F83" s="105"/>
      <c r="G83" s="8"/>
      <c r="H83" s="112"/>
      <c r="I83" s="105"/>
      <c r="J83" s="105"/>
      <c r="K83" s="9"/>
    </row>
    <row r="84" spans="2:11" x14ac:dyDescent="0.25">
      <c r="B84" s="18" t="s">
        <v>227</v>
      </c>
      <c r="C84" s="100">
        <v>0</v>
      </c>
      <c r="D84" s="100">
        <f>InputData!H60+InputData!H60/((1+InputData!$C$3)*(1+InputData!$C$7))</f>
        <v>25373.881591471538</v>
      </c>
      <c r="E84" s="100">
        <f>InputData!I60+InputData!I60/((1+InputData!$C$3)*(1+InputData!$C$7))+InputData!I60/((1+InputData!$C$3)*(1+InputData!$C$7))^2</f>
        <v>54298.785326916433</v>
      </c>
      <c r="F84" s="100">
        <f>InputData!J60+InputData!J60/((1+InputData!$C$3)*(1+InputData!$C$7))+InputData!J60/((1+InputData!$C$3)*(1+InputData!$C$7))^2+InputData!J60/((1+InputData!$C$3)*(1+InputData!$C$7))^3</f>
        <v>93004.730789068446</v>
      </c>
      <c r="G84" s="8"/>
      <c r="H84" s="112"/>
      <c r="I84" s="105"/>
      <c r="J84" s="105"/>
      <c r="K84" s="9"/>
    </row>
    <row r="85" spans="2:11" x14ac:dyDescent="0.25">
      <c r="B85" s="19" t="s">
        <v>177</v>
      </c>
      <c r="C85" s="92"/>
      <c r="D85" s="106"/>
      <c r="E85" s="106"/>
      <c r="F85" s="106"/>
      <c r="G85" s="11"/>
      <c r="H85" s="113"/>
      <c r="I85" s="106"/>
      <c r="J85" s="106"/>
      <c r="K85" s="1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36"/>
  <sheetViews>
    <sheetView workbookViewId="0">
      <selection activeCell="H18" sqref="H18"/>
    </sheetView>
  </sheetViews>
  <sheetFormatPr defaultRowHeight="15" x14ac:dyDescent="0.25"/>
  <cols>
    <col min="1" max="1" width="5.28515625" customWidth="1"/>
    <col min="2" max="2" width="4.5703125" customWidth="1"/>
    <col min="3" max="3" width="13.140625" customWidth="1"/>
    <col min="4" max="4" width="13" customWidth="1"/>
    <col min="5" max="6" width="10.85546875" customWidth="1"/>
    <col min="7" max="7" width="11" customWidth="1"/>
    <col min="8" max="11" width="11.28515625" customWidth="1"/>
    <col min="12" max="12" width="10.85546875" customWidth="1"/>
    <col min="13" max="13" width="10.42578125" customWidth="1"/>
    <col min="14" max="14" width="10.85546875" customWidth="1"/>
    <col min="15" max="15" width="10.7109375" customWidth="1"/>
    <col min="16" max="16" width="9.85546875" customWidth="1"/>
  </cols>
  <sheetData>
    <row r="1" spans="1:20" ht="15.6" x14ac:dyDescent="0.3">
      <c r="B1" s="55" t="s">
        <v>463</v>
      </c>
      <c r="D1" s="55" t="s">
        <v>466</v>
      </c>
      <c r="G1" s="55" t="str">
        <f>InputData!$G$1</f>
        <v>San Antonio, TX</v>
      </c>
      <c r="S1" t="s">
        <v>462</v>
      </c>
      <c r="T1" t="str">
        <f>"Net Present Value of Cash Flows " &amp; D1 &amp; ", " &amp; G1</f>
        <v>Net Present Value of Cash Flows ORTHOPEDICS, San Antonio, TX</v>
      </c>
    </row>
    <row r="3" spans="1:20" ht="14.45" x14ac:dyDescent="0.3">
      <c r="A3" t="s">
        <v>252</v>
      </c>
      <c r="C3" t="e">
        <f t="shared" ref="C3:O3" si="0">_xlfn.RANK.EQ(C$36,$C$36:$O$36,0)</f>
        <v>#VALUE!</v>
      </c>
      <c r="D3" t="e">
        <f t="shared" si="0"/>
        <v>#VALUE!</v>
      </c>
      <c r="E3" t="e">
        <f t="shared" si="0"/>
        <v>#VALUE!</v>
      </c>
      <c r="F3" t="e">
        <f t="shared" si="0"/>
        <v>#VALUE!</v>
      </c>
      <c r="G3" t="e">
        <f t="shared" si="0"/>
        <v>#VALUE!</v>
      </c>
      <c r="H3" t="e">
        <f t="shared" si="0"/>
        <v>#VALUE!</v>
      </c>
      <c r="I3" t="e">
        <f t="shared" si="0"/>
        <v>#VALUE!</v>
      </c>
      <c r="J3" t="e">
        <f t="shared" si="0"/>
        <v>#VALUE!</v>
      </c>
      <c r="K3" t="e">
        <f t="shared" si="0"/>
        <v>#VALUE!</v>
      </c>
      <c r="L3" t="e">
        <f t="shared" si="0"/>
        <v>#VALUE!</v>
      </c>
      <c r="M3" t="e">
        <f t="shared" si="0"/>
        <v>#VALUE!</v>
      </c>
      <c r="N3" t="e">
        <f t="shared" si="0"/>
        <v>#VALUE!</v>
      </c>
      <c r="O3" t="e">
        <f t="shared" si="0"/>
        <v>#VALUE!</v>
      </c>
    </row>
    <row r="4" spans="1:20" ht="14.45" x14ac:dyDescent="0.3">
      <c r="A4" t="s">
        <v>253</v>
      </c>
      <c r="C4" s="26" t="e">
        <f t="shared" ref="C4:O4" si="1">C$36/HLOOKUP(1,$C$3:$O$36,34,FALSE)</f>
        <v>#N/A</v>
      </c>
      <c r="D4" s="26" t="e">
        <f t="shared" si="1"/>
        <v>#N/A</v>
      </c>
      <c r="E4" s="26" t="e">
        <f t="shared" si="1"/>
        <v>#N/A</v>
      </c>
      <c r="F4" s="29" t="e">
        <f t="shared" si="1"/>
        <v>#N/A</v>
      </c>
      <c r="G4" s="26" t="e">
        <f t="shared" si="1"/>
        <v>#VALUE!</v>
      </c>
      <c r="H4" s="26" t="e">
        <f t="shared" si="1"/>
        <v>#VALUE!</v>
      </c>
      <c r="I4" s="26" t="e">
        <f t="shared" si="1"/>
        <v>#N/A</v>
      </c>
      <c r="J4" s="26" t="e">
        <f t="shared" si="1"/>
        <v>#N/A</v>
      </c>
      <c r="K4" s="26" t="e">
        <f t="shared" si="1"/>
        <v>#N/A</v>
      </c>
      <c r="L4" s="26" t="e">
        <f t="shared" si="1"/>
        <v>#N/A</v>
      </c>
      <c r="M4" s="26" t="e">
        <f t="shared" si="1"/>
        <v>#N/A</v>
      </c>
      <c r="N4" s="26" t="e">
        <f t="shared" si="1"/>
        <v>#N/A</v>
      </c>
      <c r="O4" s="26" t="e">
        <f t="shared" si="1"/>
        <v>#N/A</v>
      </c>
    </row>
    <row r="5" spans="1:20" ht="60.6" x14ac:dyDescent="0.3">
      <c r="A5" s="57" t="str">
        <f>Ortho!A5</f>
        <v>Year (calendar)</v>
      </c>
      <c r="B5" s="57" t="str">
        <f>Ortho!B5</f>
        <v>Year</v>
      </c>
      <c r="C5" s="58" t="str">
        <f>Ortho!X5</f>
        <v>NPV of USU Cash Flow (cumulative)</v>
      </c>
      <c r="D5" s="58" t="str">
        <f>Ortho!AT5</f>
        <v>NPV of HPSP Cash Flow (cumulative)</v>
      </c>
      <c r="E5" s="58" t="str">
        <f>Ortho!BV5</f>
        <v>NPV of STD cash flow (cumulative)</v>
      </c>
      <c r="F5" s="28" t="str">
        <f>Ortho!CF5</f>
        <v>NPV of EXT cash flow (cumulative)</v>
      </c>
      <c r="G5" s="58" t="str">
        <f>Ortho!CP5</f>
        <v>NPV of IBR cash flow (cumulative)</v>
      </c>
      <c r="H5" s="58" t="str">
        <f>Ortho!CZ5</f>
        <v>NPV of PAYE cash flow (cumulative)</v>
      </c>
      <c r="I5" s="58" t="str">
        <f>Ortho!DJ5</f>
        <v>NPV of STD10R cash flow w/out forbearance (cumulative)</v>
      </c>
      <c r="J5" s="58" t="str">
        <f>Ortho!DU5</f>
        <v>NPV of IBRR cash flow w/out forbearance (cumulative)</v>
      </c>
      <c r="K5" s="58" t="str">
        <f>Ortho!EF5</f>
        <v>NPV of PAYER cash flow  w/out forbearance (cumulative)</v>
      </c>
      <c r="L5" s="58" t="str">
        <f>Ortho!GV5</f>
        <v>NPV of Ret20USU Cash Flow (cumulative)</v>
      </c>
      <c r="M5" s="58" t="str">
        <f>Ortho!HQ5</f>
        <v>NPV of Ret20HPSP Cash Flow (cumulative)</v>
      </c>
      <c r="N5" s="58" t="str">
        <f>Ortho!IL5</f>
        <v>NPV of USUPriv Cash Flow (cumulative)</v>
      </c>
      <c r="O5" s="58" t="str">
        <f>Ortho!JG5</f>
        <v>NPV of HPSPPriv Cash Flow (cumulative)</v>
      </c>
      <c r="P5" s="58" t="str">
        <f>Ortho!KI5</f>
        <v>NPV of Zero Borrowing (cumulative)</v>
      </c>
    </row>
    <row r="6" spans="1:20" ht="14.45" x14ac:dyDescent="0.3">
      <c r="A6" s="46" t="str">
        <f>A5</f>
        <v>Year (calendar)</v>
      </c>
      <c r="B6" s="46" t="str">
        <f>B5</f>
        <v>Year</v>
      </c>
      <c r="C6" s="81" t="s">
        <v>518</v>
      </c>
      <c r="D6" s="81" t="s">
        <v>519</v>
      </c>
      <c r="E6" s="81" t="s">
        <v>214</v>
      </c>
      <c r="F6" s="81" t="s">
        <v>393</v>
      </c>
      <c r="G6" s="81" t="s">
        <v>16</v>
      </c>
      <c r="H6" s="81" t="s">
        <v>114</v>
      </c>
      <c r="I6" s="81" t="s">
        <v>520</v>
      </c>
      <c r="J6" s="81" t="s">
        <v>521</v>
      </c>
      <c r="K6" s="81" t="s">
        <v>522</v>
      </c>
      <c r="L6" s="81" t="s">
        <v>523</v>
      </c>
      <c r="M6" s="81" t="s">
        <v>524</v>
      </c>
      <c r="N6" s="81" t="s">
        <v>525</v>
      </c>
      <c r="O6" s="81" t="s">
        <v>526</v>
      </c>
      <c r="P6" s="81" t="s">
        <v>527</v>
      </c>
    </row>
    <row r="7" spans="1:20" ht="14.45" x14ac:dyDescent="0.3">
      <c r="A7" s="53">
        <f>Ortho!A7</f>
        <v>2013</v>
      </c>
      <c r="B7" s="53">
        <f>Ortho!B7</f>
        <v>1</v>
      </c>
      <c r="C7" s="5">
        <f>Ortho!X7</f>
        <v>54056.194799999997</v>
      </c>
      <c r="D7" s="5">
        <f>Ortho!AT7</f>
        <v>43551.744866529771</v>
      </c>
      <c r="E7" s="5">
        <f>Ortho!BV7</f>
        <v>-43015.05</v>
      </c>
      <c r="F7" s="5">
        <f>Ortho!CF7</f>
        <v>-43015.05</v>
      </c>
      <c r="G7" s="5">
        <f>Ortho!CP7</f>
        <v>-43015.05</v>
      </c>
      <c r="H7" s="5">
        <f>Ortho!CZ7</f>
        <v>-43015.05</v>
      </c>
      <c r="I7" s="5">
        <f>Ortho!DJ7</f>
        <v>-43015.05</v>
      </c>
      <c r="J7" s="5">
        <f>Ortho!DU7</f>
        <v>-43015.05</v>
      </c>
      <c r="K7" s="5">
        <f>Ortho!EF7</f>
        <v>-43015.05</v>
      </c>
      <c r="L7" s="5">
        <f>Ortho!GV7</f>
        <v>54056.194799999997</v>
      </c>
      <c r="M7" s="5">
        <f>Ortho!HQ7</f>
        <v>43551.744866529771</v>
      </c>
      <c r="N7" s="5">
        <f>Ortho!IL7</f>
        <v>54056.194799999997</v>
      </c>
      <c r="O7" s="5">
        <f>Ortho!JG7</f>
        <v>43551.744866529771</v>
      </c>
      <c r="P7" s="5">
        <f>Ortho!KI7</f>
        <v>0</v>
      </c>
    </row>
    <row r="8" spans="1:20" ht="14.45" x14ac:dyDescent="0.3">
      <c r="A8" s="53">
        <f>Ortho!A8</f>
        <v>2014</v>
      </c>
      <c r="B8" s="53">
        <f>Ortho!B8</f>
        <v>2</v>
      </c>
      <c r="C8" s="5">
        <f>Ortho!X8</f>
        <v>106041.93556527697</v>
      </c>
      <c r="D8" s="5">
        <f>Ortho!AT8</f>
        <v>69389.851463288214</v>
      </c>
      <c r="E8" s="5">
        <f>Ortho!BV8</f>
        <v>-86352.285865219877</v>
      </c>
      <c r="F8" s="5">
        <f>Ortho!CF8</f>
        <v>-86352.285865219877</v>
      </c>
      <c r="G8" s="5">
        <f>Ortho!CP8</f>
        <v>-86352.285865219877</v>
      </c>
      <c r="H8" s="5">
        <f>Ortho!CZ8</f>
        <v>-86352.285865219877</v>
      </c>
      <c r="I8" s="5">
        <f>Ortho!DJ8</f>
        <v>-86352.285865219877</v>
      </c>
      <c r="J8" s="5">
        <f>Ortho!DU8</f>
        <v>-86352.285865219877</v>
      </c>
      <c r="K8" s="5">
        <f>Ortho!EF8</f>
        <v>-86352.285865219877</v>
      </c>
      <c r="L8" s="5">
        <f>Ortho!GV8</f>
        <v>106041.93556527697</v>
      </c>
      <c r="M8" s="5">
        <f>Ortho!HQ8</f>
        <v>69389.851463288214</v>
      </c>
      <c r="N8" s="5">
        <f>Ortho!IL8</f>
        <v>106041.93556527697</v>
      </c>
      <c r="O8" s="5">
        <f>Ortho!JG8</f>
        <v>69389.851463288214</v>
      </c>
      <c r="P8" s="5">
        <f>Ortho!KI8</f>
        <v>0</v>
      </c>
    </row>
    <row r="9" spans="1:20" ht="14.45" x14ac:dyDescent="0.3">
      <c r="A9" s="53">
        <f>Ortho!A9</f>
        <v>2015</v>
      </c>
      <c r="B9" s="53">
        <f>Ortho!B9</f>
        <v>3</v>
      </c>
      <c r="C9" s="5">
        <f>Ortho!X9</f>
        <v>157045.52189700573</v>
      </c>
      <c r="D9" s="5">
        <f>Ortho!AT9</f>
        <v>94384.024082394724</v>
      </c>
      <c r="E9" s="5">
        <f>Ortho!BV9</f>
        <v>-138541.19578403595</v>
      </c>
      <c r="F9" s="5">
        <f>Ortho!CF9</f>
        <v>-138541.19578403595</v>
      </c>
      <c r="G9" s="5">
        <f>Ortho!CP9</f>
        <v>-138541.19578403595</v>
      </c>
      <c r="H9" s="5">
        <f>Ortho!CZ9</f>
        <v>-138541.19578403595</v>
      </c>
      <c r="I9" s="5">
        <f>Ortho!DJ9</f>
        <v>-138541.19578403595</v>
      </c>
      <c r="J9" s="5">
        <f>Ortho!DU9</f>
        <v>-138541.19578403595</v>
      </c>
      <c r="K9" s="5">
        <f>Ortho!EF9</f>
        <v>-138541.19578403595</v>
      </c>
      <c r="L9" s="5">
        <f>Ortho!GV9</f>
        <v>157045.52189700573</v>
      </c>
      <c r="M9" s="5">
        <f>Ortho!HQ9</f>
        <v>94384.024082394724</v>
      </c>
      <c r="N9" s="5">
        <f>Ortho!IL9</f>
        <v>157045.52189700573</v>
      </c>
      <c r="O9" s="5">
        <f>Ortho!JG9</f>
        <v>94384.024082394724</v>
      </c>
      <c r="P9" s="5">
        <f>Ortho!KI9</f>
        <v>0</v>
      </c>
    </row>
    <row r="10" spans="1:20" ht="14.45" x14ac:dyDescent="0.3">
      <c r="A10" s="53">
        <f>Ortho!A10</f>
        <v>2016</v>
      </c>
      <c r="B10" s="53">
        <f>Ortho!B10</f>
        <v>4</v>
      </c>
      <c r="C10" s="5">
        <f>Ortho!X10</f>
        <v>211251.55229740124</v>
      </c>
      <c r="D10" s="5">
        <f>Ortho!AT10</f>
        <v>119127.82998672797</v>
      </c>
      <c r="E10" s="5">
        <f>Ortho!BV10</f>
        <v>-190867.38028908212</v>
      </c>
      <c r="F10" s="5">
        <f>Ortho!CF10</f>
        <v>-190867.38028908212</v>
      </c>
      <c r="G10" s="5">
        <f>Ortho!CP10</f>
        <v>-190867.38028908212</v>
      </c>
      <c r="H10" s="5">
        <f>Ortho!CZ10</f>
        <v>-190867.38028908212</v>
      </c>
      <c r="I10" s="5">
        <f>Ortho!DJ10</f>
        <v>-190867.38028908212</v>
      </c>
      <c r="J10" s="5">
        <f>Ortho!DU10</f>
        <v>-190867.38028908212</v>
      </c>
      <c r="K10" s="5">
        <f>Ortho!EF10</f>
        <v>-190867.38028908212</v>
      </c>
      <c r="L10" s="5">
        <f>Ortho!GV10</f>
        <v>211251.55229740124</v>
      </c>
      <c r="M10" s="5">
        <f>Ortho!HQ10</f>
        <v>119127.82998672797</v>
      </c>
      <c r="N10" s="5">
        <f>Ortho!IL10</f>
        <v>211251.55229740124</v>
      </c>
      <c r="O10" s="5">
        <f>Ortho!JG10</f>
        <v>119127.82998672797</v>
      </c>
      <c r="P10" s="5">
        <f>Ortho!KI10</f>
        <v>0</v>
      </c>
    </row>
    <row r="11" spans="1:20" ht="14.45" x14ac:dyDescent="0.3">
      <c r="A11" s="53">
        <f>Ortho!A11</f>
        <v>2017</v>
      </c>
      <c r="B11" s="53">
        <f>Ortho!B11</f>
        <v>5</v>
      </c>
      <c r="C11" s="5">
        <f>Ortho!X11</f>
        <v>261213.54479899554</v>
      </c>
      <c r="D11" s="5">
        <f>Ortho!AT11</f>
        <v>169089.82248832227</v>
      </c>
      <c r="E11" s="5">
        <f>Ortho!BV11</f>
        <v>-154981.05168717628</v>
      </c>
      <c r="F11" s="5">
        <f>Ortho!CF11</f>
        <v>-154981.05168717628</v>
      </c>
      <c r="G11" s="5">
        <f>Ortho!CP11</f>
        <v>-154981.05168717628</v>
      </c>
      <c r="H11" s="5">
        <f>Ortho!CZ11</f>
        <v>-154981.05168717628</v>
      </c>
      <c r="I11" s="5">
        <f>Ortho!DJ11</f>
        <v>-166943.9067383607</v>
      </c>
      <c r="J11" s="5">
        <f>Ortho!DU11</f>
        <v>-159376.263840158</v>
      </c>
      <c r="K11" s="5">
        <f>Ortho!EF11</f>
        <v>-157911.19312249744</v>
      </c>
      <c r="L11" s="5">
        <f>Ortho!GV11</f>
        <v>261213.54479899554</v>
      </c>
      <c r="M11" s="5">
        <f>Ortho!HQ11</f>
        <v>169089.82248832227</v>
      </c>
      <c r="N11" s="5">
        <f>Ortho!IL11</f>
        <v>261213.54479899554</v>
      </c>
      <c r="O11" s="5">
        <f>Ortho!JG11</f>
        <v>169089.82248832227</v>
      </c>
      <c r="P11" s="5">
        <f>Ortho!KI11</f>
        <v>35886.328601905836</v>
      </c>
    </row>
    <row r="12" spans="1:20" ht="14.45" x14ac:dyDescent="0.3">
      <c r="A12" s="53">
        <f>Ortho!A12</f>
        <v>2018</v>
      </c>
      <c r="B12" s="53">
        <f>Ortho!B12</f>
        <v>6</v>
      </c>
      <c r="C12" s="5">
        <f>Ortho!X12</f>
        <v>311474.37448667729</v>
      </c>
      <c r="D12" s="5">
        <f>Ortho!AT12</f>
        <v>219350.65217600405</v>
      </c>
      <c r="E12" s="5">
        <f>Ortho!BV12</f>
        <v>-118995.92937851879</v>
      </c>
      <c r="F12" s="5">
        <f>Ortho!CF12</f>
        <v>-118995.92937851879</v>
      </c>
      <c r="G12" s="5">
        <f>Ortho!CP12</f>
        <v>-118995.92937851879</v>
      </c>
      <c r="H12" s="5">
        <f>Ortho!CZ12</f>
        <v>-118995.92937851879</v>
      </c>
      <c r="I12" s="5">
        <f>Ortho!DJ12</f>
        <v>-153732.16164497906</v>
      </c>
      <c r="J12" s="5">
        <f>Ortho!DU12</f>
        <v>-127913.13213476112</v>
      </c>
      <c r="K12" s="5">
        <f>Ortho!EF12</f>
        <v>-124940.73121601369</v>
      </c>
      <c r="L12" s="5">
        <f>Ortho!GV12</f>
        <v>311474.37448667729</v>
      </c>
      <c r="M12" s="5">
        <f>Ortho!HQ12</f>
        <v>219350.65217600405</v>
      </c>
      <c r="N12" s="5">
        <f>Ortho!IL12</f>
        <v>311474.37448667729</v>
      </c>
      <c r="O12" s="5">
        <f>Ortho!JG12</f>
        <v>219350.65217600405</v>
      </c>
      <c r="P12" s="5">
        <f>Ortho!KI12</f>
        <v>71871.450910563319</v>
      </c>
    </row>
    <row r="13" spans="1:20" ht="14.45" x14ac:dyDescent="0.3">
      <c r="A13" s="53">
        <f>Ortho!A13</f>
        <v>2019</v>
      </c>
      <c r="B13" s="53">
        <f>Ortho!B13</f>
        <v>7</v>
      </c>
      <c r="C13" s="5">
        <f>Ortho!X13</f>
        <v>363115.97670968575</v>
      </c>
      <c r="D13" s="5">
        <f>Ortho!AT13</f>
        <v>270992.25439901254</v>
      </c>
      <c r="E13" s="5">
        <f>Ortho!BV13</f>
        <v>-82904.654937055282</v>
      </c>
      <c r="F13" s="5">
        <f>Ortho!CF13</f>
        <v>-82904.654937055282</v>
      </c>
      <c r="G13" s="5">
        <f>Ortho!CP13</f>
        <v>-82904.654937055282</v>
      </c>
      <c r="H13" s="5">
        <f>Ortho!CZ13</f>
        <v>-82904.654937055282</v>
      </c>
      <c r="I13" s="5">
        <f>Ortho!DJ13</f>
        <v>-139317.43128811088</v>
      </c>
      <c r="J13" s="5">
        <f>Ortho!DU13</f>
        <v>-96469.213883902426</v>
      </c>
      <c r="K13" s="5">
        <f>Ortho!EF13</f>
        <v>-91947.694234953393</v>
      </c>
      <c r="L13" s="5">
        <f>Ortho!GV13</f>
        <v>363115.97670968575</v>
      </c>
      <c r="M13" s="5">
        <f>Ortho!HQ13</f>
        <v>270992.25439901254</v>
      </c>
      <c r="N13" s="5">
        <f>Ortho!IL13</f>
        <v>363115.97670968575</v>
      </c>
      <c r="O13" s="5">
        <f>Ortho!JG13</f>
        <v>270992.25439901254</v>
      </c>
      <c r="P13" s="5">
        <f>Ortho!KI13</f>
        <v>107962.72535202681</v>
      </c>
    </row>
    <row r="14" spans="1:20" ht="14.45" x14ac:dyDescent="0.3">
      <c r="A14" s="53">
        <f>Ortho!A14</f>
        <v>2020</v>
      </c>
      <c r="B14" s="53">
        <f>Ortho!B14</f>
        <v>8</v>
      </c>
      <c r="C14" s="5">
        <f>Ortho!X14</f>
        <v>414930.34262192424</v>
      </c>
      <c r="D14" s="5">
        <f>Ortho!AT14</f>
        <v>322806.62031125103</v>
      </c>
      <c r="E14" s="5">
        <f>Ortho!BV14</f>
        <v>-46699.992676364229</v>
      </c>
      <c r="F14" s="5">
        <f>Ortho!CF14</f>
        <v>-46699.992676364229</v>
      </c>
      <c r="G14" s="5">
        <f>Ortho!CP14</f>
        <v>-46699.992676364229</v>
      </c>
      <c r="H14" s="5">
        <f>Ortho!CZ14</f>
        <v>-46699.992676364229</v>
      </c>
      <c r="I14" s="5">
        <f>Ortho!DJ14</f>
        <v>-123745.30670550409</v>
      </c>
      <c r="J14" s="5">
        <f>Ortho!DU14</f>
        <v>-65035.922086779574</v>
      </c>
      <c r="K14" s="5">
        <f>Ortho!EF14</f>
        <v>-58923.94561664114</v>
      </c>
      <c r="L14" s="5">
        <f>Ortho!GV14</f>
        <v>414930.34262192424</v>
      </c>
      <c r="M14" s="5">
        <f>Ortho!HQ14</f>
        <v>322806.62031125103</v>
      </c>
      <c r="N14" s="5">
        <f>Ortho!IL14</f>
        <v>414930.34262192424</v>
      </c>
      <c r="O14" s="5">
        <f>Ortho!JG14</f>
        <v>322806.62031125103</v>
      </c>
      <c r="P14" s="5">
        <f>Ortho!KI14</f>
        <v>144167.38761271787</v>
      </c>
    </row>
    <row r="15" spans="1:20" ht="14.45" x14ac:dyDescent="0.3">
      <c r="A15" s="53">
        <f>Ortho!A15</f>
        <v>2021</v>
      </c>
      <c r="B15" s="53">
        <f>Ortho!B15</f>
        <v>9</v>
      </c>
      <c r="C15" s="5">
        <f>Ortho!X15</f>
        <v>467290.95730725891</v>
      </c>
      <c r="D15" s="5">
        <f>Ortho!AT15</f>
        <v>375167.2349965857</v>
      </c>
      <c r="E15" s="5">
        <f>Ortho!BV15</f>
        <v>-10374.82525529444</v>
      </c>
      <c r="F15" s="5">
        <f>Ortho!CF15</f>
        <v>-10374.82525529444</v>
      </c>
      <c r="G15" s="5">
        <f>Ortho!CP15</f>
        <v>-10374.82525529444</v>
      </c>
      <c r="H15" s="5">
        <f>Ortho!CZ15</f>
        <v>-10374.82525529444</v>
      </c>
      <c r="I15" s="5">
        <f>Ortho!DJ15</f>
        <v>-107058.95298906429</v>
      </c>
      <c r="J15" s="5">
        <f>Ortho!DU15</f>
        <v>-33604.8480262374</v>
      </c>
      <c r="K15" s="5">
        <f>Ortho!EF15</f>
        <v>-25861.507102589763</v>
      </c>
      <c r="L15" s="5">
        <f>Ortho!GV15</f>
        <v>467290.95730725891</v>
      </c>
      <c r="M15" s="5">
        <f>Ortho!HQ15</f>
        <v>375167.2349965857</v>
      </c>
      <c r="N15" s="5">
        <f>Ortho!IL15</f>
        <v>467290.95730725891</v>
      </c>
      <c r="O15" s="5">
        <f>Ortho!JG15</f>
        <v>375167.2349965857</v>
      </c>
      <c r="P15" s="5">
        <f>Ortho!KI15</f>
        <v>180492.55503378765</v>
      </c>
    </row>
    <row r="16" spans="1:20" ht="14.45" x14ac:dyDescent="0.3">
      <c r="A16" s="53">
        <f>Ortho!A16</f>
        <v>2022</v>
      </c>
      <c r="B16" s="53">
        <f>Ortho!B16</f>
        <v>10</v>
      </c>
      <c r="C16" s="5">
        <f>Ortho!X16</f>
        <v>524763.22436689748</v>
      </c>
      <c r="D16" s="5">
        <f>Ortho!AT16</f>
        <v>432639.50205622433</v>
      </c>
      <c r="E16" s="5">
        <f>Ortho!BV16</f>
        <v>179323.95170836631</v>
      </c>
      <c r="F16" s="5">
        <f>Ortho!CF16</f>
        <v>189333.20745435558</v>
      </c>
      <c r="G16" s="5" t="e">
        <f>Ortho!CP16</f>
        <v>#VALUE!</v>
      </c>
      <c r="H16" s="5" t="e">
        <f>Ortho!CZ16</f>
        <v>#VALUE!</v>
      </c>
      <c r="I16" s="5">
        <f>Ortho!DJ16</f>
        <v>87863.568967704094</v>
      </c>
      <c r="J16" s="5">
        <f>Ortho!DU16</f>
        <v>161317.67393053099</v>
      </c>
      <c r="K16" s="5">
        <f>Ortho!EF16</f>
        <v>169061.01485417862</v>
      </c>
      <c r="L16" s="5">
        <f>Ortho!GV16</f>
        <v>524763.22436689748</v>
      </c>
      <c r="M16" s="5">
        <f>Ortho!HQ16</f>
        <v>432639.50205622433</v>
      </c>
      <c r="N16" s="5">
        <f>Ortho!IL16</f>
        <v>524763.22436689748</v>
      </c>
      <c r="O16" s="5">
        <f>Ortho!JG16</f>
        <v>432639.50205622433</v>
      </c>
      <c r="P16" s="5">
        <f>Ortho!KI16</f>
        <v>394108.02740425291</v>
      </c>
    </row>
    <row r="17" spans="1:16" ht="14.45" x14ac:dyDescent="0.3">
      <c r="A17" s="53">
        <f>Ortho!A17</f>
        <v>2023</v>
      </c>
      <c r="B17" s="53">
        <f>Ortho!B17</f>
        <v>11</v>
      </c>
      <c r="C17" s="5">
        <f>Ortho!X17</f>
        <v>588449.02039398521</v>
      </c>
      <c r="D17" s="5">
        <f>Ortho!AT17</f>
        <v>496325.29808331205</v>
      </c>
      <c r="E17" s="5">
        <f>Ortho!BV17</f>
        <v>363952.81750987977</v>
      </c>
      <c r="F17" s="5">
        <f>Ortho!CF17</f>
        <v>383489.25367276347</v>
      </c>
      <c r="G17" s="5" t="e">
        <f>Ortho!CP17</f>
        <v>#VALUE!</v>
      </c>
      <c r="H17" s="5" t="e">
        <f>Ortho!CZ17</f>
        <v>#VALUE!</v>
      </c>
      <c r="I17" s="5">
        <f>Ortho!DJ17</f>
        <v>277464.58876989112</v>
      </c>
      <c r="J17" s="5">
        <f>Ortho!DU17</f>
        <v>350918.69373271801</v>
      </c>
      <c r="K17" s="5">
        <f>Ortho!EF17</f>
        <v>358662.03465636563</v>
      </c>
      <c r="L17" s="5">
        <f>Ortho!GV17</f>
        <v>588449.02039398521</v>
      </c>
      <c r="M17" s="5">
        <f>Ortho!HQ17</f>
        <v>496325.29808331205</v>
      </c>
      <c r="N17" s="5">
        <f>Ortho!IL17</f>
        <v>588449.02039398521</v>
      </c>
      <c r="O17" s="5">
        <f>Ortho!JG17</f>
        <v>496325.29808331205</v>
      </c>
      <c r="P17" s="5">
        <f>Ortho!KI17</f>
        <v>601501.68989985029</v>
      </c>
    </row>
    <row r="18" spans="1:16" ht="14.45" x14ac:dyDescent="0.3">
      <c r="A18" s="53">
        <f>Ortho!A18</f>
        <v>2024</v>
      </c>
      <c r="B18" s="53">
        <f>Ortho!B18</f>
        <v>12</v>
      </c>
      <c r="C18" s="5">
        <f>Ortho!X18</f>
        <v>649720.24660637928</v>
      </c>
      <c r="D18" s="5">
        <f>Ortho!AT18</f>
        <v>557596.52429570619</v>
      </c>
      <c r="E18" s="5">
        <f>Ortho!BV18</f>
        <v>545345.23911094514</v>
      </c>
      <c r="F18" s="5">
        <f>Ortho!CF18</f>
        <v>573949.99853377021</v>
      </c>
      <c r="G18" s="5" t="e">
        <f>Ortho!CP18</f>
        <v>#VALUE!</v>
      </c>
      <c r="H18" s="5" t="e">
        <f>Ortho!CZ18</f>
        <v>#VALUE!</v>
      </c>
      <c r="I18" s="5">
        <f>Ortho!DJ18</f>
        <v>463589.69074471772</v>
      </c>
      <c r="J18" s="5">
        <f>Ortho!DU18</f>
        <v>537043.79570754466</v>
      </c>
      <c r="K18" s="5">
        <f>Ortho!EF18</f>
        <v>544787.13663119229</v>
      </c>
      <c r="L18" s="5">
        <f>Ortho!GV18</f>
        <v>649720.24660637928</v>
      </c>
      <c r="M18" s="5">
        <f>Ortho!HQ18</f>
        <v>557596.52429570619</v>
      </c>
      <c r="N18" s="5">
        <f>Ortho!IL18</f>
        <v>649720.24660637928</v>
      </c>
      <c r="O18" s="5">
        <f>Ortho!JG18</f>
        <v>557596.52429570619</v>
      </c>
      <c r="P18" s="5">
        <f>Ortho!KI18</f>
        <v>804562.48832757084</v>
      </c>
    </row>
    <row r="19" spans="1:16" ht="14.45" x14ac:dyDescent="0.3">
      <c r="A19" s="53">
        <f>Ortho!A19</f>
        <v>2025</v>
      </c>
      <c r="B19" s="53">
        <f>Ortho!B19</f>
        <v>13</v>
      </c>
      <c r="C19" s="5">
        <f>Ortho!X19</f>
        <v>710146.70996840461</v>
      </c>
      <c r="D19" s="5">
        <f>Ortho!AT19</f>
        <v>618022.98765773152</v>
      </c>
      <c r="E19" s="5">
        <f>Ortho!BV19</f>
        <v>723541.12475207844</v>
      </c>
      <c r="F19" s="5">
        <f>Ortho!CF19</f>
        <v>760777.45019426523</v>
      </c>
      <c r="G19" s="5" t="e">
        <f>Ortho!CP19</f>
        <v>#VALUE!</v>
      </c>
      <c r="H19" s="5" t="e">
        <f>Ortho!CZ19</f>
        <v>#VALUE!</v>
      </c>
      <c r="I19" s="5">
        <f>Ortho!DJ19</f>
        <v>646290.31689009734</v>
      </c>
      <c r="J19" s="5">
        <f>Ortho!DU19</f>
        <v>719744.42185292428</v>
      </c>
      <c r="K19" s="5">
        <f>Ortho!EF19</f>
        <v>727487.76277657191</v>
      </c>
      <c r="L19" s="5">
        <f>Ortho!GV19</f>
        <v>710146.70996840461</v>
      </c>
      <c r="M19" s="5">
        <f>Ortho!HQ19</f>
        <v>618022.98765773152</v>
      </c>
      <c r="N19" s="5">
        <f>Ortho!IL19</f>
        <v>710146.70996840461</v>
      </c>
      <c r="O19" s="5">
        <f>Ortho!JG19</f>
        <v>618022.98765773152</v>
      </c>
      <c r="P19" s="5">
        <f>Ortho!KI19</f>
        <v>1003383.1377481208</v>
      </c>
    </row>
    <row r="20" spans="1:16" ht="14.45" x14ac:dyDescent="0.3">
      <c r="A20" s="53">
        <f>Ortho!A20</f>
        <v>2026</v>
      </c>
      <c r="B20" s="53">
        <f>Ortho!B20</f>
        <v>14</v>
      </c>
      <c r="C20" s="5">
        <f>Ortho!X20</f>
        <v>768281.88741084014</v>
      </c>
      <c r="D20" s="5">
        <f>Ortho!AT20</f>
        <v>716840.47971472831</v>
      </c>
      <c r="E20" s="5">
        <f>Ortho!BV20</f>
        <v>898580.88213356538</v>
      </c>
      <c r="F20" s="5">
        <f>Ortho!CF20</f>
        <v>944033.05187364062</v>
      </c>
      <c r="G20" s="5" t="e">
        <f>Ortho!CP20</f>
        <v>#VALUE!</v>
      </c>
      <c r="H20" s="5" t="e">
        <f>Ortho!CZ20</f>
        <v>#VALUE!</v>
      </c>
      <c r="I20" s="5">
        <f>Ortho!DJ20</f>
        <v>825617.85316388041</v>
      </c>
      <c r="J20" s="5">
        <f>Ortho!DU20</f>
        <v>899071.95812670735</v>
      </c>
      <c r="K20" s="5">
        <f>Ortho!EF20</f>
        <v>906815.29905035498</v>
      </c>
      <c r="L20" s="5">
        <f>Ortho!GV20</f>
        <v>768281.88741084014</v>
      </c>
      <c r="M20" s="5">
        <f>Ortho!HQ20</f>
        <v>716840.47971472831</v>
      </c>
      <c r="N20" s="5">
        <f>Ortho!IL20</f>
        <v>768281.88741084014</v>
      </c>
      <c r="O20" s="5">
        <f>Ortho!JG20</f>
        <v>794594.42207939131</v>
      </c>
      <c r="P20" s="5">
        <f>Ortho!KI20</f>
        <v>1198054.309349498</v>
      </c>
    </row>
    <row r="21" spans="1:16" ht="14.45" x14ac:dyDescent="0.3">
      <c r="A21" s="53">
        <f>Ortho!A21</f>
        <v>2027</v>
      </c>
      <c r="B21" s="53">
        <f>Ortho!B21</f>
        <v>15</v>
      </c>
      <c r="C21" s="5">
        <f>Ortho!X21</f>
        <v>826352.17485501105</v>
      </c>
      <c r="D21" s="5">
        <f>Ortho!AT21</f>
        <v>814088.82472675224</v>
      </c>
      <c r="E21" s="5">
        <f>Ortho!BV21</f>
        <v>1070505.3425774858</v>
      </c>
      <c r="F21" s="5">
        <f>Ortho!CF21</f>
        <v>1123777.6572803333</v>
      </c>
      <c r="G21" s="5" t="e">
        <f>Ortho!CP21</f>
        <v>#VALUE!</v>
      </c>
      <c r="H21" s="5" t="e">
        <f>Ortho!CZ21</f>
        <v>#VALUE!</v>
      </c>
      <c r="I21" s="5">
        <f>Ortho!DJ21</f>
        <v>1008925.9006590984</v>
      </c>
      <c r="J21" s="5">
        <f>Ortho!DU21</f>
        <v>1075077.6853632189</v>
      </c>
      <c r="K21" s="5">
        <f>Ortho!EF21</f>
        <v>1082821.0262868665</v>
      </c>
      <c r="L21" s="5">
        <f>Ortho!GV21</f>
        <v>826352.17485501105</v>
      </c>
      <c r="M21" s="5">
        <f>Ortho!HQ21</f>
        <v>814088.82472675224</v>
      </c>
      <c r="N21" s="5">
        <f>Ortho!IL21</f>
        <v>826352.17485501105</v>
      </c>
      <c r="O21" s="5">
        <f>Ortho!JG21</f>
        <v>967633.45788471692</v>
      </c>
      <c r="P21" s="5">
        <f>Ortho!KI21</f>
        <v>1388664.6771034226</v>
      </c>
    </row>
    <row r="22" spans="1:16" ht="14.45" x14ac:dyDescent="0.3">
      <c r="A22" s="53">
        <f>Ortho!A22</f>
        <v>2028</v>
      </c>
      <c r="B22" s="53">
        <f>Ortho!B22</f>
        <v>16</v>
      </c>
      <c r="C22" s="5">
        <f>Ortho!X22</f>
        <v>882219.71152208454</v>
      </c>
      <c r="D22" s="5">
        <f>Ortho!AT22</f>
        <v>907587.63972209394</v>
      </c>
      <c r="E22" s="5">
        <f>Ortho!BV22</f>
        <v>1239355.6899829344</v>
      </c>
      <c r="F22" s="5">
        <f>Ortho!CF22</f>
        <v>1300071.5083625116</v>
      </c>
      <c r="G22" s="5" t="e">
        <f>Ortho!CP22</f>
        <v>#VALUE!</v>
      </c>
      <c r="H22" s="5" t="e">
        <f>Ortho!CZ22</f>
        <v>#VALUE!</v>
      </c>
      <c r="I22" s="5">
        <f>Ortho!DJ22</f>
        <v>1195562.186870947</v>
      </c>
      <c r="J22" s="5">
        <f>Ortho!DU22</f>
        <v>1247812.7336944155</v>
      </c>
      <c r="K22" s="5">
        <f>Ortho!EF22</f>
        <v>1255556.0746180634</v>
      </c>
      <c r="L22" s="5">
        <f>Ortho!GV22</f>
        <v>882219.71152208454</v>
      </c>
      <c r="M22" s="5">
        <f>Ortho!HQ22</f>
        <v>907587.63972209394</v>
      </c>
      <c r="N22" s="5">
        <f>Ortho!IL22</f>
        <v>882219.71152208454</v>
      </c>
      <c r="O22" s="5">
        <f>Ortho!JG22</f>
        <v>1137211.4028487925</v>
      </c>
      <c r="P22" s="5">
        <f>Ortho!KI22</f>
        <v>1575300.9633152713</v>
      </c>
    </row>
    <row r="23" spans="1:16" ht="14.45" x14ac:dyDescent="0.3">
      <c r="A23" s="53">
        <f>Ortho!A23</f>
        <v>2029</v>
      </c>
      <c r="B23" s="53">
        <f>Ortho!B23</f>
        <v>17</v>
      </c>
      <c r="C23" s="5">
        <f>Ortho!X23</f>
        <v>974779.41682908288</v>
      </c>
      <c r="D23" s="5">
        <f>Ortho!AT23</f>
        <v>1000147.3450290923</v>
      </c>
      <c r="E23" s="5">
        <f>Ortho!BV23</f>
        <v>1405173.3943175671</v>
      </c>
      <c r="F23" s="5">
        <f>Ortho!CF23</f>
        <v>1472974.2152449549</v>
      </c>
      <c r="G23" s="5" t="e">
        <f>Ortho!CP23</f>
        <v>#VALUE!</v>
      </c>
      <c r="H23" s="5" t="e">
        <f>Ortho!CZ23</f>
        <v>#VALUE!</v>
      </c>
      <c r="I23" s="5">
        <f>Ortho!DJ23</f>
        <v>1378309.2066504685</v>
      </c>
      <c r="J23" s="5">
        <f>Ortho!DU23</f>
        <v>1417328.040280855</v>
      </c>
      <c r="K23" s="5">
        <f>Ortho!EF23</f>
        <v>1425071.3812045029</v>
      </c>
      <c r="L23" s="5">
        <f>Ortho!GV23</f>
        <v>974779.41682908288</v>
      </c>
      <c r="M23" s="5">
        <f>Ortho!HQ23</f>
        <v>1000147.3450290923</v>
      </c>
      <c r="N23" s="5">
        <f>Ortho!IL23</f>
        <v>1048406.4156635554</v>
      </c>
      <c r="O23" s="5">
        <f>Ortho!JG23</f>
        <v>1303398.1069902633</v>
      </c>
      <c r="P23" s="5">
        <f>Ortho!KI23</f>
        <v>1758047.9830947928</v>
      </c>
    </row>
    <row r="24" spans="1:16" x14ac:dyDescent="0.25">
      <c r="A24" s="53">
        <f>Ortho!A24</f>
        <v>2030</v>
      </c>
      <c r="B24" s="53">
        <f>Ortho!B24</f>
        <v>18</v>
      </c>
      <c r="C24" s="5">
        <f>Ortho!X24</f>
        <v>1063770.2894446102</v>
      </c>
      <c r="D24" s="5">
        <f>Ortho!AT24</f>
        <v>1089138.2176446195</v>
      </c>
      <c r="E24" s="5">
        <f>Ortho!BV24</f>
        <v>1568000.149401597</v>
      </c>
      <c r="F24" s="5">
        <f>Ortho!CF24</f>
        <v>1642544.738221437</v>
      </c>
      <c r="G24" s="5" t="e">
        <f>Ortho!CP24</f>
        <v>#VALUE!</v>
      </c>
      <c r="H24" s="5" t="e">
        <f>Ortho!CZ24</f>
        <v>#VALUE!</v>
      </c>
      <c r="I24" s="5">
        <f>Ortho!DJ24</f>
        <v>1557249.9113298617</v>
      </c>
      <c r="J24" s="5">
        <f>Ortho!DU24</f>
        <v>1583674.3101676705</v>
      </c>
      <c r="K24" s="5">
        <f>Ortho!EF24</f>
        <v>1591417.6510913183</v>
      </c>
      <c r="L24" s="5">
        <f>Ortho!GV24</f>
        <v>1063770.2894446102</v>
      </c>
      <c r="M24" s="5">
        <f>Ortho!HQ24</f>
        <v>1089138.2176446195</v>
      </c>
      <c r="N24" s="5">
        <f>Ortho!IL24</f>
        <v>1211270.301562984</v>
      </c>
      <c r="O24" s="5">
        <f>Ortho!JG24</f>
        <v>1466261.9928896918</v>
      </c>
      <c r="P24" s="5">
        <f>Ortho!KI24</f>
        <v>1936988.687774186</v>
      </c>
    </row>
    <row r="25" spans="1:16" x14ac:dyDescent="0.25">
      <c r="A25" s="53">
        <f>Ortho!A25</f>
        <v>2031</v>
      </c>
      <c r="B25" s="53">
        <f>Ortho!B25</f>
        <v>19</v>
      </c>
      <c r="C25" s="5">
        <f>Ortho!X25</f>
        <v>1150608.1740209903</v>
      </c>
      <c r="D25" s="5">
        <f>Ortho!AT25</f>
        <v>1175976.1022209995</v>
      </c>
      <c r="E25" s="5">
        <f>Ortho!BV25</f>
        <v>1727877.8147527021</v>
      </c>
      <c r="F25" s="5">
        <f>Ortho!CF25</f>
        <v>1808841.3716788169</v>
      </c>
      <c r="G25" s="5" t="e">
        <f>Ortho!CP25</f>
        <v>#VALUE!</v>
      </c>
      <c r="H25" s="5" t="e">
        <f>Ortho!CZ25</f>
        <v>#VALUE!</v>
      </c>
      <c r="I25" s="5">
        <f>Ortho!DJ25</f>
        <v>1732465.4308551182</v>
      </c>
      <c r="J25" s="5">
        <f>Ortho!DU25</f>
        <v>1746901.9800902449</v>
      </c>
      <c r="K25" s="5">
        <f>Ortho!EF25</f>
        <v>1754645.3210138928</v>
      </c>
      <c r="L25" s="5">
        <f>Ortho!GV25</f>
        <v>1150608.1740209903</v>
      </c>
      <c r="M25" s="5">
        <f>Ortho!HQ25</f>
        <v>1175976.1022209995</v>
      </c>
      <c r="N25" s="5">
        <f>Ortho!IL25</f>
        <v>1370878.3940361971</v>
      </c>
      <c r="O25" s="5">
        <f>Ortho!JG25</f>
        <v>1625870.0853629049</v>
      </c>
      <c r="P25" s="5">
        <f>Ortho!KI25</f>
        <v>2112204.2072994425</v>
      </c>
    </row>
    <row r="26" spans="1:16" x14ac:dyDescent="0.25">
      <c r="A26" s="53">
        <f>Ortho!A26</f>
        <v>2032</v>
      </c>
      <c r="B26" s="53">
        <f>Ortho!B26</f>
        <v>20</v>
      </c>
      <c r="C26" s="5">
        <f>Ortho!X26</f>
        <v>1234097.8783941285</v>
      </c>
      <c r="D26" s="5">
        <f>Ortho!AT26</f>
        <v>1259465.8065941378</v>
      </c>
      <c r="E26" s="5">
        <f>Ortho!BV26</f>
        <v>1899447.4990734544</v>
      </c>
      <c r="F26" s="5">
        <f>Ortho!CF26</f>
        <v>1971921.7298355901</v>
      </c>
      <c r="G26" s="5" t="e">
        <f>Ortho!CP26</f>
        <v>#VALUE!</v>
      </c>
      <c r="H26" s="5" t="e">
        <f>Ortho!CZ26</f>
        <v>#VALUE!</v>
      </c>
      <c r="I26" s="5">
        <f>Ortho!DJ26</f>
        <v>1904035.1151758707</v>
      </c>
      <c r="J26" s="5">
        <f>Ortho!DU26</f>
        <v>1907061.1850633086</v>
      </c>
      <c r="K26" s="5">
        <f>Ortho!EF26</f>
        <v>1914804.5259869564</v>
      </c>
      <c r="L26" s="5">
        <f>Ortho!GV26</f>
        <v>1234097.8783941285</v>
      </c>
      <c r="M26" s="5">
        <f>Ortho!HQ26</f>
        <v>1259465.8065941378</v>
      </c>
      <c r="N26" s="5">
        <f>Ortho!IL26</f>
        <v>1527296.3491767438</v>
      </c>
      <c r="O26" s="5">
        <f>Ortho!JG26</f>
        <v>1782288.0405034516</v>
      </c>
      <c r="P26" s="5">
        <f>Ortho!KI26</f>
        <v>2283773.891620195</v>
      </c>
    </row>
    <row r="27" spans="1:16" x14ac:dyDescent="0.25">
      <c r="A27" s="53">
        <f>Ortho!A27</f>
        <v>2033</v>
      </c>
      <c r="B27" s="53">
        <f>Ortho!B27</f>
        <v>21</v>
      </c>
      <c r="C27" s="5">
        <f>Ortho!X27</f>
        <v>1316176.8706719119</v>
      </c>
      <c r="D27" s="5">
        <f>Ortho!AT27</f>
        <v>1341544.7988719211</v>
      </c>
      <c r="E27" s="5">
        <f>Ortho!BV27</f>
        <v>2067448.9585559273</v>
      </c>
      <c r="F27" s="5">
        <f>Ortho!CF27</f>
        <v>2131842.734183874</v>
      </c>
      <c r="G27" s="5" t="e">
        <f>Ortho!CP27</f>
        <v>#VALUE!</v>
      </c>
      <c r="H27" s="5" t="e">
        <f>Ortho!CZ27</f>
        <v>#VALUE!</v>
      </c>
      <c r="I27" s="5">
        <f>Ortho!DJ27</f>
        <v>2072036.5746583436</v>
      </c>
      <c r="J27" s="5">
        <f>Ortho!DU27</f>
        <v>2065128.3330121893</v>
      </c>
      <c r="K27" s="5">
        <f>Ortho!EF27</f>
        <v>2071945.0685194114</v>
      </c>
      <c r="L27" s="5">
        <f>Ortho!GV27</f>
        <v>1316176.8706719119</v>
      </c>
      <c r="M27" s="5">
        <f>Ortho!HQ27</f>
        <v>1341544.7988719211</v>
      </c>
      <c r="N27" s="5">
        <f>Ortho!IL27</f>
        <v>1680573.0623043731</v>
      </c>
      <c r="O27" s="5">
        <f>Ortho!JG27</f>
        <v>1935564.753631081</v>
      </c>
      <c r="P27" s="5">
        <f>Ortho!KI27</f>
        <v>2451775.3511026679</v>
      </c>
    </row>
    <row r="28" spans="1:16" x14ac:dyDescent="0.25">
      <c r="A28" s="53">
        <f>Ortho!A28</f>
        <v>2034</v>
      </c>
      <c r="B28" s="53">
        <f>Ortho!B28</f>
        <v>22</v>
      </c>
      <c r="C28" s="5">
        <f>Ortho!X28</f>
        <v>1395091.1499527714</v>
      </c>
      <c r="D28" s="5">
        <f>Ortho!AT28</f>
        <v>1420459.0781527807</v>
      </c>
      <c r="E28" s="5">
        <f>Ortho!BV28</f>
        <v>2231958.1034429604</v>
      </c>
      <c r="F28" s="5">
        <f>Ortho!CF28</f>
        <v>2288660.6025297032</v>
      </c>
      <c r="G28" s="5" t="e">
        <f>Ortho!CP28</f>
        <v>#VALUE!</v>
      </c>
      <c r="H28" s="5" t="e">
        <f>Ortho!CZ28</f>
        <v>#VALUE!</v>
      </c>
      <c r="I28" s="5">
        <f>Ortho!DJ28</f>
        <v>2236545.719545377</v>
      </c>
      <c r="J28" s="5">
        <f>Ortho!DU28</f>
        <v>2229637.4778992226</v>
      </c>
      <c r="K28" s="5">
        <f>Ortho!EF28</f>
        <v>2230156.7488444285</v>
      </c>
      <c r="L28" s="5">
        <f>Ortho!GV28</f>
        <v>1395091.1499527714</v>
      </c>
      <c r="M28" s="5">
        <f>Ortho!HQ28</f>
        <v>1420459.0781527807</v>
      </c>
      <c r="N28" s="5">
        <f>Ortho!IL28</f>
        <v>1830652.6096796938</v>
      </c>
      <c r="O28" s="5">
        <f>Ortho!JG28</f>
        <v>2085644.3010064017</v>
      </c>
      <c r="P28" s="5">
        <f>Ortho!KI28</f>
        <v>2616284.4959897012</v>
      </c>
    </row>
    <row r="29" spans="1:16" x14ac:dyDescent="0.25">
      <c r="A29" s="53">
        <f>Ortho!A29</f>
        <v>2035</v>
      </c>
      <c r="B29" s="53">
        <f>Ortho!B29</f>
        <v>23</v>
      </c>
      <c r="C29" s="5">
        <f>Ortho!X29</f>
        <v>1475405.5243788979</v>
      </c>
      <c r="D29" s="5">
        <f>Ortho!AT29</f>
        <v>1500773.4525789071</v>
      </c>
      <c r="E29" s="5">
        <f>Ortho!BV29</f>
        <v>2393049.1823844654</v>
      </c>
      <c r="F29" s="5">
        <f>Ortho!CF29</f>
        <v>2442430.8395321216</v>
      </c>
      <c r="G29" s="5" t="e">
        <f>Ortho!CP29</f>
        <v>#VALUE!</v>
      </c>
      <c r="H29" s="5" t="e">
        <f>Ortho!CZ29</f>
        <v>#VALUE!</v>
      </c>
      <c r="I29" s="5">
        <f>Ortho!DJ29</f>
        <v>2397636.7984868819</v>
      </c>
      <c r="J29" s="5">
        <f>Ortho!DU29</f>
        <v>2390728.5568407276</v>
      </c>
      <c r="K29" s="5">
        <f>Ortho!EF29</f>
        <v>2391247.8277859334</v>
      </c>
      <c r="L29" s="5">
        <f>Ortho!GV29</f>
        <v>1475405.5243788979</v>
      </c>
      <c r="M29" s="5">
        <f>Ortho!HQ29</f>
        <v>1500773.4525789071</v>
      </c>
      <c r="N29" s="5">
        <f>Ortho!IL29</f>
        <v>1977597.0243940295</v>
      </c>
      <c r="O29" s="5">
        <f>Ortho!JG29</f>
        <v>2232588.7157207374</v>
      </c>
      <c r="P29" s="5">
        <f>Ortho!KI29</f>
        <v>2777375.5749312062</v>
      </c>
    </row>
    <row r="30" spans="1:16" x14ac:dyDescent="0.25">
      <c r="A30" s="53">
        <f>Ortho!A30</f>
        <v>2036</v>
      </c>
      <c r="B30" s="53">
        <f>Ortho!B30</f>
        <v>24</v>
      </c>
      <c r="C30" s="5">
        <f>Ortho!X30</f>
        <v>1552669.9961114028</v>
      </c>
      <c r="D30" s="5">
        <f>Ortho!AT30</f>
        <v>1578037.924311412</v>
      </c>
      <c r="E30" s="5">
        <f>Ortho!BV30</f>
        <v>2550794.8200610806</v>
      </c>
      <c r="F30" s="5">
        <f>Ortho!CF30</f>
        <v>2593208.2286468805</v>
      </c>
      <c r="G30" s="5" t="e">
        <f>Ortho!CP30</f>
        <v>#VALUE!</v>
      </c>
      <c r="H30" s="5" t="e">
        <f>Ortho!CZ30</f>
        <v>#VALUE!</v>
      </c>
      <c r="I30" s="5">
        <f>Ortho!DJ30</f>
        <v>2555382.4361634972</v>
      </c>
      <c r="J30" s="5">
        <f>Ortho!DU30</f>
        <v>2548474.1945173428</v>
      </c>
      <c r="K30" s="5">
        <f>Ortho!EF30</f>
        <v>2548993.4654625487</v>
      </c>
      <c r="L30" s="5">
        <f>Ortho!GV30</f>
        <v>1552669.9961114028</v>
      </c>
      <c r="M30" s="5">
        <f>Ortho!HQ30</f>
        <v>1578037.924311412</v>
      </c>
      <c r="N30" s="5">
        <f>Ortho!IL30</f>
        <v>2121473.3834165572</v>
      </c>
      <c r="O30" s="5">
        <f>Ortho!JG30</f>
        <v>2376465.0747432653</v>
      </c>
      <c r="P30" s="5">
        <f>Ortho!KI30</f>
        <v>2935121.2126078214</v>
      </c>
    </row>
    <row r="31" spans="1:16" x14ac:dyDescent="0.25">
      <c r="A31" s="53">
        <f>Ortho!A31</f>
        <v>2037</v>
      </c>
      <c r="B31" s="53">
        <f>Ortho!B31</f>
        <v>25</v>
      </c>
      <c r="C31" s="5">
        <f>Ortho!X31</f>
        <v>1629635.0245071498</v>
      </c>
      <c r="D31" s="5">
        <f>Ortho!AT31</f>
        <v>1653714.0806648121</v>
      </c>
      <c r="E31" s="5">
        <f>Ortho!BV31</f>
        <v>2705266.0539232129</v>
      </c>
      <c r="F31" s="5">
        <f>Ortho!CF31</f>
        <v>2741046.8253856013</v>
      </c>
      <c r="G31" s="5" t="e">
        <f>Ortho!CP31</f>
        <v>#VALUE!</v>
      </c>
      <c r="H31" s="5" t="e">
        <f>Ortho!CZ31</f>
        <v>#VALUE!</v>
      </c>
      <c r="I31" s="5">
        <f>Ortho!DJ31</f>
        <v>2709853.6700256295</v>
      </c>
      <c r="J31" s="5">
        <f>Ortho!DU31</f>
        <v>2702945.4283794751</v>
      </c>
      <c r="K31" s="5">
        <f>Ortho!EF31</f>
        <v>2703464.699324681</v>
      </c>
      <c r="L31" s="5">
        <f>Ortho!GV31</f>
        <v>1705481.9991630497</v>
      </c>
      <c r="M31" s="5">
        <f>Ortho!HQ31</f>
        <v>1645313.7560602841</v>
      </c>
      <c r="N31" s="5">
        <f>Ortho!IL31</f>
        <v>2262347.2852648785</v>
      </c>
      <c r="O31" s="5">
        <f>Ortho!JG31</f>
        <v>2517338.9765915866</v>
      </c>
      <c r="P31" s="5">
        <f>Ortho!KI31</f>
        <v>3089592.4464699537</v>
      </c>
    </row>
    <row r="32" spans="1:16" x14ac:dyDescent="0.25">
      <c r="A32" s="53">
        <f>Ortho!A32</f>
        <v>2038</v>
      </c>
      <c r="B32" s="53">
        <f>Ortho!B32</f>
        <v>26</v>
      </c>
      <c r="C32" s="5">
        <f>Ortho!X32</f>
        <v>1703676.4952129005</v>
      </c>
      <c r="D32" s="5">
        <f>Ortho!AT32</f>
        <v>1726763.3574086342</v>
      </c>
      <c r="E32" s="5">
        <f>Ortho!BV32</f>
        <v>2856532.3700670889</v>
      </c>
      <c r="F32" s="5">
        <f>Ortho!CF32</f>
        <v>2885999.9518060698</v>
      </c>
      <c r="G32" s="5" t="e">
        <f>Ortho!CP32</f>
        <v>#VALUE!</v>
      </c>
      <c r="H32" s="5" t="e">
        <f>Ortho!CZ32</f>
        <v>#VALUE!</v>
      </c>
      <c r="I32" s="5">
        <f>Ortho!DJ32</f>
        <v>2861119.9861695054</v>
      </c>
      <c r="J32" s="5">
        <f>Ortho!DU32</f>
        <v>2854211.7445233511</v>
      </c>
      <c r="K32" s="5">
        <f>Ortho!EF32</f>
        <v>2854731.0154685569</v>
      </c>
      <c r="L32" s="5">
        <f>Ortho!GV32</f>
        <v>1854894.3558943362</v>
      </c>
      <c r="M32" s="5">
        <f>Ortho!HQ32</f>
        <v>1796055.4613695571</v>
      </c>
      <c r="N32" s="5">
        <f>Ortho!IL32</f>
        <v>2400282.8837481551</v>
      </c>
      <c r="O32" s="5">
        <f>Ortho!JG32</f>
        <v>2655274.5750748636</v>
      </c>
      <c r="P32" s="5">
        <f>Ortho!KI32</f>
        <v>3240858.7626138297</v>
      </c>
    </row>
    <row r="33" spans="1:16" x14ac:dyDescent="0.25">
      <c r="A33" s="53">
        <f>Ortho!A33</f>
        <v>2039</v>
      </c>
      <c r="B33" s="53">
        <f>Ortho!B33</f>
        <v>27</v>
      </c>
      <c r="C33" s="5">
        <f>Ortho!X33</f>
        <v>1776295.7581278048</v>
      </c>
      <c r="D33" s="5">
        <f>Ortho!AT33</f>
        <v>1797276.2516254494</v>
      </c>
      <c r="E33" s="5">
        <f>Ortho!BV33</f>
        <v>3004661.7382688913</v>
      </c>
      <c r="F33" s="5">
        <f>Ortho!CF33</f>
        <v>3028120.1921538766</v>
      </c>
      <c r="G33" s="5" t="e">
        <f>Ortho!CP33</f>
        <v>#VALUE!</v>
      </c>
      <c r="H33" s="5" t="e">
        <f>Ortho!CZ33</f>
        <v>#VALUE!</v>
      </c>
      <c r="I33" s="5">
        <f>Ortho!DJ33</f>
        <v>3009249.3543713079</v>
      </c>
      <c r="J33" s="5">
        <f>Ortho!DU33</f>
        <v>3002341.1127251536</v>
      </c>
      <c r="K33" s="5">
        <f>Ortho!EF33</f>
        <v>3002860.3836703594</v>
      </c>
      <c r="L33" s="5">
        <f>Ortho!GV33</f>
        <v>2000987.6367556402</v>
      </c>
      <c r="M33" s="5">
        <f>Ortho!HQ33</f>
        <v>1943426.7186859977</v>
      </c>
      <c r="N33" s="5">
        <f>Ortho!IL33</f>
        <v>2535342.920910154</v>
      </c>
      <c r="O33" s="5">
        <f>Ortho!JG33</f>
        <v>2790334.6122368625</v>
      </c>
      <c r="P33" s="5">
        <f>Ortho!KI33</f>
        <v>3388988.1308156322</v>
      </c>
    </row>
    <row r="34" spans="1:16" x14ac:dyDescent="0.25">
      <c r="A34" s="53">
        <f>Ortho!A34</f>
        <v>2040</v>
      </c>
      <c r="B34" s="53">
        <f>Ortho!B34</f>
        <v>28</v>
      </c>
      <c r="C34" s="5">
        <f>Ortho!X34</f>
        <v>1846156.4918973981</v>
      </c>
      <c r="D34" s="5">
        <f>Ortho!AT34</f>
        <v>1865453.5926725743</v>
      </c>
      <c r="E34" s="5">
        <f>Ortho!BV34</f>
        <v>3149720.6461975216</v>
      </c>
      <c r="F34" s="5">
        <f>Ortho!CF34</f>
        <v>3167459.3895799411</v>
      </c>
      <c r="G34" s="5" t="e">
        <f>Ortho!CP34</f>
        <v>#VALUE!</v>
      </c>
      <c r="H34" s="5" t="e">
        <f>Ortho!CZ34</f>
        <v>#VALUE!</v>
      </c>
      <c r="I34" s="5">
        <f>Ortho!DJ34</f>
        <v>3154308.2622999381</v>
      </c>
      <c r="J34" s="5">
        <f>Ortho!DU34</f>
        <v>3147400.0206537838</v>
      </c>
      <c r="K34" s="5">
        <f>Ortho!EF34</f>
        <v>3147919.2915989896</v>
      </c>
      <c r="L34" s="5">
        <f>Ortho!GV34</f>
        <v>2143840.3436232582</v>
      </c>
      <c r="M34" s="5">
        <f>Ortho!HQ34</f>
        <v>2087508.015140221</v>
      </c>
      <c r="N34" s="5">
        <f>Ortho!IL34</f>
        <v>2667588.7591919182</v>
      </c>
      <c r="O34" s="5">
        <f>Ortho!JG34</f>
        <v>2922580.4505186267</v>
      </c>
      <c r="P34" s="5">
        <f>Ortho!KI34</f>
        <v>3534047.0387442624</v>
      </c>
    </row>
    <row r="35" spans="1:16" x14ac:dyDescent="0.25">
      <c r="A35" s="53">
        <f>Ortho!A35</f>
        <v>2041</v>
      </c>
      <c r="B35" s="53">
        <f>Ortho!B35</f>
        <v>29</v>
      </c>
      <c r="C35" s="5">
        <f>Ortho!X35</f>
        <v>1913363.9061486991</v>
      </c>
      <c r="D35" s="5">
        <f>Ortho!AT35</f>
        <v>1931358.4612365635</v>
      </c>
      <c r="E35" s="5">
        <f>Ortho!BV35</f>
        <v>3291774.1328260093</v>
      </c>
      <c r="F35" s="5">
        <f>Ortho!CF35</f>
        <v>3304068.6438625641</v>
      </c>
      <c r="G35" s="5" t="e">
        <f>Ortho!CP35</f>
        <v>#VALUE!</v>
      </c>
      <c r="H35" s="5" t="e">
        <f>Ortho!CZ35</f>
        <v>#VALUE!</v>
      </c>
      <c r="I35" s="5">
        <f>Ortho!DJ35</f>
        <v>3296361.7489284258</v>
      </c>
      <c r="J35" s="5">
        <f>Ortho!DU35</f>
        <v>3289453.5072822715</v>
      </c>
      <c r="K35" s="5">
        <f>Ortho!EF35</f>
        <v>3289972.7782274773</v>
      </c>
      <c r="L35" s="5">
        <f>Ortho!GV35</f>
        <v>2283528.9678259324</v>
      </c>
      <c r="M35" s="5">
        <f>Ortho!HQ35</f>
        <v>2228377.7505959617</v>
      </c>
      <c r="N35" s="5">
        <f>Ortho!IL35</f>
        <v>2797080.4128332823</v>
      </c>
      <c r="O35" s="5">
        <f>Ortho!JG35</f>
        <v>3052072.1041599908</v>
      </c>
      <c r="P35" s="5">
        <f>Ortho!KI35</f>
        <v>3676100.5253727501</v>
      </c>
    </row>
    <row r="36" spans="1:16" x14ac:dyDescent="0.25">
      <c r="A36" s="53">
        <f>Ortho!A36</f>
        <v>2042</v>
      </c>
      <c r="B36" s="53">
        <f>Ortho!B36</f>
        <v>30</v>
      </c>
      <c r="C36" s="5">
        <f>Ortho!X36</f>
        <v>1978019.1852871627</v>
      </c>
      <c r="D36" s="5">
        <f>Ortho!AT36</f>
        <v>1995386.6720244554</v>
      </c>
      <c r="E36" s="5">
        <f>Ortho!BV36</f>
        <v>3430885.8210610845</v>
      </c>
      <c r="F36" s="5">
        <f>Ortho!CF36</f>
        <v>3437998.3100665477</v>
      </c>
      <c r="G36" s="5" t="e">
        <f>Ortho!CP36</f>
        <v>#VALUE!</v>
      </c>
      <c r="H36" s="5" t="e">
        <f>Ortho!CZ36</f>
        <v>#VALUE!</v>
      </c>
      <c r="I36" s="5">
        <f>Ortho!DJ36</f>
        <v>3435473.437163501</v>
      </c>
      <c r="J36" s="5">
        <f>Ortho!DU36</f>
        <v>3428565.1955173467</v>
      </c>
      <c r="K36" s="5">
        <f>Ortho!EF36</f>
        <v>3429084.4664625525</v>
      </c>
      <c r="L36" s="5">
        <f>Ortho!GV36</f>
        <v>2420128.0464000385</v>
      </c>
      <c r="M36" s="5">
        <f>Ortho!HQ36</f>
        <v>2366112.2968700458</v>
      </c>
      <c r="N36" s="5">
        <f>Ortho!IL36</f>
        <v>2923876.5785319619</v>
      </c>
      <c r="O36" s="5">
        <f>Ortho!JG36</f>
        <v>3178868.2698586704</v>
      </c>
      <c r="P36" s="5">
        <f>Ortho!KI36</f>
        <v>3815212.2136078253</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36"/>
  <sheetViews>
    <sheetView workbookViewId="0">
      <selection activeCell="F6" sqref="F6"/>
    </sheetView>
  </sheetViews>
  <sheetFormatPr defaultRowHeight="15" x14ac:dyDescent="0.25"/>
  <cols>
    <col min="1" max="1" width="5.28515625" customWidth="1"/>
    <col min="2" max="2" width="4.5703125" customWidth="1"/>
    <col min="3" max="3" width="13.140625" customWidth="1"/>
    <col min="4" max="4" width="13" customWidth="1"/>
    <col min="5" max="6" width="10.85546875" customWidth="1"/>
    <col min="7" max="7" width="11" customWidth="1"/>
    <col min="8" max="11" width="11.28515625" customWidth="1"/>
    <col min="12" max="12" width="10.85546875" customWidth="1"/>
    <col min="13" max="13" width="10.42578125" customWidth="1"/>
    <col min="14" max="14" width="10.85546875" customWidth="1"/>
    <col min="15" max="15" width="10.7109375" customWidth="1"/>
    <col min="16" max="16" width="9.7109375" customWidth="1"/>
  </cols>
  <sheetData>
    <row r="1" spans="1:20" ht="15.6" x14ac:dyDescent="0.3">
      <c r="B1" s="55" t="s">
        <v>463</v>
      </c>
      <c r="D1" s="55" t="s">
        <v>467</v>
      </c>
      <c r="G1" s="55" t="str">
        <f>InputData!$G$1</f>
        <v>San Antonio, TX</v>
      </c>
      <c r="S1" t="s">
        <v>462</v>
      </c>
      <c r="T1" t="str">
        <f>"Net Present Value of Cash Flows " &amp; D1 &amp; ", " &amp; G1</f>
        <v>Net Present Value of Cash Flows GENERAL SURGERY, San Antonio, TX</v>
      </c>
    </row>
    <row r="3" spans="1:20" ht="14.45" x14ac:dyDescent="0.3">
      <c r="A3" t="s">
        <v>252</v>
      </c>
      <c r="C3" t="e">
        <f t="shared" ref="C3:O3" si="0">_xlfn.RANK.EQ(C$36,$C$36:$O$36,0)</f>
        <v>#VALUE!</v>
      </c>
      <c r="D3" t="e">
        <f t="shared" si="0"/>
        <v>#VALUE!</v>
      </c>
      <c r="E3" t="e">
        <f t="shared" si="0"/>
        <v>#VALUE!</v>
      </c>
      <c r="F3" t="e">
        <f t="shared" si="0"/>
        <v>#VALUE!</v>
      </c>
      <c r="G3" t="e">
        <f t="shared" si="0"/>
        <v>#VALUE!</v>
      </c>
      <c r="H3" t="e">
        <f t="shared" si="0"/>
        <v>#VALUE!</v>
      </c>
      <c r="I3" t="e">
        <f t="shared" si="0"/>
        <v>#VALUE!</v>
      </c>
      <c r="J3" t="e">
        <f t="shared" si="0"/>
        <v>#VALUE!</v>
      </c>
      <c r="K3" t="e">
        <f t="shared" si="0"/>
        <v>#VALUE!</v>
      </c>
      <c r="L3" t="e">
        <f t="shared" si="0"/>
        <v>#VALUE!</v>
      </c>
      <c r="M3" t="e">
        <f t="shared" si="0"/>
        <v>#VALUE!</v>
      </c>
      <c r="N3" t="e">
        <f t="shared" si="0"/>
        <v>#VALUE!</v>
      </c>
      <c r="O3" t="e">
        <f t="shared" si="0"/>
        <v>#VALUE!</v>
      </c>
    </row>
    <row r="4" spans="1:20" ht="14.45" x14ac:dyDescent="0.3">
      <c r="A4" t="s">
        <v>253</v>
      </c>
      <c r="C4" s="26" t="e">
        <f t="shared" ref="C4:O4" si="1">C$36/HLOOKUP(1,$C$3:$O$36,34,FALSE)</f>
        <v>#N/A</v>
      </c>
      <c r="D4" s="26" t="e">
        <f t="shared" si="1"/>
        <v>#N/A</v>
      </c>
      <c r="E4" s="26" t="e">
        <f t="shared" si="1"/>
        <v>#N/A</v>
      </c>
      <c r="F4" s="29" t="e">
        <f t="shared" si="1"/>
        <v>#N/A</v>
      </c>
      <c r="G4" s="26" t="e">
        <f t="shared" si="1"/>
        <v>#VALUE!</v>
      </c>
      <c r="H4" s="26" t="e">
        <f t="shared" si="1"/>
        <v>#N/A</v>
      </c>
      <c r="I4" s="26" t="e">
        <f t="shared" si="1"/>
        <v>#N/A</v>
      </c>
      <c r="J4" s="26" t="e">
        <f t="shared" si="1"/>
        <v>#N/A</v>
      </c>
      <c r="K4" s="26" t="e">
        <f t="shared" si="1"/>
        <v>#N/A</v>
      </c>
      <c r="L4" s="26" t="e">
        <f t="shared" si="1"/>
        <v>#N/A</v>
      </c>
      <c r="M4" s="26" t="e">
        <f t="shared" si="1"/>
        <v>#N/A</v>
      </c>
      <c r="N4" s="26" t="e">
        <f t="shared" si="1"/>
        <v>#N/A</v>
      </c>
      <c r="O4" s="26" t="e">
        <f t="shared" si="1"/>
        <v>#N/A</v>
      </c>
    </row>
    <row r="5" spans="1:20" ht="60.6" x14ac:dyDescent="0.3">
      <c r="A5" s="57" t="str">
        <f>GenSurg!A5</f>
        <v>Year (calendar)</v>
      </c>
      <c r="B5" s="57" t="str">
        <f>GenSurg!B5</f>
        <v>Year</v>
      </c>
      <c r="C5" s="58" t="str">
        <f>GenSurg!X5</f>
        <v>NPV of USU Cash Flow (cumulative)</v>
      </c>
      <c r="D5" s="58" t="str">
        <f>GenSurg!AT5</f>
        <v>NPV of HPSP Cash Flow (cumulative)</v>
      </c>
      <c r="E5" s="58" t="str">
        <f>GenSurg!BV5</f>
        <v>NPV of STD cash flow (cumulative)</v>
      </c>
      <c r="F5" s="28" t="str">
        <f>GenSurg!CF5</f>
        <v>NPV of EXT cash flow (cumulative)</v>
      </c>
      <c r="G5" s="58" t="str">
        <f>GenSurg!CP5</f>
        <v>NPV of IBR cash flow (cumulative)</v>
      </c>
      <c r="H5" s="58" t="str">
        <f>GenSurg!CZ5</f>
        <v>NPV of PAYE cash flow (cumulative)</v>
      </c>
      <c r="I5" s="58" t="str">
        <f>GenSurg!DJ5</f>
        <v>NPV of STD10R cash flow w/out forbearance (cumulative)</v>
      </c>
      <c r="J5" s="58" t="str">
        <f>GenSurg!DU5</f>
        <v>NPV of IBRR cash flow w/out forbearance (cumulative)</v>
      </c>
      <c r="K5" s="58" t="str">
        <f>GenSurg!EF5</f>
        <v>NPV of PAYER cash flow  w/out forbearance (cumulative)</v>
      </c>
      <c r="L5" s="58" t="str">
        <f>GenSurg!GV5</f>
        <v>NPV of Ret20USU Cash Flow (cumulative)</v>
      </c>
      <c r="M5" s="58" t="str">
        <f>GenSurg!HQ5</f>
        <v>NPV of Ret20HPSP Cash Flow (cumulative)</v>
      </c>
      <c r="N5" s="58" t="str">
        <f>GenSurg!IL5</f>
        <v>NPV of USUPriv Cash Flow (cumulative)</v>
      </c>
      <c r="O5" s="58" t="str">
        <f>GenSurg!JG5</f>
        <v>NPV of HPSPPriv Cash Flow (cumulative)</v>
      </c>
      <c r="P5" s="58" t="str">
        <f>GenSurg!KI5</f>
        <v>NPV of Zero Borrowing (cumulative)</v>
      </c>
    </row>
    <row r="6" spans="1:20" ht="14.45" x14ac:dyDescent="0.3">
      <c r="A6" s="46" t="str">
        <f>A5</f>
        <v>Year (calendar)</v>
      </c>
      <c r="B6" s="46" t="str">
        <f>B5</f>
        <v>Year</v>
      </c>
      <c r="C6" s="81" t="s">
        <v>518</v>
      </c>
      <c r="D6" s="81" t="s">
        <v>519</v>
      </c>
      <c r="E6" s="81" t="s">
        <v>214</v>
      </c>
      <c r="F6" s="81" t="s">
        <v>393</v>
      </c>
      <c r="G6" s="81" t="s">
        <v>16</v>
      </c>
      <c r="H6" s="81" t="s">
        <v>114</v>
      </c>
      <c r="I6" s="81" t="s">
        <v>520</v>
      </c>
      <c r="J6" s="81" t="s">
        <v>521</v>
      </c>
      <c r="K6" s="81" t="s">
        <v>522</v>
      </c>
      <c r="L6" s="81" t="s">
        <v>523</v>
      </c>
      <c r="M6" s="81" t="s">
        <v>524</v>
      </c>
      <c r="N6" s="81" t="s">
        <v>525</v>
      </c>
      <c r="O6" s="81" t="s">
        <v>526</v>
      </c>
      <c r="P6" s="81" t="s">
        <v>527</v>
      </c>
    </row>
    <row r="7" spans="1:20" ht="14.45" x14ac:dyDescent="0.3">
      <c r="A7" s="53">
        <f>GenSurg!A7</f>
        <v>2013</v>
      </c>
      <c r="B7" s="53">
        <f>GenSurg!B7</f>
        <v>1</v>
      </c>
      <c r="C7" s="5">
        <f>GenSurg!X7</f>
        <v>54056.194799999997</v>
      </c>
      <c r="D7" s="5">
        <f>GenSurg!AT7</f>
        <v>43551.744866529771</v>
      </c>
      <c r="E7" s="5">
        <f>GenSurg!BV7</f>
        <v>-43015.05</v>
      </c>
      <c r="F7" s="5">
        <f>GenSurg!CF7</f>
        <v>-43015.05</v>
      </c>
      <c r="G7" s="5">
        <f>GenSurg!CP7</f>
        <v>-43015.05</v>
      </c>
      <c r="H7" s="5">
        <f>GenSurg!CZ7</f>
        <v>-43015.05</v>
      </c>
      <c r="I7" s="5">
        <f>GenSurg!DJ7</f>
        <v>-43015.05</v>
      </c>
      <c r="J7" s="5">
        <f>GenSurg!DU7</f>
        <v>-43015.05</v>
      </c>
      <c r="K7" s="5">
        <f>GenSurg!EF7</f>
        <v>-43015.05</v>
      </c>
      <c r="L7" s="5">
        <f>GenSurg!GV7</f>
        <v>54056.194799999997</v>
      </c>
      <c r="M7" s="5">
        <f>GenSurg!HQ7</f>
        <v>43551.744866529771</v>
      </c>
      <c r="N7" s="5">
        <f>GenSurg!IL7</f>
        <v>54056.194799999997</v>
      </c>
      <c r="O7" s="5">
        <f>GenSurg!JG7</f>
        <v>43551.744866529771</v>
      </c>
      <c r="P7" s="5">
        <f>GenSurg!KI7</f>
        <v>0</v>
      </c>
    </row>
    <row r="8" spans="1:20" ht="14.45" x14ac:dyDescent="0.3">
      <c r="A8" s="53">
        <f>GenSurg!A8</f>
        <v>2014</v>
      </c>
      <c r="B8" s="53">
        <f>GenSurg!B8</f>
        <v>2</v>
      </c>
      <c r="C8" s="5">
        <f>GenSurg!X8</f>
        <v>106041.93556527697</v>
      </c>
      <c r="D8" s="5">
        <f>GenSurg!AT8</f>
        <v>69389.851463288214</v>
      </c>
      <c r="E8" s="5">
        <f>GenSurg!BV8</f>
        <v>-86352.285865219877</v>
      </c>
      <c r="F8" s="5">
        <f>GenSurg!CF8</f>
        <v>-86352.285865219877</v>
      </c>
      <c r="G8" s="5">
        <f>GenSurg!CP8</f>
        <v>-86352.285865219877</v>
      </c>
      <c r="H8" s="5">
        <f>GenSurg!CZ8</f>
        <v>-86352.285865219877</v>
      </c>
      <c r="I8" s="5">
        <f>GenSurg!DJ8</f>
        <v>-86352.285865219877</v>
      </c>
      <c r="J8" s="5">
        <f>GenSurg!DU8</f>
        <v>-86352.285865219877</v>
      </c>
      <c r="K8" s="5">
        <f>GenSurg!EF8</f>
        <v>-86352.285865219877</v>
      </c>
      <c r="L8" s="5">
        <f>GenSurg!GV8</f>
        <v>106041.93556527697</v>
      </c>
      <c r="M8" s="5">
        <f>GenSurg!HQ8</f>
        <v>69389.851463288214</v>
      </c>
      <c r="N8" s="5">
        <f>GenSurg!IL8</f>
        <v>106041.93556527697</v>
      </c>
      <c r="O8" s="5">
        <f>GenSurg!JG8</f>
        <v>69389.851463288214</v>
      </c>
      <c r="P8" s="5">
        <f>GenSurg!KI8</f>
        <v>0</v>
      </c>
    </row>
    <row r="9" spans="1:20" ht="14.45" x14ac:dyDescent="0.3">
      <c r="A9" s="53">
        <f>GenSurg!A9</f>
        <v>2015</v>
      </c>
      <c r="B9" s="53">
        <f>GenSurg!B9</f>
        <v>3</v>
      </c>
      <c r="C9" s="5">
        <f>GenSurg!X9</f>
        <v>157045.52189700573</v>
      </c>
      <c r="D9" s="5">
        <f>GenSurg!AT9</f>
        <v>94384.024082394724</v>
      </c>
      <c r="E9" s="5">
        <f>GenSurg!BV9</f>
        <v>-138541.19578403595</v>
      </c>
      <c r="F9" s="5">
        <f>GenSurg!CF9</f>
        <v>-138541.19578403595</v>
      </c>
      <c r="G9" s="5">
        <f>GenSurg!CP9</f>
        <v>-138541.19578403595</v>
      </c>
      <c r="H9" s="5">
        <f>GenSurg!CZ9</f>
        <v>-138541.19578403595</v>
      </c>
      <c r="I9" s="5">
        <f>GenSurg!DJ9</f>
        <v>-138541.19578403595</v>
      </c>
      <c r="J9" s="5">
        <f>GenSurg!DU9</f>
        <v>-138541.19578403595</v>
      </c>
      <c r="K9" s="5">
        <f>GenSurg!EF9</f>
        <v>-138541.19578403595</v>
      </c>
      <c r="L9" s="5">
        <f>GenSurg!GV9</f>
        <v>157045.52189700573</v>
      </c>
      <c r="M9" s="5">
        <f>GenSurg!HQ9</f>
        <v>94384.024082394724</v>
      </c>
      <c r="N9" s="5">
        <f>GenSurg!IL9</f>
        <v>157045.52189700573</v>
      </c>
      <c r="O9" s="5">
        <f>GenSurg!JG9</f>
        <v>94384.024082394724</v>
      </c>
      <c r="P9" s="5">
        <f>GenSurg!KI9</f>
        <v>0</v>
      </c>
    </row>
    <row r="10" spans="1:20" ht="14.45" x14ac:dyDescent="0.3">
      <c r="A10" s="53">
        <f>GenSurg!A10</f>
        <v>2016</v>
      </c>
      <c r="B10" s="53">
        <f>GenSurg!B10</f>
        <v>4</v>
      </c>
      <c r="C10" s="5">
        <f>GenSurg!X10</f>
        <v>211251.55229740124</v>
      </c>
      <c r="D10" s="5">
        <f>GenSurg!AT10</f>
        <v>119127.82998672797</v>
      </c>
      <c r="E10" s="5">
        <f>GenSurg!BV10</f>
        <v>-190867.38028908212</v>
      </c>
      <c r="F10" s="5">
        <f>GenSurg!CF10</f>
        <v>-190867.38028908212</v>
      </c>
      <c r="G10" s="5">
        <f>GenSurg!CP10</f>
        <v>-190867.38028908212</v>
      </c>
      <c r="H10" s="5">
        <f>GenSurg!CZ10</f>
        <v>-190867.38028908212</v>
      </c>
      <c r="I10" s="5">
        <f>GenSurg!DJ10</f>
        <v>-190867.38028908212</v>
      </c>
      <c r="J10" s="5">
        <f>GenSurg!DU10</f>
        <v>-190867.38028908212</v>
      </c>
      <c r="K10" s="5">
        <f>GenSurg!EF10</f>
        <v>-190867.38028908212</v>
      </c>
      <c r="L10" s="5">
        <f>GenSurg!GV10</f>
        <v>211251.55229740124</v>
      </c>
      <c r="M10" s="5">
        <f>GenSurg!HQ10</f>
        <v>119127.82998672797</v>
      </c>
      <c r="N10" s="5">
        <f>GenSurg!IL10</f>
        <v>211251.55229740124</v>
      </c>
      <c r="O10" s="5">
        <f>GenSurg!JG10</f>
        <v>119127.82998672797</v>
      </c>
      <c r="P10" s="5">
        <f>GenSurg!KI10</f>
        <v>0</v>
      </c>
    </row>
    <row r="11" spans="1:20" ht="14.45" x14ac:dyDescent="0.3">
      <c r="A11" s="53">
        <f>GenSurg!A11</f>
        <v>2017</v>
      </c>
      <c r="B11" s="53">
        <f>GenSurg!B11</f>
        <v>5</v>
      </c>
      <c r="C11" s="5">
        <f>GenSurg!X11</f>
        <v>261213.54479899554</v>
      </c>
      <c r="D11" s="5">
        <f>GenSurg!AT11</f>
        <v>169089.82248832227</v>
      </c>
      <c r="E11" s="5">
        <f>GenSurg!BV11</f>
        <v>-154981.05168717628</v>
      </c>
      <c r="F11" s="5">
        <f>GenSurg!CF11</f>
        <v>-154981.05168717628</v>
      </c>
      <c r="G11" s="5">
        <f>GenSurg!CP11</f>
        <v>-154981.05168717628</v>
      </c>
      <c r="H11" s="5">
        <f>GenSurg!CZ11</f>
        <v>-154981.05168717628</v>
      </c>
      <c r="I11" s="5">
        <f>GenSurg!DJ11</f>
        <v>-166943.9067383607</v>
      </c>
      <c r="J11" s="5">
        <f>GenSurg!DU11</f>
        <v>-159376.263840158</v>
      </c>
      <c r="K11" s="5">
        <f>GenSurg!EF11</f>
        <v>-157911.19312249744</v>
      </c>
      <c r="L11" s="5">
        <f>GenSurg!GV11</f>
        <v>261213.54479899554</v>
      </c>
      <c r="M11" s="5">
        <f>GenSurg!HQ11</f>
        <v>169089.82248832227</v>
      </c>
      <c r="N11" s="5">
        <f>GenSurg!IL11</f>
        <v>261213.54479899554</v>
      </c>
      <c r="O11" s="5">
        <f>GenSurg!JG11</f>
        <v>169089.82248832227</v>
      </c>
      <c r="P11" s="5">
        <f>GenSurg!KI11</f>
        <v>35886.328601905836</v>
      </c>
    </row>
    <row r="12" spans="1:20" ht="14.45" x14ac:dyDescent="0.3">
      <c r="A12" s="53">
        <f>GenSurg!A12</f>
        <v>2018</v>
      </c>
      <c r="B12" s="53">
        <f>GenSurg!B12</f>
        <v>6</v>
      </c>
      <c r="C12" s="5">
        <f>GenSurg!X12</f>
        <v>311474.37448667729</v>
      </c>
      <c r="D12" s="5">
        <f>GenSurg!AT12</f>
        <v>219350.65217600405</v>
      </c>
      <c r="E12" s="5">
        <f>GenSurg!BV12</f>
        <v>-118995.92937851879</v>
      </c>
      <c r="F12" s="5">
        <f>GenSurg!CF12</f>
        <v>-118995.92937851879</v>
      </c>
      <c r="G12" s="5">
        <f>GenSurg!CP12</f>
        <v>-118995.92937851879</v>
      </c>
      <c r="H12" s="5">
        <f>GenSurg!CZ12</f>
        <v>-118995.92937851879</v>
      </c>
      <c r="I12" s="5">
        <f>GenSurg!DJ12</f>
        <v>-153732.16164497906</v>
      </c>
      <c r="J12" s="5">
        <f>GenSurg!DU12</f>
        <v>-127913.13213476112</v>
      </c>
      <c r="K12" s="5">
        <f>GenSurg!EF12</f>
        <v>-124940.73121601369</v>
      </c>
      <c r="L12" s="5">
        <f>GenSurg!GV12</f>
        <v>311474.37448667729</v>
      </c>
      <c r="M12" s="5">
        <f>GenSurg!HQ12</f>
        <v>219350.65217600405</v>
      </c>
      <c r="N12" s="5">
        <f>GenSurg!IL12</f>
        <v>311474.37448667729</v>
      </c>
      <c r="O12" s="5">
        <f>GenSurg!JG12</f>
        <v>219350.65217600405</v>
      </c>
      <c r="P12" s="5">
        <f>GenSurg!KI12</f>
        <v>71871.450910563319</v>
      </c>
    </row>
    <row r="13" spans="1:20" ht="14.45" x14ac:dyDescent="0.3">
      <c r="A13" s="53">
        <f>GenSurg!A13</f>
        <v>2019</v>
      </c>
      <c r="B13" s="53">
        <f>GenSurg!B13</f>
        <v>7</v>
      </c>
      <c r="C13" s="5">
        <f>GenSurg!X13</f>
        <v>363115.97670968575</v>
      </c>
      <c r="D13" s="5">
        <f>GenSurg!AT13</f>
        <v>270992.25439901254</v>
      </c>
      <c r="E13" s="5">
        <f>GenSurg!BV13</f>
        <v>-82904.654937055282</v>
      </c>
      <c r="F13" s="5">
        <f>GenSurg!CF13</f>
        <v>-82904.654937055282</v>
      </c>
      <c r="G13" s="5">
        <f>GenSurg!CP13</f>
        <v>-82904.654937055282</v>
      </c>
      <c r="H13" s="5">
        <f>GenSurg!CZ13</f>
        <v>-82904.654937055282</v>
      </c>
      <c r="I13" s="5">
        <f>GenSurg!DJ13</f>
        <v>-139317.43128811088</v>
      </c>
      <c r="J13" s="5">
        <f>GenSurg!DU13</f>
        <v>-96469.213883902426</v>
      </c>
      <c r="K13" s="5">
        <f>GenSurg!EF13</f>
        <v>-91947.694234953393</v>
      </c>
      <c r="L13" s="5">
        <f>GenSurg!GV13</f>
        <v>363115.97670968575</v>
      </c>
      <c r="M13" s="5">
        <f>GenSurg!HQ13</f>
        <v>270992.25439901254</v>
      </c>
      <c r="N13" s="5">
        <f>GenSurg!IL13</f>
        <v>363115.97670968575</v>
      </c>
      <c r="O13" s="5">
        <f>GenSurg!JG13</f>
        <v>270992.25439901254</v>
      </c>
      <c r="P13" s="5">
        <f>GenSurg!KI13</f>
        <v>107962.72535202681</v>
      </c>
    </row>
    <row r="14" spans="1:20" ht="14.45" x14ac:dyDescent="0.3">
      <c r="A14" s="53">
        <f>GenSurg!A14</f>
        <v>2020</v>
      </c>
      <c r="B14" s="53">
        <f>GenSurg!B14</f>
        <v>8</v>
      </c>
      <c r="C14" s="5">
        <f>GenSurg!X14</f>
        <v>414930.34262192424</v>
      </c>
      <c r="D14" s="5">
        <f>GenSurg!AT14</f>
        <v>322806.62031125103</v>
      </c>
      <c r="E14" s="5">
        <f>GenSurg!BV14</f>
        <v>-46699.992676364229</v>
      </c>
      <c r="F14" s="5">
        <f>GenSurg!CF14</f>
        <v>-46699.992676364229</v>
      </c>
      <c r="G14" s="5">
        <f>GenSurg!CP14</f>
        <v>-46699.992676364229</v>
      </c>
      <c r="H14" s="5">
        <f>GenSurg!CZ14</f>
        <v>-46699.992676364229</v>
      </c>
      <c r="I14" s="5">
        <f>GenSurg!DJ14</f>
        <v>-123745.30670550409</v>
      </c>
      <c r="J14" s="5">
        <f>GenSurg!DU14</f>
        <v>-65035.922086779574</v>
      </c>
      <c r="K14" s="5">
        <f>GenSurg!EF14</f>
        <v>-58923.94561664114</v>
      </c>
      <c r="L14" s="5">
        <f>GenSurg!GV14</f>
        <v>414930.34262192424</v>
      </c>
      <c r="M14" s="5">
        <f>GenSurg!HQ14</f>
        <v>322806.62031125103</v>
      </c>
      <c r="N14" s="5">
        <f>GenSurg!IL14</f>
        <v>414930.34262192424</v>
      </c>
      <c r="O14" s="5">
        <f>GenSurg!JG14</f>
        <v>322806.62031125103</v>
      </c>
      <c r="P14" s="5">
        <f>GenSurg!KI14</f>
        <v>144167.38761271787</v>
      </c>
    </row>
    <row r="15" spans="1:20" ht="14.45" x14ac:dyDescent="0.3">
      <c r="A15" s="53">
        <f>GenSurg!A15</f>
        <v>2021</v>
      </c>
      <c r="B15" s="53">
        <f>GenSurg!B15</f>
        <v>9</v>
      </c>
      <c r="C15" s="5">
        <f>GenSurg!X15</f>
        <v>467290.95730725891</v>
      </c>
      <c r="D15" s="5">
        <f>GenSurg!AT15</f>
        <v>375167.2349965857</v>
      </c>
      <c r="E15" s="5">
        <f>GenSurg!BV15</f>
        <v>-10374.82525529444</v>
      </c>
      <c r="F15" s="5">
        <f>GenSurg!CF15</f>
        <v>-10374.82525529444</v>
      </c>
      <c r="G15" s="5">
        <f>GenSurg!CP15</f>
        <v>-10374.82525529444</v>
      </c>
      <c r="H15" s="5">
        <f>GenSurg!CZ15</f>
        <v>-10374.82525529444</v>
      </c>
      <c r="I15" s="5">
        <f>GenSurg!DJ15</f>
        <v>-107058.95298906429</v>
      </c>
      <c r="J15" s="5">
        <f>GenSurg!DU15</f>
        <v>-33604.8480262374</v>
      </c>
      <c r="K15" s="5">
        <f>GenSurg!EF15</f>
        <v>-25861.507102589763</v>
      </c>
      <c r="L15" s="5">
        <f>GenSurg!GV15</f>
        <v>467290.95730725891</v>
      </c>
      <c r="M15" s="5">
        <f>GenSurg!HQ15</f>
        <v>375167.2349965857</v>
      </c>
      <c r="N15" s="5">
        <f>GenSurg!IL15</f>
        <v>467290.95730725891</v>
      </c>
      <c r="O15" s="5">
        <f>GenSurg!JG15</f>
        <v>375167.2349965857</v>
      </c>
      <c r="P15" s="5">
        <f>GenSurg!KI15</f>
        <v>180492.55503378765</v>
      </c>
    </row>
    <row r="16" spans="1:20" ht="14.45" x14ac:dyDescent="0.3">
      <c r="A16" s="53">
        <f>GenSurg!A16</f>
        <v>2022</v>
      </c>
      <c r="B16" s="53">
        <f>GenSurg!B16</f>
        <v>10</v>
      </c>
      <c r="C16" s="5">
        <f>GenSurg!X16</f>
        <v>524763.22436689748</v>
      </c>
      <c r="D16" s="5">
        <f>GenSurg!AT16</f>
        <v>432639.50205622433</v>
      </c>
      <c r="E16" s="5">
        <f>GenSurg!BV16</f>
        <v>126716.25647772686</v>
      </c>
      <c r="F16" s="5">
        <f>GenSurg!CF16</f>
        <v>136725.51222371613</v>
      </c>
      <c r="G16" s="5" t="e">
        <f>GenSurg!CP16</f>
        <v>#VALUE!</v>
      </c>
      <c r="H16" s="5">
        <f>GenSurg!CZ16</f>
        <v>128657.86812640875</v>
      </c>
      <c r="I16" s="5">
        <f>GenSurg!DJ16</f>
        <v>35255.873737064641</v>
      </c>
      <c r="J16" s="5">
        <f>GenSurg!DU16</f>
        <v>108709.97869989154</v>
      </c>
      <c r="K16" s="5">
        <f>GenSurg!EF16</f>
        <v>116453.31962353917</v>
      </c>
      <c r="L16" s="5">
        <f>GenSurg!GV16</f>
        <v>524763.22436689748</v>
      </c>
      <c r="M16" s="5">
        <f>GenSurg!HQ16</f>
        <v>432639.50205622433</v>
      </c>
      <c r="N16" s="5">
        <f>GenSurg!IL16</f>
        <v>524763.22436689748</v>
      </c>
      <c r="O16" s="5">
        <f>GenSurg!JG16</f>
        <v>432639.50205622433</v>
      </c>
      <c r="P16" s="5">
        <f>GenSurg!KI16</f>
        <v>341500.33217361348</v>
      </c>
    </row>
    <row r="17" spans="1:16" ht="14.45" x14ac:dyDescent="0.3">
      <c r="A17" s="53">
        <f>GenSurg!A17</f>
        <v>2023</v>
      </c>
      <c r="B17" s="53">
        <f>GenSurg!B17</f>
        <v>11</v>
      </c>
      <c r="C17" s="5">
        <f>GenSurg!X17</f>
        <v>588449.02039398521</v>
      </c>
      <c r="D17" s="5">
        <f>GenSurg!AT17</f>
        <v>496325.29808331205</v>
      </c>
      <c r="E17" s="5">
        <f>GenSurg!BV17</f>
        <v>260269.6900164836</v>
      </c>
      <c r="F17" s="5">
        <f>GenSurg!CF17</f>
        <v>279806.1261793673</v>
      </c>
      <c r="G17" s="5" t="e">
        <f>GenSurg!CP17</f>
        <v>#VALUE!</v>
      </c>
      <c r="H17" s="5">
        <f>GenSurg!CZ17</f>
        <v>263641.06558437302</v>
      </c>
      <c r="I17" s="5">
        <f>GenSurg!DJ17</f>
        <v>173781.4612764949</v>
      </c>
      <c r="J17" s="5">
        <f>GenSurg!DU17</f>
        <v>247235.56623932181</v>
      </c>
      <c r="K17" s="5">
        <f>GenSurg!EF17</f>
        <v>254978.90716296944</v>
      </c>
      <c r="L17" s="5">
        <f>GenSurg!GV17</f>
        <v>588449.02039398521</v>
      </c>
      <c r="M17" s="5">
        <f>GenSurg!HQ17</f>
        <v>496325.29808331205</v>
      </c>
      <c r="N17" s="5">
        <f>GenSurg!IL17</f>
        <v>588449.02039398521</v>
      </c>
      <c r="O17" s="5">
        <f>GenSurg!JG17</f>
        <v>496325.29808331205</v>
      </c>
      <c r="P17" s="5">
        <f>GenSurg!KI17</f>
        <v>497818.56240645412</v>
      </c>
    </row>
    <row r="18" spans="1:16" ht="14.45" x14ac:dyDescent="0.3">
      <c r="A18" s="53">
        <f>GenSurg!A18</f>
        <v>2024</v>
      </c>
      <c r="B18" s="53">
        <f>GenSurg!B18</f>
        <v>12</v>
      </c>
      <c r="C18" s="5">
        <f>GenSurg!X18</f>
        <v>649720.24660637928</v>
      </c>
      <c r="D18" s="5">
        <f>GenSurg!AT18</f>
        <v>557596.52429570619</v>
      </c>
      <c r="E18" s="5">
        <f>GenSurg!BV18</f>
        <v>391777.7557580428</v>
      </c>
      <c r="F18" s="5">
        <f>GenSurg!CF18</f>
        <v>420382.51518086786</v>
      </c>
      <c r="G18" s="5" t="e">
        <f>GenSurg!CP18</f>
        <v>#VALUE!</v>
      </c>
      <c r="H18" s="5">
        <f>GenSurg!CZ18</f>
        <v>395888.60255888291</v>
      </c>
      <c r="I18" s="5">
        <f>GenSurg!DJ18</f>
        <v>310022.20739181532</v>
      </c>
      <c r="J18" s="5">
        <f>GenSurg!DU18</f>
        <v>383476.3123546422</v>
      </c>
      <c r="K18" s="5">
        <f>GenSurg!EF18</f>
        <v>391219.65327828983</v>
      </c>
      <c r="L18" s="5">
        <f>GenSurg!GV18</f>
        <v>649720.24660637928</v>
      </c>
      <c r="M18" s="5">
        <f>GenSurg!HQ18</f>
        <v>557596.52429570619</v>
      </c>
      <c r="N18" s="5">
        <f>GenSurg!IL18</f>
        <v>649720.24660637928</v>
      </c>
      <c r="O18" s="5">
        <f>GenSurg!JG18</f>
        <v>557596.52429570619</v>
      </c>
      <c r="P18" s="5">
        <f>GenSurg!KI18</f>
        <v>650995.00497466838</v>
      </c>
    </row>
    <row r="19" spans="1:16" ht="14.45" x14ac:dyDescent="0.3">
      <c r="A19" s="53">
        <f>GenSurg!A19</f>
        <v>2025</v>
      </c>
      <c r="B19" s="53">
        <f>GenSurg!B19</f>
        <v>13</v>
      </c>
      <c r="C19" s="5">
        <f>GenSurg!X19</f>
        <v>710146.70996840461</v>
      </c>
      <c r="D19" s="5">
        <f>GenSurg!AT19</f>
        <v>618022.98765773152</v>
      </c>
      <c r="E19" s="5">
        <f>GenSurg!BV19</f>
        <v>521251.48525104066</v>
      </c>
      <c r="F19" s="5">
        <f>GenSurg!CF19</f>
        <v>558487.81069322745</v>
      </c>
      <c r="G19" s="5" t="e">
        <f>GenSurg!CP19</f>
        <v>#VALUE!</v>
      </c>
      <c r="H19" s="5">
        <f>GenSurg!CZ19</f>
        <v>525456.70967841556</v>
      </c>
      <c r="I19" s="5">
        <f>GenSurg!DJ19</f>
        <v>444000.67738905957</v>
      </c>
      <c r="J19" s="5">
        <f>GenSurg!DU19</f>
        <v>517454.78235188645</v>
      </c>
      <c r="K19" s="5">
        <f>GenSurg!EF19</f>
        <v>525198.12327553402</v>
      </c>
      <c r="L19" s="5">
        <f>GenSurg!GV19</f>
        <v>710146.70996840461</v>
      </c>
      <c r="M19" s="5">
        <f>GenSurg!HQ19</f>
        <v>618022.98765773152</v>
      </c>
      <c r="N19" s="5">
        <f>GenSurg!IL19</f>
        <v>710146.70996840461</v>
      </c>
      <c r="O19" s="5">
        <f>GenSurg!JG19</f>
        <v>618022.98765773152</v>
      </c>
      <c r="P19" s="5">
        <f>GenSurg!KI19</f>
        <v>801093.49824708293</v>
      </c>
    </row>
    <row r="20" spans="1:16" ht="14.45" x14ac:dyDescent="0.3">
      <c r="A20" s="53">
        <f>GenSurg!A20</f>
        <v>2026</v>
      </c>
      <c r="B20" s="53">
        <f>GenSurg!B20</f>
        <v>14</v>
      </c>
      <c r="C20" s="5">
        <f>GenSurg!X20</f>
        <v>768281.88741084014</v>
      </c>
      <c r="D20" s="5">
        <f>GenSurg!AT20</f>
        <v>721067.05610948522</v>
      </c>
      <c r="E20" s="5">
        <f>GenSurg!BV20</f>
        <v>648703.13655583677</v>
      </c>
      <c r="F20" s="5">
        <f>GenSurg!CF20</f>
        <v>694155.30629591213</v>
      </c>
      <c r="G20" s="5" t="e">
        <f>GenSurg!CP20</f>
        <v>#VALUE!</v>
      </c>
      <c r="H20" s="5">
        <f>GenSurg!CZ20</f>
        <v>652908.36098321166</v>
      </c>
      <c r="I20" s="5">
        <f>GenSurg!DJ20</f>
        <v>575740.10758615192</v>
      </c>
      <c r="J20" s="5">
        <f>GenSurg!DU20</f>
        <v>649194.21254897874</v>
      </c>
      <c r="K20" s="5">
        <f>GenSurg!EF20</f>
        <v>656937.55347262637</v>
      </c>
      <c r="L20" s="5">
        <f>GenSurg!GV20</f>
        <v>768281.88741084014</v>
      </c>
      <c r="M20" s="5">
        <f>GenSurg!HQ20</f>
        <v>721067.05610948522</v>
      </c>
      <c r="N20" s="5">
        <f>GenSurg!IL20</f>
        <v>768281.88741084014</v>
      </c>
      <c r="O20" s="5">
        <f>GenSurg!JG20</f>
        <v>751135.41100229369</v>
      </c>
      <c r="P20" s="5">
        <f>GenSurg!KI20</f>
        <v>948176.56377176929</v>
      </c>
    </row>
    <row r="21" spans="1:16" ht="14.45" x14ac:dyDescent="0.3">
      <c r="A21" s="53">
        <f>GenSurg!A21</f>
        <v>2027</v>
      </c>
      <c r="B21" s="53">
        <f>GenSurg!B21</f>
        <v>15</v>
      </c>
      <c r="C21" s="5">
        <f>GenSurg!X21</f>
        <v>826352.17485501105</v>
      </c>
      <c r="D21" s="5">
        <f>GenSurg!AT21</f>
        <v>822364.88356813905</v>
      </c>
      <c r="E21" s="5">
        <f>GenSurg!BV21</f>
        <v>774146.09946589032</v>
      </c>
      <c r="F21" s="5">
        <f>GenSurg!CF21</f>
        <v>827418.41416873795</v>
      </c>
      <c r="G21" s="5" t="e">
        <f>GenSurg!CP21</f>
        <v>#VALUE!</v>
      </c>
      <c r="H21" s="5">
        <f>GenSurg!CZ21</f>
        <v>778351.32389326522</v>
      </c>
      <c r="I21" s="5">
        <f>GenSurg!DJ21</f>
        <v>712566.65754750289</v>
      </c>
      <c r="J21" s="5">
        <f>GenSurg!DU21</f>
        <v>778718.44225162338</v>
      </c>
      <c r="K21" s="5">
        <f>GenSurg!EF21</f>
        <v>786461.783175271</v>
      </c>
      <c r="L21" s="5">
        <f>GenSurg!GV21</f>
        <v>826352.17485501105</v>
      </c>
      <c r="M21" s="5">
        <f>GenSurg!HQ21</f>
        <v>822364.88356813905</v>
      </c>
      <c r="N21" s="5">
        <f>GenSurg!IL21</f>
        <v>826352.17485501105</v>
      </c>
      <c r="O21" s="5">
        <f>GenSurg!JG21</f>
        <v>881567.57320262177</v>
      </c>
      <c r="P21" s="5">
        <f>GenSurg!KI21</f>
        <v>1092305.4339918268</v>
      </c>
    </row>
    <row r="22" spans="1:16" ht="14.45" x14ac:dyDescent="0.3">
      <c r="A22" s="53">
        <f>GenSurg!A22</f>
        <v>2028</v>
      </c>
      <c r="B22" s="53">
        <f>GenSurg!B22</f>
        <v>16</v>
      </c>
      <c r="C22" s="5">
        <f>GenSurg!X22</f>
        <v>882219.71152208454</v>
      </c>
      <c r="D22" s="5">
        <f>GenSurg!AT22</f>
        <v>919769.91837037029</v>
      </c>
      <c r="E22" s="5">
        <f>GenSurg!BV22</f>
        <v>897594.80603016564</v>
      </c>
      <c r="F22" s="5">
        <f>GenSurg!CF22</f>
        <v>958310.624409743</v>
      </c>
      <c r="G22" s="5" t="e">
        <f>GenSurg!CP22</f>
        <v>#VALUE!</v>
      </c>
      <c r="H22" s="5">
        <f>GenSurg!CZ22</f>
        <v>901800.03045754053</v>
      </c>
      <c r="I22" s="5">
        <f>GenSurg!DJ22</f>
        <v>853801.30291817838</v>
      </c>
      <c r="J22" s="5">
        <f>GenSurg!DU22</f>
        <v>906051.8497416469</v>
      </c>
      <c r="K22" s="5">
        <f>GenSurg!EF22</f>
        <v>913795.19066529453</v>
      </c>
      <c r="L22" s="5">
        <f>GenSurg!GV22</f>
        <v>882219.71152208454</v>
      </c>
      <c r="M22" s="5">
        <f>GenSurg!HQ22</f>
        <v>919769.91837037029</v>
      </c>
      <c r="N22" s="5">
        <f>GenSurg!IL22</f>
        <v>882219.71152208454</v>
      </c>
      <c r="O22" s="5">
        <f>GenSurg!JG22</f>
        <v>1009374.0734559153</v>
      </c>
      <c r="P22" s="5">
        <f>GenSurg!KI22</f>
        <v>1233540.0793625023</v>
      </c>
    </row>
    <row r="23" spans="1:16" ht="14.45" x14ac:dyDescent="0.3">
      <c r="A23" s="53">
        <f>GenSurg!A23</f>
        <v>2029</v>
      </c>
      <c r="B23" s="53">
        <f>GenSurg!B23</f>
        <v>17</v>
      </c>
      <c r="C23" s="5">
        <f>GenSurg!X23</f>
        <v>978461.73437005491</v>
      </c>
      <c r="D23" s="5">
        <f>GenSurg!AT23</f>
        <v>1016011.9412183407</v>
      </c>
      <c r="E23" s="5">
        <f>GenSurg!BV23</f>
        <v>1019064.6461057672</v>
      </c>
      <c r="F23" s="5">
        <f>GenSurg!CF23</f>
        <v>1086865.467033155</v>
      </c>
      <c r="G23" s="5" t="e">
        <f>GenSurg!CP23</f>
        <v>#VALUE!</v>
      </c>
      <c r="H23" s="5">
        <f>GenSurg!CZ23</f>
        <v>1023269.8705331421</v>
      </c>
      <c r="I23" s="5">
        <f>GenSurg!DJ23</f>
        <v>992200.45843866875</v>
      </c>
      <c r="J23" s="5">
        <f>GenSurg!DU23</f>
        <v>1031219.2920690553</v>
      </c>
      <c r="K23" s="5">
        <f>GenSurg!EF23</f>
        <v>1038962.6329927029</v>
      </c>
      <c r="L23" s="5">
        <f>GenSurg!GV23</f>
        <v>978461.73437005491</v>
      </c>
      <c r="M23" s="5">
        <f>GenSurg!HQ23</f>
        <v>1016011.9412183407</v>
      </c>
      <c r="N23" s="5">
        <f>GenSurg!IL23</f>
        <v>1007454.018888279</v>
      </c>
      <c r="O23" s="5">
        <f>GenSurg!JG23</f>
        <v>1134608.3808221098</v>
      </c>
      <c r="P23" s="5">
        <f>GenSurg!KI23</f>
        <v>1371939.2348829927</v>
      </c>
    </row>
    <row r="24" spans="1:16" x14ac:dyDescent="0.25">
      <c r="A24" s="53">
        <f>GenSurg!A24</f>
        <v>2030</v>
      </c>
      <c r="B24" s="53">
        <f>GenSurg!B24</f>
        <v>18</v>
      </c>
      <c r="C24" s="5">
        <f>GenSurg!X24</f>
        <v>1071048.7796929423</v>
      </c>
      <c r="D24" s="5">
        <f>GenSurg!AT24</f>
        <v>1108598.9865412279</v>
      </c>
      <c r="E24" s="5">
        <f>GenSurg!BV24</f>
        <v>1138571.8876833811</v>
      </c>
      <c r="F24" s="5">
        <f>GenSurg!CF24</f>
        <v>1213116.4765032213</v>
      </c>
      <c r="G24" s="5" t="e">
        <f>GenSurg!CP24</f>
        <v>#VALUE!</v>
      </c>
      <c r="H24" s="5">
        <f>GenSurg!CZ24</f>
        <v>1142777.1121107559</v>
      </c>
      <c r="I24" s="5">
        <f>GenSurg!DJ24</f>
        <v>1127821.6496116458</v>
      </c>
      <c r="J24" s="5">
        <f>GenSurg!DU24</f>
        <v>1154246.0484494548</v>
      </c>
      <c r="K24" s="5">
        <f>GenSurg!EF24</f>
        <v>1161989.3893731025</v>
      </c>
      <c r="L24" s="5">
        <f>GenSurg!GV24</f>
        <v>1071048.7796929423</v>
      </c>
      <c r="M24" s="5">
        <f>GenSurg!HQ24</f>
        <v>1108598.9865412279</v>
      </c>
      <c r="N24" s="5">
        <f>GenSurg!IL24</f>
        <v>1130168.4961844955</v>
      </c>
      <c r="O24" s="5">
        <f>GenSurg!JG24</f>
        <v>1257322.8581183262</v>
      </c>
      <c r="P24" s="5">
        <f>GenSurg!KI24</f>
        <v>1507560.4260559699</v>
      </c>
    </row>
    <row r="25" spans="1:16" x14ac:dyDescent="0.25">
      <c r="A25" s="53">
        <f>GenSurg!A25</f>
        <v>2031</v>
      </c>
      <c r="B25" s="53">
        <f>GenSurg!B25</f>
        <v>19</v>
      </c>
      <c r="C25" s="5">
        <f>GenSurg!X25</f>
        <v>1161307.7998215966</v>
      </c>
      <c r="D25" s="5">
        <f>GenSurg!AT25</f>
        <v>1198858.0066698822</v>
      </c>
      <c r="E25" s="5">
        <f>GenSurg!BV25</f>
        <v>1256133.6017408238</v>
      </c>
      <c r="F25" s="5">
        <f>GenSurg!CF25</f>
        <v>1337097.158666939</v>
      </c>
      <c r="G25" s="5" t="e">
        <f>GenSurg!CP25</f>
        <v>#VALUE!</v>
      </c>
      <c r="H25" s="5">
        <f>GenSurg!CZ25</f>
        <v>1260338.8261681986</v>
      </c>
      <c r="I25" s="5">
        <f>GenSurg!DJ25</f>
        <v>1260721.2178432399</v>
      </c>
      <c r="J25" s="5">
        <f>GenSurg!DU25</f>
        <v>1275157.7670783671</v>
      </c>
      <c r="K25" s="5">
        <f>GenSurg!EF25</f>
        <v>1282901.1080020147</v>
      </c>
      <c r="L25" s="5">
        <f>GenSurg!GV25</f>
        <v>1161307.7998215966</v>
      </c>
      <c r="M25" s="5">
        <f>GenSurg!HQ25</f>
        <v>1198858.0066698822</v>
      </c>
      <c r="N25" s="5">
        <f>GenSurg!IL25</f>
        <v>1250414.4233604418</v>
      </c>
      <c r="O25" s="5">
        <f>GenSurg!JG25</f>
        <v>1377568.7852942725</v>
      </c>
      <c r="P25" s="5">
        <f>GenSurg!KI25</f>
        <v>1640459.994287564</v>
      </c>
    </row>
    <row r="26" spans="1:16" x14ac:dyDescent="0.25">
      <c r="A26" s="53">
        <f>GenSurg!A26</f>
        <v>2032</v>
      </c>
      <c r="B26" s="53">
        <f>GenSurg!B26</f>
        <v>20</v>
      </c>
      <c r="C26" s="5">
        <f>GenSurg!X26</f>
        <v>1248134.0153951729</v>
      </c>
      <c r="D26" s="5">
        <f>GenSurg!AT26</f>
        <v>1285684.2222434585</v>
      </c>
      <c r="E26" s="5">
        <f>GenSurg!BV26</f>
        <v>1386366.7291935086</v>
      </c>
      <c r="F26" s="5">
        <f>GenSurg!CF26</f>
        <v>1458840.9599556448</v>
      </c>
      <c r="G26" s="5" t="e">
        <f>GenSurg!CP26</f>
        <v>#VALUE!</v>
      </c>
      <c r="H26" s="5">
        <f>GenSurg!CZ26</f>
        <v>1385921.4729329767</v>
      </c>
      <c r="I26" s="5">
        <f>GenSurg!DJ26</f>
        <v>1390954.3452959249</v>
      </c>
      <c r="J26" s="5">
        <f>GenSurg!DU26</f>
        <v>1393980.4151833632</v>
      </c>
      <c r="K26" s="5">
        <f>GenSurg!EF26</f>
        <v>1401723.7561070109</v>
      </c>
      <c r="L26" s="5">
        <f>GenSurg!GV26</f>
        <v>1248134.0153951729</v>
      </c>
      <c r="M26" s="5">
        <f>GenSurg!HQ26</f>
        <v>1285684.2222434585</v>
      </c>
      <c r="N26" s="5">
        <f>GenSurg!IL26</f>
        <v>1368242.0203664133</v>
      </c>
      <c r="O26" s="5">
        <f>GenSurg!JG26</f>
        <v>1495396.3823002439</v>
      </c>
      <c r="P26" s="5">
        <f>GenSurg!KI26</f>
        <v>1770693.121740249</v>
      </c>
    </row>
    <row r="27" spans="1:16" x14ac:dyDescent="0.25">
      <c r="A27" s="53">
        <f>GenSurg!A27</f>
        <v>2033</v>
      </c>
      <c r="B27" s="53">
        <f>GenSurg!B27</f>
        <v>21</v>
      </c>
      <c r="C27" s="5">
        <f>GenSurg!X27</f>
        <v>1333348.9572154491</v>
      </c>
      <c r="D27" s="5">
        <f>GenSurg!AT27</f>
        <v>1370899.1640637347</v>
      </c>
      <c r="E27" s="5">
        <f>GenSurg!BV27</f>
        <v>1513987.4631040455</v>
      </c>
      <c r="F27" s="5">
        <f>GenSurg!CF27</f>
        <v>1578381.2387319924</v>
      </c>
      <c r="G27" s="5" t="e">
        <f>GenSurg!CP27</f>
        <v>#VALUE!</v>
      </c>
      <c r="H27" s="5">
        <f>GenSurg!CZ27</f>
        <v>1513542.2068435135</v>
      </c>
      <c r="I27" s="5">
        <f>GenSurg!DJ27</f>
        <v>1518575.0792064618</v>
      </c>
      <c r="J27" s="5">
        <f>GenSurg!DU27</f>
        <v>1511666.8375603079</v>
      </c>
      <c r="K27" s="5">
        <f>GenSurg!EF27</f>
        <v>1518483.5730675298</v>
      </c>
      <c r="L27" s="5">
        <f>GenSurg!GV27</f>
        <v>1333348.9572154491</v>
      </c>
      <c r="M27" s="5">
        <f>GenSurg!HQ27</f>
        <v>1370899.1640637347</v>
      </c>
      <c r="N27" s="5">
        <f>GenSurg!IL27</f>
        <v>1483700.4695252702</v>
      </c>
      <c r="O27" s="5">
        <f>GenSurg!JG27</f>
        <v>1610854.8314591008</v>
      </c>
      <c r="P27" s="5">
        <f>GenSurg!KI27</f>
        <v>1898313.8556507858</v>
      </c>
    </row>
    <row r="28" spans="1:16" x14ac:dyDescent="0.25">
      <c r="A28" s="53">
        <f>GenSurg!A28</f>
        <v>2034</v>
      </c>
      <c r="B28" s="53">
        <f>GenSurg!B28</f>
        <v>22</v>
      </c>
      <c r="C28" s="5">
        <f>GenSurg!X28</f>
        <v>1415327.8931591159</v>
      </c>
      <c r="D28" s="5">
        <f>GenSurg!AT28</f>
        <v>1452878.1000074015</v>
      </c>
      <c r="E28" s="5">
        <f>GenSurg!BV28</f>
        <v>1639048.7395783607</v>
      </c>
      <c r="F28" s="5">
        <f>GenSurg!CF28</f>
        <v>1695751.2386651034</v>
      </c>
      <c r="G28" s="5" t="e">
        <f>GenSurg!CP28</f>
        <v>#VALUE!</v>
      </c>
      <c r="H28" s="5">
        <f>GenSurg!CZ28</f>
        <v>1638603.4833178287</v>
      </c>
      <c r="I28" s="5">
        <f>GenSurg!DJ28</f>
        <v>1643636.355680777</v>
      </c>
      <c r="J28" s="5">
        <f>GenSurg!DU28</f>
        <v>1636728.1140346231</v>
      </c>
      <c r="K28" s="5">
        <f>GenSurg!EF28</f>
        <v>1637247.3849798292</v>
      </c>
      <c r="L28" s="5">
        <f>GenSurg!GV28</f>
        <v>1415327.8931591159</v>
      </c>
      <c r="M28" s="5">
        <f>GenSurg!HQ28</f>
        <v>1452878.1000074015</v>
      </c>
      <c r="N28" s="5">
        <f>GenSurg!IL28</f>
        <v>1596837.937419507</v>
      </c>
      <c r="O28" s="5">
        <f>GenSurg!JG28</f>
        <v>1723992.2993533376</v>
      </c>
      <c r="P28" s="5">
        <f>GenSurg!KI28</f>
        <v>2023375.1321251011</v>
      </c>
    </row>
    <row r="29" spans="1:16" x14ac:dyDescent="0.25">
      <c r="A29" s="53">
        <f>GenSurg!A29</f>
        <v>2035</v>
      </c>
      <c r="B29" s="53">
        <f>GenSurg!B29</f>
        <v>23</v>
      </c>
      <c r="C29" s="5">
        <f>GenSurg!X29</f>
        <v>1498396.6243776204</v>
      </c>
      <c r="D29" s="5">
        <f>GenSurg!AT29</f>
        <v>1535946.831225906</v>
      </c>
      <c r="E29" s="5">
        <f>GenSurg!BV29</f>
        <v>1761602.4068749619</v>
      </c>
      <c r="F29" s="5">
        <f>GenSurg!CF29</f>
        <v>1810984.0640226183</v>
      </c>
      <c r="G29" s="5" t="e">
        <f>GenSurg!CP29</f>
        <v>#VALUE!</v>
      </c>
      <c r="H29" s="5">
        <f>GenSurg!CZ29</f>
        <v>1761157.15061443</v>
      </c>
      <c r="I29" s="5">
        <f>GenSurg!DJ29</f>
        <v>1766190.0229773782</v>
      </c>
      <c r="J29" s="5">
        <f>GenSurg!DU29</f>
        <v>1759281.7813312244</v>
      </c>
      <c r="K29" s="5">
        <f>GenSurg!EF29</f>
        <v>1759801.0522764304</v>
      </c>
      <c r="L29" s="5">
        <f>GenSurg!GV29</f>
        <v>1498396.6243776204</v>
      </c>
      <c r="M29" s="5">
        <f>GenSurg!HQ29</f>
        <v>1535946.831225906</v>
      </c>
      <c r="N29" s="5">
        <f>GenSurg!IL29</f>
        <v>1707701.5963042667</v>
      </c>
      <c r="O29" s="5">
        <f>GenSurg!JG29</f>
        <v>1834855.9582380974</v>
      </c>
      <c r="P29" s="5">
        <f>GenSurg!KI29</f>
        <v>2145928.7994217025</v>
      </c>
    </row>
    <row r="30" spans="1:16" x14ac:dyDescent="0.25">
      <c r="A30" s="53">
        <f>GenSurg!A30</f>
        <v>2036</v>
      </c>
      <c r="B30" s="53">
        <f>GenSurg!B30</f>
        <v>24</v>
      </c>
      <c r="C30" s="5">
        <f>GenSurg!X30</f>
        <v>1578309.0119299442</v>
      </c>
      <c r="D30" s="5">
        <f>GenSurg!AT30</f>
        <v>1615859.2187782298</v>
      </c>
      <c r="E30" s="5">
        <f>GenSurg!BV30</f>
        <v>1881699.2481882281</v>
      </c>
      <c r="F30" s="5">
        <f>GenSurg!CF30</f>
        <v>1924112.656774028</v>
      </c>
      <c r="G30" s="5" t="e">
        <f>GenSurg!CP30</f>
        <v>#VALUE!</v>
      </c>
      <c r="H30" s="5">
        <f>GenSurg!CZ30</f>
        <v>1881253.9919276962</v>
      </c>
      <c r="I30" s="5">
        <f>GenSurg!DJ30</f>
        <v>1886286.8642906444</v>
      </c>
      <c r="J30" s="5">
        <f>GenSurg!DU30</f>
        <v>1879378.6226444906</v>
      </c>
      <c r="K30" s="5">
        <f>GenSurg!EF30</f>
        <v>1879897.8935896966</v>
      </c>
      <c r="L30" s="5">
        <f>GenSurg!GV30</f>
        <v>1578309.0119299442</v>
      </c>
      <c r="M30" s="5">
        <f>GenSurg!HQ30</f>
        <v>1615859.2187782298</v>
      </c>
      <c r="N30" s="5">
        <f>GenSurg!IL30</f>
        <v>1816337.6450569041</v>
      </c>
      <c r="O30" s="5">
        <f>GenSurg!JG30</f>
        <v>1943492.0069907347</v>
      </c>
      <c r="P30" s="5">
        <f>GenSurg!KI30</f>
        <v>2266025.6407349687</v>
      </c>
    </row>
    <row r="31" spans="1:16" x14ac:dyDescent="0.25">
      <c r="A31" s="53">
        <f>GenSurg!A31</f>
        <v>2037</v>
      </c>
      <c r="B31" s="53">
        <f>GenSurg!B31</f>
        <v>25</v>
      </c>
      <c r="C31" s="5">
        <f>GenSurg!X31</f>
        <v>1657819.6285400614</v>
      </c>
      <c r="D31" s="5">
        <f>GenSurg!AT31</f>
        <v>1694080.9633460001</v>
      </c>
      <c r="E31" s="5">
        <f>GenSurg!BV31</f>
        <v>1999389.0039426489</v>
      </c>
      <c r="F31" s="5">
        <f>GenSurg!CF31</f>
        <v>2035169.775405037</v>
      </c>
      <c r="G31" s="5" t="e">
        <f>GenSurg!CP31</f>
        <v>#VALUE!</v>
      </c>
      <c r="H31" s="5">
        <f>GenSurg!CZ31</f>
        <v>1998943.7476821169</v>
      </c>
      <c r="I31" s="5">
        <f>GenSurg!DJ31</f>
        <v>2003976.6200450652</v>
      </c>
      <c r="J31" s="5">
        <f>GenSurg!DU31</f>
        <v>1997068.3783989113</v>
      </c>
      <c r="K31" s="5">
        <f>GenSurg!EF31</f>
        <v>1997587.6493441174</v>
      </c>
      <c r="L31" s="5">
        <f>GenSurg!GV31</f>
        <v>1698037.379055026</v>
      </c>
      <c r="M31" s="5">
        <f>GenSurg!HQ31</f>
        <v>1685680.638741472</v>
      </c>
      <c r="N31" s="5">
        <f>GenSurg!IL31</f>
        <v>1922791.3296734532</v>
      </c>
      <c r="O31" s="5">
        <f>GenSurg!JG31</f>
        <v>2049945.6916072839</v>
      </c>
      <c r="P31" s="5">
        <f>GenSurg!KI31</f>
        <v>2383715.3964893892</v>
      </c>
    </row>
    <row r="32" spans="1:16" x14ac:dyDescent="0.25">
      <c r="A32" s="53">
        <f>GenSurg!A32</f>
        <v>2038</v>
      </c>
      <c r="B32" s="53">
        <f>GenSurg!B32</f>
        <v>26</v>
      </c>
      <c r="C32" s="5">
        <f>GenSurg!X32</f>
        <v>1734308.3142624823</v>
      </c>
      <c r="D32" s="5">
        <f>GenSurg!AT32</f>
        <v>1769577.4551064922</v>
      </c>
      <c r="E32" s="5">
        <f>GenSurg!BV32</f>
        <v>2114720.393608836</v>
      </c>
      <c r="F32" s="5">
        <f>GenSurg!CF32</f>
        <v>2144187.9753478169</v>
      </c>
      <c r="G32" s="5" t="e">
        <f>GenSurg!CP32</f>
        <v>#VALUE!</v>
      </c>
      <c r="H32" s="5">
        <f>GenSurg!CZ32</f>
        <v>2114275.137348304</v>
      </c>
      <c r="I32" s="5">
        <f>GenSurg!DJ32</f>
        <v>2119308.0097112525</v>
      </c>
      <c r="J32" s="5">
        <f>GenSurg!DU32</f>
        <v>2112399.7680650987</v>
      </c>
      <c r="K32" s="5">
        <f>GenSurg!EF32</f>
        <v>2112919.0390103045</v>
      </c>
      <c r="L32" s="5">
        <f>GenSurg!GV32</f>
        <v>1815114.7006283237</v>
      </c>
      <c r="M32" s="5">
        <f>GenSurg!HQ32</f>
        <v>1804236.1418124291</v>
      </c>
      <c r="N32" s="5">
        <f>GenSurg!IL32</f>
        <v>2027106.9633221193</v>
      </c>
      <c r="O32" s="5">
        <f>GenSurg!JG32</f>
        <v>2154261.32525595</v>
      </c>
      <c r="P32" s="5">
        <f>GenSurg!KI32</f>
        <v>2499046.7861555764</v>
      </c>
    </row>
    <row r="33" spans="1:16" x14ac:dyDescent="0.25">
      <c r="A33" s="53">
        <f>GenSurg!A33</f>
        <v>2039</v>
      </c>
      <c r="B33" s="53">
        <f>GenSurg!B33</f>
        <v>27</v>
      </c>
      <c r="C33" s="5">
        <f>GenSurg!X33</f>
        <v>1809280.2205876636</v>
      </c>
      <c r="D33" s="5">
        <f>GenSurg!AT33</f>
        <v>1842442.9927335843</v>
      </c>
      <c r="E33" s="5">
        <f>GenSurg!BV33</f>
        <v>2227741.1370518808</v>
      </c>
      <c r="F33" s="5">
        <f>GenSurg!CF33</f>
        <v>2251199.5909368666</v>
      </c>
      <c r="G33" s="5" t="e">
        <f>GenSurg!CP33</f>
        <v>#VALUE!</v>
      </c>
      <c r="H33" s="5">
        <f>GenSurg!CZ33</f>
        <v>2227295.8807913489</v>
      </c>
      <c r="I33" s="5">
        <f>GenSurg!DJ33</f>
        <v>2232328.7531542974</v>
      </c>
      <c r="J33" s="5">
        <f>GenSurg!DU33</f>
        <v>2225420.5115081435</v>
      </c>
      <c r="K33" s="5">
        <f>GenSurg!EF33</f>
        <v>2225939.7824533493</v>
      </c>
      <c r="L33" s="5">
        <f>GenSurg!GV33</f>
        <v>1929604.2010729213</v>
      </c>
      <c r="M33" s="5">
        <f>GenSurg!HQ33</f>
        <v>1920146.7000455626</v>
      </c>
      <c r="N33" s="5">
        <f>GenSurg!IL33</f>
        <v>2129327.9459636728</v>
      </c>
      <c r="O33" s="5">
        <f>GenSurg!JG33</f>
        <v>2256482.3078975035</v>
      </c>
      <c r="P33" s="5">
        <f>GenSurg!KI33</f>
        <v>2612067.5295986212</v>
      </c>
    </row>
    <row r="34" spans="1:16" x14ac:dyDescent="0.25">
      <c r="A34" s="53">
        <f>GenSurg!A34</f>
        <v>2040</v>
      </c>
      <c r="B34" s="53">
        <f>GenSurg!B34</f>
        <v>28</v>
      </c>
      <c r="C34" s="5">
        <f>GenSurg!X34</f>
        <v>1881402.6808415323</v>
      </c>
      <c r="D34" s="5">
        <f>GenSurg!AT34</f>
        <v>1912884.899740577</v>
      </c>
      <c r="E34" s="5">
        <f>GenSurg!BV34</f>
        <v>2338497.9754223884</v>
      </c>
      <c r="F34" s="5">
        <f>GenSurg!CF34</f>
        <v>2356236.7188048083</v>
      </c>
      <c r="G34" s="5" t="e">
        <f>GenSurg!CP34</f>
        <v>#VALUE!</v>
      </c>
      <c r="H34" s="5">
        <f>GenSurg!CZ34</f>
        <v>2338052.7191618565</v>
      </c>
      <c r="I34" s="5">
        <f>GenSurg!DJ34</f>
        <v>2343085.5915248049</v>
      </c>
      <c r="J34" s="5">
        <f>GenSurg!DU34</f>
        <v>2336177.3498786511</v>
      </c>
      <c r="K34" s="5">
        <f>GenSurg!EF34</f>
        <v>2336696.6208238569</v>
      </c>
      <c r="L34" s="5">
        <f>GenSurg!GV34</f>
        <v>2041567.4446933223</v>
      </c>
      <c r="M34" s="5">
        <f>GenSurg!HQ34</f>
        <v>2033476.0852673547</v>
      </c>
      <c r="N34" s="5">
        <f>GenSurg!IL34</f>
        <v>2229496.7835484045</v>
      </c>
      <c r="O34" s="5">
        <f>GenSurg!JG34</f>
        <v>2356651.1454822351</v>
      </c>
      <c r="P34" s="5">
        <f>GenSurg!KI34</f>
        <v>2722824.3679691288</v>
      </c>
    </row>
    <row r="35" spans="1:16" x14ac:dyDescent="0.25">
      <c r="A35" s="53">
        <f>GenSurg!A35</f>
        <v>2041</v>
      </c>
      <c r="B35" s="53">
        <f>GenSurg!B35</f>
        <v>29</v>
      </c>
      <c r="C35" s="5">
        <f>GenSurg!X35</f>
        <v>1950784.4180978953</v>
      </c>
      <c r="D35" s="5">
        <f>GenSurg!AT35</f>
        <v>1980982.1339384695</v>
      </c>
      <c r="E35" s="5">
        <f>GenSurg!BV35</f>
        <v>2447036.6916002822</v>
      </c>
      <c r="F35" s="5">
        <f>GenSurg!CF35</f>
        <v>2459331.2026368375</v>
      </c>
      <c r="G35" s="5" t="e">
        <f>GenSurg!CP35</f>
        <v>#VALUE!</v>
      </c>
      <c r="H35" s="5">
        <f>GenSurg!CZ35</f>
        <v>2446591.4353397503</v>
      </c>
      <c r="I35" s="5">
        <f>GenSurg!DJ35</f>
        <v>2451624.3077026987</v>
      </c>
      <c r="J35" s="5">
        <f>GenSurg!DU35</f>
        <v>2444716.0660565449</v>
      </c>
      <c r="K35" s="5">
        <f>GenSurg!EF35</f>
        <v>2445235.3370017507</v>
      </c>
      <c r="L35" s="5">
        <f>GenSurg!GV35</f>
        <v>2151064.3840643219</v>
      </c>
      <c r="M35" s="5">
        <f>GenSurg!HQ35</f>
        <v>2144286.3722658101</v>
      </c>
      <c r="N35" s="5">
        <f>GenSurg!IL35</f>
        <v>2327655.106799067</v>
      </c>
      <c r="O35" s="5">
        <f>GenSurg!JG35</f>
        <v>2454809.4687328977</v>
      </c>
      <c r="P35" s="5">
        <f>GenSurg!KI35</f>
        <v>2831363.0841470226</v>
      </c>
    </row>
    <row r="36" spans="1:16" x14ac:dyDescent="0.25">
      <c r="A36" s="53">
        <f>GenSurg!A36</f>
        <v>2042</v>
      </c>
      <c r="B36" s="53">
        <f>GenSurg!B36</f>
        <v>30</v>
      </c>
      <c r="C36" s="5">
        <f>GenSurg!X36</f>
        <v>2017529.9944333059</v>
      </c>
      <c r="D36" s="5">
        <f>GenSurg!AT36</f>
        <v>2047110.2782878459</v>
      </c>
      <c r="E36" s="5">
        <f>GenSurg!BV36</f>
        <v>2553402.130201248</v>
      </c>
      <c r="F36" s="5">
        <f>GenSurg!CF36</f>
        <v>2560514.6192067116</v>
      </c>
      <c r="G36" s="5" t="e">
        <f>GenSurg!CP36</f>
        <v>#VALUE!</v>
      </c>
      <c r="H36" s="5">
        <f>GenSurg!CZ36</f>
        <v>2552956.873940716</v>
      </c>
      <c r="I36" s="5">
        <f>GenSurg!DJ36</f>
        <v>2557989.7463036645</v>
      </c>
      <c r="J36" s="5">
        <f>GenSurg!DU36</f>
        <v>2551081.5046575107</v>
      </c>
      <c r="K36" s="5">
        <f>GenSurg!EF36</f>
        <v>2551600.7756027165</v>
      </c>
      <c r="L36" s="5">
        <f>GenSurg!GV36</f>
        <v>2258153.4068709724</v>
      </c>
      <c r="M36" s="5">
        <f>GenSurg!HQ36</f>
        <v>2252637.9889271441</v>
      </c>
      <c r="N36" s="5">
        <f>GenSurg!IL36</f>
        <v>2423843.6895890217</v>
      </c>
      <c r="O36" s="5">
        <f>GenSurg!JG36</f>
        <v>2550998.0515228524</v>
      </c>
      <c r="P36" s="5">
        <f>GenSurg!KI36</f>
        <v>2937728.5227479883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T36"/>
  <sheetViews>
    <sheetView workbookViewId="0">
      <selection activeCell="I7" sqref="I7"/>
    </sheetView>
  </sheetViews>
  <sheetFormatPr defaultRowHeight="15" x14ac:dyDescent="0.25"/>
  <cols>
    <col min="1" max="1" width="5.28515625" customWidth="1"/>
    <col min="2" max="2" width="4.5703125" customWidth="1"/>
    <col min="3" max="3" width="13.140625" customWidth="1"/>
    <col min="4" max="4" width="13" customWidth="1"/>
    <col min="5" max="6" width="10.85546875" customWidth="1"/>
    <col min="7" max="7" width="11" customWidth="1"/>
    <col min="8" max="11" width="11.28515625" customWidth="1"/>
    <col min="12" max="12" width="10.85546875" customWidth="1"/>
    <col min="13" max="13" width="10.42578125" customWidth="1"/>
    <col min="14" max="14" width="10.85546875" customWidth="1"/>
    <col min="15" max="15" width="10.7109375" customWidth="1"/>
    <col min="16" max="16" width="9.7109375" customWidth="1"/>
  </cols>
  <sheetData>
    <row r="1" spans="1:20" ht="15.6" x14ac:dyDescent="0.3">
      <c r="B1" s="55" t="s">
        <v>463</v>
      </c>
      <c r="D1" s="55" t="s">
        <v>464</v>
      </c>
      <c r="G1" s="55" t="str">
        <f>InputData!$G$1</f>
        <v>San Antonio, TX</v>
      </c>
      <c r="S1" t="s">
        <v>462</v>
      </c>
      <c r="T1" t="str">
        <f>"Net Present Value of Cash Flows " &amp; D1 &amp; ", " &amp; G1</f>
        <v>Net Present Value of Cash Flows OPHTHALMOLOGY, San Antonio, TX</v>
      </c>
    </row>
    <row r="3" spans="1:20" ht="14.45" x14ac:dyDescent="0.3">
      <c r="A3" t="s">
        <v>252</v>
      </c>
      <c r="C3">
        <f t="shared" ref="C3:O3" si="0">_xlfn.RANK.EQ(C$36,$C$36:$O$36,0)</f>
        <v>5</v>
      </c>
      <c r="D3">
        <f t="shared" si="0"/>
        <v>12</v>
      </c>
      <c r="E3">
        <f t="shared" si="0"/>
        <v>8</v>
      </c>
      <c r="F3">
        <f t="shared" si="0"/>
        <v>7</v>
      </c>
      <c r="G3">
        <f t="shared" si="0"/>
        <v>9</v>
      </c>
      <c r="H3">
        <f t="shared" si="0"/>
        <v>13</v>
      </c>
      <c r="I3">
        <f t="shared" si="0"/>
        <v>6</v>
      </c>
      <c r="J3">
        <f t="shared" si="0"/>
        <v>10</v>
      </c>
      <c r="K3">
        <f t="shared" si="0"/>
        <v>11</v>
      </c>
      <c r="L3">
        <f t="shared" si="0"/>
        <v>4</v>
      </c>
      <c r="M3">
        <f t="shared" si="0"/>
        <v>3</v>
      </c>
      <c r="N3">
        <f t="shared" si="0"/>
        <v>2</v>
      </c>
      <c r="O3">
        <f t="shared" si="0"/>
        <v>1</v>
      </c>
    </row>
    <row r="4" spans="1:20" ht="14.45" x14ac:dyDescent="0.3">
      <c r="A4" t="s">
        <v>253</v>
      </c>
      <c r="C4" s="26">
        <f t="shared" ref="C4:O4" si="1">C$36/HLOOKUP(1,$C$3:$O$36,34,FALSE)</f>
        <v>0.90936890983884855</v>
      </c>
      <c r="D4" s="26">
        <f t="shared" si="1"/>
        <v>0.89276722759116878</v>
      </c>
      <c r="E4" s="26">
        <f t="shared" si="1"/>
        <v>0.89490152048307992</v>
      </c>
      <c r="F4" s="29">
        <f t="shared" si="1"/>
        <v>0.89598651269457652</v>
      </c>
      <c r="G4" s="26">
        <f t="shared" si="1"/>
        <v>0.8947917356528412</v>
      </c>
      <c r="H4" s="26">
        <f t="shared" si="1"/>
        <v>0.89206975328285709</v>
      </c>
      <c r="I4" s="26">
        <f t="shared" si="1"/>
        <v>0.89714783686328414</v>
      </c>
      <c r="J4" s="26">
        <f t="shared" si="1"/>
        <v>0.89417835509515653</v>
      </c>
      <c r="K4" s="26">
        <f t="shared" si="1"/>
        <v>0.89410005186867558</v>
      </c>
      <c r="L4" s="26">
        <f t="shared" si="1"/>
        <v>0.9374013184624872</v>
      </c>
      <c r="M4" s="26">
        <f t="shared" si="1"/>
        <v>0.96495874270527504</v>
      </c>
      <c r="N4" s="26">
        <f t="shared" si="1"/>
        <v>0.99495830904229643</v>
      </c>
      <c r="O4" s="26">
        <f t="shared" si="1"/>
        <v>1</v>
      </c>
    </row>
    <row r="5" spans="1:20" ht="60.6" x14ac:dyDescent="0.3">
      <c r="A5" s="57" t="str">
        <f>Ophtha!A5</f>
        <v>Year (calendar)</v>
      </c>
      <c r="B5" s="57" t="str">
        <f>Ophtha!B5</f>
        <v>Year</v>
      </c>
      <c r="C5" s="58" t="str">
        <f>Ophtha!X5</f>
        <v>NPV of USU Cash Flow (cumulative)</v>
      </c>
      <c r="D5" s="58" t="str">
        <f>Ophtha!AT5</f>
        <v>NPV of HPSP Cash Flow (cumulative)</v>
      </c>
      <c r="E5" s="58" t="str">
        <f>Ophtha!BV5</f>
        <v>NPV of STD cash flow (cumulative)</v>
      </c>
      <c r="F5" s="28" t="str">
        <f>Ophtha!CF5</f>
        <v>NPV of EXT cash flow (cumulative)</v>
      </c>
      <c r="G5" s="58" t="str">
        <f>Ophtha!CP5</f>
        <v>NPV of IBR cash flow (cumulative)</v>
      </c>
      <c r="H5" s="58" t="str">
        <f>Ophtha!CZ5</f>
        <v>NPV of PAYE cash flow (cumulative)</v>
      </c>
      <c r="I5" s="58" t="str">
        <f>Ophtha!DJ5</f>
        <v>NPV of STD10R cash flow w/out forbearance (cumulative)</v>
      </c>
      <c r="J5" s="58" t="str">
        <f>Ophtha!DU5</f>
        <v>NPV of IBRR cash flow w/out forbearance (cumulative)</v>
      </c>
      <c r="K5" s="58" t="str">
        <f>Ophtha!EF5</f>
        <v>NPV of PAYER cash flow  w/out forbearance (cumulative)</v>
      </c>
      <c r="L5" s="58" t="str">
        <f>Ophtha!GV5</f>
        <v>NPV of Ret20USU Cash Flow (cumulative)</v>
      </c>
      <c r="M5" s="58" t="str">
        <f>Ophtha!HQ5</f>
        <v>NPV of Ret20HPSP Cash Flow (cumulative)</v>
      </c>
      <c r="N5" s="58" t="str">
        <f>Ophtha!IL5</f>
        <v>NPV of USUPriv Cash Flow (cumulative)</v>
      </c>
      <c r="O5" s="58" t="str">
        <f>Ophtha!JG5</f>
        <v>NPV of HPSPPriv Cash Flow (cumulative)</v>
      </c>
      <c r="P5" s="58" t="str">
        <f>Ophtha!KI5</f>
        <v>NPV of Zero Borrowing (cumulative)</v>
      </c>
    </row>
    <row r="6" spans="1:20" ht="14.45" x14ac:dyDescent="0.3">
      <c r="A6" s="46" t="str">
        <f>A5</f>
        <v>Year (calendar)</v>
      </c>
      <c r="B6" s="46" t="str">
        <f>B5</f>
        <v>Year</v>
      </c>
      <c r="C6" s="81" t="s">
        <v>518</v>
      </c>
      <c r="D6" s="81" t="s">
        <v>519</v>
      </c>
      <c r="E6" s="81" t="s">
        <v>214</v>
      </c>
      <c r="F6" s="81" t="s">
        <v>393</v>
      </c>
      <c r="G6" s="81" t="s">
        <v>16</v>
      </c>
      <c r="H6" s="81" t="s">
        <v>114</v>
      </c>
      <c r="I6" s="81" t="s">
        <v>520</v>
      </c>
      <c r="J6" s="81" t="s">
        <v>521</v>
      </c>
      <c r="K6" s="81" t="s">
        <v>522</v>
      </c>
      <c r="L6" s="81" t="s">
        <v>523</v>
      </c>
      <c r="M6" s="81" t="s">
        <v>524</v>
      </c>
      <c r="N6" s="81" t="s">
        <v>525</v>
      </c>
      <c r="O6" s="81" t="s">
        <v>526</v>
      </c>
      <c r="P6" s="81" t="s">
        <v>527</v>
      </c>
    </row>
    <row r="7" spans="1:20" ht="14.45" x14ac:dyDescent="0.3">
      <c r="A7" s="53">
        <f>Ophtha!A7</f>
        <v>2013</v>
      </c>
      <c r="B7" s="53">
        <f>Ophtha!B7</f>
        <v>1</v>
      </c>
      <c r="C7" s="5">
        <f>Ophtha!X7</f>
        <v>54056.194799999997</v>
      </c>
      <c r="D7" s="5">
        <f>Ophtha!AT7</f>
        <v>43551.744866529771</v>
      </c>
      <c r="E7" s="5">
        <f>Ophtha!BV7</f>
        <v>-43015.05</v>
      </c>
      <c r="F7" s="5">
        <f>Ophtha!CF7</f>
        <v>-43015.05</v>
      </c>
      <c r="G7" s="5">
        <f>Ophtha!CP7</f>
        <v>-43015.05</v>
      </c>
      <c r="H7" s="5">
        <f>Ophtha!CZ7</f>
        <v>-43015.05</v>
      </c>
      <c r="I7" s="5">
        <f>Ophtha!DJ7</f>
        <v>-43015.05</v>
      </c>
      <c r="J7" s="5">
        <f>Ophtha!DU7</f>
        <v>-43015.05</v>
      </c>
      <c r="K7" s="5">
        <f>Ophtha!EF7</f>
        <v>-43015.05</v>
      </c>
      <c r="L7" s="5">
        <f>Ophtha!GV7</f>
        <v>54056.194799999997</v>
      </c>
      <c r="M7" s="5">
        <f>Ophtha!HQ7</f>
        <v>43551.744866529771</v>
      </c>
      <c r="N7" s="5">
        <f>Ophtha!IL7</f>
        <v>54056.194799999997</v>
      </c>
      <c r="O7" s="5">
        <f>Ophtha!JG7</f>
        <v>43551.744866529771</v>
      </c>
      <c r="P7" s="5">
        <f>Ophtha!KI7</f>
        <v>0</v>
      </c>
    </row>
    <row r="8" spans="1:20" ht="14.45" x14ac:dyDescent="0.3">
      <c r="A8" s="53">
        <f>Ophtha!A8</f>
        <v>2014</v>
      </c>
      <c r="B8" s="53">
        <f>Ophtha!B8</f>
        <v>2</v>
      </c>
      <c r="C8" s="5">
        <f>Ophtha!X8</f>
        <v>106041.93556527697</v>
      </c>
      <c r="D8" s="5">
        <f>Ophtha!AT8</f>
        <v>69389.851463288214</v>
      </c>
      <c r="E8" s="5">
        <f>Ophtha!BV8</f>
        <v>-86352.285865219877</v>
      </c>
      <c r="F8" s="5">
        <f>Ophtha!CF8</f>
        <v>-86352.285865219877</v>
      </c>
      <c r="G8" s="5">
        <f>Ophtha!CP8</f>
        <v>-86352.285865219877</v>
      </c>
      <c r="H8" s="5">
        <f>Ophtha!CZ8</f>
        <v>-86352.285865219877</v>
      </c>
      <c r="I8" s="5">
        <f>Ophtha!DJ8</f>
        <v>-86352.285865219877</v>
      </c>
      <c r="J8" s="5">
        <f>Ophtha!DU8</f>
        <v>-86352.285865219877</v>
      </c>
      <c r="K8" s="5">
        <f>Ophtha!EF8</f>
        <v>-86352.285865219877</v>
      </c>
      <c r="L8" s="5">
        <f>Ophtha!GV8</f>
        <v>106041.93556527697</v>
      </c>
      <c r="M8" s="5">
        <f>Ophtha!HQ8</f>
        <v>69389.851463288214</v>
      </c>
      <c r="N8" s="5">
        <f>Ophtha!IL8</f>
        <v>106041.93556527697</v>
      </c>
      <c r="O8" s="5">
        <f>Ophtha!JG8</f>
        <v>69389.851463288214</v>
      </c>
      <c r="P8" s="5">
        <f>Ophtha!KI8</f>
        <v>0</v>
      </c>
    </row>
    <row r="9" spans="1:20" ht="14.45" x14ac:dyDescent="0.3">
      <c r="A9" s="53">
        <f>Ophtha!A9</f>
        <v>2015</v>
      </c>
      <c r="B9" s="53">
        <f>Ophtha!B9</f>
        <v>3</v>
      </c>
      <c r="C9" s="5">
        <f>Ophtha!X9</f>
        <v>157045.52189700573</v>
      </c>
      <c r="D9" s="5">
        <f>Ophtha!AT9</f>
        <v>94384.024082394724</v>
      </c>
      <c r="E9" s="5">
        <f>Ophtha!BV9</f>
        <v>-138541.19578403595</v>
      </c>
      <c r="F9" s="5">
        <f>Ophtha!CF9</f>
        <v>-138541.19578403595</v>
      </c>
      <c r="G9" s="5">
        <f>Ophtha!CP9</f>
        <v>-138541.19578403595</v>
      </c>
      <c r="H9" s="5">
        <f>Ophtha!CZ9</f>
        <v>-138541.19578403595</v>
      </c>
      <c r="I9" s="5">
        <f>Ophtha!DJ9</f>
        <v>-138541.19578403595</v>
      </c>
      <c r="J9" s="5">
        <f>Ophtha!DU9</f>
        <v>-138541.19578403595</v>
      </c>
      <c r="K9" s="5">
        <f>Ophtha!EF9</f>
        <v>-138541.19578403595</v>
      </c>
      <c r="L9" s="5">
        <f>Ophtha!GV9</f>
        <v>157045.52189700573</v>
      </c>
      <c r="M9" s="5">
        <f>Ophtha!HQ9</f>
        <v>94384.024082394724</v>
      </c>
      <c r="N9" s="5">
        <f>Ophtha!IL9</f>
        <v>157045.52189700573</v>
      </c>
      <c r="O9" s="5">
        <f>Ophtha!JG9</f>
        <v>94384.024082394724</v>
      </c>
      <c r="P9" s="5">
        <f>Ophtha!KI9</f>
        <v>0</v>
      </c>
    </row>
    <row r="10" spans="1:20" ht="14.45" x14ac:dyDescent="0.3">
      <c r="A10" s="53">
        <f>Ophtha!A10</f>
        <v>2016</v>
      </c>
      <c r="B10" s="53">
        <f>Ophtha!B10</f>
        <v>4</v>
      </c>
      <c r="C10" s="5">
        <f>Ophtha!X10</f>
        <v>211251.55229740124</v>
      </c>
      <c r="D10" s="5">
        <f>Ophtha!AT10</f>
        <v>119127.82998672797</v>
      </c>
      <c r="E10" s="5">
        <f>Ophtha!BV10</f>
        <v>-190867.38028908212</v>
      </c>
      <c r="F10" s="5">
        <f>Ophtha!CF10</f>
        <v>-190867.38028908212</v>
      </c>
      <c r="G10" s="5">
        <f>Ophtha!CP10</f>
        <v>-190867.38028908212</v>
      </c>
      <c r="H10" s="5">
        <f>Ophtha!CZ10</f>
        <v>-190867.38028908212</v>
      </c>
      <c r="I10" s="5">
        <f>Ophtha!DJ10</f>
        <v>-190867.38028908212</v>
      </c>
      <c r="J10" s="5">
        <f>Ophtha!DU10</f>
        <v>-190867.38028908212</v>
      </c>
      <c r="K10" s="5">
        <f>Ophtha!EF10</f>
        <v>-190867.38028908212</v>
      </c>
      <c r="L10" s="5">
        <f>Ophtha!GV10</f>
        <v>211251.55229740124</v>
      </c>
      <c r="M10" s="5">
        <f>Ophtha!HQ10</f>
        <v>119127.82998672797</v>
      </c>
      <c r="N10" s="5">
        <f>Ophtha!IL10</f>
        <v>211251.55229740124</v>
      </c>
      <c r="O10" s="5">
        <f>Ophtha!JG10</f>
        <v>119127.82998672797</v>
      </c>
      <c r="P10" s="5">
        <f>Ophtha!KI10</f>
        <v>0</v>
      </c>
    </row>
    <row r="11" spans="1:20" ht="14.45" x14ac:dyDescent="0.3">
      <c r="A11" s="53">
        <f>Ophtha!A11</f>
        <v>2017</v>
      </c>
      <c r="B11" s="53">
        <f>Ophtha!B11</f>
        <v>5</v>
      </c>
      <c r="C11" s="5">
        <f>Ophtha!X11</f>
        <v>261213.54479899554</v>
      </c>
      <c r="D11" s="5">
        <f>Ophtha!AT11</f>
        <v>169089.82248832227</v>
      </c>
      <c r="E11" s="5">
        <f>Ophtha!BV11</f>
        <v>-154981.05168717628</v>
      </c>
      <c r="F11" s="5">
        <f>Ophtha!CF11</f>
        <v>-154981.05168717628</v>
      </c>
      <c r="G11" s="5">
        <f>Ophtha!CP11</f>
        <v>-154981.05168717628</v>
      </c>
      <c r="H11" s="5">
        <f>Ophtha!CZ11</f>
        <v>-154981.05168717628</v>
      </c>
      <c r="I11" s="5">
        <f>Ophtha!DJ11</f>
        <v>-166943.9067383607</v>
      </c>
      <c r="J11" s="5">
        <f>Ophtha!DU11</f>
        <v>-159376.263840158</v>
      </c>
      <c r="K11" s="5">
        <f>Ophtha!EF11</f>
        <v>-157911.19312249744</v>
      </c>
      <c r="L11" s="5">
        <f>Ophtha!GV11</f>
        <v>261213.54479899554</v>
      </c>
      <c r="M11" s="5">
        <f>Ophtha!HQ11</f>
        <v>169089.82248832227</v>
      </c>
      <c r="N11" s="5">
        <f>Ophtha!IL11</f>
        <v>261213.54479899554</v>
      </c>
      <c r="O11" s="5">
        <f>Ophtha!JG11</f>
        <v>169089.82248832227</v>
      </c>
      <c r="P11" s="5">
        <f>Ophtha!KI11</f>
        <v>35886.328601905836</v>
      </c>
    </row>
    <row r="12" spans="1:20" ht="14.45" x14ac:dyDescent="0.3">
      <c r="A12" s="53">
        <f>Ophtha!A12</f>
        <v>2018</v>
      </c>
      <c r="B12" s="53">
        <f>Ophtha!B12</f>
        <v>6</v>
      </c>
      <c r="C12" s="5">
        <f>Ophtha!X12</f>
        <v>311474.37448667729</v>
      </c>
      <c r="D12" s="5">
        <f>Ophtha!AT12</f>
        <v>219350.65217600405</v>
      </c>
      <c r="E12" s="5">
        <f>Ophtha!BV12</f>
        <v>-118995.92937851879</v>
      </c>
      <c r="F12" s="5">
        <f>Ophtha!CF12</f>
        <v>-118995.92937851879</v>
      </c>
      <c r="G12" s="5">
        <f>Ophtha!CP12</f>
        <v>-118995.92937851879</v>
      </c>
      <c r="H12" s="5">
        <f>Ophtha!CZ12</f>
        <v>-118995.92937851879</v>
      </c>
      <c r="I12" s="5">
        <f>Ophtha!DJ12</f>
        <v>-153732.16164497906</v>
      </c>
      <c r="J12" s="5">
        <f>Ophtha!DU12</f>
        <v>-127913.13213476112</v>
      </c>
      <c r="K12" s="5">
        <f>Ophtha!EF12</f>
        <v>-124940.73121601369</v>
      </c>
      <c r="L12" s="5">
        <f>Ophtha!GV12</f>
        <v>311474.37448667729</v>
      </c>
      <c r="M12" s="5">
        <f>Ophtha!HQ12</f>
        <v>219350.65217600405</v>
      </c>
      <c r="N12" s="5">
        <f>Ophtha!IL12</f>
        <v>311474.37448667729</v>
      </c>
      <c r="O12" s="5">
        <f>Ophtha!JG12</f>
        <v>219350.65217600405</v>
      </c>
      <c r="P12" s="5">
        <f>Ophtha!KI12</f>
        <v>71871.450910563319</v>
      </c>
    </row>
    <row r="13" spans="1:20" ht="14.45" x14ac:dyDescent="0.3">
      <c r="A13" s="53">
        <f>Ophtha!A13</f>
        <v>2019</v>
      </c>
      <c r="B13" s="53">
        <f>Ophtha!B13</f>
        <v>7</v>
      </c>
      <c r="C13" s="5">
        <f>Ophtha!X13</f>
        <v>363115.97670968575</v>
      </c>
      <c r="D13" s="5">
        <f>Ophtha!AT13</f>
        <v>270992.25439901254</v>
      </c>
      <c r="E13" s="5">
        <f>Ophtha!BV13</f>
        <v>-82904.654937055282</v>
      </c>
      <c r="F13" s="5">
        <f>Ophtha!CF13</f>
        <v>-82904.654937055282</v>
      </c>
      <c r="G13" s="5">
        <f>Ophtha!CP13</f>
        <v>-82904.654937055282</v>
      </c>
      <c r="H13" s="5">
        <f>Ophtha!CZ13</f>
        <v>-82904.654937055282</v>
      </c>
      <c r="I13" s="5">
        <f>Ophtha!DJ13</f>
        <v>-139317.43128811088</v>
      </c>
      <c r="J13" s="5">
        <f>Ophtha!DU13</f>
        <v>-96469.213883902426</v>
      </c>
      <c r="K13" s="5">
        <f>Ophtha!EF13</f>
        <v>-91947.694234953393</v>
      </c>
      <c r="L13" s="5">
        <f>Ophtha!GV13</f>
        <v>363115.97670968575</v>
      </c>
      <c r="M13" s="5">
        <f>Ophtha!HQ13</f>
        <v>270992.25439901254</v>
      </c>
      <c r="N13" s="5">
        <f>Ophtha!IL13</f>
        <v>363115.97670968575</v>
      </c>
      <c r="O13" s="5">
        <f>Ophtha!JG13</f>
        <v>270992.25439901254</v>
      </c>
      <c r="P13" s="5">
        <f>Ophtha!KI13</f>
        <v>107962.72535202681</v>
      </c>
    </row>
    <row r="14" spans="1:20" ht="14.45" x14ac:dyDescent="0.3">
      <c r="A14" s="53">
        <f>Ophtha!A14</f>
        <v>2020</v>
      </c>
      <c r="B14" s="53">
        <f>Ophtha!B14</f>
        <v>8</v>
      </c>
      <c r="C14" s="5">
        <f>Ophtha!X14</f>
        <v>414930.34262192424</v>
      </c>
      <c r="D14" s="5">
        <f>Ophtha!AT14</f>
        <v>322806.62031125103</v>
      </c>
      <c r="E14" s="5">
        <f>Ophtha!BV14</f>
        <v>-46699.992676364229</v>
      </c>
      <c r="F14" s="5">
        <f>Ophtha!CF14</f>
        <v>-46699.992676364229</v>
      </c>
      <c r="G14" s="5">
        <f>Ophtha!CP14</f>
        <v>-46699.992676364229</v>
      </c>
      <c r="H14" s="5">
        <f>Ophtha!CZ14</f>
        <v>-46699.992676364229</v>
      </c>
      <c r="I14" s="5">
        <f>Ophtha!DJ14</f>
        <v>-123745.30670550409</v>
      </c>
      <c r="J14" s="5">
        <f>Ophtha!DU14</f>
        <v>-65035.922086779574</v>
      </c>
      <c r="K14" s="5">
        <f>Ophtha!EF14</f>
        <v>-58923.94561664114</v>
      </c>
      <c r="L14" s="5">
        <f>Ophtha!GV14</f>
        <v>414930.34262192424</v>
      </c>
      <c r="M14" s="5">
        <f>Ophtha!HQ14</f>
        <v>322806.62031125103</v>
      </c>
      <c r="N14" s="5">
        <f>Ophtha!IL14</f>
        <v>414930.34262192424</v>
      </c>
      <c r="O14" s="5">
        <f>Ophtha!JG14</f>
        <v>322806.62031125103</v>
      </c>
      <c r="P14" s="5">
        <f>Ophtha!KI14</f>
        <v>144167.38761271787</v>
      </c>
    </row>
    <row r="15" spans="1:20" ht="14.45" x14ac:dyDescent="0.3">
      <c r="A15" s="53">
        <f>Ophtha!A15</f>
        <v>2021</v>
      </c>
      <c r="B15" s="53">
        <f>Ophtha!B15</f>
        <v>9</v>
      </c>
      <c r="C15" s="5">
        <f>Ophtha!X15</f>
        <v>474661.52056107915</v>
      </c>
      <c r="D15" s="5">
        <f>Ophtha!AT15</f>
        <v>382537.79825040593</v>
      </c>
      <c r="E15" s="5">
        <f>Ophtha!BV15</f>
        <v>49311.506904871334</v>
      </c>
      <c r="F15" s="5">
        <f>Ophtha!CF15</f>
        <v>59316.834754328898</v>
      </c>
      <c r="G15" s="5">
        <f>Ophtha!CP15</f>
        <v>49775.138679855969</v>
      </c>
      <c r="H15" s="5">
        <f>Ophtha!CZ15</f>
        <v>57589.698042638192</v>
      </c>
      <c r="I15" s="5">
        <f>Ophtha!DJ15</f>
        <v>-23465.310965567187</v>
      </c>
      <c r="J15" s="5">
        <f>Ophtha!DU15</f>
        <v>35244.073653157327</v>
      </c>
      <c r="K15" s="5">
        <f>Ophtha!EF15</f>
        <v>45365.745102361281</v>
      </c>
      <c r="L15" s="5">
        <f>Ophtha!GV15</f>
        <v>474661.52056107915</v>
      </c>
      <c r="M15" s="5">
        <f>Ophtha!HQ15</f>
        <v>382537.79825040593</v>
      </c>
      <c r="N15" s="5">
        <f>Ophtha!IL15</f>
        <v>474661.52056107915</v>
      </c>
      <c r="O15" s="5">
        <f>Ophtha!JG15</f>
        <v>382537.79825040593</v>
      </c>
      <c r="P15" s="5">
        <f>Ophtha!KI15</f>
        <v>264086.19705728476</v>
      </c>
    </row>
    <row r="16" spans="1:20" ht="14.45" x14ac:dyDescent="0.3">
      <c r="A16" s="53">
        <f>Ophtha!A16</f>
        <v>2022</v>
      </c>
      <c r="B16" s="53">
        <f>Ophtha!B16</f>
        <v>10</v>
      </c>
      <c r="C16" s="5">
        <f>Ophtha!X16</f>
        <v>533314.72387588245</v>
      </c>
      <c r="D16" s="5">
        <f>Ophtha!AT16</f>
        <v>441191.00156520924</v>
      </c>
      <c r="E16" s="5">
        <f>Ophtha!BV16</f>
        <v>137774.12263404956</v>
      </c>
      <c r="F16" s="5">
        <f>Ophtha!CF16</f>
        <v>157302.89218297176</v>
      </c>
      <c r="G16" s="5">
        <f>Ophtha!CP16</f>
        <v>139424.42404595815</v>
      </c>
      <c r="H16" s="5">
        <f>Ophtha!CZ16</f>
        <v>154428.7145918037</v>
      </c>
      <c r="I16" s="5">
        <f>Ophtha!DJ16</f>
        <v>69060.217536028053</v>
      </c>
      <c r="J16" s="5">
        <f>Ophtha!DU16</f>
        <v>127769.60215475256</v>
      </c>
      <c r="K16" s="5">
        <f>Ophtha!EF16</f>
        <v>142204.76165152679</v>
      </c>
      <c r="L16" s="5">
        <f>Ophtha!GV16</f>
        <v>533314.72387588245</v>
      </c>
      <c r="M16" s="5">
        <f>Ophtha!HQ16</f>
        <v>441191.00156520924</v>
      </c>
      <c r="N16" s="5">
        <f>Ophtha!IL16</f>
        <v>533314.72387588245</v>
      </c>
      <c r="O16" s="5">
        <f>Ophtha!JG16</f>
        <v>441191.00156520924</v>
      </c>
      <c r="P16" s="5">
        <f>Ophtha!KI16</f>
        <v>375304.67597257695</v>
      </c>
    </row>
    <row r="17" spans="1:16" ht="14.45" x14ac:dyDescent="0.3">
      <c r="A17" s="53">
        <f>Ophtha!A17</f>
        <v>2023</v>
      </c>
      <c r="B17" s="53">
        <f>Ophtha!B17</f>
        <v>11</v>
      </c>
      <c r="C17" s="5">
        <f>Ophtha!X17</f>
        <v>597000.51990297018</v>
      </c>
      <c r="D17" s="5">
        <f>Ophtha!AT17</f>
        <v>504876.79759229696</v>
      </c>
      <c r="E17" s="5">
        <f>Ophtha!BV17</f>
        <v>225072.94742145418</v>
      </c>
      <c r="F17" s="5">
        <f>Ophtha!CF17</f>
        <v>253666.48158056545</v>
      </c>
      <c r="G17" s="5">
        <f>Ophtha!CP17</f>
        <v>227217.99473273015</v>
      </c>
      <c r="H17" s="5">
        <f>Ophtha!CZ17</f>
        <v>249277.3278397276</v>
      </c>
      <c r="I17" s="5">
        <f>Ophtha!DJ17</f>
        <v>160226.27321284544</v>
      </c>
      <c r="J17" s="5">
        <f>Ophtha!DU17</f>
        <v>218935.65783156993</v>
      </c>
      <c r="K17" s="5">
        <f>Ophtha!EF17</f>
        <v>237053.37489945069</v>
      </c>
      <c r="L17" s="5">
        <f>Ophtha!GV17</f>
        <v>597000.51990297018</v>
      </c>
      <c r="M17" s="5">
        <f>Ophtha!HQ17</f>
        <v>504876.79759229696</v>
      </c>
      <c r="N17" s="5">
        <f>Ophtha!IL17</f>
        <v>597000.51990297018</v>
      </c>
      <c r="O17" s="5">
        <f>Ophtha!JG17</f>
        <v>504876.79759229696</v>
      </c>
      <c r="P17" s="5">
        <f>Ophtha!KI17</f>
        <v>484263.37434280466</v>
      </c>
    </row>
    <row r="18" spans="1:16" ht="14.45" x14ac:dyDescent="0.3">
      <c r="A18" s="53">
        <f>Ophtha!A18</f>
        <v>2024</v>
      </c>
      <c r="B18" s="53">
        <f>Ophtha!B18</f>
        <v>12</v>
      </c>
      <c r="C18" s="5">
        <f>Ophtha!X18</f>
        <v>658271.74611536425</v>
      </c>
      <c r="D18" s="5">
        <f>Ophtha!AT18</f>
        <v>566148.02380469104</v>
      </c>
      <c r="E18" s="5">
        <f>Ophtha!BV18</f>
        <v>311201.80632194114</v>
      </c>
      <c r="F18" s="5">
        <f>Ophtha!CF18</f>
        <v>348423.51924574788</v>
      </c>
      <c r="G18" s="5">
        <f>Ophtha!CP18</f>
        <v>313346.85363321711</v>
      </c>
      <c r="H18" s="5">
        <f>Ophtha!CZ18</f>
        <v>342177.23323576653</v>
      </c>
      <c r="I18" s="5">
        <f>Ophtha!DJ18</f>
        <v>250036.10573736887</v>
      </c>
      <c r="J18" s="5">
        <f>Ophtha!DU18</f>
        <v>308745.49035609339</v>
      </c>
      <c r="K18" s="5">
        <f>Ophtha!EF18</f>
        <v>329953.28029548959</v>
      </c>
      <c r="L18" s="5">
        <f>Ophtha!GV18</f>
        <v>658271.74611536425</v>
      </c>
      <c r="M18" s="5">
        <f>Ophtha!HQ18</f>
        <v>566148.02380469104</v>
      </c>
      <c r="N18" s="5">
        <f>Ophtha!IL18</f>
        <v>658271.74611536425</v>
      </c>
      <c r="O18" s="5">
        <f>Ophtha!JG18</f>
        <v>566148.02380469104</v>
      </c>
      <c r="P18" s="5">
        <f>Ophtha!KI18</f>
        <v>591008.90332022205</v>
      </c>
    </row>
    <row r="19" spans="1:16" ht="14.45" x14ac:dyDescent="0.3">
      <c r="A19" s="53">
        <f>Ophtha!A19</f>
        <v>2025</v>
      </c>
      <c r="B19" s="53">
        <f>Ophtha!B19</f>
        <v>13</v>
      </c>
      <c r="C19" s="5">
        <f>Ophtha!X19</f>
        <v>718698.20947738958</v>
      </c>
      <c r="D19" s="5">
        <f>Ophtha!AT19</f>
        <v>649910.06493425183</v>
      </c>
      <c r="E19" s="5">
        <f>Ophtha!BV19</f>
        <v>396156.0857399379</v>
      </c>
      <c r="F19" s="5">
        <f>Ophtha!CF19</f>
        <v>441590.41884715937</v>
      </c>
      <c r="G19" s="5">
        <f>Ophtha!CP19</f>
        <v>398301.13305121387</v>
      </c>
      <c r="H19" s="5">
        <f>Ophtha!CZ19</f>
        <v>433169.23096464132</v>
      </c>
      <c r="I19" s="5">
        <f>Ophtha!DJ19</f>
        <v>338494.07221422391</v>
      </c>
      <c r="J19" s="5">
        <f>Ophtha!DU19</f>
        <v>397203.45683294843</v>
      </c>
      <c r="K19" s="5">
        <f>Ophtha!EF19</f>
        <v>420945.27802436438</v>
      </c>
      <c r="L19" s="5">
        <f>Ophtha!GV19</f>
        <v>718698.20947738958</v>
      </c>
      <c r="M19" s="5">
        <f>Ophtha!HQ19</f>
        <v>649910.06493425183</v>
      </c>
      <c r="N19" s="5">
        <f>Ophtha!IL19</f>
        <v>718698.20947738958</v>
      </c>
      <c r="O19" s="5">
        <f>Ophtha!JG19</f>
        <v>661028.00888502866</v>
      </c>
      <c r="P19" s="5">
        <f>Ophtha!KI19</f>
        <v>695586.89307224739</v>
      </c>
    </row>
    <row r="20" spans="1:16" ht="14.45" x14ac:dyDescent="0.3">
      <c r="A20" s="53">
        <f>Ophtha!A20</f>
        <v>2026</v>
      </c>
      <c r="B20" s="53">
        <f>Ophtha!B20</f>
        <v>14</v>
      </c>
      <c r="C20" s="5">
        <f>Ophtha!X20</f>
        <v>776833.3869198251</v>
      </c>
      <c r="D20" s="5">
        <f>Ophtha!AT20</f>
        <v>730451.56207811472</v>
      </c>
      <c r="E20" s="5">
        <f>Ophtha!BV20</f>
        <v>479932.63217074517</v>
      </c>
      <c r="F20" s="5">
        <f>Ophtha!CF20</f>
        <v>533184.04140914371</v>
      </c>
      <c r="G20" s="5">
        <f>Ophtha!CP20</f>
        <v>482077.67948202114</v>
      </c>
      <c r="H20" s="5">
        <f>Ophtha!CZ20</f>
        <v>522293.24576395075</v>
      </c>
      <c r="I20" s="5">
        <f>Ophtha!DJ20</f>
        <v>425605.5577834837</v>
      </c>
      <c r="J20" s="5">
        <f>Ophtha!DU20</f>
        <v>484314.94240220822</v>
      </c>
      <c r="K20" s="5">
        <f>Ophtha!EF20</f>
        <v>510069.29282367381</v>
      </c>
      <c r="L20" s="5">
        <f>Ophtha!GV20</f>
        <v>776833.3869198251</v>
      </c>
      <c r="M20" s="5">
        <f>Ophtha!HQ20</f>
        <v>730451.56207811472</v>
      </c>
      <c r="N20" s="5">
        <f>Ophtha!IL20</f>
        <v>776833.3869198251</v>
      </c>
      <c r="O20" s="5">
        <f>Ophtha!JG20</f>
        <v>753975.28206454159</v>
      </c>
      <c r="P20" s="5">
        <f>Ophtha!KI20</f>
        <v>798042.01396910124</v>
      </c>
    </row>
    <row r="21" spans="1:16" ht="14.45" x14ac:dyDescent="0.3">
      <c r="A21" s="53">
        <f>Ophtha!A21</f>
        <v>2027</v>
      </c>
      <c r="B21" s="53">
        <f>Ophtha!B21</f>
        <v>15</v>
      </c>
      <c r="C21" s="5">
        <f>Ophtha!X21</f>
        <v>834903.67436399602</v>
      </c>
      <c r="D21" s="5">
        <f>Ophtha!AT21</f>
        <v>810137.25824792241</v>
      </c>
      <c r="E21" s="5">
        <f>Ophtha!BV21</f>
        <v>562529.65636689821</v>
      </c>
      <c r="F21" s="5">
        <f>Ophtha!CF21</f>
        <v>623221.64825442783</v>
      </c>
      <c r="G21" s="5">
        <f>Ophtha!CP21</f>
        <v>564674.70367817418</v>
      </c>
      <c r="H21" s="5">
        <f>Ophtha!CZ21</f>
        <v>609588.34628718451</v>
      </c>
      <c r="I21" s="5">
        <f>Ophtha!DJ21</f>
        <v>518679.22085480281</v>
      </c>
      <c r="J21" s="5">
        <f>Ophtha!DU21</f>
        <v>570086.28521482099</v>
      </c>
      <c r="K21" s="5">
        <f>Ophtha!EF21</f>
        <v>597364.39334690757</v>
      </c>
      <c r="L21" s="5">
        <f>Ophtha!GV21</f>
        <v>834903.67436399602</v>
      </c>
      <c r="M21" s="5">
        <f>Ophtha!HQ21</f>
        <v>810137.25824792241</v>
      </c>
      <c r="N21" s="5">
        <f>Ophtha!IL21</f>
        <v>834903.67436399602</v>
      </c>
      <c r="O21" s="5">
        <f>Ophtha!JG21</f>
        <v>845029.8460638409</v>
      </c>
      <c r="P21" s="5">
        <f>Ophtha!KI21</f>
        <v>898417.99729912693</v>
      </c>
    </row>
    <row r="22" spans="1:16" ht="14.45" x14ac:dyDescent="0.3">
      <c r="A22" s="53">
        <f>Ophtha!A22</f>
        <v>2028</v>
      </c>
      <c r="B22" s="53">
        <f>Ophtha!B22</f>
        <v>16</v>
      </c>
      <c r="C22" s="5">
        <f>Ophtha!X22</f>
        <v>911525.4134748918</v>
      </c>
      <c r="D22" s="5">
        <f>Ophtha!AT22</f>
        <v>886758.99735881819</v>
      </c>
      <c r="E22" s="5">
        <f>Ophtha!BV22</f>
        <v>643946.64265647193</v>
      </c>
      <c r="F22" s="5">
        <f>Ophtha!CF22</f>
        <v>711720.85674953286</v>
      </c>
      <c r="G22" s="5">
        <f>Ophtha!CP22</f>
        <v>646091.68996774789</v>
      </c>
      <c r="H22" s="5">
        <f>Ophtha!CZ22</f>
        <v>695092.76402306871</v>
      </c>
      <c r="I22" s="5">
        <f>Ophtha!DJ22</f>
        <v>617018.87907838821</v>
      </c>
      <c r="J22" s="5">
        <f>Ophtha!DU22</f>
        <v>654524.7055577545</v>
      </c>
      <c r="K22" s="5">
        <f>Ophtha!EF22</f>
        <v>682868.81108279177</v>
      </c>
      <c r="L22" s="5">
        <f>Ophtha!GV22</f>
        <v>911525.4134748918</v>
      </c>
      <c r="M22" s="5">
        <f>Ophtha!HQ22</f>
        <v>886758.99735881819</v>
      </c>
      <c r="N22" s="5">
        <f>Ophtha!IL22</f>
        <v>924104.6861849085</v>
      </c>
      <c r="O22" s="5">
        <f>Ophtha!JG22</f>
        <v>934230.8578847535</v>
      </c>
      <c r="P22" s="5">
        <f>Ophtha!KI22</f>
        <v>996757.65552271239</v>
      </c>
    </row>
    <row r="23" spans="1:16" ht="14.45" x14ac:dyDescent="0.3">
      <c r="A23" s="53">
        <f>Ophtha!A23</f>
        <v>2029</v>
      </c>
      <c r="B23" s="53">
        <f>Ophtha!B23</f>
        <v>17</v>
      </c>
      <c r="C23" s="5">
        <f>Ophtha!X23</f>
        <v>987866.92202686938</v>
      </c>
      <c r="D23" s="5">
        <f>Ophtha!AT23</f>
        <v>963100.50591079576</v>
      </c>
      <c r="E23" s="5">
        <f>Ophtha!BV23</f>
        <v>724184.26315362856</v>
      </c>
      <c r="F23" s="5">
        <f>Ophtha!CF23</f>
        <v>798699.59870636137</v>
      </c>
      <c r="G23" s="5">
        <f>Ophtha!CP23</f>
        <v>726329.31046490453</v>
      </c>
      <c r="H23" s="5">
        <f>Ophtha!CZ23</f>
        <v>778843.91178180533</v>
      </c>
      <c r="I23" s="5">
        <f>Ophtha!DJ23</f>
        <v>713364.12563114322</v>
      </c>
      <c r="J23" s="5">
        <f>Ophtha!DU23</f>
        <v>737638.23891742749</v>
      </c>
      <c r="K23" s="5">
        <f>Ophtha!EF23</f>
        <v>766619.95884152851</v>
      </c>
      <c r="L23" s="5">
        <f>Ophtha!GV23</f>
        <v>987866.92202686938</v>
      </c>
      <c r="M23" s="5">
        <f>Ophtha!HQ23</f>
        <v>963100.50591079576</v>
      </c>
      <c r="N23" s="5">
        <f>Ophtha!IL23</f>
        <v>1011490.4754801411</v>
      </c>
      <c r="O23" s="5">
        <f>Ophtha!JG23</f>
        <v>1021616.6471799861</v>
      </c>
      <c r="P23" s="5">
        <f>Ophtha!KI23</f>
        <v>1093102.9020754674</v>
      </c>
    </row>
    <row r="24" spans="1:16" x14ac:dyDescent="0.25">
      <c r="A24" s="53">
        <f>Ophtha!A24</f>
        <v>2030</v>
      </c>
      <c r="B24" s="53">
        <f>Ophtha!B24</f>
        <v>18</v>
      </c>
      <c r="C24" s="5">
        <f>Ophtha!X24</f>
        <v>1061272.8205898602</v>
      </c>
      <c r="D24" s="5">
        <f>Ophtha!AT24</f>
        <v>1036506.4044737867</v>
      </c>
      <c r="E24" s="5">
        <f>Ophtha!BV24</f>
        <v>803244.2966144738</v>
      </c>
      <c r="F24" s="5">
        <f>Ophtha!CF24</f>
        <v>884176.08130072244</v>
      </c>
      <c r="G24" s="5">
        <f>Ophtha!CP24</f>
        <v>805389.34392574977</v>
      </c>
      <c r="H24" s="5">
        <f>Ophtha!CZ24</f>
        <v>860878.40175851015</v>
      </c>
      <c r="I24" s="5">
        <f>Ophtha!DJ24</f>
        <v>807755.99428673275</v>
      </c>
      <c r="J24" s="5">
        <f>Ophtha!DU24</f>
        <v>819435.67278043949</v>
      </c>
      <c r="K24" s="5">
        <f>Ophtha!EF24</f>
        <v>848654.44881823333</v>
      </c>
      <c r="L24" s="5">
        <f>Ophtha!GV24</f>
        <v>1061272.8205898602</v>
      </c>
      <c r="M24" s="5">
        <f>Ophtha!HQ24</f>
        <v>1036506.4044737867</v>
      </c>
      <c r="N24" s="5">
        <f>Ophtha!IL24</f>
        <v>1097098.5625107086</v>
      </c>
      <c r="O24" s="5">
        <f>Ophtha!JG24</f>
        <v>1107224.7342105536</v>
      </c>
      <c r="P24" s="5">
        <f>Ophtha!KI24</f>
        <v>1187494.770731057</v>
      </c>
    </row>
    <row r="25" spans="1:16" x14ac:dyDescent="0.25">
      <c r="A25" s="53">
        <f>Ophtha!A25</f>
        <v>2031</v>
      </c>
      <c r="B25" s="53">
        <f>Ophtha!B25</f>
        <v>19</v>
      </c>
      <c r="C25" s="5">
        <f>Ophtha!X25</f>
        <v>1133134.2945309146</v>
      </c>
      <c r="D25" s="5">
        <f>Ophtha!AT25</f>
        <v>1108367.8784148411</v>
      </c>
      <c r="E25" s="5">
        <f>Ophtha!BV25</f>
        <v>895722.96041725646</v>
      </c>
      <c r="F25" s="5">
        <f>Ophtha!CF25</f>
        <v>968168.75037551322</v>
      </c>
      <c r="G25" s="5">
        <f>Ophtha!CP25</f>
        <v>895502.45899216679</v>
      </c>
      <c r="H25" s="5">
        <f>Ophtha!CZ25</f>
        <v>941232.0631838938</v>
      </c>
      <c r="I25" s="5">
        <f>Ophtha!DJ25</f>
        <v>900234.65808951552</v>
      </c>
      <c r="J25" s="5">
        <f>Ophtha!DU25</f>
        <v>899926.48698054033</v>
      </c>
      <c r="K25" s="5">
        <f>Ophtha!EF25</f>
        <v>929145.26301833417</v>
      </c>
      <c r="L25" s="5">
        <f>Ophtha!GV25</f>
        <v>1133134.2945309146</v>
      </c>
      <c r="M25" s="5">
        <f>Ophtha!HQ25</f>
        <v>1108367.8784148411</v>
      </c>
      <c r="N25" s="5">
        <f>Ophtha!IL25</f>
        <v>1180965.6757007246</v>
      </c>
      <c r="O25" s="5">
        <f>Ophtha!JG25</f>
        <v>1191091.8474005696</v>
      </c>
      <c r="P25" s="5">
        <f>Ophtha!KI25</f>
        <v>1279973.4345338398</v>
      </c>
    </row>
    <row r="26" spans="1:16" x14ac:dyDescent="0.25">
      <c r="A26" s="53">
        <f>Ophtha!A26</f>
        <v>2032</v>
      </c>
      <c r="B26" s="53">
        <f>Ophtha!B26</f>
        <v>20</v>
      </c>
      <c r="C26" s="5">
        <f>Ophtha!X26</f>
        <v>1202232.45084336</v>
      </c>
      <c r="D26" s="5">
        <f>Ophtha!AT26</f>
        <v>1177466.0347272865</v>
      </c>
      <c r="E26" s="5">
        <f>Ophtha!BV26</f>
        <v>986327.75019463617</v>
      </c>
      <c r="F26" s="5">
        <f>Ophtha!CF26</f>
        <v>1050696.2560028909</v>
      </c>
      <c r="G26" s="5">
        <f>Ophtha!CP26</f>
        <v>986107.24876954639</v>
      </c>
      <c r="H26" s="5">
        <f>Ophtha!CZ26</f>
        <v>1019939.959571988</v>
      </c>
      <c r="I26" s="5">
        <f>Ophtha!DJ26</f>
        <v>990839.44786689524</v>
      </c>
      <c r="J26" s="5">
        <f>Ophtha!DU26</f>
        <v>984875.28177740646</v>
      </c>
      <c r="K26" s="5">
        <f>Ophtha!EF26</f>
        <v>1008339.573448025</v>
      </c>
      <c r="L26" s="5">
        <f>Ophtha!GV26</f>
        <v>1202232.45084336</v>
      </c>
      <c r="M26" s="5">
        <f>Ophtha!HQ26</f>
        <v>1177466.0347272865</v>
      </c>
      <c r="N26" s="5">
        <f>Ophtha!IL26</f>
        <v>1263127.7687989213</v>
      </c>
      <c r="O26" s="5">
        <f>Ophtha!JG26</f>
        <v>1273253.9404987663</v>
      </c>
      <c r="P26" s="5">
        <f>Ophtha!KI26</f>
        <v>1370578.2243112195</v>
      </c>
    </row>
    <row r="27" spans="1:16" x14ac:dyDescent="0.25">
      <c r="A27" s="53">
        <f>Ophtha!A27</f>
        <v>2033</v>
      </c>
      <c r="B27" s="53">
        <f>Ophtha!B27</f>
        <v>21</v>
      </c>
      <c r="C27" s="5">
        <f>Ophtha!X27</f>
        <v>1270481.9780365375</v>
      </c>
      <c r="D27" s="5">
        <f>Ophtha!AT27</f>
        <v>1245715.561920464</v>
      </c>
      <c r="E27" s="5">
        <f>Ophtha!BV27</f>
        <v>1075097.1726587953</v>
      </c>
      <c r="F27" s="5">
        <f>Ophtha!CF27</f>
        <v>1131777.4201860658</v>
      </c>
      <c r="G27" s="5">
        <f>Ophtha!CP27</f>
        <v>1074876.6712337055</v>
      </c>
      <c r="H27" s="5">
        <f>Ophtha!CZ27</f>
        <v>1097036.4055744717</v>
      </c>
      <c r="I27" s="5">
        <f>Ophtha!DJ27</f>
        <v>1079608.8703310543</v>
      </c>
      <c r="J27" s="5">
        <f>Ophtha!DU27</f>
        <v>1073644.7042415654</v>
      </c>
      <c r="K27" s="5">
        <f>Ophtha!EF27</f>
        <v>1086248.0789621661</v>
      </c>
      <c r="L27" s="5">
        <f>Ophtha!GV27</f>
        <v>1270481.9780365375</v>
      </c>
      <c r="M27" s="5">
        <f>Ophtha!HQ27</f>
        <v>1245715.561920464</v>
      </c>
      <c r="N27" s="5">
        <f>Ophtha!IL27</f>
        <v>1343620.0376560381</v>
      </c>
      <c r="O27" s="5">
        <f>Ophtha!JG27</f>
        <v>1353746.2093558831</v>
      </c>
      <c r="P27" s="5">
        <f>Ophtha!KI27</f>
        <v>1459347.6467753786</v>
      </c>
    </row>
    <row r="28" spans="1:16" x14ac:dyDescent="0.25">
      <c r="A28" s="53">
        <f>Ophtha!A28</f>
        <v>2034</v>
      </c>
      <c r="B28" s="53">
        <f>Ophtha!B28</f>
        <v>22</v>
      </c>
      <c r="C28" s="5">
        <f>Ophtha!X28</f>
        <v>1336106.981097888</v>
      </c>
      <c r="D28" s="5">
        <f>Ophtha!AT28</f>
        <v>1311340.5649818145</v>
      </c>
      <c r="E28" s="5">
        <f>Ophtha!BV28</f>
        <v>1162068.92810725</v>
      </c>
      <c r="F28" s="5">
        <f>Ophtha!CF28</f>
        <v>1211431.2065873246</v>
      </c>
      <c r="G28" s="5">
        <f>Ophtha!CP28</f>
        <v>1161848.4266821602</v>
      </c>
      <c r="H28" s="5">
        <f>Ophtha!CZ28</f>
        <v>1172554.9834509208</v>
      </c>
      <c r="I28" s="5">
        <f>Ophtha!DJ28</f>
        <v>1166580.6257795091</v>
      </c>
      <c r="J28" s="5">
        <f>Ophtha!DU28</f>
        <v>1160616.4596900202</v>
      </c>
      <c r="K28" s="5">
        <f>Ophtha!EF28</f>
        <v>1162882.0113095187</v>
      </c>
      <c r="L28" s="5">
        <f>Ophtha!GV28</f>
        <v>1336106.981097888</v>
      </c>
      <c r="M28" s="5">
        <f>Ophtha!HQ28</f>
        <v>1311340.5649818145</v>
      </c>
      <c r="N28" s="5">
        <f>Ophtha!IL28</f>
        <v>1422476.9366270003</v>
      </c>
      <c r="O28" s="5">
        <f>Ophtha!JG28</f>
        <v>1432603.1083268453</v>
      </c>
      <c r="P28" s="5">
        <f>Ophtha!KI28</f>
        <v>1546319.4022238334</v>
      </c>
    </row>
    <row r="29" spans="1:16" x14ac:dyDescent="0.25">
      <c r="A29" s="53">
        <f>Ophtha!A29</f>
        <v>2035</v>
      </c>
      <c r="B29" s="53">
        <f>Ophtha!B29</f>
        <v>23</v>
      </c>
      <c r="C29" s="5">
        <f>Ophtha!X29</f>
        <v>1403141.9443251938</v>
      </c>
      <c r="D29" s="5">
        <f>Ophtha!AT29</f>
        <v>1378375.5282091203</v>
      </c>
      <c r="E29" s="5">
        <f>Ophtha!BV29</f>
        <v>1247279.927731439</v>
      </c>
      <c r="F29" s="5">
        <f>Ophtha!CF29</f>
        <v>1289676.6921745862</v>
      </c>
      <c r="G29" s="5">
        <f>Ophtha!CP29</f>
        <v>1247059.4263063492</v>
      </c>
      <c r="H29" s="5">
        <f>Ophtha!CZ29</f>
        <v>1246528.5591640724</v>
      </c>
      <c r="I29" s="5">
        <f>Ophtha!DJ29</f>
        <v>1251791.6254036981</v>
      </c>
      <c r="J29" s="5">
        <f>Ophtha!DU29</f>
        <v>1245827.4593142092</v>
      </c>
      <c r="K29" s="5">
        <f>Ophtha!EF29</f>
        <v>1245670.1882869587</v>
      </c>
      <c r="L29" s="5">
        <f>Ophtha!GV29</f>
        <v>1403141.9443251938</v>
      </c>
      <c r="M29" s="5">
        <f>Ophtha!HQ29</f>
        <v>1378375.5282091203</v>
      </c>
      <c r="N29" s="5">
        <f>Ophtha!IL29</f>
        <v>1499732.1946065892</v>
      </c>
      <c r="O29" s="5">
        <f>Ophtha!JG29</f>
        <v>1509858.3663064342</v>
      </c>
      <c r="P29" s="5">
        <f>Ophtha!KI29</f>
        <v>1631530.4018480224</v>
      </c>
    </row>
    <row r="30" spans="1:16" x14ac:dyDescent="0.25">
      <c r="A30" s="53">
        <f>Ophtha!A30</f>
        <v>2036</v>
      </c>
      <c r="B30" s="53">
        <f>Ophtha!B30</f>
        <v>24</v>
      </c>
      <c r="C30" s="5">
        <f>Ophtha!X30</f>
        <v>1467593.1517484181</v>
      </c>
      <c r="D30" s="5">
        <f>Ophtha!AT30</f>
        <v>1442826.7356323446</v>
      </c>
      <c r="E30" s="5">
        <f>Ophtha!BV30</f>
        <v>1330766.3105423402</v>
      </c>
      <c r="F30" s="5">
        <f>Ophtha!CF30</f>
        <v>1366533.040684205</v>
      </c>
      <c r="G30" s="5">
        <f>Ophtha!CP30</f>
        <v>1330545.8091172504</v>
      </c>
      <c r="H30" s="5">
        <f>Ophtha!CZ30</f>
        <v>1325078.7423982376</v>
      </c>
      <c r="I30" s="5">
        <f>Ophtha!DJ30</f>
        <v>1335278.0082145992</v>
      </c>
      <c r="J30" s="5">
        <f>Ophtha!DU30</f>
        <v>1329313.8421251103</v>
      </c>
      <c r="K30" s="5">
        <f>Ophtha!EF30</f>
        <v>1329156.5710978599</v>
      </c>
      <c r="L30" s="5">
        <f>Ophtha!GV30</f>
        <v>1467593.1517484181</v>
      </c>
      <c r="M30" s="5">
        <f>Ophtha!HQ30</f>
        <v>1442826.7356323446</v>
      </c>
      <c r="N30" s="5">
        <f>Ophtha!IL30</f>
        <v>1575418.8307070979</v>
      </c>
      <c r="O30" s="5">
        <f>Ophtha!JG30</f>
        <v>1585545.0024069429</v>
      </c>
      <c r="P30" s="5">
        <f>Ophtha!KI30</f>
        <v>1715016.7846589235</v>
      </c>
    </row>
    <row r="31" spans="1:16" x14ac:dyDescent="0.25">
      <c r="A31" s="53">
        <f>Ophtha!A31</f>
        <v>2037</v>
      </c>
      <c r="B31" s="53">
        <f>Ophtha!B31</f>
        <v>25</v>
      </c>
      <c r="C31" s="5">
        <f>Ophtha!X31</f>
        <v>1532395.3463698246</v>
      </c>
      <c r="D31" s="5">
        <f>Ophtha!AT31</f>
        <v>1506241.7460800274</v>
      </c>
      <c r="E31" s="5">
        <f>Ophtha!BV31</f>
        <v>1412563.4599218932</v>
      </c>
      <c r="F31" s="5">
        <f>Ophtha!CF31</f>
        <v>1442019.4778028762</v>
      </c>
      <c r="G31" s="5">
        <f>Ophtha!CP31</f>
        <v>1412342.9584968034</v>
      </c>
      <c r="H31" s="5">
        <f>Ophtha!CZ31</f>
        <v>1406875.8917777906</v>
      </c>
      <c r="I31" s="5">
        <f>Ophtha!DJ31</f>
        <v>1417075.1575941523</v>
      </c>
      <c r="J31" s="5">
        <f>Ophtha!DU31</f>
        <v>1411110.9915046634</v>
      </c>
      <c r="K31" s="5">
        <f>Ophtha!EF31</f>
        <v>1410953.7204774129</v>
      </c>
      <c r="L31" s="5">
        <f>Ophtha!GV31</f>
        <v>1523995.0217652966</v>
      </c>
      <c r="M31" s="5">
        <f>Ophtha!HQ31</f>
        <v>1530251.7570200455</v>
      </c>
      <c r="N31" s="5">
        <f>Ophtha!IL31</f>
        <v>1649569.1695862662</v>
      </c>
      <c r="O31" s="5">
        <f>Ophtha!JG31</f>
        <v>1659695.3412861112</v>
      </c>
      <c r="P31" s="5">
        <f>Ophtha!KI31</f>
        <v>1796813.9340384766</v>
      </c>
    </row>
    <row r="32" spans="1:16" x14ac:dyDescent="0.25">
      <c r="A32" s="53">
        <f>Ophtha!A32</f>
        <v>2038</v>
      </c>
      <c r="B32" s="53">
        <f>Ophtha!B32</f>
        <v>26</v>
      </c>
      <c r="C32" s="5">
        <f>Ophtha!X32</f>
        <v>1594699.6802598776</v>
      </c>
      <c r="D32" s="5">
        <f>Ophtha!AT32</f>
        <v>1567478.2037837482</v>
      </c>
      <c r="E32" s="5">
        <f>Ophtha!BV32</f>
        <v>1492706.0198087986</v>
      </c>
      <c r="F32" s="5">
        <f>Ophtha!CF32</f>
        <v>1516155.2679763967</v>
      </c>
      <c r="G32" s="5">
        <f>Ophtha!CP32</f>
        <v>1492485.5183837088</v>
      </c>
      <c r="H32" s="5">
        <f>Ophtha!CZ32</f>
        <v>1487018.451664696</v>
      </c>
      <c r="I32" s="5">
        <f>Ophtha!DJ32</f>
        <v>1497217.7174810576</v>
      </c>
      <c r="J32" s="5">
        <f>Ophtha!DU32</f>
        <v>1491253.5513915687</v>
      </c>
      <c r="K32" s="5">
        <f>Ophtha!EF32</f>
        <v>1491096.2803643183</v>
      </c>
      <c r="L32" s="5">
        <f>Ophtha!GV32</f>
        <v>1578223.658101025</v>
      </c>
      <c r="M32" s="5">
        <f>Ophtha!HQ32</f>
        <v>1615659.1317919896</v>
      </c>
      <c r="N32" s="5">
        <f>Ophtha!IL32</f>
        <v>1722214.8564335785</v>
      </c>
      <c r="O32" s="5">
        <f>Ophtha!JG32</f>
        <v>1732341.0281334235</v>
      </c>
      <c r="P32" s="5">
        <f>Ophtha!KI32</f>
        <v>1876956.4939253819</v>
      </c>
    </row>
    <row r="33" spans="1:16" x14ac:dyDescent="0.25">
      <c r="A33" s="53">
        <f>Ophtha!A33</f>
        <v>2039</v>
      </c>
      <c r="B33" s="53">
        <f>Ophtha!B33</f>
        <v>27</v>
      </c>
      <c r="C33" s="5">
        <f>Ophtha!X33</f>
        <v>1656098.3579323683</v>
      </c>
      <c r="D33" s="5">
        <f>Ophtha!AT33</f>
        <v>1626609.8439024603</v>
      </c>
      <c r="E33" s="5">
        <f>Ophtha!BV33</f>
        <v>1571227.9105270572</v>
      </c>
      <c r="F33" s="5">
        <f>Ophtha!CF33</f>
        <v>1588959.6927576817</v>
      </c>
      <c r="G33" s="5">
        <f>Ophtha!CP33</f>
        <v>1571007.4091019675</v>
      </c>
      <c r="H33" s="5">
        <f>Ophtha!CZ33</f>
        <v>1565540.3423829547</v>
      </c>
      <c r="I33" s="5">
        <f>Ophtha!DJ33</f>
        <v>1575739.6081993163</v>
      </c>
      <c r="J33" s="5">
        <f>Ophtha!DU33</f>
        <v>1569775.4421098274</v>
      </c>
      <c r="K33" s="5">
        <f>Ophtha!EF33</f>
        <v>1569618.171082577</v>
      </c>
      <c r="L33" s="5">
        <f>Ophtha!GV33</f>
        <v>1631858.7201920692</v>
      </c>
      <c r="M33" s="5">
        <f>Ophtha!HQ33</f>
        <v>1699099.6647842797</v>
      </c>
      <c r="N33" s="5">
        <f>Ophtha!IL33</f>
        <v>1793386.8716228246</v>
      </c>
      <c r="O33" s="5">
        <f>Ophtha!JG33</f>
        <v>1803513.0433226696</v>
      </c>
      <c r="P33" s="5">
        <f>Ophtha!KI33</f>
        <v>1955478.3846436406</v>
      </c>
    </row>
    <row r="34" spans="1:16" x14ac:dyDescent="0.25">
      <c r="A34" s="53">
        <f>Ophtha!A34</f>
        <v>2040</v>
      </c>
      <c r="B34" s="53">
        <f>Ophtha!B34</f>
        <v>28</v>
      </c>
      <c r="C34" s="5">
        <f>Ophtha!X34</f>
        <v>1715130.3353787577</v>
      </c>
      <c r="D34" s="5">
        <f>Ophtha!AT34</f>
        <v>1683833.0794485125</v>
      </c>
      <c r="E34" s="5">
        <f>Ophtha!BV34</f>
        <v>1648162.3442654212</v>
      </c>
      <c r="F34" s="5">
        <f>Ophtha!CF34</f>
        <v>1660452.0306108622</v>
      </c>
      <c r="G34" s="5">
        <f>Ophtha!CP34</f>
        <v>1647941.8428403314</v>
      </c>
      <c r="H34" s="5">
        <f>Ophtha!CZ34</f>
        <v>1642474.7761213186</v>
      </c>
      <c r="I34" s="5">
        <f>Ophtha!DJ34</f>
        <v>1652674.0419376802</v>
      </c>
      <c r="J34" s="5">
        <f>Ophtha!DU34</f>
        <v>1646709.8758481913</v>
      </c>
      <c r="K34" s="5">
        <f>Ophtha!EF34</f>
        <v>1646552.6048209409</v>
      </c>
      <c r="L34" s="5">
        <f>Ophtha!GV34</f>
        <v>1717503.0837172905</v>
      </c>
      <c r="M34" s="5">
        <f>Ophtha!HQ34</f>
        <v>1780622.7442357517</v>
      </c>
      <c r="N34" s="5">
        <f>Ophtha!IL34</f>
        <v>1863115.5450386272</v>
      </c>
      <c r="O34" s="5">
        <f>Ophtha!JG34</f>
        <v>1873241.7167384722</v>
      </c>
      <c r="P34" s="5">
        <f>Ophtha!KI34</f>
        <v>2032412.8183820045</v>
      </c>
    </row>
    <row r="35" spans="1:16" x14ac:dyDescent="0.25">
      <c r="A35" s="53">
        <f>Ophtha!A35</f>
        <v>2041</v>
      </c>
      <c r="B35" s="53">
        <f>Ophtha!B35</f>
        <v>29</v>
      </c>
      <c r="C35" s="5">
        <f>Ophtha!X35</f>
        <v>1771886.8972263935</v>
      </c>
      <c r="D35" s="5">
        <f>Ophtha!AT35</f>
        <v>1739207.1593621271</v>
      </c>
      <c r="E35" s="5">
        <f>Ophtha!BV35</f>
        <v>1723541.8402157233</v>
      </c>
      <c r="F35" s="5">
        <f>Ophtha!CF35</f>
        <v>1730651.5380924954</v>
      </c>
      <c r="G35" s="5">
        <f>Ophtha!CP35</f>
        <v>1723321.3387906335</v>
      </c>
      <c r="H35" s="5">
        <f>Ophtha!CZ35</f>
        <v>1717854.2720716207</v>
      </c>
      <c r="I35" s="5">
        <f>Ophtha!DJ35</f>
        <v>1728053.5378879823</v>
      </c>
      <c r="J35" s="5">
        <f>Ophtha!DU35</f>
        <v>1722089.3717984934</v>
      </c>
      <c r="K35" s="5">
        <f>Ophtha!EF35</f>
        <v>1721932.100771243</v>
      </c>
      <c r="L35" s="5">
        <f>Ophtha!GV35</f>
        <v>1801118.7436484366</v>
      </c>
      <c r="M35" s="5">
        <f>Ophtha!HQ35</f>
        <v>1860276.385401919</v>
      </c>
      <c r="N35" s="5">
        <f>Ophtha!IL35</f>
        <v>1931430.5700844573</v>
      </c>
      <c r="O35" s="5">
        <f>Ophtha!JG35</f>
        <v>1941556.7417843023</v>
      </c>
      <c r="P35" s="5">
        <f>Ophtha!KI35</f>
        <v>2107792.3143323064</v>
      </c>
    </row>
    <row r="36" spans="1:16" x14ac:dyDescent="0.25">
      <c r="A36" s="53">
        <f>Ophtha!A36</f>
        <v>2042</v>
      </c>
      <c r="B36" s="53">
        <f>Ophtha!B36</f>
        <v>30</v>
      </c>
      <c r="C36" s="5">
        <f>Ophtha!X36</f>
        <v>1826455.8055583576</v>
      </c>
      <c r="D36" s="5">
        <f>Ophtha!AT36</f>
        <v>1793111.5394467271</v>
      </c>
      <c r="E36" s="5">
        <f>Ophtha!BV36</f>
        <v>1797398.2393778737</v>
      </c>
      <c r="F36" s="5">
        <f>Ophtha!CF36</f>
        <v>1799577.4323349155</v>
      </c>
      <c r="G36" s="5">
        <f>Ophtha!CP36</f>
        <v>1797177.7379527839</v>
      </c>
      <c r="H36" s="5">
        <f>Ophtha!CZ36</f>
        <v>1791710.6712337711</v>
      </c>
      <c r="I36" s="5">
        <f>Ophtha!DJ36</f>
        <v>1801909.9370501328</v>
      </c>
      <c r="J36" s="5">
        <f>Ophtha!DU36</f>
        <v>1795945.7709606439</v>
      </c>
      <c r="K36" s="5">
        <f>Ophtha!EF36</f>
        <v>1795788.4999333934</v>
      </c>
      <c r="L36" s="5">
        <f>Ophtha!GV36</f>
        <v>1882758.5391579724</v>
      </c>
      <c r="M36" s="5">
        <f>Ophtha!HQ36</f>
        <v>1938107.2727136358</v>
      </c>
      <c r="N36" s="5">
        <f>Ophtha!IL36</f>
        <v>1998361.0173794786</v>
      </c>
      <c r="O36" s="5">
        <f>Ophtha!JG36</f>
        <v>2008487.1890793233</v>
      </c>
      <c r="P36" s="5">
        <f>Ophtha!KI36</f>
        <v>2181648.7134944568</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1741"/>
  <sheetViews>
    <sheetView workbookViewId="0">
      <selection activeCell="N8" sqref="N8"/>
    </sheetView>
  </sheetViews>
  <sheetFormatPr defaultRowHeight="15" x14ac:dyDescent="0.25"/>
  <cols>
    <col min="2" max="2" width="13.7109375" customWidth="1"/>
    <col min="3" max="3" width="16.85546875" bestFit="1" customWidth="1"/>
    <col min="4" max="4" width="9.28515625" customWidth="1"/>
    <col min="5" max="5" width="21" bestFit="1" customWidth="1"/>
    <col min="6" max="6" width="13.28515625" bestFit="1" customWidth="1"/>
    <col min="9" max="9" width="9" customWidth="1"/>
    <col min="15" max="15" width="9.28515625" customWidth="1"/>
    <col min="20" max="20" width="8.85546875" customWidth="1"/>
  </cols>
  <sheetData>
    <row r="1" spans="1:26" ht="165" x14ac:dyDescent="0.25">
      <c r="A1" s="161" t="s">
        <v>468</v>
      </c>
      <c r="B1" s="161" t="s">
        <v>399</v>
      </c>
      <c r="C1" s="161" t="s">
        <v>76</v>
      </c>
      <c r="D1" s="161" t="s">
        <v>17</v>
      </c>
      <c r="E1" s="161" t="s">
        <v>400</v>
      </c>
      <c r="F1" s="161" t="s">
        <v>401</v>
      </c>
      <c r="G1" s="161" t="s">
        <v>2</v>
      </c>
      <c r="H1" s="164" t="s">
        <v>402</v>
      </c>
      <c r="I1" s="163" t="str">
        <f>InputData!$B$3</f>
        <v>Inflation</v>
      </c>
      <c r="J1" s="163" t="str">
        <f>InputData!$B$4</f>
        <v>Non-Military Pay Real Rate Increase</v>
      </c>
      <c r="K1" s="163" t="str">
        <f>InputData!$B$5</f>
        <v>Military Pay Growth Rate</v>
      </c>
      <c r="L1" s="163" t="str">
        <f>InputData!$B$6</f>
        <v>Stafford Loan Rate</v>
      </c>
      <c r="M1" s="163" t="str">
        <f>InputData!$B$7</f>
        <v>Real Discount Rate</v>
      </c>
      <c r="N1" s="163" t="str">
        <f>InputData!$B$8</f>
        <v>Federal Poverty Level Growth Rate</v>
      </c>
      <c r="O1" s="163" t="str">
        <f>InputData!$B$9</f>
        <v>Resident Pay Growth (after 1st year of residency)</v>
      </c>
      <c r="P1" s="163" t="str">
        <f>InputData!$B$10</f>
        <v>Amount Borrowed Growth Rate</v>
      </c>
      <c r="Q1" s="163" t="str">
        <f>InputData!$B$11</f>
        <v>1st Year Resident Pay Growth Rate while in medical school (2013 to 2017) for civilians</v>
      </c>
      <c r="R1" s="163" t="str">
        <f>InputData!$B$12</f>
        <v>Physician starting salary growth rate (Civilian,  between 2013 and 2020)</v>
      </c>
      <c r="S1" s="163" t="str">
        <f>InputData!$B$13</f>
        <v>Retired Military Salary as % of Civilian</v>
      </c>
      <c r="T1" s="163" t="str">
        <f>InputData!$B$88</f>
        <v>Median Student Debt</v>
      </c>
      <c r="U1" s="163" t="str">
        <f>InputData!$B$81</f>
        <v>Internal Medicine</v>
      </c>
      <c r="V1" s="163" t="str">
        <f>InputData!$B$82</f>
        <v>General Surgery</v>
      </c>
      <c r="W1" s="163" t="str">
        <f>InputData!$B$84</f>
        <v>Ophthalmology</v>
      </c>
      <c r="X1" s="163" t="str">
        <f>InputData!$B$85</f>
        <v>Orthopedics</v>
      </c>
      <c r="Y1" s="163" t="s">
        <v>410</v>
      </c>
      <c r="Z1" s="163" t="s">
        <v>484</v>
      </c>
    </row>
    <row r="2" spans="1:26" x14ac:dyDescent="0.25">
      <c r="A2">
        <f>InputData!$K$1</f>
        <v>2013</v>
      </c>
      <c r="B2" t="str">
        <f>InputData!$G$1</f>
        <v>San Antonio, TX</v>
      </c>
      <c r="C2" t="s">
        <v>11</v>
      </c>
      <c r="D2" t="str">
        <f>Graph_IntMed!$C$6</f>
        <v>USU30</v>
      </c>
      <c r="E2" t="str">
        <f>C2 &amp; " " &amp; D2</f>
        <v>Internal Medicine USU30</v>
      </c>
      <c r="F2">
        <f>Graph_IntMed!$A7</f>
        <v>2013</v>
      </c>
      <c r="G2">
        <f>Graph_IntMed!$B7</f>
        <v>1</v>
      </c>
      <c r="H2" s="165">
        <f>Graph_IntMed!$C7</f>
        <v>54056.194799999997</v>
      </c>
      <c r="I2" s="160">
        <f>InputData!$C$3</f>
        <v>0.02</v>
      </c>
      <c r="J2" s="160">
        <f>InputData!$C$4</f>
        <v>0.01</v>
      </c>
      <c r="K2" s="160">
        <f>InputData!$C$5</f>
        <v>0.01</v>
      </c>
      <c r="L2" s="160">
        <f>InputData!$C$6</f>
        <v>6.2100000000000002E-2</v>
      </c>
      <c r="M2" s="160">
        <f>InputData!$C$7</f>
        <v>0.03</v>
      </c>
      <c r="N2" s="160">
        <f>InputData!$C$8</f>
        <v>0.02</v>
      </c>
      <c r="O2" s="160">
        <f>InputData!$C$9</f>
        <v>0.06</v>
      </c>
      <c r="P2" s="160">
        <f>InputData!$C$10</f>
        <v>0.02</v>
      </c>
      <c r="Q2" s="160">
        <f>InputData!$C$11</f>
        <v>0.02</v>
      </c>
      <c r="R2" s="160">
        <f>InputData!$C$12</f>
        <v>0.02</v>
      </c>
      <c r="S2" s="160">
        <f>InputData!$C$13</f>
        <v>0.9</v>
      </c>
      <c r="T2" s="116">
        <f>InputData!$C$88</f>
        <v>180000</v>
      </c>
      <c r="U2" s="116">
        <f>InputData!$C$81</f>
        <v>178500</v>
      </c>
      <c r="V2" s="116">
        <f>InputData!$C$82</f>
        <v>303960</v>
      </c>
      <c r="W2" s="116">
        <f>InputData!$C$84</f>
        <v>215220</v>
      </c>
      <c r="X2" s="116">
        <f>InputData!$C$85</f>
        <v>409020</v>
      </c>
      <c r="Y2" s="116">
        <f>InputData!$C$116</f>
        <v>140000</v>
      </c>
      <c r="Z2" s="160">
        <f>InputData!$E$13</f>
        <v>0</v>
      </c>
    </row>
    <row r="3" spans="1:26" x14ac:dyDescent="0.25">
      <c r="A3">
        <f>InputData!$K$1</f>
        <v>2013</v>
      </c>
      <c r="B3" t="str">
        <f>InputData!$G$1</f>
        <v>San Antonio, TX</v>
      </c>
      <c r="C3" t="s">
        <v>11</v>
      </c>
      <c r="D3" t="str">
        <f>Graph_IntMed!$C$6</f>
        <v>USU30</v>
      </c>
      <c r="E3" t="str">
        <f t="shared" ref="E3:E66" si="0">C3 &amp; " " &amp; D3</f>
        <v>Internal Medicine USU30</v>
      </c>
      <c r="F3">
        <f>Graph_IntMed!$A8</f>
        <v>2014</v>
      </c>
      <c r="G3">
        <f>Graph_IntMed!$B8</f>
        <v>2</v>
      </c>
      <c r="H3" s="165">
        <f>Graph_IntMed!$C8</f>
        <v>106041.93556527697</v>
      </c>
      <c r="I3" s="160">
        <f>InputData!$C$3</f>
        <v>0.02</v>
      </c>
      <c r="J3" s="160">
        <f>InputData!$C$4</f>
        <v>0.01</v>
      </c>
      <c r="K3" s="160">
        <f>InputData!$C$5</f>
        <v>0.01</v>
      </c>
      <c r="L3" s="160">
        <f>InputData!$C$6</f>
        <v>6.2100000000000002E-2</v>
      </c>
      <c r="M3" s="160">
        <f>InputData!$C$7</f>
        <v>0.03</v>
      </c>
      <c r="N3" s="160">
        <f>InputData!$C$8</f>
        <v>0.02</v>
      </c>
      <c r="O3" s="160">
        <f>InputData!$C$9</f>
        <v>0.06</v>
      </c>
      <c r="P3" s="160">
        <f>InputData!$C$10</f>
        <v>0.02</v>
      </c>
      <c r="Q3" s="160">
        <f>InputData!$C$11</f>
        <v>0.02</v>
      </c>
      <c r="R3" s="160">
        <f>InputData!$C$12</f>
        <v>0.02</v>
      </c>
      <c r="S3" s="160">
        <f>InputData!$C$13</f>
        <v>0.9</v>
      </c>
      <c r="T3" s="116">
        <f>InputData!$C$88</f>
        <v>180000</v>
      </c>
      <c r="U3" s="116">
        <f>InputData!$C$81</f>
        <v>178500</v>
      </c>
      <c r="V3" s="116">
        <f>InputData!$C$82</f>
        <v>303960</v>
      </c>
      <c r="W3" s="116">
        <f>InputData!$C$84</f>
        <v>215220</v>
      </c>
      <c r="X3" s="116">
        <f>InputData!$C$85</f>
        <v>409020</v>
      </c>
      <c r="Y3" s="116">
        <f>InputData!$C$116</f>
        <v>140000</v>
      </c>
      <c r="Z3" s="160">
        <f>InputData!$E$13</f>
        <v>0</v>
      </c>
    </row>
    <row r="4" spans="1:26" x14ac:dyDescent="0.25">
      <c r="A4">
        <f>InputData!$K$1</f>
        <v>2013</v>
      </c>
      <c r="B4" t="str">
        <f>InputData!$G$1</f>
        <v>San Antonio, TX</v>
      </c>
      <c r="C4" t="s">
        <v>11</v>
      </c>
      <c r="D4" t="str">
        <f>Graph_IntMed!$C$6</f>
        <v>USU30</v>
      </c>
      <c r="E4" t="str">
        <f t="shared" si="0"/>
        <v>Internal Medicine USU30</v>
      </c>
      <c r="F4">
        <f>Graph_IntMed!$A9</f>
        <v>2015</v>
      </c>
      <c r="G4">
        <f>Graph_IntMed!$B9</f>
        <v>3</v>
      </c>
      <c r="H4" s="165">
        <f>Graph_IntMed!$C9</f>
        <v>157045.52189700573</v>
      </c>
      <c r="I4" s="160">
        <f>InputData!$C$3</f>
        <v>0.02</v>
      </c>
      <c r="J4" s="160">
        <f>InputData!$C$4</f>
        <v>0.01</v>
      </c>
      <c r="K4" s="160">
        <f>InputData!$C$5</f>
        <v>0.01</v>
      </c>
      <c r="L4" s="160">
        <f>InputData!$C$6</f>
        <v>6.2100000000000002E-2</v>
      </c>
      <c r="M4" s="160">
        <f>InputData!$C$7</f>
        <v>0.03</v>
      </c>
      <c r="N4" s="160">
        <f>InputData!$C$8</f>
        <v>0.02</v>
      </c>
      <c r="O4" s="160">
        <f>InputData!$C$9</f>
        <v>0.06</v>
      </c>
      <c r="P4" s="160">
        <f>InputData!$C$10</f>
        <v>0.02</v>
      </c>
      <c r="Q4" s="160">
        <f>InputData!$C$11</f>
        <v>0.02</v>
      </c>
      <c r="R4" s="160">
        <f>InputData!$C$12</f>
        <v>0.02</v>
      </c>
      <c r="S4" s="160">
        <f>InputData!$C$13</f>
        <v>0.9</v>
      </c>
      <c r="T4" s="116">
        <f>InputData!$C$88</f>
        <v>180000</v>
      </c>
      <c r="U4" s="116">
        <f>InputData!$C$81</f>
        <v>178500</v>
      </c>
      <c r="V4" s="116">
        <f>InputData!$C$82</f>
        <v>303960</v>
      </c>
      <c r="W4" s="116">
        <f>InputData!$C$84</f>
        <v>215220</v>
      </c>
      <c r="X4" s="116">
        <f>InputData!$C$85</f>
        <v>409020</v>
      </c>
      <c r="Y4" s="116">
        <f>InputData!$C$116</f>
        <v>140000</v>
      </c>
      <c r="Z4" s="160">
        <f>InputData!$E$13</f>
        <v>0</v>
      </c>
    </row>
    <row r="5" spans="1:26" x14ac:dyDescent="0.25">
      <c r="A5">
        <f>InputData!$K$1</f>
        <v>2013</v>
      </c>
      <c r="B5" t="str">
        <f>InputData!$G$1</f>
        <v>San Antonio, TX</v>
      </c>
      <c r="C5" t="s">
        <v>11</v>
      </c>
      <c r="D5" t="str">
        <f>Graph_IntMed!$C$6</f>
        <v>USU30</v>
      </c>
      <c r="E5" t="str">
        <f t="shared" si="0"/>
        <v>Internal Medicine USU30</v>
      </c>
      <c r="F5">
        <f>Graph_IntMed!$A10</f>
        <v>2016</v>
      </c>
      <c r="G5">
        <f>Graph_IntMed!$B10</f>
        <v>4</v>
      </c>
      <c r="H5" s="165">
        <f>Graph_IntMed!$C10</f>
        <v>211251.55229740124</v>
      </c>
      <c r="I5" s="160">
        <f>InputData!$C$3</f>
        <v>0.02</v>
      </c>
      <c r="J5" s="160">
        <f>InputData!$C$4</f>
        <v>0.01</v>
      </c>
      <c r="K5" s="160">
        <f>InputData!$C$5</f>
        <v>0.01</v>
      </c>
      <c r="L5" s="160">
        <f>InputData!$C$6</f>
        <v>6.2100000000000002E-2</v>
      </c>
      <c r="M5" s="160">
        <f>InputData!$C$7</f>
        <v>0.03</v>
      </c>
      <c r="N5" s="160">
        <f>InputData!$C$8</f>
        <v>0.02</v>
      </c>
      <c r="O5" s="160">
        <f>InputData!$C$9</f>
        <v>0.06</v>
      </c>
      <c r="P5" s="160">
        <f>InputData!$C$10</f>
        <v>0.02</v>
      </c>
      <c r="Q5" s="160">
        <f>InputData!$C$11</f>
        <v>0.02</v>
      </c>
      <c r="R5" s="160">
        <f>InputData!$C$12</f>
        <v>0.02</v>
      </c>
      <c r="S5" s="160">
        <f>InputData!$C$13</f>
        <v>0.9</v>
      </c>
      <c r="T5" s="116">
        <f>InputData!$C$88</f>
        <v>180000</v>
      </c>
      <c r="U5" s="116">
        <f>InputData!$C$81</f>
        <v>178500</v>
      </c>
      <c r="V5" s="116">
        <f>InputData!$C$82</f>
        <v>303960</v>
      </c>
      <c r="W5" s="116">
        <f>InputData!$C$84</f>
        <v>215220</v>
      </c>
      <c r="X5" s="116">
        <f>InputData!$C$85</f>
        <v>409020</v>
      </c>
      <c r="Y5" s="116">
        <f>InputData!$C$116</f>
        <v>140000</v>
      </c>
      <c r="Z5" s="160">
        <f>InputData!$E$13</f>
        <v>0</v>
      </c>
    </row>
    <row r="6" spans="1:26" x14ac:dyDescent="0.25">
      <c r="A6">
        <f>InputData!$K$1</f>
        <v>2013</v>
      </c>
      <c r="B6" t="str">
        <f>InputData!$G$1</f>
        <v>San Antonio, TX</v>
      </c>
      <c r="C6" t="s">
        <v>11</v>
      </c>
      <c r="D6" t="str">
        <f>Graph_IntMed!$C$6</f>
        <v>USU30</v>
      </c>
      <c r="E6" t="str">
        <f t="shared" si="0"/>
        <v>Internal Medicine USU30</v>
      </c>
      <c r="F6">
        <f>Graph_IntMed!$A11</f>
        <v>2017</v>
      </c>
      <c r="G6">
        <f>Graph_IntMed!$B11</f>
        <v>5</v>
      </c>
      <c r="H6" s="165">
        <f>Graph_IntMed!$C11</f>
        <v>261213.54479899554</v>
      </c>
      <c r="I6" s="160">
        <f>InputData!$C$3</f>
        <v>0.02</v>
      </c>
      <c r="J6" s="160">
        <f>InputData!$C$4</f>
        <v>0.01</v>
      </c>
      <c r="K6" s="160">
        <f>InputData!$C$5</f>
        <v>0.01</v>
      </c>
      <c r="L6" s="160">
        <f>InputData!$C$6</f>
        <v>6.2100000000000002E-2</v>
      </c>
      <c r="M6" s="160">
        <f>InputData!$C$7</f>
        <v>0.03</v>
      </c>
      <c r="N6" s="160">
        <f>InputData!$C$8</f>
        <v>0.02</v>
      </c>
      <c r="O6" s="160">
        <f>InputData!$C$9</f>
        <v>0.06</v>
      </c>
      <c r="P6" s="160">
        <f>InputData!$C$10</f>
        <v>0.02</v>
      </c>
      <c r="Q6" s="160">
        <f>InputData!$C$11</f>
        <v>0.02</v>
      </c>
      <c r="R6" s="160">
        <f>InputData!$C$12</f>
        <v>0.02</v>
      </c>
      <c r="S6" s="160">
        <f>InputData!$C$13</f>
        <v>0.9</v>
      </c>
      <c r="T6" s="116">
        <f>InputData!$C$88</f>
        <v>180000</v>
      </c>
      <c r="U6" s="116">
        <f>InputData!$C$81</f>
        <v>178500</v>
      </c>
      <c r="V6" s="116">
        <f>InputData!$C$82</f>
        <v>303960</v>
      </c>
      <c r="W6" s="116">
        <f>InputData!$C$84</f>
        <v>215220</v>
      </c>
      <c r="X6" s="116">
        <f>InputData!$C$85</f>
        <v>409020</v>
      </c>
      <c r="Y6" s="116">
        <f>InputData!$C$116</f>
        <v>140000</v>
      </c>
      <c r="Z6" s="160">
        <f>InputData!$E$13</f>
        <v>0</v>
      </c>
    </row>
    <row r="7" spans="1:26" x14ac:dyDescent="0.25">
      <c r="A7">
        <f>InputData!$K$1</f>
        <v>2013</v>
      </c>
      <c r="B7" t="str">
        <f>InputData!$G$1</f>
        <v>San Antonio, TX</v>
      </c>
      <c r="C7" t="s">
        <v>11</v>
      </c>
      <c r="D7" t="str">
        <f>Graph_IntMed!$C$6</f>
        <v>USU30</v>
      </c>
      <c r="E7" t="str">
        <f t="shared" si="0"/>
        <v>Internal Medicine USU30</v>
      </c>
      <c r="F7">
        <f>Graph_IntMed!$A12</f>
        <v>2018</v>
      </c>
      <c r="G7">
        <f>Graph_IntMed!$B12</f>
        <v>6</v>
      </c>
      <c r="H7" s="165">
        <f>Graph_IntMed!$C12</f>
        <v>311474.37448667729</v>
      </c>
      <c r="I7" s="160">
        <f>InputData!$C$3</f>
        <v>0.02</v>
      </c>
      <c r="J7" s="160">
        <f>InputData!$C$4</f>
        <v>0.01</v>
      </c>
      <c r="K7" s="160">
        <f>InputData!$C$5</f>
        <v>0.01</v>
      </c>
      <c r="L7" s="160">
        <f>InputData!$C$6</f>
        <v>6.2100000000000002E-2</v>
      </c>
      <c r="M7" s="160">
        <f>InputData!$C$7</f>
        <v>0.03</v>
      </c>
      <c r="N7" s="160">
        <f>InputData!$C$8</f>
        <v>0.02</v>
      </c>
      <c r="O7" s="160">
        <f>InputData!$C$9</f>
        <v>0.06</v>
      </c>
      <c r="P7" s="160">
        <f>InputData!$C$10</f>
        <v>0.02</v>
      </c>
      <c r="Q7" s="160">
        <f>InputData!$C$11</f>
        <v>0.02</v>
      </c>
      <c r="R7" s="160">
        <f>InputData!$C$12</f>
        <v>0.02</v>
      </c>
      <c r="S7" s="160">
        <f>InputData!$C$13</f>
        <v>0.9</v>
      </c>
      <c r="T7" s="116">
        <f>InputData!$C$88</f>
        <v>180000</v>
      </c>
      <c r="U7" s="116">
        <f>InputData!$C$81</f>
        <v>178500</v>
      </c>
      <c r="V7" s="116">
        <f>InputData!$C$82</f>
        <v>303960</v>
      </c>
      <c r="W7" s="116">
        <f>InputData!$C$84</f>
        <v>215220</v>
      </c>
      <c r="X7" s="116">
        <f>InputData!$C$85</f>
        <v>409020</v>
      </c>
      <c r="Y7" s="116">
        <f>InputData!$C$116</f>
        <v>140000</v>
      </c>
      <c r="Z7" s="160">
        <f>InputData!$E$13</f>
        <v>0</v>
      </c>
    </row>
    <row r="8" spans="1:26" x14ac:dyDescent="0.25">
      <c r="A8">
        <f>InputData!$K$1</f>
        <v>2013</v>
      </c>
      <c r="B8" t="str">
        <f>InputData!$G$1</f>
        <v>San Antonio, TX</v>
      </c>
      <c r="C8" t="s">
        <v>11</v>
      </c>
      <c r="D8" t="str">
        <f>Graph_IntMed!$C$6</f>
        <v>USU30</v>
      </c>
      <c r="E8" t="str">
        <f t="shared" si="0"/>
        <v>Internal Medicine USU30</v>
      </c>
      <c r="F8">
        <f>Graph_IntMed!$A13</f>
        <v>2019</v>
      </c>
      <c r="G8">
        <f>Graph_IntMed!$B13</f>
        <v>7</v>
      </c>
      <c r="H8" s="165">
        <f>Graph_IntMed!$C13</f>
        <v>363115.97670968575</v>
      </c>
      <c r="I8" s="160">
        <f>InputData!$C$3</f>
        <v>0.02</v>
      </c>
      <c r="J8" s="160">
        <f>InputData!$C$4</f>
        <v>0.01</v>
      </c>
      <c r="K8" s="160">
        <f>InputData!$C$5</f>
        <v>0.01</v>
      </c>
      <c r="L8" s="160">
        <f>InputData!$C$6</f>
        <v>6.2100000000000002E-2</v>
      </c>
      <c r="M8" s="160">
        <f>InputData!$C$7</f>
        <v>0.03</v>
      </c>
      <c r="N8" s="160">
        <f>InputData!$C$8</f>
        <v>0.02</v>
      </c>
      <c r="O8" s="160">
        <f>InputData!$C$9</f>
        <v>0.06</v>
      </c>
      <c r="P8" s="160">
        <f>InputData!$C$10</f>
        <v>0.02</v>
      </c>
      <c r="Q8" s="160">
        <f>InputData!$C$11</f>
        <v>0.02</v>
      </c>
      <c r="R8" s="160">
        <f>InputData!$C$12</f>
        <v>0.02</v>
      </c>
      <c r="S8" s="160">
        <f>InputData!$C$13</f>
        <v>0.9</v>
      </c>
      <c r="T8" s="116">
        <f>InputData!$C$88</f>
        <v>180000</v>
      </c>
      <c r="U8" s="116">
        <f>InputData!$C$81</f>
        <v>178500</v>
      </c>
      <c r="V8" s="116">
        <f>InputData!$C$82</f>
        <v>303960</v>
      </c>
      <c r="W8" s="116">
        <f>InputData!$C$84</f>
        <v>215220</v>
      </c>
      <c r="X8" s="116">
        <f>InputData!$C$85</f>
        <v>409020</v>
      </c>
      <c r="Y8" s="116">
        <f>InputData!$C$116</f>
        <v>140000</v>
      </c>
      <c r="Z8" s="160">
        <f>InputData!$E$13</f>
        <v>0</v>
      </c>
    </row>
    <row r="9" spans="1:26" x14ac:dyDescent="0.25">
      <c r="A9">
        <f>InputData!$K$1</f>
        <v>2013</v>
      </c>
      <c r="B9" t="str">
        <f>InputData!$G$1</f>
        <v>San Antonio, TX</v>
      </c>
      <c r="C9" t="s">
        <v>11</v>
      </c>
      <c r="D9" t="str">
        <f>Graph_IntMed!$C$6</f>
        <v>USU30</v>
      </c>
      <c r="E9" t="str">
        <f t="shared" si="0"/>
        <v>Internal Medicine USU30</v>
      </c>
      <c r="F9">
        <f>Graph_IntMed!$A14</f>
        <v>2020</v>
      </c>
      <c r="G9">
        <f>Graph_IntMed!$B14</f>
        <v>8</v>
      </c>
      <c r="H9" s="165">
        <f>Graph_IntMed!$C14</f>
        <v>423874.97502869397</v>
      </c>
      <c r="I9" s="160">
        <f>InputData!$C$3</f>
        <v>0.02</v>
      </c>
      <c r="J9" s="160">
        <f>InputData!$C$4</f>
        <v>0.01</v>
      </c>
      <c r="K9" s="160">
        <f>InputData!$C$5</f>
        <v>0.01</v>
      </c>
      <c r="L9" s="160">
        <f>InputData!$C$6</f>
        <v>6.2100000000000002E-2</v>
      </c>
      <c r="M9" s="160">
        <f>InputData!$C$7</f>
        <v>0.03</v>
      </c>
      <c r="N9" s="160">
        <f>InputData!$C$8</f>
        <v>0.02</v>
      </c>
      <c r="O9" s="160">
        <f>InputData!$C$9</f>
        <v>0.06</v>
      </c>
      <c r="P9" s="160">
        <f>InputData!$C$10</f>
        <v>0.02</v>
      </c>
      <c r="Q9" s="160">
        <f>InputData!$C$11</f>
        <v>0.02</v>
      </c>
      <c r="R9" s="160">
        <f>InputData!$C$12</f>
        <v>0.02</v>
      </c>
      <c r="S9" s="160">
        <f>InputData!$C$13</f>
        <v>0.9</v>
      </c>
      <c r="T9" s="116">
        <f>InputData!$C$88</f>
        <v>180000</v>
      </c>
      <c r="U9" s="116">
        <f>InputData!$C$81</f>
        <v>178500</v>
      </c>
      <c r="V9" s="116">
        <f>InputData!$C$82</f>
        <v>303960</v>
      </c>
      <c r="W9" s="116">
        <f>InputData!$C$84</f>
        <v>215220</v>
      </c>
      <c r="X9" s="116">
        <f>InputData!$C$85</f>
        <v>409020</v>
      </c>
      <c r="Y9" s="116">
        <f>InputData!$C$116</f>
        <v>140000</v>
      </c>
      <c r="Z9" s="160">
        <f>InputData!$E$13</f>
        <v>0</v>
      </c>
    </row>
    <row r="10" spans="1:26" x14ac:dyDescent="0.25">
      <c r="A10">
        <f>InputData!$K$1</f>
        <v>2013</v>
      </c>
      <c r="B10" t="str">
        <f>InputData!$G$1</f>
        <v>San Antonio, TX</v>
      </c>
      <c r="C10" t="s">
        <v>11</v>
      </c>
      <c r="D10" t="str">
        <f>Graph_IntMed!$C$6</f>
        <v>USU30</v>
      </c>
      <c r="E10" t="str">
        <f t="shared" si="0"/>
        <v>Internal Medicine USU30</v>
      </c>
      <c r="F10">
        <f>Graph_IntMed!$A15</f>
        <v>2021</v>
      </c>
      <c r="G10">
        <f>Graph_IntMed!$B15</f>
        <v>9</v>
      </c>
      <c r="H10" s="165">
        <f>Graph_IntMed!$C15</f>
        <v>484834.5605219836</v>
      </c>
      <c r="I10" s="160">
        <f>InputData!$C$3</f>
        <v>0.02</v>
      </c>
      <c r="J10" s="160">
        <f>InputData!$C$4</f>
        <v>0.01</v>
      </c>
      <c r="K10" s="160">
        <f>InputData!$C$5</f>
        <v>0.01</v>
      </c>
      <c r="L10" s="160">
        <f>InputData!$C$6</f>
        <v>6.2100000000000002E-2</v>
      </c>
      <c r="M10" s="160">
        <f>InputData!$C$7</f>
        <v>0.03</v>
      </c>
      <c r="N10" s="160">
        <f>InputData!$C$8</f>
        <v>0.02</v>
      </c>
      <c r="O10" s="160">
        <f>InputData!$C$9</f>
        <v>0.06</v>
      </c>
      <c r="P10" s="160">
        <f>InputData!$C$10</f>
        <v>0.02</v>
      </c>
      <c r="Q10" s="160">
        <f>InputData!$C$11</f>
        <v>0.02</v>
      </c>
      <c r="R10" s="160">
        <f>InputData!$C$12</f>
        <v>0.02</v>
      </c>
      <c r="S10" s="160">
        <f>InputData!$C$13</f>
        <v>0.9</v>
      </c>
      <c r="T10" s="116">
        <f>InputData!$C$88</f>
        <v>180000</v>
      </c>
      <c r="U10" s="116">
        <f>InputData!$C$81</f>
        <v>178500</v>
      </c>
      <c r="V10" s="116">
        <f>InputData!$C$82</f>
        <v>303960</v>
      </c>
      <c r="W10" s="116">
        <f>InputData!$C$84</f>
        <v>215220</v>
      </c>
      <c r="X10" s="116">
        <f>InputData!$C$85</f>
        <v>409020</v>
      </c>
      <c r="Y10" s="116">
        <f>InputData!$C$116</f>
        <v>140000</v>
      </c>
      <c r="Z10" s="160">
        <f>InputData!$E$13</f>
        <v>0</v>
      </c>
    </row>
    <row r="11" spans="1:26" x14ac:dyDescent="0.25">
      <c r="A11">
        <f>InputData!$K$1</f>
        <v>2013</v>
      </c>
      <c r="B11" t="str">
        <f>InputData!$G$1</f>
        <v>San Antonio, TX</v>
      </c>
      <c r="C11" t="s">
        <v>11</v>
      </c>
      <c r="D11" t="str">
        <f>Graph_IntMed!$C$6</f>
        <v>USU30</v>
      </c>
      <c r="E11" t="str">
        <f t="shared" si="0"/>
        <v>Internal Medicine USU30</v>
      </c>
      <c r="F11">
        <f>Graph_IntMed!$A16</f>
        <v>2022</v>
      </c>
      <c r="G11">
        <f>Graph_IntMed!$B16</f>
        <v>10</v>
      </c>
      <c r="H11" s="165">
        <f>Graph_IntMed!$C16</f>
        <v>543487.76383678697</v>
      </c>
      <c r="I11" s="160">
        <f>InputData!$C$3</f>
        <v>0.02</v>
      </c>
      <c r="J11" s="160">
        <f>InputData!$C$4</f>
        <v>0.01</v>
      </c>
      <c r="K11" s="160">
        <f>InputData!$C$5</f>
        <v>0.01</v>
      </c>
      <c r="L11" s="160">
        <f>InputData!$C$6</f>
        <v>6.2100000000000002E-2</v>
      </c>
      <c r="M11" s="160">
        <f>InputData!$C$7</f>
        <v>0.03</v>
      </c>
      <c r="N11" s="160">
        <f>InputData!$C$8</f>
        <v>0.02</v>
      </c>
      <c r="O11" s="160">
        <f>InputData!$C$9</f>
        <v>0.06</v>
      </c>
      <c r="P11" s="160">
        <f>InputData!$C$10</f>
        <v>0.02</v>
      </c>
      <c r="Q11" s="160">
        <f>InputData!$C$11</f>
        <v>0.02</v>
      </c>
      <c r="R11" s="160">
        <f>InputData!$C$12</f>
        <v>0.02</v>
      </c>
      <c r="S11" s="160">
        <f>InputData!$C$13</f>
        <v>0.9</v>
      </c>
      <c r="T11" s="116">
        <f>InputData!$C$88</f>
        <v>180000</v>
      </c>
      <c r="U11" s="116">
        <f>InputData!$C$81</f>
        <v>178500</v>
      </c>
      <c r="V11" s="116">
        <f>InputData!$C$82</f>
        <v>303960</v>
      </c>
      <c r="W11" s="116">
        <f>InputData!$C$84</f>
        <v>215220</v>
      </c>
      <c r="X11" s="116">
        <f>InputData!$C$85</f>
        <v>409020</v>
      </c>
      <c r="Y11" s="116">
        <f>InputData!$C$116</f>
        <v>140000</v>
      </c>
      <c r="Z11" s="160">
        <f>InputData!$E$13</f>
        <v>0</v>
      </c>
    </row>
    <row r="12" spans="1:26" x14ac:dyDescent="0.25">
      <c r="A12">
        <f>InputData!$K$1</f>
        <v>2013</v>
      </c>
      <c r="B12" t="str">
        <f>InputData!$G$1</f>
        <v>San Antonio, TX</v>
      </c>
      <c r="C12" t="s">
        <v>11</v>
      </c>
      <c r="D12" t="str">
        <f>Graph_IntMed!$C$6</f>
        <v>USU30</v>
      </c>
      <c r="E12" t="str">
        <f t="shared" si="0"/>
        <v>Internal Medicine USU30</v>
      </c>
      <c r="F12">
        <f>Graph_IntMed!$A17</f>
        <v>2023</v>
      </c>
      <c r="G12">
        <f>Graph_IntMed!$B17</f>
        <v>11</v>
      </c>
      <c r="H12" s="165">
        <f>Graph_IntMed!$C17</f>
        <v>607173.55986387469</v>
      </c>
      <c r="I12" s="160">
        <f>InputData!$C$3</f>
        <v>0.02</v>
      </c>
      <c r="J12" s="160">
        <f>InputData!$C$4</f>
        <v>0.01</v>
      </c>
      <c r="K12" s="160">
        <f>InputData!$C$5</f>
        <v>0.01</v>
      </c>
      <c r="L12" s="160">
        <f>InputData!$C$6</f>
        <v>6.2100000000000002E-2</v>
      </c>
      <c r="M12" s="160">
        <f>InputData!$C$7</f>
        <v>0.03</v>
      </c>
      <c r="N12" s="160">
        <f>InputData!$C$8</f>
        <v>0.02</v>
      </c>
      <c r="O12" s="160">
        <f>InputData!$C$9</f>
        <v>0.06</v>
      </c>
      <c r="P12" s="160">
        <f>InputData!$C$10</f>
        <v>0.02</v>
      </c>
      <c r="Q12" s="160">
        <f>InputData!$C$11</f>
        <v>0.02</v>
      </c>
      <c r="R12" s="160">
        <f>InputData!$C$12</f>
        <v>0.02</v>
      </c>
      <c r="S12" s="160">
        <f>InputData!$C$13</f>
        <v>0.9</v>
      </c>
      <c r="T12" s="116">
        <f>InputData!$C$88</f>
        <v>180000</v>
      </c>
      <c r="U12" s="116">
        <f>InputData!$C$81</f>
        <v>178500</v>
      </c>
      <c r="V12" s="116">
        <f>InputData!$C$82</f>
        <v>303960</v>
      </c>
      <c r="W12" s="116">
        <f>InputData!$C$84</f>
        <v>215220</v>
      </c>
      <c r="X12" s="116">
        <f>InputData!$C$85</f>
        <v>409020</v>
      </c>
      <c r="Y12" s="116">
        <f>InputData!$C$116</f>
        <v>140000</v>
      </c>
      <c r="Z12" s="160">
        <f>InputData!$E$13</f>
        <v>0</v>
      </c>
    </row>
    <row r="13" spans="1:26" x14ac:dyDescent="0.25">
      <c r="A13">
        <f>InputData!$K$1</f>
        <v>2013</v>
      </c>
      <c r="B13" t="str">
        <f>InputData!$G$1</f>
        <v>San Antonio, TX</v>
      </c>
      <c r="C13" t="s">
        <v>11</v>
      </c>
      <c r="D13" t="str">
        <f>Graph_IntMed!$C$6</f>
        <v>USU30</v>
      </c>
      <c r="E13" t="str">
        <f t="shared" si="0"/>
        <v>Internal Medicine USU30</v>
      </c>
      <c r="F13">
        <f>Graph_IntMed!$A18</f>
        <v>2024</v>
      </c>
      <c r="G13">
        <f>Graph_IntMed!$B18</f>
        <v>12</v>
      </c>
      <c r="H13" s="165">
        <f>Graph_IntMed!$C18</f>
        <v>668444.78607626876</v>
      </c>
      <c r="I13" s="160">
        <f>InputData!$C$3</f>
        <v>0.02</v>
      </c>
      <c r="J13" s="160">
        <f>InputData!$C$4</f>
        <v>0.01</v>
      </c>
      <c r="K13" s="160">
        <f>InputData!$C$5</f>
        <v>0.01</v>
      </c>
      <c r="L13" s="160">
        <f>InputData!$C$6</f>
        <v>6.2100000000000002E-2</v>
      </c>
      <c r="M13" s="160">
        <f>InputData!$C$7</f>
        <v>0.03</v>
      </c>
      <c r="N13" s="160">
        <f>InputData!$C$8</f>
        <v>0.02</v>
      </c>
      <c r="O13" s="160">
        <f>InputData!$C$9</f>
        <v>0.06</v>
      </c>
      <c r="P13" s="160">
        <f>InputData!$C$10</f>
        <v>0.02</v>
      </c>
      <c r="Q13" s="160">
        <f>InputData!$C$11</f>
        <v>0.02</v>
      </c>
      <c r="R13" s="160">
        <f>InputData!$C$12</f>
        <v>0.02</v>
      </c>
      <c r="S13" s="160">
        <f>InputData!$C$13</f>
        <v>0.9</v>
      </c>
      <c r="T13" s="116">
        <f>InputData!$C$88</f>
        <v>180000</v>
      </c>
      <c r="U13" s="116">
        <f>InputData!$C$81</f>
        <v>178500</v>
      </c>
      <c r="V13" s="116">
        <f>InputData!$C$82</f>
        <v>303960</v>
      </c>
      <c r="W13" s="116">
        <f>InputData!$C$84</f>
        <v>215220</v>
      </c>
      <c r="X13" s="116">
        <f>InputData!$C$85</f>
        <v>409020</v>
      </c>
      <c r="Y13" s="116">
        <f>InputData!$C$116</f>
        <v>140000</v>
      </c>
      <c r="Z13" s="160">
        <f>InputData!$E$13</f>
        <v>0</v>
      </c>
    </row>
    <row r="14" spans="1:26" x14ac:dyDescent="0.25">
      <c r="A14">
        <f>InputData!$K$1</f>
        <v>2013</v>
      </c>
      <c r="B14" t="str">
        <f>InputData!$G$1</f>
        <v>San Antonio, TX</v>
      </c>
      <c r="C14" t="s">
        <v>11</v>
      </c>
      <c r="D14" t="str">
        <f>Graph_IntMed!$C$6</f>
        <v>USU30</v>
      </c>
      <c r="E14" t="str">
        <f t="shared" si="0"/>
        <v>Internal Medicine USU30</v>
      </c>
      <c r="F14">
        <f>Graph_IntMed!$A19</f>
        <v>2025</v>
      </c>
      <c r="G14">
        <f>Graph_IntMed!$B19</f>
        <v>13</v>
      </c>
      <c r="H14" s="165">
        <f>Graph_IntMed!$C19</f>
        <v>728871.24943829409</v>
      </c>
      <c r="I14" s="160">
        <f>InputData!$C$3</f>
        <v>0.02</v>
      </c>
      <c r="J14" s="160">
        <f>InputData!$C$4</f>
        <v>0.01</v>
      </c>
      <c r="K14" s="160">
        <f>InputData!$C$5</f>
        <v>0.01</v>
      </c>
      <c r="L14" s="160">
        <f>InputData!$C$6</f>
        <v>6.2100000000000002E-2</v>
      </c>
      <c r="M14" s="160">
        <f>InputData!$C$7</f>
        <v>0.03</v>
      </c>
      <c r="N14" s="160">
        <f>InputData!$C$8</f>
        <v>0.02</v>
      </c>
      <c r="O14" s="160">
        <f>InputData!$C$9</f>
        <v>0.06</v>
      </c>
      <c r="P14" s="160">
        <f>InputData!$C$10</f>
        <v>0.02</v>
      </c>
      <c r="Q14" s="160">
        <f>InputData!$C$11</f>
        <v>0.02</v>
      </c>
      <c r="R14" s="160">
        <f>InputData!$C$12</f>
        <v>0.02</v>
      </c>
      <c r="S14" s="160">
        <f>InputData!$C$13</f>
        <v>0.9</v>
      </c>
      <c r="T14" s="116">
        <f>InputData!$C$88</f>
        <v>180000</v>
      </c>
      <c r="U14" s="116">
        <f>InputData!$C$81</f>
        <v>178500</v>
      </c>
      <c r="V14" s="116">
        <f>InputData!$C$82</f>
        <v>303960</v>
      </c>
      <c r="W14" s="116">
        <f>InputData!$C$84</f>
        <v>215220</v>
      </c>
      <c r="X14" s="116">
        <f>InputData!$C$85</f>
        <v>409020</v>
      </c>
      <c r="Y14" s="116">
        <f>InputData!$C$116</f>
        <v>140000</v>
      </c>
      <c r="Z14" s="160">
        <f>InputData!$E$13</f>
        <v>0</v>
      </c>
    </row>
    <row r="15" spans="1:26" x14ac:dyDescent="0.25">
      <c r="A15">
        <f>InputData!$K$1</f>
        <v>2013</v>
      </c>
      <c r="B15" t="str">
        <f>InputData!$G$1</f>
        <v>San Antonio, TX</v>
      </c>
      <c r="C15" t="s">
        <v>11</v>
      </c>
      <c r="D15" t="str">
        <f>Graph_IntMed!$C$6</f>
        <v>USU30</v>
      </c>
      <c r="E15" t="str">
        <f t="shared" si="0"/>
        <v>Internal Medicine USU30</v>
      </c>
      <c r="F15">
        <f>Graph_IntMed!$A20</f>
        <v>2026</v>
      </c>
      <c r="G15">
        <f>Graph_IntMed!$B20</f>
        <v>14</v>
      </c>
      <c r="H15" s="165">
        <f>Graph_IntMed!$C20</f>
        <v>787006.42688072962</v>
      </c>
      <c r="I15" s="160">
        <f>InputData!$C$3</f>
        <v>0.02</v>
      </c>
      <c r="J15" s="160">
        <f>InputData!$C$4</f>
        <v>0.01</v>
      </c>
      <c r="K15" s="160">
        <f>InputData!$C$5</f>
        <v>0.01</v>
      </c>
      <c r="L15" s="160">
        <f>InputData!$C$6</f>
        <v>6.2100000000000002E-2</v>
      </c>
      <c r="M15" s="160">
        <f>InputData!$C$7</f>
        <v>0.03</v>
      </c>
      <c r="N15" s="160">
        <f>InputData!$C$8</f>
        <v>0.02</v>
      </c>
      <c r="O15" s="160">
        <f>InputData!$C$9</f>
        <v>0.06</v>
      </c>
      <c r="P15" s="160">
        <f>InputData!$C$10</f>
        <v>0.02</v>
      </c>
      <c r="Q15" s="160">
        <f>InputData!$C$11</f>
        <v>0.02</v>
      </c>
      <c r="R15" s="160">
        <f>InputData!$C$12</f>
        <v>0.02</v>
      </c>
      <c r="S15" s="160">
        <f>InputData!$C$13</f>
        <v>0.9</v>
      </c>
      <c r="T15" s="116">
        <f>InputData!$C$88</f>
        <v>180000</v>
      </c>
      <c r="U15" s="116">
        <f>InputData!$C$81</f>
        <v>178500</v>
      </c>
      <c r="V15" s="116">
        <f>InputData!$C$82</f>
        <v>303960</v>
      </c>
      <c r="W15" s="116">
        <f>InputData!$C$84</f>
        <v>215220</v>
      </c>
      <c r="X15" s="116">
        <f>InputData!$C$85</f>
        <v>409020</v>
      </c>
      <c r="Y15" s="116">
        <f>InputData!$C$116</f>
        <v>140000</v>
      </c>
      <c r="Z15" s="160">
        <f>InputData!$E$13</f>
        <v>0</v>
      </c>
    </row>
    <row r="16" spans="1:26" x14ac:dyDescent="0.25">
      <c r="A16">
        <f>InputData!$K$1</f>
        <v>2013</v>
      </c>
      <c r="B16" t="str">
        <f>InputData!$G$1</f>
        <v>San Antonio, TX</v>
      </c>
      <c r="C16" t="s">
        <v>11</v>
      </c>
      <c r="D16" t="str">
        <f>Graph_IntMed!$C$6</f>
        <v>USU30</v>
      </c>
      <c r="E16" t="str">
        <f t="shared" si="0"/>
        <v>Internal Medicine USU30</v>
      </c>
      <c r="F16">
        <f>Graph_IntMed!$A21</f>
        <v>2027</v>
      </c>
      <c r="G16">
        <f>Graph_IntMed!$B21</f>
        <v>15</v>
      </c>
      <c r="H16" s="165">
        <f>Graph_IntMed!$C21</f>
        <v>866692.12305053731</v>
      </c>
      <c r="I16" s="160">
        <f>InputData!$C$3</f>
        <v>0.02</v>
      </c>
      <c r="J16" s="160">
        <f>InputData!$C$4</f>
        <v>0.01</v>
      </c>
      <c r="K16" s="160">
        <f>InputData!$C$5</f>
        <v>0.01</v>
      </c>
      <c r="L16" s="160">
        <f>InputData!$C$6</f>
        <v>6.2100000000000002E-2</v>
      </c>
      <c r="M16" s="160">
        <f>InputData!$C$7</f>
        <v>0.03</v>
      </c>
      <c r="N16" s="160">
        <f>InputData!$C$8</f>
        <v>0.02</v>
      </c>
      <c r="O16" s="160">
        <f>InputData!$C$9</f>
        <v>0.06</v>
      </c>
      <c r="P16" s="160">
        <f>InputData!$C$10</f>
        <v>0.02</v>
      </c>
      <c r="Q16" s="160">
        <f>InputData!$C$11</f>
        <v>0.02</v>
      </c>
      <c r="R16" s="160">
        <f>InputData!$C$12</f>
        <v>0.02</v>
      </c>
      <c r="S16" s="160">
        <f>InputData!$C$13</f>
        <v>0.9</v>
      </c>
      <c r="T16" s="116">
        <f>InputData!$C$88</f>
        <v>180000</v>
      </c>
      <c r="U16" s="116">
        <f>InputData!$C$81</f>
        <v>178500</v>
      </c>
      <c r="V16" s="116">
        <f>InputData!$C$82</f>
        <v>303960</v>
      </c>
      <c r="W16" s="116">
        <f>InputData!$C$84</f>
        <v>215220</v>
      </c>
      <c r="X16" s="116">
        <f>InputData!$C$85</f>
        <v>409020</v>
      </c>
      <c r="Y16" s="116">
        <f>InputData!$C$116</f>
        <v>140000</v>
      </c>
      <c r="Z16" s="160">
        <f>InputData!$E$13</f>
        <v>0</v>
      </c>
    </row>
    <row r="17" spans="1:26" x14ac:dyDescent="0.25">
      <c r="A17">
        <f>InputData!$K$1</f>
        <v>2013</v>
      </c>
      <c r="B17" t="str">
        <f>InputData!$G$1</f>
        <v>San Antonio, TX</v>
      </c>
      <c r="C17" t="s">
        <v>11</v>
      </c>
      <c r="D17" t="str">
        <f>Graph_IntMed!$C$6</f>
        <v>USU30</v>
      </c>
      <c r="E17" t="str">
        <f t="shared" si="0"/>
        <v>Internal Medicine USU30</v>
      </c>
      <c r="F17">
        <f>Graph_IntMed!$A22</f>
        <v>2028</v>
      </c>
      <c r="G17">
        <f>Graph_IntMed!$B22</f>
        <v>16</v>
      </c>
      <c r="H17" s="165">
        <f>Graph_IntMed!$C22</f>
        <v>943313.86216143309</v>
      </c>
      <c r="I17" s="160">
        <f>InputData!$C$3</f>
        <v>0.02</v>
      </c>
      <c r="J17" s="160">
        <f>InputData!$C$4</f>
        <v>0.01</v>
      </c>
      <c r="K17" s="160">
        <f>InputData!$C$5</f>
        <v>0.01</v>
      </c>
      <c r="L17" s="160">
        <f>InputData!$C$6</f>
        <v>6.2100000000000002E-2</v>
      </c>
      <c r="M17" s="160">
        <f>InputData!$C$7</f>
        <v>0.03</v>
      </c>
      <c r="N17" s="160">
        <f>InputData!$C$8</f>
        <v>0.02</v>
      </c>
      <c r="O17" s="160">
        <f>InputData!$C$9</f>
        <v>0.06</v>
      </c>
      <c r="P17" s="160">
        <f>InputData!$C$10</f>
        <v>0.02</v>
      </c>
      <c r="Q17" s="160">
        <f>InputData!$C$11</f>
        <v>0.02</v>
      </c>
      <c r="R17" s="160">
        <f>InputData!$C$12</f>
        <v>0.02</v>
      </c>
      <c r="S17" s="160">
        <f>InputData!$C$13</f>
        <v>0.9</v>
      </c>
      <c r="T17" s="116">
        <f>InputData!$C$88</f>
        <v>180000</v>
      </c>
      <c r="U17" s="116">
        <f>InputData!$C$81</f>
        <v>178500</v>
      </c>
      <c r="V17" s="116">
        <f>InputData!$C$82</f>
        <v>303960</v>
      </c>
      <c r="W17" s="116">
        <f>InputData!$C$84</f>
        <v>215220</v>
      </c>
      <c r="X17" s="116">
        <f>InputData!$C$85</f>
        <v>409020</v>
      </c>
      <c r="Y17" s="116">
        <f>InputData!$C$116</f>
        <v>140000</v>
      </c>
      <c r="Z17" s="160">
        <f>InputData!$E$13</f>
        <v>0</v>
      </c>
    </row>
    <row r="18" spans="1:26" x14ac:dyDescent="0.25">
      <c r="A18">
        <f>InputData!$K$1</f>
        <v>2013</v>
      </c>
      <c r="B18" t="str">
        <f>InputData!$G$1</f>
        <v>San Antonio, TX</v>
      </c>
      <c r="C18" t="s">
        <v>11</v>
      </c>
      <c r="D18" t="str">
        <f>Graph_IntMed!$C$6</f>
        <v>USU30</v>
      </c>
      <c r="E18" t="str">
        <f t="shared" si="0"/>
        <v>Internal Medicine USU30</v>
      </c>
      <c r="F18">
        <f>Graph_IntMed!$A23</f>
        <v>2029</v>
      </c>
      <c r="G18">
        <f>Graph_IntMed!$B23</f>
        <v>17</v>
      </c>
      <c r="H18" s="165">
        <f>Graph_IntMed!$C23</f>
        <v>1019655.3707134107</v>
      </c>
      <c r="I18" s="160">
        <f>InputData!$C$3</f>
        <v>0.02</v>
      </c>
      <c r="J18" s="160">
        <f>InputData!$C$4</f>
        <v>0.01</v>
      </c>
      <c r="K18" s="160">
        <f>InputData!$C$5</f>
        <v>0.01</v>
      </c>
      <c r="L18" s="160">
        <f>InputData!$C$6</f>
        <v>6.2100000000000002E-2</v>
      </c>
      <c r="M18" s="160">
        <f>InputData!$C$7</f>
        <v>0.03</v>
      </c>
      <c r="N18" s="160">
        <f>InputData!$C$8</f>
        <v>0.02</v>
      </c>
      <c r="O18" s="160">
        <f>InputData!$C$9</f>
        <v>0.06</v>
      </c>
      <c r="P18" s="160">
        <f>InputData!$C$10</f>
        <v>0.02</v>
      </c>
      <c r="Q18" s="160">
        <f>InputData!$C$11</f>
        <v>0.02</v>
      </c>
      <c r="R18" s="160">
        <f>InputData!$C$12</f>
        <v>0.02</v>
      </c>
      <c r="S18" s="160">
        <f>InputData!$C$13</f>
        <v>0.9</v>
      </c>
      <c r="T18" s="116">
        <f>InputData!$C$88</f>
        <v>180000</v>
      </c>
      <c r="U18" s="116">
        <f>InputData!$C$81</f>
        <v>178500</v>
      </c>
      <c r="V18" s="116">
        <f>InputData!$C$82</f>
        <v>303960</v>
      </c>
      <c r="W18" s="116">
        <f>InputData!$C$84</f>
        <v>215220</v>
      </c>
      <c r="X18" s="116">
        <f>InputData!$C$85</f>
        <v>409020</v>
      </c>
      <c r="Y18" s="116">
        <f>InputData!$C$116</f>
        <v>140000</v>
      </c>
      <c r="Z18" s="160">
        <f>InputData!$E$13</f>
        <v>0</v>
      </c>
    </row>
    <row r="19" spans="1:26" x14ac:dyDescent="0.25">
      <c r="A19">
        <f>InputData!$K$1</f>
        <v>2013</v>
      </c>
      <c r="B19" t="str">
        <f>InputData!$G$1</f>
        <v>San Antonio, TX</v>
      </c>
      <c r="C19" t="s">
        <v>11</v>
      </c>
      <c r="D19" t="str">
        <f>Graph_IntMed!$C$6</f>
        <v>USU30</v>
      </c>
      <c r="E19" t="str">
        <f t="shared" si="0"/>
        <v>Internal Medicine USU30</v>
      </c>
      <c r="F19">
        <f>Graph_IntMed!$A24</f>
        <v>2030</v>
      </c>
      <c r="G19">
        <f>Graph_IntMed!$B24</f>
        <v>18</v>
      </c>
      <c r="H19" s="165">
        <f>Graph_IntMed!$C24</f>
        <v>1093061.2692764015</v>
      </c>
      <c r="I19" s="160">
        <f>InputData!$C$3</f>
        <v>0.02</v>
      </c>
      <c r="J19" s="160">
        <f>InputData!$C$4</f>
        <v>0.01</v>
      </c>
      <c r="K19" s="160">
        <f>InputData!$C$5</f>
        <v>0.01</v>
      </c>
      <c r="L19" s="160">
        <f>InputData!$C$6</f>
        <v>6.2100000000000002E-2</v>
      </c>
      <c r="M19" s="160">
        <f>InputData!$C$7</f>
        <v>0.03</v>
      </c>
      <c r="N19" s="160">
        <f>InputData!$C$8</f>
        <v>0.02</v>
      </c>
      <c r="O19" s="160">
        <f>InputData!$C$9</f>
        <v>0.06</v>
      </c>
      <c r="P19" s="160">
        <f>InputData!$C$10</f>
        <v>0.02</v>
      </c>
      <c r="Q19" s="160">
        <f>InputData!$C$11</f>
        <v>0.02</v>
      </c>
      <c r="R19" s="160">
        <f>InputData!$C$12</f>
        <v>0.02</v>
      </c>
      <c r="S19" s="160">
        <f>InputData!$C$13</f>
        <v>0.9</v>
      </c>
      <c r="T19" s="116">
        <f>InputData!$C$88</f>
        <v>180000</v>
      </c>
      <c r="U19" s="116">
        <f>InputData!$C$81</f>
        <v>178500</v>
      </c>
      <c r="V19" s="116">
        <f>InputData!$C$82</f>
        <v>303960</v>
      </c>
      <c r="W19" s="116">
        <f>InputData!$C$84</f>
        <v>215220</v>
      </c>
      <c r="X19" s="116">
        <f>InputData!$C$85</f>
        <v>409020</v>
      </c>
      <c r="Y19" s="116">
        <f>InputData!$C$116</f>
        <v>140000</v>
      </c>
      <c r="Z19" s="160">
        <f>InputData!$E$13</f>
        <v>0</v>
      </c>
    </row>
    <row r="20" spans="1:26" x14ac:dyDescent="0.25">
      <c r="A20">
        <f>InputData!$K$1</f>
        <v>2013</v>
      </c>
      <c r="B20" t="str">
        <f>InputData!$G$1</f>
        <v>San Antonio, TX</v>
      </c>
      <c r="C20" t="s">
        <v>11</v>
      </c>
      <c r="D20" t="str">
        <f>Graph_IntMed!$C$6</f>
        <v>USU30</v>
      </c>
      <c r="E20" t="str">
        <f t="shared" si="0"/>
        <v>Internal Medicine USU30</v>
      </c>
      <c r="F20">
        <f>Graph_IntMed!$A25</f>
        <v>2031</v>
      </c>
      <c r="G20">
        <f>Graph_IntMed!$B25</f>
        <v>19</v>
      </c>
      <c r="H20" s="165">
        <f>Graph_IntMed!$C25</f>
        <v>1164922.7432174559</v>
      </c>
      <c r="I20" s="160">
        <f>InputData!$C$3</f>
        <v>0.02</v>
      </c>
      <c r="J20" s="160">
        <f>InputData!$C$4</f>
        <v>0.01</v>
      </c>
      <c r="K20" s="160">
        <f>InputData!$C$5</f>
        <v>0.01</v>
      </c>
      <c r="L20" s="160">
        <f>InputData!$C$6</f>
        <v>6.2100000000000002E-2</v>
      </c>
      <c r="M20" s="160">
        <f>InputData!$C$7</f>
        <v>0.03</v>
      </c>
      <c r="N20" s="160">
        <f>InputData!$C$8</f>
        <v>0.02</v>
      </c>
      <c r="O20" s="160">
        <f>InputData!$C$9</f>
        <v>0.06</v>
      </c>
      <c r="P20" s="160">
        <f>InputData!$C$10</f>
        <v>0.02</v>
      </c>
      <c r="Q20" s="160">
        <f>InputData!$C$11</f>
        <v>0.02</v>
      </c>
      <c r="R20" s="160">
        <f>InputData!$C$12</f>
        <v>0.02</v>
      </c>
      <c r="S20" s="160">
        <f>InputData!$C$13</f>
        <v>0.9</v>
      </c>
      <c r="T20" s="116">
        <f>InputData!$C$88</f>
        <v>180000</v>
      </c>
      <c r="U20" s="116">
        <f>InputData!$C$81</f>
        <v>178500</v>
      </c>
      <c r="V20" s="116">
        <f>InputData!$C$82</f>
        <v>303960</v>
      </c>
      <c r="W20" s="116">
        <f>InputData!$C$84</f>
        <v>215220</v>
      </c>
      <c r="X20" s="116">
        <f>InputData!$C$85</f>
        <v>409020</v>
      </c>
      <c r="Y20" s="116">
        <f>InputData!$C$116</f>
        <v>140000</v>
      </c>
      <c r="Z20" s="160">
        <f>InputData!$E$13</f>
        <v>0</v>
      </c>
    </row>
    <row r="21" spans="1:26" x14ac:dyDescent="0.25">
      <c r="A21">
        <f>InputData!$K$1</f>
        <v>2013</v>
      </c>
      <c r="B21" t="str">
        <f>InputData!$G$1</f>
        <v>San Antonio, TX</v>
      </c>
      <c r="C21" t="s">
        <v>11</v>
      </c>
      <c r="D21" t="str">
        <f>Graph_IntMed!$C$6</f>
        <v>USU30</v>
      </c>
      <c r="E21" t="str">
        <f t="shared" si="0"/>
        <v>Internal Medicine USU30</v>
      </c>
      <c r="F21">
        <f>Graph_IntMed!$A26</f>
        <v>2032</v>
      </c>
      <c r="G21">
        <f>Graph_IntMed!$B26</f>
        <v>20</v>
      </c>
      <c r="H21" s="165">
        <f>Graph_IntMed!$C26</f>
        <v>1234020.8995299013</v>
      </c>
      <c r="I21" s="160">
        <f>InputData!$C$3</f>
        <v>0.02</v>
      </c>
      <c r="J21" s="160">
        <f>InputData!$C$4</f>
        <v>0.01</v>
      </c>
      <c r="K21" s="160">
        <f>InputData!$C$5</f>
        <v>0.01</v>
      </c>
      <c r="L21" s="160">
        <f>InputData!$C$6</f>
        <v>6.2100000000000002E-2</v>
      </c>
      <c r="M21" s="160">
        <f>InputData!$C$7</f>
        <v>0.03</v>
      </c>
      <c r="N21" s="160">
        <f>InputData!$C$8</f>
        <v>0.02</v>
      </c>
      <c r="O21" s="160">
        <f>InputData!$C$9</f>
        <v>0.06</v>
      </c>
      <c r="P21" s="160">
        <f>InputData!$C$10</f>
        <v>0.02</v>
      </c>
      <c r="Q21" s="160">
        <f>InputData!$C$11</f>
        <v>0.02</v>
      </c>
      <c r="R21" s="160">
        <f>InputData!$C$12</f>
        <v>0.02</v>
      </c>
      <c r="S21" s="160">
        <f>InputData!$C$13</f>
        <v>0.9</v>
      </c>
      <c r="T21" s="116">
        <f>InputData!$C$88</f>
        <v>180000</v>
      </c>
      <c r="U21" s="116">
        <f>InputData!$C$81</f>
        <v>178500</v>
      </c>
      <c r="V21" s="116">
        <f>InputData!$C$82</f>
        <v>303960</v>
      </c>
      <c r="W21" s="116">
        <f>InputData!$C$84</f>
        <v>215220</v>
      </c>
      <c r="X21" s="116">
        <f>InputData!$C$85</f>
        <v>409020</v>
      </c>
      <c r="Y21" s="116">
        <f>InputData!$C$116</f>
        <v>140000</v>
      </c>
      <c r="Z21" s="160">
        <f>InputData!$E$13</f>
        <v>0</v>
      </c>
    </row>
    <row r="22" spans="1:26" x14ac:dyDescent="0.25">
      <c r="A22">
        <f>InputData!$K$1</f>
        <v>2013</v>
      </c>
      <c r="B22" t="str">
        <f>InputData!$G$1</f>
        <v>San Antonio, TX</v>
      </c>
      <c r="C22" t="s">
        <v>11</v>
      </c>
      <c r="D22" t="str">
        <f>Graph_IntMed!$C$6</f>
        <v>USU30</v>
      </c>
      <c r="E22" t="str">
        <f t="shared" si="0"/>
        <v>Internal Medicine USU30</v>
      </c>
      <c r="F22">
        <f>Graph_IntMed!$A27</f>
        <v>2033</v>
      </c>
      <c r="G22">
        <f>Graph_IntMed!$B27</f>
        <v>21</v>
      </c>
      <c r="H22" s="165">
        <f>Graph_IntMed!$C27</f>
        <v>1302270.4267230788</v>
      </c>
      <c r="I22" s="160">
        <f>InputData!$C$3</f>
        <v>0.02</v>
      </c>
      <c r="J22" s="160">
        <f>InputData!$C$4</f>
        <v>0.01</v>
      </c>
      <c r="K22" s="160">
        <f>InputData!$C$5</f>
        <v>0.01</v>
      </c>
      <c r="L22" s="160">
        <f>InputData!$C$6</f>
        <v>6.2100000000000002E-2</v>
      </c>
      <c r="M22" s="160">
        <f>InputData!$C$7</f>
        <v>0.03</v>
      </c>
      <c r="N22" s="160">
        <f>InputData!$C$8</f>
        <v>0.02</v>
      </c>
      <c r="O22" s="160">
        <f>InputData!$C$9</f>
        <v>0.06</v>
      </c>
      <c r="P22" s="160">
        <f>InputData!$C$10</f>
        <v>0.02</v>
      </c>
      <c r="Q22" s="160">
        <f>InputData!$C$11</f>
        <v>0.02</v>
      </c>
      <c r="R22" s="160">
        <f>InputData!$C$12</f>
        <v>0.02</v>
      </c>
      <c r="S22" s="160">
        <f>InputData!$C$13</f>
        <v>0.9</v>
      </c>
      <c r="T22" s="116">
        <f>InputData!$C$88</f>
        <v>180000</v>
      </c>
      <c r="U22" s="116">
        <f>InputData!$C$81</f>
        <v>178500</v>
      </c>
      <c r="V22" s="116">
        <f>InputData!$C$82</f>
        <v>303960</v>
      </c>
      <c r="W22" s="116">
        <f>InputData!$C$84</f>
        <v>215220</v>
      </c>
      <c r="X22" s="116">
        <f>InputData!$C$85</f>
        <v>409020</v>
      </c>
      <c r="Y22" s="116">
        <f>InputData!$C$116</f>
        <v>140000</v>
      </c>
      <c r="Z22" s="160">
        <f>InputData!$E$13</f>
        <v>0</v>
      </c>
    </row>
    <row r="23" spans="1:26" x14ac:dyDescent="0.25">
      <c r="A23">
        <f>InputData!$K$1</f>
        <v>2013</v>
      </c>
      <c r="B23" t="str">
        <f>InputData!$G$1</f>
        <v>San Antonio, TX</v>
      </c>
      <c r="C23" t="s">
        <v>11</v>
      </c>
      <c r="D23" t="str">
        <f>Graph_IntMed!$C$6</f>
        <v>USU30</v>
      </c>
      <c r="E23" t="str">
        <f t="shared" si="0"/>
        <v>Internal Medicine USU30</v>
      </c>
      <c r="F23">
        <f>Graph_IntMed!$A28</f>
        <v>2034</v>
      </c>
      <c r="G23">
        <f>Graph_IntMed!$B28</f>
        <v>22</v>
      </c>
      <c r="H23" s="165">
        <f>Graph_IntMed!$C28</f>
        <v>1367895.4297844293</v>
      </c>
      <c r="I23" s="160">
        <f>InputData!$C$3</f>
        <v>0.02</v>
      </c>
      <c r="J23" s="160">
        <f>InputData!$C$4</f>
        <v>0.01</v>
      </c>
      <c r="K23" s="160">
        <f>InputData!$C$5</f>
        <v>0.01</v>
      </c>
      <c r="L23" s="160">
        <f>InputData!$C$6</f>
        <v>6.2100000000000002E-2</v>
      </c>
      <c r="M23" s="160">
        <f>InputData!$C$7</f>
        <v>0.03</v>
      </c>
      <c r="N23" s="160">
        <f>InputData!$C$8</f>
        <v>0.02</v>
      </c>
      <c r="O23" s="160">
        <f>InputData!$C$9</f>
        <v>0.06</v>
      </c>
      <c r="P23" s="160">
        <f>InputData!$C$10</f>
        <v>0.02</v>
      </c>
      <c r="Q23" s="160">
        <f>InputData!$C$11</f>
        <v>0.02</v>
      </c>
      <c r="R23" s="160">
        <f>InputData!$C$12</f>
        <v>0.02</v>
      </c>
      <c r="S23" s="160">
        <f>InputData!$C$13</f>
        <v>0.9</v>
      </c>
      <c r="T23" s="116">
        <f>InputData!$C$88</f>
        <v>180000</v>
      </c>
      <c r="U23" s="116">
        <f>InputData!$C$81</f>
        <v>178500</v>
      </c>
      <c r="V23" s="116">
        <f>InputData!$C$82</f>
        <v>303960</v>
      </c>
      <c r="W23" s="116">
        <f>InputData!$C$84</f>
        <v>215220</v>
      </c>
      <c r="X23" s="116">
        <f>InputData!$C$85</f>
        <v>409020</v>
      </c>
      <c r="Y23" s="116">
        <f>InputData!$C$116</f>
        <v>140000</v>
      </c>
      <c r="Z23" s="160">
        <f>InputData!$E$13</f>
        <v>0</v>
      </c>
    </row>
    <row r="24" spans="1:26" x14ac:dyDescent="0.25">
      <c r="A24">
        <f>InputData!$K$1</f>
        <v>2013</v>
      </c>
      <c r="B24" t="str">
        <f>InputData!$G$1</f>
        <v>San Antonio, TX</v>
      </c>
      <c r="C24" t="s">
        <v>11</v>
      </c>
      <c r="D24" t="str">
        <f>Graph_IntMed!$C$6</f>
        <v>USU30</v>
      </c>
      <c r="E24" t="str">
        <f t="shared" si="0"/>
        <v>Internal Medicine USU30</v>
      </c>
      <c r="F24">
        <f>Graph_IntMed!$A29</f>
        <v>2035</v>
      </c>
      <c r="G24">
        <f>Graph_IntMed!$B29</f>
        <v>23</v>
      </c>
      <c r="H24" s="165">
        <f>Graph_IntMed!$C29</f>
        <v>1434930.3930117351</v>
      </c>
      <c r="I24" s="160">
        <f>InputData!$C$3</f>
        <v>0.02</v>
      </c>
      <c r="J24" s="160">
        <f>InputData!$C$4</f>
        <v>0.01</v>
      </c>
      <c r="K24" s="160">
        <f>InputData!$C$5</f>
        <v>0.01</v>
      </c>
      <c r="L24" s="160">
        <f>InputData!$C$6</f>
        <v>6.2100000000000002E-2</v>
      </c>
      <c r="M24" s="160">
        <f>InputData!$C$7</f>
        <v>0.03</v>
      </c>
      <c r="N24" s="160">
        <f>InputData!$C$8</f>
        <v>0.02</v>
      </c>
      <c r="O24" s="160">
        <f>InputData!$C$9</f>
        <v>0.06</v>
      </c>
      <c r="P24" s="160">
        <f>InputData!$C$10</f>
        <v>0.02</v>
      </c>
      <c r="Q24" s="160">
        <f>InputData!$C$11</f>
        <v>0.02</v>
      </c>
      <c r="R24" s="160">
        <f>InputData!$C$12</f>
        <v>0.02</v>
      </c>
      <c r="S24" s="160">
        <f>InputData!$C$13</f>
        <v>0.9</v>
      </c>
      <c r="T24" s="116">
        <f>InputData!$C$88</f>
        <v>180000</v>
      </c>
      <c r="U24" s="116">
        <f>InputData!$C$81</f>
        <v>178500</v>
      </c>
      <c r="V24" s="116">
        <f>InputData!$C$82</f>
        <v>303960</v>
      </c>
      <c r="W24" s="116">
        <f>InputData!$C$84</f>
        <v>215220</v>
      </c>
      <c r="X24" s="116">
        <f>InputData!$C$85</f>
        <v>409020</v>
      </c>
      <c r="Y24" s="116">
        <f>InputData!$C$116</f>
        <v>140000</v>
      </c>
      <c r="Z24" s="160">
        <f>InputData!$E$13</f>
        <v>0</v>
      </c>
    </row>
    <row r="25" spans="1:26" x14ac:dyDescent="0.25">
      <c r="A25">
        <f>InputData!$K$1</f>
        <v>2013</v>
      </c>
      <c r="B25" t="str">
        <f>InputData!$G$1</f>
        <v>San Antonio, TX</v>
      </c>
      <c r="C25" t="s">
        <v>11</v>
      </c>
      <c r="D25" t="str">
        <f>Graph_IntMed!$C$6</f>
        <v>USU30</v>
      </c>
      <c r="E25" t="str">
        <f t="shared" si="0"/>
        <v>Internal Medicine USU30</v>
      </c>
      <c r="F25">
        <f>Graph_IntMed!$A30</f>
        <v>2036</v>
      </c>
      <c r="G25">
        <f>Graph_IntMed!$B30</f>
        <v>24</v>
      </c>
      <c r="H25" s="165">
        <f>Graph_IntMed!$C30</f>
        <v>1499381.6004349594</v>
      </c>
      <c r="I25" s="160">
        <f>InputData!$C$3</f>
        <v>0.02</v>
      </c>
      <c r="J25" s="160">
        <f>InputData!$C$4</f>
        <v>0.01</v>
      </c>
      <c r="K25" s="160">
        <f>InputData!$C$5</f>
        <v>0.01</v>
      </c>
      <c r="L25" s="160">
        <f>InputData!$C$6</f>
        <v>6.2100000000000002E-2</v>
      </c>
      <c r="M25" s="160">
        <f>InputData!$C$7</f>
        <v>0.03</v>
      </c>
      <c r="N25" s="160">
        <f>InputData!$C$8</f>
        <v>0.02</v>
      </c>
      <c r="O25" s="160">
        <f>InputData!$C$9</f>
        <v>0.06</v>
      </c>
      <c r="P25" s="160">
        <f>InputData!$C$10</f>
        <v>0.02</v>
      </c>
      <c r="Q25" s="160">
        <f>InputData!$C$11</f>
        <v>0.02</v>
      </c>
      <c r="R25" s="160">
        <f>InputData!$C$12</f>
        <v>0.02</v>
      </c>
      <c r="S25" s="160">
        <f>InputData!$C$13</f>
        <v>0.9</v>
      </c>
      <c r="T25" s="116">
        <f>InputData!$C$88</f>
        <v>180000</v>
      </c>
      <c r="U25" s="116">
        <f>InputData!$C$81</f>
        <v>178500</v>
      </c>
      <c r="V25" s="116">
        <f>InputData!$C$82</f>
        <v>303960</v>
      </c>
      <c r="W25" s="116">
        <f>InputData!$C$84</f>
        <v>215220</v>
      </c>
      <c r="X25" s="116">
        <f>InputData!$C$85</f>
        <v>409020</v>
      </c>
      <c r="Y25" s="116">
        <f>InputData!$C$116</f>
        <v>140000</v>
      </c>
      <c r="Z25" s="160">
        <f>InputData!$E$13</f>
        <v>0</v>
      </c>
    </row>
    <row r="26" spans="1:26" x14ac:dyDescent="0.25">
      <c r="A26">
        <f>InputData!$K$1</f>
        <v>2013</v>
      </c>
      <c r="B26" t="str">
        <f>InputData!$G$1</f>
        <v>San Antonio, TX</v>
      </c>
      <c r="C26" t="s">
        <v>11</v>
      </c>
      <c r="D26" t="str">
        <f>Graph_IntMed!$C$6</f>
        <v>USU30</v>
      </c>
      <c r="E26" t="str">
        <f t="shared" si="0"/>
        <v>Internal Medicine USU30</v>
      </c>
      <c r="F26">
        <f>Graph_IntMed!$A31</f>
        <v>2037</v>
      </c>
      <c r="G26">
        <f>Graph_IntMed!$B31</f>
        <v>25</v>
      </c>
      <c r="H26" s="165">
        <f>Graph_IntMed!$C31</f>
        <v>1564183.7950563659</v>
      </c>
      <c r="I26" s="160">
        <f>InputData!$C$3</f>
        <v>0.02</v>
      </c>
      <c r="J26" s="160">
        <f>InputData!$C$4</f>
        <v>0.01</v>
      </c>
      <c r="K26" s="160">
        <f>InputData!$C$5</f>
        <v>0.01</v>
      </c>
      <c r="L26" s="160">
        <f>InputData!$C$6</f>
        <v>6.2100000000000002E-2</v>
      </c>
      <c r="M26" s="160">
        <f>InputData!$C$7</f>
        <v>0.03</v>
      </c>
      <c r="N26" s="160">
        <f>InputData!$C$8</f>
        <v>0.02</v>
      </c>
      <c r="O26" s="160">
        <f>InputData!$C$9</f>
        <v>0.06</v>
      </c>
      <c r="P26" s="160">
        <f>InputData!$C$10</f>
        <v>0.02</v>
      </c>
      <c r="Q26" s="160">
        <f>InputData!$C$11</f>
        <v>0.02</v>
      </c>
      <c r="R26" s="160">
        <f>InputData!$C$12</f>
        <v>0.02</v>
      </c>
      <c r="S26" s="160">
        <f>InputData!$C$13</f>
        <v>0.9</v>
      </c>
      <c r="T26" s="116">
        <f>InputData!$C$88</f>
        <v>180000</v>
      </c>
      <c r="U26" s="116">
        <f>InputData!$C$81</f>
        <v>178500</v>
      </c>
      <c r="V26" s="116">
        <f>InputData!$C$82</f>
        <v>303960</v>
      </c>
      <c r="W26" s="116">
        <f>InputData!$C$84</f>
        <v>215220</v>
      </c>
      <c r="X26" s="116">
        <f>InputData!$C$85</f>
        <v>409020</v>
      </c>
      <c r="Y26" s="116">
        <f>InputData!$C$116</f>
        <v>140000</v>
      </c>
      <c r="Z26" s="160">
        <f>InputData!$E$13</f>
        <v>0</v>
      </c>
    </row>
    <row r="27" spans="1:26" x14ac:dyDescent="0.25">
      <c r="A27">
        <f>InputData!$K$1</f>
        <v>2013</v>
      </c>
      <c r="B27" t="str">
        <f>InputData!$G$1</f>
        <v>San Antonio, TX</v>
      </c>
      <c r="C27" t="s">
        <v>11</v>
      </c>
      <c r="D27" t="str">
        <f>Graph_IntMed!$C$6</f>
        <v>USU30</v>
      </c>
      <c r="E27" t="str">
        <f t="shared" si="0"/>
        <v>Internal Medicine USU30</v>
      </c>
      <c r="F27">
        <f>Graph_IntMed!$A32</f>
        <v>2038</v>
      </c>
      <c r="G27">
        <f>Graph_IntMed!$B32</f>
        <v>26</v>
      </c>
      <c r="H27" s="165">
        <f>Graph_IntMed!$C32</f>
        <v>1626488.1289464189</v>
      </c>
      <c r="I27" s="160">
        <f>InputData!$C$3</f>
        <v>0.02</v>
      </c>
      <c r="J27" s="160">
        <f>InputData!$C$4</f>
        <v>0.01</v>
      </c>
      <c r="K27" s="160">
        <f>InputData!$C$5</f>
        <v>0.01</v>
      </c>
      <c r="L27" s="160">
        <f>InputData!$C$6</f>
        <v>6.2100000000000002E-2</v>
      </c>
      <c r="M27" s="160">
        <f>InputData!$C$7</f>
        <v>0.03</v>
      </c>
      <c r="N27" s="160">
        <f>InputData!$C$8</f>
        <v>0.02</v>
      </c>
      <c r="O27" s="160">
        <f>InputData!$C$9</f>
        <v>0.06</v>
      </c>
      <c r="P27" s="160">
        <f>InputData!$C$10</f>
        <v>0.02</v>
      </c>
      <c r="Q27" s="160">
        <f>InputData!$C$11</f>
        <v>0.02</v>
      </c>
      <c r="R27" s="160">
        <f>InputData!$C$12</f>
        <v>0.02</v>
      </c>
      <c r="S27" s="160">
        <f>InputData!$C$13</f>
        <v>0.9</v>
      </c>
      <c r="T27" s="116">
        <f>InputData!$C$88</f>
        <v>180000</v>
      </c>
      <c r="U27" s="116">
        <f>InputData!$C$81</f>
        <v>178500</v>
      </c>
      <c r="V27" s="116">
        <f>InputData!$C$82</f>
        <v>303960</v>
      </c>
      <c r="W27" s="116">
        <f>InputData!$C$84</f>
        <v>215220</v>
      </c>
      <c r="X27" s="116">
        <f>InputData!$C$85</f>
        <v>409020</v>
      </c>
      <c r="Y27" s="116">
        <f>InputData!$C$116</f>
        <v>140000</v>
      </c>
      <c r="Z27" s="160">
        <f>InputData!$E$13</f>
        <v>0</v>
      </c>
    </row>
    <row r="28" spans="1:26" x14ac:dyDescent="0.25">
      <c r="A28">
        <f>InputData!$K$1</f>
        <v>2013</v>
      </c>
      <c r="B28" t="str">
        <f>InputData!$G$1</f>
        <v>San Antonio, TX</v>
      </c>
      <c r="C28" t="s">
        <v>11</v>
      </c>
      <c r="D28" t="str">
        <f>Graph_IntMed!$C$6</f>
        <v>USU30</v>
      </c>
      <c r="E28" t="str">
        <f t="shared" si="0"/>
        <v>Internal Medicine USU30</v>
      </c>
      <c r="F28">
        <f>Graph_IntMed!$A33</f>
        <v>2039</v>
      </c>
      <c r="G28">
        <f>Graph_IntMed!$B33</f>
        <v>27</v>
      </c>
      <c r="H28" s="165">
        <f>Graph_IntMed!$C33</f>
        <v>1687886.8066189096</v>
      </c>
      <c r="I28" s="160">
        <f>InputData!$C$3</f>
        <v>0.02</v>
      </c>
      <c r="J28" s="160">
        <f>InputData!$C$4</f>
        <v>0.01</v>
      </c>
      <c r="K28" s="160">
        <f>InputData!$C$5</f>
        <v>0.01</v>
      </c>
      <c r="L28" s="160">
        <f>InputData!$C$6</f>
        <v>6.2100000000000002E-2</v>
      </c>
      <c r="M28" s="160">
        <f>InputData!$C$7</f>
        <v>0.03</v>
      </c>
      <c r="N28" s="160">
        <f>InputData!$C$8</f>
        <v>0.02</v>
      </c>
      <c r="O28" s="160">
        <f>InputData!$C$9</f>
        <v>0.06</v>
      </c>
      <c r="P28" s="160">
        <f>InputData!$C$10</f>
        <v>0.02</v>
      </c>
      <c r="Q28" s="160">
        <f>InputData!$C$11</f>
        <v>0.02</v>
      </c>
      <c r="R28" s="160">
        <f>InputData!$C$12</f>
        <v>0.02</v>
      </c>
      <c r="S28" s="160">
        <f>InputData!$C$13</f>
        <v>0.9</v>
      </c>
      <c r="T28" s="116">
        <f>InputData!$C$88</f>
        <v>180000</v>
      </c>
      <c r="U28" s="116">
        <f>InputData!$C$81</f>
        <v>178500</v>
      </c>
      <c r="V28" s="116">
        <f>InputData!$C$82</f>
        <v>303960</v>
      </c>
      <c r="W28" s="116">
        <f>InputData!$C$84</f>
        <v>215220</v>
      </c>
      <c r="X28" s="116">
        <f>InputData!$C$85</f>
        <v>409020</v>
      </c>
      <c r="Y28" s="116">
        <f>InputData!$C$116</f>
        <v>140000</v>
      </c>
      <c r="Z28" s="160">
        <f>InputData!$E$13</f>
        <v>0</v>
      </c>
    </row>
    <row r="29" spans="1:26" x14ac:dyDescent="0.25">
      <c r="A29">
        <f>InputData!$K$1</f>
        <v>2013</v>
      </c>
      <c r="B29" t="str">
        <f>InputData!$G$1</f>
        <v>San Antonio, TX</v>
      </c>
      <c r="C29" t="s">
        <v>11</v>
      </c>
      <c r="D29" t="str">
        <f>Graph_IntMed!$C$6</f>
        <v>USU30</v>
      </c>
      <c r="E29" t="str">
        <f t="shared" si="0"/>
        <v>Internal Medicine USU30</v>
      </c>
      <c r="F29">
        <f>Graph_IntMed!$A34</f>
        <v>2040</v>
      </c>
      <c r="G29">
        <f>Graph_IntMed!$B34</f>
        <v>28</v>
      </c>
      <c r="H29" s="165">
        <f>Graph_IntMed!$C34</f>
        <v>1746918.784065299</v>
      </c>
      <c r="I29" s="160">
        <f>InputData!$C$3</f>
        <v>0.02</v>
      </c>
      <c r="J29" s="160">
        <f>InputData!$C$4</f>
        <v>0.01</v>
      </c>
      <c r="K29" s="160">
        <f>InputData!$C$5</f>
        <v>0.01</v>
      </c>
      <c r="L29" s="160">
        <f>InputData!$C$6</f>
        <v>6.2100000000000002E-2</v>
      </c>
      <c r="M29" s="160">
        <f>InputData!$C$7</f>
        <v>0.03</v>
      </c>
      <c r="N29" s="160">
        <f>InputData!$C$8</f>
        <v>0.02</v>
      </c>
      <c r="O29" s="160">
        <f>InputData!$C$9</f>
        <v>0.06</v>
      </c>
      <c r="P29" s="160">
        <f>InputData!$C$10</f>
        <v>0.02</v>
      </c>
      <c r="Q29" s="160">
        <f>InputData!$C$11</f>
        <v>0.02</v>
      </c>
      <c r="R29" s="160">
        <f>InputData!$C$12</f>
        <v>0.02</v>
      </c>
      <c r="S29" s="160">
        <f>InputData!$C$13</f>
        <v>0.9</v>
      </c>
      <c r="T29" s="116">
        <f>InputData!$C$88</f>
        <v>180000</v>
      </c>
      <c r="U29" s="116">
        <f>InputData!$C$81</f>
        <v>178500</v>
      </c>
      <c r="V29" s="116">
        <f>InputData!$C$82</f>
        <v>303960</v>
      </c>
      <c r="W29" s="116">
        <f>InputData!$C$84</f>
        <v>215220</v>
      </c>
      <c r="X29" s="116">
        <f>InputData!$C$85</f>
        <v>409020</v>
      </c>
      <c r="Y29" s="116">
        <f>InputData!$C$116</f>
        <v>140000</v>
      </c>
      <c r="Z29" s="160">
        <f>InputData!$E$13</f>
        <v>0</v>
      </c>
    </row>
    <row r="30" spans="1:26" x14ac:dyDescent="0.25">
      <c r="A30">
        <f>InputData!$K$1</f>
        <v>2013</v>
      </c>
      <c r="B30" t="str">
        <f>InputData!$G$1</f>
        <v>San Antonio, TX</v>
      </c>
      <c r="C30" t="s">
        <v>11</v>
      </c>
      <c r="D30" t="str">
        <f>Graph_IntMed!$C$6</f>
        <v>USU30</v>
      </c>
      <c r="E30" t="str">
        <f t="shared" si="0"/>
        <v>Internal Medicine USU30</v>
      </c>
      <c r="F30">
        <f>Graph_IntMed!$A35</f>
        <v>2041</v>
      </c>
      <c r="G30">
        <f>Graph_IntMed!$B35</f>
        <v>29</v>
      </c>
      <c r="H30" s="165">
        <f>Graph_IntMed!$C35</f>
        <v>1803675.3459129347</v>
      </c>
      <c r="I30" s="160">
        <f>InputData!$C$3</f>
        <v>0.02</v>
      </c>
      <c r="J30" s="160">
        <f>InputData!$C$4</f>
        <v>0.01</v>
      </c>
      <c r="K30" s="160">
        <f>InputData!$C$5</f>
        <v>0.01</v>
      </c>
      <c r="L30" s="160">
        <f>InputData!$C$6</f>
        <v>6.2100000000000002E-2</v>
      </c>
      <c r="M30" s="160">
        <f>InputData!$C$7</f>
        <v>0.03</v>
      </c>
      <c r="N30" s="160">
        <f>InputData!$C$8</f>
        <v>0.02</v>
      </c>
      <c r="O30" s="160">
        <f>InputData!$C$9</f>
        <v>0.06</v>
      </c>
      <c r="P30" s="160">
        <f>InputData!$C$10</f>
        <v>0.02</v>
      </c>
      <c r="Q30" s="160">
        <f>InputData!$C$11</f>
        <v>0.02</v>
      </c>
      <c r="R30" s="160">
        <f>InputData!$C$12</f>
        <v>0.02</v>
      </c>
      <c r="S30" s="160">
        <f>InputData!$C$13</f>
        <v>0.9</v>
      </c>
      <c r="T30" s="116">
        <f>InputData!$C$88</f>
        <v>180000</v>
      </c>
      <c r="U30" s="116">
        <f>InputData!$C$81</f>
        <v>178500</v>
      </c>
      <c r="V30" s="116">
        <f>InputData!$C$82</f>
        <v>303960</v>
      </c>
      <c r="W30" s="116">
        <f>InputData!$C$84</f>
        <v>215220</v>
      </c>
      <c r="X30" s="116">
        <f>InputData!$C$85</f>
        <v>409020</v>
      </c>
      <c r="Y30" s="116">
        <f>InputData!$C$116</f>
        <v>140000</v>
      </c>
      <c r="Z30" s="160">
        <f>InputData!$E$13</f>
        <v>0</v>
      </c>
    </row>
    <row r="31" spans="1:26" x14ac:dyDescent="0.25">
      <c r="A31">
        <f>InputData!$K$1</f>
        <v>2013</v>
      </c>
      <c r="B31" t="str">
        <f>InputData!$G$1</f>
        <v>San Antonio, TX</v>
      </c>
      <c r="C31" t="s">
        <v>11</v>
      </c>
      <c r="D31" t="str">
        <f>Graph_IntMed!$C$6</f>
        <v>USU30</v>
      </c>
      <c r="E31" t="str">
        <f t="shared" si="0"/>
        <v>Internal Medicine USU30</v>
      </c>
      <c r="F31">
        <f>Graph_IntMed!$A36</f>
        <v>2042</v>
      </c>
      <c r="G31">
        <f>Graph_IntMed!$B36</f>
        <v>30</v>
      </c>
      <c r="H31" s="165">
        <f>Graph_IntMed!$C36</f>
        <v>1858244.2542448989</v>
      </c>
      <c r="I31" s="160">
        <f>InputData!$C$3</f>
        <v>0.02</v>
      </c>
      <c r="J31" s="160">
        <f>InputData!$C$4</f>
        <v>0.01</v>
      </c>
      <c r="K31" s="160">
        <f>InputData!$C$5</f>
        <v>0.01</v>
      </c>
      <c r="L31" s="160">
        <f>InputData!$C$6</f>
        <v>6.2100000000000002E-2</v>
      </c>
      <c r="M31" s="160">
        <f>InputData!$C$7</f>
        <v>0.03</v>
      </c>
      <c r="N31" s="160">
        <f>InputData!$C$8</f>
        <v>0.02</v>
      </c>
      <c r="O31" s="160">
        <f>InputData!$C$9</f>
        <v>0.06</v>
      </c>
      <c r="P31" s="160">
        <f>InputData!$C$10</f>
        <v>0.02</v>
      </c>
      <c r="Q31" s="160">
        <f>InputData!$C$11</f>
        <v>0.02</v>
      </c>
      <c r="R31" s="160">
        <f>InputData!$C$12</f>
        <v>0.02</v>
      </c>
      <c r="S31" s="160">
        <f>InputData!$C$13</f>
        <v>0.9</v>
      </c>
      <c r="T31" s="116">
        <f>InputData!$C$88</f>
        <v>180000</v>
      </c>
      <c r="U31" s="116">
        <f>InputData!$C$81</f>
        <v>178500</v>
      </c>
      <c r="V31" s="116">
        <f>InputData!$C$82</f>
        <v>303960</v>
      </c>
      <c r="W31" s="116">
        <f>InputData!$C$84</f>
        <v>215220</v>
      </c>
      <c r="X31" s="116">
        <f>InputData!$C$85</f>
        <v>409020</v>
      </c>
      <c r="Y31" s="116">
        <f>InputData!$C$116</f>
        <v>140000</v>
      </c>
      <c r="Z31" s="160">
        <f>InputData!$E$13</f>
        <v>0</v>
      </c>
    </row>
    <row r="32" spans="1:26" x14ac:dyDescent="0.25">
      <c r="A32">
        <f>InputData!$K$1</f>
        <v>2013</v>
      </c>
      <c r="B32" t="str">
        <f>InputData!$G$1</f>
        <v>San Antonio, TX</v>
      </c>
      <c r="C32" t="s">
        <v>11</v>
      </c>
      <c r="D32" t="str">
        <f>Graph_IntMed!$D$6</f>
        <v>HPSP30</v>
      </c>
      <c r="E32" t="str">
        <f t="shared" si="0"/>
        <v>Internal Medicine HPSP30</v>
      </c>
      <c r="F32">
        <f>Graph_IntMed!$A7</f>
        <v>2013</v>
      </c>
      <c r="G32">
        <f>Graph_IntMed!$B7</f>
        <v>1</v>
      </c>
      <c r="H32" s="165">
        <f>Graph_IntMed!$D7</f>
        <v>43551.744866529771</v>
      </c>
      <c r="I32" s="160">
        <f>InputData!$C$3</f>
        <v>0.02</v>
      </c>
      <c r="J32" s="160">
        <f>InputData!$C$4</f>
        <v>0.01</v>
      </c>
      <c r="K32" s="160">
        <f>InputData!$C$5</f>
        <v>0.01</v>
      </c>
      <c r="L32" s="160">
        <f>InputData!$C$6</f>
        <v>6.2100000000000002E-2</v>
      </c>
      <c r="M32" s="160">
        <f>InputData!$C$7</f>
        <v>0.03</v>
      </c>
      <c r="N32" s="160">
        <f>InputData!$C$8</f>
        <v>0.02</v>
      </c>
      <c r="O32" s="160">
        <f>InputData!$C$9</f>
        <v>0.06</v>
      </c>
      <c r="P32" s="160">
        <f>InputData!$C$10</f>
        <v>0.02</v>
      </c>
      <c r="Q32" s="160">
        <f>InputData!$C$11</f>
        <v>0.02</v>
      </c>
      <c r="R32" s="160">
        <f>InputData!$C$12</f>
        <v>0.02</v>
      </c>
      <c r="S32" s="160">
        <f>InputData!$C$13</f>
        <v>0.9</v>
      </c>
      <c r="T32" s="116">
        <f>InputData!$C$88</f>
        <v>180000</v>
      </c>
      <c r="U32" s="116">
        <f>InputData!$C$81</f>
        <v>178500</v>
      </c>
      <c r="V32" s="116">
        <f>InputData!$C$82</f>
        <v>303960</v>
      </c>
      <c r="W32" s="116">
        <f>InputData!$C$84</f>
        <v>215220</v>
      </c>
      <c r="X32" s="116">
        <f>InputData!$C$85</f>
        <v>409020</v>
      </c>
      <c r="Y32" s="116">
        <f>InputData!$C$116</f>
        <v>140000</v>
      </c>
      <c r="Z32" s="160">
        <f>InputData!$E$13</f>
        <v>0</v>
      </c>
    </row>
    <row r="33" spans="1:26" x14ac:dyDescent="0.25">
      <c r="A33">
        <f>InputData!$K$1</f>
        <v>2013</v>
      </c>
      <c r="B33" t="str">
        <f>InputData!$G$1</f>
        <v>San Antonio, TX</v>
      </c>
      <c r="C33" t="s">
        <v>11</v>
      </c>
      <c r="D33" t="str">
        <f>Graph_IntMed!$D$6</f>
        <v>HPSP30</v>
      </c>
      <c r="E33" t="str">
        <f t="shared" si="0"/>
        <v>Internal Medicine HPSP30</v>
      </c>
      <c r="F33">
        <f>Graph_IntMed!$A8</f>
        <v>2014</v>
      </c>
      <c r="G33">
        <f>Graph_IntMed!$B8</f>
        <v>2</v>
      </c>
      <c r="H33" s="165">
        <f>Graph_IntMed!$D8</f>
        <v>69389.851463288214</v>
      </c>
      <c r="I33" s="160">
        <f>InputData!$C$3</f>
        <v>0.02</v>
      </c>
      <c r="J33" s="160">
        <f>InputData!$C$4</f>
        <v>0.01</v>
      </c>
      <c r="K33" s="160">
        <f>InputData!$C$5</f>
        <v>0.01</v>
      </c>
      <c r="L33" s="160">
        <f>InputData!$C$6</f>
        <v>6.2100000000000002E-2</v>
      </c>
      <c r="M33" s="160">
        <f>InputData!$C$7</f>
        <v>0.03</v>
      </c>
      <c r="N33" s="160">
        <f>InputData!$C$8</f>
        <v>0.02</v>
      </c>
      <c r="O33" s="160">
        <f>InputData!$C$9</f>
        <v>0.06</v>
      </c>
      <c r="P33" s="160">
        <f>InputData!$C$10</f>
        <v>0.02</v>
      </c>
      <c r="Q33" s="160">
        <f>InputData!$C$11</f>
        <v>0.02</v>
      </c>
      <c r="R33" s="160">
        <f>InputData!$C$12</f>
        <v>0.02</v>
      </c>
      <c r="S33" s="160">
        <f>InputData!$C$13</f>
        <v>0.9</v>
      </c>
      <c r="T33" s="116">
        <f>InputData!$C$88</f>
        <v>180000</v>
      </c>
      <c r="U33" s="116">
        <f>InputData!$C$81</f>
        <v>178500</v>
      </c>
      <c r="V33" s="116">
        <f>InputData!$C$82</f>
        <v>303960</v>
      </c>
      <c r="W33" s="116">
        <f>InputData!$C$84</f>
        <v>215220</v>
      </c>
      <c r="X33" s="116">
        <f>InputData!$C$85</f>
        <v>409020</v>
      </c>
      <c r="Y33" s="116">
        <f>InputData!$C$116</f>
        <v>140000</v>
      </c>
      <c r="Z33" s="160">
        <f>InputData!$E$13</f>
        <v>0</v>
      </c>
    </row>
    <row r="34" spans="1:26" x14ac:dyDescent="0.25">
      <c r="A34">
        <f>InputData!$K$1</f>
        <v>2013</v>
      </c>
      <c r="B34" t="str">
        <f>InputData!$G$1</f>
        <v>San Antonio, TX</v>
      </c>
      <c r="C34" t="s">
        <v>11</v>
      </c>
      <c r="D34" t="str">
        <f>Graph_IntMed!$D$6</f>
        <v>HPSP30</v>
      </c>
      <c r="E34" t="str">
        <f t="shared" si="0"/>
        <v>Internal Medicine HPSP30</v>
      </c>
      <c r="F34">
        <f>Graph_IntMed!$A9</f>
        <v>2015</v>
      </c>
      <c r="G34">
        <f>Graph_IntMed!$B9</f>
        <v>3</v>
      </c>
      <c r="H34" s="165">
        <f>Graph_IntMed!$D9</f>
        <v>94384.024082394724</v>
      </c>
      <c r="I34" s="160">
        <f>InputData!$C$3</f>
        <v>0.02</v>
      </c>
      <c r="J34" s="160">
        <f>InputData!$C$4</f>
        <v>0.01</v>
      </c>
      <c r="K34" s="160">
        <f>InputData!$C$5</f>
        <v>0.01</v>
      </c>
      <c r="L34" s="160">
        <f>InputData!$C$6</f>
        <v>6.2100000000000002E-2</v>
      </c>
      <c r="M34" s="160">
        <f>InputData!$C$7</f>
        <v>0.03</v>
      </c>
      <c r="N34" s="160">
        <f>InputData!$C$8</f>
        <v>0.02</v>
      </c>
      <c r="O34" s="160">
        <f>InputData!$C$9</f>
        <v>0.06</v>
      </c>
      <c r="P34" s="160">
        <f>InputData!$C$10</f>
        <v>0.02</v>
      </c>
      <c r="Q34" s="160">
        <f>InputData!$C$11</f>
        <v>0.02</v>
      </c>
      <c r="R34" s="160">
        <f>InputData!$C$12</f>
        <v>0.02</v>
      </c>
      <c r="S34" s="160">
        <f>InputData!$C$13</f>
        <v>0.9</v>
      </c>
      <c r="T34" s="116">
        <f>InputData!$C$88</f>
        <v>180000</v>
      </c>
      <c r="U34" s="116">
        <f>InputData!$C$81</f>
        <v>178500</v>
      </c>
      <c r="V34" s="116">
        <f>InputData!$C$82</f>
        <v>303960</v>
      </c>
      <c r="W34" s="116">
        <f>InputData!$C$84</f>
        <v>215220</v>
      </c>
      <c r="X34" s="116">
        <f>InputData!$C$85</f>
        <v>409020</v>
      </c>
      <c r="Y34" s="116">
        <f>InputData!$C$116</f>
        <v>140000</v>
      </c>
      <c r="Z34" s="160">
        <f>InputData!$E$13</f>
        <v>0</v>
      </c>
    </row>
    <row r="35" spans="1:26" x14ac:dyDescent="0.25">
      <c r="A35">
        <f>InputData!$K$1</f>
        <v>2013</v>
      </c>
      <c r="B35" t="str">
        <f>InputData!$G$1</f>
        <v>San Antonio, TX</v>
      </c>
      <c r="C35" t="s">
        <v>11</v>
      </c>
      <c r="D35" t="str">
        <f>Graph_IntMed!$D$6</f>
        <v>HPSP30</v>
      </c>
      <c r="E35" t="str">
        <f t="shared" si="0"/>
        <v>Internal Medicine HPSP30</v>
      </c>
      <c r="F35">
        <f>Graph_IntMed!$A10</f>
        <v>2016</v>
      </c>
      <c r="G35">
        <f>Graph_IntMed!$B10</f>
        <v>4</v>
      </c>
      <c r="H35" s="165">
        <f>Graph_IntMed!$D10</f>
        <v>119127.82998672797</v>
      </c>
      <c r="I35" s="160">
        <f>InputData!$C$3</f>
        <v>0.02</v>
      </c>
      <c r="J35" s="160">
        <f>InputData!$C$4</f>
        <v>0.01</v>
      </c>
      <c r="K35" s="160">
        <f>InputData!$C$5</f>
        <v>0.01</v>
      </c>
      <c r="L35" s="160">
        <f>InputData!$C$6</f>
        <v>6.2100000000000002E-2</v>
      </c>
      <c r="M35" s="160">
        <f>InputData!$C$7</f>
        <v>0.03</v>
      </c>
      <c r="N35" s="160">
        <f>InputData!$C$8</f>
        <v>0.02</v>
      </c>
      <c r="O35" s="160">
        <f>InputData!$C$9</f>
        <v>0.06</v>
      </c>
      <c r="P35" s="160">
        <f>InputData!$C$10</f>
        <v>0.02</v>
      </c>
      <c r="Q35" s="160">
        <f>InputData!$C$11</f>
        <v>0.02</v>
      </c>
      <c r="R35" s="160">
        <f>InputData!$C$12</f>
        <v>0.02</v>
      </c>
      <c r="S35" s="160">
        <f>InputData!$C$13</f>
        <v>0.9</v>
      </c>
      <c r="T35" s="116">
        <f>InputData!$C$88</f>
        <v>180000</v>
      </c>
      <c r="U35" s="116">
        <f>InputData!$C$81</f>
        <v>178500</v>
      </c>
      <c r="V35" s="116">
        <f>InputData!$C$82</f>
        <v>303960</v>
      </c>
      <c r="W35" s="116">
        <f>InputData!$C$84</f>
        <v>215220</v>
      </c>
      <c r="X35" s="116">
        <f>InputData!$C$85</f>
        <v>409020</v>
      </c>
      <c r="Y35" s="116">
        <f>InputData!$C$116</f>
        <v>140000</v>
      </c>
      <c r="Z35" s="160">
        <f>InputData!$E$13</f>
        <v>0</v>
      </c>
    </row>
    <row r="36" spans="1:26" x14ac:dyDescent="0.25">
      <c r="A36">
        <f>InputData!$K$1</f>
        <v>2013</v>
      </c>
      <c r="B36" t="str">
        <f>InputData!$G$1</f>
        <v>San Antonio, TX</v>
      </c>
      <c r="C36" t="s">
        <v>11</v>
      </c>
      <c r="D36" t="str">
        <f>Graph_IntMed!$D$6</f>
        <v>HPSP30</v>
      </c>
      <c r="E36" t="str">
        <f t="shared" si="0"/>
        <v>Internal Medicine HPSP30</v>
      </c>
      <c r="F36">
        <f>Graph_IntMed!$A11</f>
        <v>2017</v>
      </c>
      <c r="G36">
        <f>Graph_IntMed!$B11</f>
        <v>5</v>
      </c>
      <c r="H36" s="165">
        <f>Graph_IntMed!$D11</f>
        <v>169089.82248832227</v>
      </c>
      <c r="I36" s="160">
        <f>InputData!$C$3</f>
        <v>0.02</v>
      </c>
      <c r="J36" s="160">
        <f>InputData!$C$4</f>
        <v>0.01</v>
      </c>
      <c r="K36" s="160">
        <f>InputData!$C$5</f>
        <v>0.01</v>
      </c>
      <c r="L36" s="160">
        <f>InputData!$C$6</f>
        <v>6.2100000000000002E-2</v>
      </c>
      <c r="M36" s="160">
        <f>InputData!$C$7</f>
        <v>0.03</v>
      </c>
      <c r="N36" s="160">
        <f>InputData!$C$8</f>
        <v>0.02</v>
      </c>
      <c r="O36" s="160">
        <f>InputData!$C$9</f>
        <v>0.06</v>
      </c>
      <c r="P36" s="160">
        <f>InputData!$C$10</f>
        <v>0.02</v>
      </c>
      <c r="Q36" s="160">
        <f>InputData!$C$11</f>
        <v>0.02</v>
      </c>
      <c r="R36" s="160">
        <f>InputData!$C$12</f>
        <v>0.02</v>
      </c>
      <c r="S36" s="160">
        <f>InputData!$C$13</f>
        <v>0.9</v>
      </c>
      <c r="T36" s="116">
        <f>InputData!$C$88</f>
        <v>180000</v>
      </c>
      <c r="U36" s="116">
        <f>InputData!$C$81</f>
        <v>178500</v>
      </c>
      <c r="V36" s="116">
        <f>InputData!$C$82</f>
        <v>303960</v>
      </c>
      <c r="W36" s="116">
        <f>InputData!$C$84</f>
        <v>215220</v>
      </c>
      <c r="X36" s="116">
        <f>InputData!$C$85</f>
        <v>409020</v>
      </c>
      <c r="Y36" s="116">
        <f>InputData!$C$116</f>
        <v>140000</v>
      </c>
      <c r="Z36" s="160">
        <f>InputData!$E$13</f>
        <v>0</v>
      </c>
    </row>
    <row r="37" spans="1:26" x14ac:dyDescent="0.25">
      <c r="A37">
        <f>InputData!$K$1</f>
        <v>2013</v>
      </c>
      <c r="B37" t="str">
        <f>InputData!$G$1</f>
        <v>San Antonio, TX</v>
      </c>
      <c r="C37" t="s">
        <v>11</v>
      </c>
      <c r="D37" t="str">
        <f>Graph_IntMed!$D$6</f>
        <v>HPSP30</v>
      </c>
      <c r="E37" t="str">
        <f t="shared" si="0"/>
        <v>Internal Medicine HPSP30</v>
      </c>
      <c r="F37">
        <f>Graph_IntMed!$A12</f>
        <v>2018</v>
      </c>
      <c r="G37">
        <f>Graph_IntMed!$B12</f>
        <v>6</v>
      </c>
      <c r="H37" s="165">
        <f>Graph_IntMed!$D12</f>
        <v>219350.65217600405</v>
      </c>
      <c r="I37" s="160">
        <f>InputData!$C$3</f>
        <v>0.02</v>
      </c>
      <c r="J37" s="160">
        <f>InputData!$C$4</f>
        <v>0.01</v>
      </c>
      <c r="K37" s="160">
        <f>InputData!$C$5</f>
        <v>0.01</v>
      </c>
      <c r="L37" s="160">
        <f>InputData!$C$6</f>
        <v>6.2100000000000002E-2</v>
      </c>
      <c r="M37" s="160">
        <f>InputData!$C$7</f>
        <v>0.03</v>
      </c>
      <c r="N37" s="160">
        <f>InputData!$C$8</f>
        <v>0.02</v>
      </c>
      <c r="O37" s="160">
        <f>InputData!$C$9</f>
        <v>0.06</v>
      </c>
      <c r="P37" s="160">
        <f>InputData!$C$10</f>
        <v>0.02</v>
      </c>
      <c r="Q37" s="160">
        <f>InputData!$C$11</f>
        <v>0.02</v>
      </c>
      <c r="R37" s="160">
        <f>InputData!$C$12</f>
        <v>0.02</v>
      </c>
      <c r="S37" s="160">
        <f>InputData!$C$13</f>
        <v>0.9</v>
      </c>
      <c r="T37" s="116">
        <f>InputData!$C$88</f>
        <v>180000</v>
      </c>
      <c r="U37" s="116">
        <f>InputData!$C$81</f>
        <v>178500</v>
      </c>
      <c r="V37" s="116">
        <f>InputData!$C$82</f>
        <v>303960</v>
      </c>
      <c r="W37" s="116">
        <f>InputData!$C$84</f>
        <v>215220</v>
      </c>
      <c r="X37" s="116">
        <f>InputData!$C$85</f>
        <v>409020</v>
      </c>
      <c r="Y37" s="116">
        <f>InputData!$C$116</f>
        <v>140000</v>
      </c>
      <c r="Z37" s="160">
        <f>InputData!$E$13</f>
        <v>0</v>
      </c>
    </row>
    <row r="38" spans="1:26" x14ac:dyDescent="0.25">
      <c r="A38">
        <f>InputData!$K$1</f>
        <v>2013</v>
      </c>
      <c r="B38" t="str">
        <f>InputData!$G$1</f>
        <v>San Antonio, TX</v>
      </c>
      <c r="C38" t="s">
        <v>11</v>
      </c>
      <c r="D38" t="str">
        <f>Graph_IntMed!$D$6</f>
        <v>HPSP30</v>
      </c>
      <c r="E38" t="str">
        <f t="shared" si="0"/>
        <v>Internal Medicine HPSP30</v>
      </c>
      <c r="F38">
        <f>Graph_IntMed!$A13</f>
        <v>2019</v>
      </c>
      <c r="G38">
        <f>Graph_IntMed!$B13</f>
        <v>7</v>
      </c>
      <c r="H38" s="165">
        <f>Graph_IntMed!$D13</f>
        <v>270992.25439901254</v>
      </c>
      <c r="I38" s="160">
        <f>InputData!$C$3</f>
        <v>0.02</v>
      </c>
      <c r="J38" s="160">
        <f>InputData!$C$4</f>
        <v>0.01</v>
      </c>
      <c r="K38" s="160">
        <f>InputData!$C$5</f>
        <v>0.01</v>
      </c>
      <c r="L38" s="160">
        <f>InputData!$C$6</f>
        <v>6.2100000000000002E-2</v>
      </c>
      <c r="M38" s="160">
        <f>InputData!$C$7</f>
        <v>0.03</v>
      </c>
      <c r="N38" s="160">
        <f>InputData!$C$8</f>
        <v>0.02</v>
      </c>
      <c r="O38" s="160">
        <f>InputData!$C$9</f>
        <v>0.06</v>
      </c>
      <c r="P38" s="160">
        <f>InputData!$C$10</f>
        <v>0.02</v>
      </c>
      <c r="Q38" s="160">
        <f>InputData!$C$11</f>
        <v>0.02</v>
      </c>
      <c r="R38" s="160">
        <f>InputData!$C$12</f>
        <v>0.02</v>
      </c>
      <c r="S38" s="160">
        <f>InputData!$C$13</f>
        <v>0.9</v>
      </c>
      <c r="T38" s="116">
        <f>InputData!$C$88</f>
        <v>180000</v>
      </c>
      <c r="U38" s="116">
        <f>InputData!$C$81</f>
        <v>178500</v>
      </c>
      <c r="V38" s="116">
        <f>InputData!$C$82</f>
        <v>303960</v>
      </c>
      <c r="W38" s="116">
        <f>InputData!$C$84</f>
        <v>215220</v>
      </c>
      <c r="X38" s="116">
        <f>InputData!$C$85</f>
        <v>409020</v>
      </c>
      <c r="Y38" s="116">
        <f>InputData!$C$116</f>
        <v>140000</v>
      </c>
      <c r="Z38" s="160">
        <f>InputData!$E$13</f>
        <v>0</v>
      </c>
    </row>
    <row r="39" spans="1:26" x14ac:dyDescent="0.25">
      <c r="A39">
        <f>InputData!$K$1</f>
        <v>2013</v>
      </c>
      <c r="B39" t="str">
        <f>InputData!$G$1</f>
        <v>San Antonio, TX</v>
      </c>
      <c r="C39" t="s">
        <v>11</v>
      </c>
      <c r="D39" t="str">
        <f>Graph_IntMed!$D$6</f>
        <v>HPSP30</v>
      </c>
      <c r="E39" t="str">
        <f t="shared" si="0"/>
        <v>Internal Medicine HPSP30</v>
      </c>
      <c r="F39">
        <f>Graph_IntMed!$A14</f>
        <v>2020</v>
      </c>
      <c r="G39">
        <f>Graph_IntMed!$B14</f>
        <v>8</v>
      </c>
      <c r="H39" s="165">
        <f>Graph_IntMed!$D14</f>
        <v>331751.25271802075</v>
      </c>
      <c r="I39" s="160">
        <f>InputData!$C$3</f>
        <v>0.02</v>
      </c>
      <c r="J39" s="160">
        <f>InputData!$C$4</f>
        <v>0.01</v>
      </c>
      <c r="K39" s="160">
        <f>InputData!$C$5</f>
        <v>0.01</v>
      </c>
      <c r="L39" s="160">
        <f>InputData!$C$6</f>
        <v>6.2100000000000002E-2</v>
      </c>
      <c r="M39" s="160">
        <f>InputData!$C$7</f>
        <v>0.03</v>
      </c>
      <c r="N39" s="160">
        <f>InputData!$C$8</f>
        <v>0.02</v>
      </c>
      <c r="O39" s="160">
        <f>InputData!$C$9</f>
        <v>0.06</v>
      </c>
      <c r="P39" s="160">
        <f>InputData!$C$10</f>
        <v>0.02</v>
      </c>
      <c r="Q39" s="160">
        <f>InputData!$C$11</f>
        <v>0.02</v>
      </c>
      <c r="R39" s="160">
        <f>InputData!$C$12</f>
        <v>0.02</v>
      </c>
      <c r="S39" s="160">
        <f>InputData!$C$13</f>
        <v>0.9</v>
      </c>
      <c r="T39" s="116">
        <f>InputData!$C$88</f>
        <v>180000</v>
      </c>
      <c r="U39" s="116">
        <f>InputData!$C$81</f>
        <v>178500</v>
      </c>
      <c r="V39" s="116">
        <f>InputData!$C$82</f>
        <v>303960</v>
      </c>
      <c r="W39" s="116">
        <f>InputData!$C$84</f>
        <v>215220</v>
      </c>
      <c r="X39" s="116">
        <f>InputData!$C$85</f>
        <v>409020</v>
      </c>
      <c r="Y39" s="116">
        <f>InputData!$C$116</f>
        <v>140000</v>
      </c>
      <c r="Z39" s="160">
        <f>InputData!$E$13</f>
        <v>0</v>
      </c>
    </row>
    <row r="40" spans="1:26" x14ac:dyDescent="0.25">
      <c r="A40">
        <f>InputData!$K$1</f>
        <v>2013</v>
      </c>
      <c r="B40" t="str">
        <f>InputData!$G$1</f>
        <v>San Antonio, TX</v>
      </c>
      <c r="C40" t="s">
        <v>11</v>
      </c>
      <c r="D40" t="str">
        <f>Graph_IntMed!$D$6</f>
        <v>HPSP30</v>
      </c>
      <c r="E40" t="str">
        <f t="shared" si="0"/>
        <v>Internal Medicine HPSP30</v>
      </c>
      <c r="F40">
        <f>Graph_IntMed!$A15</f>
        <v>2021</v>
      </c>
      <c r="G40">
        <f>Graph_IntMed!$B15</f>
        <v>9</v>
      </c>
      <c r="H40" s="165">
        <f>Graph_IntMed!$D15</f>
        <v>392710.83821131039</v>
      </c>
      <c r="I40" s="160">
        <f>InputData!$C$3</f>
        <v>0.02</v>
      </c>
      <c r="J40" s="160">
        <f>InputData!$C$4</f>
        <v>0.01</v>
      </c>
      <c r="K40" s="160">
        <f>InputData!$C$5</f>
        <v>0.01</v>
      </c>
      <c r="L40" s="160">
        <f>InputData!$C$6</f>
        <v>6.2100000000000002E-2</v>
      </c>
      <c r="M40" s="160">
        <f>InputData!$C$7</f>
        <v>0.03</v>
      </c>
      <c r="N40" s="160">
        <f>InputData!$C$8</f>
        <v>0.02</v>
      </c>
      <c r="O40" s="160">
        <f>InputData!$C$9</f>
        <v>0.06</v>
      </c>
      <c r="P40" s="160">
        <f>InputData!$C$10</f>
        <v>0.02</v>
      </c>
      <c r="Q40" s="160">
        <f>InputData!$C$11</f>
        <v>0.02</v>
      </c>
      <c r="R40" s="160">
        <f>InputData!$C$12</f>
        <v>0.02</v>
      </c>
      <c r="S40" s="160">
        <f>InputData!$C$13</f>
        <v>0.9</v>
      </c>
      <c r="T40" s="116">
        <f>InputData!$C$88</f>
        <v>180000</v>
      </c>
      <c r="U40" s="116">
        <f>InputData!$C$81</f>
        <v>178500</v>
      </c>
      <c r="V40" s="116">
        <f>InputData!$C$82</f>
        <v>303960</v>
      </c>
      <c r="W40" s="116">
        <f>InputData!$C$84</f>
        <v>215220</v>
      </c>
      <c r="X40" s="116">
        <f>InputData!$C$85</f>
        <v>409020</v>
      </c>
      <c r="Y40" s="116">
        <f>InputData!$C$116</f>
        <v>140000</v>
      </c>
      <c r="Z40" s="160">
        <f>InputData!$E$13</f>
        <v>0</v>
      </c>
    </row>
    <row r="41" spans="1:26" x14ac:dyDescent="0.25">
      <c r="A41">
        <f>InputData!$K$1</f>
        <v>2013</v>
      </c>
      <c r="B41" t="str">
        <f>InputData!$G$1</f>
        <v>San Antonio, TX</v>
      </c>
      <c r="C41" t="s">
        <v>11</v>
      </c>
      <c r="D41" t="str">
        <f>Graph_IntMed!$D$6</f>
        <v>HPSP30</v>
      </c>
      <c r="E41" t="str">
        <f t="shared" si="0"/>
        <v>Internal Medicine HPSP30</v>
      </c>
      <c r="F41">
        <f>Graph_IntMed!$A16</f>
        <v>2022</v>
      </c>
      <c r="G41">
        <f>Graph_IntMed!$B16</f>
        <v>10</v>
      </c>
      <c r="H41" s="165">
        <f>Graph_IntMed!$D16</f>
        <v>451364.04152611369</v>
      </c>
      <c r="I41" s="160">
        <f>InputData!$C$3</f>
        <v>0.02</v>
      </c>
      <c r="J41" s="160">
        <f>InputData!$C$4</f>
        <v>0.01</v>
      </c>
      <c r="K41" s="160">
        <f>InputData!$C$5</f>
        <v>0.01</v>
      </c>
      <c r="L41" s="160">
        <f>InputData!$C$6</f>
        <v>6.2100000000000002E-2</v>
      </c>
      <c r="M41" s="160">
        <f>InputData!$C$7</f>
        <v>0.03</v>
      </c>
      <c r="N41" s="160">
        <f>InputData!$C$8</f>
        <v>0.02</v>
      </c>
      <c r="O41" s="160">
        <f>InputData!$C$9</f>
        <v>0.06</v>
      </c>
      <c r="P41" s="160">
        <f>InputData!$C$10</f>
        <v>0.02</v>
      </c>
      <c r="Q41" s="160">
        <f>InputData!$C$11</f>
        <v>0.02</v>
      </c>
      <c r="R41" s="160">
        <f>InputData!$C$12</f>
        <v>0.02</v>
      </c>
      <c r="S41" s="160">
        <f>InputData!$C$13</f>
        <v>0.9</v>
      </c>
      <c r="T41" s="116">
        <f>InputData!$C$88</f>
        <v>180000</v>
      </c>
      <c r="U41" s="116">
        <f>InputData!$C$81</f>
        <v>178500</v>
      </c>
      <c r="V41" s="116">
        <f>InputData!$C$82</f>
        <v>303960</v>
      </c>
      <c r="W41" s="116">
        <f>InputData!$C$84</f>
        <v>215220</v>
      </c>
      <c r="X41" s="116">
        <f>InputData!$C$85</f>
        <v>409020</v>
      </c>
      <c r="Y41" s="116">
        <f>InputData!$C$116</f>
        <v>140000</v>
      </c>
      <c r="Z41" s="160">
        <f>InputData!$E$13</f>
        <v>0</v>
      </c>
    </row>
    <row r="42" spans="1:26" x14ac:dyDescent="0.25">
      <c r="A42">
        <f>InputData!$K$1</f>
        <v>2013</v>
      </c>
      <c r="B42" t="str">
        <f>InputData!$G$1</f>
        <v>San Antonio, TX</v>
      </c>
      <c r="C42" t="s">
        <v>11</v>
      </c>
      <c r="D42" t="str">
        <f>Graph_IntMed!$D$6</f>
        <v>HPSP30</v>
      </c>
      <c r="E42" t="str">
        <f t="shared" si="0"/>
        <v>Internal Medicine HPSP30</v>
      </c>
      <c r="F42">
        <f>Graph_IntMed!$A17</f>
        <v>2023</v>
      </c>
      <c r="G42">
        <f>Graph_IntMed!$B17</f>
        <v>11</v>
      </c>
      <c r="H42" s="165">
        <f>Graph_IntMed!$D17</f>
        <v>515049.83755320142</v>
      </c>
      <c r="I42" s="160">
        <f>InputData!$C$3</f>
        <v>0.02</v>
      </c>
      <c r="J42" s="160">
        <f>InputData!$C$4</f>
        <v>0.01</v>
      </c>
      <c r="K42" s="160">
        <f>InputData!$C$5</f>
        <v>0.01</v>
      </c>
      <c r="L42" s="160">
        <f>InputData!$C$6</f>
        <v>6.2100000000000002E-2</v>
      </c>
      <c r="M42" s="160">
        <f>InputData!$C$7</f>
        <v>0.03</v>
      </c>
      <c r="N42" s="160">
        <f>InputData!$C$8</f>
        <v>0.02</v>
      </c>
      <c r="O42" s="160">
        <f>InputData!$C$9</f>
        <v>0.06</v>
      </c>
      <c r="P42" s="160">
        <f>InputData!$C$10</f>
        <v>0.02</v>
      </c>
      <c r="Q42" s="160">
        <f>InputData!$C$11</f>
        <v>0.02</v>
      </c>
      <c r="R42" s="160">
        <f>InputData!$C$12</f>
        <v>0.02</v>
      </c>
      <c r="S42" s="160">
        <f>InputData!$C$13</f>
        <v>0.9</v>
      </c>
      <c r="T42" s="116">
        <f>InputData!$C$88</f>
        <v>180000</v>
      </c>
      <c r="U42" s="116">
        <f>InputData!$C$81</f>
        <v>178500</v>
      </c>
      <c r="V42" s="116">
        <f>InputData!$C$82</f>
        <v>303960</v>
      </c>
      <c r="W42" s="116">
        <f>InputData!$C$84</f>
        <v>215220</v>
      </c>
      <c r="X42" s="116">
        <f>InputData!$C$85</f>
        <v>409020</v>
      </c>
      <c r="Y42" s="116">
        <f>InputData!$C$116</f>
        <v>140000</v>
      </c>
      <c r="Z42" s="160">
        <f>InputData!$E$13</f>
        <v>0</v>
      </c>
    </row>
    <row r="43" spans="1:26" x14ac:dyDescent="0.25">
      <c r="A43">
        <f>InputData!$K$1</f>
        <v>2013</v>
      </c>
      <c r="B43" t="str">
        <f>InputData!$G$1</f>
        <v>San Antonio, TX</v>
      </c>
      <c r="C43" t="s">
        <v>11</v>
      </c>
      <c r="D43" t="str">
        <f>Graph_IntMed!$D$6</f>
        <v>HPSP30</v>
      </c>
      <c r="E43" t="str">
        <f t="shared" si="0"/>
        <v>Internal Medicine HPSP30</v>
      </c>
      <c r="F43">
        <f>Graph_IntMed!$A18</f>
        <v>2024</v>
      </c>
      <c r="G43">
        <f>Graph_IntMed!$B18</f>
        <v>12</v>
      </c>
      <c r="H43" s="165">
        <f>Graph_IntMed!$D18</f>
        <v>600551.07119948231</v>
      </c>
      <c r="I43" s="160">
        <f>InputData!$C$3</f>
        <v>0.02</v>
      </c>
      <c r="J43" s="160">
        <f>InputData!$C$4</f>
        <v>0.01</v>
      </c>
      <c r="K43" s="160">
        <f>InputData!$C$5</f>
        <v>0.01</v>
      </c>
      <c r="L43" s="160">
        <f>InputData!$C$6</f>
        <v>6.2100000000000002E-2</v>
      </c>
      <c r="M43" s="160">
        <f>InputData!$C$7</f>
        <v>0.03</v>
      </c>
      <c r="N43" s="160">
        <f>InputData!$C$8</f>
        <v>0.02</v>
      </c>
      <c r="O43" s="160">
        <f>InputData!$C$9</f>
        <v>0.06</v>
      </c>
      <c r="P43" s="160">
        <f>InputData!$C$10</f>
        <v>0.02</v>
      </c>
      <c r="Q43" s="160">
        <f>InputData!$C$11</f>
        <v>0.02</v>
      </c>
      <c r="R43" s="160">
        <f>InputData!$C$12</f>
        <v>0.02</v>
      </c>
      <c r="S43" s="160">
        <f>InputData!$C$13</f>
        <v>0.9</v>
      </c>
      <c r="T43" s="116">
        <f>InputData!$C$88</f>
        <v>180000</v>
      </c>
      <c r="U43" s="116">
        <f>InputData!$C$81</f>
        <v>178500</v>
      </c>
      <c r="V43" s="116">
        <f>InputData!$C$82</f>
        <v>303960</v>
      </c>
      <c r="W43" s="116">
        <f>InputData!$C$84</f>
        <v>215220</v>
      </c>
      <c r="X43" s="116">
        <f>InputData!$C$85</f>
        <v>409020</v>
      </c>
      <c r="Y43" s="116">
        <f>InputData!$C$116</f>
        <v>140000</v>
      </c>
      <c r="Z43" s="160">
        <f>InputData!$E$13</f>
        <v>0</v>
      </c>
    </row>
    <row r="44" spans="1:26" x14ac:dyDescent="0.25">
      <c r="A44">
        <f>InputData!$K$1</f>
        <v>2013</v>
      </c>
      <c r="B44" t="str">
        <f>InputData!$G$1</f>
        <v>San Antonio, TX</v>
      </c>
      <c r="C44" t="s">
        <v>11</v>
      </c>
      <c r="D44" t="str">
        <f>Graph_IntMed!$D$6</f>
        <v>HPSP30</v>
      </c>
      <c r="E44" t="str">
        <f t="shared" si="0"/>
        <v>Internal Medicine HPSP30</v>
      </c>
      <c r="F44">
        <f>Graph_IntMed!$A19</f>
        <v>2025</v>
      </c>
      <c r="G44">
        <f>Graph_IntMed!$B19</f>
        <v>13</v>
      </c>
      <c r="H44" s="165">
        <f>Graph_IntMed!$D19</f>
        <v>684313.1123290431</v>
      </c>
      <c r="I44" s="160">
        <f>InputData!$C$3</f>
        <v>0.02</v>
      </c>
      <c r="J44" s="160">
        <f>InputData!$C$4</f>
        <v>0.01</v>
      </c>
      <c r="K44" s="160">
        <f>InputData!$C$5</f>
        <v>0.01</v>
      </c>
      <c r="L44" s="160">
        <f>InputData!$C$6</f>
        <v>6.2100000000000002E-2</v>
      </c>
      <c r="M44" s="160">
        <f>InputData!$C$7</f>
        <v>0.03</v>
      </c>
      <c r="N44" s="160">
        <f>InputData!$C$8</f>
        <v>0.02</v>
      </c>
      <c r="O44" s="160">
        <f>InputData!$C$9</f>
        <v>0.06</v>
      </c>
      <c r="P44" s="160">
        <f>InputData!$C$10</f>
        <v>0.02</v>
      </c>
      <c r="Q44" s="160">
        <f>InputData!$C$11</f>
        <v>0.02</v>
      </c>
      <c r="R44" s="160">
        <f>InputData!$C$12</f>
        <v>0.02</v>
      </c>
      <c r="S44" s="160">
        <f>InputData!$C$13</f>
        <v>0.9</v>
      </c>
      <c r="T44" s="116">
        <f>InputData!$C$88</f>
        <v>180000</v>
      </c>
      <c r="U44" s="116">
        <f>InputData!$C$81</f>
        <v>178500</v>
      </c>
      <c r="V44" s="116">
        <f>InputData!$C$82</f>
        <v>303960</v>
      </c>
      <c r="W44" s="116">
        <f>InputData!$C$84</f>
        <v>215220</v>
      </c>
      <c r="X44" s="116">
        <f>InputData!$C$85</f>
        <v>409020</v>
      </c>
      <c r="Y44" s="116">
        <f>InputData!$C$116</f>
        <v>140000</v>
      </c>
      <c r="Z44" s="160">
        <f>InputData!$E$13</f>
        <v>0</v>
      </c>
    </row>
    <row r="45" spans="1:26" x14ac:dyDescent="0.25">
      <c r="A45">
        <f>InputData!$K$1</f>
        <v>2013</v>
      </c>
      <c r="B45" t="str">
        <f>InputData!$G$1</f>
        <v>San Antonio, TX</v>
      </c>
      <c r="C45" t="s">
        <v>11</v>
      </c>
      <c r="D45" t="str">
        <f>Graph_IntMed!$D$6</f>
        <v>HPSP30</v>
      </c>
      <c r="E45" t="str">
        <f t="shared" si="0"/>
        <v>Internal Medicine HPSP30</v>
      </c>
      <c r="F45">
        <f>Graph_IntMed!$A20</f>
        <v>2026</v>
      </c>
      <c r="G45">
        <f>Graph_IntMed!$B20</f>
        <v>14</v>
      </c>
      <c r="H45" s="165">
        <f>Graph_IntMed!$D20</f>
        <v>764854.60947290598</v>
      </c>
      <c r="I45" s="160">
        <f>InputData!$C$3</f>
        <v>0.02</v>
      </c>
      <c r="J45" s="160">
        <f>InputData!$C$4</f>
        <v>0.01</v>
      </c>
      <c r="K45" s="160">
        <f>InputData!$C$5</f>
        <v>0.01</v>
      </c>
      <c r="L45" s="160">
        <f>InputData!$C$6</f>
        <v>6.2100000000000002E-2</v>
      </c>
      <c r="M45" s="160">
        <f>InputData!$C$7</f>
        <v>0.03</v>
      </c>
      <c r="N45" s="160">
        <f>InputData!$C$8</f>
        <v>0.02</v>
      </c>
      <c r="O45" s="160">
        <f>InputData!$C$9</f>
        <v>0.06</v>
      </c>
      <c r="P45" s="160">
        <f>InputData!$C$10</f>
        <v>0.02</v>
      </c>
      <c r="Q45" s="160">
        <f>InputData!$C$11</f>
        <v>0.02</v>
      </c>
      <c r="R45" s="160">
        <f>InputData!$C$12</f>
        <v>0.02</v>
      </c>
      <c r="S45" s="160">
        <f>InputData!$C$13</f>
        <v>0.9</v>
      </c>
      <c r="T45" s="116">
        <f>InputData!$C$88</f>
        <v>180000</v>
      </c>
      <c r="U45" s="116">
        <f>InputData!$C$81</f>
        <v>178500</v>
      </c>
      <c r="V45" s="116">
        <f>InputData!$C$82</f>
        <v>303960</v>
      </c>
      <c r="W45" s="116">
        <f>InputData!$C$84</f>
        <v>215220</v>
      </c>
      <c r="X45" s="116">
        <f>InputData!$C$85</f>
        <v>409020</v>
      </c>
      <c r="Y45" s="116">
        <f>InputData!$C$116</f>
        <v>140000</v>
      </c>
      <c r="Z45" s="160">
        <f>InputData!$E$13</f>
        <v>0</v>
      </c>
    </row>
    <row r="46" spans="1:26" x14ac:dyDescent="0.25">
      <c r="A46">
        <f>InputData!$K$1</f>
        <v>2013</v>
      </c>
      <c r="B46" t="str">
        <f>InputData!$G$1</f>
        <v>San Antonio, TX</v>
      </c>
      <c r="C46" t="s">
        <v>11</v>
      </c>
      <c r="D46" t="str">
        <f>Graph_IntMed!$D$6</f>
        <v>HPSP30</v>
      </c>
      <c r="E46" t="str">
        <f t="shared" si="0"/>
        <v>Internal Medicine HPSP30</v>
      </c>
      <c r="F46">
        <f>Graph_IntMed!$A21</f>
        <v>2027</v>
      </c>
      <c r="G46">
        <f>Graph_IntMed!$B21</f>
        <v>15</v>
      </c>
      <c r="H46" s="165">
        <f>Graph_IntMed!$D21</f>
        <v>844540.30564271368</v>
      </c>
      <c r="I46" s="160">
        <f>InputData!$C$3</f>
        <v>0.02</v>
      </c>
      <c r="J46" s="160">
        <f>InputData!$C$4</f>
        <v>0.01</v>
      </c>
      <c r="K46" s="160">
        <f>InputData!$C$5</f>
        <v>0.01</v>
      </c>
      <c r="L46" s="160">
        <f>InputData!$C$6</f>
        <v>6.2100000000000002E-2</v>
      </c>
      <c r="M46" s="160">
        <f>InputData!$C$7</f>
        <v>0.03</v>
      </c>
      <c r="N46" s="160">
        <f>InputData!$C$8</f>
        <v>0.02</v>
      </c>
      <c r="O46" s="160">
        <f>InputData!$C$9</f>
        <v>0.06</v>
      </c>
      <c r="P46" s="160">
        <f>InputData!$C$10</f>
        <v>0.02</v>
      </c>
      <c r="Q46" s="160">
        <f>InputData!$C$11</f>
        <v>0.02</v>
      </c>
      <c r="R46" s="160">
        <f>InputData!$C$12</f>
        <v>0.02</v>
      </c>
      <c r="S46" s="160">
        <f>InputData!$C$13</f>
        <v>0.9</v>
      </c>
      <c r="T46" s="116">
        <f>InputData!$C$88</f>
        <v>180000</v>
      </c>
      <c r="U46" s="116">
        <f>InputData!$C$81</f>
        <v>178500</v>
      </c>
      <c r="V46" s="116">
        <f>InputData!$C$82</f>
        <v>303960</v>
      </c>
      <c r="W46" s="116">
        <f>InputData!$C$84</f>
        <v>215220</v>
      </c>
      <c r="X46" s="116">
        <f>InputData!$C$85</f>
        <v>409020</v>
      </c>
      <c r="Y46" s="116">
        <f>InputData!$C$116</f>
        <v>140000</v>
      </c>
      <c r="Z46" s="160">
        <f>InputData!$E$13</f>
        <v>0</v>
      </c>
    </row>
    <row r="47" spans="1:26" x14ac:dyDescent="0.25">
      <c r="A47">
        <f>InputData!$K$1</f>
        <v>2013</v>
      </c>
      <c r="B47" t="str">
        <f>InputData!$G$1</f>
        <v>San Antonio, TX</v>
      </c>
      <c r="C47" t="s">
        <v>11</v>
      </c>
      <c r="D47" t="str">
        <f>Graph_IntMed!$D$6</f>
        <v>HPSP30</v>
      </c>
      <c r="E47" t="str">
        <f t="shared" si="0"/>
        <v>Internal Medicine HPSP30</v>
      </c>
      <c r="F47">
        <f>Graph_IntMed!$A22</f>
        <v>2028</v>
      </c>
      <c r="G47">
        <f>Graph_IntMed!$B22</f>
        <v>16</v>
      </c>
      <c r="H47" s="165">
        <f>Graph_IntMed!$D22</f>
        <v>921162.04475360946</v>
      </c>
      <c r="I47" s="160">
        <f>InputData!$C$3</f>
        <v>0.02</v>
      </c>
      <c r="J47" s="160">
        <f>InputData!$C$4</f>
        <v>0.01</v>
      </c>
      <c r="K47" s="160">
        <f>InputData!$C$5</f>
        <v>0.01</v>
      </c>
      <c r="L47" s="160">
        <f>InputData!$C$6</f>
        <v>6.2100000000000002E-2</v>
      </c>
      <c r="M47" s="160">
        <f>InputData!$C$7</f>
        <v>0.03</v>
      </c>
      <c r="N47" s="160">
        <f>InputData!$C$8</f>
        <v>0.02</v>
      </c>
      <c r="O47" s="160">
        <f>InputData!$C$9</f>
        <v>0.06</v>
      </c>
      <c r="P47" s="160">
        <f>InputData!$C$10</f>
        <v>0.02</v>
      </c>
      <c r="Q47" s="160">
        <f>InputData!$C$11</f>
        <v>0.02</v>
      </c>
      <c r="R47" s="160">
        <f>InputData!$C$12</f>
        <v>0.02</v>
      </c>
      <c r="S47" s="160">
        <f>InputData!$C$13</f>
        <v>0.9</v>
      </c>
      <c r="T47" s="116">
        <f>InputData!$C$88</f>
        <v>180000</v>
      </c>
      <c r="U47" s="116">
        <f>InputData!$C$81</f>
        <v>178500</v>
      </c>
      <c r="V47" s="116">
        <f>InputData!$C$82</f>
        <v>303960</v>
      </c>
      <c r="W47" s="116">
        <f>InputData!$C$84</f>
        <v>215220</v>
      </c>
      <c r="X47" s="116">
        <f>InputData!$C$85</f>
        <v>409020</v>
      </c>
      <c r="Y47" s="116">
        <f>InputData!$C$116</f>
        <v>140000</v>
      </c>
      <c r="Z47" s="160">
        <f>InputData!$E$13</f>
        <v>0</v>
      </c>
    </row>
    <row r="48" spans="1:26" x14ac:dyDescent="0.25">
      <c r="A48">
        <f>InputData!$K$1</f>
        <v>2013</v>
      </c>
      <c r="B48" t="str">
        <f>InputData!$G$1</f>
        <v>San Antonio, TX</v>
      </c>
      <c r="C48" t="s">
        <v>11</v>
      </c>
      <c r="D48" t="str">
        <f>Graph_IntMed!$D$6</f>
        <v>HPSP30</v>
      </c>
      <c r="E48" t="str">
        <f t="shared" si="0"/>
        <v>Internal Medicine HPSP30</v>
      </c>
      <c r="F48">
        <f>Graph_IntMed!$A23</f>
        <v>2029</v>
      </c>
      <c r="G48">
        <f>Graph_IntMed!$B23</f>
        <v>17</v>
      </c>
      <c r="H48" s="165">
        <f>Graph_IntMed!$D23</f>
        <v>997503.55330558703</v>
      </c>
      <c r="I48" s="160">
        <f>InputData!$C$3</f>
        <v>0.02</v>
      </c>
      <c r="J48" s="160">
        <f>InputData!$C$4</f>
        <v>0.01</v>
      </c>
      <c r="K48" s="160">
        <f>InputData!$C$5</f>
        <v>0.01</v>
      </c>
      <c r="L48" s="160">
        <f>InputData!$C$6</f>
        <v>6.2100000000000002E-2</v>
      </c>
      <c r="M48" s="160">
        <f>InputData!$C$7</f>
        <v>0.03</v>
      </c>
      <c r="N48" s="160">
        <f>InputData!$C$8</f>
        <v>0.02</v>
      </c>
      <c r="O48" s="160">
        <f>InputData!$C$9</f>
        <v>0.06</v>
      </c>
      <c r="P48" s="160">
        <f>InputData!$C$10</f>
        <v>0.02</v>
      </c>
      <c r="Q48" s="160">
        <f>InputData!$C$11</f>
        <v>0.02</v>
      </c>
      <c r="R48" s="160">
        <f>InputData!$C$12</f>
        <v>0.02</v>
      </c>
      <c r="S48" s="160">
        <f>InputData!$C$13</f>
        <v>0.9</v>
      </c>
      <c r="T48" s="116">
        <f>InputData!$C$88</f>
        <v>180000</v>
      </c>
      <c r="U48" s="116">
        <f>InputData!$C$81</f>
        <v>178500</v>
      </c>
      <c r="V48" s="116">
        <f>InputData!$C$82</f>
        <v>303960</v>
      </c>
      <c r="W48" s="116">
        <f>InputData!$C$84</f>
        <v>215220</v>
      </c>
      <c r="X48" s="116">
        <f>InputData!$C$85</f>
        <v>409020</v>
      </c>
      <c r="Y48" s="116">
        <f>InputData!$C$116</f>
        <v>140000</v>
      </c>
      <c r="Z48" s="160">
        <f>InputData!$E$13</f>
        <v>0</v>
      </c>
    </row>
    <row r="49" spans="1:26" x14ac:dyDescent="0.25">
      <c r="A49">
        <f>InputData!$K$1</f>
        <v>2013</v>
      </c>
      <c r="B49" t="str">
        <f>InputData!$G$1</f>
        <v>San Antonio, TX</v>
      </c>
      <c r="C49" t="s">
        <v>11</v>
      </c>
      <c r="D49" t="str">
        <f>Graph_IntMed!$D$6</f>
        <v>HPSP30</v>
      </c>
      <c r="E49" t="str">
        <f t="shared" si="0"/>
        <v>Internal Medicine HPSP30</v>
      </c>
      <c r="F49">
        <f>Graph_IntMed!$A24</f>
        <v>2030</v>
      </c>
      <c r="G49">
        <f>Graph_IntMed!$B24</f>
        <v>18</v>
      </c>
      <c r="H49" s="165">
        <f>Graph_IntMed!$D24</f>
        <v>1070909.4518685779</v>
      </c>
      <c r="I49" s="160">
        <f>InputData!$C$3</f>
        <v>0.02</v>
      </c>
      <c r="J49" s="160">
        <f>InputData!$C$4</f>
        <v>0.01</v>
      </c>
      <c r="K49" s="160">
        <f>InputData!$C$5</f>
        <v>0.01</v>
      </c>
      <c r="L49" s="160">
        <f>InputData!$C$6</f>
        <v>6.2100000000000002E-2</v>
      </c>
      <c r="M49" s="160">
        <f>InputData!$C$7</f>
        <v>0.03</v>
      </c>
      <c r="N49" s="160">
        <f>InputData!$C$8</f>
        <v>0.02</v>
      </c>
      <c r="O49" s="160">
        <f>InputData!$C$9</f>
        <v>0.06</v>
      </c>
      <c r="P49" s="160">
        <f>InputData!$C$10</f>
        <v>0.02</v>
      </c>
      <c r="Q49" s="160">
        <f>InputData!$C$11</f>
        <v>0.02</v>
      </c>
      <c r="R49" s="160">
        <f>InputData!$C$12</f>
        <v>0.02</v>
      </c>
      <c r="S49" s="160">
        <f>InputData!$C$13</f>
        <v>0.9</v>
      </c>
      <c r="T49" s="116">
        <f>InputData!$C$88</f>
        <v>180000</v>
      </c>
      <c r="U49" s="116">
        <f>InputData!$C$81</f>
        <v>178500</v>
      </c>
      <c r="V49" s="116">
        <f>InputData!$C$82</f>
        <v>303960</v>
      </c>
      <c r="W49" s="116">
        <f>InputData!$C$84</f>
        <v>215220</v>
      </c>
      <c r="X49" s="116">
        <f>InputData!$C$85</f>
        <v>409020</v>
      </c>
      <c r="Y49" s="116">
        <f>InputData!$C$116</f>
        <v>140000</v>
      </c>
      <c r="Z49" s="160">
        <f>InputData!$E$13</f>
        <v>0</v>
      </c>
    </row>
    <row r="50" spans="1:26" x14ac:dyDescent="0.25">
      <c r="A50">
        <f>InputData!$K$1</f>
        <v>2013</v>
      </c>
      <c r="B50" t="str">
        <f>InputData!$G$1</f>
        <v>San Antonio, TX</v>
      </c>
      <c r="C50" t="s">
        <v>11</v>
      </c>
      <c r="D50" t="str">
        <f>Graph_IntMed!$D$6</f>
        <v>HPSP30</v>
      </c>
      <c r="E50" t="str">
        <f t="shared" si="0"/>
        <v>Internal Medicine HPSP30</v>
      </c>
      <c r="F50">
        <f>Graph_IntMed!$A25</f>
        <v>2031</v>
      </c>
      <c r="G50">
        <f>Graph_IntMed!$B25</f>
        <v>19</v>
      </c>
      <c r="H50" s="165">
        <f>Graph_IntMed!$D25</f>
        <v>1142770.9258096323</v>
      </c>
      <c r="I50" s="160">
        <f>InputData!$C$3</f>
        <v>0.02</v>
      </c>
      <c r="J50" s="160">
        <f>InputData!$C$4</f>
        <v>0.01</v>
      </c>
      <c r="K50" s="160">
        <f>InputData!$C$5</f>
        <v>0.01</v>
      </c>
      <c r="L50" s="160">
        <f>InputData!$C$6</f>
        <v>6.2100000000000002E-2</v>
      </c>
      <c r="M50" s="160">
        <f>InputData!$C$7</f>
        <v>0.03</v>
      </c>
      <c r="N50" s="160">
        <f>InputData!$C$8</f>
        <v>0.02</v>
      </c>
      <c r="O50" s="160">
        <f>InputData!$C$9</f>
        <v>0.06</v>
      </c>
      <c r="P50" s="160">
        <f>InputData!$C$10</f>
        <v>0.02</v>
      </c>
      <c r="Q50" s="160">
        <f>InputData!$C$11</f>
        <v>0.02</v>
      </c>
      <c r="R50" s="160">
        <f>InputData!$C$12</f>
        <v>0.02</v>
      </c>
      <c r="S50" s="160">
        <f>InputData!$C$13</f>
        <v>0.9</v>
      </c>
      <c r="T50" s="116">
        <f>InputData!$C$88</f>
        <v>180000</v>
      </c>
      <c r="U50" s="116">
        <f>InputData!$C$81</f>
        <v>178500</v>
      </c>
      <c r="V50" s="116">
        <f>InputData!$C$82</f>
        <v>303960</v>
      </c>
      <c r="W50" s="116">
        <f>InputData!$C$84</f>
        <v>215220</v>
      </c>
      <c r="X50" s="116">
        <f>InputData!$C$85</f>
        <v>409020</v>
      </c>
      <c r="Y50" s="116">
        <f>InputData!$C$116</f>
        <v>140000</v>
      </c>
      <c r="Z50" s="160">
        <f>InputData!$E$13</f>
        <v>0</v>
      </c>
    </row>
    <row r="51" spans="1:26" x14ac:dyDescent="0.25">
      <c r="A51">
        <f>InputData!$K$1</f>
        <v>2013</v>
      </c>
      <c r="B51" t="str">
        <f>InputData!$G$1</f>
        <v>San Antonio, TX</v>
      </c>
      <c r="C51" t="s">
        <v>11</v>
      </c>
      <c r="D51" t="str">
        <f>Graph_IntMed!$D$6</f>
        <v>HPSP30</v>
      </c>
      <c r="E51" t="str">
        <f t="shared" si="0"/>
        <v>Internal Medicine HPSP30</v>
      </c>
      <c r="F51">
        <f>Graph_IntMed!$A26</f>
        <v>2032</v>
      </c>
      <c r="G51">
        <f>Graph_IntMed!$B26</f>
        <v>20</v>
      </c>
      <c r="H51" s="165">
        <f>Graph_IntMed!$D26</f>
        <v>1211869.0821220777</v>
      </c>
      <c r="I51" s="160">
        <f>InputData!$C$3</f>
        <v>0.02</v>
      </c>
      <c r="J51" s="160">
        <f>InputData!$C$4</f>
        <v>0.01</v>
      </c>
      <c r="K51" s="160">
        <f>InputData!$C$5</f>
        <v>0.01</v>
      </c>
      <c r="L51" s="160">
        <f>InputData!$C$6</f>
        <v>6.2100000000000002E-2</v>
      </c>
      <c r="M51" s="160">
        <f>InputData!$C$7</f>
        <v>0.03</v>
      </c>
      <c r="N51" s="160">
        <f>InputData!$C$8</f>
        <v>0.02</v>
      </c>
      <c r="O51" s="160">
        <f>InputData!$C$9</f>
        <v>0.06</v>
      </c>
      <c r="P51" s="160">
        <f>InputData!$C$10</f>
        <v>0.02</v>
      </c>
      <c r="Q51" s="160">
        <f>InputData!$C$11</f>
        <v>0.02</v>
      </c>
      <c r="R51" s="160">
        <f>InputData!$C$12</f>
        <v>0.02</v>
      </c>
      <c r="S51" s="160">
        <f>InputData!$C$13</f>
        <v>0.9</v>
      </c>
      <c r="T51" s="116">
        <f>InputData!$C$88</f>
        <v>180000</v>
      </c>
      <c r="U51" s="116">
        <f>InputData!$C$81</f>
        <v>178500</v>
      </c>
      <c r="V51" s="116">
        <f>InputData!$C$82</f>
        <v>303960</v>
      </c>
      <c r="W51" s="116">
        <f>InputData!$C$84</f>
        <v>215220</v>
      </c>
      <c r="X51" s="116">
        <f>InputData!$C$85</f>
        <v>409020</v>
      </c>
      <c r="Y51" s="116">
        <f>InputData!$C$116</f>
        <v>140000</v>
      </c>
      <c r="Z51" s="160">
        <f>InputData!$E$13</f>
        <v>0</v>
      </c>
    </row>
    <row r="52" spans="1:26" x14ac:dyDescent="0.25">
      <c r="A52">
        <f>InputData!$K$1</f>
        <v>2013</v>
      </c>
      <c r="B52" t="str">
        <f>InputData!$G$1</f>
        <v>San Antonio, TX</v>
      </c>
      <c r="C52" t="s">
        <v>11</v>
      </c>
      <c r="D52" t="str">
        <f>Graph_IntMed!$D$6</f>
        <v>HPSP30</v>
      </c>
      <c r="E52" t="str">
        <f t="shared" si="0"/>
        <v>Internal Medicine HPSP30</v>
      </c>
      <c r="F52">
        <f>Graph_IntMed!$A27</f>
        <v>2033</v>
      </c>
      <c r="G52">
        <f>Graph_IntMed!$B27</f>
        <v>21</v>
      </c>
      <c r="H52" s="165">
        <f>Graph_IntMed!$D27</f>
        <v>1280118.6093152552</v>
      </c>
      <c r="I52" s="160">
        <f>InputData!$C$3</f>
        <v>0.02</v>
      </c>
      <c r="J52" s="160">
        <f>InputData!$C$4</f>
        <v>0.01</v>
      </c>
      <c r="K52" s="160">
        <f>InputData!$C$5</f>
        <v>0.01</v>
      </c>
      <c r="L52" s="160">
        <f>InputData!$C$6</f>
        <v>6.2100000000000002E-2</v>
      </c>
      <c r="M52" s="160">
        <f>InputData!$C$7</f>
        <v>0.03</v>
      </c>
      <c r="N52" s="160">
        <f>InputData!$C$8</f>
        <v>0.02</v>
      </c>
      <c r="O52" s="160">
        <f>InputData!$C$9</f>
        <v>0.06</v>
      </c>
      <c r="P52" s="160">
        <f>InputData!$C$10</f>
        <v>0.02</v>
      </c>
      <c r="Q52" s="160">
        <f>InputData!$C$11</f>
        <v>0.02</v>
      </c>
      <c r="R52" s="160">
        <f>InputData!$C$12</f>
        <v>0.02</v>
      </c>
      <c r="S52" s="160">
        <f>InputData!$C$13</f>
        <v>0.9</v>
      </c>
      <c r="T52" s="116">
        <f>InputData!$C$88</f>
        <v>180000</v>
      </c>
      <c r="U52" s="116">
        <f>InputData!$C$81</f>
        <v>178500</v>
      </c>
      <c r="V52" s="116">
        <f>InputData!$C$82</f>
        <v>303960</v>
      </c>
      <c r="W52" s="116">
        <f>InputData!$C$84</f>
        <v>215220</v>
      </c>
      <c r="X52" s="116">
        <f>InputData!$C$85</f>
        <v>409020</v>
      </c>
      <c r="Y52" s="116">
        <f>InputData!$C$116</f>
        <v>140000</v>
      </c>
      <c r="Z52" s="160">
        <f>InputData!$E$13</f>
        <v>0</v>
      </c>
    </row>
    <row r="53" spans="1:26" x14ac:dyDescent="0.25">
      <c r="A53">
        <f>InputData!$K$1</f>
        <v>2013</v>
      </c>
      <c r="B53" t="str">
        <f>InputData!$G$1</f>
        <v>San Antonio, TX</v>
      </c>
      <c r="C53" t="s">
        <v>11</v>
      </c>
      <c r="D53" t="str">
        <f>Graph_IntMed!$D$6</f>
        <v>HPSP30</v>
      </c>
      <c r="E53" t="str">
        <f t="shared" si="0"/>
        <v>Internal Medicine HPSP30</v>
      </c>
      <c r="F53">
        <f>Graph_IntMed!$A28</f>
        <v>2034</v>
      </c>
      <c r="G53">
        <f>Graph_IntMed!$B28</f>
        <v>22</v>
      </c>
      <c r="H53" s="165">
        <f>Graph_IntMed!$D28</f>
        <v>1345743.6123766056</v>
      </c>
      <c r="I53" s="160">
        <f>InputData!$C$3</f>
        <v>0.02</v>
      </c>
      <c r="J53" s="160">
        <f>InputData!$C$4</f>
        <v>0.01</v>
      </c>
      <c r="K53" s="160">
        <f>InputData!$C$5</f>
        <v>0.01</v>
      </c>
      <c r="L53" s="160">
        <f>InputData!$C$6</f>
        <v>6.2100000000000002E-2</v>
      </c>
      <c r="M53" s="160">
        <f>InputData!$C$7</f>
        <v>0.03</v>
      </c>
      <c r="N53" s="160">
        <f>InputData!$C$8</f>
        <v>0.02</v>
      </c>
      <c r="O53" s="160">
        <f>InputData!$C$9</f>
        <v>0.06</v>
      </c>
      <c r="P53" s="160">
        <f>InputData!$C$10</f>
        <v>0.02</v>
      </c>
      <c r="Q53" s="160">
        <f>InputData!$C$11</f>
        <v>0.02</v>
      </c>
      <c r="R53" s="160">
        <f>InputData!$C$12</f>
        <v>0.02</v>
      </c>
      <c r="S53" s="160">
        <f>InputData!$C$13</f>
        <v>0.9</v>
      </c>
      <c r="T53" s="116">
        <f>InputData!$C$88</f>
        <v>180000</v>
      </c>
      <c r="U53" s="116">
        <f>InputData!$C$81</f>
        <v>178500</v>
      </c>
      <c r="V53" s="116">
        <f>InputData!$C$82</f>
        <v>303960</v>
      </c>
      <c r="W53" s="116">
        <f>InputData!$C$84</f>
        <v>215220</v>
      </c>
      <c r="X53" s="116">
        <f>InputData!$C$85</f>
        <v>409020</v>
      </c>
      <c r="Y53" s="116">
        <f>InputData!$C$116</f>
        <v>140000</v>
      </c>
      <c r="Z53" s="160">
        <f>InputData!$E$13</f>
        <v>0</v>
      </c>
    </row>
    <row r="54" spans="1:26" x14ac:dyDescent="0.25">
      <c r="A54">
        <f>InputData!$K$1</f>
        <v>2013</v>
      </c>
      <c r="B54" t="str">
        <f>InputData!$G$1</f>
        <v>San Antonio, TX</v>
      </c>
      <c r="C54" t="s">
        <v>11</v>
      </c>
      <c r="D54" t="str">
        <f>Graph_IntMed!$D$6</f>
        <v>HPSP30</v>
      </c>
      <c r="E54" t="str">
        <f t="shared" si="0"/>
        <v>Internal Medicine HPSP30</v>
      </c>
      <c r="F54">
        <f>Graph_IntMed!$A29</f>
        <v>2035</v>
      </c>
      <c r="G54">
        <f>Graph_IntMed!$B29</f>
        <v>23</v>
      </c>
      <c r="H54" s="165">
        <f>Graph_IntMed!$D29</f>
        <v>1412778.5756039114</v>
      </c>
      <c r="I54" s="160">
        <f>InputData!$C$3</f>
        <v>0.02</v>
      </c>
      <c r="J54" s="160">
        <f>InputData!$C$4</f>
        <v>0.01</v>
      </c>
      <c r="K54" s="160">
        <f>InputData!$C$5</f>
        <v>0.01</v>
      </c>
      <c r="L54" s="160">
        <f>InputData!$C$6</f>
        <v>6.2100000000000002E-2</v>
      </c>
      <c r="M54" s="160">
        <f>InputData!$C$7</f>
        <v>0.03</v>
      </c>
      <c r="N54" s="160">
        <f>InputData!$C$8</f>
        <v>0.02</v>
      </c>
      <c r="O54" s="160">
        <f>InputData!$C$9</f>
        <v>0.06</v>
      </c>
      <c r="P54" s="160">
        <f>InputData!$C$10</f>
        <v>0.02</v>
      </c>
      <c r="Q54" s="160">
        <f>InputData!$C$11</f>
        <v>0.02</v>
      </c>
      <c r="R54" s="160">
        <f>InputData!$C$12</f>
        <v>0.02</v>
      </c>
      <c r="S54" s="160">
        <f>InputData!$C$13</f>
        <v>0.9</v>
      </c>
      <c r="T54" s="116">
        <f>InputData!$C$88</f>
        <v>180000</v>
      </c>
      <c r="U54" s="116">
        <f>InputData!$C$81</f>
        <v>178500</v>
      </c>
      <c r="V54" s="116">
        <f>InputData!$C$82</f>
        <v>303960</v>
      </c>
      <c r="W54" s="116">
        <f>InputData!$C$84</f>
        <v>215220</v>
      </c>
      <c r="X54" s="116">
        <f>InputData!$C$85</f>
        <v>409020</v>
      </c>
      <c r="Y54" s="116">
        <f>InputData!$C$116</f>
        <v>140000</v>
      </c>
      <c r="Z54" s="160">
        <f>InputData!$E$13</f>
        <v>0</v>
      </c>
    </row>
    <row r="55" spans="1:26" x14ac:dyDescent="0.25">
      <c r="A55">
        <f>InputData!$K$1</f>
        <v>2013</v>
      </c>
      <c r="B55" t="str">
        <f>InputData!$G$1</f>
        <v>San Antonio, TX</v>
      </c>
      <c r="C55" t="s">
        <v>11</v>
      </c>
      <c r="D55" t="str">
        <f>Graph_IntMed!$D$6</f>
        <v>HPSP30</v>
      </c>
      <c r="E55" t="str">
        <f t="shared" si="0"/>
        <v>Internal Medicine HPSP30</v>
      </c>
      <c r="F55">
        <f>Graph_IntMed!$A30</f>
        <v>2036</v>
      </c>
      <c r="G55">
        <f>Graph_IntMed!$B30</f>
        <v>24</v>
      </c>
      <c r="H55" s="165">
        <f>Graph_IntMed!$D30</f>
        <v>1477229.7830271358</v>
      </c>
      <c r="I55" s="160">
        <f>InputData!$C$3</f>
        <v>0.02</v>
      </c>
      <c r="J55" s="160">
        <f>InputData!$C$4</f>
        <v>0.01</v>
      </c>
      <c r="K55" s="160">
        <f>InputData!$C$5</f>
        <v>0.01</v>
      </c>
      <c r="L55" s="160">
        <f>InputData!$C$6</f>
        <v>6.2100000000000002E-2</v>
      </c>
      <c r="M55" s="160">
        <f>InputData!$C$7</f>
        <v>0.03</v>
      </c>
      <c r="N55" s="160">
        <f>InputData!$C$8</f>
        <v>0.02</v>
      </c>
      <c r="O55" s="160">
        <f>InputData!$C$9</f>
        <v>0.06</v>
      </c>
      <c r="P55" s="160">
        <f>InputData!$C$10</f>
        <v>0.02</v>
      </c>
      <c r="Q55" s="160">
        <f>InputData!$C$11</f>
        <v>0.02</v>
      </c>
      <c r="R55" s="160">
        <f>InputData!$C$12</f>
        <v>0.02</v>
      </c>
      <c r="S55" s="160">
        <f>InputData!$C$13</f>
        <v>0.9</v>
      </c>
      <c r="T55" s="116">
        <f>InputData!$C$88</f>
        <v>180000</v>
      </c>
      <c r="U55" s="116">
        <f>InputData!$C$81</f>
        <v>178500</v>
      </c>
      <c r="V55" s="116">
        <f>InputData!$C$82</f>
        <v>303960</v>
      </c>
      <c r="W55" s="116">
        <f>InputData!$C$84</f>
        <v>215220</v>
      </c>
      <c r="X55" s="116">
        <f>InputData!$C$85</f>
        <v>409020</v>
      </c>
      <c r="Y55" s="116">
        <f>InputData!$C$116</f>
        <v>140000</v>
      </c>
      <c r="Z55" s="160">
        <f>InputData!$E$13</f>
        <v>0</v>
      </c>
    </row>
    <row r="56" spans="1:26" x14ac:dyDescent="0.25">
      <c r="A56">
        <f>InputData!$K$1</f>
        <v>2013</v>
      </c>
      <c r="B56" t="str">
        <f>InputData!$G$1</f>
        <v>San Antonio, TX</v>
      </c>
      <c r="C56" t="s">
        <v>11</v>
      </c>
      <c r="D56" t="str">
        <f>Graph_IntMed!$D$6</f>
        <v>HPSP30</v>
      </c>
      <c r="E56" t="str">
        <f t="shared" si="0"/>
        <v>Internal Medicine HPSP30</v>
      </c>
      <c r="F56">
        <f>Graph_IntMed!$A31</f>
        <v>2037</v>
      </c>
      <c r="G56">
        <f>Graph_IntMed!$B31</f>
        <v>25</v>
      </c>
      <c r="H56" s="165">
        <f>Graph_IntMed!$D31</f>
        <v>1540644.7934748186</v>
      </c>
      <c r="I56" s="160">
        <f>InputData!$C$3</f>
        <v>0.02</v>
      </c>
      <c r="J56" s="160">
        <f>InputData!$C$4</f>
        <v>0.01</v>
      </c>
      <c r="K56" s="160">
        <f>InputData!$C$5</f>
        <v>0.01</v>
      </c>
      <c r="L56" s="160">
        <f>InputData!$C$6</f>
        <v>6.2100000000000002E-2</v>
      </c>
      <c r="M56" s="160">
        <f>InputData!$C$7</f>
        <v>0.03</v>
      </c>
      <c r="N56" s="160">
        <f>InputData!$C$8</f>
        <v>0.02</v>
      </c>
      <c r="O56" s="160">
        <f>InputData!$C$9</f>
        <v>0.06</v>
      </c>
      <c r="P56" s="160">
        <f>InputData!$C$10</f>
        <v>0.02</v>
      </c>
      <c r="Q56" s="160">
        <f>InputData!$C$11</f>
        <v>0.02</v>
      </c>
      <c r="R56" s="160">
        <f>InputData!$C$12</f>
        <v>0.02</v>
      </c>
      <c r="S56" s="160">
        <f>InputData!$C$13</f>
        <v>0.9</v>
      </c>
      <c r="T56" s="116">
        <f>InputData!$C$88</f>
        <v>180000</v>
      </c>
      <c r="U56" s="116">
        <f>InputData!$C$81</f>
        <v>178500</v>
      </c>
      <c r="V56" s="116">
        <f>InputData!$C$82</f>
        <v>303960</v>
      </c>
      <c r="W56" s="116">
        <f>InputData!$C$84</f>
        <v>215220</v>
      </c>
      <c r="X56" s="116">
        <f>InputData!$C$85</f>
        <v>409020</v>
      </c>
      <c r="Y56" s="116">
        <f>InputData!$C$116</f>
        <v>140000</v>
      </c>
      <c r="Z56" s="160">
        <f>InputData!$E$13</f>
        <v>0</v>
      </c>
    </row>
    <row r="57" spans="1:26" x14ac:dyDescent="0.25">
      <c r="A57">
        <f>InputData!$K$1</f>
        <v>2013</v>
      </c>
      <c r="B57" t="str">
        <f>InputData!$G$1</f>
        <v>San Antonio, TX</v>
      </c>
      <c r="C57" t="s">
        <v>11</v>
      </c>
      <c r="D57" t="str">
        <f>Graph_IntMed!$D$6</f>
        <v>HPSP30</v>
      </c>
      <c r="E57" t="str">
        <f t="shared" si="0"/>
        <v>Internal Medicine HPSP30</v>
      </c>
      <c r="F57">
        <f>Graph_IntMed!$A32</f>
        <v>2038</v>
      </c>
      <c r="G57">
        <f>Graph_IntMed!$B32</f>
        <v>26</v>
      </c>
      <c r="H57" s="165">
        <f>Graph_IntMed!$D32</f>
        <v>1601881.2511785394</v>
      </c>
      <c r="I57" s="160">
        <f>InputData!$C$3</f>
        <v>0.02</v>
      </c>
      <c r="J57" s="160">
        <f>InputData!$C$4</f>
        <v>0.01</v>
      </c>
      <c r="K57" s="160">
        <f>InputData!$C$5</f>
        <v>0.01</v>
      </c>
      <c r="L57" s="160">
        <f>InputData!$C$6</f>
        <v>6.2100000000000002E-2</v>
      </c>
      <c r="M57" s="160">
        <f>InputData!$C$7</f>
        <v>0.03</v>
      </c>
      <c r="N57" s="160">
        <f>InputData!$C$8</f>
        <v>0.02</v>
      </c>
      <c r="O57" s="160">
        <f>InputData!$C$9</f>
        <v>0.06</v>
      </c>
      <c r="P57" s="160">
        <f>InputData!$C$10</f>
        <v>0.02</v>
      </c>
      <c r="Q57" s="160">
        <f>InputData!$C$11</f>
        <v>0.02</v>
      </c>
      <c r="R57" s="160">
        <f>InputData!$C$12</f>
        <v>0.02</v>
      </c>
      <c r="S57" s="160">
        <f>InputData!$C$13</f>
        <v>0.9</v>
      </c>
      <c r="T57" s="116">
        <f>InputData!$C$88</f>
        <v>180000</v>
      </c>
      <c r="U57" s="116">
        <f>InputData!$C$81</f>
        <v>178500</v>
      </c>
      <c r="V57" s="116">
        <f>InputData!$C$82</f>
        <v>303960</v>
      </c>
      <c r="W57" s="116">
        <f>InputData!$C$84</f>
        <v>215220</v>
      </c>
      <c r="X57" s="116">
        <f>InputData!$C$85</f>
        <v>409020</v>
      </c>
      <c r="Y57" s="116">
        <f>InputData!$C$116</f>
        <v>140000</v>
      </c>
      <c r="Z57" s="160">
        <f>InputData!$E$13</f>
        <v>0</v>
      </c>
    </row>
    <row r="58" spans="1:26" x14ac:dyDescent="0.25">
      <c r="A58">
        <f>InputData!$K$1</f>
        <v>2013</v>
      </c>
      <c r="B58" t="str">
        <f>InputData!$G$1</f>
        <v>San Antonio, TX</v>
      </c>
      <c r="C58" t="s">
        <v>11</v>
      </c>
      <c r="D58" t="str">
        <f>Graph_IntMed!$D$6</f>
        <v>HPSP30</v>
      </c>
      <c r="E58" t="str">
        <f t="shared" si="0"/>
        <v>Internal Medicine HPSP30</v>
      </c>
      <c r="F58">
        <f>Graph_IntMed!$A33</f>
        <v>2039</v>
      </c>
      <c r="G58">
        <f>Graph_IntMed!$B33</f>
        <v>27</v>
      </c>
      <c r="H58" s="165">
        <f>Graph_IntMed!$D33</f>
        <v>1661012.8912972515</v>
      </c>
      <c r="I58" s="160">
        <f>InputData!$C$3</f>
        <v>0.02</v>
      </c>
      <c r="J58" s="160">
        <f>InputData!$C$4</f>
        <v>0.01</v>
      </c>
      <c r="K58" s="160">
        <f>InputData!$C$5</f>
        <v>0.01</v>
      </c>
      <c r="L58" s="160">
        <f>InputData!$C$6</f>
        <v>6.2100000000000002E-2</v>
      </c>
      <c r="M58" s="160">
        <f>InputData!$C$7</f>
        <v>0.03</v>
      </c>
      <c r="N58" s="160">
        <f>InputData!$C$8</f>
        <v>0.02</v>
      </c>
      <c r="O58" s="160">
        <f>InputData!$C$9</f>
        <v>0.06</v>
      </c>
      <c r="P58" s="160">
        <f>InputData!$C$10</f>
        <v>0.02</v>
      </c>
      <c r="Q58" s="160">
        <f>InputData!$C$11</f>
        <v>0.02</v>
      </c>
      <c r="R58" s="160">
        <f>InputData!$C$12</f>
        <v>0.02</v>
      </c>
      <c r="S58" s="160">
        <f>InputData!$C$13</f>
        <v>0.9</v>
      </c>
      <c r="T58" s="116">
        <f>InputData!$C$88</f>
        <v>180000</v>
      </c>
      <c r="U58" s="116">
        <f>InputData!$C$81</f>
        <v>178500</v>
      </c>
      <c r="V58" s="116">
        <f>InputData!$C$82</f>
        <v>303960</v>
      </c>
      <c r="W58" s="116">
        <f>InputData!$C$84</f>
        <v>215220</v>
      </c>
      <c r="X58" s="116">
        <f>InputData!$C$85</f>
        <v>409020</v>
      </c>
      <c r="Y58" s="116">
        <f>InputData!$C$116</f>
        <v>140000</v>
      </c>
      <c r="Z58" s="160">
        <f>InputData!$E$13</f>
        <v>0</v>
      </c>
    </row>
    <row r="59" spans="1:26" x14ac:dyDescent="0.25">
      <c r="A59">
        <f>InputData!$K$1</f>
        <v>2013</v>
      </c>
      <c r="B59" t="str">
        <f>InputData!$G$1</f>
        <v>San Antonio, TX</v>
      </c>
      <c r="C59" t="s">
        <v>11</v>
      </c>
      <c r="D59" t="str">
        <f>Graph_IntMed!$D$6</f>
        <v>HPSP30</v>
      </c>
      <c r="E59" t="str">
        <f t="shared" si="0"/>
        <v>Internal Medicine HPSP30</v>
      </c>
      <c r="F59">
        <f>Graph_IntMed!$A34</f>
        <v>2040</v>
      </c>
      <c r="G59">
        <f>Graph_IntMed!$B34</f>
        <v>28</v>
      </c>
      <c r="H59" s="165">
        <f>Graph_IntMed!$D34</f>
        <v>1718236.1268433037</v>
      </c>
      <c r="I59" s="160">
        <f>InputData!$C$3</f>
        <v>0.02</v>
      </c>
      <c r="J59" s="160">
        <f>InputData!$C$4</f>
        <v>0.01</v>
      </c>
      <c r="K59" s="160">
        <f>InputData!$C$5</f>
        <v>0.01</v>
      </c>
      <c r="L59" s="160">
        <f>InputData!$C$6</f>
        <v>6.2100000000000002E-2</v>
      </c>
      <c r="M59" s="160">
        <f>InputData!$C$7</f>
        <v>0.03</v>
      </c>
      <c r="N59" s="160">
        <f>InputData!$C$8</f>
        <v>0.02</v>
      </c>
      <c r="O59" s="160">
        <f>InputData!$C$9</f>
        <v>0.06</v>
      </c>
      <c r="P59" s="160">
        <f>InputData!$C$10</f>
        <v>0.02</v>
      </c>
      <c r="Q59" s="160">
        <f>InputData!$C$11</f>
        <v>0.02</v>
      </c>
      <c r="R59" s="160">
        <f>InputData!$C$12</f>
        <v>0.02</v>
      </c>
      <c r="S59" s="160">
        <f>InputData!$C$13</f>
        <v>0.9</v>
      </c>
      <c r="T59" s="116">
        <f>InputData!$C$88</f>
        <v>180000</v>
      </c>
      <c r="U59" s="116">
        <f>InputData!$C$81</f>
        <v>178500</v>
      </c>
      <c r="V59" s="116">
        <f>InputData!$C$82</f>
        <v>303960</v>
      </c>
      <c r="W59" s="116">
        <f>InputData!$C$84</f>
        <v>215220</v>
      </c>
      <c r="X59" s="116">
        <f>InputData!$C$85</f>
        <v>409020</v>
      </c>
      <c r="Y59" s="116">
        <f>InputData!$C$116</f>
        <v>140000</v>
      </c>
      <c r="Z59" s="160">
        <f>InputData!$E$13</f>
        <v>0</v>
      </c>
    </row>
    <row r="60" spans="1:26" x14ac:dyDescent="0.25">
      <c r="A60">
        <f>InputData!$K$1</f>
        <v>2013</v>
      </c>
      <c r="B60" t="str">
        <f>InputData!$G$1</f>
        <v>San Antonio, TX</v>
      </c>
      <c r="C60" t="s">
        <v>11</v>
      </c>
      <c r="D60" t="str">
        <f>Graph_IntMed!$D$6</f>
        <v>HPSP30</v>
      </c>
      <c r="E60" t="str">
        <f t="shared" si="0"/>
        <v>Internal Medicine HPSP30</v>
      </c>
      <c r="F60">
        <f>Graph_IntMed!$A35</f>
        <v>2041</v>
      </c>
      <c r="G60">
        <f>Graph_IntMed!$B35</f>
        <v>29</v>
      </c>
      <c r="H60" s="165">
        <f>Graph_IntMed!$D35</f>
        <v>1773610.2067569182</v>
      </c>
      <c r="I60" s="160">
        <f>InputData!$C$3</f>
        <v>0.02</v>
      </c>
      <c r="J60" s="160">
        <f>InputData!$C$4</f>
        <v>0.01</v>
      </c>
      <c r="K60" s="160">
        <f>InputData!$C$5</f>
        <v>0.01</v>
      </c>
      <c r="L60" s="160">
        <f>InputData!$C$6</f>
        <v>6.2100000000000002E-2</v>
      </c>
      <c r="M60" s="160">
        <f>InputData!$C$7</f>
        <v>0.03</v>
      </c>
      <c r="N60" s="160">
        <f>InputData!$C$8</f>
        <v>0.02</v>
      </c>
      <c r="O60" s="160">
        <f>InputData!$C$9</f>
        <v>0.06</v>
      </c>
      <c r="P60" s="160">
        <f>InputData!$C$10</f>
        <v>0.02</v>
      </c>
      <c r="Q60" s="160">
        <f>InputData!$C$11</f>
        <v>0.02</v>
      </c>
      <c r="R60" s="160">
        <f>InputData!$C$12</f>
        <v>0.02</v>
      </c>
      <c r="S60" s="160">
        <f>InputData!$C$13</f>
        <v>0.9</v>
      </c>
      <c r="T60" s="116">
        <f>InputData!$C$88</f>
        <v>180000</v>
      </c>
      <c r="U60" s="116">
        <f>InputData!$C$81</f>
        <v>178500</v>
      </c>
      <c r="V60" s="116">
        <f>InputData!$C$82</f>
        <v>303960</v>
      </c>
      <c r="W60" s="116">
        <f>InputData!$C$84</f>
        <v>215220</v>
      </c>
      <c r="X60" s="116">
        <f>InputData!$C$85</f>
        <v>409020</v>
      </c>
      <c r="Y60" s="116">
        <f>InputData!$C$116</f>
        <v>140000</v>
      </c>
      <c r="Z60" s="160">
        <f>InputData!$E$13</f>
        <v>0</v>
      </c>
    </row>
    <row r="61" spans="1:26" x14ac:dyDescent="0.25">
      <c r="A61">
        <f>InputData!$K$1</f>
        <v>2013</v>
      </c>
      <c r="B61" t="str">
        <f>InputData!$G$1</f>
        <v>San Antonio, TX</v>
      </c>
      <c r="C61" t="s">
        <v>11</v>
      </c>
      <c r="D61" t="str">
        <f>Graph_IntMed!$D$6</f>
        <v>HPSP30</v>
      </c>
      <c r="E61" t="str">
        <f t="shared" si="0"/>
        <v>Internal Medicine HPSP30</v>
      </c>
      <c r="F61">
        <f>Graph_IntMed!$A36</f>
        <v>2042</v>
      </c>
      <c r="G61">
        <f>Graph_IntMed!$B36</f>
        <v>30</v>
      </c>
      <c r="H61" s="165">
        <f>Graph_IntMed!$D36</f>
        <v>1827514.5868415183</v>
      </c>
      <c r="I61" s="160">
        <f>InputData!$C$3</f>
        <v>0.02</v>
      </c>
      <c r="J61" s="160">
        <f>InputData!$C$4</f>
        <v>0.01</v>
      </c>
      <c r="K61" s="160">
        <f>InputData!$C$5</f>
        <v>0.01</v>
      </c>
      <c r="L61" s="160">
        <f>InputData!$C$6</f>
        <v>6.2100000000000002E-2</v>
      </c>
      <c r="M61" s="160">
        <f>InputData!$C$7</f>
        <v>0.03</v>
      </c>
      <c r="N61" s="160">
        <f>InputData!$C$8</f>
        <v>0.02</v>
      </c>
      <c r="O61" s="160">
        <f>InputData!$C$9</f>
        <v>0.06</v>
      </c>
      <c r="P61" s="160">
        <f>InputData!$C$10</f>
        <v>0.02</v>
      </c>
      <c r="Q61" s="160">
        <f>InputData!$C$11</f>
        <v>0.02</v>
      </c>
      <c r="R61" s="160">
        <f>InputData!$C$12</f>
        <v>0.02</v>
      </c>
      <c r="S61" s="160">
        <f>InputData!$C$13</f>
        <v>0.9</v>
      </c>
      <c r="T61" s="116">
        <f>InputData!$C$88</f>
        <v>180000</v>
      </c>
      <c r="U61" s="116">
        <f>InputData!$C$81</f>
        <v>178500</v>
      </c>
      <c r="V61" s="116">
        <f>InputData!$C$82</f>
        <v>303960</v>
      </c>
      <c r="W61" s="116">
        <f>InputData!$C$84</f>
        <v>215220</v>
      </c>
      <c r="X61" s="116">
        <f>InputData!$C$85</f>
        <v>409020</v>
      </c>
      <c r="Y61" s="116">
        <f>InputData!$C$116</f>
        <v>140000</v>
      </c>
      <c r="Z61" s="160">
        <f>InputData!$E$13</f>
        <v>0</v>
      </c>
    </row>
    <row r="62" spans="1:26" x14ac:dyDescent="0.25">
      <c r="A62">
        <f>InputData!$K$1</f>
        <v>2013</v>
      </c>
      <c r="B62" t="str">
        <f>InputData!$G$1</f>
        <v>San Antonio, TX</v>
      </c>
      <c r="C62" t="s">
        <v>11</v>
      </c>
      <c r="D62" t="str">
        <f>Graph_IntMed!$E$6</f>
        <v>STD10</v>
      </c>
      <c r="E62" t="str">
        <f t="shared" si="0"/>
        <v>Internal Medicine STD10</v>
      </c>
      <c r="F62">
        <f>Graph_IntMed!$A7</f>
        <v>2013</v>
      </c>
      <c r="G62">
        <f>Graph_IntMed!$B7</f>
        <v>1</v>
      </c>
      <c r="H62" s="165">
        <f>Graph_IntMed!$E7</f>
        <v>-43015.05</v>
      </c>
      <c r="I62" s="160">
        <f>InputData!$C$3</f>
        <v>0.02</v>
      </c>
      <c r="J62" s="160">
        <f>InputData!$C$4</f>
        <v>0.01</v>
      </c>
      <c r="K62" s="160">
        <f>InputData!$C$5</f>
        <v>0.01</v>
      </c>
      <c r="L62" s="160">
        <f>InputData!$C$6</f>
        <v>6.2100000000000002E-2</v>
      </c>
      <c r="M62" s="160">
        <f>InputData!$C$7</f>
        <v>0.03</v>
      </c>
      <c r="N62" s="160">
        <f>InputData!$C$8</f>
        <v>0.02</v>
      </c>
      <c r="O62" s="160">
        <f>InputData!$C$9</f>
        <v>0.06</v>
      </c>
      <c r="P62" s="160">
        <f>InputData!$C$10</f>
        <v>0.02</v>
      </c>
      <c r="Q62" s="160">
        <f>InputData!$C$11</f>
        <v>0.02</v>
      </c>
      <c r="R62" s="160">
        <f>InputData!$C$12</f>
        <v>0.02</v>
      </c>
      <c r="S62" s="160">
        <f>InputData!$C$13</f>
        <v>0.9</v>
      </c>
      <c r="T62" s="116">
        <f>InputData!$C$88</f>
        <v>180000</v>
      </c>
      <c r="U62" s="116">
        <f>InputData!$C$81</f>
        <v>178500</v>
      </c>
      <c r="V62" s="116">
        <f>InputData!$C$82</f>
        <v>303960</v>
      </c>
      <c r="W62" s="116">
        <f>InputData!$C$84</f>
        <v>215220</v>
      </c>
      <c r="X62" s="116">
        <f>InputData!$C$85</f>
        <v>409020</v>
      </c>
      <c r="Y62" s="116">
        <f>InputData!$C$116</f>
        <v>140000</v>
      </c>
      <c r="Z62" s="160">
        <f>InputData!$E$13</f>
        <v>0</v>
      </c>
    </row>
    <row r="63" spans="1:26" x14ac:dyDescent="0.25">
      <c r="A63">
        <f>InputData!$K$1</f>
        <v>2013</v>
      </c>
      <c r="B63" t="str">
        <f>InputData!$G$1</f>
        <v>San Antonio, TX</v>
      </c>
      <c r="C63" t="s">
        <v>11</v>
      </c>
      <c r="D63" t="str">
        <f>Graph_IntMed!$E$6</f>
        <v>STD10</v>
      </c>
      <c r="E63" t="str">
        <f t="shared" si="0"/>
        <v>Internal Medicine STD10</v>
      </c>
      <c r="F63">
        <f>Graph_IntMed!$A8</f>
        <v>2014</v>
      </c>
      <c r="G63">
        <f>Graph_IntMed!$B8</f>
        <v>2</v>
      </c>
      <c r="H63" s="165">
        <f>Graph_IntMed!$E8</f>
        <v>-86352.285865219877</v>
      </c>
      <c r="I63" s="160">
        <f>InputData!$C$3</f>
        <v>0.02</v>
      </c>
      <c r="J63" s="160">
        <f>InputData!$C$4</f>
        <v>0.01</v>
      </c>
      <c r="K63" s="160">
        <f>InputData!$C$5</f>
        <v>0.01</v>
      </c>
      <c r="L63" s="160">
        <f>InputData!$C$6</f>
        <v>6.2100000000000002E-2</v>
      </c>
      <c r="M63" s="160">
        <f>InputData!$C$7</f>
        <v>0.03</v>
      </c>
      <c r="N63" s="160">
        <f>InputData!$C$8</f>
        <v>0.02</v>
      </c>
      <c r="O63" s="160">
        <f>InputData!$C$9</f>
        <v>0.06</v>
      </c>
      <c r="P63" s="160">
        <f>InputData!$C$10</f>
        <v>0.02</v>
      </c>
      <c r="Q63" s="160">
        <f>InputData!$C$11</f>
        <v>0.02</v>
      </c>
      <c r="R63" s="160">
        <f>InputData!$C$12</f>
        <v>0.02</v>
      </c>
      <c r="S63" s="160">
        <f>InputData!$C$13</f>
        <v>0.9</v>
      </c>
      <c r="T63" s="116">
        <f>InputData!$C$88</f>
        <v>180000</v>
      </c>
      <c r="U63" s="116">
        <f>InputData!$C$81</f>
        <v>178500</v>
      </c>
      <c r="V63" s="116">
        <f>InputData!$C$82</f>
        <v>303960</v>
      </c>
      <c r="W63" s="116">
        <f>InputData!$C$84</f>
        <v>215220</v>
      </c>
      <c r="X63" s="116">
        <f>InputData!$C$85</f>
        <v>409020</v>
      </c>
      <c r="Y63" s="116">
        <f>InputData!$C$116</f>
        <v>140000</v>
      </c>
      <c r="Z63" s="160">
        <f>InputData!$E$13</f>
        <v>0</v>
      </c>
    </row>
    <row r="64" spans="1:26" x14ac:dyDescent="0.25">
      <c r="A64">
        <f>InputData!$K$1</f>
        <v>2013</v>
      </c>
      <c r="B64" t="str">
        <f>InputData!$G$1</f>
        <v>San Antonio, TX</v>
      </c>
      <c r="C64" t="s">
        <v>11</v>
      </c>
      <c r="D64" t="str">
        <f>Graph_IntMed!$E$6</f>
        <v>STD10</v>
      </c>
      <c r="E64" t="str">
        <f t="shared" si="0"/>
        <v>Internal Medicine STD10</v>
      </c>
      <c r="F64">
        <f>Graph_IntMed!$A9</f>
        <v>2015</v>
      </c>
      <c r="G64">
        <f>Graph_IntMed!$B9</f>
        <v>3</v>
      </c>
      <c r="H64" s="165">
        <f>Graph_IntMed!$E9</f>
        <v>-138541.19578403595</v>
      </c>
      <c r="I64" s="160">
        <f>InputData!$C$3</f>
        <v>0.02</v>
      </c>
      <c r="J64" s="160">
        <f>InputData!$C$4</f>
        <v>0.01</v>
      </c>
      <c r="K64" s="160">
        <f>InputData!$C$5</f>
        <v>0.01</v>
      </c>
      <c r="L64" s="160">
        <f>InputData!$C$6</f>
        <v>6.2100000000000002E-2</v>
      </c>
      <c r="M64" s="160">
        <f>InputData!$C$7</f>
        <v>0.03</v>
      </c>
      <c r="N64" s="160">
        <f>InputData!$C$8</f>
        <v>0.02</v>
      </c>
      <c r="O64" s="160">
        <f>InputData!$C$9</f>
        <v>0.06</v>
      </c>
      <c r="P64" s="160">
        <f>InputData!$C$10</f>
        <v>0.02</v>
      </c>
      <c r="Q64" s="160">
        <f>InputData!$C$11</f>
        <v>0.02</v>
      </c>
      <c r="R64" s="160">
        <f>InputData!$C$12</f>
        <v>0.02</v>
      </c>
      <c r="S64" s="160">
        <f>InputData!$C$13</f>
        <v>0.9</v>
      </c>
      <c r="T64" s="116">
        <f>InputData!$C$88</f>
        <v>180000</v>
      </c>
      <c r="U64" s="116">
        <f>InputData!$C$81</f>
        <v>178500</v>
      </c>
      <c r="V64" s="116">
        <f>InputData!$C$82</f>
        <v>303960</v>
      </c>
      <c r="W64" s="116">
        <f>InputData!$C$84</f>
        <v>215220</v>
      </c>
      <c r="X64" s="116">
        <f>InputData!$C$85</f>
        <v>409020</v>
      </c>
      <c r="Y64" s="116">
        <f>InputData!$C$116</f>
        <v>140000</v>
      </c>
      <c r="Z64" s="160">
        <f>InputData!$E$13</f>
        <v>0</v>
      </c>
    </row>
    <row r="65" spans="1:26" x14ac:dyDescent="0.25">
      <c r="A65">
        <f>InputData!$K$1</f>
        <v>2013</v>
      </c>
      <c r="B65" t="str">
        <f>InputData!$G$1</f>
        <v>San Antonio, TX</v>
      </c>
      <c r="C65" t="s">
        <v>11</v>
      </c>
      <c r="D65" t="str">
        <f>Graph_IntMed!$E$6</f>
        <v>STD10</v>
      </c>
      <c r="E65" t="str">
        <f t="shared" si="0"/>
        <v>Internal Medicine STD10</v>
      </c>
      <c r="F65">
        <f>Graph_IntMed!$A10</f>
        <v>2016</v>
      </c>
      <c r="G65">
        <f>Graph_IntMed!$B10</f>
        <v>4</v>
      </c>
      <c r="H65" s="165">
        <f>Graph_IntMed!$E10</f>
        <v>-190867.38028908212</v>
      </c>
      <c r="I65" s="160">
        <f>InputData!$C$3</f>
        <v>0.02</v>
      </c>
      <c r="J65" s="160">
        <f>InputData!$C$4</f>
        <v>0.01</v>
      </c>
      <c r="K65" s="160">
        <f>InputData!$C$5</f>
        <v>0.01</v>
      </c>
      <c r="L65" s="160">
        <f>InputData!$C$6</f>
        <v>6.2100000000000002E-2</v>
      </c>
      <c r="M65" s="160">
        <f>InputData!$C$7</f>
        <v>0.03</v>
      </c>
      <c r="N65" s="160">
        <f>InputData!$C$8</f>
        <v>0.02</v>
      </c>
      <c r="O65" s="160">
        <f>InputData!$C$9</f>
        <v>0.06</v>
      </c>
      <c r="P65" s="160">
        <f>InputData!$C$10</f>
        <v>0.02</v>
      </c>
      <c r="Q65" s="160">
        <f>InputData!$C$11</f>
        <v>0.02</v>
      </c>
      <c r="R65" s="160">
        <f>InputData!$C$12</f>
        <v>0.02</v>
      </c>
      <c r="S65" s="160">
        <f>InputData!$C$13</f>
        <v>0.9</v>
      </c>
      <c r="T65" s="116">
        <f>InputData!$C$88</f>
        <v>180000</v>
      </c>
      <c r="U65" s="116">
        <f>InputData!$C$81</f>
        <v>178500</v>
      </c>
      <c r="V65" s="116">
        <f>InputData!$C$82</f>
        <v>303960</v>
      </c>
      <c r="W65" s="116">
        <f>InputData!$C$84</f>
        <v>215220</v>
      </c>
      <c r="X65" s="116">
        <f>InputData!$C$85</f>
        <v>409020</v>
      </c>
      <c r="Y65" s="116">
        <f>InputData!$C$116</f>
        <v>140000</v>
      </c>
      <c r="Z65" s="160">
        <f>InputData!$E$13</f>
        <v>0</v>
      </c>
    </row>
    <row r="66" spans="1:26" x14ac:dyDescent="0.25">
      <c r="A66">
        <f>InputData!$K$1</f>
        <v>2013</v>
      </c>
      <c r="B66" t="str">
        <f>InputData!$G$1</f>
        <v>San Antonio, TX</v>
      </c>
      <c r="C66" t="s">
        <v>11</v>
      </c>
      <c r="D66" t="str">
        <f>Graph_IntMed!$E$6</f>
        <v>STD10</v>
      </c>
      <c r="E66" t="str">
        <f t="shared" si="0"/>
        <v>Internal Medicine STD10</v>
      </c>
      <c r="F66">
        <f>Graph_IntMed!$A11</f>
        <v>2017</v>
      </c>
      <c r="G66">
        <f>Graph_IntMed!$B11</f>
        <v>5</v>
      </c>
      <c r="H66" s="165">
        <f>Graph_IntMed!$E11</f>
        <v>-154981.05168717628</v>
      </c>
      <c r="I66" s="160">
        <f>InputData!$C$3</f>
        <v>0.02</v>
      </c>
      <c r="J66" s="160">
        <f>InputData!$C$4</f>
        <v>0.01</v>
      </c>
      <c r="K66" s="160">
        <f>InputData!$C$5</f>
        <v>0.01</v>
      </c>
      <c r="L66" s="160">
        <f>InputData!$C$6</f>
        <v>6.2100000000000002E-2</v>
      </c>
      <c r="M66" s="160">
        <f>InputData!$C$7</f>
        <v>0.03</v>
      </c>
      <c r="N66" s="160">
        <f>InputData!$C$8</f>
        <v>0.02</v>
      </c>
      <c r="O66" s="160">
        <f>InputData!$C$9</f>
        <v>0.06</v>
      </c>
      <c r="P66" s="160">
        <f>InputData!$C$10</f>
        <v>0.02</v>
      </c>
      <c r="Q66" s="160">
        <f>InputData!$C$11</f>
        <v>0.02</v>
      </c>
      <c r="R66" s="160">
        <f>InputData!$C$12</f>
        <v>0.02</v>
      </c>
      <c r="S66" s="160">
        <f>InputData!$C$13</f>
        <v>0.9</v>
      </c>
      <c r="T66" s="116">
        <f>InputData!$C$88</f>
        <v>180000</v>
      </c>
      <c r="U66" s="116">
        <f>InputData!$C$81</f>
        <v>178500</v>
      </c>
      <c r="V66" s="116">
        <f>InputData!$C$82</f>
        <v>303960</v>
      </c>
      <c r="W66" s="116">
        <f>InputData!$C$84</f>
        <v>215220</v>
      </c>
      <c r="X66" s="116">
        <f>InputData!$C$85</f>
        <v>409020</v>
      </c>
      <c r="Y66" s="116">
        <f>InputData!$C$116</f>
        <v>140000</v>
      </c>
      <c r="Z66" s="160">
        <f>InputData!$E$13</f>
        <v>0</v>
      </c>
    </row>
    <row r="67" spans="1:26" x14ac:dyDescent="0.25">
      <c r="A67">
        <f>InputData!$K$1</f>
        <v>2013</v>
      </c>
      <c r="B67" t="str">
        <f>InputData!$G$1</f>
        <v>San Antonio, TX</v>
      </c>
      <c r="C67" t="s">
        <v>11</v>
      </c>
      <c r="D67" t="str">
        <f>Graph_IntMed!$E$6</f>
        <v>STD10</v>
      </c>
      <c r="E67" t="str">
        <f t="shared" ref="E67:E130" si="1">C67 &amp; " " &amp; D67</f>
        <v>Internal Medicine STD10</v>
      </c>
      <c r="F67">
        <f>Graph_IntMed!$A12</f>
        <v>2018</v>
      </c>
      <c r="G67">
        <f>Graph_IntMed!$B12</f>
        <v>6</v>
      </c>
      <c r="H67" s="165">
        <f>Graph_IntMed!$E12</f>
        <v>-118995.92937851879</v>
      </c>
      <c r="I67" s="160">
        <f>InputData!$C$3</f>
        <v>0.02</v>
      </c>
      <c r="J67" s="160">
        <f>InputData!$C$4</f>
        <v>0.01</v>
      </c>
      <c r="K67" s="160">
        <f>InputData!$C$5</f>
        <v>0.01</v>
      </c>
      <c r="L67" s="160">
        <f>InputData!$C$6</f>
        <v>6.2100000000000002E-2</v>
      </c>
      <c r="M67" s="160">
        <f>InputData!$C$7</f>
        <v>0.03</v>
      </c>
      <c r="N67" s="160">
        <f>InputData!$C$8</f>
        <v>0.02</v>
      </c>
      <c r="O67" s="160">
        <f>InputData!$C$9</f>
        <v>0.06</v>
      </c>
      <c r="P67" s="160">
        <f>InputData!$C$10</f>
        <v>0.02</v>
      </c>
      <c r="Q67" s="160">
        <f>InputData!$C$11</f>
        <v>0.02</v>
      </c>
      <c r="R67" s="160">
        <f>InputData!$C$12</f>
        <v>0.02</v>
      </c>
      <c r="S67" s="160">
        <f>InputData!$C$13</f>
        <v>0.9</v>
      </c>
      <c r="T67" s="116">
        <f>InputData!$C$88</f>
        <v>180000</v>
      </c>
      <c r="U67" s="116">
        <f>InputData!$C$81</f>
        <v>178500</v>
      </c>
      <c r="V67" s="116">
        <f>InputData!$C$82</f>
        <v>303960</v>
      </c>
      <c r="W67" s="116">
        <f>InputData!$C$84</f>
        <v>215220</v>
      </c>
      <c r="X67" s="116">
        <f>InputData!$C$85</f>
        <v>409020</v>
      </c>
      <c r="Y67" s="116">
        <f>InputData!$C$116</f>
        <v>140000</v>
      </c>
      <c r="Z67" s="160">
        <f>InputData!$E$13</f>
        <v>0</v>
      </c>
    </row>
    <row r="68" spans="1:26" x14ac:dyDescent="0.25">
      <c r="A68">
        <f>InputData!$K$1</f>
        <v>2013</v>
      </c>
      <c r="B68" t="str">
        <f>InputData!$G$1</f>
        <v>San Antonio, TX</v>
      </c>
      <c r="C68" t="s">
        <v>11</v>
      </c>
      <c r="D68" t="str">
        <f>Graph_IntMed!$E$6</f>
        <v>STD10</v>
      </c>
      <c r="E68" t="str">
        <f t="shared" si="1"/>
        <v>Internal Medicine STD10</v>
      </c>
      <c r="F68">
        <f>Graph_IntMed!$A13</f>
        <v>2019</v>
      </c>
      <c r="G68">
        <f>Graph_IntMed!$B13</f>
        <v>7</v>
      </c>
      <c r="H68" s="165">
        <f>Graph_IntMed!$E13</f>
        <v>-82904.654937055282</v>
      </c>
      <c r="I68" s="160">
        <f>InputData!$C$3</f>
        <v>0.02</v>
      </c>
      <c r="J68" s="160">
        <f>InputData!$C$4</f>
        <v>0.01</v>
      </c>
      <c r="K68" s="160">
        <f>InputData!$C$5</f>
        <v>0.01</v>
      </c>
      <c r="L68" s="160">
        <f>InputData!$C$6</f>
        <v>6.2100000000000002E-2</v>
      </c>
      <c r="M68" s="160">
        <f>InputData!$C$7</f>
        <v>0.03</v>
      </c>
      <c r="N68" s="160">
        <f>InputData!$C$8</f>
        <v>0.02</v>
      </c>
      <c r="O68" s="160">
        <f>InputData!$C$9</f>
        <v>0.06</v>
      </c>
      <c r="P68" s="160">
        <f>InputData!$C$10</f>
        <v>0.02</v>
      </c>
      <c r="Q68" s="160">
        <f>InputData!$C$11</f>
        <v>0.02</v>
      </c>
      <c r="R68" s="160">
        <f>InputData!$C$12</f>
        <v>0.02</v>
      </c>
      <c r="S68" s="160">
        <f>InputData!$C$13</f>
        <v>0.9</v>
      </c>
      <c r="T68" s="116">
        <f>InputData!$C$88</f>
        <v>180000</v>
      </c>
      <c r="U68" s="116">
        <f>InputData!$C$81</f>
        <v>178500</v>
      </c>
      <c r="V68" s="116">
        <f>InputData!$C$82</f>
        <v>303960</v>
      </c>
      <c r="W68" s="116">
        <f>InputData!$C$84</f>
        <v>215220</v>
      </c>
      <c r="X68" s="116">
        <f>InputData!$C$85</f>
        <v>409020</v>
      </c>
      <c r="Y68" s="116">
        <f>InputData!$C$116</f>
        <v>140000</v>
      </c>
      <c r="Z68" s="160">
        <f>InputData!$E$13</f>
        <v>0</v>
      </c>
    </row>
    <row r="69" spans="1:26" x14ac:dyDescent="0.25">
      <c r="A69">
        <f>InputData!$K$1</f>
        <v>2013</v>
      </c>
      <c r="B69" t="str">
        <f>InputData!$G$1</f>
        <v>San Antonio, TX</v>
      </c>
      <c r="C69" t="s">
        <v>11</v>
      </c>
      <c r="D69" t="str">
        <f>Graph_IntMed!$E$6</f>
        <v>STD10</v>
      </c>
      <c r="E69" t="str">
        <f t="shared" si="1"/>
        <v>Internal Medicine STD10</v>
      </c>
      <c r="F69">
        <f>Graph_IntMed!$A14</f>
        <v>2020</v>
      </c>
      <c r="G69">
        <f>Graph_IntMed!$B14</f>
        <v>8</v>
      </c>
      <c r="H69" s="165">
        <f>Graph_IntMed!$E14</f>
        <v>-3236.2026610360772</v>
      </c>
      <c r="I69" s="160">
        <f>InputData!$C$3</f>
        <v>0.02</v>
      </c>
      <c r="J69" s="160">
        <f>InputData!$C$4</f>
        <v>0.01</v>
      </c>
      <c r="K69" s="160">
        <f>InputData!$C$5</f>
        <v>0.01</v>
      </c>
      <c r="L69" s="160">
        <f>InputData!$C$6</f>
        <v>6.2100000000000002E-2</v>
      </c>
      <c r="M69" s="160">
        <f>InputData!$C$7</f>
        <v>0.03</v>
      </c>
      <c r="N69" s="160">
        <f>InputData!$C$8</f>
        <v>0.02</v>
      </c>
      <c r="O69" s="160">
        <f>InputData!$C$9</f>
        <v>0.06</v>
      </c>
      <c r="P69" s="160">
        <f>InputData!$C$10</f>
        <v>0.02</v>
      </c>
      <c r="Q69" s="160">
        <f>InputData!$C$11</f>
        <v>0.02</v>
      </c>
      <c r="R69" s="160">
        <f>InputData!$C$12</f>
        <v>0.02</v>
      </c>
      <c r="S69" s="160">
        <f>InputData!$C$13</f>
        <v>0.9</v>
      </c>
      <c r="T69" s="116">
        <f>InputData!$C$88</f>
        <v>180000</v>
      </c>
      <c r="U69" s="116">
        <f>InputData!$C$81</f>
        <v>178500</v>
      </c>
      <c r="V69" s="116">
        <f>InputData!$C$82</f>
        <v>303960</v>
      </c>
      <c r="W69" s="116">
        <f>InputData!$C$84</f>
        <v>215220</v>
      </c>
      <c r="X69" s="116">
        <f>InputData!$C$85</f>
        <v>409020</v>
      </c>
      <c r="Y69" s="116">
        <f>InputData!$C$116</f>
        <v>140000</v>
      </c>
      <c r="Z69" s="160">
        <f>InputData!$E$13</f>
        <v>0</v>
      </c>
    </row>
    <row r="70" spans="1:26" x14ac:dyDescent="0.25">
      <c r="A70">
        <f>InputData!$K$1</f>
        <v>2013</v>
      </c>
      <c r="B70" t="str">
        <f>InputData!$G$1</f>
        <v>San Antonio, TX</v>
      </c>
      <c r="C70" t="s">
        <v>11</v>
      </c>
      <c r="D70" t="str">
        <f>Graph_IntMed!$E$6</f>
        <v>STD10</v>
      </c>
      <c r="E70" t="str">
        <f t="shared" si="1"/>
        <v>Internal Medicine STD10</v>
      </c>
      <c r="F70">
        <f>Graph_IntMed!$A15</f>
        <v>2021</v>
      </c>
      <c r="G70">
        <f>Graph_IntMed!$B15</f>
        <v>9</v>
      </c>
      <c r="H70" s="165">
        <f>Graph_IntMed!$E15</f>
        <v>75540.188423989472</v>
      </c>
      <c r="I70" s="160">
        <f>InputData!$C$3</f>
        <v>0.02</v>
      </c>
      <c r="J70" s="160">
        <f>InputData!$C$4</f>
        <v>0.01</v>
      </c>
      <c r="K70" s="160">
        <f>InputData!$C$5</f>
        <v>0.01</v>
      </c>
      <c r="L70" s="160">
        <f>InputData!$C$6</f>
        <v>6.2100000000000002E-2</v>
      </c>
      <c r="M70" s="160">
        <f>InputData!$C$7</f>
        <v>0.03</v>
      </c>
      <c r="N70" s="160">
        <f>InputData!$C$8</f>
        <v>0.02</v>
      </c>
      <c r="O70" s="160">
        <f>InputData!$C$9</f>
        <v>0.06</v>
      </c>
      <c r="P70" s="160">
        <f>InputData!$C$10</f>
        <v>0.02</v>
      </c>
      <c r="Q70" s="160">
        <f>InputData!$C$11</f>
        <v>0.02</v>
      </c>
      <c r="R70" s="160">
        <f>InputData!$C$12</f>
        <v>0.02</v>
      </c>
      <c r="S70" s="160">
        <f>InputData!$C$13</f>
        <v>0.9</v>
      </c>
      <c r="T70" s="116">
        <f>InputData!$C$88</f>
        <v>180000</v>
      </c>
      <c r="U70" s="116">
        <f>InputData!$C$81</f>
        <v>178500</v>
      </c>
      <c r="V70" s="116">
        <f>InputData!$C$82</f>
        <v>303960</v>
      </c>
      <c r="W70" s="116">
        <f>InputData!$C$84</f>
        <v>215220</v>
      </c>
      <c r="X70" s="116">
        <f>InputData!$C$85</f>
        <v>409020</v>
      </c>
      <c r="Y70" s="116">
        <f>InputData!$C$116</f>
        <v>140000</v>
      </c>
      <c r="Z70" s="160">
        <f>InputData!$E$13</f>
        <v>0</v>
      </c>
    </row>
    <row r="71" spans="1:26" x14ac:dyDescent="0.25">
      <c r="A71">
        <f>InputData!$K$1</f>
        <v>2013</v>
      </c>
      <c r="B71" t="str">
        <f>InputData!$G$1</f>
        <v>San Antonio, TX</v>
      </c>
      <c r="C71" t="s">
        <v>11</v>
      </c>
      <c r="D71" t="str">
        <f>Graph_IntMed!$E$6</f>
        <v>STD10</v>
      </c>
      <c r="E71" t="str">
        <f t="shared" si="1"/>
        <v>Internal Medicine STD10</v>
      </c>
      <c r="F71">
        <f>Graph_IntMed!$A16</f>
        <v>2022</v>
      </c>
      <c r="G71">
        <f>Graph_IntMed!$B16</f>
        <v>10</v>
      </c>
      <c r="H71" s="165">
        <f>Graph_IntMed!$E16</f>
        <v>153409.53622958992</v>
      </c>
      <c r="I71" s="160">
        <f>InputData!$C$3</f>
        <v>0.02</v>
      </c>
      <c r="J71" s="160">
        <f>InputData!$C$4</f>
        <v>0.01</v>
      </c>
      <c r="K71" s="160">
        <f>InputData!$C$5</f>
        <v>0.01</v>
      </c>
      <c r="L71" s="160">
        <f>InputData!$C$6</f>
        <v>6.2100000000000002E-2</v>
      </c>
      <c r="M71" s="160">
        <f>InputData!$C$7</f>
        <v>0.03</v>
      </c>
      <c r="N71" s="160">
        <f>InputData!$C$8</f>
        <v>0.02</v>
      </c>
      <c r="O71" s="160">
        <f>InputData!$C$9</f>
        <v>0.06</v>
      </c>
      <c r="P71" s="160">
        <f>InputData!$C$10</f>
        <v>0.02</v>
      </c>
      <c r="Q71" s="160">
        <f>InputData!$C$11</f>
        <v>0.02</v>
      </c>
      <c r="R71" s="160">
        <f>InputData!$C$12</f>
        <v>0.02</v>
      </c>
      <c r="S71" s="160">
        <f>InputData!$C$13</f>
        <v>0.9</v>
      </c>
      <c r="T71" s="116">
        <f>InputData!$C$88</f>
        <v>180000</v>
      </c>
      <c r="U71" s="116">
        <f>InputData!$C$81</f>
        <v>178500</v>
      </c>
      <c r="V71" s="116">
        <f>InputData!$C$82</f>
        <v>303960</v>
      </c>
      <c r="W71" s="116">
        <f>InputData!$C$84</f>
        <v>215220</v>
      </c>
      <c r="X71" s="116">
        <f>InputData!$C$85</f>
        <v>409020</v>
      </c>
      <c r="Y71" s="116">
        <f>InputData!$C$116</f>
        <v>140000</v>
      </c>
      <c r="Z71" s="160">
        <f>InputData!$E$13</f>
        <v>0</v>
      </c>
    </row>
    <row r="72" spans="1:26" x14ac:dyDescent="0.25">
      <c r="A72">
        <f>InputData!$K$1</f>
        <v>2013</v>
      </c>
      <c r="B72" t="str">
        <f>InputData!$G$1</f>
        <v>San Antonio, TX</v>
      </c>
      <c r="C72" t="s">
        <v>11</v>
      </c>
      <c r="D72" t="str">
        <f>Graph_IntMed!$E$6</f>
        <v>STD10</v>
      </c>
      <c r="E72" t="str">
        <f t="shared" si="1"/>
        <v>Internal Medicine STD10</v>
      </c>
      <c r="F72">
        <f>Graph_IntMed!$A17</f>
        <v>2023</v>
      </c>
      <c r="G72">
        <f>Graph_IntMed!$B17</f>
        <v>11</v>
      </c>
      <c r="H72" s="165">
        <f>Graph_IntMed!$E17</f>
        <v>230358.72231171071</v>
      </c>
      <c r="I72" s="160">
        <f>InputData!$C$3</f>
        <v>0.02</v>
      </c>
      <c r="J72" s="160">
        <f>InputData!$C$4</f>
        <v>0.01</v>
      </c>
      <c r="K72" s="160">
        <f>InputData!$C$5</f>
        <v>0.01</v>
      </c>
      <c r="L72" s="160">
        <f>InputData!$C$6</f>
        <v>6.2100000000000002E-2</v>
      </c>
      <c r="M72" s="160">
        <f>InputData!$C$7</f>
        <v>0.03</v>
      </c>
      <c r="N72" s="160">
        <f>InputData!$C$8</f>
        <v>0.02</v>
      </c>
      <c r="O72" s="160">
        <f>InputData!$C$9</f>
        <v>0.06</v>
      </c>
      <c r="P72" s="160">
        <f>InputData!$C$10</f>
        <v>0.02</v>
      </c>
      <c r="Q72" s="160">
        <f>InputData!$C$11</f>
        <v>0.02</v>
      </c>
      <c r="R72" s="160">
        <f>InputData!$C$12</f>
        <v>0.02</v>
      </c>
      <c r="S72" s="160">
        <f>InputData!$C$13</f>
        <v>0.9</v>
      </c>
      <c r="T72" s="116">
        <f>InputData!$C$88</f>
        <v>180000</v>
      </c>
      <c r="U72" s="116">
        <f>InputData!$C$81</f>
        <v>178500</v>
      </c>
      <c r="V72" s="116">
        <f>InputData!$C$82</f>
        <v>303960</v>
      </c>
      <c r="W72" s="116">
        <f>InputData!$C$84</f>
        <v>215220</v>
      </c>
      <c r="X72" s="116">
        <f>InputData!$C$85</f>
        <v>409020</v>
      </c>
      <c r="Y72" s="116">
        <f>InputData!$C$116</f>
        <v>140000</v>
      </c>
      <c r="Z72" s="160">
        <f>InputData!$E$13</f>
        <v>0</v>
      </c>
    </row>
    <row r="73" spans="1:26" x14ac:dyDescent="0.25">
      <c r="A73">
        <f>InputData!$K$1</f>
        <v>2013</v>
      </c>
      <c r="B73" t="str">
        <f>InputData!$G$1</f>
        <v>San Antonio, TX</v>
      </c>
      <c r="C73" t="s">
        <v>11</v>
      </c>
      <c r="D73" t="str">
        <f>Graph_IntMed!$E$6</f>
        <v>STD10</v>
      </c>
      <c r="E73" t="str">
        <f t="shared" si="1"/>
        <v>Internal Medicine STD10</v>
      </c>
      <c r="F73">
        <f>Graph_IntMed!$A18</f>
        <v>2024</v>
      </c>
      <c r="G73">
        <f>Graph_IntMed!$B18</f>
        <v>12</v>
      </c>
      <c r="H73" s="165">
        <f>Graph_IntMed!$E18</f>
        <v>306376.37954801781</v>
      </c>
      <c r="I73" s="160">
        <f>InputData!$C$3</f>
        <v>0.02</v>
      </c>
      <c r="J73" s="160">
        <f>InputData!$C$4</f>
        <v>0.01</v>
      </c>
      <c r="K73" s="160">
        <f>InputData!$C$5</f>
        <v>0.01</v>
      </c>
      <c r="L73" s="160">
        <f>InputData!$C$6</f>
        <v>6.2100000000000002E-2</v>
      </c>
      <c r="M73" s="160">
        <f>InputData!$C$7</f>
        <v>0.03</v>
      </c>
      <c r="N73" s="160">
        <f>InputData!$C$8</f>
        <v>0.02</v>
      </c>
      <c r="O73" s="160">
        <f>InputData!$C$9</f>
        <v>0.06</v>
      </c>
      <c r="P73" s="160">
        <f>InputData!$C$10</f>
        <v>0.02</v>
      </c>
      <c r="Q73" s="160">
        <f>InputData!$C$11</f>
        <v>0.02</v>
      </c>
      <c r="R73" s="160">
        <f>InputData!$C$12</f>
        <v>0.02</v>
      </c>
      <c r="S73" s="160">
        <f>InputData!$C$13</f>
        <v>0.9</v>
      </c>
      <c r="T73" s="116">
        <f>InputData!$C$88</f>
        <v>180000</v>
      </c>
      <c r="U73" s="116">
        <f>InputData!$C$81</f>
        <v>178500</v>
      </c>
      <c r="V73" s="116">
        <f>InputData!$C$82</f>
        <v>303960</v>
      </c>
      <c r="W73" s="116">
        <f>InputData!$C$84</f>
        <v>215220</v>
      </c>
      <c r="X73" s="116">
        <f>InputData!$C$85</f>
        <v>409020</v>
      </c>
      <c r="Y73" s="116">
        <f>InputData!$C$116</f>
        <v>140000</v>
      </c>
      <c r="Z73" s="160">
        <f>InputData!$E$13</f>
        <v>0</v>
      </c>
    </row>
    <row r="74" spans="1:26" x14ac:dyDescent="0.25">
      <c r="A74">
        <f>InputData!$K$1</f>
        <v>2013</v>
      </c>
      <c r="B74" t="str">
        <f>InputData!$G$1</f>
        <v>San Antonio, TX</v>
      </c>
      <c r="C74" t="s">
        <v>11</v>
      </c>
      <c r="D74" t="str">
        <f>Graph_IntMed!$E$6</f>
        <v>STD10</v>
      </c>
      <c r="E74" t="str">
        <f t="shared" si="1"/>
        <v>Internal Medicine STD10</v>
      </c>
      <c r="F74">
        <f>Graph_IntMed!$A19</f>
        <v>2025</v>
      </c>
      <c r="G74">
        <f>Graph_IntMed!$B19</f>
        <v>13</v>
      </c>
      <c r="H74" s="165">
        <f>Graph_IntMed!$E19</f>
        <v>381452.78567243472</v>
      </c>
      <c r="I74" s="160">
        <f>InputData!$C$3</f>
        <v>0.02</v>
      </c>
      <c r="J74" s="160">
        <f>InputData!$C$4</f>
        <v>0.01</v>
      </c>
      <c r="K74" s="160">
        <f>InputData!$C$5</f>
        <v>0.01</v>
      </c>
      <c r="L74" s="160">
        <f>InputData!$C$6</f>
        <v>6.2100000000000002E-2</v>
      </c>
      <c r="M74" s="160">
        <f>InputData!$C$7</f>
        <v>0.03</v>
      </c>
      <c r="N74" s="160">
        <f>InputData!$C$8</f>
        <v>0.02</v>
      </c>
      <c r="O74" s="160">
        <f>InputData!$C$9</f>
        <v>0.06</v>
      </c>
      <c r="P74" s="160">
        <f>InputData!$C$10</f>
        <v>0.02</v>
      </c>
      <c r="Q74" s="160">
        <f>InputData!$C$11</f>
        <v>0.02</v>
      </c>
      <c r="R74" s="160">
        <f>InputData!$C$12</f>
        <v>0.02</v>
      </c>
      <c r="S74" s="160">
        <f>InputData!$C$13</f>
        <v>0.9</v>
      </c>
      <c r="T74" s="116">
        <f>InputData!$C$88</f>
        <v>180000</v>
      </c>
      <c r="U74" s="116">
        <f>InputData!$C$81</f>
        <v>178500</v>
      </c>
      <c r="V74" s="116">
        <f>InputData!$C$82</f>
        <v>303960</v>
      </c>
      <c r="W74" s="116">
        <f>InputData!$C$84</f>
        <v>215220</v>
      </c>
      <c r="X74" s="116">
        <f>InputData!$C$85</f>
        <v>409020</v>
      </c>
      <c r="Y74" s="116">
        <f>InputData!$C$116</f>
        <v>140000</v>
      </c>
      <c r="Z74" s="160">
        <f>InputData!$E$13</f>
        <v>0</v>
      </c>
    </row>
    <row r="75" spans="1:26" x14ac:dyDescent="0.25">
      <c r="A75">
        <f>InputData!$K$1</f>
        <v>2013</v>
      </c>
      <c r="B75" t="str">
        <f>InputData!$G$1</f>
        <v>San Antonio, TX</v>
      </c>
      <c r="C75" t="s">
        <v>11</v>
      </c>
      <c r="D75" t="str">
        <f>Graph_IntMed!$E$6</f>
        <v>STD10</v>
      </c>
      <c r="E75" t="str">
        <f t="shared" si="1"/>
        <v>Internal Medicine STD10</v>
      </c>
      <c r="F75">
        <f>Graph_IntMed!$A20</f>
        <v>2026</v>
      </c>
      <c r="G75">
        <f>Graph_IntMed!$B20</f>
        <v>14</v>
      </c>
      <c r="H75" s="165">
        <f>Graph_IntMed!$E20</f>
        <v>455579.76237585605</v>
      </c>
      <c r="I75" s="160">
        <f>InputData!$C$3</f>
        <v>0.02</v>
      </c>
      <c r="J75" s="160">
        <f>InputData!$C$4</f>
        <v>0.01</v>
      </c>
      <c r="K75" s="160">
        <f>InputData!$C$5</f>
        <v>0.01</v>
      </c>
      <c r="L75" s="160">
        <f>InputData!$C$6</f>
        <v>6.2100000000000002E-2</v>
      </c>
      <c r="M75" s="160">
        <f>InputData!$C$7</f>
        <v>0.03</v>
      </c>
      <c r="N75" s="160">
        <f>InputData!$C$8</f>
        <v>0.02</v>
      </c>
      <c r="O75" s="160">
        <f>InputData!$C$9</f>
        <v>0.06</v>
      </c>
      <c r="P75" s="160">
        <f>InputData!$C$10</f>
        <v>0.02</v>
      </c>
      <c r="Q75" s="160">
        <f>InputData!$C$11</f>
        <v>0.02</v>
      </c>
      <c r="R75" s="160">
        <f>InputData!$C$12</f>
        <v>0.02</v>
      </c>
      <c r="S75" s="160">
        <f>InputData!$C$13</f>
        <v>0.9</v>
      </c>
      <c r="T75" s="116">
        <f>InputData!$C$88</f>
        <v>180000</v>
      </c>
      <c r="U75" s="116">
        <f>InputData!$C$81</f>
        <v>178500</v>
      </c>
      <c r="V75" s="116">
        <f>InputData!$C$82</f>
        <v>303960</v>
      </c>
      <c r="W75" s="116">
        <f>InputData!$C$84</f>
        <v>215220</v>
      </c>
      <c r="X75" s="116">
        <f>InputData!$C$85</f>
        <v>409020</v>
      </c>
      <c r="Y75" s="116">
        <f>InputData!$C$116</f>
        <v>140000</v>
      </c>
      <c r="Z75" s="160">
        <f>InputData!$E$13</f>
        <v>0</v>
      </c>
    </row>
    <row r="76" spans="1:26" x14ac:dyDescent="0.25">
      <c r="A76">
        <f>InputData!$K$1</f>
        <v>2013</v>
      </c>
      <c r="B76" t="str">
        <f>InputData!$G$1</f>
        <v>San Antonio, TX</v>
      </c>
      <c r="C76" t="s">
        <v>11</v>
      </c>
      <c r="D76" t="str">
        <f>Graph_IntMed!$E$6</f>
        <v>STD10</v>
      </c>
      <c r="E76" t="str">
        <f t="shared" si="1"/>
        <v>Internal Medicine STD10</v>
      </c>
      <c r="F76">
        <f>Graph_IntMed!$A21</f>
        <v>2027</v>
      </c>
      <c r="G76">
        <f>Graph_IntMed!$B21</f>
        <v>15</v>
      </c>
      <c r="H76" s="165">
        <f>Graph_IntMed!$E21</f>
        <v>528692.1950825532</v>
      </c>
      <c r="I76" s="160">
        <f>InputData!$C$3</f>
        <v>0.02</v>
      </c>
      <c r="J76" s="160">
        <f>InputData!$C$4</f>
        <v>0.01</v>
      </c>
      <c r="K76" s="160">
        <f>InputData!$C$5</f>
        <v>0.01</v>
      </c>
      <c r="L76" s="160">
        <f>InputData!$C$6</f>
        <v>6.2100000000000002E-2</v>
      </c>
      <c r="M76" s="160">
        <f>InputData!$C$7</f>
        <v>0.03</v>
      </c>
      <c r="N76" s="160">
        <f>InputData!$C$8</f>
        <v>0.02</v>
      </c>
      <c r="O76" s="160">
        <f>InputData!$C$9</f>
        <v>0.06</v>
      </c>
      <c r="P76" s="160">
        <f>InputData!$C$10</f>
        <v>0.02</v>
      </c>
      <c r="Q76" s="160">
        <f>InputData!$C$11</f>
        <v>0.02</v>
      </c>
      <c r="R76" s="160">
        <f>InputData!$C$12</f>
        <v>0.02</v>
      </c>
      <c r="S76" s="160">
        <f>InputData!$C$13</f>
        <v>0.9</v>
      </c>
      <c r="T76" s="116">
        <f>InputData!$C$88</f>
        <v>180000</v>
      </c>
      <c r="U76" s="116">
        <f>InputData!$C$81</f>
        <v>178500</v>
      </c>
      <c r="V76" s="116">
        <f>InputData!$C$82</f>
        <v>303960</v>
      </c>
      <c r="W76" s="116">
        <f>InputData!$C$84</f>
        <v>215220</v>
      </c>
      <c r="X76" s="116">
        <f>InputData!$C$85</f>
        <v>409020</v>
      </c>
      <c r="Y76" s="116">
        <f>InputData!$C$116</f>
        <v>140000</v>
      </c>
      <c r="Z76" s="160">
        <f>InputData!$E$13</f>
        <v>0</v>
      </c>
    </row>
    <row r="77" spans="1:26" x14ac:dyDescent="0.25">
      <c r="A77">
        <f>InputData!$K$1</f>
        <v>2013</v>
      </c>
      <c r="B77" t="str">
        <f>InputData!$G$1</f>
        <v>San Antonio, TX</v>
      </c>
      <c r="C77" t="s">
        <v>11</v>
      </c>
      <c r="D77" t="str">
        <f>Graph_IntMed!$E$6</f>
        <v>STD10</v>
      </c>
      <c r="E77" t="str">
        <f t="shared" si="1"/>
        <v>Internal Medicine STD10</v>
      </c>
      <c r="F77">
        <f>Graph_IntMed!$A22</f>
        <v>2028</v>
      </c>
      <c r="G77">
        <f>Graph_IntMed!$B22</f>
        <v>16</v>
      </c>
      <c r="H77" s="165">
        <f>Graph_IntMed!$E22</f>
        <v>600784.66425864561</v>
      </c>
      <c r="I77" s="160">
        <f>InputData!$C$3</f>
        <v>0.02</v>
      </c>
      <c r="J77" s="160">
        <f>InputData!$C$4</f>
        <v>0.01</v>
      </c>
      <c r="K77" s="160">
        <f>InputData!$C$5</f>
        <v>0.01</v>
      </c>
      <c r="L77" s="160">
        <f>InputData!$C$6</f>
        <v>6.2100000000000002E-2</v>
      </c>
      <c r="M77" s="160">
        <f>InputData!$C$7</f>
        <v>0.03</v>
      </c>
      <c r="N77" s="160">
        <f>InputData!$C$8</f>
        <v>0.02</v>
      </c>
      <c r="O77" s="160">
        <f>InputData!$C$9</f>
        <v>0.06</v>
      </c>
      <c r="P77" s="160">
        <f>InputData!$C$10</f>
        <v>0.02</v>
      </c>
      <c r="Q77" s="160">
        <f>InputData!$C$11</f>
        <v>0.02</v>
      </c>
      <c r="R77" s="160">
        <f>InputData!$C$12</f>
        <v>0.02</v>
      </c>
      <c r="S77" s="160">
        <f>InputData!$C$13</f>
        <v>0.9</v>
      </c>
      <c r="T77" s="116">
        <f>InputData!$C$88</f>
        <v>180000</v>
      </c>
      <c r="U77" s="116">
        <f>InputData!$C$81</f>
        <v>178500</v>
      </c>
      <c r="V77" s="116">
        <f>InputData!$C$82</f>
        <v>303960</v>
      </c>
      <c r="W77" s="116">
        <f>InputData!$C$84</f>
        <v>215220</v>
      </c>
      <c r="X77" s="116">
        <f>InputData!$C$85</f>
        <v>409020</v>
      </c>
      <c r="Y77" s="116">
        <f>InputData!$C$116</f>
        <v>140000</v>
      </c>
      <c r="Z77" s="160">
        <f>InputData!$E$13</f>
        <v>0</v>
      </c>
    </row>
    <row r="78" spans="1:26" x14ac:dyDescent="0.25">
      <c r="A78">
        <f>InputData!$K$1</f>
        <v>2013</v>
      </c>
      <c r="B78" t="str">
        <f>InputData!$G$1</f>
        <v>San Antonio, TX</v>
      </c>
      <c r="C78" t="s">
        <v>11</v>
      </c>
      <c r="D78" t="str">
        <f>Graph_IntMed!$E$6</f>
        <v>STD10</v>
      </c>
      <c r="E78" t="str">
        <f t="shared" si="1"/>
        <v>Internal Medicine STD10</v>
      </c>
      <c r="F78">
        <f>Graph_IntMed!$A23</f>
        <v>2029</v>
      </c>
      <c r="G78">
        <f>Graph_IntMed!$B23</f>
        <v>17</v>
      </c>
      <c r="H78" s="165">
        <f>Graph_IntMed!$E23</f>
        <v>671855.95062953397</v>
      </c>
      <c r="I78" s="160">
        <f>InputData!$C$3</f>
        <v>0.02</v>
      </c>
      <c r="J78" s="160">
        <f>InputData!$C$4</f>
        <v>0.01</v>
      </c>
      <c r="K78" s="160">
        <f>InputData!$C$5</f>
        <v>0.01</v>
      </c>
      <c r="L78" s="160">
        <f>InputData!$C$6</f>
        <v>6.2100000000000002E-2</v>
      </c>
      <c r="M78" s="160">
        <f>InputData!$C$7</f>
        <v>0.03</v>
      </c>
      <c r="N78" s="160">
        <f>InputData!$C$8</f>
        <v>0.02</v>
      </c>
      <c r="O78" s="160">
        <f>InputData!$C$9</f>
        <v>0.06</v>
      </c>
      <c r="P78" s="160">
        <f>InputData!$C$10</f>
        <v>0.02</v>
      </c>
      <c r="Q78" s="160">
        <f>InputData!$C$11</f>
        <v>0.02</v>
      </c>
      <c r="R78" s="160">
        <f>InputData!$C$12</f>
        <v>0.02</v>
      </c>
      <c r="S78" s="160">
        <f>InputData!$C$13</f>
        <v>0.9</v>
      </c>
      <c r="T78" s="116">
        <f>InputData!$C$88</f>
        <v>180000</v>
      </c>
      <c r="U78" s="116">
        <f>InputData!$C$81</f>
        <v>178500</v>
      </c>
      <c r="V78" s="116">
        <f>InputData!$C$82</f>
        <v>303960</v>
      </c>
      <c r="W78" s="116">
        <f>InputData!$C$84</f>
        <v>215220</v>
      </c>
      <c r="X78" s="116">
        <f>InputData!$C$85</f>
        <v>409020</v>
      </c>
      <c r="Y78" s="116">
        <f>InputData!$C$116</f>
        <v>140000</v>
      </c>
      <c r="Z78" s="160">
        <f>InputData!$E$13</f>
        <v>0</v>
      </c>
    </row>
    <row r="79" spans="1:26" x14ac:dyDescent="0.25">
      <c r="A79">
        <f>InputData!$K$1</f>
        <v>2013</v>
      </c>
      <c r="B79" t="str">
        <f>InputData!$G$1</f>
        <v>San Antonio, TX</v>
      </c>
      <c r="C79" t="s">
        <v>11</v>
      </c>
      <c r="D79" t="str">
        <f>Graph_IntMed!$E$6</f>
        <v>STD10</v>
      </c>
      <c r="E79" t="str">
        <f t="shared" si="1"/>
        <v>Internal Medicine STD10</v>
      </c>
      <c r="F79">
        <f>Graph_IntMed!$A24</f>
        <v>2030</v>
      </c>
      <c r="G79">
        <f>Graph_IntMed!$B24</f>
        <v>18</v>
      </c>
      <c r="H79" s="165">
        <f>Graph_IntMed!$E24</f>
        <v>756455.63936790894</v>
      </c>
      <c r="I79" s="160">
        <f>InputData!$C$3</f>
        <v>0.02</v>
      </c>
      <c r="J79" s="160">
        <f>InputData!$C$4</f>
        <v>0.01</v>
      </c>
      <c r="K79" s="160">
        <f>InputData!$C$5</f>
        <v>0.01</v>
      </c>
      <c r="L79" s="160">
        <f>InputData!$C$6</f>
        <v>6.2100000000000002E-2</v>
      </c>
      <c r="M79" s="160">
        <f>InputData!$C$7</f>
        <v>0.03</v>
      </c>
      <c r="N79" s="160">
        <f>InputData!$C$8</f>
        <v>0.02</v>
      </c>
      <c r="O79" s="160">
        <f>InputData!$C$9</f>
        <v>0.06</v>
      </c>
      <c r="P79" s="160">
        <f>InputData!$C$10</f>
        <v>0.02</v>
      </c>
      <c r="Q79" s="160">
        <f>InputData!$C$11</f>
        <v>0.02</v>
      </c>
      <c r="R79" s="160">
        <f>InputData!$C$12</f>
        <v>0.02</v>
      </c>
      <c r="S79" s="160">
        <f>InputData!$C$13</f>
        <v>0.9</v>
      </c>
      <c r="T79" s="116">
        <f>InputData!$C$88</f>
        <v>180000</v>
      </c>
      <c r="U79" s="116">
        <f>InputData!$C$81</f>
        <v>178500</v>
      </c>
      <c r="V79" s="116">
        <f>InputData!$C$82</f>
        <v>303960</v>
      </c>
      <c r="W79" s="116">
        <f>InputData!$C$84</f>
        <v>215220</v>
      </c>
      <c r="X79" s="116">
        <f>InputData!$C$85</f>
        <v>409020</v>
      </c>
      <c r="Y79" s="116">
        <f>InputData!$C$116</f>
        <v>140000</v>
      </c>
      <c r="Z79" s="160">
        <f>InputData!$E$13</f>
        <v>0</v>
      </c>
    </row>
    <row r="80" spans="1:26" x14ac:dyDescent="0.25">
      <c r="A80">
        <f>InputData!$K$1</f>
        <v>2013</v>
      </c>
      <c r="B80" t="str">
        <f>InputData!$G$1</f>
        <v>San Antonio, TX</v>
      </c>
      <c r="C80" t="s">
        <v>11</v>
      </c>
      <c r="D80" t="str">
        <f>Graph_IntMed!$E$6</f>
        <v>STD10</v>
      </c>
      <c r="E80" t="str">
        <f t="shared" si="1"/>
        <v>Internal Medicine STD10</v>
      </c>
      <c r="F80">
        <f>Graph_IntMed!$A25</f>
        <v>2031</v>
      </c>
      <c r="G80">
        <f>Graph_IntMed!$B25</f>
        <v>19</v>
      </c>
      <c r="H80" s="165">
        <f>Graph_IntMed!$E25</f>
        <v>839334.12678126583</v>
      </c>
      <c r="I80" s="160">
        <f>InputData!$C$3</f>
        <v>0.02</v>
      </c>
      <c r="J80" s="160">
        <f>InputData!$C$4</f>
        <v>0.01</v>
      </c>
      <c r="K80" s="160">
        <f>InputData!$C$5</f>
        <v>0.01</v>
      </c>
      <c r="L80" s="160">
        <f>InputData!$C$6</f>
        <v>6.2100000000000002E-2</v>
      </c>
      <c r="M80" s="160">
        <f>InputData!$C$7</f>
        <v>0.03</v>
      </c>
      <c r="N80" s="160">
        <f>InputData!$C$8</f>
        <v>0.02</v>
      </c>
      <c r="O80" s="160">
        <f>InputData!$C$9</f>
        <v>0.06</v>
      </c>
      <c r="P80" s="160">
        <f>InputData!$C$10</f>
        <v>0.02</v>
      </c>
      <c r="Q80" s="160">
        <f>InputData!$C$11</f>
        <v>0.02</v>
      </c>
      <c r="R80" s="160">
        <f>InputData!$C$12</f>
        <v>0.02</v>
      </c>
      <c r="S80" s="160">
        <f>InputData!$C$13</f>
        <v>0.9</v>
      </c>
      <c r="T80" s="116">
        <f>InputData!$C$88</f>
        <v>180000</v>
      </c>
      <c r="U80" s="116">
        <f>InputData!$C$81</f>
        <v>178500</v>
      </c>
      <c r="V80" s="116">
        <f>InputData!$C$82</f>
        <v>303960</v>
      </c>
      <c r="W80" s="116">
        <f>InputData!$C$84</f>
        <v>215220</v>
      </c>
      <c r="X80" s="116">
        <f>InputData!$C$85</f>
        <v>409020</v>
      </c>
      <c r="Y80" s="116">
        <f>InputData!$C$116</f>
        <v>140000</v>
      </c>
      <c r="Z80" s="160">
        <f>InputData!$E$13</f>
        <v>0</v>
      </c>
    </row>
    <row r="81" spans="1:26" x14ac:dyDescent="0.25">
      <c r="A81">
        <f>InputData!$K$1</f>
        <v>2013</v>
      </c>
      <c r="B81" t="str">
        <f>InputData!$G$1</f>
        <v>San Antonio, TX</v>
      </c>
      <c r="C81" t="s">
        <v>11</v>
      </c>
      <c r="D81" t="str">
        <f>Graph_IntMed!$E$6</f>
        <v>STD10</v>
      </c>
      <c r="E81" t="str">
        <f t="shared" si="1"/>
        <v>Internal Medicine STD10</v>
      </c>
      <c r="F81">
        <f>Graph_IntMed!$A26</f>
        <v>2032</v>
      </c>
      <c r="G81">
        <f>Graph_IntMed!$B26</f>
        <v>20</v>
      </c>
      <c r="H81" s="165">
        <f>Graph_IntMed!$E26</f>
        <v>920526.97892195347</v>
      </c>
      <c r="I81" s="160">
        <f>InputData!$C$3</f>
        <v>0.02</v>
      </c>
      <c r="J81" s="160">
        <f>InputData!$C$4</f>
        <v>0.01</v>
      </c>
      <c r="K81" s="160">
        <f>InputData!$C$5</f>
        <v>0.01</v>
      </c>
      <c r="L81" s="160">
        <f>InputData!$C$6</f>
        <v>6.2100000000000002E-2</v>
      </c>
      <c r="M81" s="160">
        <f>InputData!$C$7</f>
        <v>0.03</v>
      </c>
      <c r="N81" s="160">
        <f>InputData!$C$8</f>
        <v>0.02</v>
      </c>
      <c r="O81" s="160">
        <f>InputData!$C$9</f>
        <v>0.06</v>
      </c>
      <c r="P81" s="160">
        <f>InputData!$C$10</f>
        <v>0.02</v>
      </c>
      <c r="Q81" s="160">
        <f>InputData!$C$11</f>
        <v>0.02</v>
      </c>
      <c r="R81" s="160">
        <f>InputData!$C$12</f>
        <v>0.02</v>
      </c>
      <c r="S81" s="160">
        <f>InputData!$C$13</f>
        <v>0.9</v>
      </c>
      <c r="T81" s="116">
        <f>InputData!$C$88</f>
        <v>180000</v>
      </c>
      <c r="U81" s="116">
        <f>InputData!$C$81</f>
        <v>178500</v>
      </c>
      <c r="V81" s="116">
        <f>InputData!$C$82</f>
        <v>303960</v>
      </c>
      <c r="W81" s="116">
        <f>InputData!$C$84</f>
        <v>215220</v>
      </c>
      <c r="X81" s="116">
        <f>InputData!$C$85</f>
        <v>409020</v>
      </c>
      <c r="Y81" s="116">
        <f>InputData!$C$116</f>
        <v>140000</v>
      </c>
      <c r="Z81" s="160">
        <f>InputData!$E$13</f>
        <v>0</v>
      </c>
    </row>
    <row r="82" spans="1:26" x14ac:dyDescent="0.25">
      <c r="A82">
        <f>InputData!$K$1</f>
        <v>2013</v>
      </c>
      <c r="B82" t="str">
        <f>InputData!$G$1</f>
        <v>San Antonio, TX</v>
      </c>
      <c r="C82" t="s">
        <v>11</v>
      </c>
      <c r="D82" t="str">
        <f>Graph_IntMed!$E$6</f>
        <v>STD10</v>
      </c>
      <c r="E82" t="str">
        <f t="shared" si="1"/>
        <v>Internal Medicine STD10</v>
      </c>
      <c r="F82">
        <f>Graph_IntMed!$A27</f>
        <v>2033</v>
      </c>
      <c r="G82">
        <f>Graph_IntMed!$B27</f>
        <v>21</v>
      </c>
      <c r="H82" s="165">
        <f>Graph_IntMed!$E27</f>
        <v>1000069.0115462184</v>
      </c>
      <c r="I82" s="160">
        <f>InputData!$C$3</f>
        <v>0.02</v>
      </c>
      <c r="J82" s="160">
        <f>InputData!$C$4</f>
        <v>0.01</v>
      </c>
      <c r="K82" s="160">
        <f>InputData!$C$5</f>
        <v>0.01</v>
      </c>
      <c r="L82" s="160">
        <f>InputData!$C$6</f>
        <v>6.2100000000000002E-2</v>
      </c>
      <c r="M82" s="160">
        <f>InputData!$C$7</f>
        <v>0.03</v>
      </c>
      <c r="N82" s="160">
        <f>InputData!$C$8</f>
        <v>0.02</v>
      </c>
      <c r="O82" s="160">
        <f>InputData!$C$9</f>
        <v>0.06</v>
      </c>
      <c r="P82" s="160">
        <f>InputData!$C$10</f>
        <v>0.02</v>
      </c>
      <c r="Q82" s="160">
        <f>InputData!$C$11</f>
        <v>0.02</v>
      </c>
      <c r="R82" s="160">
        <f>InputData!$C$12</f>
        <v>0.02</v>
      </c>
      <c r="S82" s="160">
        <f>InputData!$C$13</f>
        <v>0.9</v>
      </c>
      <c r="T82" s="116">
        <f>InputData!$C$88</f>
        <v>180000</v>
      </c>
      <c r="U82" s="116">
        <f>InputData!$C$81</f>
        <v>178500</v>
      </c>
      <c r="V82" s="116">
        <f>InputData!$C$82</f>
        <v>303960</v>
      </c>
      <c r="W82" s="116">
        <f>InputData!$C$84</f>
        <v>215220</v>
      </c>
      <c r="X82" s="116">
        <f>InputData!$C$85</f>
        <v>409020</v>
      </c>
      <c r="Y82" s="116">
        <f>InputData!$C$116</f>
        <v>140000</v>
      </c>
      <c r="Z82" s="160">
        <f>InputData!$E$13</f>
        <v>0</v>
      </c>
    </row>
    <row r="83" spans="1:26" x14ac:dyDescent="0.25">
      <c r="A83">
        <f>InputData!$K$1</f>
        <v>2013</v>
      </c>
      <c r="B83" t="str">
        <f>InputData!$G$1</f>
        <v>San Antonio, TX</v>
      </c>
      <c r="C83" t="s">
        <v>11</v>
      </c>
      <c r="D83" t="str">
        <f>Graph_IntMed!$E$6</f>
        <v>STD10</v>
      </c>
      <c r="E83" t="str">
        <f t="shared" si="1"/>
        <v>Internal Medicine STD10</v>
      </c>
      <c r="F83">
        <f>Graph_IntMed!$A28</f>
        <v>2034</v>
      </c>
      <c r="G83">
        <f>Graph_IntMed!$B28</f>
        <v>22</v>
      </c>
      <c r="H83" s="165">
        <f>Graph_IntMed!$E28</f>
        <v>1077994.3063673258</v>
      </c>
      <c r="I83" s="160">
        <f>InputData!$C$3</f>
        <v>0.02</v>
      </c>
      <c r="J83" s="160">
        <f>InputData!$C$4</f>
        <v>0.01</v>
      </c>
      <c r="K83" s="160">
        <f>InputData!$C$5</f>
        <v>0.01</v>
      </c>
      <c r="L83" s="160">
        <f>InputData!$C$6</f>
        <v>6.2100000000000002E-2</v>
      </c>
      <c r="M83" s="160">
        <f>InputData!$C$7</f>
        <v>0.03</v>
      </c>
      <c r="N83" s="160">
        <f>InputData!$C$8</f>
        <v>0.02</v>
      </c>
      <c r="O83" s="160">
        <f>InputData!$C$9</f>
        <v>0.06</v>
      </c>
      <c r="P83" s="160">
        <f>InputData!$C$10</f>
        <v>0.02</v>
      </c>
      <c r="Q83" s="160">
        <f>InputData!$C$11</f>
        <v>0.02</v>
      </c>
      <c r="R83" s="160">
        <f>InputData!$C$12</f>
        <v>0.02</v>
      </c>
      <c r="S83" s="160">
        <f>InputData!$C$13</f>
        <v>0.9</v>
      </c>
      <c r="T83" s="116">
        <f>InputData!$C$88</f>
        <v>180000</v>
      </c>
      <c r="U83" s="116">
        <f>InputData!$C$81</f>
        <v>178500</v>
      </c>
      <c r="V83" s="116">
        <f>InputData!$C$82</f>
        <v>303960</v>
      </c>
      <c r="W83" s="116">
        <f>InputData!$C$84</f>
        <v>215220</v>
      </c>
      <c r="X83" s="116">
        <f>InputData!$C$85</f>
        <v>409020</v>
      </c>
      <c r="Y83" s="116">
        <f>InputData!$C$116</f>
        <v>140000</v>
      </c>
      <c r="Z83" s="160">
        <f>InputData!$E$13</f>
        <v>0</v>
      </c>
    </row>
    <row r="84" spans="1:26" x14ac:dyDescent="0.25">
      <c r="A84">
        <f>InputData!$K$1</f>
        <v>2013</v>
      </c>
      <c r="B84" t="str">
        <f>InputData!$G$1</f>
        <v>San Antonio, TX</v>
      </c>
      <c r="C84" t="s">
        <v>11</v>
      </c>
      <c r="D84" t="str">
        <f>Graph_IntMed!$E$6</f>
        <v>STD10</v>
      </c>
      <c r="E84" t="str">
        <f t="shared" si="1"/>
        <v>Internal Medicine STD10</v>
      </c>
      <c r="F84">
        <f>Graph_IntMed!$A29</f>
        <v>2035</v>
      </c>
      <c r="G84">
        <f>Graph_IntMed!$B29</f>
        <v>23</v>
      </c>
      <c r="H84" s="165">
        <f>Graph_IntMed!$E29</f>
        <v>1154336.2269450962</v>
      </c>
      <c r="I84" s="160">
        <f>InputData!$C$3</f>
        <v>0.02</v>
      </c>
      <c r="J84" s="160">
        <f>InputData!$C$4</f>
        <v>0.01</v>
      </c>
      <c r="K84" s="160">
        <f>InputData!$C$5</f>
        <v>0.01</v>
      </c>
      <c r="L84" s="160">
        <f>InputData!$C$6</f>
        <v>6.2100000000000002E-2</v>
      </c>
      <c r="M84" s="160">
        <f>InputData!$C$7</f>
        <v>0.03</v>
      </c>
      <c r="N84" s="160">
        <f>InputData!$C$8</f>
        <v>0.02</v>
      </c>
      <c r="O84" s="160">
        <f>InputData!$C$9</f>
        <v>0.06</v>
      </c>
      <c r="P84" s="160">
        <f>InputData!$C$10</f>
        <v>0.02</v>
      </c>
      <c r="Q84" s="160">
        <f>InputData!$C$11</f>
        <v>0.02</v>
      </c>
      <c r="R84" s="160">
        <f>InputData!$C$12</f>
        <v>0.02</v>
      </c>
      <c r="S84" s="160">
        <f>InputData!$C$13</f>
        <v>0.9</v>
      </c>
      <c r="T84" s="116">
        <f>InputData!$C$88</f>
        <v>180000</v>
      </c>
      <c r="U84" s="116">
        <f>InputData!$C$81</f>
        <v>178500</v>
      </c>
      <c r="V84" s="116">
        <f>InputData!$C$82</f>
        <v>303960</v>
      </c>
      <c r="W84" s="116">
        <f>InputData!$C$84</f>
        <v>215220</v>
      </c>
      <c r="X84" s="116">
        <f>InputData!$C$85</f>
        <v>409020</v>
      </c>
      <c r="Y84" s="116">
        <f>InputData!$C$116</f>
        <v>140000</v>
      </c>
      <c r="Z84" s="160">
        <f>InputData!$E$13</f>
        <v>0</v>
      </c>
    </row>
    <row r="85" spans="1:26" x14ac:dyDescent="0.25">
      <c r="A85">
        <f>InputData!$K$1</f>
        <v>2013</v>
      </c>
      <c r="B85" t="str">
        <f>InputData!$G$1</f>
        <v>San Antonio, TX</v>
      </c>
      <c r="C85" t="s">
        <v>11</v>
      </c>
      <c r="D85" t="str">
        <f>Graph_IntMed!$E$6</f>
        <v>STD10</v>
      </c>
      <c r="E85" t="str">
        <f t="shared" si="1"/>
        <v>Internal Medicine STD10</v>
      </c>
      <c r="F85">
        <f>Graph_IntMed!$A30</f>
        <v>2036</v>
      </c>
      <c r="G85">
        <f>Graph_IntMed!$B30</f>
        <v>24</v>
      </c>
      <c r="H85" s="165">
        <f>Graph_IntMed!$E30</f>
        <v>1229127.4342202926</v>
      </c>
      <c r="I85" s="160">
        <f>InputData!$C$3</f>
        <v>0.02</v>
      </c>
      <c r="J85" s="160">
        <f>InputData!$C$4</f>
        <v>0.01</v>
      </c>
      <c r="K85" s="160">
        <f>InputData!$C$5</f>
        <v>0.01</v>
      </c>
      <c r="L85" s="160">
        <f>InputData!$C$6</f>
        <v>6.2100000000000002E-2</v>
      </c>
      <c r="M85" s="160">
        <f>InputData!$C$7</f>
        <v>0.03</v>
      </c>
      <c r="N85" s="160">
        <f>InputData!$C$8</f>
        <v>0.02</v>
      </c>
      <c r="O85" s="160">
        <f>InputData!$C$9</f>
        <v>0.06</v>
      </c>
      <c r="P85" s="160">
        <f>InputData!$C$10</f>
        <v>0.02</v>
      </c>
      <c r="Q85" s="160">
        <f>InputData!$C$11</f>
        <v>0.02</v>
      </c>
      <c r="R85" s="160">
        <f>InputData!$C$12</f>
        <v>0.02</v>
      </c>
      <c r="S85" s="160">
        <f>InputData!$C$13</f>
        <v>0.9</v>
      </c>
      <c r="T85" s="116">
        <f>InputData!$C$88</f>
        <v>180000</v>
      </c>
      <c r="U85" s="116">
        <f>InputData!$C$81</f>
        <v>178500</v>
      </c>
      <c r="V85" s="116">
        <f>InputData!$C$82</f>
        <v>303960</v>
      </c>
      <c r="W85" s="116">
        <f>InputData!$C$84</f>
        <v>215220</v>
      </c>
      <c r="X85" s="116">
        <f>InputData!$C$85</f>
        <v>409020</v>
      </c>
      <c r="Y85" s="116">
        <f>InputData!$C$116</f>
        <v>140000</v>
      </c>
      <c r="Z85" s="160">
        <f>InputData!$E$13</f>
        <v>0</v>
      </c>
    </row>
    <row r="86" spans="1:26" x14ac:dyDescent="0.25">
      <c r="A86">
        <f>InputData!$K$1</f>
        <v>2013</v>
      </c>
      <c r="B86" t="str">
        <f>InputData!$G$1</f>
        <v>San Antonio, TX</v>
      </c>
      <c r="C86" t="s">
        <v>11</v>
      </c>
      <c r="D86" t="str">
        <f>Graph_IntMed!$E$6</f>
        <v>STD10</v>
      </c>
      <c r="E86" t="str">
        <f t="shared" si="1"/>
        <v>Internal Medicine STD10</v>
      </c>
      <c r="F86">
        <f>Graph_IntMed!$A31</f>
        <v>2037</v>
      </c>
      <c r="G86">
        <f>Graph_IntMed!$B31</f>
        <v>25</v>
      </c>
      <c r="H86" s="165">
        <f>Graph_IntMed!$E31</f>
        <v>1302399.901702096</v>
      </c>
      <c r="I86" s="160">
        <f>InputData!$C$3</f>
        <v>0.02</v>
      </c>
      <c r="J86" s="160">
        <f>InputData!$C$4</f>
        <v>0.01</v>
      </c>
      <c r="K86" s="160">
        <f>InputData!$C$5</f>
        <v>0.01</v>
      </c>
      <c r="L86" s="160">
        <f>InputData!$C$6</f>
        <v>6.2100000000000002E-2</v>
      </c>
      <c r="M86" s="160">
        <f>InputData!$C$7</f>
        <v>0.03</v>
      </c>
      <c r="N86" s="160">
        <f>InputData!$C$8</f>
        <v>0.02</v>
      </c>
      <c r="O86" s="160">
        <f>InputData!$C$9</f>
        <v>0.06</v>
      </c>
      <c r="P86" s="160">
        <f>InputData!$C$10</f>
        <v>0.02</v>
      </c>
      <c r="Q86" s="160">
        <f>InputData!$C$11</f>
        <v>0.02</v>
      </c>
      <c r="R86" s="160">
        <f>InputData!$C$12</f>
        <v>0.02</v>
      </c>
      <c r="S86" s="160">
        <f>InputData!$C$13</f>
        <v>0.9</v>
      </c>
      <c r="T86" s="116">
        <f>InputData!$C$88</f>
        <v>180000</v>
      </c>
      <c r="U86" s="116">
        <f>InputData!$C$81</f>
        <v>178500</v>
      </c>
      <c r="V86" s="116">
        <f>InputData!$C$82</f>
        <v>303960</v>
      </c>
      <c r="W86" s="116">
        <f>InputData!$C$84</f>
        <v>215220</v>
      </c>
      <c r="X86" s="116">
        <f>InputData!$C$85</f>
        <v>409020</v>
      </c>
      <c r="Y86" s="116">
        <f>InputData!$C$116</f>
        <v>140000</v>
      </c>
      <c r="Z86" s="160">
        <f>InputData!$E$13</f>
        <v>0</v>
      </c>
    </row>
    <row r="87" spans="1:26" x14ac:dyDescent="0.25">
      <c r="A87">
        <f>InputData!$K$1</f>
        <v>2013</v>
      </c>
      <c r="B87" t="str">
        <f>InputData!$G$1</f>
        <v>San Antonio, TX</v>
      </c>
      <c r="C87" t="s">
        <v>11</v>
      </c>
      <c r="D87" t="str">
        <f>Graph_IntMed!$E$6</f>
        <v>STD10</v>
      </c>
      <c r="E87" t="str">
        <f t="shared" si="1"/>
        <v>Internal Medicine STD10</v>
      </c>
      <c r="F87">
        <f>Graph_IntMed!$A32</f>
        <v>2038</v>
      </c>
      <c r="G87">
        <f>Graph_IntMed!$B32</f>
        <v>26</v>
      </c>
      <c r="H87" s="165">
        <f>Graph_IntMed!$E32</f>
        <v>1374184.9303166976</v>
      </c>
      <c r="I87" s="160">
        <f>InputData!$C$3</f>
        <v>0.02</v>
      </c>
      <c r="J87" s="160">
        <f>InputData!$C$4</f>
        <v>0.01</v>
      </c>
      <c r="K87" s="160">
        <f>InputData!$C$5</f>
        <v>0.01</v>
      </c>
      <c r="L87" s="160">
        <f>InputData!$C$6</f>
        <v>6.2100000000000002E-2</v>
      </c>
      <c r="M87" s="160">
        <f>InputData!$C$7</f>
        <v>0.03</v>
      </c>
      <c r="N87" s="160">
        <f>InputData!$C$8</f>
        <v>0.02</v>
      </c>
      <c r="O87" s="160">
        <f>InputData!$C$9</f>
        <v>0.06</v>
      </c>
      <c r="P87" s="160">
        <f>InputData!$C$10</f>
        <v>0.02</v>
      </c>
      <c r="Q87" s="160">
        <f>InputData!$C$11</f>
        <v>0.02</v>
      </c>
      <c r="R87" s="160">
        <f>InputData!$C$12</f>
        <v>0.02</v>
      </c>
      <c r="S87" s="160">
        <f>InputData!$C$13</f>
        <v>0.9</v>
      </c>
      <c r="T87" s="116">
        <f>InputData!$C$88</f>
        <v>180000</v>
      </c>
      <c r="U87" s="116">
        <f>InputData!$C$81</f>
        <v>178500</v>
      </c>
      <c r="V87" s="116">
        <f>InputData!$C$82</f>
        <v>303960</v>
      </c>
      <c r="W87" s="116">
        <f>InputData!$C$84</f>
        <v>215220</v>
      </c>
      <c r="X87" s="116">
        <f>InputData!$C$85</f>
        <v>409020</v>
      </c>
      <c r="Y87" s="116">
        <f>InputData!$C$116</f>
        <v>140000</v>
      </c>
      <c r="Z87" s="160">
        <f>InputData!$E$13</f>
        <v>0</v>
      </c>
    </row>
    <row r="88" spans="1:26" x14ac:dyDescent="0.25">
      <c r="A88">
        <f>InputData!$K$1</f>
        <v>2013</v>
      </c>
      <c r="B88" t="str">
        <f>InputData!$G$1</f>
        <v>San Antonio, TX</v>
      </c>
      <c r="C88" t="s">
        <v>11</v>
      </c>
      <c r="D88" t="str">
        <f>Graph_IntMed!$E$6</f>
        <v>STD10</v>
      </c>
      <c r="E88" t="str">
        <f t="shared" si="1"/>
        <v>Internal Medicine STD10</v>
      </c>
      <c r="F88">
        <f>Graph_IntMed!$A33</f>
        <v>2039</v>
      </c>
      <c r="G88">
        <f>Graph_IntMed!$B33</f>
        <v>27</v>
      </c>
      <c r="H88" s="165">
        <f>Graph_IntMed!$E33</f>
        <v>1444513.1629248548</v>
      </c>
      <c r="I88" s="160">
        <f>InputData!$C$3</f>
        <v>0.02</v>
      </c>
      <c r="J88" s="160">
        <f>InputData!$C$4</f>
        <v>0.01</v>
      </c>
      <c r="K88" s="160">
        <f>InputData!$C$5</f>
        <v>0.01</v>
      </c>
      <c r="L88" s="160">
        <f>InputData!$C$6</f>
        <v>6.2100000000000002E-2</v>
      </c>
      <c r="M88" s="160">
        <f>InputData!$C$7</f>
        <v>0.03</v>
      </c>
      <c r="N88" s="160">
        <f>InputData!$C$8</f>
        <v>0.02</v>
      </c>
      <c r="O88" s="160">
        <f>InputData!$C$9</f>
        <v>0.06</v>
      </c>
      <c r="P88" s="160">
        <f>InputData!$C$10</f>
        <v>0.02</v>
      </c>
      <c r="Q88" s="160">
        <f>InputData!$C$11</f>
        <v>0.02</v>
      </c>
      <c r="R88" s="160">
        <f>InputData!$C$12</f>
        <v>0.02</v>
      </c>
      <c r="S88" s="160">
        <f>InputData!$C$13</f>
        <v>0.9</v>
      </c>
      <c r="T88" s="116">
        <f>InputData!$C$88</f>
        <v>180000</v>
      </c>
      <c r="U88" s="116">
        <f>InputData!$C$81</f>
        <v>178500</v>
      </c>
      <c r="V88" s="116">
        <f>InputData!$C$82</f>
        <v>303960</v>
      </c>
      <c r="W88" s="116">
        <f>InputData!$C$84</f>
        <v>215220</v>
      </c>
      <c r="X88" s="116">
        <f>InputData!$C$85</f>
        <v>409020</v>
      </c>
      <c r="Y88" s="116">
        <f>InputData!$C$116</f>
        <v>140000</v>
      </c>
      <c r="Z88" s="160">
        <f>InputData!$E$13</f>
        <v>0</v>
      </c>
    </row>
    <row r="89" spans="1:26" x14ac:dyDescent="0.25">
      <c r="A89">
        <f>InputData!$K$1</f>
        <v>2013</v>
      </c>
      <c r="B89" t="str">
        <f>InputData!$G$1</f>
        <v>San Antonio, TX</v>
      </c>
      <c r="C89" t="s">
        <v>11</v>
      </c>
      <c r="D89" t="str">
        <f>Graph_IntMed!$E$6</f>
        <v>STD10</v>
      </c>
      <c r="E89" t="str">
        <f t="shared" si="1"/>
        <v>Internal Medicine STD10</v>
      </c>
      <c r="F89">
        <f>Graph_IntMed!$A34</f>
        <v>2040</v>
      </c>
      <c r="G89">
        <f>Graph_IntMed!$B34</f>
        <v>28</v>
      </c>
      <c r="H89" s="165">
        <f>Graph_IntMed!$E34</f>
        <v>1513414.5985160603</v>
      </c>
      <c r="I89" s="160">
        <f>InputData!$C$3</f>
        <v>0.02</v>
      </c>
      <c r="J89" s="160">
        <f>InputData!$C$4</f>
        <v>0.01</v>
      </c>
      <c r="K89" s="160">
        <f>InputData!$C$5</f>
        <v>0.01</v>
      </c>
      <c r="L89" s="160">
        <f>InputData!$C$6</f>
        <v>6.2100000000000002E-2</v>
      </c>
      <c r="M89" s="160">
        <f>InputData!$C$7</f>
        <v>0.03</v>
      </c>
      <c r="N89" s="160">
        <f>InputData!$C$8</f>
        <v>0.02</v>
      </c>
      <c r="O89" s="160">
        <f>InputData!$C$9</f>
        <v>0.06</v>
      </c>
      <c r="P89" s="160">
        <f>InputData!$C$10</f>
        <v>0.02</v>
      </c>
      <c r="Q89" s="160">
        <f>InputData!$C$11</f>
        <v>0.02</v>
      </c>
      <c r="R89" s="160">
        <f>InputData!$C$12</f>
        <v>0.02</v>
      </c>
      <c r="S89" s="160">
        <f>InputData!$C$13</f>
        <v>0.9</v>
      </c>
      <c r="T89" s="116">
        <f>InputData!$C$88</f>
        <v>180000</v>
      </c>
      <c r="U89" s="116">
        <f>InputData!$C$81</f>
        <v>178500</v>
      </c>
      <c r="V89" s="116">
        <f>InputData!$C$82</f>
        <v>303960</v>
      </c>
      <c r="W89" s="116">
        <f>InputData!$C$84</f>
        <v>215220</v>
      </c>
      <c r="X89" s="116">
        <f>InputData!$C$85</f>
        <v>409020</v>
      </c>
      <c r="Y89" s="116">
        <f>InputData!$C$116</f>
        <v>140000</v>
      </c>
      <c r="Z89" s="160">
        <f>InputData!$E$13</f>
        <v>0</v>
      </c>
    </row>
    <row r="90" spans="1:26" x14ac:dyDescent="0.25">
      <c r="A90">
        <f>InputData!$K$1</f>
        <v>2013</v>
      </c>
      <c r="B90" t="str">
        <f>InputData!$G$1</f>
        <v>San Antonio, TX</v>
      </c>
      <c r="C90" t="s">
        <v>11</v>
      </c>
      <c r="D90" t="str">
        <f>Graph_IntMed!$E$6</f>
        <v>STD10</v>
      </c>
      <c r="E90" t="str">
        <f t="shared" si="1"/>
        <v>Internal Medicine STD10</v>
      </c>
      <c r="F90">
        <f>Graph_IntMed!$A35</f>
        <v>2041</v>
      </c>
      <c r="G90">
        <f>Graph_IntMed!$B35</f>
        <v>29</v>
      </c>
      <c r="H90" s="165">
        <f>Graph_IntMed!$E35</f>
        <v>1580918.6060867952</v>
      </c>
      <c r="I90" s="160">
        <f>InputData!$C$3</f>
        <v>0.02</v>
      </c>
      <c r="J90" s="160">
        <f>InputData!$C$4</f>
        <v>0.01</v>
      </c>
      <c r="K90" s="160">
        <f>InputData!$C$5</f>
        <v>0.01</v>
      </c>
      <c r="L90" s="160">
        <f>InputData!$C$6</f>
        <v>6.2100000000000002E-2</v>
      </c>
      <c r="M90" s="160">
        <f>InputData!$C$7</f>
        <v>0.03</v>
      </c>
      <c r="N90" s="160">
        <f>InputData!$C$8</f>
        <v>0.02</v>
      </c>
      <c r="O90" s="160">
        <f>InputData!$C$9</f>
        <v>0.06</v>
      </c>
      <c r="P90" s="160">
        <f>InputData!$C$10</f>
        <v>0.02</v>
      </c>
      <c r="Q90" s="160">
        <f>InputData!$C$11</f>
        <v>0.02</v>
      </c>
      <c r="R90" s="160">
        <f>InputData!$C$12</f>
        <v>0.02</v>
      </c>
      <c r="S90" s="160">
        <f>InputData!$C$13</f>
        <v>0.9</v>
      </c>
      <c r="T90" s="116">
        <f>InputData!$C$88</f>
        <v>180000</v>
      </c>
      <c r="U90" s="116">
        <f>InputData!$C$81</f>
        <v>178500</v>
      </c>
      <c r="V90" s="116">
        <f>InputData!$C$82</f>
        <v>303960</v>
      </c>
      <c r="W90" s="116">
        <f>InputData!$C$84</f>
        <v>215220</v>
      </c>
      <c r="X90" s="116">
        <f>InputData!$C$85</f>
        <v>409020</v>
      </c>
      <c r="Y90" s="116">
        <f>InputData!$C$116</f>
        <v>140000</v>
      </c>
      <c r="Z90" s="160">
        <f>InputData!$E$13</f>
        <v>0</v>
      </c>
    </row>
    <row r="91" spans="1:26" x14ac:dyDescent="0.25">
      <c r="A91">
        <f>InputData!$K$1</f>
        <v>2013</v>
      </c>
      <c r="B91" t="str">
        <f>InputData!$G$1</f>
        <v>San Antonio, TX</v>
      </c>
      <c r="C91" t="s">
        <v>11</v>
      </c>
      <c r="D91" t="str">
        <f>Graph_IntMed!$E$6</f>
        <v>STD10</v>
      </c>
      <c r="E91" t="str">
        <f t="shared" si="1"/>
        <v>Internal Medicine STD10</v>
      </c>
      <c r="F91">
        <f>Graph_IntMed!$A36</f>
        <v>2042</v>
      </c>
      <c r="G91">
        <f>Graph_IntMed!$B36</f>
        <v>30</v>
      </c>
      <c r="H91" s="165">
        <f>Graph_IntMed!$E36</f>
        <v>1647053.9382101544</v>
      </c>
      <c r="I91" s="160">
        <f>InputData!$C$3</f>
        <v>0.02</v>
      </c>
      <c r="J91" s="160">
        <f>InputData!$C$4</f>
        <v>0.01</v>
      </c>
      <c r="K91" s="160">
        <f>InputData!$C$5</f>
        <v>0.01</v>
      </c>
      <c r="L91" s="160">
        <f>InputData!$C$6</f>
        <v>6.2100000000000002E-2</v>
      </c>
      <c r="M91" s="160">
        <f>InputData!$C$7</f>
        <v>0.03</v>
      </c>
      <c r="N91" s="160">
        <f>InputData!$C$8</f>
        <v>0.02</v>
      </c>
      <c r="O91" s="160">
        <f>InputData!$C$9</f>
        <v>0.06</v>
      </c>
      <c r="P91" s="160">
        <f>InputData!$C$10</f>
        <v>0.02</v>
      </c>
      <c r="Q91" s="160">
        <f>InputData!$C$11</f>
        <v>0.02</v>
      </c>
      <c r="R91" s="160">
        <f>InputData!$C$12</f>
        <v>0.02</v>
      </c>
      <c r="S91" s="160">
        <f>InputData!$C$13</f>
        <v>0.9</v>
      </c>
      <c r="T91" s="116">
        <f>InputData!$C$88</f>
        <v>180000</v>
      </c>
      <c r="U91" s="116">
        <f>InputData!$C$81</f>
        <v>178500</v>
      </c>
      <c r="V91" s="116">
        <f>InputData!$C$82</f>
        <v>303960</v>
      </c>
      <c r="W91" s="116">
        <f>InputData!$C$84</f>
        <v>215220</v>
      </c>
      <c r="X91" s="116">
        <f>InputData!$C$85</f>
        <v>409020</v>
      </c>
      <c r="Y91" s="116">
        <f>InputData!$C$116</f>
        <v>140000</v>
      </c>
      <c r="Z91" s="160">
        <f>InputData!$E$13</f>
        <v>0</v>
      </c>
    </row>
    <row r="92" spans="1:26" x14ac:dyDescent="0.25">
      <c r="A92">
        <f>InputData!$K$1</f>
        <v>2013</v>
      </c>
      <c r="B92" t="str">
        <f>InputData!$G$1</f>
        <v>San Antonio, TX</v>
      </c>
      <c r="C92" t="s">
        <v>11</v>
      </c>
      <c r="D92" t="str">
        <f>Graph_IntMed!$F$6</f>
        <v>EXT</v>
      </c>
      <c r="E92" t="str">
        <f t="shared" si="1"/>
        <v>Internal Medicine EXT</v>
      </c>
      <c r="F92">
        <f>Graph_IntMed!$A7</f>
        <v>2013</v>
      </c>
      <c r="G92">
        <f>Graph_IntMed!$B7</f>
        <v>1</v>
      </c>
      <c r="H92" s="165">
        <f>Graph_IntMed!$F7</f>
        <v>-43015.05</v>
      </c>
      <c r="I92" s="160">
        <f>InputData!$C$3</f>
        <v>0.02</v>
      </c>
      <c r="J92" s="160">
        <f>InputData!$C$4</f>
        <v>0.01</v>
      </c>
      <c r="K92" s="160">
        <f>InputData!$C$5</f>
        <v>0.01</v>
      </c>
      <c r="L92" s="160">
        <f>InputData!$C$6</f>
        <v>6.2100000000000002E-2</v>
      </c>
      <c r="M92" s="160">
        <f>InputData!$C$7</f>
        <v>0.03</v>
      </c>
      <c r="N92" s="160">
        <f>InputData!$C$8</f>
        <v>0.02</v>
      </c>
      <c r="O92" s="160">
        <f>InputData!$C$9</f>
        <v>0.06</v>
      </c>
      <c r="P92" s="160">
        <f>InputData!$C$10</f>
        <v>0.02</v>
      </c>
      <c r="Q92" s="160">
        <f>InputData!$C$11</f>
        <v>0.02</v>
      </c>
      <c r="R92" s="160">
        <f>InputData!$C$12</f>
        <v>0.02</v>
      </c>
      <c r="S92" s="160">
        <f>InputData!$C$13</f>
        <v>0.9</v>
      </c>
      <c r="T92" s="116">
        <f>InputData!$C$88</f>
        <v>180000</v>
      </c>
      <c r="U92" s="116">
        <f>InputData!$C$81</f>
        <v>178500</v>
      </c>
      <c r="V92" s="116">
        <f>InputData!$C$82</f>
        <v>303960</v>
      </c>
      <c r="W92" s="116">
        <f>InputData!$C$84</f>
        <v>215220</v>
      </c>
      <c r="X92" s="116">
        <f>InputData!$C$85</f>
        <v>409020</v>
      </c>
      <c r="Y92" s="116">
        <f>InputData!$C$116</f>
        <v>140000</v>
      </c>
      <c r="Z92" s="160">
        <f>InputData!$E$13</f>
        <v>0</v>
      </c>
    </row>
    <row r="93" spans="1:26" x14ac:dyDescent="0.25">
      <c r="A93">
        <f>InputData!$K$1</f>
        <v>2013</v>
      </c>
      <c r="B93" t="str">
        <f>InputData!$G$1</f>
        <v>San Antonio, TX</v>
      </c>
      <c r="C93" t="s">
        <v>11</v>
      </c>
      <c r="D93" t="str">
        <f>Graph_IntMed!$F$6</f>
        <v>EXT</v>
      </c>
      <c r="E93" t="str">
        <f t="shared" si="1"/>
        <v>Internal Medicine EXT</v>
      </c>
      <c r="F93">
        <f>Graph_IntMed!$A8</f>
        <v>2014</v>
      </c>
      <c r="G93">
        <f>Graph_IntMed!$B8</f>
        <v>2</v>
      </c>
      <c r="H93" s="165">
        <f>Graph_IntMed!$F8</f>
        <v>-86352.285865219877</v>
      </c>
      <c r="I93" s="160">
        <f>InputData!$C$3</f>
        <v>0.02</v>
      </c>
      <c r="J93" s="160">
        <f>InputData!$C$4</f>
        <v>0.01</v>
      </c>
      <c r="K93" s="160">
        <f>InputData!$C$5</f>
        <v>0.01</v>
      </c>
      <c r="L93" s="160">
        <f>InputData!$C$6</f>
        <v>6.2100000000000002E-2</v>
      </c>
      <c r="M93" s="160">
        <f>InputData!$C$7</f>
        <v>0.03</v>
      </c>
      <c r="N93" s="160">
        <f>InputData!$C$8</f>
        <v>0.02</v>
      </c>
      <c r="O93" s="160">
        <f>InputData!$C$9</f>
        <v>0.06</v>
      </c>
      <c r="P93" s="160">
        <f>InputData!$C$10</f>
        <v>0.02</v>
      </c>
      <c r="Q93" s="160">
        <f>InputData!$C$11</f>
        <v>0.02</v>
      </c>
      <c r="R93" s="160">
        <f>InputData!$C$12</f>
        <v>0.02</v>
      </c>
      <c r="S93" s="160">
        <f>InputData!$C$13</f>
        <v>0.9</v>
      </c>
      <c r="T93" s="116">
        <f>InputData!$C$88</f>
        <v>180000</v>
      </c>
      <c r="U93" s="116">
        <f>InputData!$C$81</f>
        <v>178500</v>
      </c>
      <c r="V93" s="116">
        <f>InputData!$C$82</f>
        <v>303960</v>
      </c>
      <c r="W93" s="116">
        <f>InputData!$C$84</f>
        <v>215220</v>
      </c>
      <c r="X93" s="116">
        <f>InputData!$C$85</f>
        <v>409020</v>
      </c>
      <c r="Y93" s="116">
        <f>InputData!$C$116</f>
        <v>140000</v>
      </c>
      <c r="Z93" s="160">
        <f>InputData!$E$13</f>
        <v>0</v>
      </c>
    </row>
    <row r="94" spans="1:26" x14ac:dyDescent="0.25">
      <c r="A94">
        <f>InputData!$K$1</f>
        <v>2013</v>
      </c>
      <c r="B94" t="str">
        <f>InputData!$G$1</f>
        <v>San Antonio, TX</v>
      </c>
      <c r="C94" t="s">
        <v>11</v>
      </c>
      <c r="D94" t="str">
        <f>Graph_IntMed!$F$6</f>
        <v>EXT</v>
      </c>
      <c r="E94" t="str">
        <f t="shared" si="1"/>
        <v>Internal Medicine EXT</v>
      </c>
      <c r="F94">
        <f>Graph_IntMed!$A9</f>
        <v>2015</v>
      </c>
      <c r="G94">
        <f>Graph_IntMed!$B9</f>
        <v>3</v>
      </c>
      <c r="H94" s="165">
        <f>Graph_IntMed!$F9</f>
        <v>-138541.19578403595</v>
      </c>
      <c r="I94" s="160">
        <f>InputData!$C$3</f>
        <v>0.02</v>
      </c>
      <c r="J94" s="160">
        <f>InputData!$C$4</f>
        <v>0.01</v>
      </c>
      <c r="K94" s="160">
        <f>InputData!$C$5</f>
        <v>0.01</v>
      </c>
      <c r="L94" s="160">
        <f>InputData!$C$6</f>
        <v>6.2100000000000002E-2</v>
      </c>
      <c r="M94" s="160">
        <f>InputData!$C$7</f>
        <v>0.03</v>
      </c>
      <c r="N94" s="160">
        <f>InputData!$C$8</f>
        <v>0.02</v>
      </c>
      <c r="O94" s="160">
        <f>InputData!$C$9</f>
        <v>0.06</v>
      </c>
      <c r="P94" s="160">
        <f>InputData!$C$10</f>
        <v>0.02</v>
      </c>
      <c r="Q94" s="160">
        <f>InputData!$C$11</f>
        <v>0.02</v>
      </c>
      <c r="R94" s="160">
        <f>InputData!$C$12</f>
        <v>0.02</v>
      </c>
      <c r="S94" s="160">
        <f>InputData!$C$13</f>
        <v>0.9</v>
      </c>
      <c r="T94" s="116">
        <f>InputData!$C$88</f>
        <v>180000</v>
      </c>
      <c r="U94" s="116">
        <f>InputData!$C$81</f>
        <v>178500</v>
      </c>
      <c r="V94" s="116">
        <f>InputData!$C$82</f>
        <v>303960</v>
      </c>
      <c r="W94" s="116">
        <f>InputData!$C$84</f>
        <v>215220</v>
      </c>
      <c r="X94" s="116">
        <f>InputData!$C$85</f>
        <v>409020</v>
      </c>
      <c r="Y94" s="116">
        <f>InputData!$C$116</f>
        <v>140000</v>
      </c>
      <c r="Z94" s="160">
        <f>InputData!$E$13</f>
        <v>0</v>
      </c>
    </row>
    <row r="95" spans="1:26" x14ac:dyDescent="0.25">
      <c r="A95">
        <f>InputData!$K$1</f>
        <v>2013</v>
      </c>
      <c r="B95" t="str">
        <f>InputData!$G$1</f>
        <v>San Antonio, TX</v>
      </c>
      <c r="C95" t="s">
        <v>11</v>
      </c>
      <c r="D95" t="str">
        <f>Graph_IntMed!$F$6</f>
        <v>EXT</v>
      </c>
      <c r="E95" t="str">
        <f t="shared" si="1"/>
        <v>Internal Medicine EXT</v>
      </c>
      <c r="F95">
        <f>Graph_IntMed!$A10</f>
        <v>2016</v>
      </c>
      <c r="G95">
        <f>Graph_IntMed!$B10</f>
        <v>4</v>
      </c>
      <c r="H95" s="165">
        <f>Graph_IntMed!$F10</f>
        <v>-190867.38028908212</v>
      </c>
      <c r="I95" s="160">
        <f>InputData!$C$3</f>
        <v>0.02</v>
      </c>
      <c r="J95" s="160">
        <f>InputData!$C$4</f>
        <v>0.01</v>
      </c>
      <c r="K95" s="160">
        <f>InputData!$C$5</f>
        <v>0.01</v>
      </c>
      <c r="L95" s="160">
        <f>InputData!$C$6</f>
        <v>6.2100000000000002E-2</v>
      </c>
      <c r="M95" s="160">
        <f>InputData!$C$7</f>
        <v>0.03</v>
      </c>
      <c r="N95" s="160">
        <f>InputData!$C$8</f>
        <v>0.02</v>
      </c>
      <c r="O95" s="160">
        <f>InputData!$C$9</f>
        <v>0.06</v>
      </c>
      <c r="P95" s="160">
        <f>InputData!$C$10</f>
        <v>0.02</v>
      </c>
      <c r="Q95" s="160">
        <f>InputData!$C$11</f>
        <v>0.02</v>
      </c>
      <c r="R95" s="160">
        <f>InputData!$C$12</f>
        <v>0.02</v>
      </c>
      <c r="S95" s="160">
        <f>InputData!$C$13</f>
        <v>0.9</v>
      </c>
      <c r="T95" s="116">
        <f>InputData!$C$88</f>
        <v>180000</v>
      </c>
      <c r="U95" s="116">
        <f>InputData!$C$81</f>
        <v>178500</v>
      </c>
      <c r="V95" s="116">
        <f>InputData!$C$82</f>
        <v>303960</v>
      </c>
      <c r="W95" s="116">
        <f>InputData!$C$84</f>
        <v>215220</v>
      </c>
      <c r="X95" s="116">
        <f>InputData!$C$85</f>
        <v>409020</v>
      </c>
      <c r="Y95" s="116">
        <f>InputData!$C$116</f>
        <v>140000</v>
      </c>
      <c r="Z95" s="160">
        <f>InputData!$E$13</f>
        <v>0</v>
      </c>
    </row>
    <row r="96" spans="1:26" x14ac:dyDescent="0.25">
      <c r="A96">
        <f>InputData!$K$1</f>
        <v>2013</v>
      </c>
      <c r="B96" t="str">
        <f>InputData!$G$1</f>
        <v>San Antonio, TX</v>
      </c>
      <c r="C96" t="s">
        <v>11</v>
      </c>
      <c r="D96" t="str">
        <f>Graph_IntMed!$F$6</f>
        <v>EXT</v>
      </c>
      <c r="E96" t="str">
        <f t="shared" si="1"/>
        <v>Internal Medicine EXT</v>
      </c>
      <c r="F96">
        <f>Graph_IntMed!$A11</f>
        <v>2017</v>
      </c>
      <c r="G96">
        <f>Graph_IntMed!$B11</f>
        <v>5</v>
      </c>
      <c r="H96" s="165">
        <f>Graph_IntMed!$F11</f>
        <v>-154981.05168717628</v>
      </c>
      <c r="I96" s="160">
        <f>InputData!$C$3</f>
        <v>0.02</v>
      </c>
      <c r="J96" s="160">
        <f>InputData!$C$4</f>
        <v>0.01</v>
      </c>
      <c r="K96" s="160">
        <f>InputData!$C$5</f>
        <v>0.01</v>
      </c>
      <c r="L96" s="160">
        <f>InputData!$C$6</f>
        <v>6.2100000000000002E-2</v>
      </c>
      <c r="M96" s="160">
        <f>InputData!$C$7</f>
        <v>0.03</v>
      </c>
      <c r="N96" s="160">
        <f>InputData!$C$8</f>
        <v>0.02</v>
      </c>
      <c r="O96" s="160">
        <f>InputData!$C$9</f>
        <v>0.06</v>
      </c>
      <c r="P96" s="160">
        <f>InputData!$C$10</f>
        <v>0.02</v>
      </c>
      <c r="Q96" s="160">
        <f>InputData!$C$11</f>
        <v>0.02</v>
      </c>
      <c r="R96" s="160">
        <f>InputData!$C$12</f>
        <v>0.02</v>
      </c>
      <c r="S96" s="160">
        <f>InputData!$C$13</f>
        <v>0.9</v>
      </c>
      <c r="T96" s="116">
        <f>InputData!$C$88</f>
        <v>180000</v>
      </c>
      <c r="U96" s="116">
        <f>InputData!$C$81</f>
        <v>178500</v>
      </c>
      <c r="V96" s="116">
        <f>InputData!$C$82</f>
        <v>303960</v>
      </c>
      <c r="W96" s="116">
        <f>InputData!$C$84</f>
        <v>215220</v>
      </c>
      <c r="X96" s="116">
        <f>InputData!$C$85</f>
        <v>409020</v>
      </c>
      <c r="Y96" s="116">
        <f>InputData!$C$116</f>
        <v>140000</v>
      </c>
      <c r="Z96" s="160">
        <f>InputData!$E$13</f>
        <v>0</v>
      </c>
    </row>
    <row r="97" spans="1:26" x14ac:dyDescent="0.25">
      <c r="A97">
        <f>InputData!$K$1</f>
        <v>2013</v>
      </c>
      <c r="B97" t="str">
        <f>InputData!$G$1</f>
        <v>San Antonio, TX</v>
      </c>
      <c r="C97" t="s">
        <v>11</v>
      </c>
      <c r="D97" t="str">
        <f>Graph_IntMed!$F$6</f>
        <v>EXT</v>
      </c>
      <c r="E97" t="str">
        <f t="shared" si="1"/>
        <v>Internal Medicine EXT</v>
      </c>
      <c r="F97">
        <f>Graph_IntMed!$A12</f>
        <v>2018</v>
      </c>
      <c r="G97">
        <f>Graph_IntMed!$B12</f>
        <v>6</v>
      </c>
      <c r="H97" s="165">
        <f>Graph_IntMed!$F12</f>
        <v>-118995.92937851879</v>
      </c>
      <c r="I97" s="160">
        <f>InputData!$C$3</f>
        <v>0.02</v>
      </c>
      <c r="J97" s="160">
        <f>InputData!$C$4</f>
        <v>0.01</v>
      </c>
      <c r="K97" s="160">
        <f>InputData!$C$5</f>
        <v>0.01</v>
      </c>
      <c r="L97" s="160">
        <f>InputData!$C$6</f>
        <v>6.2100000000000002E-2</v>
      </c>
      <c r="M97" s="160">
        <f>InputData!$C$7</f>
        <v>0.03</v>
      </c>
      <c r="N97" s="160">
        <f>InputData!$C$8</f>
        <v>0.02</v>
      </c>
      <c r="O97" s="160">
        <f>InputData!$C$9</f>
        <v>0.06</v>
      </c>
      <c r="P97" s="160">
        <f>InputData!$C$10</f>
        <v>0.02</v>
      </c>
      <c r="Q97" s="160">
        <f>InputData!$C$11</f>
        <v>0.02</v>
      </c>
      <c r="R97" s="160">
        <f>InputData!$C$12</f>
        <v>0.02</v>
      </c>
      <c r="S97" s="160">
        <f>InputData!$C$13</f>
        <v>0.9</v>
      </c>
      <c r="T97" s="116">
        <f>InputData!$C$88</f>
        <v>180000</v>
      </c>
      <c r="U97" s="116">
        <f>InputData!$C$81</f>
        <v>178500</v>
      </c>
      <c r="V97" s="116">
        <f>InputData!$C$82</f>
        <v>303960</v>
      </c>
      <c r="W97" s="116">
        <f>InputData!$C$84</f>
        <v>215220</v>
      </c>
      <c r="X97" s="116">
        <f>InputData!$C$85</f>
        <v>409020</v>
      </c>
      <c r="Y97" s="116">
        <f>InputData!$C$116</f>
        <v>140000</v>
      </c>
      <c r="Z97" s="160">
        <f>InputData!$E$13</f>
        <v>0</v>
      </c>
    </row>
    <row r="98" spans="1:26" x14ac:dyDescent="0.25">
      <c r="A98">
        <f>InputData!$K$1</f>
        <v>2013</v>
      </c>
      <c r="B98" t="str">
        <f>InputData!$G$1</f>
        <v>San Antonio, TX</v>
      </c>
      <c r="C98" t="s">
        <v>11</v>
      </c>
      <c r="D98" t="str">
        <f>Graph_IntMed!$F$6</f>
        <v>EXT</v>
      </c>
      <c r="E98" t="str">
        <f t="shared" si="1"/>
        <v>Internal Medicine EXT</v>
      </c>
      <c r="F98">
        <f>Graph_IntMed!$A13</f>
        <v>2019</v>
      </c>
      <c r="G98">
        <f>Graph_IntMed!$B13</f>
        <v>7</v>
      </c>
      <c r="H98" s="165">
        <f>Graph_IntMed!$F13</f>
        <v>-82904.654937055282</v>
      </c>
      <c r="I98" s="160">
        <f>InputData!$C$3</f>
        <v>0.02</v>
      </c>
      <c r="J98" s="160">
        <f>InputData!$C$4</f>
        <v>0.01</v>
      </c>
      <c r="K98" s="160">
        <f>InputData!$C$5</f>
        <v>0.01</v>
      </c>
      <c r="L98" s="160">
        <f>InputData!$C$6</f>
        <v>6.2100000000000002E-2</v>
      </c>
      <c r="M98" s="160">
        <f>InputData!$C$7</f>
        <v>0.03</v>
      </c>
      <c r="N98" s="160">
        <f>InputData!$C$8</f>
        <v>0.02</v>
      </c>
      <c r="O98" s="160">
        <f>InputData!$C$9</f>
        <v>0.06</v>
      </c>
      <c r="P98" s="160">
        <f>InputData!$C$10</f>
        <v>0.02</v>
      </c>
      <c r="Q98" s="160">
        <f>InputData!$C$11</f>
        <v>0.02</v>
      </c>
      <c r="R98" s="160">
        <f>InputData!$C$12</f>
        <v>0.02</v>
      </c>
      <c r="S98" s="160">
        <f>InputData!$C$13</f>
        <v>0.9</v>
      </c>
      <c r="T98" s="116">
        <f>InputData!$C$88</f>
        <v>180000</v>
      </c>
      <c r="U98" s="116">
        <f>InputData!$C$81</f>
        <v>178500</v>
      </c>
      <c r="V98" s="116">
        <f>InputData!$C$82</f>
        <v>303960</v>
      </c>
      <c r="W98" s="116">
        <f>InputData!$C$84</f>
        <v>215220</v>
      </c>
      <c r="X98" s="116">
        <f>InputData!$C$85</f>
        <v>409020</v>
      </c>
      <c r="Y98" s="116">
        <f>InputData!$C$116</f>
        <v>140000</v>
      </c>
      <c r="Z98" s="160">
        <f>InputData!$E$13</f>
        <v>0</v>
      </c>
    </row>
    <row r="99" spans="1:26" x14ac:dyDescent="0.25">
      <c r="A99">
        <f>InputData!$K$1</f>
        <v>2013</v>
      </c>
      <c r="B99" t="str">
        <f>InputData!$G$1</f>
        <v>San Antonio, TX</v>
      </c>
      <c r="C99" t="s">
        <v>11</v>
      </c>
      <c r="D99" t="str">
        <f>Graph_IntMed!$F$6</f>
        <v>EXT</v>
      </c>
      <c r="E99" t="str">
        <f t="shared" si="1"/>
        <v>Internal Medicine EXT</v>
      </c>
      <c r="F99">
        <f>Graph_IntMed!$A14</f>
        <v>2020</v>
      </c>
      <c r="G99">
        <f>Graph_IntMed!$B14</f>
        <v>8</v>
      </c>
      <c r="H99" s="165">
        <f>Graph_IntMed!$F14</f>
        <v>6739.1724907189346</v>
      </c>
      <c r="I99" s="160">
        <f>InputData!$C$3</f>
        <v>0.02</v>
      </c>
      <c r="J99" s="160">
        <f>InputData!$C$4</f>
        <v>0.01</v>
      </c>
      <c r="K99" s="160">
        <f>InputData!$C$5</f>
        <v>0.01</v>
      </c>
      <c r="L99" s="160">
        <f>InputData!$C$6</f>
        <v>6.2100000000000002E-2</v>
      </c>
      <c r="M99" s="160">
        <f>InputData!$C$7</f>
        <v>0.03</v>
      </c>
      <c r="N99" s="160">
        <f>InputData!$C$8</f>
        <v>0.02</v>
      </c>
      <c r="O99" s="160">
        <f>InputData!$C$9</f>
        <v>0.06</v>
      </c>
      <c r="P99" s="160">
        <f>InputData!$C$10</f>
        <v>0.02</v>
      </c>
      <c r="Q99" s="160">
        <f>InputData!$C$11</f>
        <v>0.02</v>
      </c>
      <c r="R99" s="160">
        <f>InputData!$C$12</f>
        <v>0.02</v>
      </c>
      <c r="S99" s="160">
        <f>InputData!$C$13</f>
        <v>0.9</v>
      </c>
      <c r="T99" s="116">
        <f>InputData!$C$88</f>
        <v>180000</v>
      </c>
      <c r="U99" s="116">
        <f>InputData!$C$81</f>
        <v>178500</v>
      </c>
      <c r="V99" s="116">
        <f>InputData!$C$82</f>
        <v>303960</v>
      </c>
      <c r="W99" s="116">
        <f>InputData!$C$84</f>
        <v>215220</v>
      </c>
      <c r="X99" s="116">
        <f>InputData!$C$85</f>
        <v>409020</v>
      </c>
      <c r="Y99" s="116">
        <f>InputData!$C$116</f>
        <v>140000</v>
      </c>
      <c r="Z99" s="160">
        <f>InputData!$E$13</f>
        <v>0</v>
      </c>
    </row>
    <row r="100" spans="1:26" x14ac:dyDescent="0.25">
      <c r="A100">
        <f>InputData!$K$1</f>
        <v>2013</v>
      </c>
      <c r="B100" t="str">
        <f>InputData!$G$1</f>
        <v>San Antonio, TX</v>
      </c>
      <c r="C100" t="s">
        <v>11</v>
      </c>
      <c r="D100" t="str">
        <f>Graph_IntMed!$F$6</f>
        <v>EXT</v>
      </c>
      <c r="E100" t="str">
        <f t="shared" si="1"/>
        <v>Internal Medicine EXT</v>
      </c>
      <c r="F100">
        <f>Graph_IntMed!$A15</f>
        <v>2021</v>
      </c>
      <c r="G100">
        <f>Graph_IntMed!$B15</f>
        <v>9</v>
      </c>
      <c r="H100" s="165">
        <f>Graph_IntMed!$F15</f>
        <v>95010.495187923254</v>
      </c>
      <c r="I100" s="160">
        <f>InputData!$C$3</f>
        <v>0.02</v>
      </c>
      <c r="J100" s="160">
        <f>InputData!$C$4</f>
        <v>0.01</v>
      </c>
      <c r="K100" s="160">
        <f>InputData!$C$5</f>
        <v>0.01</v>
      </c>
      <c r="L100" s="160">
        <f>InputData!$C$6</f>
        <v>6.2100000000000002E-2</v>
      </c>
      <c r="M100" s="160">
        <f>InputData!$C$7</f>
        <v>0.03</v>
      </c>
      <c r="N100" s="160">
        <f>InputData!$C$8</f>
        <v>0.02</v>
      </c>
      <c r="O100" s="160">
        <f>InputData!$C$9</f>
        <v>0.06</v>
      </c>
      <c r="P100" s="160">
        <f>InputData!$C$10</f>
        <v>0.02</v>
      </c>
      <c r="Q100" s="160">
        <f>InputData!$C$11</f>
        <v>0.02</v>
      </c>
      <c r="R100" s="160">
        <f>InputData!$C$12</f>
        <v>0.02</v>
      </c>
      <c r="S100" s="160">
        <f>InputData!$C$13</f>
        <v>0.9</v>
      </c>
      <c r="T100" s="116">
        <f>InputData!$C$88</f>
        <v>180000</v>
      </c>
      <c r="U100" s="116">
        <f>InputData!$C$81</f>
        <v>178500</v>
      </c>
      <c r="V100" s="116">
        <f>InputData!$C$82</f>
        <v>303960</v>
      </c>
      <c r="W100" s="116">
        <f>InputData!$C$84</f>
        <v>215220</v>
      </c>
      <c r="X100" s="116">
        <f>InputData!$C$85</f>
        <v>409020</v>
      </c>
      <c r="Y100" s="116">
        <f>InputData!$C$116</f>
        <v>140000</v>
      </c>
      <c r="Z100" s="160">
        <f>InputData!$E$13</f>
        <v>0</v>
      </c>
    </row>
    <row r="101" spans="1:26" x14ac:dyDescent="0.25">
      <c r="A101">
        <f>InputData!$K$1</f>
        <v>2013</v>
      </c>
      <c r="B101" t="str">
        <f>InputData!$G$1</f>
        <v>San Antonio, TX</v>
      </c>
      <c r="C101" t="s">
        <v>11</v>
      </c>
      <c r="D101" t="str">
        <f>Graph_IntMed!$F$6</f>
        <v>EXT</v>
      </c>
      <c r="E101" t="str">
        <f t="shared" si="1"/>
        <v>Internal Medicine EXT</v>
      </c>
      <c r="F101">
        <f>Graph_IntMed!$A16</f>
        <v>2022</v>
      </c>
      <c r="G101">
        <f>Graph_IntMed!$B16</f>
        <v>10</v>
      </c>
      <c r="H101" s="165">
        <f>Graph_IntMed!$F16</f>
        <v>181917.47064646371</v>
      </c>
      <c r="I101" s="160">
        <f>InputData!$C$3</f>
        <v>0.02</v>
      </c>
      <c r="J101" s="160">
        <f>InputData!$C$4</f>
        <v>0.01</v>
      </c>
      <c r="K101" s="160">
        <f>InputData!$C$5</f>
        <v>0.01</v>
      </c>
      <c r="L101" s="160">
        <f>InputData!$C$6</f>
        <v>6.2100000000000002E-2</v>
      </c>
      <c r="M101" s="160">
        <f>InputData!$C$7</f>
        <v>0.03</v>
      </c>
      <c r="N101" s="160">
        <f>InputData!$C$8</f>
        <v>0.02</v>
      </c>
      <c r="O101" s="160">
        <f>InputData!$C$9</f>
        <v>0.06</v>
      </c>
      <c r="P101" s="160">
        <f>InputData!$C$10</f>
        <v>0.02</v>
      </c>
      <c r="Q101" s="160">
        <f>InputData!$C$11</f>
        <v>0.02</v>
      </c>
      <c r="R101" s="160">
        <f>InputData!$C$12</f>
        <v>0.02</v>
      </c>
      <c r="S101" s="160">
        <f>InputData!$C$13</f>
        <v>0.9</v>
      </c>
      <c r="T101" s="116">
        <f>InputData!$C$88</f>
        <v>180000</v>
      </c>
      <c r="U101" s="116">
        <f>InputData!$C$81</f>
        <v>178500</v>
      </c>
      <c r="V101" s="116">
        <f>InputData!$C$82</f>
        <v>303960</v>
      </c>
      <c r="W101" s="116">
        <f>InputData!$C$84</f>
        <v>215220</v>
      </c>
      <c r="X101" s="116">
        <f>InputData!$C$85</f>
        <v>409020</v>
      </c>
      <c r="Y101" s="116">
        <f>InputData!$C$116</f>
        <v>140000</v>
      </c>
      <c r="Z101" s="160">
        <f>InputData!$E$13</f>
        <v>0</v>
      </c>
    </row>
    <row r="102" spans="1:26" x14ac:dyDescent="0.25">
      <c r="A102">
        <f>InputData!$K$1</f>
        <v>2013</v>
      </c>
      <c r="B102" t="str">
        <f>InputData!$G$1</f>
        <v>San Antonio, TX</v>
      </c>
      <c r="C102" t="s">
        <v>11</v>
      </c>
      <c r="D102" t="str">
        <f>Graph_IntMed!$F$6</f>
        <v>EXT</v>
      </c>
      <c r="E102" t="str">
        <f t="shared" si="1"/>
        <v>Internal Medicine EXT</v>
      </c>
      <c r="F102">
        <f>Graph_IntMed!$A17</f>
        <v>2023</v>
      </c>
      <c r="G102">
        <f>Graph_IntMed!$B17</f>
        <v>11</v>
      </c>
      <c r="H102" s="165">
        <f>Graph_IntMed!$F17</f>
        <v>267469.0055320682</v>
      </c>
      <c r="I102" s="160">
        <f>InputData!$C$3</f>
        <v>0.02</v>
      </c>
      <c r="J102" s="160">
        <f>InputData!$C$4</f>
        <v>0.01</v>
      </c>
      <c r="K102" s="160">
        <f>InputData!$C$5</f>
        <v>0.01</v>
      </c>
      <c r="L102" s="160">
        <f>InputData!$C$6</f>
        <v>6.2100000000000002E-2</v>
      </c>
      <c r="M102" s="160">
        <f>InputData!$C$7</f>
        <v>0.03</v>
      </c>
      <c r="N102" s="160">
        <f>InputData!$C$8</f>
        <v>0.02</v>
      </c>
      <c r="O102" s="160">
        <f>InputData!$C$9</f>
        <v>0.06</v>
      </c>
      <c r="P102" s="160">
        <f>InputData!$C$10</f>
        <v>0.02</v>
      </c>
      <c r="Q102" s="160">
        <f>InputData!$C$11</f>
        <v>0.02</v>
      </c>
      <c r="R102" s="160">
        <f>InputData!$C$12</f>
        <v>0.02</v>
      </c>
      <c r="S102" s="160">
        <f>InputData!$C$13</f>
        <v>0.9</v>
      </c>
      <c r="T102" s="116">
        <f>InputData!$C$88</f>
        <v>180000</v>
      </c>
      <c r="U102" s="116">
        <f>InputData!$C$81</f>
        <v>178500</v>
      </c>
      <c r="V102" s="116">
        <f>InputData!$C$82</f>
        <v>303960</v>
      </c>
      <c r="W102" s="116">
        <f>InputData!$C$84</f>
        <v>215220</v>
      </c>
      <c r="X102" s="116">
        <f>InputData!$C$85</f>
        <v>409020</v>
      </c>
      <c r="Y102" s="116">
        <f>InputData!$C$116</f>
        <v>140000</v>
      </c>
      <c r="Z102" s="160">
        <f>InputData!$E$13</f>
        <v>0</v>
      </c>
    </row>
    <row r="103" spans="1:26" x14ac:dyDescent="0.25">
      <c r="A103">
        <f>InputData!$K$1</f>
        <v>2013</v>
      </c>
      <c r="B103" t="str">
        <f>InputData!$G$1</f>
        <v>San Antonio, TX</v>
      </c>
      <c r="C103" t="s">
        <v>11</v>
      </c>
      <c r="D103" t="str">
        <f>Graph_IntMed!$F$6</f>
        <v>EXT</v>
      </c>
      <c r="E103" t="str">
        <f t="shared" si="1"/>
        <v>Internal Medicine EXT</v>
      </c>
      <c r="F103">
        <f>Graph_IntMed!$A18</f>
        <v>2024</v>
      </c>
      <c r="G103">
        <f>Graph_IntMed!$B18</f>
        <v>12</v>
      </c>
      <c r="H103" s="165">
        <f>Graph_IntMed!$F18</f>
        <v>351674.6970378249</v>
      </c>
      <c r="I103" s="160">
        <f>InputData!$C$3</f>
        <v>0.02</v>
      </c>
      <c r="J103" s="160">
        <f>InputData!$C$4</f>
        <v>0.01</v>
      </c>
      <c r="K103" s="160">
        <f>InputData!$C$5</f>
        <v>0.01</v>
      </c>
      <c r="L103" s="160">
        <f>InputData!$C$6</f>
        <v>6.2100000000000002E-2</v>
      </c>
      <c r="M103" s="160">
        <f>InputData!$C$7</f>
        <v>0.03</v>
      </c>
      <c r="N103" s="160">
        <f>InputData!$C$8</f>
        <v>0.02</v>
      </c>
      <c r="O103" s="160">
        <f>InputData!$C$9</f>
        <v>0.06</v>
      </c>
      <c r="P103" s="160">
        <f>InputData!$C$10</f>
        <v>0.02</v>
      </c>
      <c r="Q103" s="160">
        <f>InputData!$C$11</f>
        <v>0.02</v>
      </c>
      <c r="R103" s="160">
        <f>InputData!$C$12</f>
        <v>0.02</v>
      </c>
      <c r="S103" s="160">
        <f>InputData!$C$13</f>
        <v>0.9</v>
      </c>
      <c r="T103" s="116">
        <f>InputData!$C$88</f>
        <v>180000</v>
      </c>
      <c r="U103" s="116">
        <f>InputData!$C$81</f>
        <v>178500</v>
      </c>
      <c r="V103" s="116">
        <f>InputData!$C$82</f>
        <v>303960</v>
      </c>
      <c r="W103" s="116">
        <f>InputData!$C$84</f>
        <v>215220</v>
      </c>
      <c r="X103" s="116">
        <f>InputData!$C$85</f>
        <v>409020</v>
      </c>
      <c r="Y103" s="116">
        <f>InputData!$C$116</f>
        <v>140000</v>
      </c>
      <c r="Z103" s="160">
        <f>InputData!$E$13</f>
        <v>0</v>
      </c>
    </row>
    <row r="104" spans="1:26" x14ac:dyDescent="0.25">
      <c r="A104">
        <f>InputData!$K$1</f>
        <v>2013</v>
      </c>
      <c r="B104" t="str">
        <f>InputData!$G$1</f>
        <v>San Antonio, TX</v>
      </c>
      <c r="C104" t="s">
        <v>11</v>
      </c>
      <c r="D104" t="str">
        <f>Graph_IntMed!$F$6</f>
        <v>EXT</v>
      </c>
      <c r="E104" t="str">
        <f t="shared" si="1"/>
        <v>Internal Medicine EXT</v>
      </c>
      <c r="F104">
        <f>Graph_IntMed!$A19</f>
        <v>2025</v>
      </c>
      <c r="G104">
        <f>Graph_IntMed!$B19</f>
        <v>13</v>
      </c>
      <c r="H104" s="165">
        <f>Graph_IntMed!$F19</f>
        <v>434544.77750970959</v>
      </c>
      <c r="I104" s="160">
        <f>InputData!$C$3</f>
        <v>0.02</v>
      </c>
      <c r="J104" s="160">
        <f>InputData!$C$4</f>
        <v>0.01</v>
      </c>
      <c r="K104" s="160">
        <f>InputData!$C$5</f>
        <v>0.01</v>
      </c>
      <c r="L104" s="160">
        <f>InputData!$C$6</f>
        <v>6.2100000000000002E-2</v>
      </c>
      <c r="M104" s="160">
        <f>InputData!$C$7</f>
        <v>0.03</v>
      </c>
      <c r="N104" s="160">
        <f>InputData!$C$8</f>
        <v>0.02</v>
      </c>
      <c r="O104" s="160">
        <f>InputData!$C$9</f>
        <v>0.06</v>
      </c>
      <c r="P104" s="160">
        <f>InputData!$C$10</f>
        <v>0.02</v>
      </c>
      <c r="Q104" s="160">
        <f>InputData!$C$11</f>
        <v>0.02</v>
      </c>
      <c r="R104" s="160">
        <f>InputData!$C$12</f>
        <v>0.02</v>
      </c>
      <c r="S104" s="160">
        <f>InputData!$C$13</f>
        <v>0.9</v>
      </c>
      <c r="T104" s="116">
        <f>InputData!$C$88</f>
        <v>180000</v>
      </c>
      <c r="U104" s="116">
        <f>InputData!$C$81</f>
        <v>178500</v>
      </c>
      <c r="V104" s="116">
        <f>InputData!$C$82</f>
        <v>303960</v>
      </c>
      <c r="W104" s="116">
        <f>InputData!$C$84</f>
        <v>215220</v>
      </c>
      <c r="X104" s="116">
        <f>InputData!$C$85</f>
        <v>409020</v>
      </c>
      <c r="Y104" s="116">
        <f>InputData!$C$116</f>
        <v>140000</v>
      </c>
      <c r="Z104" s="160">
        <f>InputData!$E$13</f>
        <v>0</v>
      </c>
    </row>
    <row r="105" spans="1:26" x14ac:dyDescent="0.25">
      <c r="A105">
        <f>InputData!$K$1</f>
        <v>2013</v>
      </c>
      <c r="B105" t="str">
        <f>InputData!$G$1</f>
        <v>San Antonio, TX</v>
      </c>
      <c r="C105" t="s">
        <v>11</v>
      </c>
      <c r="D105" t="str">
        <f>Graph_IntMed!$F$6</f>
        <v>EXT</v>
      </c>
      <c r="E105" t="str">
        <f t="shared" si="1"/>
        <v>Internal Medicine EXT</v>
      </c>
      <c r="F105">
        <f>Graph_IntMed!$A20</f>
        <v>2026</v>
      </c>
      <c r="G105">
        <f>Graph_IntMed!$B20</f>
        <v>14</v>
      </c>
      <c r="H105" s="165">
        <f>Graph_IntMed!$F20</f>
        <v>516090.06217759667</v>
      </c>
      <c r="I105" s="160">
        <f>InputData!$C$3</f>
        <v>0.02</v>
      </c>
      <c r="J105" s="160">
        <f>InputData!$C$4</f>
        <v>0.01</v>
      </c>
      <c r="K105" s="160">
        <f>InputData!$C$5</f>
        <v>0.01</v>
      </c>
      <c r="L105" s="160">
        <f>InputData!$C$6</f>
        <v>6.2100000000000002E-2</v>
      </c>
      <c r="M105" s="160">
        <f>InputData!$C$7</f>
        <v>0.03</v>
      </c>
      <c r="N105" s="160">
        <f>InputData!$C$8</f>
        <v>0.02</v>
      </c>
      <c r="O105" s="160">
        <f>InputData!$C$9</f>
        <v>0.06</v>
      </c>
      <c r="P105" s="160">
        <f>InputData!$C$10</f>
        <v>0.02</v>
      </c>
      <c r="Q105" s="160">
        <f>InputData!$C$11</f>
        <v>0.02</v>
      </c>
      <c r="R105" s="160">
        <f>InputData!$C$12</f>
        <v>0.02</v>
      </c>
      <c r="S105" s="160">
        <f>InputData!$C$13</f>
        <v>0.9</v>
      </c>
      <c r="T105" s="116">
        <f>InputData!$C$88</f>
        <v>180000</v>
      </c>
      <c r="U105" s="116">
        <f>InputData!$C$81</f>
        <v>178500</v>
      </c>
      <c r="V105" s="116">
        <f>InputData!$C$82</f>
        <v>303960</v>
      </c>
      <c r="W105" s="116">
        <f>InputData!$C$84</f>
        <v>215220</v>
      </c>
      <c r="X105" s="116">
        <f>InputData!$C$85</f>
        <v>409020</v>
      </c>
      <c r="Y105" s="116">
        <f>InputData!$C$116</f>
        <v>140000</v>
      </c>
      <c r="Z105" s="160">
        <f>InputData!$E$13</f>
        <v>0</v>
      </c>
    </row>
    <row r="106" spans="1:26" x14ac:dyDescent="0.25">
      <c r="A106">
        <f>InputData!$K$1</f>
        <v>2013</v>
      </c>
      <c r="B106" t="str">
        <f>InputData!$G$1</f>
        <v>San Antonio, TX</v>
      </c>
      <c r="C106" t="s">
        <v>11</v>
      </c>
      <c r="D106" t="str">
        <f>Graph_IntMed!$F$6</f>
        <v>EXT</v>
      </c>
      <c r="E106" t="str">
        <f t="shared" si="1"/>
        <v>Internal Medicine EXT</v>
      </c>
      <c r="F106">
        <f>Graph_IntMed!$A21</f>
        <v>2027</v>
      </c>
      <c r="G106">
        <f>Graph_IntMed!$B21</f>
        <v>15</v>
      </c>
      <c r="H106" s="165">
        <f>Graph_IntMed!$F21</f>
        <v>596263.51521978376</v>
      </c>
      <c r="I106" s="160">
        <f>InputData!$C$3</f>
        <v>0.02</v>
      </c>
      <c r="J106" s="160">
        <f>InputData!$C$4</f>
        <v>0.01</v>
      </c>
      <c r="K106" s="160">
        <f>InputData!$C$5</f>
        <v>0.01</v>
      </c>
      <c r="L106" s="160">
        <f>InputData!$C$6</f>
        <v>6.2100000000000002E-2</v>
      </c>
      <c r="M106" s="160">
        <f>InputData!$C$7</f>
        <v>0.03</v>
      </c>
      <c r="N106" s="160">
        <f>InputData!$C$8</f>
        <v>0.02</v>
      </c>
      <c r="O106" s="160">
        <f>InputData!$C$9</f>
        <v>0.06</v>
      </c>
      <c r="P106" s="160">
        <f>InputData!$C$10</f>
        <v>0.02</v>
      </c>
      <c r="Q106" s="160">
        <f>InputData!$C$11</f>
        <v>0.02</v>
      </c>
      <c r="R106" s="160">
        <f>InputData!$C$12</f>
        <v>0.02</v>
      </c>
      <c r="S106" s="160">
        <f>InputData!$C$13</f>
        <v>0.9</v>
      </c>
      <c r="T106" s="116">
        <f>InputData!$C$88</f>
        <v>180000</v>
      </c>
      <c r="U106" s="116">
        <f>InputData!$C$81</f>
        <v>178500</v>
      </c>
      <c r="V106" s="116">
        <f>InputData!$C$82</f>
        <v>303960</v>
      </c>
      <c r="W106" s="116">
        <f>InputData!$C$84</f>
        <v>215220</v>
      </c>
      <c r="X106" s="116">
        <f>InputData!$C$85</f>
        <v>409020</v>
      </c>
      <c r="Y106" s="116">
        <f>InputData!$C$116</f>
        <v>140000</v>
      </c>
      <c r="Z106" s="160">
        <f>InputData!$E$13</f>
        <v>0</v>
      </c>
    </row>
    <row r="107" spans="1:26" x14ac:dyDescent="0.25">
      <c r="A107">
        <f>InputData!$K$1</f>
        <v>2013</v>
      </c>
      <c r="B107" t="str">
        <f>InputData!$G$1</f>
        <v>San Antonio, TX</v>
      </c>
      <c r="C107" t="s">
        <v>11</v>
      </c>
      <c r="D107" t="str">
        <f>Graph_IntMed!$F$6</f>
        <v>EXT</v>
      </c>
      <c r="E107" t="str">
        <f t="shared" si="1"/>
        <v>Internal Medicine EXT</v>
      </c>
      <c r="F107">
        <f>Graph_IntMed!$A22</f>
        <v>2028</v>
      </c>
      <c r="G107">
        <f>Graph_IntMed!$B22</f>
        <v>16</v>
      </c>
      <c r="H107" s="165">
        <f>Graph_IntMed!$F22</f>
        <v>675076.92513020895</v>
      </c>
      <c r="I107" s="160">
        <f>InputData!$C$3</f>
        <v>0.02</v>
      </c>
      <c r="J107" s="160">
        <f>InputData!$C$4</f>
        <v>0.01</v>
      </c>
      <c r="K107" s="160">
        <f>InputData!$C$5</f>
        <v>0.01</v>
      </c>
      <c r="L107" s="160">
        <f>InputData!$C$6</f>
        <v>6.2100000000000002E-2</v>
      </c>
      <c r="M107" s="160">
        <f>InputData!$C$7</f>
        <v>0.03</v>
      </c>
      <c r="N107" s="160">
        <f>InputData!$C$8</f>
        <v>0.02</v>
      </c>
      <c r="O107" s="160">
        <f>InputData!$C$9</f>
        <v>0.06</v>
      </c>
      <c r="P107" s="160">
        <f>InputData!$C$10</f>
        <v>0.02</v>
      </c>
      <c r="Q107" s="160">
        <f>InputData!$C$11</f>
        <v>0.02</v>
      </c>
      <c r="R107" s="160">
        <f>InputData!$C$12</f>
        <v>0.02</v>
      </c>
      <c r="S107" s="160">
        <f>InputData!$C$13</f>
        <v>0.9</v>
      </c>
      <c r="T107" s="116">
        <f>InputData!$C$88</f>
        <v>180000</v>
      </c>
      <c r="U107" s="116">
        <f>InputData!$C$81</f>
        <v>178500</v>
      </c>
      <c r="V107" s="116">
        <f>InputData!$C$82</f>
        <v>303960</v>
      </c>
      <c r="W107" s="116">
        <f>InputData!$C$84</f>
        <v>215220</v>
      </c>
      <c r="X107" s="116">
        <f>InputData!$C$85</f>
        <v>409020</v>
      </c>
      <c r="Y107" s="116">
        <f>InputData!$C$116</f>
        <v>140000</v>
      </c>
      <c r="Z107" s="160">
        <f>InputData!$E$13</f>
        <v>0</v>
      </c>
    </row>
    <row r="108" spans="1:26" x14ac:dyDescent="0.25">
      <c r="A108">
        <f>InputData!$K$1</f>
        <v>2013</v>
      </c>
      <c r="B108" t="str">
        <f>InputData!$G$1</f>
        <v>San Antonio, TX</v>
      </c>
      <c r="C108" t="s">
        <v>11</v>
      </c>
      <c r="D108" t="str">
        <f>Graph_IntMed!$F$6</f>
        <v>EXT</v>
      </c>
      <c r="E108" t="str">
        <f t="shared" si="1"/>
        <v>Internal Medicine EXT</v>
      </c>
      <c r="F108">
        <f>Graph_IntMed!$A23</f>
        <v>2029</v>
      </c>
      <c r="G108">
        <f>Graph_IntMed!$B23</f>
        <v>17</v>
      </c>
      <c r="H108" s="165">
        <f>Graph_IntMed!$F23</f>
        <v>752545.45187263051</v>
      </c>
      <c r="I108" s="160">
        <f>InputData!$C$3</f>
        <v>0.02</v>
      </c>
      <c r="J108" s="160">
        <f>InputData!$C$4</f>
        <v>0.01</v>
      </c>
      <c r="K108" s="160">
        <f>InputData!$C$5</f>
        <v>0.01</v>
      </c>
      <c r="L108" s="160">
        <f>InputData!$C$6</f>
        <v>6.2100000000000002E-2</v>
      </c>
      <c r="M108" s="160">
        <f>InputData!$C$7</f>
        <v>0.03</v>
      </c>
      <c r="N108" s="160">
        <f>InputData!$C$8</f>
        <v>0.02</v>
      </c>
      <c r="O108" s="160">
        <f>InputData!$C$9</f>
        <v>0.06</v>
      </c>
      <c r="P108" s="160">
        <f>InputData!$C$10</f>
        <v>0.02</v>
      </c>
      <c r="Q108" s="160">
        <f>InputData!$C$11</f>
        <v>0.02</v>
      </c>
      <c r="R108" s="160">
        <f>InputData!$C$12</f>
        <v>0.02</v>
      </c>
      <c r="S108" s="160">
        <f>InputData!$C$13</f>
        <v>0.9</v>
      </c>
      <c r="T108" s="116">
        <f>InputData!$C$88</f>
        <v>180000</v>
      </c>
      <c r="U108" s="116">
        <f>InputData!$C$81</f>
        <v>178500</v>
      </c>
      <c r="V108" s="116">
        <f>InputData!$C$82</f>
        <v>303960</v>
      </c>
      <c r="W108" s="116">
        <f>InputData!$C$84</f>
        <v>215220</v>
      </c>
      <c r="X108" s="116">
        <f>InputData!$C$85</f>
        <v>409020</v>
      </c>
      <c r="Y108" s="116">
        <f>InputData!$C$116</f>
        <v>140000</v>
      </c>
      <c r="Z108" s="160">
        <f>InputData!$E$13</f>
        <v>0</v>
      </c>
    </row>
    <row r="109" spans="1:26" x14ac:dyDescent="0.25">
      <c r="A109">
        <f>InputData!$K$1</f>
        <v>2013</v>
      </c>
      <c r="B109" t="str">
        <f>InputData!$G$1</f>
        <v>San Antonio, TX</v>
      </c>
      <c r="C109" t="s">
        <v>11</v>
      </c>
      <c r="D109" t="str">
        <f>Graph_IntMed!$F$6</f>
        <v>EXT</v>
      </c>
      <c r="E109" t="str">
        <f t="shared" si="1"/>
        <v>Internal Medicine EXT</v>
      </c>
      <c r="F109">
        <f>Graph_IntMed!$A24</f>
        <v>2030</v>
      </c>
      <c r="G109">
        <f>Graph_IntMed!$B24</f>
        <v>18</v>
      </c>
      <c r="H109" s="165">
        <f>Graph_IntMed!$F24</f>
        <v>828684.55019145983</v>
      </c>
      <c r="I109" s="160">
        <f>InputData!$C$3</f>
        <v>0.02</v>
      </c>
      <c r="J109" s="160">
        <f>InputData!$C$4</f>
        <v>0.01</v>
      </c>
      <c r="K109" s="160">
        <f>InputData!$C$5</f>
        <v>0.01</v>
      </c>
      <c r="L109" s="160">
        <f>InputData!$C$6</f>
        <v>6.2100000000000002E-2</v>
      </c>
      <c r="M109" s="160">
        <f>InputData!$C$7</f>
        <v>0.03</v>
      </c>
      <c r="N109" s="160">
        <f>InputData!$C$8</f>
        <v>0.02</v>
      </c>
      <c r="O109" s="160">
        <f>InputData!$C$9</f>
        <v>0.06</v>
      </c>
      <c r="P109" s="160">
        <f>InputData!$C$10</f>
        <v>0.02</v>
      </c>
      <c r="Q109" s="160">
        <f>InputData!$C$11</f>
        <v>0.02</v>
      </c>
      <c r="R109" s="160">
        <f>InputData!$C$12</f>
        <v>0.02</v>
      </c>
      <c r="S109" s="160">
        <f>InputData!$C$13</f>
        <v>0.9</v>
      </c>
      <c r="T109" s="116">
        <f>InputData!$C$88</f>
        <v>180000</v>
      </c>
      <c r="U109" s="116">
        <f>InputData!$C$81</f>
        <v>178500</v>
      </c>
      <c r="V109" s="116">
        <f>InputData!$C$82</f>
        <v>303960</v>
      </c>
      <c r="W109" s="116">
        <f>InputData!$C$84</f>
        <v>215220</v>
      </c>
      <c r="X109" s="116">
        <f>InputData!$C$85</f>
        <v>409020</v>
      </c>
      <c r="Y109" s="116">
        <f>InputData!$C$116</f>
        <v>140000</v>
      </c>
      <c r="Z109" s="160">
        <f>InputData!$E$13</f>
        <v>0</v>
      </c>
    </row>
    <row r="110" spans="1:26" x14ac:dyDescent="0.25">
      <c r="A110">
        <f>InputData!$K$1</f>
        <v>2013</v>
      </c>
      <c r="B110" t="str">
        <f>InputData!$G$1</f>
        <v>San Antonio, TX</v>
      </c>
      <c r="C110" t="s">
        <v>11</v>
      </c>
      <c r="D110" t="str">
        <f>Graph_IntMed!$F$6</f>
        <v>EXT</v>
      </c>
      <c r="E110" t="str">
        <f t="shared" si="1"/>
        <v>Internal Medicine EXT</v>
      </c>
      <c r="F110">
        <f>Graph_IntMed!$A25</f>
        <v>2031</v>
      </c>
      <c r="G110">
        <f>Graph_IntMed!$B25</f>
        <v>19</v>
      </c>
      <c r="H110" s="165">
        <f>Graph_IntMed!$F25</f>
        <v>903509.93421670911</v>
      </c>
      <c r="I110" s="160">
        <f>InputData!$C$3</f>
        <v>0.02</v>
      </c>
      <c r="J110" s="160">
        <f>InputData!$C$4</f>
        <v>0.01</v>
      </c>
      <c r="K110" s="160">
        <f>InputData!$C$5</f>
        <v>0.01</v>
      </c>
      <c r="L110" s="160">
        <f>InputData!$C$6</f>
        <v>6.2100000000000002E-2</v>
      </c>
      <c r="M110" s="160">
        <f>InputData!$C$7</f>
        <v>0.03</v>
      </c>
      <c r="N110" s="160">
        <f>InputData!$C$8</f>
        <v>0.02</v>
      </c>
      <c r="O110" s="160">
        <f>InputData!$C$9</f>
        <v>0.06</v>
      </c>
      <c r="P110" s="160">
        <f>InputData!$C$10</f>
        <v>0.02</v>
      </c>
      <c r="Q110" s="160">
        <f>InputData!$C$11</f>
        <v>0.02</v>
      </c>
      <c r="R110" s="160">
        <f>InputData!$C$12</f>
        <v>0.02</v>
      </c>
      <c r="S110" s="160">
        <f>InputData!$C$13</f>
        <v>0.9</v>
      </c>
      <c r="T110" s="116">
        <f>InputData!$C$88</f>
        <v>180000</v>
      </c>
      <c r="U110" s="116">
        <f>InputData!$C$81</f>
        <v>178500</v>
      </c>
      <c r="V110" s="116">
        <f>InputData!$C$82</f>
        <v>303960</v>
      </c>
      <c r="W110" s="116">
        <f>InputData!$C$84</f>
        <v>215220</v>
      </c>
      <c r="X110" s="116">
        <f>InputData!$C$85</f>
        <v>409020</v>
      </c>
      <c r="Y110" s="116">
        <f>InputData!$C$116</f>
        <v>140000</v>
      </c>
      <c r="Z110" s="160">
        <f>InputData!$E$13</f>
        <v>0</v>
      </c>
    </row>
    <row r="111" spans="1:26" x14ac:dyDescent="0.25">
      <c r="A111">
        <f>InputData!$K$1</f>
        <v>2013</v>
      </c>
      <c r="B111" t="str">
        <f>InputData!$G$1</f>
        <v>San Antonio, TX</v>
      </c>
      <c r="C111" t="s">
        <v>11</v>
      </c>
      <c r="D111" t="str">
        <f>Graph_IntMed!$F$6</f>
        <v>EXT</v>
      </c>
      <c r="E111" t="str">
        <f t="shared" si="1"/>
        <v>Internal Medicine EXT</v>
      </c>
      <c r="F111">
        <f>Graph_IntMed!$A26</f>
        <v>2032</v>
      </c>
      <c r="G111">
        <f>Graph_IntMed!$B26</f>
        <v>20</v>
      </c>
      <c r="H111" s="165">
        <f>Graph_IntMed!$F26</f>
        <v>977037.54422137199</v>
      </c>
      <c r="I111" s="160">
        <f>InputData!$C$3</f>
        <v>0.02</v>
      </c>
      <c r="J111" s="160">
        <f>InputData!$C$4</f>
        <v>0.01</v>
      </c>
      <c r="K111" s="160">
        <f>InputData!$C$5</f>
        <v>0.01</v>
      </c>
      <c r="L111" s="160">
        <f>InputData!$C$6</f>
        <v>6.2100000000000002E-2</v>
      </c>
      <c r="M111" s="160">
        <f>InputData!$C$7</f>
        <v>0.03</v>
      </c>
      <c r="N111" s="160">
        <f>InputData!$C$8</f>
        <v>0.02</v>
      </c>
      <c r="O111" s="160">
        <f>InputData!$C$9</f>
        <v>0.06</v>
      </c>
      <c r="P111" s="160">
        <f>InputData!$C$10</f>
        <v>0.02</v>
      </c>
      <c r="Q111" s="160">
        <f>InputData!$C$11</f>
        <v>0.02</v>
      </c>
      <c r="R111" s="160">
        <f>InputData!$C$12</f>
        <v>0.02</v>
      </c>
      <c r="S111" s="160">
        <f>InputData!$C$13</f>
        <v>0.9</v>
      </c>
      <c r="T111" s="116">
        <f>InputData!$C$88</f>
        <v>180000</v>
      </c>
      <c r="U111" s="116">
        <f>InputData!$C$81</f>
        <v>178500</v>
      </c>
      <c r="V111" s="116">
        <f>InputData!$C$82</f>
        <v>303960</v>
      </c>
      <c r="W111" s="116">
        <f>InputData!$C$84</f>
        <v>215220</v>
      </c>
      <c r="X111" s="116">
        <f>InputData!$C$85</f>
        <v>409020</v>
      </c>
      <c r="Y111" s="116">
        <f>InputData!$C$116</f>
        <v>140000</v>
      </c>
      <c r="Z111" s="160">
        <f>InputData!$E$13</f>
        <v>0</v>
      </c>
    </row>
    <row r="112" spans="1:26" x14ac:dyDescent="0.25">
      <c r="A112">
        <f>InputData!$K$1</f>
        <v>2013</v>
      </c>
      <c r="B112" t="str">
        <f>InputData!$G$1</f>
        <v>San Antonio, TX</v>
      </c>
      <c r="C112" t="s">
        <v>11</v>
      </c>
      <c r="D112" t="str">
        <f>Graph_IntMed!$F$6</f>
        <v>EXT</v>
      </c>
      <c r="E112" t="str">
        <f t="shared" si="1"/>
        <v>Internal Medicine EXT</v>
      </c>
      <c r="F112">
        <f>Graph_IntMed!$A27</f>
        <v>2033</v>
      </c>
      <c r="G112">
        <f>Graph_IntMed!$B27</f>
        <v>21</v>
      </c>
      <c r="H112" s="165">
        <f>Graph_IntMed!$F27</f>
        <v>1049283.5154178578</v>
      </c>
      <c r="I112" s="160">
        <f>InputData!$C$3</f>
        <v>0.02</v>
      </c>
      <c r="J112" s="160">
        <f>InputData!$C$4</f>
        <v>0.01</v>
      </c>
      <c r="K112" s="160">
        <f>InputData!$C$5</f>
        <v>0.01</v>
      </c>
      <c r="L112" s="160">
        <f>InputData!$C$6</f>
        <v>6.2100000000000002E-2</v>
      </c>
      <c r="M112" s="160">
        <f>InputData!$C$7</f>
        <v>0.03</v>
      </c>
      <c r="N112" s="160">
        <f>InputData!$C$8</f>
        <v>0.02</v>
      </c>
      <c r="O112" s="160">
        <f>InputData!$C$9</f>
        <v>0.06</v>
      </c>
      <c r="P112" s="160">
        <f>InputData!$C$10</f>
        <v>0.02</v>
      </c>
      <c r="Q112" s="160">
        <f>InputData!$C$11</f>
        <v>0.02</v>
      </c>
      <c r="R112" s="160">
        <f>InputData!$C$12</f>
        <v>0.02</v>
      </c>
      <c r="S112" s="160">
        <f>InputData!$C$13</f>
        <v>0.9</v>
      </c>
      <c r="T112" s="116">
        <f>InputData!$C$88</f>
        <v>180000</v>
      </c>
      <c r="U112" s="116">
        <f>InputData!$C$81</f>
        <v>178500</v>
      </c>
      <c r="V112" s="116">
        <f>InputData!$C$82</f>
        <v>303960</v>
      </c>
      <c r="W112" s="116">
        <f>InputData!$C$84</f>
        <v>215220</v>
      </c>
      <c r="X112" s="116">
        <f>InputData!$C$85</f>
        <v>409020</v>
      </c>
      <c r="Y112" s="116">
        <f>InputData!$C$116</f>
        <v>140000</v>
      </c>
      <c r="Z112" s="160">
        <f>InputData!$E$13</f>
        <v>0</v>
      </c>
    </row>
    <row r="113" spans="1:26" x14ac:dyDescent="0.25">
      <c r="A113">
        <f>InputData!$K$1</f>
        <v>2013</v>
      </c>
      <c r="B113" t="str">
        <f>InputData!$G$1</f>
        <v>San Antonio, TX</v>
      </c>
      <c r="C113" t="s">
        <v>11</v>
      </c>
      <c r="D113" t="str">
        <f>Graph_IntMed!$F$6</f>
        <v>EXT</v>
      </c>
      <c r="E113" t="str">
        <f t="shared" si="1"/>
        <v>Internal Medicine EXT</v>
      </c>
      <c r="F113">
        <f>Graph_IntMed!$A28</f>
        <v>2034</v>
      </c>
      <c r="G113">
        <f>Graph_IntMed!$B28</f>
        <v>22</v>
      </c>
      <c r="H113" s="165">
        <f>Graph_IntMed!$F28</f>
        <v>1120264.1486857776</v>
      </c>
      <c r="I113" s="160">
        <f>InputData!$C$3</f>
        <v>0.02</v>
      </c>
      <c r="J113" s="160">
        <f>InputData!$C$4</f>
        <v>0.01</v>
      </c>
      <c r="K113" s="160">
        <f>InputData!$C$5</f>
        <v>0.01</v>
      </c>
      <c r="L113" s="160">
        <f>InputData!$C$6</f>
        <v>6.2100000000000002E-2</v>
      </c>
      <c r="M113" s="160">
        <f>InputData!$C$7</f>
        <v>0.03</v>
      </c>
      <c r="N113" s="160">
        <f>InputData!$C$8</f>
        <v>0.02</v>
      </c>
      <c r="O113" s="160">
        <f>InputData!$C$9</f>
        <v>0.06</v>
      </c>
      <c r="P113" s="160">
        <f>InputData!$C$10</f>
        <v>0.02</v>
      </c>
      <c r="Q113" s="160">
        <f>InputData!$C$11</f>
        <v>0.02</v>
      </c>
      <c r="R113" s="160">
        <f>InputData!$C$12</f>
        <v>0.02</v>
      </c>
      <c r="S113" s="160">
        <f>InputData!$C$13</f>
        <v>0.9</v>
      </c>
      <c r="T113" s="116">
        <f>InputData!$C$88</f>
        <v>180000</v>
      </c>
      <c r="U113" s="116">
        <f>InputData!$C$81</f>
        <v>178500</v>
      </c>
      <c r="V113" s="116">
        <f>InputData!$C$82</f>
        <v>303960</v>
      </c>
      <c r="W113" s="116">
        <f>InputData!$C$84</f>
        <v>215220</v>
      </c>
      <c r="X113" s="116">
        <f>InputData!$C$85</f>
        <v>409020</v>
      </c>
      <c r="Y113" s="116">
        <f>InputData!$C$116</f>
        <v>140000</v>
      </c>
      <c r="Z113" s="160">
        <f>InputData!$E$13</f>
        <v>0</v>
      </c>
    </row>
    <row r="114" spans="1:26" x14ac:dyDescent="0.25">
      <c r="A114">
        <f>InputData!$K$1</f>
        <v>2013</v>
      </c>
      <c r="B114" t="str">
        <f>InputData!$G$1</f>
        <v>San Antonio, TX</v>
      </c>
      <c r="C114" t="s">
        <v>11</v>
      </c>
      <c r="D114" t="str">
        <f>Graph_IntMed!$F$6</f>
        <v>EXT</v>
      </c>
      <c r="E114" t="str">
        <f t="shared" si="1"/>
        <v>Internal Medicine EXT</v>
      </c>
      <c r="F114">
        <f>Graph_IntMed!$A29</f>
        <v>2035</v>
      </c>
      <c r="G114">
        <f>Graph_IntMed!$B29</f>
        <v>23</v>
      </c>
      <c r="H114" s="165">
        <f>Graph_IntMed!$F29</f>
        <v>1189995.8831287792</v>
      </c>
      <c r="I114" s="160">
        <f>InputData!$C$3</f>
        <v>0.02</v>
      </c>
      <c r="J114" s="160">
        <f>InputData!$C$4</f>
        <v>0.01</v>
      </c>
      <c r="K114" s="160">
        <f>InputData!$C$5</f>
        <v>0.01</v>
      </c>
      <c r="L114" s="160">
        <f>InputData!$C$6</f>
        <v>6.2100000000000002E-2</v>
      </c>
      <c r="M114" s="160">
        <f>InputData!$C$7</f>
        <v>0.03</v>
      </c>
      <c r="N114" s="160">
        <f>InputData!$C$8</f>
        <v>0.02</v>
      </c>
      <c r="O114" s="160">
        <f>InputData!$C$9</f>
        <v>0.06</v>
      </c>
      <c r="P114" s="160">
        <f>InputData!$C$10</f>
        <v>0.02</v>
      </c>
      <c r="Q114" s="160">
        <f>InputData!$C$11</f>
        <v>0.02</v>
      </c>
      <c r="R114" s="160">
        <f>InputData!$C$12</f>
        <v>0.02</v>
      </c>
      <c r="S114" s="160">
        <f>InputData!$C$13</f>
        <v>0.9</v>
      </c>
      <c r="T114" s="116">
        <f>InputData!$C$88</f>
        <v>180000</v>
      </c>
      <c r="U114" s="116">
        <f>InputData!$C$81</f>
        <v>178500</v>
      </c>
      <c r="V114" s="116">
        <f>InputData!$C$82</f>
        <v>303960</v>
      </c>
      <c r="W114" s="116">
        <f>InputData!$C$84</f>
        <v>215220</v>
      </c>
      <c r="X114" s="116">
        <f>InputData!$C$85</f>
        <v>409020</v>
      </c>
      <c r="Y114" s="116">
        <f>InputData!$C$116</f>
        <v>140000</v>
      </c>
      <c r="Z114" s="160">
        <f>InputData!$E$13</f>
        <v>0</v>
      </c>
    </row>
    <row r="115" spans="1:26" x14ac:dyDescent="0.25">
      <c r="A115">
        <f>InputData!$K$1</f>
        <v>2013</v>
      </c>
      <c r="B115" t="str">
        <f>InputData!$G$1</f>
        <v>San Antonio, TX</v>
      </c>
      <c r="C115" t="s">
        <v>11</v>
      </c>
      <c r="D115" t="str">
        <f>Graph_IntMed!$F$6</f>
        <v>EXT</v>
      </c>
      <c r="E115" t="str">
        <f t="shared" si="1"/>
        <v>Internal Medicine EXT</v>
      </c>
      <c r="F115">
        <f>Graph_IntMed!$A30</f>
        <v>2036</v>
      </c>
      <c r="G115">
        <f>Graph_IntMed!$B30</f>
        <v>24</v>
      </c>
      <c r="H115" s="165">
        <f>Graph_IntMed!$F30</f>
        <v>1258495.270363267</v>
      </c>
      <c r="I115" s="160">
        <f>InputData!$C$3</f>
        <v>0.02</v>
      </c>
      <c r="J115" s="160">
        <f>InputData!$C$4</f>
        <v>0.01</v>
      </c>
      <c r="K115" s="160">
        <f>InputData!$C$5</f>
        <v>0.01</v>
      </c>
      <c r="L115" s="160">
        <f>InputData!$C$6</f>
        <v>6.2100000000000002E-2</v>
      </c>
      <c r="M115" s="160">
        <f>InputData!$C$7</f>
        <v>0.03</v>
      </c>
      <c r="N115" s="160">
        <f>InputData!$C$8</f>
        <v>0.02</v>
      </c>
      <c r="O115" s="160">
        <f>InputData!$C$9</f>
        <v>0.06</v>
      </c>
      <c r="P115" s="160">
        <f>InputData!$C$10</f>
        <v>0.02</v>
      </c>
      <c r="Q115" s="160">
        <f>InputData!$C$11</f>
        <v>0.02</v>
      </c>
      <c r="R115" s="160">
        <f>InputData!$C$12</f>
        <v>0.02</v>
      </c>
      <c r="S115" s="160">
        <f>InputData!$C$13</f>
        <v>0.9</v>
      </c>
      <c r="T115" s="116">
        <f>InputData!$C$88</f>
        <v>180000</v>
      </c>
      <c r="U115" s="116">
        <f>InputData!$C$81</f>
        <v>178500</v>
      </c>
      <c r="V115" s="116">
        <f>InputData!$C$82</f>
        <v>303960</v>
      </c>
      <c r="W115" s="116">
        <f>InputData!$C$84</f>
        <v>215220</v>
      </c>
      <c r="X115" s="116">
        <f>InputData!$C$85</f>
        <v>409020</v>
      </c>
      <c r="Y115" s="116">
        <f>InputData!$C$116</f>
        <v>140000</v>
      </c>
      <c r="Z115" s="160">
        <f>InputData!$E$13</f>
        <v>0</v>
      </c>
    </row>
    <row r="116" spans="1:26" x14ac:dyDescent="0.25">
      <c r="A116">
        <f>InputData!$K$1</f>
        <v>2013</v>
      </c>
      <c r="B116" t="str">
        <f>InputData!$G$1</f>
        <v>San Antonio, TX</v>
      </c>
      <c r="C116" t="s">
        <v>11</v>
      </c>
      <c r="D116" t="str">
        <f>Graph_IntMed!$F$6</f>
        <v>EXT</v>
      </c>
      <c r="E116" t="str">
        <f t="shared" si="1"/>
        <v>Internal Medicine EXT</v>
      </c>
      <c r="F116">
        <f>Graph_IntMed!$A31</f>
        <v>2037</v>
      </c>
      <c r="G116">
        <f>Graph_IntMed!$B31</f>
        <v>25</v>
      </c>
      <c r="H116" s="165">
        <f>Graph_IntMed!$F31</f>
        <v>1325778.9504467184</v>
      </c>
      <c r="I116" s="160">
        <f>InputData!$C$3</f>
        <v>0.02</v>
      </c>
      <c r="J116" s="160">
        <f>InputData!$C$4</f>
        <v>0.01</v>
      </c>
      <c r="K116" s="160">
        <f>InputData!$C$5</f>
        <v>0.01</v>
      </c>
      <c r="L116" s="160">
        <f>InputData!$C$6</f>
        <v>6.2100000000000002E-2</v>
      </c>
      <c r="M116" s="160">
        <f>InputData!$C$7</f>
        <v>0.03</v>
      </c>
      <c r="N116" s="160">
        <f>InputData!$C$8</f>
        <v>0.02</v>
      </c>
      <c r="O116" s="160">
        <f>InputData!$C$9</f>
        <v>0.06</v>
      </c>
      <c r="P116" s="160">
        <f>InputData!$C$10</f>
        <v>0.02</v>
      </c>
      <c r="Q116" s="160">
        <f>InputData!$C$11</f>
        <v>0.02</v>
      </c>
      <c r="R116" s="160">
        <f>InputData!$C$12</f>
        <v>0.02</v>
      </c>
      <c r="S116" s="160">
        <f>InputData!$C$13</f>
        <v>0.9</v>
      </c>
      <c r="T116" s="116">
        <f>InputData!$C$88</f>
        <v>180000</v>
      </c>
      <c r="U116" s="116">
        <f>InputData!$C$81</f>
        <v>178500</v>
      </c>
      <c r="V116" s="116">
        <f>InputData!$C$82</f>
        <v>303960</v>
      </c>
      <c r="W116" s="116">
        <f>InputData!$C$84</f>
        <v>215220</v>
      </c>
      <c r="X116" s="116">
        <f>InputData!$C$85</f>
        <v>409020</v>
      </c>
      <c r="Y116" s="116">
        <f>InputData!$C$116</f>
        <v>140000</v>
      </c>
      <c r="Z116" s="160">
        <f>InputData!$E$13</f>
        <v>0</v>
      </c>
    </row>
    <row r="117" spans="1:26" x14ac:dyDescent="0.25">
      <c r="A117">
        <f>InputData!$K$1</f>
        <v>2013</v>
      </c>
      <c r="B117" t="str">
        <f>InputData!$G$1</f>
        <v>San Antonio, TX</v>
      </c>
      <c r="C117" t="s">
        <v>11</v>
      </c>
      <c r="D117" t="str">
        <f>Graph_IntMed!$F$6</f>
        <v>EXT</v>
      </c>
      <c r="E117" t="str">
        <f t="shared" si="1"/>
        <v>Internal Medicine EXT</v>
      </c>
      <c r="F117">
        <f>Graph_IntMed!$A32</f>
        <v>2038</v>
      </c>
      <c r="G117">
        <f>Graph_IntMed!$B32</f>
        <v>26</v>
      </c>
      <c r="H117" s="165">
        <f>Graph_IntMed!$F32</f>
        <v>1391863.629357958</v>
      </c>
      <c r="I117" s="160">
        <f>InputData!$C$3</f>
        <v>0.02</v>
      </c>
      <c r="J117" s="160">
        <f>InputData!$C$4</f>
        <v>0.01</v>
      </c>
      <c r="K117" s="160">
        <f>InputData!$C$5</f>
        <v>0.01</v>
      </c>
      <c r="L117" s="160">
        <f>InputData!$C$6</f>
        <v>6.2100000000000002E-2</v>
      </c>
      <c r="M117" s="160">
        <f>InputData!$C$7</f>
        <v>0.03</v>
      </c>
      <c r="N117" s="160">
        <f>InputData!$C$8</f>
        <v>0.02</v>
      </c>
      <c r="O117" s="160">
        <f>InputData!$C$9</f>
        <v>0.06</v>
      </c>
      <c r="P117" s="160">
        <f>InputData!$C$10</f>
        <v>0.02</v>
      </c>
      <c r="Q117" s="160">
        <f>InputData!$C$11</f>
        <v>0.02</v>
      </c>
      <c r="R117" s="160">
        <f>InputData!$C$12</f>
        <v>0.02</v>
      </c>
      <c r="S117" s="160">
        <f>InputData!$C$13</f>
        <v>0.9</v>
      </c>
      <c r="T117" s="116">
        <f>InputData!$C$88</f>
        <v>180000</v>
      </c>
      <c r="U117" s="116">
        <f>InputData!$C$81</f>
        <v>178500</v>
      </c>
      <c r="V117" s="116">
        <f>InputData!$C$82</f>
        <v>303960</v>
      </c>
      <c r="W117" s="116">
        <f>InputData!$C$84</f>
        <v>215220</v>
      </c>
      <c r="X117" s="116">
        <f>InputData!$C$85</f>
        <v>409020</v>
      </c>
      <c r="Y117" s="116">
        <f>InputData!$C$116</f>
        <v>140000</v>
      </c>
      <c r="Z117" s="160">
        <f>InputData!$E$13</f>
        <v>0</v>
      </c>
    </row>
    <row r="118" spans="1:26" x14ac:dyDescent="0.25">
      <c r="A118">
        <f>InputData!$K$1</f>
        <v>2013</v>
      </c>
      <c r="B118" t="str">
        <f>InputData!$G$1</f>
        <v>San Antonio, TX</v>
      </c>
      <c r="C118" t="s">
        <v>11</v>
      </c>
      <c r="D118" t="str">
        <f>Graph_IntMed!$F$6</f>
        <v>EXT</v>
      </c>
      <c r="E118" t="str">
        <f t="shared" si="1"/>
        <v>Internal Medicine EXT</v>
      </c>
      <c r="F118">
        <f>Graph_IntMed!$A33</f>
        <v>2039</v>
      </c>
      <c r="G118">
        <f>Graph_IntMed!$B33</f>
        <v>27</v>
      </c>
      <c r="H118" s="165">
        <f>Graph_IntMed!$F33</f>
        <v>1456766.0579461628</v>
      </c>
      <c r="I118" s="160">
        <f>InputData!$C$3</f>
        <v>0.02</v>
      </c>
      <c r="J118" s="160">
        <f>InputData!$C$4</f>
        <v>0.01</v>
      </c>
      <c r="K118" s="160">
        <f>InputData!$C$5</f>
        <v>0.01</v>
      </c>
      <c r="L118" s="160">
        <f>InputData!$C$6</f>
        <v>6.2100000000000002E-2</v>
      </c>
      <c r="M118" s="160">
        <f>InputData!$C$7</f>
        <v>0.03</v>
      </c>
      <c r="N118" s="160">
        <f>InputData!$C$8</f>
        <v>0.02</v>
      </c>
      <c r="O118" s="160">
        <f>InputData!$C$9</f>
        <v>0.06</v>
      </c>
      <c r="P118" s="160">
        <f>InputData!$C$10</f>
        <v>0.02</v>
      </c>
      <c r="Q118" s="160">
        <f>InputData!$C$11</f>
        <v>0.02</v>
      </c>
      <c r="R118" s="160">
        <f>InputData!$C$12</f>
        <v>0.02</v>
      </c>
      <c r="S118" s="160">
        <f>InputData!$C$13</f>
        <v>0.9</v>
      </c>
      <c r="T118" s="116">
        <f>InputData!$C$88</f>
        <v>180000</v>
      </c>
      <c r="U118" s="116">
        <f>InputData!$C$81</f>
        <v>178500</v>
      </c>
      <c r="V118" s="116">
        <f>InputData!$C$82</f>
        <v>303960</v>
      </c>
      <c r="W118" s="116">
        <f>InputData!$C$84</f>
        <v>215220</v>
      </c>
      <c r="X118" s="116">
        <f>InputData!$C$85</f>
        <v>409020</v>
      </c>
      <c r="Y118" s="116">
        <f>InputData!$C$116</f>
        <v>140000</v>
      </c>
      <c r="Z118" s="160">
        <f>InputData!$E$13</f>
        <v>0</v>
      </c>
    </row>
    <row r="119" spans="1:26" x14ac:dyDescent="0.25">
      <c r="A119">
        <f>InputData!$K$1</f>
        <v>2013</v>
      </c>
      <c r="B119" t="str">
        <f>InputData!$G$1</f>
        <v>San Antonio, TX</v>
      </c>
      <c r="C119" t="s">
        <v>11</v>
      </c>
      <c r="D119" t="str">
        <f>Graph_IntMed!$F$6</f>
        <v>EXT</v>
      </c>
      <c r="E119" t="str">
        <f t="shared" si="1"/>
        <v>Internal Medicine EXT</v>
      </c>
      <c r="F119">
        <f>Graph_IntMed!$A34</f>
        <v>2040</v>
      </c>
      <c r="G119">
        <f>Graph_IntMed!$B34</f>
        <v>28</v>
      </c>
      <c r="H119" s="165">
        <f>Graph_IntMed!$F34</f>
        <v>1520503.0122695668</v>
      </c>
      <c r="I119" s="160">
        <f>InputData!$C$3</f>
        <v>0.02</v>
      </c>
      <c r="J119" s="160">
        <f>InputData!$C$4</f>
        <v>0.01</v>
      </c>
      <c r="K119" s="160">
        <f>InputData!$C$5</f>
        <v>0.01</v>
      </c>
      <c r="L119" s="160">
        <f>InputData!$C$6</f>
        <v>6.2100000000000002E-2</v>
      </c>
      <c r="M119" s="160">
        <f>InputData!$C$7</f>
        <v>0.03</v>
      </c>
      <c r="N119" s="160">
        <f>InputData!$C$8</f>
        <v>0.02</v>
      </c>
      <c r="O119" s="160">
        <f>InputData!$C$9</f>
        <v>0.06</v>
      </c>
      <c r="P119" s="160">
        <f>InputData!$C$10</f>
        <v>0.02</v>
      </c>
      <c r="Q119" s="160">
        <f>InputData!$C$11</f>
        <v>0.02</v>
      </c>
      <c r="R119" s="160">
        <f>InputData!$C$12</f>
        <v>0.02</v>
      </c>
      <c r="S119" s="160">
        <f>InputData!$C$13</f>
        <v>0.9</v>
      </c>
      <c r="T119" s="116">
        <f>InputData!$C$88</f>
        <v>180000</v>
      </c>
      <c r="U119" s="116">
        <f>InputData!$C$81</f>
        <v>178500</v>
      </c>
      <c r="V119" s="116">
        <f>InputData!$C$82</f>
        <v>303960</v>
      </c>
      <c r="W119" s="116">
        <f>InputData!$C$84</f>
        <v>215220</v>
      </c>
      <c r="X119" s="116">
        <f>InputData!$C$85</f>
        <v>409020</v>
      </c>
      <c r="Y119" s="116">
        <f>InputData!$C$116</f>
        <v>140000</v>
      </c>
      <c r="Z119" s="160">
        <f>InputData!$E$13</f>
        <v>0</v>
      </c>
    </row>
    <row r="120" spans="1:26" x14ac:dyDescent="0.25">
      <c r="A120">
        <f>InputData!$K$1</f>
        <v>2013</v>
      </c>
      <c r="B120" t="str">
        <f>InputData!$G$1</f>
        <v>San Antonio, TX</v>
      </c>
      <c r="C120" t="s">
        <v>11</v>
      </c>
      <c r="D120" t="str">
        <f>Graph_IntMed!$F$6</f>
        <v>EXT</v>
      </c>
      <c r="E120" t="str">
        <f t="shared" si="1"/>
        <v>Internal Medicine EXT</v>
      </c>
      <c r="F120">
        <f>Graph_IntMed!$A35</f>
        <v>2041</v>
      </c>
      <c r="G120">
        <f>Graph_IntMed!$B35</f>
        <v>29</v>
      </c>
      <c r="H120" s="165">
        <f>Graph_IntMed!$F35</f>
        <v>1583091.2752488288</v>
      </c>
      <c r="I120" s="160">
        <f>InputData!$C$3</f>
        <v>0.02</v>
      </c>
      <c r="J120" s="160">
        <f>InputData!$C$4</f>
        <v>0.01</v>
      </c>
      <c r="K120" s="160">
        <f>InputData!$C$5</f>
        <v>0.01</v>
      </c>
      <c r="L120" s="160">
        <f>InputData!$C$6</f>
        <v>6.2100000000000002E-2</v>
      </c>
      <c r="M120" s="160">
        <f>InputData!$C$7</f>
        <v>0.03</v>
      </c>
      <c r="N120" s="160">
        <f>InputData!$C$8</f>
        <v>0.02</v>
      </c>
      <c r="O120" s="160">
        <f>InputData!$C$9</f>
        <v>0.06</v>
      </c>
      <c r="P120" s="160">
        <f>InputData!$C$10</f>
        <v>0.02</v>
      </c>
      <c r="Q120" s="160">
        <f>InputData!$C$11</f>
        <v>0.02</v>
      </c>
      <c r="R120" s="160">
        <f>InputData!$C$12</f>
        <v>0.02</v>
      </c>
      <c r="S120" s="160">
        <f>InputData!$C$13</f>
        <v>0.9</v>
      </c>
      <c r="T120" s="116">
        <f>InputData!$C$88</f>
        <v>180000</v>
      </c>
      <c r="U120" s="116">
        <f>InputData!$C$81</f>
        <v>178500</v>
      </c>
      <c r="V120" s="116">
        <f>InputData!$C$82</f>
        <v>303960</v>
      </c>
      <c r="W120" s="116">
        <f>InputData!$C$84</f>
        <v>215220</v>
      </c>
      <c r="X120" s="116">
        <f>InputData!$C$85</f>
        <v>409020</v>
      </c>
      <c r="Y120" s="116">
        <f>InputData!$C$116</f>
        <v>140000</v>
      </c>
      <c r="Z120" s="160">
        <f>InputData!$E$13</f>
        <v>0</v>
      </c>
    </row>
    <row r="121" spans="1:26" x14ac:dyDescent="0.25">
      <c r="A121">
        <f>InputData!$K$1</f>
        <v>2013</v>
      </c>
      <c r="B121" t="str">
        <f>InputData!$G$1</f>
        <v>San Antonio, TX</v>
      </c>
      <c r="C121" t="s">
        <v>11</v>
      </c>
      <c r="D121" t="str">
        <f>Graph_IntMed!$F$6</f>
        <v>EXT</v>
      </c>
      <c r="E121" t="str">
        <f t="shared" si="1"/>
        <v>Internal Medicine EXT</v>
      </c>
      <c r="F121">
        <f>Graph_IntMed!$A36</f>
        <v>2042</v>
      </c>
      <c r="G121">
        <f>Graph_IntMed!$B36</f>
        <v>30</v>
      </c>
      <c r="H121" s="165">
        <f>Graph_IntMed!$F36</f>
        <v>1644547.6195638184</v>
      </c>
      <c r="I121" s="160">
        <f>InputData!$C$3</f>
        <v>0.02</v>
      </c>
      <c r="J121" s="160">
        <f>InputData!$C$4</f>
        <v>0.01</v>
      </c>
      <c r="K121" s="160">
        <f>InputData!$C$5</f>
        <v>0.01</v>
      </c>
      <c r="L121" s="160">
        <f>InputData!$C$6</f>
        <v>6.2100000000000002E-2</v>
      </c>
      <c r="M121" s="160">
        <f>InputData!$C$7</f>
        <v>0.03</v>
      </c>
      <c r="N121" s="160">
        <f>InputData!$C$8</f>
        <v>0.02</v>
      </c>
      <c r="O121" s="160">
        <f>InputData!$C$9</f>
        <v>0.06</v>
      </c>
      <c r="P121" s="160">
        <f>InputData!$C$10</f>
        <v>0.02</v>
      </c>
      <c r="Q121" s="160">
        <f>InputData!$C$11</f>
        <v>0.02</v>
      </c>
      <c r="R121" s="160">
        <f>InputData!$C$12</f>
        <v>0.02</v>
      </c>
      <c r="S121" s="160">
        <f>InputData!$C$13</f>
        <v>0.9</v>
      </c>
      <c r="T121" s="116">
        <f>InputData!$C$88</f>
        <v>180000</v>
      </c>
      <c r="U121" s="116">
        <f>InputData!$C$81</f>
        <v>178500</v>
      </c>
      <c r="V121" s="116">
        <f>InputData!$C$82</f>
        <v>303960</v>
      </c>
      <c r="W121" s="116">
        <f>InputData!$C$84</f>
        <v>215220</v>
      </c>
      <c r="X121" s="116">
        <f>InputData!$C$85</f>
        <v>409020</v>
      </c>
      <c r="Y121" s="116">
        <f>InputData!$C$116</f>
        <v>140000</v>
      </c>
      <c r="Z121" s="160">
        <f>InputData!$E$13</f>
        <v>0</v>
      </c>
    </row>
    <row r="122" spans="1:26" x14ac:dyDescent="0.25">
      <c r="A122">
        <f>InputData!$K$1</f>
        <v>2013</v>
      </c>
      <c r="B122" t="str">
        <f>InputData!$G$1</f>
        <v>San Antonio, TX</v>
      </c>
      <c r="C122" t="s">
        <v>11</v>
      </c>
      <c r="D122" t="str">
        <f>Graph_IntMed!$G$6</f>
        <v>IBR</v>
      </c>
      <c r="E122" t="str">
        <f t="shared" si="1"/>
        <v>Internal Medicine IBR</v>
      </c>
      <c r="F122">
        <f>Graph_IntMed!$A7</f>
        <v>2013</v>
      </c>
      <c r="G122">
        <f>Graph_IntMed!$B7</f>
        <v>1</v>
      </c>
      <c r="H122" s="165">
        <f>Graph_IntMed!$G7</f>
        <v>-43015.05</v>
      </c>
      <c r="I122" s="160">
        <f>InputData!$C$3</f>
        <v>0.02</v>
      </c>
      <c r="J122" s="160">
        <f>InputData!$C$4</f>
        <v>0.01</v>
      </c>
      <c r="K122" s="160">
        <f>InputData!$C$5</f>
        <v>0.01</v>
      </c>
      <c r="L122" s="160">
        <f>InputData!$C$6</f>
        <v>6.2100000000000002E-2</v>
      </c>
      <c r="M122" s="160">
        <f>InputData!$C$7</f>
        <v>0.03</v>
      </c>
      <c r="N122" s="160">
        <f>InputData!$C$8</f>
        <v>0.02</v>
      </c>
      <c r="O122" s="160">
        <f>InputData!$C$9</f>
        <v>0.06</v>
      </c>
      <c r="P122" s="160">
        <f>InputData!$C$10</f>
        <v>0.02</v>
      </c>
      <c r="Q122" s="160">
        <f>InputData!$C$11</f>
        <v>0.02</v>
      </c>
      <c r="R122" s="160">
        <f>InputData!$C$12</f>
        <v>0.02</v>
      </c>
      <c r="S122" s="160">
        <f>InputData!$C$13</f>
        <v>0.9</v>
      </c>
      <c r="T122" s="116">
        <f>InputData!$C$88</f>
        <v>180000</v>
      </c>
      <c r="U122" s="116">
        <f>InputData!$C$81</f>
        <v>178500</v>
      </c>
      <c r="V122" s="116">
        <f>InputData!$C$82</f>
        <v>303960</v>
      </c>
      <c r="W122" s="116">
        <f>InputData!$C$84</f>
        <v>215220</v>
      </c>
      <c r="X122" s="116">
        <f>InputData!$C$85</f>
        <v>409020</v>
      </c>
      <c r="Y122" s="116">
        <f>InputData!$C$116</f>
        <v>140000</v>
      </c>
      <c r="Z122" s="160">
        <f>InputData!$E$13</f>
        <v>0</v>
      </c>
    </row>
    <row r="123" spans="1:26" x14ac:dyDescent="0.25">
      <c r="A123">
        <f>InputData!$K$1</f>
        <v>2013</v>
      </c>
      <c r="B123" t="str">
        <f>InputData!$G$1</f>
        <v>San Antonio, TX</v>
      </c>
      <c r="C123" t="s">
        <v>11</v>
      </c>
      <c r="D123" t="str">
        <f>Graph_IntMed!$G$6</f>
        <v>IBR</v>
      </c>
      <c r="E123" t="str">
        <f t="shared" si="1"/>
        <v>Internal Medicine IBR</v>
      </c>
      <c r="F123">
        <f>Graph_IntMed!$A8</f>
        <v>2014</v>
      </c>
      <c r="G123">
        <f>Graph_IntMed!$B8</f>
        <v>2</v>
      </c>
      <c r="H123" s="165">
        <f>Graph_IntMed!$G8</f>
        <v>-86352.285865219877</v>
      </c>
      <c r="I123" s="160">
        <f>InputData!$C$3</f>
        <v>0.02</v>
      </c>
      <c r="J123" s="160">
        <f>InputData!$C$4</f>
        <v>0.01</v>
      </c>
      <c r="K123" s="160">
        <f>InputData!$C$5</f>
        <v>0.01</v>
      </c>
      <c r="L123" s="160">
        <f>InputData!$C$6</f>
        <v>6.2100000000000002E-2</v>
      </c>
      <c r="M123" s="160">
        <f>InputData!$C$7</f>
        <v>0.03</v>
      </c>
      <c r="N123" s="160">
        <f>InputData!$C$8</f>
        <v>0.02</v>
      </c>
      <c r="O123" s="160">
        <f>InputData!$C$9</f>
        <v>0.06</v>
      </c>
      <c r="P123" s="160">
        <f>InputData!$C$10</f>
        <v>0.02</v>
      </c>
      <c r="Q123" s="160">
        <f>InputData!$C$11</f>
        <v>0.02</v>
      </c>
      <c r="R123" s="160">
        <f>InputData!$C$12</f>
        <v>0.02</v>
      </c>
      <c r="S123" s="160">
        <f>InputData!$C$13</f>
        <v>0.9</v>
      </c>
      <c r="T123" s="116">
        <f>InputData!$C$88</f>
        <v>180000</v>
      </c>
      <c r="U123" s="116">
        <f>InputData!$C$81</f>
        <v>178500</v>
      </c>
      <c r="V123" s="116">
        <f>InputData!$C$82</f>
        <v>303960</v>
      </c>
      <c r="W123" s="116">
        <f>InputData!$C$84</f>
        <v>215220</v>
      </c>
      <c r="X123" s="116">
        <f>InputData!$C$85</f>
        <v>409020</v>
      </c>
      <c r="Y123" s="116">
        <f>InputData!$C$116</f>
        <v>140000</v>
      </c>
      <c r="Z123" s="160">
        <f>InputData!$E$13</f>
        <v>0</v>
      </c>
    </row>
    <row r="124" spans="1:26" x14ac:dyDescent="0.25">
      <c r="A124">
        <f>InputData!$K$1</f>
        <v>2013</v>
      </c>
      <c r="B124" t="str">
        <f>InputData!$G$1</f>
        <v>San Antonio, TX</v>
      </c>
      <c r="C124" t="s">
        <v>11</v>
      </c>
      <c r="D124" t="str">
        <f>Graph_IntMed!$G$6</f>
        <v>IBR</v>
      </c>
      <c r="E124" t="str">
        <f t="shared" si="1"/>
        <v>Internal Medicine IBR</v>
      </c>
      <c r="F124">
        <f>Graph_IntMed!$A9</f>
        <v>2015</v>
      </c>
      <c r="G124">
        <f>Graph_IntMed!$B9</f>
        <v>3</v>
      </c>
      <c r="H124" s="165">
        <f>Graph_IntMed!$G9</f>
        <v>-138541.19578403595</v>
      </c>
      <c r="I124" s="160">
        <f>InputData!$C$3</f>
        <v>0.02</v>
      </c>
      <c r="J124" s="160">
        <f>InputData!$C$4</f>
        <v>0.01</v>
      </c>
      <c r="K124" s="160">
        <f>InputData!$C$5</f>
        <v>0.01</v>
      </c>
      <c r="L124" s="160">
        <f>InputData!$C$6</f>
        <v>6.2100000000000002E-2</v>
      </c>
      <c r="M124" s="160">
        <f>InputData!$C$7</f>
        <v>0.03</v>
      </c>
      <c r="N124" s="160">
        <f>InputData!$C$8</f>
        <v>0.02</v>
      </c>
      <c r="O124" s="160">
        <f>InputData!$C$9</f>
        <v>0.06</v>
      </c>
      <c r="P124" s="160">
        <f>InputData!$C$10</f>
        <v>0.02</v>
      </c>
      <c r="Q124" s="160">
        <f>InputData!$C$11</f>
        <v>0.02</v>
      </c>
      <c r="R124" s="160">
        <f>InputData!$C$12</f>
        <v>0.02</v>
      </c>
      <c r="S124" s="160">
        <f>InputData!$C$13</f>
        <v>0.9</v>
      </c>
      <c r="T124" s="116">
        <f>InputData!$C$88</f>
        <v>180000</v>
      </c>
      <c r="U124" s="116">
        <f>InputData!$C$81</f>
        <v>178500</v>
      </c>
      <c r="V124" s="116">
        <f>InputData!$C$82</f>
        <v>303960</v>
      </c>
      <c r="W124" s="116">
        <f>InputData!$C$84</f>
        <v>215220</v>
      </c>
      <c r="X124" s="116">
        <f>InputData!$C$85</f>
        <v>409020</v>
      </c>
      <c r="Y124" s="116">
        <f>InputData!$C$116</f>
        <v>140000</v>
      </c>
      <c r="Z124" s="160">
        <f>InputData!$E$13</f>
        <v>0</v>
      </c>
    </row>
    <row r="125" spans="1:26" x14ac:dyDescent="0.25">
      <c r="A125">
        <f>InputData!$K$1</f>
        <v>2013</v>
      </c>
      <c r="B125" t="str">
        <f>InputData!$G$1</f>
        <v>San Antonio, TX</v>
      </c>
      <c r="C125" t="s">
        <v>11</v>
      </c>
      <c r="D125" t="str">
        <f>Graph_IntMed!$G$6</f>
        <v>IBR</v>
      </c>
      <c r="E125" t="str">
        <f t="shared" si="1"/>
        <v>Internal Medicine IBR</v>
      </c>
      <c r="F125">
        <f>Graph_IntMed!$A10</f>
        <v>2016</v>
      </c>
      <c r="G125">
        <f>Graph_IntMed!$B10</f>
        <v>4</v>
      </c>
      <c r="H125" s="165">
        <f>Graph_IntMed!$G10</f>
        <v>-190867.38028908212</v>
      </c>
      <c r="I125" s="160">
        <f>InputData!$C$3</f>
        <v>0.02</v>
      </c>
      <c r="J125" s="160">
        <f>InputData!$C$4</f>
        <v>0.01</v>
      </c>
      <c r="K125" s="160">
        <f>InputData!$C$5</f>
        <v>0.01</v>
      </c>
      <c r="L125" s="160">
        <f>InputData!$C$6</f>
        <v>6.2100000000000002E-2</v>
      </c>
      <c r="M125" s="160">
        <f>InputData!$C$7</f>
        <v>0.03</v>
      </c>
      <c r="N125" s="160">
        <f>InputData!$C$8</f>
        <v>0.02</v>
      </c>
      <c r="O125" s="160">
        <f>InputData!$C$9</f>
        <v>0.06</v>
      </c>
      <c r="P125" s="160">
        <f>InputData!$C$10</f>
        <v>0.02</v>
      </c>
      <c r="Q125" s="160">
        <f>InputData!$C$11</f>
        <v>0.02</v>
      </c>
      <c r="R125" s="160">
        <f>InputData!$C$12</f>
        <v>0.02</v>
      </c>
      <c r="S125" s="160">
        <f>InputData!$C$13</f>
        <v>0.9</v>
      </c>
      <c r="T125" s="116">
        <f>InputData!$C$88</f>
        <v>180000</v>
      </c>
      <c r="U125" s="116">
        <f>InputData!$C$81</f>
        <v>178500</v>
      </c>
      <c r="V125" s="116">
        <f>InputData!$C$82</f>
        <v>303960</v>
      </c>
      <c r="W125" s="116">
        <f>InputData!$C$84</f>
        <v>215220</v>
      </c>
      <c r="X125" s="116">
        <f>InputData!$C$85</f>
        <v>409020</v>
      </c>
      <c r="Y125" s="116">
        <f>InputData!$C$116</f>
        <v>140000</v>
      </c>
      <c r="Z125" s="160">
        <f>InputData!$E$13</f>
        <v>0</v>
      </c>
    </row>
    <row r="126" spans="1:26" x14ac:dyDescent="0.25">
      <c r="A126">
        <f>InputData!$K$1</f>
        <v>2013</v>
      </c>
      <c r="B126" t="str">
        <f>InputData!$G$1</f>
        <v>San Antonio, TX</v>
      </c>
      <c r="C126" t="s">
        <v>11</v>
      </c>
      <c r="D126" t="str">
        <f>Graph_IntMed!$G$6</f>
        <v>IBR</v>
      </c>
      <c r="E126" t="str">
        <f t="shared" si="1"/>
        <v>Internal Medicine IBR</v>
      </c>
      <c r="F126">
        <f>Graph_IntMed!$A11</f>
        <v>2017</v>
      </c>
      <c r="G126">
        <f>Graph_IntMed!$B11</f>
        <v>5</v>
      </c>
      <c r="H126" s="165">
        <f>Graph_IntMed!$G11</f>
        <v>-154981.05168717628</v>
      </c>
      <c r="I126" s="160">
        <f>InputData!$C$3</f>
        <v>0.02</v>
      </c>
      <c r="J126" s="160">
        <f>InputData!$C$4</f>
        <v>0.01</v>
      </c>
      <c r="K126" s="160">
        <f>InputData!$C$5</f>
        <v>0.01</v>
      </c>
      <c r="L126" s="160">
        <f>InputData!$C$6</f>
        <v>6.2100000000000002E-2</v>
      </c>
      <c r="M126" s="160">
        <f>InputData!$C$7</f>
        <v>0.03</v>
      </c>
      <c r="N126" s="160">
        <f>InputData!$C$8</f>
        <v>0.02</v>
      </c>
      <c r="O126" s="160">
        <f>InputData!$C$9</f>
        <v>0.06</v>
      </c>
      <c r="P126" s="160">
        <f>InputData!$C$10</f>
        <v>0.02</v>
      </c>
      <c r="Q126" s="160">
        <f>InputData!$C$11</f>
        <v>0.02</v>
      </c>
      <c r="R126" s="160">
        <f>InputData!$C$12</f>
        <v>0.02</v>
      </c>
      <c r="S126" s="160">
        <f>InputData!$C$13</f>
        <v>0.9</v>
      </c>
      <c r="T126" s="116">
        <f>InputData!$C$88</f>
        <v>180000</v>
      </c>
      <c r="U126" s="116">
        <f>InputData!$C$81</f>
        <v>178500</v>
      </c>
      <c r="V126" s="116">
        <f>InputData!$C$82</f>
        <v>303960</v>
      </c>
      <c r="W126" s="116">
        <f>InputData!$C$84</f>
        <v>215220</v>
      </c>
      <c r="X126" s="116">
        <f>InputData!$C$85</f>
        <v>409020</v>
      </c>
      <c r="Y126" s="116">
        <f>InputData!$C$116</f>
        <v>140000</v>
      </c>
      <c r="Z126" s="160">
        <f>InputData!$E$13</f>
        <v>0</v>
      </c>
    </row>
    <row r="127" spans="1:26" x14ac:dyDescent="0.25">
      <c r="A127">
        <f>InputData!$K$1</f>
        <v>2013</v>
      </c>
      <c r="B127" t="str">
        <f>InputData!$G$1</f>
        <v>San Antonio, TX</v>
      </c>
      <c r="C127" t="s">
        <v>11</v>
      </c>
      <c r="D127" t="str">
        <f>Graph_IntMed!$G$6</f>
        <v>IBR</v>
      </c>
      <c r="E127" t="str">
        <f t="shared" si="1"/>
        <v>Internal Medicine IBR</v>
      </c>
      <c r="F127">
        <f>Graph_IntMed!$A12</f>
        <v>2018</v>
      </c>
      <c r="G127">
        <f>Graph_IntMed!$B12</f>
        <v>6</v>
      </c>
      <c r="H127" s="165">
        <f>Graph_IntMed!$G12</f>
        <v>-118995.92937851879</v>
      </c>
      <c r="I127" s="160">
        <f>InputData!$C$3</f>
        <v>0.02</v>
      </c>
      <c r="J127" s="160">
        <f>InputData!$C$4</f>
        <v>0.01</v>
      </c>
      <c r="K127" s="160">
        <f>InputData!$C$5</f>
        <v>0.01</v>
      </c>
      <c r="L127" s="160">
        <f>InputData!$C$6</f>
        <v>6.2100000000000002E-2</v>
      </c>
      <c r="M127" s="160">
        <f>InputData!$C$7</f>
        <v>0.03</v>
      </c>
      <c r="N127" s="160">
        <f>InputData!$C$8</f>
        <v>0.02</v>
      </c>
      <c r="O127" s="160">
        <f>InputData!$C$9</f>
        <v>0.06</v>
      </c>
      <c r="P127" s="160">
        <f>InputData!$C$10</f>
        <v>0.02</v>
      </c>
      <c r="Q127" s="160">
        <f>InputData!$C$11</f>
        <v>0.02</v>
      </c>
      <c r="R127" s="160">
        <f>InputData!$C$12</f>
        <v>0.02</v>
      </c>
      <c r="S127" s="160">
        <f>InputData!$C$13</f>
        <v>0.9</v>
      </c>
      <c r="T127" s="116">
        <f>InputData!$C$88</f>
        <v>180000</v>
      </c>
      <c r="U127" s="116">
        <f>InputData!$C$81</f>
        <v>178500</v>
      </c>
      <c r="V127" s="116">
        <f>InputData!$C$82</f>
        <v>303960</v>
      </c>
      <c r="W127" s="116">
        <f>InputData!$C$84</f>
        <v>215220</v>
      </c>
      <c r="X127" s="116">
        <f>InputData!$C$85</f>
        <v>409020</v>
      </c>
      <c r="Y127" s="116">
        <f>InputData!$C$116</f>
        <v>140000</v>
      </c>
      <c r="Z127" s="160">
        <f>InputData!$E$13</f>
        <v>0</v>
      </c>
    </row>
    <row r="128" spans="1:26" x14ac:dyDescent="0.25">
      <c r="A128">
        <f>InputData!$K$1</f>
        <v>2013</v>
      </c>
      <c r="B128" t="str">
        <f>InputData!$G$1</f>
        <v>San Antonio, TX</v>
      </c>
      <c r="C128" t="s">
        <v>11</v>
      </c>
      <c r="D128" t="str">
        <f>Graph_IntMed!$G$6</f>
        <v>IBR</v>
      </c>
      <c r="E128" t="str">
        <f t="shared" si="1"/>
        <v>Internal Medicine IBR</v>
      </c>
      <c r="F128">
        <f>Graph_IntMed!$A13</f>
        <v>2019</v>
      </c>
      <c r="G128">
        <f>Graph_IntMed!$B13</f>
        <v>7</v>
      </c>
      <c r="H128" s="165">
        <f>Graph_IntMed!$G13</f>
        <v>-82904.654937055282</v>
      </c>
      <c r="I128" s="160">
        <f>InputData!$C$3</f>
        <v>0.02</v>
      </c>
      <c r="J128" s="160">
        <f>InputData!$C$4</f>
        <v>0.01</v>
      </c>
      <c r="K128" s="160">
        <f>InputData!$C$5</f>
        <v>0.01</v>
      </c>
      <c r="L128" s="160">
        <f>InputData!$C$6</f>
        <v>6.2100000000000002E-2</v>
      </c>
      <c r="M128" s="160">
        <f>InputData!$C$7</f>
        <v>0.03</v>
      </c>
      <c r="N128" s="160">
        <f>InputData!$C$8</f>
        <v>0.02</v>
      </c>
      <c r="O128" s="160">
        <f>InputData!$C$9</f>
        <v>0.06</v>
      </c>
      <c r="P128" s="160">
        <f>InputData!$C$10</f>
        <v>0.02</v>
      </c>
      <c r="Q128" s="160">
        <f>InputData!$C$11</f>
        <v>0.02</v>
      </c>
      <c r="R128" s="160">
        <f>InputData!$C$12</f>
        <v>0.02</v>
      </c>
      <c r="S128" s="160">
        <f>InputData!$C$13</f>
        <v>0.9</v>
      </c>
      <c r="T128" s="116">
        <f>InputData!$C$88</f>
        <v>180000</v>
      </c>
      <c r="U128" s="116">
        <f>InputData!$C$81</f>
        <v>178500</v>
      </c>
      <c r="V128" s="116">
        <f>InputData!$C$82</f>
        <v>303960</v>
      </c>
      <c r="W128" s="116">
        <f>InputData!$C$84</f>
        <v>215220</v>
      </c>
      <c r="X128" s="116">
        <f>InputData!$C$85</f>
        <v>409020</v>
      </c>
      <c r="Y128" s="116">
        <f>InputData!$C$116</f>
        <v>140000</v>
      </c>
      <c r="Z128" s="160">
        <f>InputData!$E$13</f>
        <v>0</v>
      </c>
    </row>
    <row r="129" spans="1:26" x14ac:dyDescent="0.25">
      <c r="A129">
        <f>InputData!$K$1</f>
        <v>2013</v>
      </c>
      <c r="B129" t="str">
        <f>InputData!$G$1</f>
        <v>San Antonio, TX</v>
      </c>
      <c r="C129" t="s">
        <v>11</v>
      </c>
      <c r="D129" t="str">
        <f>Graph_IntMed!$G$6</f>
        <v>IBR</v>
      </c>
      <c r="E129" t="str">
        <f t="shared" si="1"/>
        <v>Internal Medicine IBR</v>
      </c>
      <c r="F129">
        <f>Graph_IntMed!$A14</f>
        <v>2020</v>
      </c>
      <c r="G129">
        <f>Graph_IntMed!$B14</f>
        <v>8</v>
      </c>
      <c r="H129" s="165">
        <f>Graph_IntMed!$G14</f>
        <v>931.05610505286313</v>
      </c>
      <c r="I129" s="160">
        <f>InputData!$C$3</f>
        <v>0.02</v>
      </c>
      <c r="J129" s="160">
        <f>InputData!$C$4</f>
        <v>0.01</v>
      </c>
      <c r="K129" s="160">
        <f>InputData!$C$5</f>
        <v>0.01</v>
      </c>
      <c r="L129" s="160">
        <f>InputData!$C$6</f>
        <v>6.2100000000000002E-2</v>
      </c>
      <c r="M129" s="160">
        <f>InputData!$C$7</f>
        <v>0.03</v>
      </c>
      <c r="N129" s="160">
        <f>InputData!$C$8</f>
        <v>0.02</v>
      </c>
      <c r="O129" s="160">
        <f>InputData!$C$9</f>
        <v>0.06</v>
      </c>
      <c r="P129" s="160">
        <f>InputData!$C$10</f>
        <v>0.02</v>
      </c>
      <c r="Q129" s="160">
        <f>InputData!$C$11</f>
        <v>0.02</v>
      </c>
      <c r="R129" s="160">
        <f>InputData!$C$12</f>
        <v>0.02</v>
      </c>
      <c r="S129" s="160">
        <f>InputData!$C$13</f>
        <v>0.9</v>
      </c>
      <c r="T129" s="116">
        <f>InputData!$C$88</f>
        <v>180000</v>
      </c>
      <c r="U129" s="116">
        <f>InputData!$C$81</f>
        <v>178500</v>
      </c>
      <c r="V129" s="116">
        <f>InputData!$C$82</f>
        <v>303960</v>
      </c>
      <c r="W129" s="116">
        <f>InputData!$C$84</f>
        <v>215220</v>
      </c>
      <c r="X129" s="116">
        <f>InputData!$C$85</f>
        <v>409020</v>
      </c>
      <c r="Y129" s="116">
        <f>InputData!$C$116</f>
        <v>140000</v>
      </c>
      <c r="Z129" s="160">
        <f>InputData!$E$13</f>
        <v>0</v>
      </c>
    </row>
    <row r="130" spans="1:26" x14ac:dyDescent="0.25">
      <c r="A130">
        <f>InputData!$K$1</f>
        <v>2013</v>
      </c>
      <c r="B130" t="str">
        <f>InputData!$G$1</f>
        <v>San Antonio, TX</v>
      </c>
      <c r="C130" t="s">
        <v>11</v>
      </c>
      <c r="D130" t="str">
        <f>Graph_IntMed!$G$6</f>
        <v>IBR</v>
      </c>
      <c r="E130" t="str">
        <f t="shared" si="1"/>
        <v>Internal Medicine IBR</v>
      </c>
      <c r="F130">
        <f>Graph_IntMed!$A15</f>
        <v>2021</v>
      </c>
      <c r="G130">
        <f>Graph_IntMed!$B15</f>
        <v>9</v>
      </c>
      <c r="H130" s="165">
        <f>Graph_IntMed!$G15</f>
        <v>83092.354772599268</v>
      </c>
      <c r="I130" s="160">
        <f>InputData!$C$3</f>
        <v>0.02</v>
      </c>
      <c r="J130" s="160">
        <f>InputData!$C$4</f>
        <v>0.01</v>
      </c>
      <c r="K130" s="160">
        <f>InputData!$C$5</f>
        <v>0.01</v>
      </c>
      <c r="L130" s="160">
        <f>InputData!$C$6</f>
        <v>6.2100000000000002E-2</v>
      </c>
      <c r="M130" s="160">
        <f>InputData!$C$7</f>
        <v>0.03</v>
      </c>
      <c r="N130" s="160">
        <f>InputData!$C$8</f>
        <v>0.02</v>
      </c>
      <c r="O130" s="160">
        <f>InputData!$C$9</f>
        <v>0.06</v>
      </c>
      <c r="P130" s="160">
        <f>InputData!$C$10</f>
        <v>0.02</v>
      </c>
      <c r="Q130" s="160">
        <f>InputData!$C$11</f>
        <v>0.02</v>
      </c>
      <c r="R130" s="160">
        <f>InputData!$C$12</f>
        <v>0.02</v>
      </c>
      <c r="S130" s="160">
        <f>InputData!$C$13</f>
        <v>0.9</v>
      </c>
      <c r="T130" s="116">
        <f>InputData!$C$88</f>
        <v>180000</v>
      </c>
      <c r="U130" s="116">
        <f>InputData!$C$81</f>
        <v>178500</v>
      </c>
      <c r="V130" s="116">
        <f>InputData!$C$82</f>
        <v>303960</v>
      </c>
      <c r="W130" s="116">
        <f>InputData!$C$84</f>
        <v>215220</v>
      </c>
      <c r="X130" s="116">
        <f>InputData!$C$85</f>
        <v>409020</v>
      </c>
      <c r="Y130" s="116">
        <f>InputData!$C$116</f>
        <v>140000</v>
      </c>
      <c r="Z130" s="160">
        <f>InputData!$E$13</f>
        <v>0</v>
      </c>
    </row>
    <row r="131" spans="1:26" x14ac:dyDescent="0.25">
      <c r="A131">
        <f>InputData!$K$1</f>
        <v>2013</v>
      </c>
      <c r="B131" t="str">
        <f>InputData!$G$1</f>
        <v>San Antonio, TX</v>
      </c>
      <c r="C131" t="s">
        <v>11</v>
      </c>
      <c r="D131" t="str">
        <f>Graph_IntMed!$G$6</f>
        <v>IBR</v>
      </c>
      <c r="E131" t="str">
        <f t="shared" ref="E131:E194" si="2">C131 &amp; " " &amp; D131</f>
        <v>Internal Medicine IBR</v>
      </c>
      <c r="F131">
        <f>Graph_IntMed!$A16</f>
        <v>2022</v>
      </c>
      <c r="G131">
        <f>Graph_IntMed!$B16</f>
        <v>10</v>
      </c>
      <c r="H131" s="165">
        <f>Graph_IntMed!$G16</f>
        <v>163612.96321193108</v>
      </c>
      <c r="I131" s="160">
        <f>InputData!$C$3</f>
        <v>0.02</v>
      </c>
      <c r="J131" s="160">
        <f>InputData!$C$4</f>
        <v>0.01</v>
      </c>
      <c r="K131" s="160">
        <f>InputData!$C$5</f>
        <v>0.01</v>
      </c>
      <c r="L131" s="160">
        <f>InputData!$C$6</f>
        <v>6.2100000000000002E-2</v>
      </c>
      <c r="M131" s="160">
        <f>InputData!$C$7</f>
        <v>0.03</v>
      </c>
      <c r="N131" s="160">
        <f>InputData!$C$8</f>
        <v>0.02</v>
      </c>
      <c r="O131" s="160">
        <f>InputData!$C$9</f>
        <v>0.06</v>
      </c>
      <c r="P131" s="160">
        <f>InputData!$C$10</f>
        <v>0.02</v>
      </c>
      <c r="Q131" s="160">
        <f>InputData!$C$11</f>
        <v>0.02</v>
      </c>
      <c r="R131" s="160">
        <f>InputData!$C$12</f>
        <v>0.02</v>
      </c>
      <c r="S131" s="160">
        <f>InputData!$C$13</f>
        <v>0.9</v>
      </c>
      <c r="T131" s="116">
        <f>InputData!$C$88</f>
        <v>180000</v>
      </c>
      <c r="U131" s="116">
        <f>InputData!$C$81</f>
        <v>178500</v>
      </c>
      <c r="V131" s="116">
        <f>InputData!$C$82</f>
        <v>303960</v>
      </c>
      <c r="W131" s="116">
        <f>InputData!$C$84</f>
        <v>215220</v>
      </c>
      <c r="X131" s="116">
        <f>InputData!$C$85</f>
        <v>409020</v>
      </c>
      <c r="Y131" s="116">
        <f>InputData!$C$116</f>
        <v>140000</v>
      </c>
      <c r="Z131" s="160">
        <f>InputData!$E$13</f>
        <v>0</v>
      </c>
    </row>
    <row r="132" spans="1:26" x14ac:dyDescent="0.25">
      <c r="A132">
        <f>InputData!$K$1</f>
        <v>2013</v>
      </c>
      <c r="B132" t="str">
        <f>InputData!$G$1</f>
        <v>San Antonio, TX</v>
      </c>
      <c r="C132" t="s">
        <v>11</v>
      </c>
      <c r="D132" t="str">
        <f>Graph_IntMed!$G$6</f>
        <v>IBR</v>
      </c>
      <c r="E132" t="str">
        <f t="shared" si="2"/>
        <v>Internal Medicine IBR</v>
      </c>
      <c r="F132">
        <f>Graph_IntMed!$A17</f>
        <v>2023</v>
      </c>
      <c r="G132">
        <f>Graph_IntMed!$B17</f>
        <v>11</v>
      </c>
      <c r="H132" s="165">
        <f>Graph_IntMed!$G17</f>
        <v>242525.91641303879</v>
      </c>
      <c r="I132" s="160">
        <f>InputData!$C$3</f>
        <v>0.02</v>
      </c>
      <c r="J132" s="160">
        <f>InputData!$C$4</f>
        <v>0.01</v>
      </c>
      <c r="K132" s="160">
        <f>InputData!$C$5</f>
        <v>0.01</v>
      </c>
      <c r="L132" s="160">
        <f>InputData!$C$6</f>
        <v>6.2100000000000002E-2</v>
      </c>
      <c r="M132" s="160">
        <f>InputData!$C$7</f>
        <v>0.03</v>
      </c>
      <c r="N132" s="160">
        <f>InputData!$C$8</f>
        <v>0.02</v>
      </c>
      <c r="O132" s="160">
        <f>InputData!$C$9</f>
        <v>0.06</v>
      </c>
      <c r="P132" s="160">
        <f>InputData!$C$10</f>
        <v>0.02</v>
      </c>
      <c r="Q132" s="160">
        <f>InputData!$C$11</f>
        <v>0.02</v>
      </c>
      <c r="R132" s="160">
        <f>InputData!$C$12</f>
        <v>0.02</v>
      </c>
      <c r="S132" s="160">
        <f>InputData!$C$13</f>
        <v>0.9</v>
      </c>
      <c r="T132" s="116">
        <f>InputData!$C$88</f>
        <v>180000</v>
      </c>
      <c r="U132" s="116">
        <f>InputData!$C$81</f>
        <v>178500</v>
      </c>
      <c r="V132" s="116">
        <f>InputData!$C$82</f>
        <v>303960</v>
      </c>
      <c r="W132" s="116">
        <f>InputData!$C$84</f>
        <v>215220</v>
      </c>
      <c r="X132" s="116">
        <f>InputData!$C$85</f>
        <v>409020</v>
      </c>
      <c r="Y132" s="116">
        <f>InputData!$C$116</f>
        <v>140000</v>
      </c>
      <c r="Z132" s="160">
        <f>InputData!$E$13</f>
        <v>0</v>
      </c>
    </row>
    <row r="133" spans="1:26" x14ac:dyDescent="0.25">
      <c r="A133">
        <f>InputData!$K$1</f>
        <v>2013</v>
      </c>
      <c r="B133" t="str">
        <f>InputData!$G$1</f>
        <v>San Antonio, TX</v>
      </c>
      <c r="C133" t="s">
        <v>11</v>
      </c>
      <c r="D133" t="str">
        <f>Graph_IntMed!$G$6</f>
        <v>IBR</v>
      </c>
      <c r="E133" t="str">
        <f t="shared" si="2"/>
        <v>Internal Medicine IBR</v>
      </c>
      <c r="F133">
        <f>Graph_IntMed!$A18</f>
        <v>2024</v>
      </c>
      <c r="G133">
        <f>Graph_IntMed!$B18</f>
        <v>12</v>
      </c>
      <c r="H133" s="165">
        <f>Graph_IntMed!$G18</f>
        <v>319863.57643868041</v>
      </c>
      <c r="I133" s="160">
        <f>InputData!$C$3</f>
        <v>0.02</v>
      </c>
      <c r="J133" s="160">
        <f>InputData!$C$4</f>
        <v>0.01</v>
      </c>
      <c r="K133" s="160">
        <f>InputData!$C$5</f>
        <v>0.01</v>
      </c>
      <c r="L133" s="160">
        <f>InputData!$C$6</f>
        <v>6.2100000000000002E-2</v>
      </c>
      <c r="M133" s="160">
        <f>InputData!$C$7</f>
        <v>0.03</v>
      </c>
      <c r="N133" s="160">
        <f>InputData!$C$8</f>
        <v>0.02</v>
      </c>
      <c r="O133" s="160">
        <f>InputData!$C$9</f>
        <v>0.06</v>
      </c>
      <c r="P133" s="160">
        <f>InputData!$C$10</f>
        <v>0.02</v>
      </c>
      <c r="Q133" s="160">
        <f>InputData!$C$11</f>
        <v>0.02</v>
      </c>
      <c r="R133" s="160">
        <f>InputData!$C$12</f>
        <v>0.02</v>
      </c>
      <c r="S133" s="160">
        <f>InputData!$C$13</f>
        <v>0.9</v>
      </c>
      <c r="T133" s="116">
        <f>InputData!$C$88</f>
        <v>180000</v>
      </c>
      <c r="U133" s="116">
        <f>InputData!$C$81</f>
        <v>178500</v>
      </c>
      <c r="V133" s="116">
        <f>InputData!$C$82</f>
        <v>303960</v>
      </c>
      <c r="W133" s="116">
        <f>InputData!$C$84</f>
        <v>215220</v>
      </c>
      <c r="X133" s="116">
        <f>InputData!$C$85</f>
        <v>409020</v>
      </c>
      <c r="Y133" s="116">
        <f>InputData!$C$116</f>
        <v>140000</v>
      </c>
      <c r="Z133" s="160">
        <f>InputData!$E$13</f>
        <v>0</v>
      </c>
    </row>
    <row r="134" spans="1:26" x14ac:dyDescent="0.25">
      <c r="A134">
        <f>InputData!$K$1</f>
        <v>2013</v>
      </c>
      <c r="B134" t="str">
        <f>InputData!$G$1</f>
        <v>San Antonio, TX</v>
      </c>
      <c r="C134" t="s">
        <v>11</v>
      </c>
      <c r="D134" t="str">
        <f>Graph_IntMed!$G$6</f>
        <v>IBR</v>
      </c>
      <c r="E134" t="str">
        <f t="shared" si="2"/>
        <v>Internal Medicine IBR</v>
      </c>
      <c r="F134">
        <f>Graph_IntMed!$A19</f>
        <v>2025</v>
      </c>
      <c r="G134">
        <f>Graph_IntMed!$B19</f>
        <v>13</v>
      </c>
      <c r="H134" s="165">
        <f>Graph_IntMed!$G19</f>
        <v>395657.64635249873</v>
      </c>
      <c r="I134" s="160">
        <f>InputData!$C$3</f>
        <v>0.02</v>
      </c>
      <c r="J134" s="160">
        <f>InputData!$C$4</f>
        <v>0.01</v>
      </c>
      <c r="K134" s="160">
        <f>InputData!$C$5</f>
        <v>0.01</v>
      </c>
      <c r="L134" s="160">
        <f>InputData!$C$6</f>
        <v>6.2100000000000002E-2</v>
      </c>
      <c r="M134" s="160">
        <f>InputData!$C$7</f>
        <v>0.03</v>
      </c>
      <c r="N134" s="160">
        <f>InputData!$C$8</f>
        <v>0.02</v>
      </c>
      <c r="O134" s="160">
        <f>InputData!$C$9</f>
        <v>0.06</v>
      </c>
      <c r="P134" s="160">
        <f>InputData!$C$10</f>
        <v>0.02</v>
      </c>
      <c r="Q134" s="160">
        <f>InputData!$C$11</f>
        <v>0.02</v>
      </c>
      <c r="R134" s="160">
        <f>InputData!$C$12</f>
        <v>0.02</v>
      </c>
      <c r="S134" s="160">
        <f>InputData!$C$13</f>
        <v>0.9</v>
      </c>
      <c r="T134" s="116">
        <f>InputData!$C$88</f>
        <v>180000</v>
      </c>
      <c r="U134" s="116">
        <f>InputData!$C$81</f>
        <v>178500</v>
      </c>
      <c r="V134" s="116">
        <f>InputData!$C$82</f>
        <v>303960</v>
      </c>
      <c r="W134" s="116">
        <f>InputData!$C$84</f>
        <v>215220</v>
      </c>
      <c r="X134" s="116">
        <f>InputData!$C$85</f>
        <v>409020</v>
      </c>
      <c r="Y134" s="116">
        <f>InputData!$C$116</f>
        <v>140000</v>
      </c>
      <c r="Z134" s="160">
        <f>InputData!$E$13</f>
        <v>0</v>
      </c>
    </row>
    <row r="135" spans="1:26" x14ac:dyDescent="0.25">
      <c r="A135">
        <f>InputData!$K$1</f>
        <v>2013</v>
      </c>
      <c r="B135" t="str">
        <f>InputData!$G$1</f>
        <v>San Antonio, TX</v>
      </c>
      <c r="C135" t="s">
        <v>11</v>
      </c>
      <c r="D135" t="str">
        <f>Graph_IntMed!$G$6</f>
        <v>IBR</v>
      </c>
      <c r="E135" t="str">
        <f t="shared" si="2"/>
        <v>Internal Medicine IBR</v>
      </c>
      <c r="F135">
        <f>Graph_IntMed!$A20</f>
        <v>2026</v>
      </c>
      <c r="G135">
        <f>Graph_IntMed!$B20</f>
        <v>14</v>
      </c>
      <c r="H135" s="165">
        <f>Graph_IntMed!$G20</f>
        <v>469939.18385267572</v>
      </c>
      <c r="I135" s="160">
        <f>InputData!$C$3</f>
        <v>0.02</v>
      </c>
      <c r="J135" s="160">
        <f>InputData!$C$4</f>
        <v>0.01</v>
      </c>
      <c r="K135" s="160">
        <f>InputData!$C$5</f>
        <v>0.01</v>
      </c>
      <c r="L135" s="160">
        <f>InputData!$C$6</f>
        <v>6.2100000000000002E-2</v>
      </c>
      <c r="M135" s="160">
        <f>InputData!$C$7</f>
        <v>0.03</v>
      </c>
      <c r="N135" s="160">
        <f>InputData!$C$8</f>
        <v>0.02</v>
      </c>
      <c r="O135" s="160">
        <f>InputData!$C$9</f>
        <v>0.06</v>
      </c>
      <c r="P135" s="160">
        <f>InputData!$C$10</f>
        <v>0.02</v>
      </c>
      <c r="Q135" s="160">
        <f>InputData!$C$11</f>
        <v>0.02</v>
      </c>
      <c r="R135" s="160">
        <f>InputData!$C$12</f>
        <v>0.02</v>
      </c>
      <c r="S135" s="160">
        <f>InputData!$C$13</f>
        <v>0.9</v>
      </c>
      <c r="T135" s="116">
        <f>InputData!$C$88</f>
        <v>180000</v>
      </c>
      <c r="U135" s="116">
        <f>InputData!$C$81</f>
        <v>178500</v>
      </c>
      <c r="V135" s="116">
        <f>InputData!$C$82</f>
        <v>303960</v>
      </c>
      <c r="W135" s="116">
        <f>InputData!$C$84</f>
        <v>215220</v>
      </c>
      <c r="X135" s="116">
        <f>InputData!$C$85</f>
        <v>409020</v>
      </c>
      <c r="Y135" s="116">
        <f>InputData!$C$116</f>
        <v>140000</v>
      </c>
      <c r="Z135" s="160">
        <f>InputData!$E$13</f>
        <v>0</v>
      </c>
    </row>
    <row r="136" spans="1:26" x14ac:dyDescent="0.25">
      <c r="A136">
        <f>InputData!$K$1</f>
        <v>2013</v>
      </c>
      <c r="B136" t="str">
        <f>InputData!$G$1</f>
        <v>San Antonio, TX</v>
      </c>
      <c r="C136" t="s">
        <v>11</v>
      </c>
      <c r="D136" t="str">
        <f>Graph_IntMed!$G$6</f>
        <v>IBR</v>
      </c>
      <c r="E136" t="str">
        <f t="shared" si="2"/>
        <v>Internal Medicine IBR</v>
      </c>
      <c r="F136">
        <f>Graph_IntMed!$A21</f>
        <v>2027</v>
      </c>
      <c r="G136">
        <f>Graph_IntMed!$B21</f>
        <v>15</v>
      </c>
      <c r="H136" s="165">
        <f>Graph_IntMed!$G21</f>
        <v>543051.61655937287</v>
      </c>
      <c r="I136" s="160">
        <f>InputData!$C$3</f>
        <v>0.02</v>
      </c>
      <c r="J136" s="160">
        <f>InputData!$C$4</f>
        <v>0.01</v>
      </c>
      <c r="K136" s="160">
        <f>InputData!$C$5</f>
        <v>0.01</v>
      </c>
      <c r="L136" s="160">
        <f>InputData!$C$6</f>
        <v>6.2100000000000002E-2</v>
      </c>
      <c r="M136" s="160">
        <f>InputData!$C$7</f>
        <v>0.03</v>
      </c>
      <c r="N136" s="160">
        <f>InputData!$C$8</f>
        <v>0.02</v>
      </c>
      <c r="O136" s="160">
        <f>InputData!$C$9</f>
        <v>0.06</v>
      </c>
      <c r="P136" s="160">
        <f>InputData!$C$10</f>
        <v>0.02</v>
      </c>
      <c r="Q136" s="160">
        <f>InputData!$C$11</f>
        <v>0.02</v>
      </c>
      <c r="R136" s="160">
        <f>InputData!$C$12</f>
        <v>0.02</v>
      </c>
      <c r="S136" s="160">
        <f>InputData!$C$13</f>
        <v>0.9</v>
      </c>
      <c r="T136" s="116">
        <f>InputData!$C$88</f>
        <v>180000</v>
      </c>
      <c r="U136" s="116">
        <f>InputData!$C$81</f>
        <v>178500</v>
      </c>
      <c r="V136" s="116">
        <f>InputData!$C$82</f>
        <v>303960</v>
      </c>
      <c r="W136" s="116">
        <f>InputData!$C$84</f>
        <v>215220</v>
      </c>
      <c r="X136" s="116">
        <f>InputData!$C$85</f>
        <v>409020</v>
      </c>
      <c r="Y136" s="116">
        <f>InputData!$C$116</f>
        <v>140000</v>
      </c>
      <c r="Z136" s="160">
        <f>InputData!$E$13</f>
        <v>0</v>
      </c>
    </row>
    <row r="137" spans="1:26" x14ac:dyDescent="0.25">
      <c r="A137">
        <f>InputData!$K$1</f>
        <v>2013</v>
      </c>
      <c r="B137" t="str">
        <f>InputData!$G$1</f>
        <v>San Antonio, TX</v>
      </c>
      <c r="C137" t="s">
        <v>11</v>
      </c>
      <c r="D137" t="str">
        <f>Graph_IntMed!$G$6</f>
        <v>IBR</v>
      </c>
      <c r="E137" t="str">
        <f t="shared" si="2"/>
        <v>Internal Medicine IBR</v>
      </c>
      <c r="F137">
        <f>Graph_IntMed!$A22</f>
        <v>2028</v>
      </c>
      <c r="G137">
        <f>Graph_IntMed!$B22</f>
        <v>16</v>
      </c>
      <c r="H137" s="165">
        <f>Graph_IntMed!$G22</f>
        <v>615144.08573546528</v>
      </c>
      <c r="I137" s="160">
        <f>InputData!$C$3</f>
        <v>0.02</v>
      </c>
      <c r="J137" s="160">
        <f>InputData!$C$4</f>
        <v>0.01</v>
      </c>
      <c r="K137" s="160">
        <f>InputData!$C$5</f>
        <v>0.01</v>
      </c>
      <c r="L137" s="160">
        <f>InputData!$C$6</f>
        <v>6.2100000000000002E-2</v>
      </c>
      <c r="M137" s="160">
        <f>InputData!$C$7</f>
        <v>0.03</v>
      </c>
      <c r="N137" s="160">
        <f>InputData!$C$8</f>
        <v>0.02</v>
      </c>
      <c r="O137" s="160">
        <f>InputData!$C$9</f>
        <v>0.06</v>
      </c>
      <c r="P137" s="160">
        <f>InputData!$C$10</f>
        <v>0.02</v>
      </c>
      <c r="Q137" s="160">
        <f>InputData!$C$11</f>
        <v>0.02</v>
      </c>
      <c r="R137" s="160">
        <f>InputData!$C$12</f>
        <v>0.02</v>
      </c>
      <c r="S137" s="160">
        <f>InputData!$C$13</f>
        <v>0.9</v>
      </c>
      <c r="T137" s="116">
        <f>InputData!$C$88</f>
        <v>180000</v>
      </c>
      <c r="U137" s="116">
        <f>InputData!$C$81</f>
        <v>178500</v>
      </c>
      <c r="V137" s="116">
        <f>InputData!$C$82</f>
        <v>303960</v>
      </c>
      <c r="W137" s="116">
        <f>InputData!$C$84</f>
        <v>215220</v>
      </c>
      <c r="X137" s="116">
        <f>InputData!$C$85</f>
        <v>409020</v>
      </c>
      <c r="Y137" s="116">
        <f>InputData!$C$116</f>
        <v>140000</v>
      </c>
      <c r="Z137" s="160">
        <f>InputData!$E$13</f>
        <v>0</v>
      </c>
    </row>
    <row r="138" spans="1:26" x14ac:dyDescent="0.25">
      <c r="A138">
        <f>InputData!$K$1</f>
        <v>2013</v>
      </c>
      <c r="B138" t="str">
        <f>InputData!$G$1</f>
        <v>San Antonio, TX</v>
      </c>
      <c r="C138" t="s">
        <v>11</v>
      </c>
      <c r="D138" t="str">
        <f>Graph_IntMed!$G$6</f>
        <v>IBR</v>
      </c>
      <c r="E138" t="str">
        <f t="shared" si="2"/>
        <v>Internal Medicine IBR</v>
      </c>
      <c r="F138">
        <f>Graph_IntMed!$A23</f>
        <v>2029</v>
      </c>
      <c r="G138">
        <f>Graph_IntMed!$B23</f>
        <v>17</v>
      </c>
      <c r="H138" s="165">
        <f>Graph_IntMed!$G23</f>
        <v>686215.37210635364</v>
      </c>
      <c r="I138" s="160">
        <f>InputData!$C$3</f>
        <v>0.02</v>
      </c>
      <c r="J138" s="160">
        <f>InputData!$C$4</f>
        <v>0.01</v>
      </c>
      <c r="K138" s="160">
        <f>InputData!$C$5</f>
        <v>0.01</v>
      </c>
      <c r="L138" s="160">
        <f>InputData!$C$6</f>
        <v>6.2100000000000002E-2</v>
      </c>
      <c r="M138" s="160">
        <f>InputData!$C$7</f>
        <v>0.03</v>
      </c>
      <c r="N138" s="160">
        <f>InputData!$C$8</f>
        <v>0.02</v>
      </c>
      <c r="O138" s="160">
        <f>InputData!$C$9</f>
        <v>0.06</v>
      </c>
      <c r="P138" s="160">
        <f>InputData!$C$10</f>
        <v>0.02</v>
      </c>
      <c r="Q138" s="160">
        <f>InputData!$C$11</f>
        <v>0.02</v>
      </c>
      <c r="R138" s="160">
        <f>InputData!$C$12</f>
        <v>0.02</v>
      </c>
      <c r="S138" s="160">
        <f>InputData!$C$13</f>
        <v>0.9</v>
      </c>
      <c r="T138" s="116">
        <f>InputData!$C$88</f>
        <v>180000</v>
      </c>
      <c r="U138" s="116">
        <f>InputData!$C$81</f>
        <v>178500</v>
      </c>
      <c r="V138" s="116">
        <f>InputData!$C$82</f>
        <v>303960</v>
      </c>
      <c r="W138" s="116">
        <f>InputData!$C$84</f>
        <v>215220</v>
      </c>
      <c r="X138" s="116">
        <f>InputData!$C$85</f>
        <v>409020</v>
      </c>
      <c r="Y138" s="116">
        <f>InputData!$C$116</f>
        <v>140000</v>
      </c>
      <c r="Z138" s="160">
        <f>InputData!$E$13</f>
        <v>0</v>
      </c>
    </row>
    <row r="139" spans="1:26" x14ac:dyDescent="0.25">
      <c r="A139">
        <f>InputData!$K$1</f>
        <v>2013</v>
      </c>
      <c r="B139" t="str">
        <f>InputData!$G$1</f>
        <v>San Antonio, TX</v>
      </c>
      <c r="C139" t="s">
        <v>11</v>
      </c>
      <c r="D139" t="str">
        <f>Graph_IntMed!$G$6</f>
        <v>IBR</v>
      </c>
      <c r="E139" t="str">
        <f t="shared" si="2"/>
        <v>Internal Medicine IBR</v>
      </c>
      <c r="F139">
        <f>Graph_IntMed!$A24</f>
        <v>2030</v>
      </c>
      <c r="G139">
        <f>Graph_IntMed!$B24</f>
        <v>18</v>
      </c>
      <c r="H139" s="165">
        <f>Graph_IntMed!$G24</f>
        <v>756265.3400506035</v>
      </c>
      <c r="I139" s="160">
        <f>InputData!$C$3</f>
        <v>0.02</v>
      </c>
      <c r="J139" s="160">
        <f>InputData!$C$4</f>
        <v>0.01</v>
      </c>
      <c r="K139" s="160">
        <f>InputData!$C$5</f>
        <v>0.01</v>
      </c>
      <c r="L139" s="160">
        <f>InputData!$C$6</f>
        <v>6.2100000000000002E-2</v>
      </c>
      <c r="M139" s="160">
        <f>InputData!$C$7</f>
        <v>0.03</v>
      </c>
      <c r="N139" s="160">
        <f>InputData!$C$8</f>
        <v>0.02</v>
      </c>
      <c r="O139" s="160">
        <f>InputData!$C$9</f>
        <v>0.06</v>
      </c>
      <c r="P139" s="160">
        <f>InputData!$C$10</f>
        <v>0.02</v>
      </c>
      <c r="Q139" s="160">
        <f>InputData!$C$11</f>
        <v>0.02</v>
      </c>
      <c r="R139" s="160">
        <f>InputData!$C$12</f>
        <v>0.02</v>
      </c>
      <c r="S139" s="160">
        <f>InputData!$C$13</f>
        <v>0.9</v>
      </c>
      <c r="T139" s="116">
        <f>InputData!$C$88</f>
        <v>180000</v>
      </c>
      <c r="U139" s="116">
        <f>InputData!$C$81</f>
        <v>178500</v>
      </c>
      <c r="V139" s="116">
        <f>InputData!$C$82</f>
        <v>303960</v>
      </c>
      <c r="W139" s="116">
        <f>InputData!$C$84</f>
        <v>215220</v>
      </c>
      <c r="X139" s="116">
        <f>InputData!$C$85</f>
        <v>409020</v>
      </c>
      <c r="Y139" s="116">
        <f>InputData!$C$116</f>
        <v>140000</v>
      </c>
      <c r="Z139" s="160">
        <f>InputData!$E$13</f>
        <v>0</v>
      </c>
    </row>
    <row r="140" spans="1:26" x14ac:dyDescent="0.25">
      <c r="A140">
        <f>InputData!$K$1</f>
        <v>2013</v>
      </c>
      <c r="B140" t="str">
        <f>InputData!$G$1</f>
        <v>San Antonio, TX</v>
      </c>
      <c r="C140" t="s">
        <v>11</v>
      </c>
      <c r="D140" t="str">
        <f>Graph_IntMed!$G$6</f>
        <v>IBR</v>
      </c>
      <c r="E140" t="str">
        <f t="shared" si="2"/>
        <v>Internal Medicine IBR</v>
      </c>
      <c r="F140">
        <f>Graph_IntMed!$A25</f>
        <v>2031</v>
      </c>
      <c r="G140">
        <f>Graph_IntMed!$B25</f>
        <v>19</v>
      </c>
      <c r="H140" s="165">
        <f>Graph_IntMed!$G25</f>
        <v>837960.69110832852</v>
      </c>
      <c r="I140" s="160">
        <f>InputData!$C$3</f>
        <v>0.02</v>
      </c>
      <c r="J140" s="160">
        <f>InputData!$C$4</f>
        <v>0.01</v>
      </c>
      <c r="K140" s="160">
        <f>InputData!$C$5</f>
        <v>0.01</v>
      </c>
      <c r="L140" s="160">
        <f>InputData!$C$6</f>
        <v>6.2100000000000002E-2</v>
      </c>
      <c r="M140" s="160">
        <f>InputData!$C$7</f>
        <v>0.03</v>
      </c>
      <c r="N140" s="160">
        <f>InputData!$C$8</f>
        <v>0.02</v>
      </c>
      <c r="O140" s="160">
        <f>InputData!$C$9</f>
        <v>0.06</v>
      </c>
      <c r="P140" s="160">
        <f>InputData!$C$10</f>
        <v>0.02</v>
      </c>
      <c r="Q140" s="160">
        <f>InputData!$C$11</f>
        <v>0.02</v>
      </c>
      <c r="R140" s="160">
        <f>InputData!$C$12</f>
        <v>0.02</v>
      </c>
      <c r="S140" s="160">
        <f>InputData!$C$13</f>
        <v>0.9</v>
      </c>
      <c r="T140" s="116">
        <f>InputData!$C$88</f>
        <v>180000</v>
      </c>
      <c r="U140" s="116">
        <f>InputData!$C$81</f>
        <v>178500</v>
      </c>
      <c r="V140" s="116">
        <f>InputData!$C$82</f>
        <v>303960</v>
      </c>
      <c r="W140" s="116">
        <f>InputData!$C$84</f>
        <v>215220</v>
      </c>
      <c r="X140" s="116">
        <f>InputData!$C$85</f>
        <v>409020</v>
      </c>
      <c r="Y140" s="116">
        <f>InputData!$C$116</f>
        <v>140000</v>
      </c>
      <c r="Z140" s="160">
        <f>InputData!$E$13</f>
        <v>0</v>
      </c>
    </row>
    <row r="141" spans="1:26" x14ac:dyDescent="0.25">
      <c r="A141">
        <f>InputData!$K$1</f>
        <v>2013</v>
      </c>
      <c r="B141" t="str">
        <f>InputData!$G$1</f>
        <v>San Antonio, TX</v>
      </c>
      <c r="C141" t="s">
        <v>11</v>
      </c>
      <c r="D141" t="str">
        <f>Graph_IntMed!$G$6</f>
        <v>IBR</v>
      </c>
      <c r="E141" t="str">
        <f t="shared" si="2"/>
        <v>Internal Medicine IBR</v>
      </c>
      <c r="F141">
        <f>Graph_IntMed!$A26</f>
        <v>2032</v>
      </c>
      <c r="G141">
        <f>Graph_IntMed!$B26</f>
        <v>20</v>
      </c>
      <c r="H141" s="165">
        <f>Graph_IntMed!$G26</f>
        <v>919153.54324901616</v>
      </c>
      <c r="I141" s="160">
        <f>InputData!$C$3</f>
        <v>0.02</v>
      </c>
      <c r="J141" s="160">
        <f>InputData!$C$4</f>
        <v>0.01</v>
      </c>
      <c r="K141" s="160">
        <f>InputData!$C$5</f>
        <v>0.01</v>
      </c>
      <c r="L141" s="160">
        <f>InputData!$C$6</f>
        <v>6.2100000000000002E-2</v>
      </c>
      <c r="M141" s="160">
        <f>InputData!$C$7</f>
        <v>0.03</v>
      </c>
      <c r="N141" s="160">
        <f>InputData!$C$8</f>
        <v>0.02</v>
      </c>
      <c r="O141" s="160">
        <f>InputData!$C$9</f>
        <v>0.06</v>
      </c>
      <c r="P141" s="160">
        <f>InputData!$C$10</f>
        <v>0.02</v>
      </c>
      <c r="Q141" s="160">
        <f>InputData!$C$11</f>
        <v>0.02</v>
      </c>
      <c r="R141" s="160">
        <f>InputData!$C$12</f>
        <v>0.02</v>
      </c>
      <c r="S141" s="160">
        <f>InputData!$C$13</f>
        <v>0.9</v>
      </c>
      <c r="T141" s="116">
        <f>InputData!$C$88</f>
        <v>180000</v>
      </c>
      <c r="U141" s="116">
        <f>InputData!$C$81</f>
        <v>178500</v>
      </c>
      <c r="V141" s="116">
        <f>InputData!$C$82</f>
        <v>303960</v>
      </c>
      <c r="W141" s="116">
        <f>InputData!$C$84</f>
        <v>215220</v>
      </c>
      <c r="X141" s="116">
        <f>InputData!$C$85</f>
        <v>409020</v>
      </c>
      <c r="Y141" s="116">
        <f>InputData!$C$116</f>
        <v>140000</v>
      </c>
      <c r="Z141" s="160">
        <f>InputData!$E$13</f>
        <v>0</v>
      </c>
    </row>
    <row r="142" spans="1:26" x14ac:dyDescent="0.25">
      <c r="A142">
        <f>InputData!$K$1</f>
        <v>2013</v>
      </c>
      <c r="B142" t="str">
        <f>InputData!$G$1</f>
        <v>San Antonio, TX</v>
      </c>
      <c r="C142" t="s">
        <v>11</v>
      </c>
      <c r="D142" t="str">
        <f>Graph_IntMed!$G$6</f>
        <v>IBR</v>
      </c>
      <c r="E142" t="str">
        <f t="shared" si="2"/>
        <v>Internal Medicine IBR</v>
      </c>
      <c r="F142">
        <f>Graph_IntMed!$A27</f>
        <v>2033</v>
      </c>
      <c r="G142">
        <f>Graph_IntMed!$B27</f>
        <v>21</v>
      </c>
      <c r="H142" s="165">
        <f>Graph_IntMed!$G27</f>
        <v>998695.57587328111</v>
      </c>
      <c r="I142" s="160">
        <f>InputData!$C$3</f>
        <v>0.02</v>
      </c>
      <c r="J142" s="160">
        <f>InputData!$C$4</f>
        <v>0.01</v>
      </c>
      <c r="K142" s="160">
        <f>InputData!$C$5</f>
        <v>0.01</v>
      </c>
      <c r="L142" s="160">
        <f>InputData!$C$6</f>
        <v>6.2100000000000002E-2</v>
      </c>
      <c r="M142" s="160">
        <f>InputData!$C$7</f>
        <v>0.03</v>
      </c>
      <c r="N142" s="160">
        <f>InputData!$C$8</f>
        <v>0.02</v>
      </c>
      <c r="O142" s="160">
        <f>InputData!$C$9</f>
        <v>0.06</v>
      </c>
      <c r="P142" s="160">
        <f>InputData!$C$10</f>
        <v>0.02</v>
      </c>
      <c r="Q142" s="160">
        <f>InputData!$C$11</f>
        <v>0.02</v>
      </c>
      <c r="R142" s="160">
        <f>InputData!$C$12</f>
        <v>0.02</v>
      </c>
      <c r="S142" s="160">
        <f>InputData!$C$13</f>
        <v>0.9</v>
      </c>
      <c r="T142" s="116">
        <f>InputData!$C$88</f>
        <v>180000</v>
      </c>
      <c r="U142" s="116">
        <f>InputData!$C$81</f>
        <v>178500</v>
      </c>
      <c r="V142" s="116">
        <f>InputData!$C$82</f>
        <v>303960</v>
      </c>
      <c r="W142" s="116">
        <f>InputData!$C$84</f>
        <v>215220</v>
      </c>
      <c r="X142" s="116">
        <f>InputData!$C$85</f>
        <v>409020</v>
      </c>
      <c r="Y142" s="116">
        <f>InputData!$C$116</f>
        <v>140000</v>
      </c>
      <c r="Z142" s="160">
        <f>InputData!$E$13</f>
        <v>0</v>
      </c>
    </row>
    <row r="143" spans="1:26" x14ac:dyDescent="0.25">
      <c r="A143">
        <f>InputData!$K$1</f>
        <v>2013</v>
      </c>
      <c r="B143" t="str">
        <f>InputData!$G$1</f>
        <v>San Antonio, TX</v>
      </c>
      <c r="C143" t="s">
        <v>11</v>
      </c>
      <c r="D143" t="str">
        <f>Graph_IntMed!$G$6</f>
        <v>IBR</v>
      </c>
      <c r="E143" t="str">
        <f t="shared" si="2"/>
        <v>Internal Medicine IBR</v>
      </c>
      <c r="F143">
        <f>Graph_IntMed!$A28</f>
        <v>2034</v>
      </c>
      <c r="G143">
        <f>Graph_IntMed!$B28</f>
        <v>22</v>
      </c>
      <c r="H143" s="165">
        <f>Graph_IntMed!$G28</f>
        <v>1076620.8706943886</v>
      </c>
      <c r="I143" s="160">
        <f>InputData!$C$3</f>
        <v>0.02</v>
      </c>
      <c r="J143" s="160">
        <f>InputData!$C$4</f>
        <v>0.01</v>
      </c>
      <c r="K143" s="160">
        <f>InputData!$C$5</f>
        <v>0.01</v>
      </c>
      <c r="L143" s="160">
        <f>InputData!$C$6</f>
        <v>6.2100000000000002E-2</v>
      </c>
      <c r="M143" s="160">
        <f>InputData!$C$7</f>
        <v>0.03</v>
      </c>
      <c r="N143" s="160">
        <f>InputData!$C$8</f>
        <v>0.02</v>
      </c>
      <c r="O143" s="160">
        <f>InputData!$C$9</f>
        <v>0.06</v>
      </c>
      <c r="P143" s="160">
        <f>InputData!$C$10</f>
        <v>0.02</v>
      </c>
      <c r="Q143" s="160">
        <f>InputData!$C$11</f>
        <v>0.02</v>
      </c>
      <c r="R143" s="160">
        <f>InputData!$C$12</f>
        <v>0.02</v>
      </c>
      <c r="S143" s="160">
        <f>InputData!$C$13</f>
        <v>0.9</v>
      </c>
      <c r="T143" s="116">
        <f>InputData!$C$88</f>
        <v>180000</v>
      </c>
      <c r="U143" s="116">
        <f>InputData!$C$81</f>
        <v>178500</v>
      </c>
      <c r="V143" s="116">
        <f>InputData!$C$82</f>
        <v>303960</v>
      </c>
      <c r="W143" s="116">
        <f>InputData!$C$84</f>
        <v>215220</v>
      </c>
      <c r="X143" s="116">
        <f>InputData!$C$85</f>
        <v>409020</v>
      </c>
      <c r="Y143" s="116">
        <f>InputData!$C$116</f>
        <v>140000</v>
      </c>
      <c r="Z143" s="160">
        <f>InputData!$E$13</f>
        <v>0</v>
      </c>
    </row>
    <row r="144" spans="1:26" x14ac:dyDescent="0.25">
      <c r="A144">
        <f>InputData!$K$1</f>
        <v>2013</v>
      </c>
      <c r="B144" t="str">
        <f>InputData!$G$1</f>
        <v>San Antonio, TX</v>
      </c>
      <c r="C144" t="s">
        <v>11</v>
      </c>
      <c r="D144" t="str">
        <f>Graph_IntMed!$G$6</f>
        <v>IBR</v>
      </c>
      <c r="E144" t="str">
        <f t="shared" si="2"/>
        <v>Internal Medicine IBR</v>
      </c>
      <c r="F144">
        <f>Graph_IntMed!$A29</f>
        <v>2035</v>
      </c>
      <c r="G144">
        <f>Graph_IntMed!$B29</f>
        <v>23</v>
      </c>
      <c r="H144" s="165">
        <f>Graph_IntMed!$G29</f>
        <v>1152962.791272159</v>
      </c>
      <c r="I144" s="160">
        <f>InputData!$C$3</f>
        <v>0.02</v>
      </c>
      <c r="J144" s="160">
        <f>InputData!$C$4</f>
        <v>0.01</v>
      </c>
      <c r="K144" s="160">
        <f>InputData!$C$5</f>
        <v>0.01</v>
      </c>
      <c r="L144" s="160">
        <f>InputData!$C$6</f>
        <v>6.2100000000000002E-2</v>
      </c>
      <c r="M144" s="160">
        <f>InputData!$C$7</f>
        <v>0.03</v>
      </c>
      <c r="N144" s="160">
        <f>InputData!$C$8</f>
        <v>0.02</v>
      </c>
      <c r="O144" s="160">
        <f>InputData!$C$9</f>
        <v>0.06</v>
      </c>
      <c r="P144" s="160">
        <f>InputData!$C$10</f>
        <v>0.02</v>
      </c>
      <c r="Q144" s="160">
        <f>InputData!$C$11</f>
        <v>0.02</v>
      </c>
      <c r="R144" s="160">
        <f>InputData!$C$12</f>
        <v>0.02</v>
      </c>
      <c r="S144" s="160">
        <f>InputData!$C$13</f>
        <v>0.9</v>
      </c>
      <c r="T144" s="116">
        <f>InputData!$C$88</f>
        <v>180000</v>
      </c>
      <c r="U144" s="116">
        <f>InputData!$C$81</f>
        <v>178500</v>
      </c>
      <c r="V144" s="116">
        <f>InputData!$C$82</f>
        <v>303960</v>
      </c>
      <c r="W144" s="116">
        <f>InputData!$C$84</f>
        <v>215220</v>
      </c>
      <c r="X144" s="116">
        <f>InputData!$C$85</f>
        <v>409020</v>
      </c>
      <c r="Y144" s="116">
        <f>InputData!$C$116</f>
        <v>140000</v>
      </c>
      <c r="Z144" s="160">
        <f>InputData!$E$13</f>
        <v>0</v>
      </c>
    </row>
    <row r="145" spans="1:26" x14ac:dyDescent="0.25">
      <c r="A145">
        <f>InputData!$K$1</f>
        <v>2013</v>
      </c>
      <c r="B145" t="str">
        <f>InputData!$G$1</f>
        <v>San Antonio, TX</v>
      </c>
      <c r="C145" t="s">
        <v>11</v>
      </c>
      <c r="D145" t="str">
        <f>Graph_IntMed!$G$6</f>
        <v>IBR</v>
      </c>
      <c r="E145" t="str">
        <f t="shared" si="2"/>
        <v>Internal Medicine IBR</v>
      </c>
      <c r="F145">
        <f>Graph_IntMed!$A30</f>
        <v>2036</v>
      </c>
      <c r="G145">
        <f>Graph_IntMed!$B30</f>
        <v>24</v>
      </c>
      <c r="H145" s="165">
        <f>Graph_IntMed!$G30</f>
        <v>1227753.9985473554</v>
      </c>
      <c r="I145" s="160">
        <f>InputData!$C$3</f>
        <v>0.02</v>
      </c>
      <c r="J145" s="160">
        <f>InputData!$C$4</f>
        <v>0.01</v>
      </c>
      <c r="K145" s="160">
        <f>InputData!$C$5</f>
        <v>0.01</v>
      </c>
      <c r="L145" s="160">
        <f>InputData!$C$6</f>
        <v>6.2100000000000002E-2</v>
      </c>
      <c r="M145" s="160">
        <f>InputData!$C$7</f>
        <v>0.03</v>
      </c>
      <c r="N145" s="160">
        <f>InputData!$C$8</f>
        <v>0.02</v>
      </c>
      <c r="O145" s="160">
        <f>InputData!$C$9</f>
        <v>0.06</v>
      </c>
      <c r="P145" s="160">
        <f>InputData!$C$10</f>
        <v>0.02</v>
      </c>
      <c r="Q145" s="160">
        <f>InputData!$C$11</f>
        <v>0.02</v>
      </c>
      <c r="R145" s="160">
        <f>InputData!$C$12</f>
        <v>0.02</v>
      </c>
      <c r="S145" s="160">
        <f>InputData!$C$13</f>
        <v>0.9</v>
      </c>
      <c r="T145" s="116">
        <f>InputData!$C$88</f>
        <v>180000</v>
      </c>
      <c r="U145" s="116">
        <f>InputData!$C$81</f>
        <v>178500</v>
      </c>
      <c r="V145" s="116">
        <f>InputData!$C$82</f>
        <v>303960</v>
      </c>
      <c r="W145" s="116">
        <f>InputData!$C$84</f>
        <v>215220</v>
      </c>
      <c r="X145" s="116">
        <f>InputData!$C$85</f>
        <v>409020</v>
      </c>
      <c r="Y145" s="116">
        <f>InputData!$C$116</f>
        <v>140000</v>
      </c>
      <c r="Z145" s="160">
        <f>InputData!$E$13</f>
        <v>0</v>
      </c>
    </row>
    <row r="146" spans="1:26" x14ac:dyDescent="0.25">
      <c r="A146">
        <f>InputData!$K$1</f>
        <v>2013</v>
      </c>
      <c r="B146" t="str">
        <f>InputData!$G$1</f>
        <v>San Antonio, TX</v>
      </c>
      <c r="C146" t="s">
        <v>11</v>
      </c>
      <c r="D146" t="str">
        <f>Graph_IntMed!$G$6</f>
        <v>IBR</v>
      </c>
      <c r="E146" t="str">
        <f t="shared" si="2"/>
        <v>Internal Medicine IBR</v>
      </c>
      <c r="F146">
        <f>Graph_IntMed!$A31</f>
        <v>2037</v>
      </c>
      <c r="G146">
        <f>Graph_IntMed!$B31</f>
        <v>25</v>
      </c>
      <c r="H146" s="165">
        <f>Graph_IntMed!$G31</f>
        <v>1301026.4660291588</v>
      </c>
      <c r="I146" s="160">
        <f>InputData!$C$3</f>
        <v>0.02</v>
      </c>
      <c r="J146" s="160">
        <f>InputData!$C$4</f>
        <v>0.01</v>
      </c>
      <c r="K146" s="160">
        <f>InputData!$C$5</f>
        <v>0.01</v>
      </c>
      <c r="L146" s="160">
        <f>InputData!$C$6</f>
        <v>6.2100000000000002E-2</v>
      </c>
      <c r="M146" s="160">
        <f>InputData!$C$7</f>
        <v>0.03</v>
      </c>
      <c r="N146" s="160">
        <f>InputData!$C$8</f>
        <v>0.02</v>
      </c>
      <c r="O146" s="160">
        <f>InputData!$C$9</f>
        <v>0.06</v>
      </c>
      <c r="P146" s="160">
        <f>InputData!$C$10</f>
        <v>0.02</v>
      </c>
      <c r="Q146" s="160">
        <f>InputData!$C$11</f>
        <v>0.02</v>
      </c>
      <c r="R146" s="160">
        <f>InputData!$C$12</f>
        <v>0.02</v>
      </c>
      <c r="S146" s="160">
        <f>InputData!$C$13</f>
        <v>0.9</v>
      </c>
      <c r="T146" s="116">
        <f>InputData!$C$88</f>
        <v>180000</v>
      </c>
      <c r="U146" s="116">
        <f>InputData!$C$81</f>
        <v>178500</v>
      </c>
      <c r="V146" s="116">
        <f>InputData!$C$82</f>
        <v>303960</v>
      </c>
      <c r="W146" s="116">
        <f>InputData!$C$84</f>
        <v>215220</v>
      </c>
      <c r="X146" s="116">
        <f>InputData!$C$85</f>
        <v>409020</v>
      </c>
      <c r="Y146" s="116">
        <f>InputData!$C$116</f>
        <v>140000</v>
      </c>
      <c r="Z146" s="160">
        <f>InputData!$E$13</f>
        <v>0</v>
      </c>
    </row>
    <row r="147" spans="1:26" x14ac:dyDescent="0.25">
      <c r="A147">
        <f>InputData!$K$1</f>
        <v>2013</v>
      </c>
      <c r="B147" t="str">
        <f>InputData!$G$1</f>
        <v>San Antonio, TX</v>
      </c>
      <c r="C147" t="s">
        <v>11</v>
      </c>
      <c r="D147" t="str">
        <f>Graph_IntMed!$G$6</f>
        <v>IBR</v>
      </c>
      <c r="E147" t="str">
        <f t="shared" si="2"/>
        <v>Internal Medicine IBR</v>
      </c>
      <c r="F147">
        <f>Graph_IntMed!$A32</f>
        <v>2038</v>
      </c>
      <c r="G147">
        <f>Graph_IntMed!$B32</f>
        <v>26</v>
      </c>
      <c r="H147" s="165">
        <f>Graph_IntMed!$G32</f>
        <v>1372811.4946437604</v>
      </c>
      <c r="I147" s="160">
        <f>InputData!$C$3</f>
        <v>0.02</v>
      </c>
      <c r="J147" s="160">
        <f>InputData!$C$4</f>
        <v>0.01</v>
      </c>
      <c r="K147" s="160">
        <f>InputData!$C$5</f>
        <v>0.01</v>
      </c>
      <c r="L147" s="160">
        <f>InputData!$C$6</f>
        <v>6.2100000000000002E-2</v>
      </c>
      <c r="M147" s="160">
        <f>InputData!$C$7</f>
        <v>0.03</v>
      </c>
      <c r="N147" s="160">
        <f>InputData!$C$8</f>
        <v>0.02</v>
      </c>
      <c r="O147" s="160">
        <f>InputData!$C$9</f>
        <v>0.06</v>
      </c>
      <c r="P147" s="160">
        <f>InputData!$C$10</f>
        <v>0.02</v>
      </c>
      <c r="Q147" s="160">
        <f>InputData!$C$11</f>
        <v>0.02</v>
      </c>
      <c r="R147" s="160">
        <f>InputData!$C$12</f>
        <v>0.02</v>
      </c>
      <c r="S147" s="160">
        <f>InputData!$C$13</f>
        <v>0.9</v>
      </c>
      <c r="T147" s="116">
        <f>InputData!$C$88</f>
        <v>180000</v>
      </c>
      <c r="U147" s="116">
        <f>InputData!$C$81</f>
        <v>178500</v>
      </c>
      <c r="V147" s="116">
        <f>InputData!$C$82</f>
        <v>303960</v>
      </c>
      <c r="W147" s="116">
        <f>InputData!$C$84</f>
        <v>215220</v>
      </c>
      <c r="X147" s="116">
        <f>InputData!$C$85</f>
        <v>409020</v>
      </c>
      <c r="Y147" s="116">
        <f>InputData!$C$116</f>
        <v>140000</v>
      </c>
      <c r="Z147" s="160">
        <f>InputData!$E$13</f>
        <v>0</v>
      </c>
    </row>
    <row r="148" spans="1:26" x14ac:dyDescent="0.25">
      <c r="A148">
        <f>InputData!$K$1</f>
        <v>2013</v>
      </c>
      <c r="B148" t="str">
        <f>InputData!$G$1</f>
        <v>San Antonio, TX</v>
      </c>
      <c r="C148" t="s">
        <v>11</v>
      </c>
      <c r="D148" t="str">
        <f>Graph_IntMed!$G$6</f>
        <v>IBR</v>
      </c>
      <c r="E148" t="str">
        <f t="shared" si="2"/>
        <v>Internal Medicine IBR</v>
      </c>
      <c r="F148">
        <f>Graph_IntMed!$A33</f>
        <v>2039</v>
      </c>
      <c r="G148">
        <f>Graph_IntMed!$B33</f>
        <v>27</v>
      </c>
      <c r="H148" s="165">
        <f>Graph_IntMed!$G33</f>
        <v>1443139.7272519176</v>
      </c>
      <c r="I148" s="160">
        <f>InputData!$C$3</f>
        <v>0.02</v>
      </c>
      <c r="J148" s="160">
        <f>InputData!$C$4</f>
        <v>0.01</v>
      </c>
      <c r="K148" s="160">
        <f>InputData!$C$5</f>
        <v>0.01</v>
      </c>
      <c r="L148" s="160">
        <f>InputData!$C$6</f>
        <v>6.2100000000000002E-2</v>
      </c>
      <c r="M148" s="160">
        <f>InputData!$C$7</f>
        <v>0.03</v>
      </c>
      <c r="N148" s="160">
        <f>InputData!$C$8</f>
        <v>0.02</v>
      </c>
      <c r="O148" s="160">
        <f>InputData!$C$9</f>
        <v>0.06</v>
      </c>
      <c r="P148" s="160">
        <f>InputData!$C$10</f>
        <v>0.02</v>
      </c>
      <c r="Q148" s="160">
        <f>InputData!$C$11</f>
        <v>0.02</v>
      </c>
      <c r="R148" s="160">
        <f>InputData!$C$12</f>
        <v>0.02</v>
      </c>
      <c r="S148" s="160">
        <f>InputData!$C$13</f>
        <v>0.9</v>
      </c>
      <c r="T148" s="116">
        <f>InputData!$C$88</f>
        <v>180000</v>
      </c>
      <c r="U148" s="116">
        <f>InputData!$C$81</f>
        <v>178500</v>
      </c>
      <c r="V148" s="116">
        <f>InputData!$C$82</f>
        <v>303960</v>
      </c>
      <c r="W148" s="116">
        <f>InputData!$C$84</f>
        <v>215220</v>
      </c>
      <c r="X148" s="116">
        <f>InputData!$C$85</f>
        <v>409020</v>
      </c>
      <c r="Y148" s="116">
        <f>InputData!$C$116</f>
        <v>140000</v>
      </c>
      <c r="Z148" s="160">
        <f>InputData!$E$13</f>
        <v>0</v>
      </c>
    </row>
    <row r="149" spans="1:26" x14ac:dyDescent="0.25">
      <c r="A149">
        <f>InputData!$K$1</f>
        <v>2013</v>
      </c>
      <c r="B149" t="str">
        <f>InputData!$G$1</f>
        <v>San Antonio, TX</v>
      </c>
      <c r="C149" t="s">
        <v>11</v>
      </c>
      <c r="D149" t="str">
        <f>Graph_IntMed!$G$6</f>
        <v>IBR</v>
      </c>
      <c r="E149" t="str">
        <f t="shared" si="2"/>
        <v>Internal Medicine IBR</v>
      </c>
      <c r="F149">
        <f>Graph_IntMed!$A34</f>
        <v>2040</v>
      </c>
      <c r="G149">
        <f>Graph_IntMed!$B34</f>
        <v>28</v>
      </c>
      <c r="H149" s="165">
        <f>Graph_IntMed!$G34</f>
        <v>1512041.1628431231</v>
      </c>
      <c r="I149" s="160">
        <f>InputData!$C$3</f>
        <v>0.02</v>
      </c>
      <c r="J149" s="160">
        <f>InputData!$C$4</f>
        <v>0.01</v>
      </c>
      <c r="K149" s="160">
        <f>InputData!$C$5</f>
        <v>0.01</v>
      </c>
      <c r="L149" s="160">
        <f>InputData!$C$6</f>
        <v>6.2100000000000002E-2</v>
      </c>
      <c r="M149" s="160">
        <f>InputData!$C$7</f>
        <v>0.03</v>
      </c>
      <c r="N149" s="160">
        <f>InputData!$C$8</f>
        <v>0.02</v>
      </c>
      <c r="O149" s="160">
        <f>InputData!$C$9</f>
        <v>0.06</v>
      </c>
      <c r="P149" s="160">
        <f>InputData!$C$10</f>
        <v>0.02</v>
      </c>
      <c r="Q149" s="160">
        <f>InputData!$C$11</f>
        <v>0.02</v>
      </c>
      <c r="R149" s="160">
        <f>InputData!$C$12</f>
        <v>0.02</v>
      </c>
      <c r="S149" s="160">
        <f>InputData!$C$13</f>
        <v>0.9</v>
      </c>
      <c r="T149" s="116">
        <f>InputData!$C$88</f>
        <v>180000</v>
      </c>
      <c r="U149" s="116">
        <f>InputData!$C$81</f>
        <v>178500</v>
      </c>
      <c r="V149" s="116">
        <f>InputData!$C$82</f>
        <v>303960</v>
      </c>
      <c r="W149" s="116">
        <f>InputData!$C$84</f>
        <v>215220</v>
      </c>
      <c r="X149" s="116">
        <f>InputData!$C$85</f>
        <v>409020</v>
      </c>
      <c r="Y149" s="116">
        <f>InputData!$C$116</f>
        <v>140000</v>
      </c>
      <c r="Z149" s="160">
        <f>InputData!$E$13</f>
        <v>0</v>
      </c>
    </row>
    <row r="150" spans="1:26" x14ac:dyDescent="0.25">
      <c r="A150">
        <f>InputData!$K$1</f>
        <v>2013</v>
      </c>
      <c r="B150" t="str">
        <f>InputData!$G$1</f>
        <v>San Antonio, TX</v>
      </c>
      <c r="C150" t="s">
        <v>11</v>
      </c>
      <c r="D150" t="str">
        <f>Graph_IntMed!$G$6</f>
        <v>IBR</v>
      </c>
      <c r="E150" t="str">
        <f t="shared" si="2"/>
        <v>Internal Medicine IBR</v>
      </c>
      <c r="F150">
        <f>Graph_IntMed!$A35</f>
        <v>2041</v>
      </c>
      <c r="G150">
        <f>Graph_IntMed!$B35</f>
        <v>29</v>
      </c>
      <c r="H150" s="165">
        <f>Graph_IntMed!$G35</f>
        <v>1579545.170413858</v>
      </c>
      <c r="I150" s="160">
        <f>InputData!$C$3</f>
        <v>0.02</v>
      </c>
      <c r="J150" s="160">
        <f>InputData!$C$4</f>
        <v>0.01</v>
      </c>
      <c r="K150" s="160">
        <f>InputData!$C$5</f>
        <v>0.01</v>
      </c>
      <c r="L150" s="160">
        <f>InputData!$C$6</f>
        <v>6.2100000000000002E-2</v>
      </c>
      <c r="M150" s="160">
        <f>InputData!$C$7</f>
        <v>0.03</v>
      </c>
      <c r="N150" s="160">
        <f>InputData!$C$8</f>
        <v>0.02</v>
      </c>
      <c r="O150" s="160">
        <f>InputData!$C$9</f>
        <v>0.06</v>
      </c>
      <c r="P150" s="160">
        <f>InputData!$C$10</f>
        <v>0.02</v>
      </c>
      <c r="Q150" s="160">
        <f>InputData!$C$11</f>
        <v>0.02</v>
      </c>
      <c r="R150" s="160">
        <f>InputData!$C$12</f>
        <v>0.02</v>
      </c>
      <c r="S150" s="160">
        <f>InputData!$C$13</f>
        <v>0.9</v>
      </c>
      <c r="T150" s="116">
        <f>InputData!$C$88</f>
        <v>180000</v>
      </c>
      <c r="U150" s="116">
        <f>InputData!$C$81</f>
        <v>178500</v>
      </c>
      <c r="V150" s="116">
        <f>InputData!$C$82</f>
        <v>303960</v>
      </c>
      <c r="W150" s="116">
        <f>InputData!$C$84</f>
        <v>215220</v>
      </c>
      <c r="X150" s="116">
        <f>InputData!$C$85</f>
        <v>409020</v>
      </c>
      <c r="Y150" s="116">
        <f>InputData!$C$116</f>
        <v>140000</v>
      </c>
      <c r="Z150" s="160">
        <f>InputData!$E$13</f>
        <v>0</v>
      </c>
    </row>
    <row r="151" spans="1:26" x14ac:dyDescent="0.25">
      <c r="A151">
        <f>InputData!$K$1</f>
        <v>2013</v>
      </c>
      <c r="B151" t="str">
        <f>InputData!$G$1</f>
        <v>San Antonio, TX</v>
      </c>
      <c r="C151" t="s">
        <v>11</v>
      </c>
      <c r="D151" t="str">
        <f>Graph_IntMed!$G$6</f>
        <v>IBR</v>
      </c>
      <c r="E151" t="str">
        <f t="shared" si="2"/>
        <v>Internal Medicine IBR</v>
      </c>
      <c r="F151">
        <f>Graph_IntMed!$A36</f>
        <v>2042</v>
      </c>
      <c r="G151">
        <f>Graph_IntMed!$B36</f>
        <v>30</v>
      </c>
      <c r="H151" s="165">
        <f>Graph_IntMed!$G36</f>
        <v>1645680.5025372172</v>
      </c>
      <c r="I151" s="160">
        <f>InputData!$C$3</f>
        <v>0.02</v>
      </c>
      <c r="J151" s="160">
        <f>InputData!$C$4</f>
        <v>0.01</v>
      </c>
      <c r="K151" s="160">
        <f>InputData!$C$5</f>
        <v>0.01</v>
      </c>
      <c r="L151" s="160">
        <f>InputData!$C$6</f>
        <v>6.2100000000000002E-2</v>
      </c>
      <c r="M151" s="160">
        <f>InputData!$C$7</f>
        <v>0.03</v>
      </c>
      <c r="N151" s="160">
        <f>InputData!$C$8</f>
        <v>0.02</v>
      </c>
      <c r="O151" s="160">
        <f>InputData!$C$9</f>
        <v>0.06</v>
      </c>
      <c r="P151" s="160">
        <f>InputData!$C$10</f>
        <v>0.02</v>
      </c>
      <c r="Q151" s="160">
        <f>InputData!$C$11</f>
        <v>0.02</v>
      </c>
      <c r="R151" s="160">
        <f>InputData!$C$12</f>
        <v>0.02</v>
      </c>
      <c r="S151" s="160">
        <f>InputData!$C$13</f>
        <v>0.9</v>
      </c>
      <c r="T151" s="116">
        <f>InputData!$C$88</f>
        <v>180000</v>
      </c>
      <c r="U151" s="116">
        <f>InputData!$C$81</f>
        <v>178500</v>
      </c>
      <c r="V151" s="116">
        <f>InputData!$C$82</f>
        <v>303960</v>
      </c>
      <c r="W151" s="116">
        <f>InputData!$C$84</f>
        <v>215220</v>
      </c>
      <c r="X151" s="116">
        <f>InputData!$C$85</f>
        <v>409020</v>
      </c>
      <c r="Y151" s="116">
        <f>InputData!$C$116</f>
        <v>140000</v>
      </c>
      <c r="Z151" s="160">
        <f>InputData!$E$13</f>
        <v>0</v>
      </c>
    </row>
    <row r="152" spans="1:26" x14ac:dyDescent="0.25">
      <c r="A152">
        <f>InputData!$K$1</f>
        <v>2013</v>
      </c>
      <c r="B152" t="str">
        <f>InputData!$G$1</f>
        <v>San Antonio, TX</v>
      </c>
      <c r="C152" t="s">
        <v>11</v>
      </c>
      <c r="D152" t="str">
        <f>Graph_IntMed!$H$6</f>
        <v>PAYE</v>
      </c>
      <c r="E152" t="str">
        <f t="shared" si="2"/>
        <v>Internal Medicine PAYE</v>
      </c>
      <c r="F152">
        <f>Graph_IntMed!$A7</f>
        <v>2013</v>
      </c>
      <c r="G152">
        <f>Graph_IntMed!$B7</f>
        <v>1</v>
      </c>
      <c r="H152" s="165">
        <f>Graph_IntMed!$H7</f>
        <v>-43015.05</v>
      </c>
      <c r="I152" s="160">
        <f>InputData!$C$3</f>
        <v>0.02</v>
      </c>
      <c r="J152" s="160">
        <f>InputData!$C$4</f>
        <v>0.01</v>
      </c>
      <c r="K152" s="160">
        <f>InputData!$C$5</f>
        <v>0.01</v>
      </c>
      <c r="L152" s="160">
        <f>InputData!$C$6</f>
        <v>6.2100000000000002E-2</v>
      </c>
      <c r="M152" s="160">
        <f>InputData!$C$7</f>
        <v>0.03</v>
      </c>
      <c r="N152" s="160">
        <f>InputData!$C$8</f>
        <v>0.02</v>
      </c>
      <c r="O152" s="160">
        <f>InputData!$C$9</f>
        <v>0.06</v>
      </c>
      <c r="P152" s="160">
        <f>InputData!$C$10</f>
        <v>0.02</v>
      </c>
      <c r="Q152" s="160">
        <f>InputData!$C$11</f>
        <v>0.02</v>
      </c>
      <c r="R152" s="160">
        <f>InputData!$C$12</f>
        <v>0.02</v>
      </c>
      <c r="S152" s="160">
        <f>InputData!$C$13</f>
        <v>0.9</v>
      </c>
      <c r="T152" s="116">
        <f>InputData!$C$88</f>
        <v>180000</v>
      </c>
      <c r="U152" s="116">
        <f>InputData!$C$81</f>
        <v>178500</v>
      </c>
      <c r="V152" s="116">
        <f>InputData!$C$82</f>
        <v>303960</v>
      </c>
      <c r="W152" s="116">
        <f>InputData!$C$84</f>
        <v>215220</v>
      </c>
      <c r="X152" s="116">
        <f>InputData!$C$85</f>
        <v>409020</v>
      </c>
      <c r="Y152" s="116">
        <f>InputData!$C$116</f>
        <v>140000</v>
      </c>
      <c r="Z152" s="160">
        <f>InputData!$E$13</f>
        <v>0</v>
      </c>
    </row>
    <row r="153" spans="1:26" x14ac:dyDescent="0.25">
      <c r="A153">
        <f>InputData!$K$1</f>
        <v>2013</v>
      </c>
      <c r="B153" t="str">
        <f>InputData!$G$1</f>
        <v>San Antonio, TX</v>
      </c>
      <c r="C153" t="s">
        <v>11</v>
      </c>
      <c r="D153" t="str">
        <f>Graph_IntMed!$H$6</f>
        <v>PAYE</v>
      </c>
      <c r="E153" t="str">
        <f t="shared" si="2"/>
        <v>Internal Medicine PAYE</v>
      </c>
      <c r="F153">
        <f>Graph_IntMed!$A8</f>
        <v>2014</v>
      </c>
      <c r="G153">
        <f>Graph_IntMed!$B8</f>
        <v>2</v>
      </c>
      <c r="H153" s="165">
        <f>Graph_IntMed!$H8</f>
        <v>-86352.285865219877</v>
      </c>
      <c r="I153" s="160">
        <f>InputData!$C$3</f>
        <v>0.02</v>
      </c>
      <c r="J153" s="160">
        <f>InputData!$C$4</f>
        <v>0.01</v>
      </c>
      <c r="K153" s="160">
        <f>InputData!$C$5</f>
        <v>0.01</v>
      </c>
      <c r="L153" s="160">
        <f>InputData!$C$6</f>
        <v>6.2100000000000002E-2</v>
      </c>
      <c r="M153" s="160">
        <f>InputData!$C$7</f>
        <v>0.03</v>
      </c>
      <c r="N153" s="160">
        <f>InputData!$C$8</f>
        <v>0.02</v>
      </c>
      <c r="O153" s="160">
        <f>InputData!$C$9</f>
        <v>0.06</v>
      </c>
      <c r="P153" s="160">
        <f>InputData!$C$10</f>
        <v>0.02</v>
      </c>
      <c r="Q153" s="160">
        <f>InputData!$C$11</f>
        <v>0.02</v>
      </c>
      <c r="R153" s="160">
        <f>InputData!$C$12</f>
        <v>0.02</v>
      </c>
      <c r="S153" s="160">
        <f>InputData!$C$13</f>
        <v>0.9</v>
      </c>
      <c r="T153" s="116">
        <f>InputData!$C$88</f>
        <v>180000</v>
      </c>
      <c r="U153" s="116">
        <f>InputData!$C$81</f>
        <v>178500</v>
      </c>
      <c r="V153" s="116">
        <f>InputData!$C$82</f>
        <v>303960</v>
      </c>
      <c r="W153" s="116">
        <f>InputData!$C$84</f>
        <v>215220</v>
      </c>
      <c r="X153" s="116">
        <f>InputData!$C$85</f>
        <v>409020</v>
      </c>
      <c r="Y153" s="116">
        <f>InputData!$C$116</f>
        <v>140000</v>
      </c>
      <c r="Z153" s="160">
        <f>InputData!$E$13</f>
        <v>0</v>
      </c>
    </row>
    <row r="154" spans="1:26" x14ac:dyDescent="0.25">
      <c r="A154">
        <f>InputData!$K$1</f>
        <v>2013</v>
      </c>
      <c r="B154" t="str">
        <f>InputData!$G$1</f>
        <v>San Antonio, TX</v>
      </c>
      <c r="C154" t="s">
        <v>11</v>
      </c>
      <c r="D154" t="str">
        <f>Graph_IntMed!$H$6</f>
        <v>PAYE</v>
      </c>
      <c r="E154" t="str">
        <f t="shared" si="2"/>
        <v>Internal Medicine PAYE</v>
      </c>
      <c r="F154">
        <f>Graph_IntMed!$A9</f>
        <v>2015</v>
      </c>
      <c r="G154">
        <f>Graph_IntMed!$B9</f>
        <v>3</v>
      </c>
      <c r="H154" s="165">
        <f>Graph_IntMed!$H9</f>
        <v>-138541.19578403595</v>
      </c>
      <c r="I154" s="160">
        <f>InputData!$C$3</f>
        <v>0.02</v>
      </c>
      <c r="J154" s="160">
        <f>InputData!$C$4</f>
        <v>0.01</v>
      </c>
      <c r="K154" s="160">
        <f>InputData!$C$5</f>
        <v>0.01</v>
      </c>
      <c r="L154" s="160">
        <f>InputData!$C$6</f>
        <v>6.2100000000000002E-2</v>
      </c>
      <c r="M154" s="160">
        <f>InputData!$C$7</f>
        <v>0.03</v>
      </c>
      <c r="N154" s="160">
        <f>InputData!$C$8</f>
        <v>0.02</v>
      </c>
      <c r="O154" s="160">
        <f>InputData!$C$9</f>
        <v>0.06</v>
      </c>
      <c r="P154" s="160">
        <f>InputData!$C$10</f>
        <v>0.02</v>
      </c>
      <c r="Q154" s="160">
        <f>InputData!$C$11</f>
        <v>0.02</v>
      </c>
      <c r="R154" s="160">
        <f>InputData!$C$12</f>
        <v>0.02</v>
      </c>
      <c r="S154" s="160">
        <f>InputData!$C$13</f>
        <v>0.9</v>
      </c>
      <c r="T154" s="116">
        <f>InputData!$C$88</f>
        <v>180000</v>
      </c>
      <c r="U154" s="116">
        <f>InputData!$C$81</f>
        <v>178500</v>
      </c>
      <c r="V154" s="116">
        <f>InputData!$C$82</f>
        <v>303960</v>
      </c>
      <c r="W154" s="116">
        <f>InputData!$C$84</f>
        <v>215220</v>
      </c>
      <c r="X154" s="116">
        <f>InputData!$C$85</f>
        <v>409020</v>
      </c>
      <c r="Y154" s="116">
        <f>InputData!$C$116</f>
        <v>140000</v>
      </c>
      <c r="Z154" s="160">
        <f>InputData!$E$13</f>
        <v>0</v>
      </c>
    </row>
    <row r="155" spans="1:26" x14ac:dyDescent="0.25">
      <c r="A155">
        <f>InputData!$K$1</f>
        <v>2013</v>
      </c>
      <c r="B155" t="str">
        <f>InputData!$G$1</f>
        <v>San Antonio, TX</v>
      </c>
      <c r="C155" t="s">
        <v>11</v>
      </c>
      <c r="D155" t="str">
        <f>Graph_IntMed!$H$6</f>
        <v>PAYE</v>
      </c>
      <c r="E155" t="str">
        <f t="shared" si="2"/>
        <v>Internal Medicine PAYE</v>
      </c>
      <c r="F155">
        <f>Graph_IntMed!$A10</f>
        <v>2016</v>
      </c>
      <c r="G155">
        <f>Graph_IntMed!$B10</f>
        <v>4</v>
      </c>
      <c r="H155" s="165">
        <f>Graph_IntMed!$H10</f>
        <v>-190867.38028908212</v>
      </c>
      <c r="I155" s="160">
        <f>InputData!$C$3</f>
        <v>0.02</v>
      </c>
      <c r="J155" s="160">
        <f>InputData!$C$4</f>
        <v>0.01</v>
      </c>
      <c r="K155" s="160">
        <f>InputData!$C$5</f>
        <v>0.01</v>
      </c>
      <c r="L155" s="160">
        <f>InputData!$C$6</f>
        <v>6.2100000000000002E-2</v>
      </c>
      <c r="M155" s="160">
        <f>InputData!$C$7</f>
        <v>0.03</v>
      </c>
      <c r="N155" s="160">
        <f>InputData!$C$8</f>
        <v>0.02</v>
      </c>
      <c r="O155" s="160">
        <f>InputData!$C$9</f>
        <v>0.06</v>
      </c>
      <c r="P155" s="160">
        <f>InputData!$C$10</f>
        <v>0.02</v>
      </c>
      <c r="Q155" s="160">
        <f>InputData!$C$11</f>
        <v>0.02</v>
      </c>
      <c r="R155" s="160">
        <f>InputData!$C$12</f>
        <v>0.02</v>
      </c>
      <c r="S155" s="160">
        <f>InputData!$C$13</f>
        <v>0.9</v>
      </c>
      <c r="T155" s="116">
        <f>InputData!$C$88</f>
        <v>180000</v>
      </c>
      <c r="U155" s="116">
        <f>InputData!$C$81</f>
        <v>178500</v>
      </c>
      <c r="V155" s="116">
        <f>InputData!$C$82</f>
        <v>303960</v>
      </c>
      <c r="W155" s="116">
        <f>InputData!$C$84</f>
        <v>215220</v>
      </c>
      <c r="X155" s="116">
        <f>InputData!$C$85</f>
        <v>409020</v>
      </c>
      <c r="Y155" s="116">
        <f>InputData!$C$116</f>
        <v>140000</v>
      </c>
      <c r="Z155" s="160">
        <f>InputData!$E$13</f>
        <v>0</v>
      </c>
    </row>
    <row r="156" spans="1:26" x14ac:dyDescent="0.25">
      <c r="A156">
        <f>InputData!$K$1</f>
        <v>2013</v>
      </c>
      <c r="B156" t="str">
        <f>InputData!$G$1</f>
        <v>San Antonio, TX</v>
      </c>
      <c r="C156" t="s">
        <v>11</v>
      </c>
      <c r="D156" t="str">
        <f>Graph_IntMed!$H$6</f>
        <v>PAYE</v>
      </c>
      <c r="E156" t="str">
        <f t="shared" si="2"/>
        <v>Internal Medicine PAYE</v>
      </c>
      <c r="F156">
        <f>Graph_IntMed!$A11</f>
        <v>2017</v>
      </c>
      <c r="G156">
        <f>Graph_IntMed!$B11</f>
        <v>5</v>
      </c>
      <c r="H156" s="165">
        <f>Graph_IntMed!$H11</f>
        <v>-154981.05168717628</v>
      </c>
      <c r="I156" s="160">
        <f>InputData!$C$3</f>
        <v>0.02</v>
      </c>
      <c r="J156" s="160">
        <f>InputData!$C$4</f>
        <v>0.01</v>
      </c>
      <c r="K156" s="160">
        <f>InputData!$C$5</f>
        <v>0.01</v>
      </c>
      <c r="L156" s="160">
        <f>InputData!$C$6</f>
        <v>6.2100000000000002E-2</v>
      </c>
      <c r="M156" s="160">
        <f>InputData!$C$7</f>
        <v>0.03</v>
      </c>
      <c r="N156" s="160">
        <f>InputData!$C$8</f>
        <v>0.02</v>
      </c>
      <c r="O156" s="160">
        <f>InputData!$C$9</f>
        <v>0.06</v>
      </c>
      <c r="P156" s="160">
        <f>InputData!$C$10</f>
        <v>0.02</v>
      </c>
      <c r="Q156" s="160">
        <f>InputData!$C$11</f>
        <v>0.02</v>
      </c>
      <c r="R156" s="160">
        <f>InputData!$C$12</f>
        <v>0.02</v>
      </c>
      <c r="S156" s="160">
        <f>InputData!$C$13</f>
        <v>0.9</v>
      </c>
      <c r="T156" s="116">
        <f>InputData!$C$88</f>
        <v>180000</v>
      </c>
      <c r="U156" s="116">
        <f>InputData!$C$81</f>
        <v>178500</v>
      </c>
      <c r="V156" s="116">
        <f>InputData!$C$82</f>
        <v>303960</v>
      </c>
      <c r="W156" s="116">
        <f>InputData!$C$84</f>
        <v>215220</v>
      </c>
      <c r="X156" s="116">
        <f>InputData!$C$85</f>
        <v>409020</v>
      </c>
      <c r="Y156" s="116">
        <f>InputData!$C$116</f>
        <v>140000</v>
      </c>
      <c r="Z156" s="160">
        <f>InputData!$E$13</f>
        <v>0</v>
      </c>
    </row>
    <row r="157" spans="1:26" x14ac:dyDescent="0.25">
      <c r="A157">
        <f>InputData!$K$1</f>
        <v>2013</v>
      </c>
      <c r="B157" t="str">
        <f>InputData!$G$1</f>
        <v>San Antonio, TX</v>
      </c>
      <c r="C157" t="s">
        <v>11</v>
      </c>
      <c r="D157" t="str">
        <f>Graph_IntMed!$H$6</f>
        <v>PAYE</v>
      </c>
      <c r="E157" t="str">
        <f t="shared" si="2"/>
        <v>Internal Medicine PAYE</v>
      </c>
      <c r="F157">
        <f>Graph_IntMed!$A12</f>
        <v>2018</v>
      </c>
      <c r="G157">
        <f>Graph_IntMed!$B12</f>
        <v>6</v>
      </c>
      <c r="H157" s="165">
        <f>Graph_IntMed!$H12</f>
        <v>-118995.92937851879</v>
      </c>
      <c r="I157" s="160">
        <f>InputData!$C$3</f>
        <v>0.02</v>
      </c>
      <c r="J157" s="160">
        <f>InputData!$C$4</f>
        <v>0.01</v>
      </c>
      <c r="K157" s="160">
        <f>InputData!$C$5</f>
        <v>0.01</v>
      </c>
      <c r="L157" s="160">
        <f>InputData!$C$6</f>
        <v>6.2100000000000002E-2</v>
      </c>
      <c r="M157" s="160">
        <f>InputData!$C$7</f>
        <v>0.03</v>
      </c>
      <c r="N157" s="160">
        <f>InputData!$C$8</f>
        <v>0.02</v>
      </c>
      <c r="O157" s="160">
        <f>InputData!$C$9</f>
        <v>0.06</v>
      </c>
      <c r="P157" s="160">
        <f>InputData!$C$10</f>
        <v>0.02</v>
      </c>
      <c r="Q157" s="160">
        <f>InputData!$C$11</f>
        <v>0.02</v>
      </c>
      <c r="R157" s="160">
        <f>InputData!$C$12</f>
        <v>0.02</v>
      </c>
      <c r="S157" s="160">
        <f>InputData!$C$13</f>
        <v>0.9</v>
      </c>
      <c r="T157" s="116">
        <f>InputData!$C$88</f>
        <v>180000</v>
      </c>
      <c r="U157" s="116">
        <f>InputData!$C$81</f>
        <v>178500</v>
      </c>
      <c r="V157" s="116">
        <f>InputData!$C$82</f>
        <v>303960</v>
      </c>
      <c r="W157" s="116">
        <f>InputData!$C$84</f>
        <v>215220</v>
      </c>
      <c r="X157" s="116">
        <f>InputData!$C$85</f>
        <v>409020</v>
      </c>
      <c r="Y157" s="116">
        <f>InputData!$C$116</f>
        <v>140000</v>
      </c>
      <c r="Z157" s="160">
        <f>InputData!$E$13</f>
        <v>0</v>
      </c>
    </row>
    <row r="158" spans="1:26" x14ac:dyDescent="0.25">
      <c r="A158">
        <f>InputData!$K$1</f>
        <v>2013</v>
      </c>
      <c r="B158" t="str">
        <f>InputData!$G$1</f>
        <v>San Antonio, TX</v>
      </c>
      <c r="C158" t="s">
        <v>11</v>
      </c>
      <c r="D158" t="str">
        <f>Graph_IntMed!$H$6</f>
        <v>PAYE</v>
      </c>
      <c r="E158" t="str">
        <f t="shared" si="2"/>
        <v>Internal Medicine PAYE</v>
      </c>
      <c r="F158">
        <f>Graph_IntMed!$A13</f>
        <v>2019</v>
      </c>
      <c r="G158">
        <f>Graph_IntMed!$B13</f>
        <v>7</v>
      </c>
      <c r="H158" s="165">
        <f>Graph_IntMed!$H13</f>
        <v>-82904.654937055282</v>
      </c>
      <c r="I158" s="160">
        <f>InputData!$C$3</f>
        <v>0.02</v>
      </c>
      <c r="J158" s="160">
        <f>InputData!$C$4</f>
        <v>0.01</v>
      </c>
      <c r="K158" s="160">
        <f>InputData!$C$5</f>
        <v>0.01</v>
      </c>
      <c r="L158" s="160">
        <f>InputData!$C$6</f>
        <v>6.2100000000000002E-2</v>
      </c>
      <c r="M158" s="160">
        <f>InputData!$C$7</f>
        <v>0.03</v>
      </c>
      <c r="N158" s="160">
        <f>InputData!$C$8</f>
        <v>0.02</v>
      </c>
      <c r="O158" s="160">
        <f>InputData!$C$9</f>
        <v>0.06</v>
      </c>
      <c r="P158" s="160">
        <f>InputData!$C$10</f>
        <v>0.02</v>
      </c>
      <c r="Q158" s="160">
        <f>InputData!$C$11</f>
        <v>0.02</v>
      </c>
      <c r="R158" s="160">
        <f>InputData!$C$12</f>
        <v>0.02</v>
      </c>
      <c r="S158" s="160">
        <f>InputData!$C$13</f>
        <v>0.9</v>
      </c>
      <c r="T158" s="116">
        <f>InputData!$C$88</f>
        <v>180000</v>
      </c>
      <c r="U158" s="116">
        <f>InputData!$C$81</f>
        <v>178500</v>
      </c>
      <c r="V158" s="116">
        <f>InputData!$C$82</f>
        <v>303960</v>
      </c>
      <c r="W158" s="116">
        <f>InputData!$C$84</f>
        <v>215220</v>
      </c>
      <c r="X158" s="116">
        <f>InputData!$C$85</f>
        <v>409020</v>
      </c>
      <c r="Y158" s="116">
        <f>InputData!$C$116</f>
        <v>140000</v>
      </c>
      <c r="Z158" s="160">
        <f>InputData!$E$13</f>
        <v>0</v>
      </c>
    </row>
    <row r="159" spans="1:26" x14ac:dyDescent="0.25">
      <c r="A159">
        <f>InputData!$K$1</f>
        <v>2013</v>
      </c>
      <c r="B159" t="str">
        <f>InputData!$G$1</f>
        <v>San Antonio, TX</v>
      </c>
      <c r="C159" t="s">
        <v>11</v>
      </c>
      <c r="D159" t="str">
        <f>Graph_IntMed!$H$6</f>
        <v>PAYE</v>
      </c>
      <c r="E159" t="str">
        <f t="shared" si="2"/>
        <v>Internal Medicine PAYE</v>
      </c>
      <c r="F159">
        <f>Graph_IntMed!$A14</f>
        <v>2020</v>
      </c>
      <c r="G159">
        <f>Graph_IntMed!$B14</f>
        <v>8</v>
      </c>
      <c r="H159" s="165">
        <f>Graph_IntMed!$H14</f>
        <v>7487.2162338921626</v>
      </c>
      <c r="I159" s="160">
        <f>InputData!$C$3</f>
        <v>0.02</v>
      </c>
      <c r="J159" s="160">
        <f>InputData!$C$4</f>
        <v>0.01</v>
      </c>
      <c r="K159" s="160">
        <f>InputData!$C$5</f>
        <v>0.01</v>
      </c>
      <c r="L159" s="160">
        <f>InputData!$C$6</f>
        <v>6.2100000000000002E-2</v>
      </c>
      <c r="M159" s="160">
        <f>InputData!$C$7</f>
        <v>0.03</v>
      </c>
      <c r="N159" s="160">
        <f>InputData!$C$8</f>
        <v>0.02</v>
      </c>
      <c r="O159" s="160">
        <f>InputData!$C$9</f>
        <v>0.06</v>
      </c>
      <c r="P159" s="160">
        <f>InputData!$C$10</f>
        <v>0.02</v>
      </c>
      <c r="Q159" s="160">
        <f>InputData!$C$11</f>
        <v>0.02</v>
      </c>
      <c r="R159" s="160">
        <f>InputData!$C$12</f>
        <v>0.02</v>
      </c>
      <c r="S159" s="160">
        <f>InputData!$C$13</f>
        <v>0.9</v>
      </c>
      <c r="T159" s="116">
        <f>InputData!$C$88</f>
        <v>180000</v>
      </c>
      <c r="U159" s="116">
        <f>InputData!$C$81</f>
        <v>178500</v>
      </c>
      <c r="V159" s="116">
        <f>InputData!$C$82</f>
        <v>303960</v>
      </c>
      <c r="W159" s="116">
        <f>InputData!$C$84</f>
        <v>215220</v>
      </c>
      <c r="X159" s="116">
        <f>InputData!$C$85</f>
        <v>409020</v>
      </c>
      <c r="Y159" s="116">
        <f>InputData!$C$116</f>
        <v>140000</v>
      </c>
      <c r="Z159" s="160">
        <f>InputData!$E$13</f>
        <v>0</v>
      </c>
    </row>
    <row r="160" spans="1:26" x14ac:dyDescent="0.25">
      <c r="A160">
        <f>InputData!$K$1</f>
        <v>2013</v>
      </c>
      <c r="B160" t="str">
        <f>InputData!$G$1</f>
        <v>San Antonio, TX</v>
      </c>
      <c r="C160" t="s">
        <v>11</v>
      </c>
      <c r="D160" t="str">
        <f>Graph_IntMed!$H$6</f>
        <v>PAYE</v>
      </c>
      <c r="E160" t="str">
        <f t="shared" si="2"/>
        <v>Internal Medicine PAYE</v>
      </c>
      <c r="F160">
        <f>Graph_IntMed!$A15</f>
        <v>2021</v>
      </c>
      <c r="G160">
        <f>Graph_IntMed!$B15</f>
        <v>9</v>
      </c>
      <c r="H160" s="165">
        <f>Graph_IntMed!$H15</f>
        <v>96082.792218022878</v>
      </c>
      <c r="I160" s="160">
        <f>InputData!$C$3</f>
        <v>0.02</v>
      </c>
      <c r="J160" s="160">
        <f>InputData!$C$4</f>
        <v>0.01</v>
      </c>
      <c r="K160" s="160">
        <f>InputData!$C$5</f>
        <v>0.01</v>
      </c>
      <c r="L160" s="160">
        <f>InputData!$C$6</f>
        <v>6.2100000000000002E-2</v>
      </c>
      <c r="M160" s="160">
        <f>InputData!$C$7</f>
        <v>0.03</v>
      </c>
      <c r="N160" s="160">
        <f>InputData!$C$8</f>
        <v>0.02</v>
      </c>
      <c r="O160" s="160">
        <f>InputData!$C$9</f>
        <v>0.06</v>
      </c>
      <c r="P160" s="160">
        <f>InputData!$C$10</f>
        <v>0.02</v>
      </c>
      <c r="Q160" s="160">
        <f>InputData!$C$11</f>
        <v>0.02</v>
      </c>
      <c r="R160" s="160">
        <f>InputData!$C$12</f>
        <v>0.02</v>
      </c>
      <c r="S160" s="160">
        <f>InputData!$C$13</f>
        <v>0.9</v>
      </c>
      <c r="T160" s="116">
        <f>InputData!$C$88</f>
        <v>180000</v>
      </c>
      <c r="U160" s="116">
        <f>InputData!$C$81</f>
        <v>178500</v>
      </c>
      <c r="V160" s="116">
        <f>InputData!$C$82</f>
        <v>303960</v>
      </c>
      <c r="W160" s="116">
        <f>InputData!$C$84</f>
        <v>215220</v>
      </c>
      <c r="X160" s="116">
        <f>InputData!$C$85</f>
        <v>409020</v>
      </c>
      <c r="Y160" s="116">
        <f>InputData!$C$116</f>
        <v>140000</v>
      </c>
      <c r="Z160" s="160">
        <f>InputData!$E$13</f>
        <v>0</v>
      </c>
    </row>
    <row r="161" spans="1:26" x14ac:dyDescent="0.25">
      <c r="A161">
        <f>InputData!$K$1</f>
        <v>2013</v>
      </c>
      <c r="B161" t="str">
        <f>InputData!$G$1</f>
        <v>San Antonio, TX</v>
      </c>
      <c r="C161" t="s">
        <v>11</v>
      </c>
      <c r="D161" t="str">
        <f>Graph_IntMed!$H$6</f>
        <v>PAYE</v>
      </c>
      <c r="E161" t="str">
        <f t="shared" si="2"/>
        <v>Internal Medicine PAYE</v>
      </c>
      <c r="F161">
        <f>Graph_IntMed!$A16</f>
        <v>2022</v>
      </c>
      <c r="G161">
        <f>Graph_IntMed!$B16</f>
        <v>10</v>
      </c>
      <c r="H161" s="165">
        <f>Graph_IntMed!$H16</f>
        <v>182917.9907679187</v>
      </c>
      <c r="I161" s="160">
        <f>InputData!$C$3</f>
        <v>0.02</v>
      </c>
      <c r="J161" s="160">
        <f>InputData!$C$4</f>
        <v>0.01</v>
      </c>
      <c r="K161" s="160">
        <f>InputData!$C$5</f>
        <v>0.01</v>
      </c>
      <c r="L161" s="160">
        <f>InputData!$C$6</f>
        <v>6.2100000000000002E-2</v>
      </c>
      <c r="M161" s="160">
        <f>InputData!$C$7</f>
        <v>0.03</v>
      </c>
      <c r="N161" s="160">
        <f>InputData!$C$8</f>
        <v>0.02</v>
      </c>
      <c r="O161" s="160">
        <f>InputData!$C$9</f>
        <v>0.06</v>
      </c>
      <c r="P161" s="160">
        <f>InputData!$C$10</f>
        <v>0.02</v>
      </c>
      <c r="Q161" s="160">
        <f>InputData!$C$11</f>
        <v>0.02</v>
      </c>
      <c r="R161" s="160">
        <f>InputData!$C$12</f>
        <v>0.02</v>
      </c>
      <c r="S161" s="160">
        <f>InputData!$C$13</f>
        <v>0.9</v>
      </c>
      <c r="T161" s="116">
        <f>InputData!$C$88</f>
        <v>180000</v>
      </c>
      <c r="U161" s="116">
        <f>InputData!$C$81</f>
        <v>178500</v>
      </c>
      <c r="V161" s="116">
        <f>InputData!$C$82</f>
        <v>303960</v>
      </c>
      <c r="W161" s="116">
        <f>InputData!$C$84</f>
        <v>215220</v>
      </c>
      <c r="X161" s="116">
        <f>InputData!$C$85</f>
        <v>409020</v>
      </c>
      <c r="Y161" s="116">
        <f>InputData!$C$116</f>
        <v>140000</v>
      </c>
      <c r="Z161" s="160">
        <f>InputData!$E$13</f>
        <v>0</v>
      </c>
    </row>
    <row r="162" spans="1:26" x14ac:dyDescent="0.25">
      <c r="A162">
        <f>InputData!$K$1</f>
        <v>2013</v>
      </c>
      <c r="B162" t="str">
        <f>InputData!$G$1</f>
        <v>San Antonio, TX</v>
      </c>
      <c r="C162" t="s">
        <v>11</v>
      </c>
      <c r="D162" t="str">
        <f>Graph_IntMed!$H$6</f>
        <v>PAYE</v>
      </c>
      <c r="E162" t="str">
        <f t="shared" si="2"/>
        <v>Internal Medicine PAYE</v>
      </c>
      <c r="F162">
        <f>Graph_IntMed!$A17</f>
        <v>2023</v>
      </c>
      <c r="G162">
        <f>Graph_IntMed!$B17</f>
        <v>11</v>
      </c>
      <c r="H162" s="165">
        <f>Graph_IntMed!$H17</f>
        <v>268028.00508655154</v>
      </c>
      <c r="I162" s="160">
        <f>InputData!$C$3</f>
        <v>0.02</v>
      </c>
      <c r="J162" s="160">
        <f>InputData!$C$4</f>
        <v>0.01</v>
      </c>
      <c r="K162" s="160">
        <f>InputData!$C$5</f>
        <v>0.01</v>
      </c>
      <c r="L162" s="160">
        <f>InputData!$C$6</f>
        <v>6.2100000000000002E-2</v>
      </c>
      <c r="M162" s="160">
        <f>InputData!$C$7</f>
        <v>0.03</v>
      </c>
      <c r="N162" s="160">
        <f>InputData!$C$8</f>
        <v>0.02</v>
      </c>
      <c r="O162" s="160">
        <f>InputData!$C$9</f>
        <v>0.06</v>
      </c>
      <c r="P162" s="160">
        <f>InputData!$C$10</f>
        <v>0.02</v>
      </c>
      <c r="Q162" s="160">
        <f>InputData!$C$11</f>
        <v>0.02</v>
      </c>
      <c r="R162" s="160">
        <f>InputData!$C$12</f>
        <v>0.02</v>
      </c>
      <c r="S162" s="160">
        <f>InputData!$C$13</f>
        <v>0.9</v>
      </c>
      <c r="T162" s="116">
        <f>InputData!$C$88</f>
        <v>180000</v>
      </c>
      <c r="U162" s="116">
        <f>InputData!$C$81</f>
        <v>178500</v>
      </c>
      <c r="V162" s="116">
        <f>InputData!$C$82</f>
        <v>303960</v>
      </c>
      <c r="W162" s="116">
        <f>InputData!$C$84</f>
        <v>215220</v>
      </c>
      <c r="X162" s="116">
        <f>InputData!$C$85</f>
        <v>409020</v>
      </c>
      <c r="Y162" s="116">
        <f>InputData!$C$116</f>
        <v>140000</v>
      </c>
      <c r="Z162" s="160">
        <f>InputData!$E$13</f>
        <v>0</v>
      </c>
    </row>
    <row r="163" spans="1:26" x14ac:dyDescent="0.25">
      <c r="A163">
        <f>InputData!$K$1</f>
        <v>2013</v>
      </c>
      <c r="B163" t="str">
        <f>InputData!$G$1</f>
        <v>San Antonio, TX</v>
      </c>
      <c r="C163" t="s">
        <v>11</v>
      </c>
      <c r="D163" t="str">
        <f>Graph_IntMed!$H$6</f>
        <v>PAYE</v>
      </c>
      <c r="E163" t="str">
        <f t="shared" si="2"/>
        <v>Internal Medicine PAYE</v>
      </c>
      <c r="F163">
        <f>Graph_IntMed!$A18</f>
        <v>2024</v>
      </c>
      <c r="G163">
        <f>Graph_IntMed!$B18</f>
        <v>12</v>
      </c>
      <c r="H163" s="165">
        <f>Graph_IntMed!$H18</f>
        <v>351447.31862481689</v>
      </c>
      <c r="I163" s="160">
        <f>InputData!$C$3</f>
        <v>0.02</v>
      </c>
      <c r="J163" s="160">
        <f>InputData!$C$4</f>
        <v>0.01</v>
      </c>
      <c r="K163" s="160">
        <f>InputData!$C$5</f>
        <v>0.01</v>
      </c>
      <c r="L163" s="160">
        <f>InputData!$C$6</f>
        <v>6.2100000000000002E-2</v>
      </c>
      <c r="M163" s="160">
        <f>InputData!$C$7</f>
        <v>0.03</v>
      </c>
      <c r="N163" s="160">
        <f>InputData!$C$8</f>
        <v>0.02</v>
      </c>
      <c r="O163" s="160">
        <f>InputData!$C$9</f>
        <v>0.06</v>
      </c>
      <c r="P163" s="160">
        <f>InputData!$C$10</f>
        <v>0.02</v>
      </c>
      <c r="Q163" s="160">
        <f>InputData!$C$11</f>
        <v>0.02</v>
      </c>
      <c r="R163" s="160">
        <f>InputData!$C$12</f>
        <v>0.02</v>
      </c>
      <c r="S163" s="160">
        <f>InputData!$C$13</f>
        <v>0.9</v>
      </c>
      <c r="T163" s="116">
        <f>InputData!$C$88</f>
        <v>180000</v>
      </c>
      <c r="U163" s="116">
        <f>InputData!$C$81</f>
        <v>178500</v>
      </c>
      <c r="V163" s="116">
        <f>InputData!$C$82</f>
        <v>303960</v>
      </c>
      <c r="W163" s="116">
        <f>InputData!$C$84</f>
        <v>215220</v>
      </c>
      <c r="X163" s="116">
        <f>InputData!$C$85</f>
        <v>409020</v>
      </c>
      <c r="Y163" s="116">
        <f>InputData!$C$116</f>
        <v>140000</v>
      </c>
      <c r="Z163" s="160">
        <f>InputData!$E$13</f>
        <v>0</v>
      </c>
    </row>
    <row r="164" spans="1:26" x14ac:dyDescent="0.25">
      <c r="A164">
        <f>InputData!$K$1</f>
        <v>2013</v>
      </c>
      <c r="B164" t="str">
        <f>InputData!$G$1</f>
        <v>San Antonio, TX</v>
      </c>
      <c r="C164" t="s">
        <v>11</v>
      </c>
      <c r="D164" t="str">
        <f>Graph_IntMed!$H$6</f>
        <v>PAYE</v>
      </c>
      <c r="E164" t="str">
        <f t="shared" si="2"/>
        <v>Internal Medicine PAYE</v>
      </c>
      <c r="F164">
        <f>Graph_IntMed!$A19</f>
        <v>2025</v>
      </c>
      <c r="G164">
        <f>Graph_IntMed!$B19</f>
        <v>13</v>
      </c>
      <c r="H164" s="165">
        <f>Graph_IntMed!$H19</f>
        <v>433209.71957171493</v>
      </c>
      <c r="I164" s="160">
        <f>InputData!$C$3</f>
        <v>0.02</v>
      </c>
      <c r="J164" s="160">
        <f>InputData!$C$4</f>
        <v>0.01</v>
      </c>
      <c r="K164" s="160">
        <f>InputData!$C$5</f>
        <v>0.01</v>
      </c>
      <c r="L164" s="160">
        <f>InputData!$C$6</f>
        <v>6.2100000000000002E-2</v>
      </c>
      <c r="M164" s="160">
        <f>InputData!$C$7</f>
        <v>0.03</v>
      </c>
      <c r="N164" s="160">
        <f>InputData!$C$8</f>
        <v>0.02</v>
      </c>
      <c r="O164" s="160">
        <f>InputData!$C$9</f>
        <v>0.06</v>
      </c>
      <c r="P164" s="160">
        <f>InputData!$C$10</f>
        <v>0.02</v>
      </c>
      <c r="Q164" s="160">
        <f>InputData!$C$11</f>
        <v>0.02</v>
      </c>
      <c r="R164" s="160">
        <f>InputData!$C$12</f>
        <v>0.02</v>
      </c>
      <c r="S164" s="160">
        <f>InputData!$C$13</f>
        <v>0.9</v>
      </c>
      <c r="T164" s="116">
        <f>InputData!$C$88</f>
        <v>180000</v>
      </c>
      <c r="U164" s="116">
        <f>InputData!$C$81</f>
        <v>178500</v>
      </c>
      <c r="V164" s="116">
        <f>InputData!$C$82</f>
        <v>303960</v>
      </c>
      <c r="W164" s="116">
        <f>InputData!$C$84</f>
        <v>215220</v>
      </c>
      <c r="X164" s="116">
        <f>InputData!$C$85</f>
        <v>409020</v>
      </c>
      <c r="Y164" s="116">
        <f>InputData!$C$116</f>
        <v>140000</v>
      </c>
      <c r="Z164" s="160">
        <f>InputData!$E$13</f>
        <v>0</v>
      </c>
    </row>
    <row r="165" spans="1:26" x14ac:dyDescent="0.25">
      <c r="A165">
        <f>InputData!$K$1</f>
        <v>2013</v>
      </c>
      <c r="B165" t="str">
        <f>InputData!$G$1</f>
        <v>San Antonio, TX</v>
      </c>
      <c r="C165" t="s">
        <v>11</v>
      </c>
      <c r="D165" t="str">
        <f>Graph_IntMed!$H$6</f>
        <v>PAYE</v>
      </c>
      <c r="E165" t="str">
        <f t="shared" si="2"/>
        <v>Internal Medicine PAYE</v>
      </c>
      <c r="F165">
        <f>Graph_IntMed!$A20</f>
        <v>2026</v>
      </c>
      <c r="G165">
        <f>Graph_IntMed!$B20</f>
        <v>14</v>
      </c>
      <c r="H165" s="165">
        <f>Graph_IntMed!$H20</f>
        <v>513348.31504370773</v>
      </c>
      <c r="I165" s="160">
        <f>InputData!$C$3</f>
        <v>0.02</v>
      </c>
      <c r="J165" s="160">
        <f>InputData!$C$4</f>
        <v>0.01</v>
      </c>
      <c r="K165" s="160">
        <f>InputData!$C$5</f>
        <v>0.01</v>
      </c>
      <c r="L165" s="160">
        <f>InputData!$C$6</f>
        <v>6.2100000000000002E-2</v>
      </c>
      <c r="M165" s="160">
        <f>InputData!$C$7</f>
        <v>0.03</v>
      </c>
      <c r="N165" s="160">
        <f>InputData!$C$8</f>
        <v>0.02</v>
      </c>
      <c r="O165" s="160">
        <f>InputData!$C$9</f>
        <v>0.06</v>
      </c>
      <c r="P165" s="160">
        <f>InputData!$C$10</f>
        <v>0.02</v>
      </c>
      <c r="Q165" s="160">
        <f>InputData!$C$11</f>
        <v>0.02</v>
      </c>
      <c r="R165" s="160">
        <f>InputData!$C$12</f>
        <v>0.02</v>
      </c>
      <c r="S165" s="160">
        <f>InputData!$C$13</f>
        <v>0.9</v>
      </c>
      <c r="T165" s="116">
        <f>InputData!$C$88</f>
        <v>180000</v>
      </c>
      <c r="U165" s="116">
        <f>InputData!$C$81</f>
        <v>178500</v>
      </c>
      <c r="V165" s="116">
        <f>InputData!$C$82</f>
        <v>303960</v>
      </c>
      <c r="W165" s="116">
        <f>InputData!$C$84</f>
        <v>215220</v>
      </c>
      <c r="X165" s="116">
        <f>InputData!$C$85</f>
        <v>409020</v>
      </c>
      <c r="Y165" s="116">
        <f>InputData!$C$116</f>
        <v>140000</v>
      </c>
      <c r="Z165" s="160">
        <f>InputData!$E$13</f>
        <v>0</v>
      </c>
    </row>
    <row r="166" spans="1:26" x14ac:dyDescent="0.25">
      <c r="A166">
        <f>InputData!$K$1</f>
        <v>2013</v>
      </c>
      <c r="B166" t="str">
        <f>InputData!$G$1</f>
        <v>San Antonio, TX</v>
      </c>
      <c r="C166" t="s">
        <v>11</v>
      </c>
      <c r="D166" t="str">
        <f>Graph_IntMed!$H$6</f>
        <v>PAYE</v>
      </c>
      <c r="E166" t="str">
        <f t="shared" si="2"/>
        <v>Internal Medicine PAYE</v>
      </c>
      <c r="F166">
        <f>Graph_IntMed!$A21</f>
        <v>2027</v>
      </c>
      <c r="G166">
        <f>Graph_IntMed!$B21</f>
        <v>15</v>
      </c>
      <c r="H166" s="165">
        <f>Graph_IntMed!$H21</f>
        <v>591837.16036597476</v>
      </c>
      <c r="I166" s="160">
        <f>InputData!$C$3</f>
        <v>0.02</v>
      </c>
      <c r="J166" s="160">
        <f>InputData!$C$4</f>
        <v>0.01</v>
      </c>
      <c r="K166" s="160">
        <f>InputData!$C$5</f>
        <v>0.01</v>
      </c>
      <c r="L166" s="160">
        <f>InputData!$C$6</f>
        <v>6.2100000000000002E-2</v>
      </c>
      <c r="M166" s="160">
        <f>InputData!$C$7</f>
        <v>0.03</v>
      </c>
      <c r="N166" s="160">
        <f>InputData!$C$8</f>
        <v>0.02</v>
      </c>
      <c r="O166" s="160">
        <f>InputData!$C$9</f>
        <v>0.06</v>
      </c>
      <c r="P166" s="160">
        <f>InputData!$C$10</f>
        <v>0.02</v>
      </c>
      <c r="Q166" s="160">
        <f>InputData!$C$11</f>
        <v>0.02</v>
      </c>
      <c r="R166" s="160">
        <f>InputData!$C$12</f>
        <v>0.02</v>
      </c>
      <c r="S166" s="160">
        <f>InputData!$C$13</f>
        <v>0.9</v>
      </c>
      <c r="T166" s="116">
        <f>InputData!$C$88</f>
        <v>180000</v>
      </c>
      <c r="U166" s="116">
        <f>InputData!$C$81</f>
        <v>178500</v>
      </c>
      <c r="V166" s="116">
        <f>InputData!$C$82</f>
        <v>303960</v>
      </c>
      <c r="W166" s="116">
        <f>InputData!$C$84</f>
        <v>215220</v>
      </c>
      <c r="X166" s="116">
        <f>InputData!$C$85</f>
        <v>409020</v>
      </c>
      <c r="Y166" s="116">
        <f>InputData!$C$116</f>
        <v>140000</v>
      </c>
      <c r="Z166" s="160">
        <f>InputData!$E$13</f>
        <v>0</v>
      </c>
    </row>
    <row r="167" spans="1:26" x14ac:dyDescent="0.25">
      <c r="A167">
        <f>InputData!$K$1</f>
        <v>2013</v>
      </c>
      <c r="B167" t="str">
        <f>InputData!$G$1</f>
        <v>San Antonio, TX</v>
      </c>
      <c r="C167" t="s">
        <v>11</v>
      </c>
      <c r="D167" t="str">
        <f>Graph_IntMed!$H$6</f>
        <v>PAYE</v>
      </c>
      <c r="E167" t="str">
        <f t="shared" si="2"/>
        <v>Internal Medicine PAYE</v>
      </c>
      <c r="F167">
        <f>Graph_IntMed!$A22</f>
        <v>2028</v>
      </c>
      <c r="G167">
        <f>Graph_IntMed!$B22</f>
        <v>16</v>
      </c>
      <c r="H167" s="165">
        <f>Graph_IntMed!$H22</f>
        <v>668707.99457149941</v>
      </c>
      <c r="I167" s="160">
        <f>InputData!$C$3</f>
        <v>0.02</v>
      </c>
      <c r="J167" s="160">
        <f>InputData!$C$4</f>
        <v>0.01</v>
      </c>
      <c r="K167" s="160">
        <f>InputData!$C$5</f>
        <v>0.01</v>
      </c>
      <c r="L167" s="160">
        <f>InputData!$C$6</f>
        <v>6.2100000000000002E-2</v>
      </c>
      <c r="M167" s="160">
        <f>InputData!$C$7</f>
        <v>0.03</v>
      </c>
      <c r="N167" s="160">
        <f>InputData!$C$8</f>
        <v>0.02</v>
      </c>
      <c r="O167" s="160">
        <f>InputData!$C$9</f>
        <v>0.06</v>
      </c>
      <c r="P167" s="160">
        <f>InputData!$C$10</f>
        <v>0.02</v>
      </c>
      <c r="Q167" s="160">
        <f>InputData!$C$11</f>
        <v>0.02</v>
      </c>
      <c r="R167" s="160">
        <f>InputData!$C$12</f>
        <v>0.02</v>
      </c>
      <c r="S167" s="160">
        <f>InputData!$C$13</f>
        <v>0.9</v>
      </c>
      <c r="T167" s="116">
        <f>InputData!$C$88</f>
        <v>180000</v>
      </c>
      <c r="U167" s="116">
        <f>InputData!$C$81</f>
        <v>178500</v>
      </c>
      <c r="V167" s="116">
        <f>InputData!$C$82</f>
        <v>303960</v>
      </c>
      <c r="W167" s="116">
        <f>InputData!$C$84</f>
        <v>215220</v>
      </c>
      <c r="X167" s="116">
        <f>InputData!$C$85</f>
        <v>409020</v>
      </c>
      <c r="Y167" s="116">
        <f>InputData!$C$116</f>
        <v>140000</v>
      </c>
      <c r="Z167" s="160">
        <f>InputData!$E$13</f>
        <v>0</v>
      </c>
    </row>
    <row r="168" spans="1:26" x14ac:dyDescent="0.25">
      <c r="A168">
        <f>InputData!$K$1</f>
        <v>2013</v>
      </c>
      <c r="B168" t="str">
        <f>InputData!$G$1</f>
        <v>San Antonio, TX</v>
      </c>
      <c r="C168" t="s">
        <v>11</v>
      </c>
      <c r="D168" t="str">
        <f>Graph_IntMed!$H$6</f>
        <v>PAYE</v>
      </c>
      <c r="E168" t="str">
        <f t="shared" si="2"/>
        <v>Internal Medicine PAYE</v>
      </c>
      <c r="F168">
        <f>Graph_IntMed!$A23</f>
        <v>2029</v>
      </c>
      <c r="G168">
        <f>Graph_IntMed!$B23</f>
        <v>17</v>
      </c>
      <c r="H168" s="165">
        <f>Graph_IntMed!$H23</f>
        <v>743994.84475145221</v>
      </c>
      <c r="I168" s="160">
        <f>InputData!$C$3</f>
        <v>0.02</v>
      </c>
      <c r="J168" s="160">
        <f>InputData!$C$4</f>
        <v>0.01</v>
      </c>
      <c r="K168" s="160">
        <f>InputData!$C$5</f>
        <v>0.01</v>
      </c>
      <c r="L168" s="160">
        <f>InputData!$C$6</f>
        <v>6.2100000000000002E-2</v>
      </c>
      <c r="M168" s="160">
        <f>InputData!$C$7</f>
        <v>0.03</v>
      </c>
      <c r="N168" s="160">
        <f>InputData!$C$8</f>
        <v>0.02</v>
      </c>
      <c r="O168" s="160">
        <f>InputData!$C$9</f>
        <v>0.06</v>
      </c>
      <c r="P168" s="160">
        <f>InputData!$C$10</f>
        <v>0.02</v>
      </c>
      <c r="Q168" s="160">
        <f>InputData!$C$11</f>
        <v>0.02</v>
      </c>
      <c r="R168" s="160">
        <f>InputData!$C$12</f>
        <v>0.02</v>
      </c>
      <c r="S168" s="160">
        <f>InputData!$C$13</f>
        <v>0.9</v>
      </c>
      <c r="T168" s="116">
        <f>InputData!$C$88</f>
        <v>180000</v>
      </c>
      <c r="U168" s="116">
        <f>InputData!$C$81</f>
        <v>178500</v>
      </c>
      <c r="V168" s="116">
        <f>InputData!$C$82</f>
        <v>303960</v>
      </c>
      <c r="W168" s="116">
        <f>InputData!$C$84</f>
        <v>215220</v>
      </c>
      <c r="X168" s="116">
        <f>InputData!$C$85</f>
        <v>409020</v>
      </c>
      <c r="Y168" s="116">
        <f>InputData!$C$116</f>
        <v>140000</v>
      </c>
      <c r="Z168" s="160">
        <f>InputData!$E$13</f>
        <v>0</v>
      </c>
    </row>
    <row r="169" spans="1:26" x14ac:dyDescent="0.25">
      <c r="A169">
        <f>InputData!$K$1</f>
        <v>2013</v>
      </c>
      <c r="B169" t="str">
        <f>InputData!$G$1</f>
        <v>San Antonio, TX</v>
      </c>
      <c r="C169" t="s">
        <v>11</v>
      </c>
      <c r="D169" t="str">
        <f>Graph_IntMed!$H$6</f>
        <v>PAYE</v>
      </c>
      <c r="E169" t="str">
        <f t="shared" si="2"/>
        <v>Internal Medicine PAYE</v>
      </c>
      <c r="F169">
        <f>Graph_IntMed!$A24</f>
        <v>2030</v>
      </c>
      <c r="G169">
        <f>Graph_IntMed!$B24</f>
        <v>18</v>
      </c>
      <c r="H169" s="165">
        <f>Graph_IntMed!$H24</f>
        <v>817731.0037685649</v>
      </c>
      <c r="I169" s="160">
        <f>InputData!$C$3</f>
        <v>0.02</v>
      </c>
      <c r="J169" s="160">
        <f>InputData!$C$4</f>
        <v>0.01</v>
      </c>
      <c r="K169" s="160">
        <f>InputData!$C$5</f>
        <v>0.01</v>
      </c>
      <c r="L169" s="160">
        <f>InputData!$C$6</f>
        <v>6.2100000000000002E-2</v>
      </c>
      <c r="M169" s="160">
        <f>InputData!$C$7</f>
        <v>0.03</v>
      </c>
      <c r="N169" s="160">
        <f>InputData!$C$8</f>
        <v>0.02</v>
      </c>
      <c r="O169" s="160">
        <f>InputData!$C$9</f>
        <v>0.06</v>
      </c>
      <c r="P169" s="160">
        <f>InputData!$C$10</f>
        <v>0.02</v>
      </c>
      <c r="Q169" s="160">
        <f>InputData!$C$11</f>
        <v>0.02</v>
      </c>
      <c r="R169" s="160">
        <f>InputData!$C$12</f>
        <v>0.02</v>
      </c>
      <c r="S169" s="160">
        <f>InputData!$C$13</f>
        <v>0.9</v>
      </c>
      <c r="T169" s="116">
        <f>InputData!$C$88</f>
        <v>180000</v>
      </c>
      <c r="U169" s="116">
        <f>InputData!$C$81</f>
        <v>178500</v>
      </c>
      <c r="V169" s="116">
        <f>InputData!$C$82</f>
        <v>303960</v>
      </c>
      <c r="W169" s="116">
        <f>InputData!$C$84</f>
        <v>215220</v>
      </c>
      <c r="X169" s="116">
        <f>InputData!$C$85</f>
        <v>409020</v>
      </c>
      <c r="Y169" s="116">
        <f>InputData!$C$116</f>
        <v>140000</v>
      </c>
      <c r="Z169" s="160">
        <f>InputData!$E$13</f>
        <v>0</v>
      </c>
    </row>
    <row r="170" spans="1:26" x14ac:dyDescent="0.25">
      <c r="A170">
        <f>InputData!$K$1</f>
        <v>2013</v>
      </c>
      <c r="B170" t="str">
        <f>InputData!$G$1</f>
        <v>San Antonio, TX</v>
      </c>
      <c r="C170" t="s">
        <v>11</v>
      </c>
      <c r="D170" t="str">
        <f>Graph_IntMed!$H$6</f>
        <v>PAYE</v>
      </c>
      <c r="E170" t="str">
        <f t="shared" si="2"/>
        <v>Internal Medicine PAYE</v>
      </c>
      <c r="F170">
        <f>Graph_IntMed!$A25</f>
        <v>2031</v>
      </c>
      <c r="G170">
        <f>Graph_IntMed!$B25</f>
        <v>19</v>
      </c>
      <c r="H170" s="165">
        <f>Graph_IntMed!$H25</f>
        <v>889949.0466061132</v>
      </c>
      <c r="I170" s="160">
        <f>InputData!$C$3</f>
        <v>0.02</v>
      </c>
      <c r="J170" s="160">
        <f>InputData!$C$4</f>
        <v>0.01</v>
      </c>
      <c r="K170" s="160">
        <f>InputData!$C$5</f>
        <v>0.01</v>
      </c>
      <c r="L170" s="160">
        <f>InputData!$C$6</f>
        <v>6.2100000000000002E-2</v>
      </c>
      <c r="M170" s="160">
        <f>InputData!$C$7</f>
        <v>0.03</v>
      </c>
      <c r="N170" s="160">
        <f>InputData!$C$8</f>
        <v>0.02</v>
      </c>
      <c r="O170" s="160">
        <f>InputData!$C$9</f>
        <v>0.06</v>
      </c>
      <c r="P170" s="160">
        <f>InputData!$C$10</f>
        <v>0.02</v>
      </c>
      <c r="Q170" s="160">
        <f>InputData!$C$11</f>
        <v>0.02</v>
      </c>
      <c r="R170" s="160">
        <f>InputData!$C$12</f>
        <v>0.02</v>
      </c>
      <c r="S170" s="160">
        <f>InputData!$C$13</f>
        <v>0.9</v>
      </c>
      <c r="T170" s="116">
        <f>InputData!$C$88</f>
        <v>180000</v>
      </c>
      <c r="U170" s="116">
        <f>InputData!$C$81</f>
        <v>178500</v>
      </c>
      <c r="V170" s="116">
        <f>InputData!$C$82</f>
        <v>303960</v>
      </c>
      <c r="W170" s="116">
        <f>InputData!$C$84</f>
        <v>215220</v>
      </c>
      <c r="X170" s="116">
        <f>InputData!$C$85</f>
        <v>409020</v>
      </c>
      <c r="Y170" s="116">
        <f>InputData!$C$116</f>
        <v>140000</v>
      </c>
      <c r="Z170" s="160">
        <f>InputData!$E$13</f>
        <v>0</v>
      </c>
    </row>
    <row r="171" spans="1:26" x14ac:dyDescent="0.25">
      <c r="A171">
        <f>InputData!$K$1</f>
        <v>2013</v>
      </c>
      <c r="B171" t="str">
        <f>InputData!$G$1</f>
        <v>San Antonio, TX</v>
      </c>
      <c r="C171" t="s">
        <v>11</v>
      </c>
      <c r="D171" t="str">
        <f>Graph_IntMed!$H$6</f>
        <v>PAYE</v>
      </c>
      <c r="E171" t="str">
        <f t="shared" si="2"/>
        <v>Internal Medicine PAYE</v>
      </c>
      <c r="F171">
        <f>Graph_IntMed!$A26</f>
        <v>2032</v>
      </c>
      <c r="G171">
        <f>Graph_IntMed!$B26</f>
        <v>20</v>
      </c>
      <c r="H171" s="165">
        <f>Graph_IntMed!$H26</f>
        <v>960680.84633946687</v>
      </c>
      <c r="I171" s="160">
        <f>InputData!$C$3</f>
        <v>0.02</v>
      </c>
      <c r="J171" s="160">
        <f>InputData!$C$4</f>
        <v>0.01</v>
      </c>
      <c r="K171" s="160">
        <f>InputData!$C$5</f>
        <v>0.01</v>
      </c>
      <c r="L171" s="160">
        <f>InputData!$C$6</f>
        <v>6.2100000000000002E-2</v>
      </c>
      <c r="M171" s="160">
        <f>InputData!$C$7</f>
        <v>0.03</v>
      </c>
      <c r="N171" s="160">
        <f>InputData!$C$8</f>
        <v>0.02</v>
      </c>
      <c r="O171" s="160">
        <f>InputData!$C$9</f>
        <v>0.06</v>
      </c>
      <c r="P171" s="160">
        <f>InputData!$C$10</f>
        <v>0.02</v>
      </c>
      <c r="Q171" s="160">
        <f>InputData!$C$11</f>
        <v>0.02</v>
      </c>
      <c r="R171" s="160">
        <f>InputData!$C$12</f>
        <v>0.02</v>
      </c>
      <c r="S171" s="160">
        <f>InputData!$C$13</f>
        <v>0.9</v>
      </c>
      <c r="T171" s="116">
        <f>InputData!$C$88</f>
        <v>180000</v>
      </c>
      <c r="U171" s="116">
        <f>InputData!$C$81</f>
        <v>178500</v>
      </c>
      <c r="V171" s="116">
        <f>InputData!$C$82</f>
        <v>303960</v>
      </c>
      <c r="W171" s="116">
        <f>InputData!$C$84</f>
        <v>215220</v>
      </c>
      <c r="X171" s="116">
        <f>InputData!$C$85</f>
        <v>409020</v>
      </c>
      <c r="Y171" s="116">
        <f>InputData!$C$116</f>
        <v>140000</v>
      </c>
      <c r="Z171" s="160">
        <f>InputData!$E$13</f>
        <v>0</v>
      </c>
    </row>
    <row r="172" spans="1:26" x14ac:dyDescent="0.25">
      <c r="A172">
        <f>InputData!$K$1</f>
        <v>2013</v>
      </c>
      <c r="B172" t="str">
        <f>InputData!$G$1</f>
        <v>San Antonio, TX</v>
      </c>
      <c r="C172" t="s">
        <v>11</v>
      </c>
      <c r="D172" t="str">
        <f>Graph_IntMed!$H$6</f>
        <v>PAYE</v>
      </c>
      <c r="E172" t="str">
        <f t="shared" si="2"/>
        <v>Internal Medicine PAYE</v>
      </c>
      <c r="F172">
        <f>Graph_IntMed!$A27</f>
        <v>2033</v>
      </c>
      <c r="G172">
        <f>Graph_IntMed!$B27</f>
        <v>21</v>
      </c>
      <c r="H172" s="165">
        <f>Graph_IntMed!$H27</f>
        <v>1029957.5897392638</v>
      </c>
      <c r="I172" s="160">
        <f>InputData!$C$3</f>
        <v>0.02</v>
      </c>
      <c r="J172" s="160">
        <f>InputData!$C$4</f>
        <v>0.01</v>
      </c>
      <c r="K172" s="160">
        <f>InputData!$C$5</f>
        <v>0.01</v>
      </c>
      <c r="L172" s="160">
        <f>InputData!$C$6</f>
        <v>6.2100000000000002E-2</v>
      </c>
      <c r="M172" s="160">
        <f>InputData!$C$7</f>
        <v>0.03</v>
      </c>
      <c r="N172" s="160">
        <f>InputData!$C$8</f>
        <v>0.02</v>
      </c>
      <c r="O172" s="160">
        <f>InputData!$C$9</f>
        <v>0.06</v>
      </c>
      <c r="P172" s="160">
        <f>InputData!$C$10</f>
        <v>0.02</v>
      </c>
      <c r="Q172" s="160">
        <f>InputData!$C$11</f>
        <v>0.02</v>
      </c>
      <c r="R172" s="160">
        <f>InputData!$C$12</f>
        <v>0.02</v>
      </c>
      <c r="S172" s="160">
        <f>InputData!$C$13</f>
        <v>0.9</v>
      </c>
      <c r="T172" s="116">
        <f>InputData!$C$88</f>
        <v>180000</v>
      </c>
      <c r="U172" s="116">
        <f>InputData!$C$81</f>
        <v>178500</v>
      </c>
      <c r="V172" s="116">
        <f>InputData!$C$82</f>
        <v>303960</v>
      </c>
      <c r="W172" s="116">
        <f>InputData!$C$84</f>
        <v>215220</v>
      </c>
      <c r="X172" s="116">
        <f>InputData!$C$85</f>
        <v>409020</v>
      </c>
      <c r="Y172" s="116">
        <f>InputData!$C$116</f>
        <v>140000</v>
      </c>
      <c r="Z172" s="160">
        <f>InputData!$E$13</f>
        <v>0</v>
      </c>
    </row>
    <row r="173" spans="1:26" x14ac:dyDescent="0.25">
      <c r="A173">
        <f>InputData!$K$1</f>
        <v>2013</v>
      </c>
      <c r="B173" t="str">
        <f>InputData!$G$1</f>
        <v>San Antonio, TX</v>
      </c>
      <c r="C173" t="s">
        <v>11</v>
      </c>
      <c r="D173" t="str">
        <f>Graph_IntMed!$H$6</f>
        <v>PAYE</v>
      </c>
      <c r="E173" t="str">
        <f t="shared" si="2"/>
        <v>Internal Medicine PAYE</v>
      </c>
      <c r="F173">
        <f>Graph_IntMed!$A28</f>
        <v>2034</v>
      </c>
      <c r="G173">
        <f>Graph_IntMed!$B28</f>
        <v>22</v>
      </c>
      <c r="H173" s="165">
        <f>Graph_IntMed!$H28</f>
        <v>1097809.7925150397</v>
      </c>
      <c r="I173" s="160">
        <f>InputData!$C$3</f>
        <v>0.02</v>
      </c>
      <c r="J173" s="160">
        <f>InputData!$C$4</f>
        <v>0.01</v>
      </c>
      <c r="K173" s="160">
        <f>InputData!$C$5</f>
        <v>0.01</v>
      </c>
      <c r="L173" s="160">
        <f>InputData!$C$6</f>
        <v>6.2100000000000002E-2</v>
      </c>
      <c r="M173" s="160">
        <f>InputData!$C$7</f>
        <v>0.03</v>
      </c>
      <c r="N173" s="160">
        <f>InputData!$C$8</f>
        <v>0.02</v>
      </c>
      <c r="O173" s="160">
        <f>InputData!$C$9</f>
        <v>0.06</v>
      </c>
      <c r="P173" s="160">
        <f>InputData!$C$10</f>
        <v>0.02</v>
      </c>
      <c r="Q173" s="160">
        <f>InputData!$C$11</f>
        <v>0.02</v>
      </c>
      <c r="R173" s="160">
        <f>InputData!$C$12</f>
        <v>0.02</v>
      </c>
      <c r="S173" s="160">
        <f>InputData!$C$13</f>
        <v>0.9</v>
      </c>
      <c r="T173" s="116">
        <f>InputData!$C$88</f>
        <v>180000</v>
      </c>
      <c r="U173" s="116">
        <f>InputData!$C$81</f>
        <v>178500</v>
      </c>
      <c r="V173" s="116">
        <f>InputData!$C$82</f>
        <v>303960</v>
      </c>
      <c r="W173" s="116">
        <f>InputData!$C$84</f>
        <v>215220</v>
      </c>
      <c r="X173" s="116">
        <f>InputData!$C$85</f>
        <v>409020</v>
      </c>
      <c r="Y173" s="116">
        <f>InputData!$C$116</f>
        <v>140000</v>
      </c>
      <c r="Z173" s="160">
        <f>InputData!$E$13</f>
        <v>0</v>
      </c>
    </row>
    <row r="174" spans="1:26" x14ac:dyDescent="0.25">
      <c r="A174">
        <f>InputData!$K$1</f>
        <v>2013</v>
      </c>
      <c r="B174" t="str">
        <f>InputData!$G$1</f>
        <v>San Antonio, TX</v>
      </c>
      <c r="C174" t="s">
        <v>11</v>
      </c>
      <c r="D174" t="str">
        <f>Graph_IntMed!$H$6</f>
        <v>PAYE</v>
      </c>
      <c r="E174" t="str">
        <f t="shared" si="2"/>
        <v>Internal Medicine PAYE</v>
      </c>
      <c r="F174">
        <f>Graph_IntMed!$A29</f>
        <v>2035</v>
      </c>
      <c r="G174">
        <f>Graph_IntMed!$B29</f>
        <v>23</v>
      </c>
      <c r="H174" s="165">
        <f>Graph_IntMed!$H29</f>
        <v>1164267.3142079234</v>
      </c>
      <c r="I174" s="160">
        <f>InputData!$C$3</f>
        <v>0.02</v>
      </c>
      <c r="J174" s="160">
        <f>InputData!$C$4</f>
        <v>0.01</v>
      </c>
      <c r="K174" s="160">
        <f>InputData!$C$5</f>
        <v>0.01</v>
      </c>
      <c r="L174" s="160">
        <f>InputData!$C$6</f>
        <v>6.2100000000000002E-2</v>
      </c>
      <c r="M174" s="160">
        <f>InputData!$C$7</f>
        <v>0.03</v>
      </c>
      <c r="N174" s="160">
        <f>InputData!$C$8</f>
        <v>0.02</v>
      </c>
      <c r="O174" s="160">
        <f>InputData!$C$9</f>
        <v>0.06</v>
      </c>
      <c r="P174" s="160">
        <f>InputData!$C$10</f>
        <v>0.02</v>
      </c>
      <c r="Q174" s="160">
        <f>InputData!$C$11</f>
        <v>0.02</v>
      </c>
      <c r="R174" s="160">
        <f>InputData!$C$12</f>
        <v>0.02</v>
      </c>
      <c r="S174" s="160">
        <f>InputData!$C$13</f>
        <v>0.9</v>
      </c>
      <c r="T174" s="116">
        <f>InputData!$C$88</f>
        <v>180000</v>
      </c>
      <c r="U174" s="116">
        <f>InputData!$C$81</f>
        <v>178500</v>
      </c>
      <c r="V174" s="116">
        <f>InputData!$C$82</f>
        <v>303960</v>
      </c>
      <c r="W174" s="116">
        <f>InputData!$C$84</f>
        <v>215220</v>
      </c>
      <c r="X174" s="116">
        <f>InputData!$C$85</f>
        <v>409020</v>
      </c>
      <c r="Y174" s="116">
        <f>InputData!$C$116</f>
        <v>140000</v>
      </c>
      <c r="Z174" s="160">
        <f>InputData!$E$13</f>
        <v>0</v>
      </c>
    </row>
    <row r="175" spans="1:26" x14ac:dyDescent="0.25">
      <c r="A175">
        <f>InputData!$K$1</f>
        <v>2013</v>
      </c>
      <c r="B175" t="str">
        <f>InputData!$G$1</f>
        <v>San Antonio, TX</v>
      </c>
      <c r="C175" t="s">
        <v>11</v>
      </c>
      <c r="D175" t="str">
        <f>Graph_IntMed!$H$6</f>
        <v>PAYE</v>
      </c>
      <c r="E175" t="str">
        <f t="shared" si="2"/>
        <v>Internal Medicine PAYE</v>
      </c>
      <c r="F175">
        <f>Graph_IntMed!$A30</f>
        <v>2036</v>
      </c>
      <c r="G175">
        <f>Graph_IntMed!$B30</f>
        <v>24</v>
      </c>
      <c r="H175" s="165">
        <f>Graph_IntMed!$H30</f>
        <v>1229359.3727407956</v>
      </c>
      <c r="I175" s="160">
        <f>InputData!$C$3</f>
        <v>0.02</v>
      </c>
      <c r="J175" s="160">
        <f>InputData!$C$4</f>
        <v>0.01</v>
      </c>
      <c r="K175" s="160">
        <f>InputData!$C$5</f>
        <v>0.01</v>
      </c>
      <c r="L175" s="160">
        <f>InputData!$C$6</f>
        <v>6.2100000000000002E-2</v>
      </c>
      <c r="M175" s="160">
        <f>InputData!$C$7</f>
        <v>0.03</v>
      </c>
      <c r="N175" s="160">
        <f>InputData!$C$8</f>
        <v>0.02</v>
      </c>
      <c r="O175" s="160">
        <f>InputData!$C$9</f>
        <v>0.06</v>
      </c>
      <c r="P175" s="160">
        <f>InputData!$C$10</f>
        <v>0.02</v>
      </c>
      <c r="Q175" s="160">
        <f>InputData!$C$11</f>
        <v>0.02</v>
      </c>
      <c r="R175" s="160">
        <f>InputData!$C$12</f>
        <v>0.02</v>
      </c>
      <c r="S175" s="160">
        <f>InputData!$C$13</f>
        <v>0.9</v>
      </c>
      <c r="T175" s="116">
        <f>InputData!$C$88</f>
        <v>180000</v>
      </c>
      <c r="U175" s="116">
        <f>InputData!$C$81</f>
        <v>178500</v>
      </c>
      <c r="V175" s="116">
        <f>InputData!$C$82</f>
        <v>303960</v>
      </c>
      <c r="W175" s="116">
        <f>InputData!$C$84</f>
        <v>215220</v>
      </c>
      <c r="X175" s="116">
        <f>InputData!$C$85</f>
        <v>409020</v>
      </c>
      <c r="Y175" s="116">
        <f>InputData!$C$116</f>
        <v>140000</v>
      </c>
      <c r="Z175" s="160">
        <f>InputData!$E$13</f>
        <v>0</v>
      </c>
    </row>
    <row r="176" spans="1:26" x14ac:dyDescent="0.25">
      <c r="A176">
        <f>InputData!$K$1</f>
        <v>2013</v>
      </c>
      <c r="B176" t="str">
        <f>InputData!$G$1</f>
        <v>San Antonio, TX</v>
      </c>
      <c r="C176" t="s">
        <v>11</v>
      </c>
      <c r="D176" t="str">
        <f>Graph_IntMed!$H$6</f>
        <v>PAYE</v>
      </c>
      <c r="E176" t="str">
        <f t="shared" si="2"/>
        <v>Internal Medicine PAYE</v>
      </c>
      <c r="F176">
        <f>Graph_IntMed!$A31</f>
        <v>2037</v>
      </c>
      <c r="G176">
        <f>Graph_IntMed!$B31</f>
        <v>25</v>
      </c>
      <c r="H176" s="165">
        <f>Graph_IntMed!$H31</f>
        <v>1294380.4163218858</v>
      </c>
      <c r="I176" s="160">
        <f>InputData!$C$3</f>
        <v>0.02</v>
      </c>
      <c r="J176" s="160">
        <f>InputData!$C$4</f>
        <v>0.01</v>
      </c>
      <c r="K176" s="160">
        <f>InputData!$C$5</f>
        <v>0.01</v>
      </c>
      <c r="L176" s="160">
        <f>InputData!$C$6</f>
        <v>6.2100000000000002E-2</v>
      </c>
      <c r="M176" s="160">
        <f>InputData!$C$7</f>
        <v>0.03</v>
      </c>
      <c r="N176" s="160">
        <f>InputData!$C$8</f>
        <v>0.02</v>
      </c>
      <c r="O176" s="160">
        <f>InputData!$C$9</f>
        <v>0.06</v>
      </c>
      <c r="P176" s="160">
        <f>InputData!$C$10</f>
        <v>0.02</v>
      </c>
      <c r="Q176" s="160">
        <f>InputData!$C$11</f>
        <v>0.02</v>
      </c>
      <c r="R176" s="160">
        <f>InputData!$C$12</f>
        <v>0.02</v>
      </c>
      <c r="S176" s="160">
        <f>InputData!$C$13</f>
        <v>0.9</v>
      </c>
      <c r="T176" s="116">
        <f>InputData!$C$88</f>
        <v>180000</v>
      </c>
      <c r="U176" s="116">
        <f>InputData!$C$81</f>
        <v>178500</v>
      </c>
      <c r="V176" s="116">
        <f>InputData!$C$82</f>
        <v>303960</v>
      </c>
      <c r="W176" s="116">
        <f>InputData!$C$84</f>
        <v>215220</v>
      </c>
      <c r="X176" s="116">
        <f>InputData!$C$85</f>
        <v>409020</v>
      </c>
      <c r="Y176" s="116">
        <f>InputData!$C$116</f>
        <v>140000</v>
      </c>
      <c r="Z176" s="160">
        <f>InputData!$E$13</f>
        <v>0</v>
      </c>
    </row>
    <row r="177" spans="1:26" x14ac:dyDescent="0.25">
      <c r="A177">
        <f>InputData!$K$1</f>
        <v>2013</v>
      </c>
      <c r="B177" t="str">
        <f>InputData!$G$1</f>
        <v>San Antonio, TX</v>
      </c>
      <c r="C177" t="s">
        <v>11</v>
      </c>
      <c r="D177" t="str">
        <f>Graph_IntMed!$H$6</f>
        <v>PAYE</v>
      </c>
      <c r="E177" t="str">
        <f t="shared" si="2"/>
        <v>Internal Medicine PAYE</v>
      </c>
      <c r="F177">
        <f>Graph_IntMed!$A32</f>
        <v>2038</v>
      </c>
      <c r="G177">
        <f>Graph_IntMed!$B32</f>
        <v>26</v>
      </c>
      <c r="H177" s="165">
        <f>Graph_IntMed!$H32</f>
        <v>1366165.4449364874</v>
      </c>
      <c r="I177" s="160">
        <f>InputData!$C$3</f>
        <v>0.02</v>
      </c>
      <c r="J177" s="160">
        <f>InputData!$C$4</f>
        <v>0.01</v>
      </c>
      <c r="K177" s="160">
        <f>InputData!$C$5</f>
        <v>0.01</v>
      </c>
      <c r="L177" s="160">
        <f>InputData!$C$6</f>
        <v>6.2100000000000002E-2</v>
      </c>
      <c r="M177" s="160">
        <f>InputData!$C$7</f>
        <v>0.03</v>
      </c>
      <c r="N177" s="160">
        <f>InputData!$C$8</f>
        <v>0.02</v>
      </c>
      <c r="O177" s="160">
        <f>InputData!$C$9</f>
        <v>0.06</v>
      </c>
      <c r="P177" s="160">
        <f>InputData!$C$10</f>
        <v>0.02</v>
      </c>
      <c r="Q177" s="160">
        <f>InputData!$C$11</f>
        <v>0.02</v>
      </c>
      <c r="R177" s="160">
        <f>InputData!$C$12</f>
        <v>0.02</v>
      </c>
      <c r="S177" s="160">
        <f>InputData!$C$13</f>
        <v>0.9</v>
      </c>
      <c r="T177" s="116">
        <f>InputData!$C$88</f>
        <v>180000</v>
      </c>
      <c r="U177" s="116">
        <f>InputData!$C$81</f>
        <v>178500</v>
      </c>
      <c r="V177" s="116">
        <f>InputData!$C$82</f>
        <v>303960</v>
      </c>
      <c r="W177" s="116">
        <f>InputData!$C$84</f>
        <v>215220</v>
      </c>
      <c r="X177" s="116">
        <f>InputData!$C$85</f>
        <v>409020</v>
      </c>
      <c r="Y177" s="116">
        <f>InputData!$C$116</f>
        <v>140000</v>
      </c>
      <c r="Z177" s="160">
        <f>InputData!$E$13</f>
        <v>0</v>
      </c>
    </row>
    <row r="178" spans="1:26" x14ac:dyDescent="0.25">
      <c r="A178">
        <f>InputData!$K$1</f>
        <v>2013</v>
      </c>
      <c r="B178" t="str">
        <f>InputData!$G$1</f>
        <v>San Antonio, TX</v>
      </c>
      <c r="C178" t="s">
        <v>11</v>
      </c>
      <c r="D178" t="str">
        <f>Graph_IntMed!$H$6</f>
        <v>PAYE</v>
      </c>
      <c r="E178" t="str">
        <f t="shared" si="2"/>
        <v>Internal Medicine PAYE</v>
      </c>
      <c r="F178">
        <f>Graph_IntMed!$A33</f>
        <v>2039</v>
      </c>
      <c r="G178">
        <f>Graph_IntMed!$B33</f>
        <v>27</v>
      </c>
      <c r="H178" s="165">
        <f>Graph_IntMed!$H33</f>
        <v>1436493.6775446446</v>
      </c>
      <c r="I178" s="160">
        <f>InputData!$C$3</f>
        <v>0.02</v>
      </c>
      <c r="J178" s="160">
        <f>InputData!$C$4</f>
        <v>0.01</v>
      </c>
      <c r="K178" s="160">
        <f>InputData!$C$5</f>
        <v>0.01</v>
      </c>
      <c r="L178" s="160">
        <f>InputData!$C$6</f>
        <v>6.2100000000000002E-2</v>
      </c>
      <c r="M178" s="160">
        <f>InputData!$C$7</f>
        <v>0.03</v>
      </c>
      <c r="N178" s="160">
        <f>InputData!$C$8</f>
        <v>0.02</v>
      </c>
      <c r="O178" s="160">
        <f>InputData!$C$9</f>
        <v>0.06</v>
      </c>
      <c r="P178" s="160">
        <f>InputData!$C$10</f>
        <v>0.02</v>
      </c>
      <c r="Q178" s="160">
        <f>InputData!$C$11</f>
        <v>0.02</v>
      </c>
      <c r="R178" s="160">
        <f>InputData!$C$12</f>
        <v>0.02</v>
      </c>
      <c r="S178" s="160">
        <f>InputData!$C$13</f>
        <v>0.9</v>
      </c>
      <c r="T178" s="116">
        <f>InputData!$C$88</f>
        <v>180000</v>
      </c>
      <c r="U178" s="116">
        <f>InputData!$C$81</f>
        <v>178500</v>
      </c>
      <c r="V178" s="116">
        <f>InputData!$C$82</f>
        <v>303960</v>
      </c>
      <c r="W178" s="116">
        <f>InputData!$C$84</f>
        <v>215220</v>
      </c>
      <c r="X178" s="116">
        <f>InputData!$C$85</f>
        <v>409020</v>
      </c>
      <c r="Y178" s="116">
        <f>InputData!$C$116</f>
        <v>140000</v>
      </c>
      <c r="Z178" s="160">
        <f>InputData!$E$13</f>
        <v>0</v>
      </c>
    </row>
    <row r="179" spans="1:26" x14ac:dyDescent="0.25">
      <c r="A179">
        <f>InputData!$K$1</f>
        <v>2013</v>
      </c>
      <c r="B179" t="str">
        <f>InputData!$G$1</f>
        <v>San Antonio, TX</v>
      </c>
      <c r="C179" t="s">
        <v>11</v>
      </c>
      <c r="D179" t="str">
        <f>Graph_IntMed!$H$6</f>
        <v>PAYE</v>
      </c>
      <c r="E179" t="str">
        <f t="shared" si="2"/>
        <v>Internal Medicine PAYE</v>
      </c>
      <c r="F179">
        <f>Graph_IntMed!$A34</f>
        <v>2040</v>
      </c>
      <c r="G179">
        <f>Graph_IntMed!$B34</f>
        <v>28</v>
      </c>
      <c r="H179" s="165">
        <f>Graph_IntMed!$H34</f>
        <v>1505395.1131358501</v>
      </c>
      <c r="I179" s="160">
        <f>InputData!$C$3</f>
        <v>0.02</v>
      </c>
      <c r="J179" s="160">
        <f>InputData!$C$4</f>
        <v>0.01</v>
      </c>
      <c r="K179" s="160">
        <f>InputData!$C$5</f>
        <v>0.01</v>
      </c>
      <c r="L179" s="160">
        <f>InputData!$C$6</f>
        <v>6.2100000000000002E-2</v>
      </c>
      <c r="M179" s="160">
        <f>InputData!$C$7</f>
        <v>0.03</v>
      </c>
      <c r="N179" s="160">
        <f>InputData!$C$8</f>
        <v>0.02</v>
      </c>
      <c r="O179" s="160">
        <f>InputData!$C$9</f>
        <v>0.06</v>
      </c>
      <c r="P179" s="160">
        <f>InputData!$C$10</f>
        <v>0.02</v>
      </c>
      <c r="Q179" s="160">
        <f>InputData!$C$11</f>
        <v>0.02</v>
      </c>
      <c r="R179" s="160">
        <f>InputData!$C$12</f>
        <v>0.02</v>
      </c>
      <c r="S179" s="160">
        <f>InputData!$C$13</f>
        <v>0.9</v>
      </c>
      <c r="T179" s="116">
        <f>InputData!$C$88</f>
        <v>180000</v>
      </c>
      <c r="U179" s="116">
        <f>InputData!$C$81</f>
        <v>178500</v>
      </c>
      <c r="V179" s="116">
        <f>InputData!$C$82</f>
        <v>303960</v>
      </c>
      <c r="W179" s="116">
        <f>InputData!$C$84</f>
        <v>215220</v>
      </c>
      <c r="X179" s="116">
        <f>InputData!$C$85</f>
        <v>409020</v>
      </c>
      <c r="Y179" s="116">
        <f>InputData!$C$116</f>
        <v>140000</v>
      </c>
      <c r="Z179" s="160">
        <f>InputData!$E$13</f>
        <v>0</v>
      </c>
    </row>
    <row r="180" spans="1:26" x14ac:dyDescent="0.25">
      <c r="A180">
        <f>InputData!$K$1</f>
        <v>2013</v>
      </c>
      <c r="B180" t="str">
        <f>InputData!$G$1</f>
        <v>San Antonio, TX</v>
      </c>
      <c r="C180" t="s">
        <v>11</v>
      </c>
      <c r="D180" t="str">
        <f>Graph_IntMed!$H$6</f>
        <v>PAYE</v>
      </c>
      <c r="E180" t="str">
        <f t="shared" si="2"/>
        <v>Internal Medicine PAYE</v>
      </c>
      <c r="F180">
        <f>Graph_IntMed!$A35</f>
        <v>2041</v>
      </c>
      <c r="G180">
        <f>Graph_IntMed!$B35</f>
        <v>29</v>
      </c>
      <c r="H180" s="165">
        <f>Graph_IntMed!$H35</f>
        <v>1572899.120706585</v>
      </c>
      <c r="I180" s="160">
        <f>InputData!$C$3</f>
        <v>0.02</v>
      </c>
      <c r="J180" s="160">
        <f>InputData!$C$4</f>
        <v>0.01</v>
      </c>
      <c r="K180" s="160">
        <f>InputData!$C$5</f>
        <v>0.01</v>
      </c>
      <c r="L180" s="160">
        <f>InputData!$C$6</f>
        <v>6.2100000000000002E-2</v>
      </c>
      <c r="M180" s="160">
        <f>InputData!$C$7</f>
        <v>0.03</v>
      </c>
      <c r="N180" s="160">
        <f>InputData!$C$8</f>
        <v>0.02</v>
      </c>
      <c r="O180" s="160">
        <f>InputData!$C$9</f>
        <v>0.06</v>
      </c>
      <c r="P180" s="160">
        <f>InputData!$C$10</f>
        <v>0.02</v>
      </c>
      <c r="Q180" s="160">
        <f>InputData!$C$11</f>
        <v>0.02</v>
      </c>
      <c r="R180" s="160">
        <f>InputData!$C$12</f>
        <v>0.02</v>
      </c>
      <c r="S180" s="160">
        <f>InputData!$C$13</f>
        <v>0.9</v>
      </c>
      <c r="T180" s="116">
        <f>InputData!$C$88</f>
        <v>180000</v>
      </c>
      <c r="U180" s="116">
        <f>InputData!$C$81</f>
        <v>178500</v>
      </c>
      <c r="V180" s="116">
        <f>InputData!$C$82</f>
        <v>303960</v>
      </c>
      <c r="W180" s="116">
        <f>InputData!$C$84</f>
        <v>215220</v>
      </c>
      <c r="X180" s="116">
        <f>InputData!$C$85</f>
        <v>409020</v>
      </c>
      <c r="Y180" s="116">
        <f>InputData!$C$116</f>
        <v>140000</v>
      </c>
      <c r="Z180" s="160">
        <f>InputData!$E$13</f>
        <v>0</v>
      </c>
    </row>
    <row r="181" spans="1:26" x14ac:dyDescent="0.25">
      <c r="A181">
        <f>InputData!$K$1</f>
        <v>2013</v>
      </c>
      <c r="B181" t="str">
        <f>InputData!$G$1</f>
        <v>San Antonio, TX</v>
      </c>
      <c r="C181" t="s">
        <v>11</v>
      </c>
      <c r="D181" t="str">
        <f>Graph_IntMed!$H$6</f>
        <v>PAYE</v>
      </c>
      <c r="E181" t="str">
        <f t="shared" si="2"/>
        <v>Internal Medicine PAYE</v>
      </c>
      <c r="F181">
        <f>Graph_IntMed!$A36</f>
        <v>2042</v>
      </c>
      <c r="G181">
        <f>Graph_IntMed!$B36</f>
        <v>30</v>
      </c>
      <c r="H181" s="165">
        <f>Graph_IntMed!$H36</f>
        <v>1639034.4528299442</v>
      </c>
      <c r="I181" s="160">
        <f>InputData!$C$3</f>
        <v>0.02</v>
      </c>
      <c r="J181" s="160">
        <f>InputData!$C$4</f>
        <v>0.01</v>
      </c>
      <c r="K181" s="160">
        <f>InputData!$C$5</f>
        <v>0.01</v>
      </c>
      <c r="L181" s="160">
        <f>InputData!$C$6</f>
        <v>6.2100000000000002E-2</v>
      </c>
      <c r="M181" s="160">
        <f>InputData!$C$7</f>
        <v>0.03</v>
      </c>
      <c r="N181" s="160">
        <f>InputData!$C$8</f>
        <v>0.02</v>
      </c>
      <c r="O181" s="160">
        <f>InputData!$C$9</f>
        <v>0.06</v>
      </c>
      <c r="P181" s="160">
        <f>InputData!$C$10</f>
        <v>0.02</v>
      </c>
      <c r="Q181" s="160">
        <f>InputData!$C$11</f>
        <v>0.02</v>
      </c>
      <c r="R181" s="160">
        <f>InputData!$C$12</f>
        <v>0.02</v>
      </c>
      <c r="S181" s="160">
        <f>InputData!$C$13</f>
        <v>0.9</v>
      </c>
      <c r="T181" s="116">
        <f>InputData!$C$88</f>
        <v>180000</v>
      </c>
      <c r="U181" s="116">
        <f>InputData!$C$81</f>
        <v>178500</v>
      </c>
      <c r="V181" s="116">
        <f>InputData!$C$82</f>
        <v>303960</v>
      </c>
      <c r="W181" s="116">
        <f>InputData!$C$84</f>
        <v>215220</v>
      </c>
      <c r="X181" s="116">
        <f>InputData!$C$85</f>
        <v>409020</v>
      </c>
      <c r="Y181" s="116">
        <f>InputData!$C$116</f>
        <v>140000</v>
      </c>
      <c r="Z181" s="160">
        <f>InputData!$E$13</f>
        <v>0</v>
      </c>
    </row>
    <row r="182" spans="1:26" x14ac:dyDescent="0.25">
      <c r="A182">
        <f>InputData!$K$1</f>
        <v>2013</v>
      </c>
      <c r="B182" t="str">
        <f>InputData!$G$1</f>
        <v>San Antonio, TX</v>
      </c>
      <c r="C182" t="s">
        <v>11</v>
      </c>
      <c r="D182" t="str">
        <f>Graph_IntMed!$I$6</f>
        <v>STD10r</v>
      </c>
      <c r="E182" t="str">
        <f t="shared" si="2"/>
        <v>Internal Medicine STD10r</v>
      </c>
      <c r="F182">
        <f>Graph_IntMed!$A7</f>
        <v>2013</v>
      </c>
      <c r="G182">
        <f>Graph_IntMed!$B7</f>
        <v>1</v>
      </c>
      <c r="H182" s="165">
        <f>Graph_IntMed!$I7</f>
        <v>-43015.05</v>
      </c>
      <c r="I182" s="160">
        <f>InputData!$C$3</f>
        <v>0.02</v>
      </c>
      <c r="J182" s="160">
        <f>InputData!$C$4</f>
        <v>0.01</v>
      </c>
      <c r="K182" s="160">
        <f>InputData!$C$5</f>
        <v>0.01</v>
      </c>
      <c r="L182" s="160">
        <f>InputData!$C$6</f>
        <v>6.2100000000000002E-2</v>
      </c>
      <c r="M182" s="160">
        <f>InputData!$C$7</f>
        <v>0.03</v>
      </c>
      <c r="N182" s="160">
        <f>InputData!$C$8</f>
        <v>0.02</v>
      </c>
      <c r="O182" s="160">
        <f>InputData!$C$9</f>
        <v>0.06</v>
      </c>
      <c r="P182" s="160">
        <f>InputData!$C$10</f>
        <v>0.02</v>
      </c>
      <c r="Q182" s="160">
        <f>InputData!$C$11</f>
        <v>0.02</v>
      </c>
      <c r="R182" s="160">
        <f>InputData!$C$12</f>
        <v>0.02</v>
      </c>
      <c r="S182" s="160">
        <f>InputData!$C$13</f>
        <v>0.9</v>
      </c>
      <c r="T182" s="116">
        <f>InputData!$C$88</f>
        <v>180000</v>
      </c>
      <c r="U182" s="116">
        <f>InputData!$C$81</f>
        <v>178500</v>
      </c>
      <c r="V182" s="116">
        <f>InputData!$C$82</f>
        <v>303960</v>
      </c>
      <c r="W182" s="116">
        <f>InputData!$C$84</f>
        <v>215220</v>
      </c>
      <c r="X182" s="116">
        <f>InputData!$C$85</f>
        <v>409020</v>
      </c>
      <c r="Y182" s="116">
        <f>InputData!$C$116</f>
        <v>140000</v>
      </c>
      <c r="Z182" s="160">
        <f>InputData!$E$13</f>
        <v>0</v>
      </c>
    </row>
    <row r="183" spans="1:26" x14ac:dyDescent="0.25">
      <c r="A183">
        <f>InputData!$K$1</f>
        <v>2013</v>
      </c>
      <c r="B183" t="str">
        <f>InputData!$G$1</f>
        <v>San Antonio, TX</v>
      </c>
      <c r="C183" t="s">
        <v>11</v>
      </c>
      <c r="D183" t="str">
        <f>Graph_IntMed!$I$6</f>
        <v>STD10r</v>
      </c>
      <c r="E183" t="str">
        <f t="shared" si="2"/>
        <v>Internal Medicine STD10r</v>
      </c>
      <c r="F183">
        <f>Graph_IntMed!$A8</f>
        <v>2014</v>
      </c>
      <c r="G183">
        <f>Graph_IntMed!$B8</f>
        <v>2</v>
      </c>
      <c r="H183" s="165">
        <f>Graph_IntMed!$I8</f>
        <v>-86352.285865219877</v>
      </c>
      <c r="I183" s="160">
        <f>InputData!$C$3</f>
        <v>0.02</v>
      </c>
      <c r="J183" s="160">
        <f>InputData!$C$4</f>
        <v>0.01</v>
      </c>
      <c r="K183" s="160">
        <f>InputData!$C$5</f>
        <v>0.01</v>
      </c>
      <c r="L183" s="160">
        <f>InputData!$C$6</f>
        <v>6.2100000000000002E-2</v>
      </c>
      <c r="M183" s="160">
        <f>InputData!$C$7</f>
        <v>0.03</v>
      </c>
      <c r="N183" s="160">
        <f>InputData!$C$8</f>
        <v>0.02</v>
      </c>
      <c r="O183" s="160">
        <f>InputData!$C$9</f>
        <v>0.06</v>
      </c>
      <c r="P183" s="160">
        <f>InputData!$C$10</f>
        <v>0.02</v>
      </c>
      <c r="Q183" s="160">
        <f>InputData!$C$11</f>
        <v>0.02</v>
      </c>
      <c r="R183" s="160">
        <f>InputData!$C$12</f>
        <v>0.02</v>
      </c>
      <c r="S183" s="160">
        <f>InputData!$C$13</f>
        <v>0.9</v>
      </c>
      <c r="T183" s="116">
        <f>InputData!$C$88</f>
        <v>180000</v>
      </c>
      <c r="U183" s="116">
        <f>InputData!$C$81</f>
        <v>178500</v>
      </c>
      <c r="V183" s="116">
        <f>InputData!$C$82</f>
        <v>303960</v>
      </c>
      <c r="W183" s="116">
        <f>InputData!$C$84</f>
        <v>215220</v>
      </c>
      <c r="X183" s="116">
        <f>InputData!$C$85</f>
        <v>409020</v>
      </c>
      <c r="Y183" s="116">
        <f>InputData!$C$116</f>
        <v>140000</v>
      </c>
      <c r="Z183" s="160">
        <f>InputData!$E$13</f>
        <v>0</v>
      </c>
    </row>
    <row r="184" spans="1:26" x14ac:dyDescent="0.25">
      <c r="A184">
        <f>InputData!$K$1</f>
        <v>2013</v>
      </c>
      <c r="B184" t="str">
        <f>InputData!$G$1</f>
        <v>San Antonio, TX</v>
      </c>
      <c r="C184" t="s">
        <v>11</v>
      </c>
      <c r="D184" t="str">
        <f>Graph_IntMed!$I$6</f>
        <v>STD10r</v>
      </c>
      <c r="E184" t="str">
        <f t="shared" si="2"/>
        <v>Internal Medicine STD10r</v>
      </c>
      <c r="F184">
        <f>Graph_IntMed!$A9</f>
        <v>2015</v>
      </c>
      <c r="G184">
        <f>Graph_IntMed!$B9</f>
        <v>3</v>
      </c>
      <c r="H184" s="165">
        <f>Graph_IntMed!$I9</f>
        <v>-138541.19578403595</v>
      </c>
      <c r="I184" s="160">
        <f>InputData!$C$3</f>
        <v>0.02</v>
      </c>
      <c r="J184" s="160">
        <f>InputData!$C$4</f>
        <v>0.01</v>
      </c>
      <c r="K184" s="160">
        <f>InputData!$C$5</f>
        <v>0.01</v>
      </c>
      <c r="L184" s="160">
        <f>InputData!$C$6</f>
        <v>6.2100000000000002E-2</v>
      </c>
      <c r="M184" s="160">
        <f>InputData!$C$7</f>
        <v>0.03</v>
      </c>
      <c r="N184" s="160">
        <f>InputData!$C$8</f>
        <v>0.02</v>
      </c>
      <c r="O184" s="160">
        <f>InputData!$C$9</f>
        <v>0.06</v>
      </c>
      <c r="P184" s="160">
        <f>InputData!$C$10</f>
        <v>0.02</v>
      </c>
      <c r="Q184" s="160">
        <f>InputData!$C$11</f>
        <v>0.02</v>
      </c>
      <c r="R184" s="160">
        <f>InputData!$C$12</f>
        <v>0.02</v>
      </c>
      <c r="S184" s="160">
        <f>InputData!$C$13</f>
        <v>0.9</v>
      </c>
      <c r="T184" s="116">
        <f>InputData!$C$88</f>
        <v>180000</v>
      </c>
      <c r="U184" s="116">
        <f>InputData!$C$81</f>
        <v>178500</v>
      </c>
      <c r="V184" s="116">
        <f>InputData!$C$82</f>
        <v>303960</v>
      </c>
      <c r="W184" s="116">
        <f>InputData!$C$84</f>
        <v>215220</v>
      </c>
      <c r="X184" s="116">
        <f>InputData!$C$85</f>
        <v>409020</v>
      </c>
      <c r="Y184" s="116">
        <f>InputData!$C$116</f>
        <v>140000</v>
      </c>
      <c r="Z184" s="160">
        <f>InputData!$E$13</f>
        <v>0</v>
      </c>
    </row>
    <row r="185" spans="1:26" x14ac:dyDescent="0.25">
      <c r="A185">
        <f>InputData!$K$1</f>
        <v>2013</v>
      </c>
      <c r="B185" t="str">
        <f>InputData!$G$1</f>
        <v>San Antonio, TX</v>
      </c>
      <c r="C185" t="s">
        <v>11</v>
      </c>
      <c r="D185" t="str">
        <f>Graph_IntMed!$I$6</f>
        <v>STD10r</v>
      </c>
      <c r="E185" t="str">
        <f t="shared" si="2"/>
        <v>Internal Medicine STD10r</v>
      </c>
      <c r="F185">
        <f>Graph_IntMed!$A10</f>
        <v>2016</v>
      </c>
      <c r="G185">
        <f>Graph_IntMed!$B10</f>
        <v>4</v>
      </c>
      <c r="H185" s="165">
        <f>Graph_IntMed!$I10</f>
        <v>-190867.38028908212</v>
      </c>
      <c r="I185" s="160">
        <f>InputData!$C$3</f>
        <v>0.02</v>
      </c>
      <c r="J185" s="160">
        <f>InputData!$C$4</f>
        <v>0.01</v>
      </c>
      <c r="K185" s="160">
        <f>InputData!$C$5</f>
        <v>0.01</v>
      </c>
      <c r="L185" s="160">
        <f>InputData!$C$6</f>
        <v>6.2100000000000002E-2</v>
      </c>
      <c r="M185" s="160">
        <f>InputData!$C$7</f>
        <v>0.03</v>
      </c>
      <c r="N185" s="160">
        <f>InputData!$C$8</f>
        <v>0.02</v>
      </c>
      <c r="O185" s="160">
        <f>InputData!$C$9</f>
        <v>0.06</v>
      </c>
      <c r="P185" s="160">
        <f>InputData!$C$10</f>
        <v>0.02</v>
      </c>
      <c r="Q185" s="160">
        <f>InputData!$C$11</f>
        <v>0.02</v>
      </c>
      <c r="R185" s="160">
        <f>InputData!$C$12</f>
        <v>0.02</v>
      </c>
      <c r="S185" s="160">
        <f>InputData!$C$13</f>
        <v>0.9</v>
      </c>
      <c r="T185" s="116">
        <f>InputData!$C$88</f>
        <v>180000</v>
      </c>
      <c r="U185" s="116">
        <f>InputData!$C$81</f>
        <v>178500</v>
      </c>
      <c r="V185" s="116">
        <f>InputData!$C$82</f>
        <v>303960</v>
      </c>
      <c r="W185" s="116">
        <f>InputData!$C$84</f>
        <v>215220</v>
      </c>
      <c r="X185" s="116">
        <f>InputData!$C$85</f>
        <v>409020</v>
      </c>
      <c r="Y185" s="116">
        <f>InputData!$C$116</f>
        <v>140000</v>
      </c>
      <c r="Z185" s="160">
        <f>InputData!$E$13</f>
        <v>0</v>
      </c>
    </row>
    <row r="186" spans="1:26" x14ac:dyDescent="0.25">
      <c r="A186">
        <f>InputData!$K$1</f>
        <v>2013</v>
      </c>
      <c r="B186" t="str">
        <f>InputData!$G$1</f>
        <v>San Antonio, TX</v>
      </c>
      <c r="C186" t="s">
        <v>11</v>
      </c>
      <c r="D186" t="str">
        <f>Graph_IntMed!$I$6</f>
        <v>STD10r</v>
      </c>
      <c r="E186" t="str">
        <f t="shared" si="2"/>
        <v>Internal Medicine STD10r</v>
      </c>
      <c r="F186">
        <f>Graph_IntMed!$A11</f>
        <v>2017</v>
      </c>
      <c r="G186">
        <f>Graph_IntMed!$B11</f>
        <v>5</v>
      </c>
      <c r="H186" s="165">
        <f>Graph_IntMed!$I11</f>
        <v>-166943.9067383607</v>
      </c>
      <c r="I186" s="160">
        <f>InputData!$C$3</f>
        <v>0.02</v>
      </c>
      <c r="J186" s="160">
        <f>InputData!$C$4</f>
        <v>0.01</v>
      </c>
      <c r="K186" s="160">
        <f>InputData!$C$5</f>
        <v>0.01</v>
      </c>
      <c r="L186" s="160">
        <f>InputData!$C$6</f>
        <v>6.2100000000000002E-2</v>
      </c>
      <c r="M186" s="160">
        <f>InputData!$C$7</f>
        <v>0.03</v>
      </c>
      <c r="N186" s="160">
        <f>InputData!$C$8</f>
        <v>0.02</v>
      </c>
      <c r="O186" s="160">
        <f>InputData!$C$9</f>
        <v>0.06</v>
      </c>
      <c r="P186" s="160">
        <f>InputData!$C$10</f>
        <v>0.02</v>
      </c>
      <c r="Q186" s="160">
        <f>InputData!$C$11</f>
        <v>0.02</v>
      </c>
      <c r="R186" s="160">
        <f>InputData!$C$12</f>
        <v>0.02</v>
      </c>
      <c r="S186" s="160">
        <f>InputData!$C$13</f>
        <v>0.9</v>
      </c>
      <c r="T186" s="116">
        <f>InputData!$C$88</f>
        <v>180000</v>
      </c>
      <c r="U186" s="116">
        <f>InputData!$C$81</f>
        <v>178500</v>
      </c>
      <c r="V186" s="116">
        <f>InputData!$C$82</f>
        <v>303960</v>
      </c>
      <c r="W186" s="116">
        <f>InputData!$C$84</f>
        <v>215220</v>
      </c>
      <c r="X186" s="116">
        <f>InputData!$C$85</f>
        <v>409020</v>
      </c>
      <c r="Y186" s="116">
        <f>InputData!$C$116</f>
        <v>140000</v>
      </c>
      <c r="Z186" s="160">
        <f>InputData!$E$13</f>
        <v>0</v>
      </c>
    </row>
    <row r="187" spans="1:26" x14ac:dyDescent="0.25">
      <c r="A187">
        <f>InputData!$K$1</f>
        <v>2013</v>
      </c>
      <c r="B187" t="str">
        <f>InputData!$G$1</f>
        <v>San Antonio, TX</v>
      </c>
      <c r="C187" t="s">
        <v>11</v>
      </c>
      <c r="D187" t="str">
        <f>Graph_IntMed!$I$6</f>
        <v>STD10r</v>
      </c>
      <c r="E187" t="str">
        <f t="shared" si="2"/>
        <v>Internal Medicine STD10r</v>
      </c>
      <c r="F187">
        <f>Graph_IntMed!$A12</f>
        <v>2018</v>
      </c>
      <c r="G187">
        <f>Graph_IntMed!$B12</f>
        <v>6</v>
      </c>
      <c r="H187" s="165">
        <f>Graph_IntMed!$I12</f>
        <v>-153732.16164497906</v>
      </c>
      <c r="I187" s="160">
        <f>InputData!$C$3</f>
        <v>0.02</v>
      </c>
      <c r="J187" s="160">
        <f>InputData!$C$4</f>
        <v>0.01</v>
      </c>
      <c r="K187" s="160">
        <f>InputData!$C$5</f>
        <v>0.01</v>
      </c>
      <c r="L187" s="160">
        <f>InputData!$C$6</f>
        <v>6.2100000000000002E-2</v>
      </c>
      <c r="M187" s="160">
        <f>InputData!$C$7</f>
        <v>0.03</v>
      </c>
      <c r="N187" s="160">
        <f>InputData!$C$8</f>
        <v>0.02</v>
      </c>
      <c r="O187" s="160">
        <f>InputData!$C$9</f>
        <v>0.06</v>
      </c>
      <c r="P187" s="160">
        <f>InputData!$C$10</f>
        <v>0.02</v>
      </c>
      <c r="Q187" s="160">
        <f>InputData!$C$11</f>
        <v>0.02</v>
      </c>
      <c r="R187" s="160">
        <f>InputData!$C$12</f>
        <v>0.02</v>
      </c>
      <c r="S187" s="160">
        <f>InputData!$C$13</f>
        <v>0.9</v>
      </c>
      <c r="T187" s="116">
        <f>InputData!$C$88</f>
        <v>180000</v>
      </c>
      <c r="U187" s="116">
        <f>InputData!$C$81</f>
        <v>178500</v>
      </c>
      <c r="V187" s="116">
        <f>InputData!$C$82</f>
        <v>303960</v>
      </c>
      <c r="W187" s="116">
        <f>InputData!$C$84</f>
        <v>215220</v>
      </c>
      <c r="X187" s="116">
        <f>InputData!$C$85</f>
        <v>409020</v>
      </c>
      <c r="Y187" s="116">
        <f>InputData!$C$116</f>
        <v>140000</v>
      </c>
      <c r="Z187" s="160">
        <f>InputData!$E$13</f>
        <v>0</v>
      </c>
    </row>
    <row r="188" spans="1:26" x14ac:dyDescent="0.25">
      <c r="A188">
        <f>InputData!$K$1</f>
        <v>2013</v>
      </c>
      <c r="B188" t="str">
        <f>InputData!$G$1</f>
        <v>San Antonio, TX</v>
      </c>
      <c r="C188" t="s">
        <v>11</v>
      </c>
      <c r="D188" t="str">
        <f>Graph_IntMed!$I$6</f>
        <v>STD10r</v>
      </c>
      <c r="E188" t="str">
        <f t="shared" si="2"/>
        <v>Internal Medicine STD10r</v>
      </c>
      <c r="F188">
        <f>Graph_IntMed!$A13</f>
        <v>2019</v>
      </c>
      <c r="G188">
        <f>Graph_IntMed!$B13</f>
        <v>7</v>
      </c>
      <c r="H188" s="165">
        <f>Graph_IntMed!$I13</f>
        <v>-139317.43128811088</v>
      </c>
      <c r="I188" s="160">
        <f>InputData!$C$3</f>
        <v>0.02</v>
      </c>
      <c r="J188" s="160">
        <f>InputData!$C$4</f>
        <v>0.01</v>
      </c>
      <c r="K188" s="160">
        <f>InputData!$C$5</f>
        <v>0.01</v>
      </c>
      <c r="L188" s="160">
        <f>InputData!$C$6</f>
        <v>6.2100000000000002E-2</v>
      </c>
      <c r="M188" s="160">
        <f>InputData!$C$7</f>
        <v>0.03</v>
      </c>
      <c r="N188" s="160">
        <f>InputData!$C$8</f>
        <v>0.02</v>
      </c>
      <c r="O188" s="160">
        <f>InputData!$C$9</f>
        <v>0.06</v>
      </c>
      <c r="P188" s="160">
        <f>InputData!$C$10</f>
        <v>0.02</v>
      </c>
      <c r="Q188" s="160">
        <f>InputData!$C$11</f>
        <v>0.02</v>
      </c>
      <c r="R188" s="160">
        <f>InputData!$C$12</f>
        <v>0.02</v>
      </c>
      <c r="S188" s="160">
        <f>InputData!$C$13</f>
        <v>0.9</v>
      </c>
      <c r="T188" s="116">
        <f>InputData!$C$88</f>
        <v>180000</v>
      </c>
      <c r="U188" s="116">
        <f>InputData!$C$81</f>
        <v>178500</v>
      </c>
      <c r="V188" s="116">
        <f>InputData!$C$82</f>
        <v>303960</v>
      </c>
      <c r="W188" s="116">
        <f>InputData!$C$84</f>
        <v>215220</v>
      </c>
      <c r="X188" s="116">
        <f>InputData!$C$85</f>
        <v>409020</v>
      </c>
      <c r="Y188" s="116">
        <f>InputData!$C$116</f>
        <v>140000</v>
      </c>
      <c r="Z188" s="160">
        <f>InputData!$E$13</f>
        <v>0</v>
      </c>
    </row>
    <row r="189" spans="1:26" x14ac:dyDescent="0.25">
      <c r="A189">
        <f>InputData!$K$1</f>
        <v>2013</v>
      </c>
      <c r="B189" t="str">
        <f>InputData!$G$1</f>
        <v>San Antonio, TX</v>
      </c>
      <c r="C189" t="s">
        <v>11</v>
      </c>
      <c r="D189" t="str">
        <f>Graph_IntMed!$I$6</f>
        <v>STD10r</v>
      </c>
      <c r="E189" t="str">
        <f t="shared" si="2"/>
        <v>Internal Medicine STD10r</v>
      </c>
      <c r="F189">
        <f>Graph_IntMed!$A14</f>
        <v>2020</v>
      </c>
      <c r="G189">
        <f>Graph_IntMed!$B14</f>
        <v>8</v>
      </c>
      <c r="H189" s="165">
        <f>Graph_IntMed!$I14</f>
        <v>-56445.777537569098</v>
      </c>
      <c r="I189" s="160">
        <f>InputData!$C$3</f>
        <v>0.02</v>
      </c>
      <c r="J189" s="160">
        <f>InputData!$C$4</f>
        <v>0.01</v>
      </c>
      <c r="K189" s="160">
        <f>InputData!$C$5</f>
        <v>0.01</v>
      </c>
      <c r="L189" s="160">
        <f>InputData!$C$6</f>
        <v>6.2100000000000002E-2</v>
      </c>
      <c r="M189" s="160">
        <f>InputData!$C$7</f>
        <v>0.03</v>
      </c>
      <c r="N189" s="160">
        <f>InputData!$C$8</f>
        <v>0.02</v>
      </c>
      <c r="O189" s="160">
        <f>InputData!$C$9</f>
        <v>0.06</v>
      </c>
      <c r="P189" s="160">
        <f>InputData!$C$10</f>
        <v>0.02</v>
      </c>
      <c r="Q189" s="160">
        <f>InputData!$C$11</f>
        <v>0.02</v>
      </c>
      <c r="R189" s="160">
        <f>InputData!$C$12</f>
        <v>0.02</v>
      </c>
      <c r="S189" s="160">
        <f>InputData!$C$13</f>
        <v>0.9</v>
      </c>
      <c r="T189" s="116">
        <f>InputData!$C$88</f>
        <v>180000</v>
      </c>
      <c r="U189" s="116">
        <f>InputData!$C$81</f>
        <v>178500</v>
      </c>
      <c r="V189" s="116">
        <f>InputData!$C$82</f>
        <v>303960</v>
      </c>
      <c r="W189" s="116">
        <f>InputData!$C$84</f>
        <v>215220</v>
      </c>
      <c r="X189" s="116">
        <f>InputData!$C$85</f>
        <v>409020</v>
      </c>
      <c r="Y189" s="116">
        <f>InputData!$C$116</f>
        <v>140000</v>
      </c>
      <c r="Z189" s="160">
        <f>InputData!$E$13</f>
        <v>0</v>
      </c>
    </row>
    <row r="190" spans="1:26" x14ac:dyDescent="0.25">
      <c r="A190">
        <f>InputData!$K$1</f>
        <v>2013</v>
      </c>
      <c r="B190" t="str">
        <f>InputData!$G$1</f>
        <v>San Antonio, TX</v>
      </c>
      <c r="C190" t="s">
        <v>11</v>
      </c>
      <c r="D190" t="str">
        <f>Graph_IntMed!$I$6</f>
        <v>STD10r</v>
      </c>
      <c r="E190" t="str">
        <f t="shared" si="2"/>
        <v>Internal Medicine STD10r</v>
      </c>
      <c r="F190">
        <f>Graph_IntMed!$A15</f>
        <v>2021</v>
      </c>
      <c r="G190">
        <f>Graph_IntMed!$B15</f>
        <v>9</v>
      </c>
      <c r="H190" s="165">
        <f>Graph_IntMed!$I15</f>
        <v>25379.539375100256</v>
      </c>
      <c r="I190" s="160">
        <f>InputData!$C$3</f>
        <v>0.02</v>
      </c>
      <c r="J190" s="160">
        <f>InputData!$C$4</f>
        <v>0.01</v>
      </c>
      <c r="K190" s="160">
        <f>InputData!$C$5</f>
        <v>0.01</v>
      </c>
      <c r="L190" s="160">
        <f>InputData!$C$6</f>
        <v>6.2100000000000002E-2</v>
      </c>
      <c r="M190" s="160">
        <f>InputData!$C$7</f>
        <v>0.03</v>
      </c>
      <c r="N190" s="160">
        <f>InputData!$C$8</f>
        <v>0.02</v>
      </c>
      <c r="O190" s="160">
        <f>InputData!$C$9</f>
        <v>0.06</v>
      </c>
      <c r="P190" s="160">
        <f>InputData!$C$10</f>
        <v>0.02</v>
      </c>
      <c r="Q190" s="160">
        <f>InputData!$C$11</f>
        <v>0.02</v>
      </c>
      <c r="R190" s="160">
        <f>InputData!$C$12</f>
        <v>0.02</v>
      </c>
      <c r="S190" s="160">
        <f>InputData!$C$13</f>
        <v>0.9</v>
      </c>
      <c r="T190" s="116">
        <f>InputData!$C$88</f>
        <v>180000</v>
      </c>
      <c r="U190" s="116">
        <f>InputData!$C$81</f>
        <v>178500</v>
      </c>
      <c r="V190" s="116">
        <f>InputData!$C$82</f>
        <v>303960</v>
      </c>
      <c r="W190" s="116">
        <f>InputData!$C$84</f>
        <v>215220</v>
      </c>
      <c r="X190" s="116">
        <f>InputData!$C$85</f>
        <v>409020</v>
      </c>
      <c r="Y190" s="116">
        <f>InputData!$C$116</f>
        <v>140000</v>
      </c>
      <c r="Z190" s="160">
        <f>InputData!$E$13</f>
        <v>0</v>
      </c>
    </row>
    <row r="191" spans="1:26" x14ac:dyDescent="0.25">
      <c r="A191">
        <f>InputData!$K$1</f>
        <v>2013</v>
      </c>
      <c r="B191" t="str">
        <f>InputData!$G$1</f>
        <v>San Antonio, TX</v>
      </c>
      <c r="C191" t="s">
        <v>11</v>
      </c>
      <c r="D191" t="str">
        <f>Graph_IntMed!$I$6</f>
        <v>STD10r</v>
      </c>
      <c r="E191" t="str">
        <f t="shared" si="2"/>
        <v>Internal Medicine STD10r</v>
      </c>
      <c r="F191">
        <f>Graph_IntMed!$A16</f>
        <v>2022</v>
      </c>
      <c r="G191">
        <f>Graph_IntMed!$B16</f>
        <v>10</v>
      </c>
      <c r="H191" s="165">
        <f>Graph_IntMed!$I16</f>
        <v>106150.96773242716</v>
      </c>
      <c r="I191" s="160">
        <f>InputData!$C$3</f>
        <v>0.02</v>
      </c>
      <c r="J191" s="160">
        <f>InputData!$C$4</f>
        <v>0.01</v>
      </c>
      <c r="K191" s="160">
        <f>InputData!$C$5</f>
        <v>0.01</v>
      </c>
      <c r="L191" s="160">
        <f>InputData!$C$6</f>
        <v>6.2100000000000002E-2</v>
      </c>
      <c r="M191" s="160">
        <f>InputData!$C$7</f>
        <v>0.03</v>
      </c>
      <c r="N191" s="160">
        <f>InputData!$C$8</f>
        <v>0.02</v>
      </c>
      <c r="O191" s="160">
        <f>InputData!$C$9</f>
        <v>0.06</v>
      </c>
      <c r="P191" s="160">
        <f>InputData!$C$10</f>
        <v>0.02</v>
      </c>
      <c r="Q191" s="160">
        <f>InputData!$C$11</f>
        <v>0.02</v>
      </c>
      <c r="R191" s="160">
        <f>InputData!$C$12</f>
        <v>0.02</v>
      </c>
      <c r="S191" s="160">
        <f>InputData!$C$13</f>
        <v>0.9</v>
      </c>
      <c r="T191" s="116">
        <f>InputData!$C$88</f>
        <v>180000</v>
      </c>
      <c r="U191" s="116">
        <f>InputData!$C$81</f>
        <v>178500</v>
      </c>
      <c r="V191" s="116">
        <f>InputData!$C$82</f>
        <v>303960</v>
      </c>
      <c r="W191" s="116">
        <f>InputData!$C$84</f>
        <v>215220</v>
      </c>
      <c r="X191" s="116">
        <f>InputData!$C$85</f>
        <v>409020</v>
      </c>
      <c r="Y191" s="116">
        <f>InputData!$C$116</f>
        <v>140000</v>
      </c>
      <c r="Z191" s="160">
        <f>InputData!$E$13</f>
        <v>0</v>
      </c>
    </row>
    <row r="192" spans="1:26" x14ac:dyDescent="0.25">
      <c r="A192">
        <f>InputData!$K$1</f>
        <v>2013</v>
      </c>
      <c r="B192" t="str">
        <f>InputData!$G$1</f>
        <v>San Antonio, TX</v>
      </c>
      <c r="C192" t="s">
        <v>11</v>
      </c>
      <c r="D192" t="str">
        <f>Graph_IntMed!$I$6</f>
        <v>STD10r</v>
      </c>
      <c r="E192" t="str">
        <f t="shared" si="2"/>
        <v>Internal Medicine STD10r</v>
      </c>
      <c r="F192">
        <f>Graph_IntMed!$A17</f>
        <v>2023</v>
      </c>
      <c r="G192">
        <f>Graph_IntMed!$B17</f>
        <v>11</v>
      </c>
      <c r="H192" s="165">
        <f>Graph_IntMed!$I17</f>
        <v>185862.46159269992</v>
      </c>
      <c r="I192" s="160">
        <f>InputData!$C$3</f>
        <v>0.02</v>
      </c>
      <c r="J192" s="160">
        <f>InputData!$C$4</f>
        <v>0.01</v>
      </c>
      <c r="K192" s="160">
        <f>InputData!$C$5</f>
        <v>0.01</v>
      </c>
      <c r="L192" s="160">
        <f>InputData!$C$6</f>
        <v>6.2100000000000002E-2</v>
      </c>
      <c r="M192" s="160">
        <f>InputData!$C$7</f>
        <v>0.03</v>
      </c>
      <c r="N192" s="160">
        <f>InputData!$C$8</f>
        <v>0.02</v>
      </c>
      <c r="O192" s="160">
        <f>InputData!$C$9</f>
        <v>0.06</v>
      </c>
      <c r="P192" s="160">
        <f>InputData!$C$10</f>
        <v>0.02</v>
      </c>
      <c r="Q192" s="160">
        <f>InputData!$C$11</f>
        <v>0.02</v>
      </c>
      <c r="R192" s="160">
        <f>InputData!$C$12</f>
        <v>0.02</v>
      </c>
      <c r="S192" s="160">
        <f>InputData!$C$13</f>
        <v>0.9</v>
      </c>
      <c r="T192" s="116">
        <f>InputData!$C$88</f>
        <v>180000</v>
      </c>
      <c r="U192" s="116">
        <f>InputData!$C$81</f>
        <v>178500</v>
      </c>
      <c r="V192" s="116">
        <f>InputData!$C$82</f>
        <v>303960</v>
      </c>
      <c r="W192" s="116">
        <f>InputData!$C$84</f>
        <v>215220</v>
      </c>
      <c r="X192" s="116">
        <f>InputData!$C$85</f>
        <v>409020</v>
      </c>
      <c r="Y192" s="116">
        <f>InputData!$C$116</f>
        <v>140000</v>
      </c>
      <c r="Z192" s="160">
        <f>InputData!$E$13</f>
        <v>0</v>
      </c>
    </row>
    <row r="193" spans="1:26" x14ac:dyDescent="0.25">
      <c r="A193">
        <f>InputData!$K$1</f>
        <v>2013</v>
      </c>
      <c r="B193" t="str">
        <f>InputData!$G$1</f>
        <v>San Antonio, TX</v>
      </c>
      <c r="C193" t="s">
        <v>11</v>
      </c>
      <c r="D193" t="str">
        <f>Graph_IntMed!$I$6</f>
        <v>STD10r</v>
      </c>
      <c r="E193" t="str">
        <f t="shared" si="2"/>
        <v>Internal Medicine STD10r</v>
      </c>
      <c r="F193">
        <f>Graph_IntMed!$A18</f>
        <v>2024</v>
      </c>
      <c r="G193">
        <f>Graph_IntMed!$B18</f>
        <v>12</v>
      </c>
      <c r="H193" s="165">
        <f>Graph_IntMed!$I18</f>
        <v>264509.38570331881</v>
      </c>
      <c r="I193" s="160">
        <f>InputData!$C$3</f>
        <v>0.02</v>
      </c>
      <c r="J193" s="160">
        <f>InputData!$C$4</f>
        <v>0.01</v>
      </c>
      <c r="K193" s="160">
        <f>InputData!$C$5</f>
        <v>0.01</v>
      </c>
      <c r="L193" s="160">
        <f>InputData!$C$6</f>
        <v>6.2100000000000002E-2</v>
      </c>
      <c r="M193" s="160">
        <f>InputData!$C$7</f>
        <v>0.03</v>
      </c>
      <c r="N193" s="160">
        <f>InputData!$C$8</f>
        <v>0.02</v>
      </c>
      <c r="O193" s="160">
        <f>InputData!$C$9</f>
        <v>0.06</v>
      </c>
      <c r="P193" s="160">
        <f>InputData!$C$10</f>
        <v>0.02</v>
      </c>
      <c r="Q193" s="160">
        <f>InputData!$C$11</f>
        <v>0.02</v>
      </c>
      <c r="R193" s="160">
        <f>InputData!$C$12</f>
        <v>0.02</v>
      </c>
      <c r="S193" s="160">
        <f>InputData!$C$13</f>
        <v>0.9</v>
      </c>
      <c r="T193" s="116">
        <f>InputData!$C$88</f>
        <v>180000</v>
      </c>
      <c r="U193" s="116">
        <f>InputData!$C$81</f>
        <v>178500</v>
      </c>
      <c r="V193" s="116">
        <f>InputData!$C$82</f>
        <v>303960</v>
      </c>
      <c r="W193" s="116">
        <f>InputData!$C$84</f>
        <v>215220</v>
      </c>
      <c r="X193" s="116">
        <f>InputData!$C$85</f>
        <v>409020</v>
      </c>
      <c r="Y193" s="116">
        <f>InputData!$C$116</f>
        <v>140000</v>
      </c>
      <c r="Z193" s="160">
        <f>InputData!$E$13</f>
        <v>0</v>
      </c>
    </row>
    <row r="194" spans="1:26" x14ac:dyDescent="0.25">
      <c r="A194">
        <f>InputData!$K$1</f>
        <v>2013</v>
      </c>
      <c r="B194" t="str">
        <f>InputData!$G$1</f>
        <v>San Antonio, TX</v>
      </c>
      <c r="C194" t="s">
        <v>11</v>
      </c>
      <c r="D194" t="str">
        <f>Graph_IntMed!$I$6</f>
        <v>STD10r</v>
      </c>
      <c r="E194" t="str">
        <f t="shared" si="2"/>
        <v>Internal Medicine STD10r</v>
      </c>
      <c r="F194">
        <f>Graph_IntMed!$A19</f>
        <v>2025</v>
      </c>
      <c r="G194">
        <f>Graph_IntMed!$B19</f>
        <v>13</v>
      </c>
      <c r="H194" s="165">
        <f>Graph_IntMed!$I19</f>
        <v>342088.42544120597</v>
      </c>
      <c r="I194" s="160">
        <f>InputData!$C$3</f>
        <v>0.02</v>
      </c>
      <c r="J194" s="160">
        <f>InputData!$C$4</f>
        <v>0.01</v>
      </c>
      <c r="K194" s="160">
        <f>InputData!$C$5</f>
        <v>0.01</v>
      </c>
      <c r="L194" s="160">
        <f>InputData!$C$6</f>
        <v>6.2100000000000002E-2</v>
      </c>
      <c r="M194" s="160">
        <f>InputData!$C$7</f>
        <v>0.03</v>
      </c>
      <c r="N194" s="160">
        <f>InputData!$C$8</f>
        <v>0.02</v>
      </c>
      <c r="O194" s="160">
        <f>InputData!$C$9</f>
        <v>0.06</v>
      </c>
      <c r="P194" s="160">
        <f>InputData!$C$10</f>
        <v>0.02</v>
      </c>
      <c r="Q194" s="160">
        <f>InputData!$C$11</f>
        <v>0.02</v>
      </c>
      <c r="R194" s="160">
        <f>InputData!$C$12</f>
        <v>0.02</v>
      </c>
      <c r="S194" s="160">
        <f>InputData!$C$13</f>
        <v>0.9</v>
      </c>
      <c r="T194" s="116">
        <f>InputData!$C$88</f>
        <v>180000</v>
      </c>
      <c r="U194" s="116">
        <f>InputData!$C$81</f>
        <v>178500</v>
      </c>
      <c r="V194" s="116">
        <f>InputData!$C$82</f>
        <v>303960</v>
      </c>
      <c r="W194" s="116">
        <f>InputData!$C$84</f>
        <v>215220</v>
      </c>
      <c r="X194" s="116">
        <f>InputData!$C$85</f>
        <v>409020</v>
      </c>
      <c r="Y194" s="116">
        <f>InputData!$C$116</f>
        <v>140000</v>
      </c>
      <c r="Z194" s="160">
        <f>InputData!$E$13</f>
        <v>0</v>
      </c>
    </row>
    <row r="195" spans="1:26" x14ac:dyDescent="0.25">
      <c r="A195">
        <f>InputData!$K$1</f>
        <v>2013</v>
      </c>
      <c r="B195" t="str">
        <f>InputData!$G$1</f>
        <v>San Antonio, TX</v>
      </c>
      <c r="C195" t="s">
        <v>11</v>
      </c>
      <c r="D195" t="str">
        <f>Graph_IntMed!$I$6</f>
        <v>STD10r</v>
      </c>
      <c r="E195" t="str">
        <f t="shared" ref="E195:E258" si="3">C195 &amp; " " &amp; D195</f>
        <v>Internal Medicine STD10r</v>
      </c>
      <c r="F195">
        <f>Graph_IntMed!$A20</f>
        <v>2026</v>
      </c>
      <c r="G195">
        <f>Graph_IntMed!$B20</f>
        <v>14</v>
      </c>
      <c r="H195" s="165">
        <f>Graph_IntMed!$I20</f>
        <v>418597.50152923632</v>
      </c>
      <c r="I195" s="160">
        <f>InputData!$C$3</f>
        <v>0.02</v>
      </c>
      <c r="J195" s="160">
        <f>InputData!$C$4</f>
        <v>0.01</v>
      </c>
      <c r="K195" s="160">
        <f>InputData!$C$5</f>
        <v>0.01</v>
      </c>
      <c r="L195" s="160">
        <f>InputData!$C$6</f>
        <v>6.2100000000000002E-2</v>
      </c>
      <c r="M195" s="160">
        <f>InputData!$C$7</f>
        <v>0.03</v>
      </c>
      <c r="N195" s="160">
        <f>InputData!$C$8</f>
        <v>0.02</v>
      </c>
      <c r="O195" s="160">
        <f>InputData!$C$9</f>
        <v>0.06</v>
      </c>
      <c r="P195" s="160">
        <f>InputData!$C$10</f>
        <v>0.02</v>
      </c>
      <c r="Q195" s="160">
        <f>InputData!$C$11</f>
        <v>0.02</v>
      </c>
      <c r="R195" s="160">
        <f>InputData!$C$12</f>
        <v>0.02</v>
      </c>
      <c r="S195" s="160">
        <f>InputData!$C$13</f>
        <v>0.9</v>
      </c>
      <c r="T195" s="116">
        <f>InputData!$C$88</f>
        <v>180000</v>
      </c>
      <c r="U195" s="116">
        <f>InputData!$C$81</f>
        <v>178500</v>
      </c>
      <c r="V195" s="116">
        <f>InputData!$C$82</f>
        <v>303960</v>
      </c>
      <c r="W195" s="116">
        <f>InputData!$C$84</f>
        <v>215220</v>
      </c>
      <c r="X195" s="116">
        <f>InputData!$C$85</f>
        <v>409020</v>
      </c>
      <c r="Y195" s="116">
        <f>InputData!$C$116</f>
        <v>140000</v>
      </c>
      <c r="Z195" s="160">
        <f>InputData!$E$13</f>
        <v>0</v>
      </c>
    </row>
    <row r="196" spans="1:26" x14ac:dyDescent="0.25">
      <c r="A196">
        <f>InputData!$K$1</f>
        <v>2013</v>
      </c>
      <c r="B196" t="str">
        <f>InputData!$G$1</f>
        <v>San Antonio, TX</v>
      </c>
      <c r="C196" t="s">
        <v>11</v>
      </c>
      <c r="D196" t="str">
        <f>Graph_IntMed!$I$6</f>
        <v>STD10r</v>
      </c>
      <c r="E196" t="str">
        <f t="shared" si="3"/>
        <v>Internal Medicine STD10r</v>
      </c>
      <c r="F196">
        <f>Graph_IntMed!$A21</f>
        <v>2027</v>
      </c>
      <c r="G196">
        <f>Graph_IntMed!$B21</f>
        <v>15</v>
      </c>
      <c r="H196" s="165">
        <f>Graph_IntMed!$I21</f>
        <v>501279.62493496819</v>
      </c>
      <c r="I196" s="160">
        <f>InputData!$C$3</f>
        <v>0.02</v>
      </c>
      <c r="J196" s="160">
        <f>InputData!$C$4</f>
        <v>0.01</v>
      </c>
      <c r="K196" s="160">
        <f>InputData!$C$5</f>
        <v>0.01</v>
      </c>
      <c r="L196" s="160">
        <f>InputData!$C$6</f>
        <v>6.2100000000000002E-2</v>
      </c>
      <c r="M196" s="160">
        <f>InputData!$C$7</f>
        <v>0.03</v>
      </c>
      <c r="N196" s="160">
        <f>InputData!$C$8</f>
        <v>0.02</v>
      </c>
      <c r="O196" s="160">
        <f>InputData!$C$9</f>
        <v>0.06</v>
      </c>
      <c r="P196" s="160">
        <f>InputData!$C$10</f>
        <v>0.02</v>
      </c>
      <c r="Q196" s="160">
        <f>InputData!$C$11</f>
        <v>0.02</v>
      </c>
      <c r="R196" s="160">
        <f>InputData!$C$12</f>
        <v>0.02</v>
      </c>
      <c r="S196" s="160">
        <f>InputData!$C$13</f>
        <v>0.9</v>
      </c>
      <c r="T196" s="116">
        <f>InputData!$C$88</f>
        <v>180000</v>
      </c>
      <c r="U196" s="116">
        <f>InputData!$C$81</f>
        <v>178500</v>
      </c>
      <c r="V196" s="116">
        <f>InputData!$C$82</f>
        <v>303960</v>
      </c>
      <c r="W196" s="116">
        <f>InputData!$C$84</f>
        <v>215220</v>
      </c>
      <c r="X196" s="116">
        <f>InputData!$C$85</f>
        <v>409020</v>
      </c>
      <c r="Y196" s="116">
        <f>InputData!$C$116</f>
        <v>140000</v>
      </c>
      <c r="Z196" s="160">
        <f>InputData!$E$13</f>
        <v>0</v>
      </c>
    </row>
    <row r="197" spans="1:26" x14ac:dyDescent="0.25">
      <c r="A197">
        <f>InputData!$K$1</f>
        <v>2013</v>
      </c>
      <c r="B197" t="str">
        <f>InputData!$G$1</f>
        <v>San Antonio, TX</v>
      </c>
      <c r="C197" t="s">
        <v>11</v>
      </c>
      <c r="D197" t="str">
        <f>Graph_IntMed!$I$6</f>
        <v>STD10r</v>
      </c>
      <c r="E197" t="str">
        <f t="shared" si="3"/>
        <v>Internal Medicine STD10r</v>
      </c>
      <c r="F197">
        <f>Graph_IntMed!$A22</f>
        <v>2028</v>
      </c>
      <c r="G197">
        <f>Graph_IntMed!$B22</f>
        <v>16</v>
      </c>
      <c r="H197" s="165">
        <f>Graph_IntMed!$I22</f>
        <v>589431.49917268381</v>
      </c>
      <c r="I197" s="160">
        <f>InputData!$C$3</f>
        <v>0.02</v>
      </c>
      <c r="J197" s="160">
        <f>InputData!$C$4</f>
        <v>0.01</v>
      </c>
      <c r="K197" s="160">
        <f>InputData!$C$5</f>
        <v>0.01</v>
      </c>
      <c r="L197" s="160">
        <f>InputData!$C$6</f>
        <v>6.2100000000000002E-2</v>
      </c>
      <c r="M197" s="160">
        <f>InputData!$C$7</f>
        <v>0.03</v>
      </c>
      <c r="N197" s="160">
        <f>InputData!$C$8</f>
        <v>0.02</v>
      </c>
      <c r="O197" s="160">
        <f>InputData!$C$9</f>
        <v>0.06</v>
      </c>
      <c r="P197" s="160">
        <f>InputData!$C$10</f>
        <v>0.02</v>
      </c>
      <c r="Q197" s="160">
        <f>InputData!$C$11</f>
        <v>0.02</v>
      </c>
      <c r="R197" s="160">
        <f>InputData!$C$12</f>
        <v>0.02</v>
      </c>
      <c r="S197" s="160">
        <f>InputData!$C$13</f>
        <v>0.9</v>
      </c>
      <c r="T197" s="116">
        <f>InputData!$C$88</f>
        <v>180000</v>
      </c>
      <c r="U197" s="116">
        <f>InputData!$C$81</f>
        <v>178500</v>
      </c>
      <c r="V197" s="116">
        <f>InputData!$C$82</f>
        <v>303960</v>
      </c>
      <c r="W197" s="116">
        <f>InputData!$C$84</f>
        <v>215220</v>
      </c>
      <c r="X197" s="116">
        <f>InputData!$C$85</f>
        <v>409020</v>
      </c>
      <c r="Y197" s="116">
        <f>InputData!$C$116</f>
        <v>140000</v>
      </c>
      <c r="Z197" s="160">
        <f>InputData!$E$13</f>
        <v>0</v>
      </c>
    </row>
    <row r="198" spans="1:26" x14ac:dyDescent="0.25">
      <c r="A198">
        <f>InputData!$K$1</f>
        <v>2013</v>
      </c>
      <c r="B198" t="str">
        <f>InputData!$G$1</f>
        <v>San Antonio, TX</v>
      </c>
      <c r="C198" t="s">
        <v>11</v>
      </c>
      <c r="D198" t="str">
        <f>Graph_IntMed!$I$6</f>
        <v>STD10r</v>
      </c>
      <c r="E198" t="str">
        <f t="shared" si="3"/>
        <v>Internal Medicine STD10r</v>
      </c>
      <c r="F198">
        <f>Graph_IntMed!$A23</f>
        <v>2029</v>
      </c>
      <c r="G198">
        <f>Graph_IntMed!$B23</f>
        <v>17</v>
      </c>
      <c r="H198" s="165">
        <f>Graph_IntMed!$I23</f>
        <v>675788.72220988013</v>
      </c>
      <c r="I198" s="160">
        <f>InputData!$C$3</f>
        <v>0.02</v>
      </c>
      <c r="J198" s="160">
        <f>InputData!$C$4</f>
        <v>0.01</v>
      </c>
      <c r="K198" s="160">
        <f>InputData!$C$5</f>
        <v>0.01</v>
      </c>
      <c r="L198" s="160">
        <f>InputData!$C$6</f>
        <v>6.2100000000000002E-2</v>
      </c>
      <c r="M198" s="160">
        <f>InputData!$C$7</f>
        <v>0.03</v>
      </c>
      <c r="N198" s="160">
        <f>InputData!$C$8</f>
        <v>0.02</v>
      </c>
      <c r="O198" s="160">
        <f>InputData!$C$9</f>
        <v>0.06</v>
      </c>
      <c r="P198" s="160">
        <f>InputData!$C$10</f>
        <v>0.02</v>
      </c>
      <c r="Q198" s="160">
        <f>InputData!$C$11</f>
        <v>0.02</v>
      </c>
      <c r="R198" s="160">
        <f>InputData!$C$12</f>
        <v>0.02</v>
      </c>
      <c r="S198" s="160">
        <f>InputData!$C$13</f>
        <v>0.9</v>
      </c>
      <c r="T198" s="116">
        <f>InputData!$C$88</f>
        <v>180000</v>
      </c>
      <c r="U198" s="116">
        <f>InputData!$C$81</f>
        <v>178500</v>
      </c>
      <c r="V198" s="116">
        <f>InputData!$C$82</f>
        <v>303960</v>
      </c>
      <c r="W198" s="116">
        <f>InputData!$C$84</f>
        <v>215220</v>
      </c>
      <c r="X198" s="116">
        <f>InputData!$C$85</f>
        <v>409020</v>
      </c>
      <c r="Y198" s="116">
        <f>InputData!$C$116</f>
        <v>140000</v>
      </c>
      <c r="Z198" s="160">
        <f>InputData!$E$13</f>
        <v>0</v>
      </c>
    </row>
    <row r="199" spans="1:26" x14ac:dyDescent="0.25">
      <c r="A199">
        <f>InputData!$K$1</f>
        <v>2013</v>
      </c>
      <c r="B199" t="str">
        <f>InputData!$G$1</f>
        <v>San Antonio, TX</v>
      </c>
      <c r="C199" t="s">
        <v>11</v>
      </c>
      <c r="D199" t="str">
        <f>Graph_IntMed!$I$6</f>
        <v>STD10r</v>
      </c>
      <c r="E199" t="str">
        <f t="shared" si="3"/>
        <v>Internal Medicine STD10r</v>
      </c>
      <c r="F199">
        <f>Graph_IntMed!$A24</f>
        <v>2030</v>
      </c>
      <c r="G199">
        <f>Graph_IntMed!$B24</f>
        <v>18</v>
      </c>
      <c r="H199" s="165">
        <f>Graph_IntMed!$I24</f>
        <v>760388.41094825533</v>
      </c>
      <c r="I199" s="160">
        <f>InputData!$C$3</f>
        <v>0.02</v>
      </c>
      <c r="J199" s="160">
        <f>InputData!$C$4</f>
        <v>0.01</v>
      </c>
      <c r="K199" s="160">
        <f>InputData!$C$5</f>
        <v>0.01</v>
      </c>
      <c r="L199" s="160">
        <f>InputData!$C$6</f>
        <v>6.2100000000000002E-2</v>
      </c>
      <c r="M199" s="160">
        <f>InputData!$C$7</f>
        <v>0.03</v>
      </c>
      <c r="N199" s="160">
        <f>InputData!$C$8</f>
        <v>0.02</v>
      </c>
      <c r="O199" s="160">
        <f>InputData!$C$9</f>
        <v>0.06</v>
      </c>
      <c r="P199" s="160">
        <f>InputData!$C$10</f>
        <v>0.02</v>
      </c>
      <c r="Q199" s="160">
        <f>InputData!$C$11</f>
        <v>0.02</v>
      </c>
      <c r="R199" s="160">
        <f>InputData!$C$12</f>
        <v>0.02</v>
      </c>
      <c r="S199" s="160">
        <f>InputData!$C$13</f>
        <v>0.9</v>
      </c>
      <c r="T199" s="116">
        <f>InputData!$C$88</f>
        <v>180000</v>
      </c>
      <c r="U199" s="116">
        <f>InputData!$C$81</f>
        <v>178500</v>
      </c>
      <c r="V199" s="116">
        <f>InputData!$C$82</f>
        <v>303960</v>
      </c>
      <c r="W199" s="116">
        <f>InputData!$C$84</f>
        <v>215220</v>
      </c>
      <c r="X199" s="116">
        <f>InputData!$C$85</f>
        <v>409020</v>
      </c>
      <c r="Y199" s="116">
        <f>InputData!$C$116</f>
        <v>140000</v>
      </c>
      <c r="Z199" s="160">
        <f>InputData!$E$13</f>
        <v>0</v>
      </c>
    </row>
    <row r="200" spans="1:26" x14ac:dyDescent="0.25">
      <c r="A200">
        <f>InputData!$K$1</f>
        <v>2013</v>
      </c>
      <c r="B200" t="str">
        <f>InputData!$G$1</f>
        <v>San Antonio, TX</v>
      </c>
      <c r="C200" t="s">
        <v>11</v>
      </c>
      <c r="D200" t="str">
        <f>Graph_IntMed!$I$6</f>
        <v>STD10r</v>
      </c>
      <c r="E200" t="str">
        <f t="shared" si="3"/>
        <v>Internal Medicine STD10r</v>
      </c>
      <c r="F200">
        <f>Graph_IntMed!$A25</f>
        <v>2031</v>
      </c>
      <c r="G200">
        <f>Graph_IntMed!$B25</f>
        <v>19</v>
      </c>
      <c r="H200" s="165">
        <f>Graph_IntMed!$I25</f>
        <v>843266.89836161223</v>
      </c>
      <c r="I200" s="160">
        <f>InputData!$C$3</f>
        <v>0.02</v>
      </c>
      <c r="J200" s="160">
        <f>InputData!$C$4</f>
        <v>0.01</v>
      </c>
      <c r="K200" s="160">
        <f>InputData!$C$5</f>
        <v>0.01</v>
      </c>
      <c r="L200" s="160">
        <f>InputData!$C$6</f>
        <v>6.2100000000000002E-2</v>
      </c>
      <c r="M200" s="160">
        <f>InputData!$C$7</f>
        <v>0.03</v>
      </c>
      <c r="N200" s="160">
        <f>InputData!$C$8</f>
        <v>0.02</v>
      </c>
      <c r="O200" s="160">
        <f>InputData!$C$9</f>
        <v>0.06</v>
      </c>
      <c r="P200" s="160">
        <f>InputData!$C$10</f>
        <v>0.02</v>
      </c>
      <c r="Q200" s="160">
        <f>InputData!$C$11</f>
        <v>0.02</v>
      </c>
      <c r="R200" s="160">
        <f>InputData!$C$12</f>
        <v>0.02</v>
      </c>
      <c r="S200" s="160">
        <f>InputData!$C$13</f>
        <v>0.9</v>
      </c>
      <c r="T200" s="116">
        <f>InputData!$C$88</f>
        <v>180000</v>
      </c>
      <c r="U200" s="116">
        <f>InputData!$C$81</f>
        <v>178500</v>
      </c>
      <c r="V200" s="116">
        <f>InputData!$C$82</f>
        <v>303960</v>
      </c>
      <c r="W200" s="116">
        <f>InputData!$C$84</f>
        <v>215220</v>
      </c>
      <c r="X200" s="116">
        <f>InputData!$C$85</f>
        <v>409020</v>
      </c>
      <c r="Y200" s="116">
        <f>InputData!$C$116</f>
        <v>140000</v>
      </c>
      <c r="Z200" s="160">
        <f>InputData!$E$13</f>
        <v>0</v>
      </c>
    </row>
    <row r="201" spans="1:26" x14ac:dyDescent="0.25">
      <c r="A201">
        <f>InputData!$K$1</f>
        <v>2013</v>
      </c>
      <c r="B201" t="str">
        <f>InputData!$G$1</f>
        <v>San Antonio, TX</v>
      </c>
      <c r="C201" t="s">
        <v>11</v>
      </c>
      <c r="D201" t="str">
        <f>Graph_IntMed!$I$6</f>
        <v>STD10r</v>
      </c>
      <c r="E201" t="str">
        <f t="shared" si="3"/>
        <v>Internal Medicine STD10r</v>
      </c>
      <c r="F201">
        <f>Graph_IntMed!$A26</f>
        <v>2032</v>
      </c>
      <c r="G201">
        <f>Graph_IntMed!$B26</f>
        <v>20</v>
      </c>
      <c r="H201" s="165">
        <f>Graph_IntMed!$I26</f>
        <v>924459.75050229987</v>
      </c>
      <c r="I201" s="160">
        <f>InputData!$C$3</f>
        <v>0.02</v>
      </c>
      <c r="J201" s="160">
        <f>InputData!$C$4</f>
        <v>0.01</v>
      </c>
      <c r="K201" s="160">
        <f>InputData!$C$5</f>
        <v>0.01</v>
      </c>
      <c r="L201" s="160">
        <f>InputData!$C$6</f>
        <v>6.2100000000000002E-2</v>
      </c>
      <c r="M201" s="160">
        <f>InputData!$C$7</f>
        <v>0.03</v>
      </c>
      <c r="N201" s="160">
        <f>InputData!$C$8</f>
        <v>0.02</v>
      </c>
      <c r="O201" s="160">
        <f>InputData!$C$9</f>
        <v>0.06</v>
      </c>
      <c r="P201" s="160">
        <f>InputData!$C$10</f>
        <v>0.02</v>
      </c>
      <c r="Q201" s="160">
        <f>InputData!$C$11</f>
        <v>0.02</v>
      </c>
      <c r="R201" s="160">
        <f>InputData!$C$12</f>
        <v>0.02</v>
      </c>
      <c r="S201" s="160">
        <f>InputData!$C$13</f>
        <v>0.9</v>
      </c>
      <c r="T201" s="116">
        <f>InputData!$C$88</f>
        <v>180000</v>
      </c>
      <c r="U201" s="116">
        <f>InputData!$C$81</f>
        <v>178500</v>
      </c>
      <c r="V201" s="116">
        <f>InputData!$C$82</f>
        <v>303960</v>
      </c>
      <c r="W201" s="116">
        <f>InputData!$C$84</f>
        <v>215220</v>
      </c>
      <c r="X201" s="116">
        <f>InputData!$C$85</f>
        <v>409020</v>
      </c>
      <c r="Y201" s="116">
        <f>InputData!$C$116</f>
        <v>140000</v>
      </c>
      <c r="Z201" s="160">
        <f>InputData!$E$13</f>
        <v>0</v>
      </c>
    </row>
    <row r="202" spans="1:26" x14ac:dyDescent="0.25">
      <c r="A202">
        <f>InputData!$K$1</f>
        <v>2013</v>
      </c>
      <c r="B202" t="str">
        <f>InputData!$G$1</f>
        <v>San Antonio, TX</v>
      </c>
      <c r="C202" t="s">
        <v>11</v>
      </c>
      <c r="D202" t="str">
        <f>Graph_IntMed!$I$6</f>
        <v>STD10r</v>
      </c>
      <c r="E202" t="str">
        <f t="shared" si="3"/>
        <v>Internal Medicine STD10r</v>
      </c>
      <c r="F202">
        <f>Graph_IntMed!$A27</f>
        <v>2033</v>
      </c>
      <c r="G202">
        <f>Graph_IntMed!$B27</f>
        <v>21</v>
      </c>
      <c r="H202" s="165">
        <f>Graph_IntMed!$I27</f>
        <v>1004001.7831265648</v>
      </c>
      <c r="I202" s="160">
        <f>InputData!$C$3</f>
        <v>0.02</v>
      </c>
      <c r="J202" s="160">
        <f>InputData!$C$4</f>
        <v>0.01</v>
      </c>
      <c r="K202" s="160">
        <f>InputData!$C$5</f>
        <v>0.01</v>
      </c>
      <c r="L202" s="160">
        <f>InputData!$C$6</f>
        <v>6.2100000000000002E-2</v>
      </c>
      <c r="M202" s="160">
        <f>InputData!$C$7</f>
        <v>0.03</v>
      </c>
      <c r="N202" s="160">
        <f>InputData!$C$8</f>
        <v>0.02</v>
      </c>
      <c r="O202" s="160">
        <f>InputData!$C$9</f>
        <v>0.06</v>
      </c>
      <c r="P202" s="160">
        <f>InputData!$C$10</f>
        <v>0.02</v>
      </c>
      <c r="Q202" s="160">
        <f>InputData!$C$11</f>
        <v>0.02</v>
      </c>
      <c r="R202" s="160">
        <f>InputData!$C$12</f>
        <v>0.02</v>
      </c>
      <c r="S202" s="160">
        <f>InputData!$C$13</f>
        <v>0.9</v>
      </c>
      <c r="T202" s="116">
        <f>InputData!$C$88</f>
        <v>180000</v>
      </c>
      <c r="U202" s="116">
        <f>InputData!$C$81</f>
        <v>178500</v>
      </c>
      <c r="V202" s="116">
        <f>InputData!$C$82</f>
        <v>303960</v>
      </c>
      <c r="W202" s="116">
        <f>InputData!$C$84</f>
        <v>215220</v>
      </c>
      <c r="X202" s="116">
        <f>InputData!$C$85</f>
        <v>409020</v>
      </c>
      <c r="Y202" s="116">
        <f>InputData!$C$116</f>
        <v>140000</v>
      </c>
      <c r="Z202" s="160">
        <f>InputData!$E$13</f>
        <v>0</v>
      </c>
    </row>
    <row r="203" spans="1:26" x14ac:dyDescent="0.25">
      <c r="A203">
        <f>InputData!$K$1</f>
        <v>2013</v>
      </c>
      <c r="B203" t="str">
        <f>InputData!$G$1</f>
        <v>San Antonio, TX</v>
      </c>
      <c r="C203" t="s">
        <v>11</v>
      </c>
      <c r="D203" t="str">
        <f>Graph_IntMed!$I$6</f>
        <v>STD10r</v>
      </c>
      <c r="E203" t="str">
        <f t="shared" si="3"/>
        <v>Internal Medicine STD10r</v>
      </c>
      <c r="F203">
        <f>Graph_IntMed!$A28</f>
        <v>2034</v>
      </c>
      <c r="G203">
        <f>Graph_IntMed!$B28</f>
        <v>22</v>
      </c>
      <c r="H203" s="165">
        <f>Graph_IntMed!$I28</f>
        <v>1081927.0779476722</v>
      </c>
      <c r="I203" s="160">
        <f>InputData!$C$3</f>
        <v>0.02</v>
      </c>
      <c r="J203" s="160">
        <f>InputData!$C$4</f>
        <v>0.01</v>
      </c>
      <c r="K203" s="160">
        <f>InputData!$C$5</f>
        <v>0.01</v>
      </c>
      <c r="L203" s="160">
        <f>InputData!$C$6</f>
        <v>6.2100000000000002E-2</v>
      </c>
      <c r="M203" s="160">
        <f>InputData!$C$7</f>
        <v>0.03</v>
      </c>
      <c r="N203" s="160">
        <f>InputData!$C$8</f>
        <v>0.02</v>
      </c>
      <c r="O203" s="160">
        <f>InputData!$C$9</f>
        <v>0.06</v>
      </c>
      <c r="P203" s="160">
        <f>InputData!$C$10</f>
        <v>0.02</v>
      </c>
      <c r="Q203" s="160">
        <f>InputData!$C$11</f>
        <v>0.02</v>
      </c>
      <c r="R203" s="160">
        <f>InputData!$C$12</f>
        <v>0.02</v>
      </c>
      <c r="S203" s="160">
        <f>InputData!$C$13</f>
        <v>0.9</v>
      </c>
      <c r="T203" s="116">
        <f>InputData!$C$88</f>
        <v>180000</v>
      </c>
      <c r="U203" s="116">
        <f>InputData!$C$81</f>
        <v>178500</v>
      </c>
      <c r="V203" s="116">
        <f>InputData!$C$82</f>
        <v>303960</v>
      </c>
      <c r="W203" s="116">
        <f>InputData!$C$84</f>
        <v>215220</v>
      </c>
      <c r="X203" s="116">
        <f>InputData!$C$85</f>
        <v>409020</v>
      </c>
      <c r="Y203" s="116">
        <f>InputData!$C$116</f>
        <v>140000</v>
      </c>
      <c r="Z203" s="160">
        <f>InputData!$E$13</f>
        <v>0</v>
      </c>
    </row>
    <row r="204" spans="1:26" x14ac:dyDescent="0.25">
      <c r="A204">
        <f>InputData!$K$1</f>
        <v>2013</v>
      </c>
      <c r="B204" t="str">
        <f>InputData!$G$1</f>
        <v>San Antonio, TX</v>
      </c>
      <c r="C204" t="s">
        <v>11</v>
      </c>
      <c r="D204" t="str">
        <f>Graph_IntMed!$I$6</f>
        <v>STD10r</v>
      </c>
      <c r="E204" t="str">
        <f t="shared" si="3"/>
        <v>Internal Medicine STD10r</v>
      </c>
      <c r="F204">
        <f>Graph_IntMed!$A29</f>
        <v>2035</v>
      </c>
      <c r="G204">
        <f>Graph_IntMed!$B29</f>
        <v>23</v>
      </c>
      <c r="H204" s="165">
        <f>Graph_IntMed!$I29</f>
        <v>1158268.9985254426</v>
      </c>
      <c r="I204" s="160">
        <f>InputData!$C$3</f>
        <v>0.02</v>
      </c>
      <c r="J204" s="160">
        <f>InputData!$C$4</f>
        <v>0.01</v>
      </c>
      <c r="K204" s="160">
        <f>InputData!$C$5</f>
        <v>0.01</v>
      </c>
      <c r="L204" s="160">
        <f>InputData!$C$6</f>
        <v>6.2100000000000002E-2</v>
      </c>
      <c r="M204" s="160">
        <f>InputData!$C$7</f>
        <v>0.03</v>
      </c>
      <c r="N204" s="160">
        <f>InputData!$C$8</f>
        <v>0.02</v>
      </c>
      <c r="O204" s="160">
        <f>InputData!$C$9</f>
        <v>0.06</v>
      </c>
      <c r="P204" s="160">
        <f>InputData!$C$10</f>
        <v>0.02</v>
      </c>
      <c r="Q204" s="160">
        <f>InputData!$C$11</f>
        <v>0.02</v>
      </c>
      <c r="R204" s="160">
        <f>InputData!$C$12</f>
        <v>0.02</v>
      </c>
      <c r="S204" s="160">
        <f>InputData!$C$13</f>
        <v>0.9</v>
      </c>
      <c r="T204" s="116">
        <f>InputData!$C$88</f>
        <v>180000</v>
      </c>
      <c r="U204" s="116">
        <f>InputData!$C$81</f>
        <v>178500</v>
      </c>
      <c r="V204" s="116">
        <f>InputData!$C$82</f>
        <v>303960</v>
      </c>
      <c r="W204" s="116">
        <f>InputData!$C$84</f>
        <v>215220</v>
      </c>
      <c r="X204" s="116">
        <f>InputData!$C$85</f>
        <v>409020</v>
      </c>
      <c r="Y204" s="116">
        <f>InputData!$C$116</f>
        <v>140000</v>
      </c>
      <c r="Z204" s="160">
        <f>InputData!$E$13</f>
        <v>0</v>
      </c>
    </row>
    <row r="205" spans="1:26" x14ac:dyDescent="0.25">
      <c r="A205">
        <f>InputData!$K$1</f>
        <v>2013</v>
      </c>
      <c r="B205" t="str">
        <f>InputData!$G$1</f>
        <v>San Antonio, TX</v>
      </c>
      <c r="C205" t="s">
        <v>11</v>
      </c>
      <c r="D205" t="str">
        <f>Graph_IntMed!$I$6</f>
        <v>STD10r</v>
      </c>
      <c r="E205" t="str">
        <f t="shared" si="3"/>
        <v>Internal Medicine STD10r</v>
      </c>
      <c r="F205">
        <f>Graph_IntMed!$A30</f>
        <v>2036</v>
      </c>
      <c r="G205">
        <f>Graph_IntMed!$B30</f>
        <v>24</v>
      </c>
      <c r="H205" s="165">
        <f>Graph_IntMed!$I30</f>
        <v>1233060.205800639</v>
      </c>
      <c r="I205" s="160">
        <f>InputData!$C$3</f>
        <v>0.02</v>
      </c>
      <c r="J205" s="160">
        <f>InputData!$C$4</f>
        <v>0.01</v>
      </c>
      <c r="K205" s="160">
        <f>InputData!$C$5</f>
        <v>0.01</v>
      </c>
      <c r="L205" s="160">
        <f>InputData!$C$6</f>
        <v>6.2100000000000002E-2</v>
      </c>
      <c r="M205" s="160">
        <f>InputData!$C$7</f>
        <v>0.03</v>
      </c>
      <c r="N205" s="160">
        <f>InputData!$C$8</f>
        <v>0.02</v>
      </c>
      <c r="O205" s="160">
        <f>InputData!$C$9</f>
        <v>0.06</v>
      </c>
      <c r="P205" s="160">
        <f>InputData!$C$10</f>
        <v>0.02</v>
      </c>
      <c r="Q205" s="160">
        <f>InputData!$C$11</f>
        <v>0.02</v>
      </c>
      <c r="R205" s="160">
        <f>InputData!$C$12</f>
        <v>0.02</v>
      </c>
      <c r="S205" s="160">
        <f>InputData!$C$13</f>
        <v>0.9</v>
      </c>
      <c r="T205" s="116">
        <f>InputData!$C$88</f>
        <v>180000</v>
      </c>
      <c r="U205" s="116">
        <f>InputData!$C$81</f>
        <v>178500</v>
      </c>
      <c r="V205" s="116">
        <f>InputData!$C$82</f>
        <v>303960</v>
      </c>
      <c r="W205" s="116">
        <f>InputData!$C$84</f>
        <v>215220</v>
      </c>
      <c r="X205" s="116">
        <f>InputData!$C$85</f>
        <v>409020</v>
      </c>
      <c r="Y205" s="116">
        <f>InputData!$C$116</f>
        <v>140000</v>
      </c>
      <c r="Z205" s="160">
        <f>InputData!$E$13</f>
        <v>0</v>
      </c>
    </row>
    <row r="206" spans="1:26" x14ac:dyDescent="0.25">
      <c r="A206">
        <f>InputData!$K$1</f>
        <v>2013</v>
      </c>
      <c r="B206" t="str">
        <f>InputData!$G$1</f>
        <v>San Antonio, TX</v>
      </c>
      <c r="C206" t="s">
        <v>11</v>
      </c>
      <c r="D206" t="str">
        <f>Graph_IntMed!$I$6</f>
        <v>STD10r</v>
      </c>
      <c r="E206" t="str">
        <f t="shared" si="3"/>
        <v>Internal Medicine STD10r</v>
      </c>
      <c r="F206">
        <f>Graph_IntMed!$A31</f>
        <v>2037</v>
      </c>
      <c r="G206">
        <f>Graph_IntMed!$B31</f>
        <v>25</v>
      </c>
      <c r="H206" s="165">
        <f>Graph_IntMed!$I31</f>
        <v>1306332.6732824424</v>
      </c>
      <c r="I206" s="160">
        <f>InputData!$C$3</f>
        <v>0.02</v>
      </c>
      <c r="J206" s="160">
        <f>InputData!$C$4</f>
        <v>0.01</v>
      </c>
      <c r="K206" s="160">
        <f>InputData!$C$5</f>
        <v>0.01</v>
      </c>
      <c r="L206" s="160">
        <f>InputData!$C$6</f>
        <v>6.2100000000000002E-2</v>
      </c>
      <c r="M206" s="160">
        <f>InputData!$C$7</f>
        <v>0.03</v>
      </c>
      <c r="N206" s="160">
        <f>InputData!$C$8</f>
        <v>0.02</v>
      </c>
      <c r="O206" s="160">
        <f>InputData!$C$9</f>
        <v>0.06</v>
      </c>
      <c r="P206" s="160">
        <f>InputData!$C$10</f>
        <v>0.02</v>
      </c>
      <c r="Q206" s="160">
        <f>InputData!$C$11</f>
        <v>0.02</v>
      </c>
      <c r="R206" s="160">
        <f>InputData!$C$12</f>
        <v>0.02</v>
      </c>
      <c r="S206" s="160">
        <f>InputData!$C$13</f>
        <v>0.9</v>
      </c>
      <c r="T206" s="116">
        <f>InputData!$C$88</f>
        <v>180000</v>
      </c>
      <c r="U206" s="116">
        <f>InputData!$C$81</f>
        <v>178500</v>
      </c>
      <c r="V206" s="116">
        <f>InputData!$C$82</f>
        <v>303960</v>
      </c>
      <c r="W206" s="116">
        <f>InputData!$C$84</f>
        <v>215220</v>
      </c>
      <c r="X206" s="116">
        <f>InputData!$C$85</f>
        <v>409020</v>
      </c>
      <c r="Y206" s="116">
        <f>InputData!$C$116</f>
        <v>140000</v>
      </c>
      <c r="Z206" s="160">
        <f>InputData!$E$13</f>
        <v>0</v>
      </c>
    </row>
    <row r="207" spans="1:26" x14ac:dyDescent="0.25">
      <c r="A207">
        <f>InputData!$K$1</f>
        <v>2013</v>
      </c>
      <c r="B207" t="str">
        <f>InputData!$G$1</f>
        <v>San Antonio, TX</v>
      </c>
      <c r="C207" t="s">
        <v>11</v>
      </c>
      <c r="D207" t="str">
        <f>Graph_IntMed!$I$6</f>
        <v>STD10r</v>
      </c>
      <c r="E207" t="str">
        <f t="shared" si="3"/>
        <v>Internal Medicine STD10r</v>
      </c>
      <c r="F207">
        <f>Graph_IntMed!$A32</f>
        <v>2038</v>
      </c>
      <c r="G207">
        <f>Graph_IntMed!$B32</f>
        <v>26</v>
      </c>
      <c r="H207" s="165">
        <f>Graph_IntMed!$I32</f>
        <v>1378117.701897044</v>
      </c>
      <c r="I207" s="160">
        <f>InputData!$C$3</f>
        <v>0.02</v>
      </c>
      <c r="J207" s="160">
        <f>InputData!$C$4</f>
        <v>0.01</v>
      </c>
      <c r="K207" s="160">
        <f>InputData!$C$5</f>
        <v>0.01</v>
      </c>
      <c r="L207" s="160">
        <f>InputData!$C$6</f>
        <v>6.2100000000000002E-2</v>
      </c>
      <c r="M207" s="160">
        <f>InputData!$C$7</f>
        <v>0.03</v>
      </c>
      <c r="N207" s="160">
        <f>InputData!$C$8</f>
        <v>0.02</v>
      </c>
      <c r="O207" s="160">
        <f>InputData!$C$9</f>
        <v>0.06</v>
      </c>
      <c r="P207" s="160">
        <f>InputData!$C$10</f>
        <v>0.02</v>
      </c>
      <c r="Q207" s="160">
        <f>InputData!$C$11</f>
        <v>0.02</v>
      </c>
      <c r="R207" s="160">
        <f>InputData!$C$12</f>
        <v>0.02</v>
      </c>
      <c r="S207" s="160">
        <f>InputData!$C$13</f>
        <v>0.9</v>
      </c>
      <c r="T207" s="116">
        <f>InputData!$C$88</f>
        <v>180000</v>
      </c>
      <c r="U207" s="116">
        <f>InputData!$C$81</f>
        <v>178500</v>
      </c>
      <c r="V207" s="116">
        <f>InputData!$C$82</f>
        <v>303960</v>
      </c>
      <c r="W207" s="116">
        <f>InputData!$C$84</f>
        <v>215220</v>
      </c>
      <c r="X207" s="116">
        <f>InputData!$C$85</f>
        <v>409020</v>
      </c>
      <c r="Y207" s="116">
        <f>InputData!$C$116</f>
        <v>140000</v>
      </c>
      <c r="Z207" s="160">
        <f>InputData!$E$13</f>
        <v>0</v>
      </c>
    </row>
    <row r="208" spans="1:26" x14ac:dyDescent="0.25">
      <c r="A208">
        <f>InputData!$K$1</f>
        <v>2013</v>
      </c>
      <c r="B208" t="str">
        <f>InputData!$G$1</f>
        <v>San Antonio, TX</v>
      </c>
      <c r="C208" t="s">
        <v>11</v>
      </c>
      <c r="D208" t="str">
        <f>Graph_IntMed!$I$6</f>
        <v>STD10r</v>
      </c>
      <c r="E208" t="str">
        <f t="shared" si="3"/>
        <v>Internal Medicine STD10r</v>
      </c>
      <c r="F208">
        <f>Graph_IntMed!$A33</f>
        <v>2039</v>
      </c>
      <c r="G208">
        <f>Graph_IntMed!$B33</f>
        <v>27</v>
      </c>
      <c r="H208" s="165">
        <f>Graph_IntMed!$I33</f>
        <v>1448445.9345052012</v>
      </c>
      <c r="I208" s="160">
        <f>InputData!$C$3</f>
        <v>0.02</v>
      </c>
      <c r="J208" s="160">
        <f>InputData!$C$4</f>
        <v>0.01</v>
      </c>
      <c r="K208" s="160">
        <f>InputData!$C$5</f>
        <v>0.01</v>
      </c>
      <c r="L208" s="160">
        <f>InputData!$C$6</f>
        <v>6.2100000000000002E-2</v>
      </c>
      <c r="M208" s="160">
        <f>InputData!$C$7</f>
        <v>0.03</v>
      </c>
      <c r="N208" s="160">
        <f>InputData!$C$8</f>
        <v>0.02</v>
      </c>
      <c r="O208" s="160">
        <f>InputData!$C$9</f>
        <v>0.06</v>
      </c>
      <c r="P208" s="160">
        <f>InputData!$C$10</f>
        <v>0.02</v>
      </c>
      <c r="Q208" s="160">
        <f>InputData!$C$11</f>
        <v>0.02</v>
      </c>
      <c r="R208" s="160">
        <f>InputData!$C$12</f>
        <v>0.02</v>
      </c>
      <c r="S208" s="160">
        <f>InputData!$C$13</f>
        <v>0.9</v>
      </c>
      <c r="T208" s="116">
        <f>InputData!$C$88</f>
        <v>180000</v>
      </c>
      <c r="U208" s="116">
        <f>InputData!$C$81</f>
        <v>178500</v>
      </c>
      <c r="V208" s="116">
        <f>InputData!$C$82</f>
        <v>303960</v>
      </c>
      <c r="W208" s="116">
        <f>InputData!$C$84</f>
        <v>215220</v>
      </c>
      <c r="X208" s="116">
        <f>InputData!$C$85</f>
        <v>409020</v>
      </c>
      <c r="Y208" s="116">
        <f>InputData!$C$116</f>
        <v>140000</v>
      </c>
      <c r="Z208" s="160">
        <f>InputData!$E$13</f>
        <v>0</v>
      </c>
    </row>
    <row r="209" spans="1:26" x14ac:dyDescent="0.25">
      <c r="A209">
        <f>InputData!$K$1</f>
        <v>2013</v>
      </c>
      <c r="B209" t="str">
        <f>InputData!$G$1</f>
        <v>San Antonio, TX</v>
      </c>
      <c r="C209" t="s">
        <v>11</v>
      </c>
      <c r="D209" t="str">
        <f>Graph_IntMed!$I$6</f>
        <v>STD10r</v>
      </c>
      <c r="E209" t="str">
        <f t="shared" si="3"/>
        <v>Internal Medicine STD10r</v>
      </c>
      <c r="F209">
        <f>Graph_IntMed!$A34</f>
        <v>2040</v>
      </c>
      <c r="G209">
        <f>Graph_IntMed!$B34</f>
        <v>28</v>
      </c>
      <c r="H209" s="165">
        <f>Graph_IntMed!$I34</f>
        <v>1517347.3700964067</v>
      </c>
      <c r="I209" s="160">
        <f>InputData!$C$3</f>
        <v>0.02</v>
      </c>
      <c r="J209" s="160">
        <f>InputData!$C$4</f>
        <v>0.01</v>
      </c>
      <c r="K209" s="160">
        <f>InputData!$C$5</f>
        <v>0.01</v>
      </c>
      <c r="L209" s="160">
        <f>InputData!$C$6</f>
        <v>6.2100000000000002E-2</v>
      </c>
      <c r="M209" s="160">
        <f>InputData!$C$7</f>
        <v>0.03</v>
      </c>
      <c r="N209" s="160">
        <f>InputData!$C$8</f>
        <v>0.02</v>
      </c>
      <c r="O209" s="160">
        <f>InputData!$C$9</f>
        <v>0.06</v>
      </c>
      <c r="P209" s="160">
        <f>InputData!$C$10</f>
        <v>0.02</v>
      </c>
      <c r="Q209" s="160">
        <f>InputData!$C$11</f>
        <v>0.02</v>
      </c>
      <c r="R209" s="160">
        <f>InputData!$C$12</f>
        <v>0.02</v>
      </c>
      <c r="S209" s="160">
        <f>InputData!$C$13</f>
        <v>0.9</v>
      </c>
      <c r="T209" s="116">
        <f>InputData!$C$88</f>
        <v>180000</v>
      </c>
      <c r="U209" s="116">
        <f>InputData!$C$81</f>
        <v>178500</v>
      </c>
      <c r="V209" s="116">
        <f>InputData!$C$82</f>
        <v>303960</v>
      </c>
      <c r="W209" s="116">
        <f>InputData!$C$84</f>
        <v>215220</v>
      </c>
      <c r="X209" s="116">
        <f>InputData!$C$85</f>
        <v>409020</v>
      </c>
      <c r="Y209" s="116">
        <f>InputData!$C$116</f>
        <v>140000</v>
      </c>
      <c r="Z209" s="160">
        <f>InputData!$E$13</f>
        <v>0</v>
      </c>
    </row>
    <row r="210" spans="1:26" x14ac:dyDescent="0.25">
      <c r="A210">
        <f>InputData!$K$1</f>
        <v>2013</v>
      </c>
      <c r="B210" t="str">
        <f>InputData!$G$1</f>
        <v>San Antonio, TX</v>
      </c>
      <c r="C210" t="s">
        <v>11</v>
      </c>
      <c r="D210" t="str">
        <f>Graph_IntMed!$I$6</f>
        <v>STD10r</v>
      </c>
      <c r="E210" t="str">
        <f t="shared" si="3"/>
        <v>Internal Medicine STD10r</v>
      </c>
      <c r="F210">
        <f>Graph_IntMed!$A35</f>
        <v>2041</v>
      </c>
      <c r="G210">
        <f>Graph_IntMed!$B35</f>
        <v>29</v>
      </c>
      <c r="H210" s="165">
        <f>Graph_IntMed!$I35</f>
        <v>1584851.3776671416</v>
      </c>
      <c r="I210" s="160">
        <f>InputData!$C$3</f>
        <v>0.02</v>
      </c>
      <c r="J210" s="160">
        <f>InputData!$C$4</f>
        <v>0.01</v>
      </c>
      <c r="K210" s="160">
        <f>InputData!$C$5</f>
        <v>0.01</v>
      </c>
      <c r="L210" s="160">
        <f>InputData!$C$6</f>
        <v>6.2100000000000002E-2</v>
      </c>
      <c r="M210" s="160">
        <f>InputData!$C$7</f>
        <v>0.03</v>
      </c>
      <c r="N210" s="160">
        <f>InputData!$C$8</f>
        <v>0.02</v>
      </c>
      <c r="O210" s="160">
        <f>InputData!$C$9</f>
        <v>0.06</v>
      </c>
      <c r="P210" s="160">
        <f>InputData!$C$10</f>
        <v>0.02</v>
      </c>
      <c r="Q210" s="160">
        <f>InputData!$C$11</f>
        <v>0.02</v>
      </c>
      <c r="R210" s="160">
        <f>InputData!$C$12</f>
        <v>0.02</v>
      </c>
      <c r="S210" s="160">
        <f>InputData!$C$13</f>
        <v>0.9</v>
      </c>
      <c r="T210" s="116">
        <f>InputData!$C$88</f>
        <v>180000</v>
      </c>
      <c r="U210" s="116">
        <f>InputData!$C$81</f>
        <v>178500</v>
      </c>
      <c r="V210" s="116">
        <f>InputData!$C$82</f>
        <v>303960</v>
      </c>
      <c r="W210" s="116">
        <f>InputData!$C$84</f>
        <v>215220</v>
      </c>
      <c r="X210" s="116">
        <f>InputData!$C$85</f>
        <v>409020</v>
      </c>
      <c r="Y210" s="116">
        <f>InputData!$C$116</f>
        <v>140000</v>
      </c>
      <c r="Z210" s="160">
        <f>InputData!$E$13</f>
        <v>0</v>
      </c>
    </row>
    <row r="211" spans="1:26" x14ac:dyDescent="0.25">
      <c r="A211">
        <f>InputData!$K$1</f>
        <v>2013</v>
      </c>
      <c r="B211" t="str">
        <f>InputData!$G$1</f>
        <v>San Antonio, TX</v>
      </c>
      <c r="C211" t="s">
        <v>11</v>
      </c>
      <c r="D211" t="str">
        <f>Graph_IntMed!$I$6</f>
        <v>STD10r</v>
      </c>
      <c r="E211" t="str">
        <f t="shared" si="3"/>
        <v>Internal Medicine STD10r</v>
      </c>
      <c r="F211">
        <f>Graph_IntMed!$A36</f>
        <v>2042</v>
      </c>
      <c r="G211">
        <f>Graph_IntMed!$B36</f>
        <v>30</v>
      </c>
      <c r="H211" s="165">
        <f>Graph_IntMed!$I36</f>
        <v>1650986.7097905008</v>
      </c>
      <c r="I211" s="160">
        <f>InputData!$C$3</f>
        <v>0.02</v>
      </c>
      <c r="J211" s="160">
        <f>InputData!$C$4</f>
        <v>0.01</v>
      </c>
      <c r="K211" s="160">
        <f>InputData!$C$5</f>
        <v>0.01</v>
      </c>
      <c r="L211" s="160">
        <f>InputData!$C$6</f>
        <v>6.2100000000000002E-2</v>
      </c>
      <c r="M211" s="160">
        <f>InputData!$C$7</f>
        <v>0.03</v>
      </c>
      <c r="N211" s="160">
        <f>InputData!$C$8</f>
        <v>0.02</v>
      </c>
      <c r="O211" s="160">
        <f>InputData!$C$9</f>
        <v>0.06</v>
      </c>
      <c r="P211" s="160">
        <f>InputData!$C$10</f>
        <v>0.02</v>
      </c>
      <c r="Q211" s="160">
        <f>InputData!$C$11</f>
        <v>0.02</v>
      </c>
      <c r="R211" s="160">
        <f>InputData!$C$12</f>
        <v>0.02</v>
      </c>
      <c r="S211" s="160">
        <f>InputData!$C$13</f>
        <v>0.9</v>
      </c>
      <c r="T211" s="116">
        <f>InputData!$C$88</f>
        <v>180000</v>
      </c>
      <c r="U211" s="116">
        <f>InputData!$C$81</f>
        <v>178500</v>
      </c>
      <c r="V211" s="116">
        <f>InputData!$C$82</f>
        <v>303960</v>
      </c>
      <c r="W211" s="116">
        <f>InputData!$C$84</f>
        <v>215220</v>
      </c>
      <c r="X211" s="116">
        <f>InputData!$C$85</f>
        <v>409020</v>
      </c>
      <c r="Y211" s="116">
        <f>InputData!$C$116</f>
        <v>140000</v>
      </c>
      <c r="Z211" s="160">
        <f>InputData!$E$13</f>
        <v>0</v>
      </c>
    </row>
    <row r="212" spans="1:26" x14ac:dyDescent="0.25">
      <c r="A212">
        <f>InputData!$K$1</f>
        <v>2013</v>
      </c>
      <c r="B212" t="str">
        <f>InputData!$G$1</f>
        <v>San Antonio, TX</v>
      </c>
      <c r="C212" t="s">
        <v>11</v>
      </c>
      <c r="D212" t="str">
        <f>Graph_IntMed!$J$6</f>
        <v>IBRr</v>
      </c>
      <c r="E212" t="str">
        <f t="shared" si="3"/>
        <v>Internal Medicine IBRr</v>
      </c>
      <c r="F212">
        <f>Graph_IntMed!$A7</f>
        <v>2013</v>
      </c>
      <c r="G212">
        <f>Graph_IntMed!$B7</f>
        <v>1</v>
      </c>
      <c r="H212" s="165">
        <f>Graph_IntMed!$J7</f>
        <v>-43015.05</v>
      </c>
      <c r="I212" s="160">
        <f>InputData!$C$3</f>
        <v>0.02</v>
      </c>
      <c r="J212" s="160">
        <f>InputData!$C$4</f>
        <v>0.01</v>
      </c>
      <c r="K212" s="160">
        <f>InputData!$C$5</f>
        <v>0.01</v>
      </c>
      <c r="L212" s="160">
        <f>InputData!$C$6</f>
        <v>6.2100000000000002E-2</v>
      </c>
      <c r="M212" s="160">
        <f>InputData!$C$7</f>
        <v>0.03</v>
      </c>
      <c r="N212" s="160">
        <f>InputData!$C$8</f>
        <v>0.02</v>
      </c>
      <c r="O212" s="160">
        <f>InputData!$C$9</f>
        <v>0.06</v>
      </c>
      <c r="P212" s="160">
        <f>InputData!$C$10</f>
        <v>0.02</v>
      </c>
      <c r="Q212" s="160">
        <f>InputData!$C$11</f>
        <v>0.02</v>
      </c>
      <c r="R212" s="160">
        <f>InputData!$C$12</f>
        <v>0.02</v>
      </c>
      <c r="S212" s="160">
        <f>InputData!$C$13</f>
        <v>0.9</v>
      </c>
      <c r="T212" s="116">
        <f>InputData!$C$88</f>
        <v>180000</v>
      </c>
      <c r="U212" s="116">
        <f>InputData!$C$81</f>
        <v>178500</v>
      </c>
      <c r="V212" s="116">
        <f>InputData!$C$82</f>
        <v>303960</v>
      </c>
      <c r="W212" s="116">
        <f>InputData!$C$84</f>
        <v>215220</v>
      </c>
      <c r="X212" s="116">
        <f>InputData!$C$85</f>
        <v>409020</v>
      </c>
      <c r="Y212" s="116">
        <f>InputData!$C$116</f>
        <v>140000</v>
      </c>
      <c r="Z212" s="160">
        <f>InputData!$E$13</f>
        <v>0</v>
      </c>
    </row>
    <row r="213" spans="1:26" x14ac:dyDescent="0.25">
      <c r="A213">
        <f>InputData!$K$1</f>
        <v>2013</v>
      </c>
      <c r="B213" t="str">
        <f>InputData!$G$1</f>
        <v>San Antonio, TX</v>
      </c>
      <c r="C213" t="s">
        <v>11</v>
      </c>
      <c r="D213" t="str">
        <f>Graph_IntMed!$J$6</f>
        <v>IBRr</v>
      </c>
      <c r="E213" t="str">
        <f t="shared" si="3"/>
        <v>Internal Medicine IBRr</v>
      </c>
      <c r="F213">
        <f>Graph_IntMed!$A8</f>
        <v>2014</v>
      </c>
      <c r="G213">
        <f>Graph_IntMed!$B8</f>
        <v>2</v>
      </c>
      <c r="H213" s="165">
        <f>Graph_IntMed!$J8</f>
        <v>-86352.285865219877</v>
      </c>
      <c r="I213" s="160">
        <f>InputData!$C$3</f>
        <v>0.02</v>
      </c>
      <c r="J213" s="160">
        <f>InputData!$C$4</f>
        <v>0.01</v>
      </c>
      <c r="K213" s="160">
        <f>InputData!$C$5</f>
        <v>0.01</v>
      </c>
      <c r="L213" s="160">
        <f>InputData!$C$6</f>
        <v>6.2100000000000002E-2</v>
      </c>
      <c r="M213" s="160">
        <f>InputData!$C$7</f>
        <v>0.03</v>
      </c>
      <c r="N213" s="160">
        <f>InputData!$C$8</f>
        <v>0.02</v>
      </c>
      <c r="O213" s="160">
        <f>InputData!$C$9</f>
        <v>0.06</v>
      </c>
      <c r="P213" s="160">
        <f>InputData!$C$10</f>
        <v>0.02</v>
      </c>
      <c r="Q213" s="160">
        <f>InputData!$C$11</f>
        <v>0.02</v>
      </c>
      <c r="R213" s="160">
        <f>InputData!$C$12</f>
        <v>0.02</v>
      </c>
      <c r="S213" s="160">
        <f>InputData!$C$13</f>
        <v>0.9</v>
      </c>
      <c r="T213" s="116">
        <f>InputData!$C$88</f>
        <v>180000</v>
      </c>
      <c r="U213" s="116">
        <f>InputData!$C$81</f>
        <v>178500</v>
      </c>
      <c r="V213" s="116">
        <f>InputData!$C$82</f>
        <v>303960</v>
      </c>
      <c r="W213" s="116">
        <f>InputData!$C$84</f>
        <v>215220</v>
      </c>
      <c r="X213" s="116">
        <f>InputData!$C$85</f>
        <v>409020</v>
      </c>
      <c r="Y213" s="116">
        <f>InputData!$C$116</f>
        <v>140000</v>
      </c>
      <c r="Z213" s="160">
        <f>InputData!$E$13</f>
        <v>0</v>
      </c>
    </row>
    <row r="214" spans="1:26" x14ac:dyDescent="0.25">
      <c r="A214">
        <f>InputData!$K$1</f>
        <v>2013</v>
      </c>
      <c r="B214" t="str">
        <f>InputData!$G$1</f>
        <v>San Antonio, TX</v>
      </c>
      <c r="C214" t="s">
        <v>11</v>
      </c>
      <c r="D214" t="str">
        <f>Graph_IntMed!$J$6</f>
        <v>IBRr</v>
      </c>
      <c r="E214" t="str">
        <f t="shared" si="3"/>
        <v>Internal Medicine IBRr</v>
      </c>
      <c r="F214">
        <f>Graph_IntMed!$A9</f>
        <v>2015</v>
      </c>
      <c r="G214">
        <f>Graph_IntMed!$B9</f>
        <v>3</v>
      </c>
      <c r="H214" s="165">
        <f>Graph_IntMed!$J9</f>
        <v>-138541.19578403595</v>
      </c>
      <c r="I214" s="160">
        <f>InputData!$C$3</f>
        <v>0.02</v>
      </c>
      <c r="J214" s="160">
        <f>InputData!$C$4</f>
        <v>0.01</v>
      </c>
      <c r="K214" s="160">
        <f>InputData!$C$5</f>
        <v>0.01</v>
      </c>
      <c r="L214" s="160">
        <f>InputData!$C$6</f>
        <v>6.2100000000000002E-2</v>
      </c>
      <c r="M214" s="160">
        <f>InputData!$C$7</f>
        <v>0.03</v>
      </c>
      <c r="N214" s="160">
        <f>InputData!$C$8</f>
        <v>0.02</v>
      </c>
      <c r="O214" s="160">
        <f>InputData!$C$9</f>
        <v>0.06</v>
      </c>
      <c r="P214" s="160">
        <f>InputData!$C$10</f>
        <v>0.02</v>
      </c>
      <c r="Q214" s="160">
        <f>InputData!$C$11</f>
        <v>0.02</v>
      </c>
      <c r="R214" s="160">
        <f>InputData!$C$12</f>
        <v>0.02</v>
      </c>
      <c r="S214" s="160">
        <f>InputData!$C$13</f>
        <v>0.9</v>
      </c>
      <c r="T214" s="116">
        <f>InputData!$C$88</f>
        <v>180000</v>
      </c>
      <c r="U214" s="116">
        <f>InputData!$C$81</f>
        <v>178500</v>
      </c>
      <c r="V214" s="116">
        <f>InputData!$C$82</f>
        <v>303960</v>
      </c>
      <c r="W214" s="116">
        <f>InputData!$C$84</f>
        <v>215220</v>
      </c>
      <c r="X214" s="116">
        <f>InputData!$C$85</f>
        <v>409020</v>
      </c>
      <c r="Y214" s="116">
        <f>InputData!$C$116</f>
        <v>140000</v>
      </c>
      <c r="Z214" s="160">
        <f>InputData!$E$13</f>
        <v>0</v>
      </c>
    </row>
    <row r="215" spans="1:26" x14ac:dyDescent="0.25">
      <c r="A215">
        <f>InputData!$K$1</f>
        <v>2013</v>
      </c>
      <c r="B215" t="str">
        <f>InputData!$G$1</f>
        <v>San Antonio, TX</v>
      </c>
      <c r="C215" t="s">
        <v>11</v>
      </c>
      <c r="D215" t="str">
        <f>Graph_IntMed!$J$6</f>
        <v>IBRr</v>
      </c>
      <c r="E215" t="str">
        <f t="shared" si="3"/>
        <v>Internal Medicine IBRr</v>
      </c>
      <c r="F215">
        <f>Graph_IntMed!$A10</f>
        <v>2016</v>
      </c>
      <c r="G215">
        <f>Graph_IntMed!$B10</f>
        <v>4</v>
      </c>
      <c r="H215" s="165">
        <f>Graph_IntMed!$J10</f>
        <v>-190867.38028908212</v>
      </c>
      <c r="I215" s="160">
        <f>InputData!$C$3</f>
        <v>0.02</v>
      </c>
      <c r="J215" s="160">
        <f>InputData!$C$4</f>
        <v>0.01</v>
      </c>
      <c r="K215" s="160">
        <f>InputData!$C$5</f>
        <v>0.01</v>
      </c>
      <c r="L215" s="160">
        <f>InputData!$C$6</f>
        <v>6.2100000000000002E-2</v>
      </c>
      <c r="M215" s="160">
        <f>InputData!$C$7</f>
        <v>0.03</v>
      </c>
      <c r="N215" s="160">
        <f>InputData!$C$8</f>
        <v>0.02</v>
      </c>
      <c r="O215" s="160">
        <f>InputData!$C$9</f>
        <v>0.06</v>
      </c>
      <c r="P215" s="160">
        <f>InputData!$C$10</f>
        <v>0.02</v>
      </c>
      <c r="Q215" s="160">
        <f>InputData!$C$11</f>
        <v>0.02</v>
      </c>
      <c r="R215" s="160">
        <f>InputData!$C$12</f>
        <v>0.02</v>
      </c>
      <c r="S215" s="160">
        <f>InputData!$C$13</f>
        <v>0.9</v>
      </c>
      <c r="T215" s="116">
        <f>InputData!$C$88</f>
        <v>180000</v>
      </c>
      <c r="U215" s="116">
        <f>InputData!$C$81</f>
        <v>178500</v>
      </c>
      <c r="V215" s="116">
        <f>InputData!$C$82</f>
        <v>303960</v>
      </c>
      <c r="W215" s="116">
        <f>InputData!$C$84</f>
        <v>215220</v>
      </c>
      <c r="X215" s="116">
        <f>InputData!$C$85</f>
        <v>409020</v>
      </c>
      <c r="Y215" s="116">
        <f>InputData!$C$116</f>
        <v>140000</v>
      </c>
      <c r="Z215" s="160">
        <f>InputData!$E$13</f>
        <v>0</v>
      </c>
    </row>
    <row r="216" spans="1:26" x14ac:dyDescent="0.25">
      <c r="A216">
        <f>InputData!$K$1</f>
        <v>2013</v>
      </c>
      <c r="B216" t="str">
        <f>InputData!$G$1</f>
        <v>San Antonio, TX</v>
      </c>
      <c r="C216" t="s">
        <v>11</v>
      </c>
      <c r="D216" t="str">
        <f>Graph_IntMed!$J$6</f>
        <v>IBRr</v>
      </c>
      <c r="E216" t="str">
        <f t="shared" si="3"/>
        <v>Internal Medicine IBRr</v>
      </c>
      <c r="F216">
        <f>Graph_IntMed!$A11</f>
        <v>2017</v>
      </c>
      <c r="G216">
        <f>Graph_IntMed!$B11</f>
        <v>5</v>
      </c>
      <c r="H216" s="165">
        <f>Graph_IntMed!$J11</f>
        <v>-159376.263840158</v>
      </c>
      <c r="I216" s="160">
        <f>InputData!$C$3</f>
        <v>0.02</v>
      </c>
      <c r="J216" s="160">
        <f>InputData!$C$4</f>
        <v>0.01</v>
      </c>
      <c r="K216" s="160">
        <f>InputData!$C$5</f>
        <v>0.01</v>
      </c>
      <c r="L216" s="160">
        <f>InputData!$C$6</f>
        <v>6.2100000000000002E-2</v>
      </c>
      <c r="M216" s="160">
        <f>InputData!$C$7</f>
        <v>0.03</v>
      </c>
      <c r="N216" s="160">
        <f>InputData!$C$8</f>
        <v>0.02</v>
      </c>
      <c r="O216" s="160">
        <f>InputData!$C$9</f>
        <v>0.06</v>
      </c>
      <c r="P216" s="160">
        <f>InputData!$C$10</f>
        <v>0.02</v>
      </c>
      <c r="Q216" s="160">
        <f>InputData!$C$11</f>
        <v>0.02</v>
      </c>
      <c r="R216" s="160">
        <f>InputData!$C$12</f>
        <v>0.02</v>
      </c>
      <c r="S216" s="160">
        <f>InputData!$C$13</f>
        <v>0.9</v>
      </c>
      <c r="T216" s="116">
        <f>InputData!$C$88</f>
        <v>180000</v>
      </c>
      <c r="U216" s="116">
        <f>InputData!$C$81</f>
        <v>178500</v>
      </c>
      <c r="V216" s="116">
        <f>InputData!$C$82</f>
        <v>303960</v>
      </c>
      <c r="W216" s="116">
        <f>InputData!$C$84</f>
        <v>215220</v>
      </c>
      <c r="X216" s="116">
        <f>InputData!$C$85</f>
        <v>409020</v>
      </c>
      <c r="Y216" s="116">
        <f>InputData!$C$116</f>
        <v>140000</v>
      </c>
      <c r="Z216" s="160">
        <f>InputData!$E$13</f>
        <v>0</v>
      </c>
    </row>
    <row r="217" spans="1:26" x14ac:dyDescent="0.25">
      <c r="A217">
        <f>InputData!$K$1</f>
        <v>2013</v>
      </c>
      <c r="B217" t="str">
        <f>InputData!$G$1</f>
        <v>San Antonio, TX</v>
      </c>
      <c r="C217" t="s">
        <v>11</v>
      </c>
      <c r="D217" t="str">
        <f>Graph_IntMed!$J$6</f>
        <v>IBRr</v>
      </c>
      <c r="E217" t="str">
        <f t="shared" si="3"/>
        <v>Internal Medicine IBRr</v>
      </c>
      <c r="F217">
        <f>Graph_IntMed!$A12</f>
        <v>2018</v>
      </c>
      <c r="G217">
        <f>Graph_IntMed!$B12</f>
        <v>6</v>
      </c>
      <c r="H217" s="165">
        <f>Graph_IntMed!$J12</f>
        <v>-127913.13213476112</v>
      </c>
      <c r="I217" s="160">
        <f>InputData!$C$3</f>
        <v>0.02</v>
      </c>
      <c r="J217" s="160">
        <f>InputData!$C$4</f>
        <v>0.01</v>
      </c>
      <c r="K217" s="160">
        <f>InputData!$C$5</f>
        <v>0.01</v>
      </c>
      <c r="L217" s="160">
        <f>InputData!$C$6</f>
        <v>6.2100000000000002E-2</v>
      </c>
      <c r="M217" s="160">
        <f>InputData!$C$7</f>
        <v>0.03</v>
      </c>
      <c r="N217" s="160">
        <f>InputData!$C$8</f>
        <v>0.02</v>
      </c>
      <c r="O217" s="160">
        <f>InputData!$C$9</f>
        <v>0.06</v>
      </c>
      <c r="P217" s="160">
        <f>InputData!$C$10</f>
        <v>0.02</v>
      </c>
      <c r="Q217" s="160">
        <f>InputData!$C$11</f>
        <v>0.02</v>
      </c>
      <c r="R217" s="160">
        <f>InputData!$C$12</f>
        <v>0.02</v>
      </c>
      <c r="S217" s="160">
        <f>InputData!$C$13</f>
        <v>0.9</v>
      </c>
      <c r="T217" s="116">
        <f>InputData!$C$88</f>
        <v>180000</v>
      </c>
      <c r="U217" s="116">
        <f>InputData!$C$81</f>
        <v>178500</v>
      </c>
      <c r="V217" s="116">
        <f>InputData!$C$82</f>
        <v>303960</v>
      </c>
      <c r="W217" s="116">
        <f>InputData!$C$84</f>
        <v>215220</v>
      </c>
      <c r="X217" s="116">
        <f>InputData!$C$85</f>
        <v>409020</v>
      </c>
      <c r="Y217" s="116">
        <f>InputData!$C$116</f>
        <v>140000</v>
      </c>
      <c r="Z217" s="160">
        <f>InputData!$E$13</f>
        <v>0</v>
      </c>
    </row>
    <row r="218" spans="1:26" x14ac:dyDescent="0.25">
      <c r="A218">
        <f>InputData!$K$1</f>
        <v>2013</v>
      </c>
      <c r="B218" t="str">
        <f>InputData!$G$1</f>
        <v>San Antonio, TX</v>
      </c>
      <c r="C218" t="s">
        <v>11</v>
      </c>
      <c r="D218" t="str">
        <f>Graph_IntMed!$J$6</f>
        <v>IBRr</v>
      </c>
      <c r="E218" t="str">
        <f t="shared" si="3"/>
        <v>Internal Medicine IBRr</v>
      </c>
      <c r="F218">
        <f>Graph_IntMed!$A13</f>
        <v>2019</v>
      </c>
      <c r="G218">
        <f>Graph_IntMed!$B13</f>
        <v>7</v>
      </c>
      <c r="H218" s="165">
        <f>Graph_IntMed!$J13</f>
        <v>-96469.213883902426</v>
      </c>
      <c r="I218" s="160">
        <f>InputData!$C$3</f>
        <v>0.02</v>
      </c>
      <c r="J218" s="160">
        <f>InputData!$C$4</f>
        <v>0.01</v>
      </c>
      <c r="K218" s="160">
        <f>InputData!$C$5</f>
        <v>0.01</v>
      </c>
      <c r="L218" s="160">
        <f>InputData!$C$6</f>
        <v>6.2100000000000002E-2</v>
      </c>
      <c r="M218" s="160">
        <f>InputData!$C$7</f>
        <v>0.03</v>
      </c>
      <c r="N218" s="160">
        <f>InputData!$C$8</f>
        <v>0.02</v>
      </c>
      <c r="O218" s="160">
        <f>InputData!$C$9</f>
        <v>0.06</v>
      </c>
      <c r="P218" s="160">
        <f>InputData!$C$10</f>
        <v>0.02</v>
      </c>
      <c r="Q218" s="160">
        <f>InputData!$C$11</f>
        <v>0.02</v>
      </c>
      <c r="R218" s="160">
        <f>InputData!$C$12</f>
        <v>0.02</v>
      </c>
      <c r="S218" s="160">
        <f>InputData!$C$13</f>
        <v>0.9</v>
      </c>
      <c r="T218" s="116">
        <f>InputData!$C$88</f>
        <v>180000</v>
      </c>
      <c r="U218" s="116">
        <f>InputData!$C$81</f>
        <v>178500</v>
      </c>
      <c r="V218" s="116">
        <f>InputData!$C$82</f>
        <v>303960</v>
      </c>
      <c r="W218" s="116">
        <f>InputData!$C$84</f>
        <v>215220</v>
      </c>
      <c r="X218" s="116">
        <f>InputData!$C$85</f>
        <v>409020</v>
      </c>
      <c r="Y218" s="116">
        <f>InputData!$C$116</f>
        <v>140000</v>
      </c>
      <c r="Z218" s="160">
        <f>InputData!$E$13</f>
        <v>0</v>
      </c>
    </row>
    <row r="219" spans="1:26" x14ac:dyDescent="0.25">
      <c r="A219">
        <f>InputData!$K$1</f>
        <v>2013</v>
      </c>
      <c r="B219" t="str">
        <f>InputData!$G$1</f>
        <v>San Antonio, TX</v>
      </c>
      <c r="C219" t="s">
        <v>11</v>
      </c>
      <c r="D219" t="str">
        <f>Graph_IntMed!$J$6</f>
        <v>IBRr</v>
      </c>
      <c r="E219" t="str">
        <f t="shared" si="3"/>
        <v>Internal Medicine IBRr</v>
      </c>
      <c r="F219">
        <f>Graph_IntMed!$A14</f>
        <v>2020</v>
      </c>
      <c r="G219">
        <f>Graph_IntMed!$B14</f>
        <v>8</v>
      </c>
      <c r="H219" s="165">
        <f>Graph_IntMed!$J14</f>
        <v>-12633.502841794281</v>
      </c>
      <c r="I219" s="160">
        <f>InputData!$C$3</f>
        <v>0.02</v>
      </c>
      <c r="J219" s="160">
        <f>InputData!$C$4</f>
        <v>0.01</v>
      </c>
      <c r="K219" s="160">
        <f>InputData!$C$5</f>
        <v>0.01</v>
      </c>
      <c r="L219" s="160">
        <f>InputData!$C$6</f>
        <v>6.2100000000000002E-2</v>
      </c>
      <c r="M219" s="160">
        <f>InputData!$C$7</f>
        <v>0.03</v>
      </c>
      <c r="N219" s="160">
        <f>InputData!$C$8</f>
        <v>0.02</v>
      </c>
      <c r="O219" s="160">
        <f>InputData!$C$9</f>
        <v>0.06</v>
      </c>
      <c r="P219" s="160">
        <f>InputData!$C$10</f>
        <v>0.02</v>
      </c>
      <c r="Q219" s="160">
        <f>InputData!$C$11</f>
        <v>0.02</v>
      </c>
      <c r="R219" s="160">
        <f>InputData!$C$12</f>
        <v>0.02</v>
      </c>
      <c r="S219" s="160">
        <f>InputData!$C$13</f>
        <v>0.9</v>
      </c>
      <c r="T219" s="116">
        <f>InputData!$C$88</f>
        <v>180000</v>
      </c>
      <c r="U219" s="116">
        <f>InputData!$C$81</f>
        <v>178500</v>
      </c>
      <c r="V219" s="116">
        <f>InputData!$C$82</f>
        <v>303960</v>
      </c>
      <c r="W219" s="116">
        <f>InputData!$C$84</f>
        <v>215220</v>
      </c>
      <c r="X219" s="116">
        <f>InputData!$C$85</f>
        <v>409020</v>
      </c>
      <c r="Y219" s="116">
        <f>InputData!$C$116</f>
        <v>140000</v>
      </c>
      <c r="Z219" s="160">
        <f>InputData!$E$13</f>
        <v>0</v>
      </c>
    </row>
    <row r="220" spans="1:26" x14ac:dyDescent="0.25">
      <c r="A220">
        <f>InputData!$K$1</f>
        <v>2013</v>
      </c>
      <c r="B220" t="str">
        <f>InputData!$G$1</f>
        <v>San Antonio, TX</v>
      </c>
      <c r="C220" t="s">
        <v>11</v>
      </c>
      <c r="D220" t="str">
        <f>Graph_IntMed!$J$6</f>
        <v>IBRr</v>
      </c>
      <c r="E220" t="str">
        <f t="shared" si="3"/>
        <v>Internal Medicine IBRr</v>
      </c>
      <c r="F220">
        <f>Graph_IntMed!$A15</f>
        <v>2021</v>
      </c>
      <c r="G220">
        <f>Graph_IntMed!$B15</f>
        <v>9</v>
      </c>
      <c r="H220" s="165">
        <f>Graph_IntMed!$J15</f>
        <v>69527.795825752124</v>
      </c>
      <c r="I220" s="160">
        <f>InputData!$C$3</f>
        <v>0.02</v>
      </c>
      <c r="J220" s="160">
        <f>InputData!$C$4</f>
        <v>0.01</v>
      </c>
      <c r="K220" s="160">
        <f>InputData!$C$5</f>
        <v>0.01</v>
      </c>
      <c r="L220" s="160">
        <f>InputData!$C$6</f>
        <v>6.2100000000000002E-2</v>
      </c>
      <c r="M220" s="160">
        <f>InputData!$C$7</f>
        <v>0.03</v>
      </c>
      <c r="N220" s="160">
        <f>InputData!$C$8</f>
        <v>0.02</v>
      </c>
      <c r="O220" s="160">
        <f>InputData!$C$9</f>
        <v>0.06</v>
      </c>
      <c r="P220" s="160">
        <f>InputData!$C$10</f>
        <v>0.02</v>
      </c>
      <c r="Q220" s="160">
        <f>InputData!$C$11</f>
        <v>0.02</v>
      </c>
      <c r="R220" s="160">
        <f>InputData!$C$12</f>
        <v>0.02</v>
      </c>
      <c r="S220" s="160">
        <f>InputData!$C$13</f>
        <v>0.9</v>
      </c>
      <c r="T220" s="116">
        <f>InputData!$C$88</f>
        <v>180000</v>
      </c>
      <c r="U220" s="116">
        <f>InputData!$C$81</f>
        <v>178500</v>
      </c>
      <c r="V220" s="116">
        <f>InputData!$C$82</f>
        <v>303960</v>
      </c>
      <c r="W220" s="116">
        <f>InputData!$C$84</f>
        <v>215220</v>
      </c>
      <c r="X220" s="116">
        <f>InputData!$C$85</f>
        <v>409020</v>
      </c>
      <c r="Y220" s="116">
        <f>InputData!$C$116</f>
        <v>140000</v>
      </c>
      <c r="Z220" s="160">
        <f>InputData!$E$13</f>
        <v>0</v>
      </c>
    </row>
    <row r="221" spans="1:26" x14ac:dyDescent="0.25">
      <c r="A221">
        <f>InputData!$K$1</f>
        <v>2013</v>
      </c>
      <c r="B221" t="str">
        <f>InputData!$G$1</f>
        <v>San Antonio, TX</v>
      </c>
      <c r="C221" t="s">
        <v>11</v>
      </c>
      <c r="D221" t="str">
        <f>Graph_IntMed!$J$6</f>
        <v>IBRr</v>
      </c>
      <c r="E221" t="str">
        <f t="shared" si="3"/>
        <v>Internal Medicine IBRr</v>
      </c>
      <c r="F221">
        <f>Graph_IntMed!$A16</f>
        <v>2022</v>
      </c>
      <c r="G221">
        <f>Graph_IntMed!$B16</f>
        <v>10</v>
      </c>
      <c r="H221" s="165">
        <f>Graph_IntMed!$J16</f>
        <v>150299.22418307903</v>
      </c>
      <c r="I221" s="160">
        <f>InputData!$C$3</f>
        <v>0.02</v>
      </c>
      <c r="J221" s="160">
        <f>InputData!$C$4</f>
        <v>0.01</v>
      </c>
      <c r="K221" s="160">
        <f>InputData!$C$5</f>
        <v>0.01</v>
      </c>
      <c r="L221" s="160">
        <f>InputData!$C$6</f>
        <v>6.2100000000000002E-2</v>
      </c>
      <c r="M221" s="160">
        <f>InputData!$C$7</f>
        <v>0.03</v>
      </c>
      <c r="N221" s="160">
        <f>InputData!$C$8</f>
        <v>0.02</v>
      </c>
      <c r="O221" s="160">
        <f>InputData!$C$9</f>
        <v>0.06</v>
      </c>
      <c r="P221" s="160">
        <f>InputData!$C$10</f>
        <v>0.02</v>
      </c>
      <c r="Q221" s="160">
        <f>InputData!$C$11</f>
        <v>0.02</v>
      </c>
      <c r="R221" s="160">
        <f>InputData!$C$12</f>
        <v>0.02</v>
      </c>
      <c r="S221" s="160">
        <f>InputData!$C$13</f>
        <v>0.9</v>
      </c>
      <c r="T221" s="116">
        <f>InputData!$C$88</f>
        <v>180000</v>
      </c>
      <c r="U221" s="116">
        <f>InputData!$C$81</f>
        <v>178500</v>
      </c>
      <c r="V221" s="116">
        <f>InputData!$C$82</f>
        <v>303960</v>
      </c>
      <c r="W221" s="116">
        <f>InputData!$C$84</f>
        <v>215220</v>
      </c>
      <c r="X221" s="116">
        <f>InputData!$C$85</f>
        <v>409020</v>
      </c>
      <c r="Y221" s="116">
        <f>InputData!$C$116</f>
        <v>140000</v>
      </c>
      <c r="Z221" s="160">
        <f>InputData!$E$13</f>
        <v>0</v>
      </c>
    </row>
    <row r="222" spans="1:26" x14ac:dyDescent="0.25">
      <c r="A222">
        <f>InputData!$K$1</f>
        <v>2013</v>
      </c>
      <c r="B222" t="str">
        <f>InputData!$G$1</f>
        <v>San Antonio, TX</v>
      </c>
      <c r="C222" t="s">
        <v>11</v>
      </c>
      <c r="D222" t="str">
        <f>Graph_IntMed!$J$6</f>
        <v>IBRr</v>
      </c>
      <c r="E222" t="str">
        <f t="shared" si="3"/>
        <v>Internal Medicine IBRr</v>
      </c>
      <c r="F222">
        <f>Graph_IntMed!$A17</f>
        <v>2023</v>
      </c>
      <c r="G222">
        <f>Graph_IntMed!$B17</f>
        <v>11</v>
      </c>
      <c r="H222" s="165">
        <f>Graph_IntMed!$J17</f>
        <v>230010.71804335178</v>
      </c>
      <c r="I222" s="160">
        <f>InputData!$C$3</f>
        <v>0.02</v>
      </c>
      <c r="J222" s="160">
        <f>InputData!$C$4</f>
        <v>0.01</v>
      </c>
      <c r="K222" s="160">
        <f>InputData!$C$5</f>
        <v>0.01</v>
      </c>
      <c r="L222" s="160">
        <f>InputData!$C$6</f>
        <v>6.2100000000000002E-2</v>
      </c>
      <c r="M222" s="160">
        <f>InputData!$C$7</f>
        <v>0.03</v>
      </c>
      <c r="N222" s="160">
        <f>InputData!$C$8</f>
        <v>0.02</v>
      </c>
      <c r="O222" s="160">
        <f>InputData!$C$9</f>
        <v>0.06</v>
      </c>
      <c r="P222" s="160">
        <f>InputData!$C$10</f>
        <v>0.02</v>
      </c>
      <c r="Q222" s="160">
        <f>InputData!$C$11</f>
        <v>0.02</v>
      </c>
      <c r="R222" s="160">
        <f>InputData!$C$12</f>
        <v>0.02</v>
      </c>
      <c r="S222" s="160">
        <f>InputData!$C$13</f>
        <v>0.9</v>
      </c>
      <c r="T222" s="116">
        <f>InputData!$C$88</f>
        <v>180000</v>
      </c>
      <c r="U222" s="116">
        <f>InputData!$C$81</f>
        <v>178500</v>
      </c>
      <c r="V222" s="116">
        <f>InputData!$C$82</f>
        <v>303960</v>
      </c>
      <c r="W222" s="116">
        <f>InputData!$C$84</f>
        <v>215220</v>
      </c>
      <c r="X222" s="116">
        <f>InputData!$C$85</f>
        <v>409020</v>
      </c>
      <c r="Y222" s="116">
        <f>InputData!$C$116</f>
        <v>140000</v>
      </c>
      <c r="Z222" s="160">
        <f>InputData!$E$13</f>
        <v>0</v>
      </c>
    </row>
    <row r="223" spans="1:26" x14ac:dyDescent="0.25">
      <c r="A223">
        <f>InputData!$K$1</f>
        <v>2013</v>
      </c>
      <c r="B223" t="str">
        <f>InputData!$G$1</f>
        <v>San Antonio, TX</v>
      </c>
      <c r="C223" t="s">
        <v>11</v>
      </c>
      <c r="D223" t="str">
        <f>Graph_IntMed!$J$6</f>
        <v>IBRr</v>
      </c>
      <c r="E223" t="str">
        <f t="shared" si="3"/>
        <v>Internal Medicine IBRr</v>
      </c>
      <c r="F223">
        <f>Graph_IntMed!$A18</f>
        <v>2024</v>
      </c>
      <c r="G223">
        <f>Graph_IntMed!$B18</f>
        <v>12</v>
      </c>
      <c r="H223" s="165">
        <f>Graph_IntMed!$J18</f>
        <v>308657.64215397066</v>
      </c>
      <c r="I223" s="160">
        <f>InputData!$C$3</f>
        <v>0.02</v>
      </c>
      <c r="J223" s="160">
        <f>InputData!$C$4</f>
        <v>0.01</v>
      </c>
      <c r="K223" s="160">
        <f>InputData!$C$5</f>
        <v>0.01</v>
      </c>
      <c r="L223" s="160">
        <f>InputData!$C$6</f>
        <v>6.2100000000000002E-2</v>
      </c>
      <c r="M223" s="160">
        <f>InputData!$C$7</f>
        <v>0.03</v>
      </c>
      <c r="N223" s="160">
        <f>InputData!$C$8</f>
        <v>0.02</v>
      </c>
      <c r="O223" s="160">
        <f>InputData!$C$9</f>
        <v>0.06</v>
      </c>
      <c r="P223" s="160">
        <f>InputData!$C$10</f>
        <v>0.02</v>
      </c>
      <c r="Q223" s="160">
        <f>InputData!$C$11</f>
        <v>0.02</v>
      </c>
      <c r="R223" s="160">
        <f>InputData!$C$12</f>
        <v>0.02</v>
      </c>
      <c r="S223" s="160">
        <f>InputData!$C$13</f>
        <v>0.9</v>
      </c>
      <c r="T223" s="116">
        <f>InputData!$C$88</f>
        <v>180000</v>
      </c>
      <c r="U223" s="116">
        <f>InputData!$C$81</f>
        <v>178500</v>
      </c>
      <c r="V223" s="116">
        <f>InputData!$C$82</f>
        <v>303960</v>
      </c>
      <c r="W223" s="116">
        <f>InputData!$C$84</f>
        <v>215220</v>
      </c>
      <c r="X223" s="116">
        <f>InputData!$C$85</f>
        <v>409020</v>
      </c>
      <c r="Y223" s="116">
        <f>InputData!$C$116</f>
        <v>140000</v>
      </c>
      <c r="Z223" s="160">
        <f>InputData!$E$13</f>
        <v>0</v>
      </c>
    </row>
    <row r="224" spans="1:26" x14ac:dyDescent="0.25">
      <c r="A224">
        <f>InputData!$K$1</f>
        <v>2013</v>
      </c>
      <c r="B224" t="str">
        <f>InputData!$G$1</f>
        <v>San Antonio, TX</v>
      </c>
      <c r="C224" t="s">
        <v>11</v>
      </c>
      <c r="D224" t="str">
        <f>Graph_IntMed!$J$6</f>
        <v>IBRr</v>
      </c>
      <c r="E224" t="str">
        <f t="shared" si="3"/>
        <v>Internal Medicine IBRr</v>
      </c>
      <c r="F224">
        <f>Graph_IntMed!$A19</f>
        <v>2025</v>
      </c>
      <c r="G224">
        <f>Graph_IntMed!$B19</f>
        <v>13</v>
      </c>
      <c r="H224" s="165">
        <f>Graph_IntMed!$J19</f>
        <v>386236.68189185776</v>
      </c>
      <c r="I224" s="160">
        <f>InputData!$C$3</f>
        <v>0.02</v>
      </c>
      <c r="J224" s="160">
        <f>InputData!$C$4</f>
        <v>0.01</v>
      </c>
      <c r="K224" s="160">
        <f>InputData!$C$5</f>
        <v>0.01</v>
      </c>
      <c r="L224" s="160">
        <f>InputData!$C$6</f>
        <v>6.2100000000000002E-2</v>
      </c>
      <c r="M224" s="160">
        <f>InputData!$C$7</f>
        <v>0.03</v>
      </c>
      <c r="N224" s="160">
        <f>InputData!$C$8</f>
        <v>0.02</v>
      </c>
      <c r="O224" s="160">
        <f>InputData!$C$9</f>
        <v>0.06</v>
      </c>
      <c r="P224" s="160">
        <f>InputData!$C$10</f>
        <v>0.02</v>
      </c>
      <c r="Q224" s="160">
        <f>InputData!$C$11</f>
        <v>0.02</v>
      </c>
      <c r="R224" s="160">
        <f>InputData!$C$12</f>
        <v>0.02</v>
      </c>
      <c r="S224" s="160">
        <f>InputData!$C$13</f>
        <v>0.9</v>
      </c>
      <c r="T224" s="116">
        <f>InputData!$C$88</f>
        <v>180000</v>
      </c>
      <c r="U224" s="116">
        <f>InputData!$C$81</f>
        <v>178500</v>
      </c>
      <c r="V224" s="116">
        <f>InputData!$C$82</f>
        <v>303960</v>
      </c>
      <c r="W224" s="116">
        <f>InputData!$C$84</f>
        <v>215220</v>
      </c>
      <c r="X224" s="116">
        <f>InputData!$C$85</f>
        <v>409020</v>
      </c>
      <c r="Y224" s="116">
        <f>InputData!$C$116</f>
        <v>140000</v>
      </c>
      <c r="Z224" s="160">
        <f>InputData!$E$13</f>
        <v>0</v>
      </c>
    </row>
    <row r="225" spans="1:26" x14ac:dyDescent="0.25">
      <c r="A225">
        <f>InputData!$K$1</f>
        <v>2013</v>
      </c>
      <c r="B225" t="str">
        <f>InputData!$G$1</f>
        <v>San Antonio, TX</v>
      </c>
      <c r="C225" t="s">
        <v>11</v>
      </c>
      <c r="D225" t="str">
        <f>Graph_IntMed!$J$6</f>
        <v>IBRr</v>
      </c>
      <c r="E225" t="str">
        <f t="shared" si="3"/>
        <v>Internal Medicine IBRr</v>
      </c>
      <c r="F225">
        <f>Graph_IntMed!$A20</f>
        <v>2026</v>
      </c>
      <c r="G225">
        <f>Graph_IntMed!$B20</f>
        <v>14</v>
      </c>
      <c r="H225" s="165">
        <f>Graph_IntMed!$J20</f>
        <v>462745.75797988812</v>
      </c>
      <c r="I225" s="160">
        <f>InputData!$C$3</f>
        <v>0.02</v>
      </c>
      <c r="J225" s="160">
        <f>InputData!$C$4</f>
        <v>0.01</v>
      </c>
      <c r="K225" s="160">
        <f>InputData!$C$5</f>
        <v>0.01</v>
      </c>
      <c r="L225" s="160">
        <f>InputData!$C$6</f>
        <v>6.2100000000000002E-2</v>
      </c>
      <c r="M225" s="160">
        <f>InputData!$C$7</f>
        <v>0.03</v>
      </c>
      <c r="N225" s="160">
        <f>InputData!$C$8</f>
        <v>0.02</v>
      </c>
      <c r="O225" s="160">
        <f>InputData!$C$9</f>
        <v>0.06</v>
      </c>
      <c r="P225" s="160">
        <f>InputData!$C$10</f>
        <v>0.02</v>
      </c>
      <c r="Q225" s="160">
        <f>InputData!$C$11</f>
        <v>0.02</v>
      </c>
      <c r="R225" s="160">
        <f>InputData!$C$12</f>
        <v>0.02</v>
      </c>
      <c r="S225" s="160">
        <f>InputData!$C$13</f>
        <v>0.9</v>
      </c>
      <c r="T225" s="116">
        <f>InputData!$C$88</f>
        <v>180000</v>
      </c>
      <c r="U225" s="116">
        <f>InputData!$C$81</f>
        <v>178500</v>
      </c>
      <c r="V225" s="116">
        <f>InputData!$C$82</f>
        <v>303960</v>
      </c>
      <c r="W225" s="116">
        <f>InputData!$C$84</f>
        <v>215220</v>
      </c>
      <c r="X225" s="116">
        <f>InputData!$C$85</f>
        <v>409020</v>
      </c>
      <c r="Y225" s="116">
        <f>InputData!$C$116</f>
        <v>140000</v>
      </c>
      <c r="Z225" s="160">
        <f>InputData!$E$13</f>
        <v>0</v>
      </c>
    </row>
    <row r="226" spans="1:26" x14ac:dyDescent="0.25">
      <c r="A226">
        <f>InputData!$K$1</f>
        <v>2013</v>
      </c>
      <c r="B226" t="str">
        <f>InputData!$G$1</f>
        <v>San Antonio, TX</v>
      </c>
      <c r="C226" t="s">
        <v>11</v>
      </c>
      <c r="D226" t="str">
        <f>Graph_IntMed!$J$6</f>
        <v>IBRr</v>
      </c>
      <c r="E226" t="str">
        <f t="shared" si="3"/>
        <v>Internal Medicine IBRr</v>
      </c>
      <c r="F226">
        <f>Graph_IntMed!$A21</f>
        <v>2027</v>
      </c>
      <c r="G226">
        <f>Graph_IntMed!$B21</f>
        <v>15</v>
      </c>
      <c r="H226" s="165">
        <f>Graph_IntMed!$J21</f>
        <v>538125.56112691364</v>
      </c>
      <c r="I226" s="160">
        <f>InputData!$C$3</f>
        <v>0.02</v>
      </c>
      <c r="J226" s="160">
        <f>InputData!$C$4</f>
        <v>0.01</v>
      </c>
      <c r="K226" s="160">
        <f>InputData!$C$5</f>
        <v>0.01</v>
      </c>
      <c r="L226" s="160">
        <f>InputData!$C$6</f>
        <v>6.2100000000000002E-2</v>
      </c>
      <c r="M226" s="160">
        <f>InputData!$C$7</f>
        <v>0.03</v>
      </c>
      <c r="N226" s="160">
        <f>InputData!$C$8</f>
        <v>0.02</v>
      </c>
      <c r="O226" s="160">
        <f>InputData!$C$9</f>
        <v>0.06</v>
      </c>
      <c r="P226" s="160">
        <f>InputData!$C$10</f>
        <v>0.02</v>
      </c>
      <c r="Q226" s="160">
        <f>InputData!$C$11</f>
        <v>0.02</v>
      </c>
      <c r="R226" s="160">
        <f>InputData!$C$12</f>
        <v>0.02</v>
      </c>
      <c r="S226" s="160">
        <f>InputData!$C$13</f>
        <v>0.9</v>
      </c>
      <c r="T226" s="116">
        <f>InputData!$C$88</f>
        <v>180000</v>
      </c>
      <c r="U226" s="116">
        <f>InputData!$C$81</f>
        <v>178500</v>
      </c>
      <c r="V226" s="116">
        <f>InputData!$C$82</f>
        <v>303960</v>
      </c>
      <c r="W226" s="116">
        <f>InputData!$C$84</f>
        <v>215220</v>
      </c>
      <c r="X226" s="116">
        <f>InputData!$C$85</f>
        <v>409020</v>
      </c>
      <c r="Y226" s="116">
        <f>InputData!$C$116</f>
        <v>140000</v>
      </c>
      <c r="Z226" s="160">
        <f>InputData!$E$13</f>
        <v>0</v>
      </c>
    </row>
    <row r="227" spans="1:26" x14ac:dyDescent="0.25">
      <c r="A227">
        <f>InputData!$K$1</f>
        <v>2013</v>
      </c>
      <c r="B227" t="str">
        <f>InputData!$G$1</f>
        <v>San Antonio, TX</v>
      </c>
      <c r="C227" t="s">
        <v>11</v>
      </c>
      <c r="D227" t="str">
        <f>Graph_IntMed!$J$6</f>
        <v>IBRr</v>
      </c>
      <c r="E227" t="str">
        <f t="shared" si="3"/>
        <v>Internal Medicine IBRr</v>
      </c>
      <c r="F227">
        <f>Graph_IntMed!$A22</f>
        <v>2028</v>
      </c>
      <c r="G227">
        <f>Graph_IntMed!$B22</f>
        <v>16</v>
      </c>
      <c r="H227" s="165">
        <f>Graph_IntMed!$J22</f>
        <v>612376.1974839773</v>
      </c>
      <c r="I227" s="160">
        <f>InputData!$C$3</f>
        <v>0.02</v>
      </c>
      <c r="J227" s="160">
        <f>InputData!$C$4</f>
        <v>0.01</v>
      </c>
      <c r="K227" s="160">
        <f>InputData!$C$5</f>
        <v>0.01</v>
      </c>
      <c r="L227" s="160">
        <f>InputData!$C$6</f>
        <v>6.2100000000000002E-2</v>
      </c>
      <c r="M227" s="160">
        <f>InputData!$C$7</f>
        <v>0.03</v>
      </c>
      <c r="N227" s="160">
        <f>InputData!$C$8</f>
        <v>0.02</v>
      </c>
      <c r="O227" s="160">
        <f>InputData!$C$9</f>
        <v>0.06</v>
      </c>
      <c r="P227" s="160">
        <f>InputData!$C$10</f>
        <v>0.02</v>
      </c>
      <c r="Q227" s="160">
        <f>InputData!$C$11</f>
        <v>0.02</v>
      </c>
      <c r="R227" s="160">
        <f>InputData!$C$12</f>
        <v>0.02</v>
      </c>
      <c r="S227" s="160">
        <f>InputData!$C$13</f>
        <v>0.9</v>
      </c>
      <c r="T227" s="116">
        <f>InputData!$C$88</f>
        <v>180000</v>
      </c>
      <c r="U227" s="116">
        <f>InputData!$C$81</f>
        <v>178500</v>
      </c>
      <c r="V227" s="116">
        <f>InputData!$C$82</f>
        <v>303960</v>
      </c>
      <c r="W227" s="116">
        <f>InputData!$C$84</f>
        <v>215220</v>
      </c>
      <c r="X227" s="116">
        <f>InputData!$C$85</f>
        <v>409020</v>
      </c>
      <c r="Y227" s="116">
        <f>InputData!$C$116</f>
        <v>140000</v>
      </c>
      <c r="Z227" s="160">
        <f>InputData!$E$13</f>
        <v>0</v>
      </c>
    </row>
    <row r="228" spans="1:26" x14ac:dyDescent="0.25">
      <c r="A228">
        <f>InputData!$K$1</f>
        <v>2013</v>
      </c>
      <c r="B228" t="str">
        <f>InputData!$G$1</f>
        <v>San Antonio, TX</v>
      </c>
      <c r="C228" t="s">
        <v>11</v>
      </c>
      <c r="D228" t="str">
        <f>Graph_IntMed!$J$6</f>
        <v>IBRr</v>
      </c>
      <c r="E228" t="str">
        <f t="shared" si="3"/>
        <v>Internal Medicine IBRr</v>
      </c>
      <c r="F228">
        <f>Graph_IntMed!$A23</f>
        <v>2029</v>
      </c>
      <c r="G228">
        <f>Graph_IntMed!$B23</f>
        <v>17</v>
      </c>
      <c r="H228" s="165">
        <f>Graph_IntMed!$J23</f>
        <v>685501.70732809161</v>
      </c>
      <c r="I228" s="160">
        <f>InputData!$C$3</f>
        <v>0.02</v>
      </c>
      <c r="J228" s="160">
        <f>InputData!$C$4</f>
        <v>0.01</v>
      </c>
      <c r="K228" s="160">
        <f>InputData!$C$5</f>
        <v>0.01</v>
      </c>
      <c r="L228" s="160">
        <f>InputData!$C$6</f>
        <v>6.2100000000000002E-2</v>
      </c>
      <c r="M228" s="160">
        <f>InputData!$C$7</f>
        <v>0.03</v>
      </c>
      <c r="N228" s="160">
        <f>InputData!$C$8</f>
        <v>0.02</v>
      </c>
      <c r="O228" s="160">
        <f>InputData!$C$9</f>
        <v>0.06</v>
      </c>
      <c r="P228" s="160">
        <f>InputData!$C$10</f>
        <v>0.02</v>
      </c>
      <c r="Q228" s="160">
        <f>InputData!$C$11</f>
        <v>0.02</v>
      </c>
      <c r="R228" s="160">
        <f>InputData!$C$12</f>
        <v>0.02</v>
      </c>
      <c r="S228" s="160">
        <f>InputData!$C$13</f>
        <v>0.9</v>
      </c>
      <c r="T228" s="116">
        <f>InputData!$C$88</f>
        <v>180000</v>
      </c>
      <c r="U228" s="116">
        <f>InputData!$C$81</f>
        <v>178500</v>
      </c>
      <c r="V228" s="116">
        <f>InputData!$C$82</f>
        <v>303960</v>
      </c>
      <c r="W228" s="116">
        <f>InputData!$C$84</f>
        <v>215220</v>
      </c>
      <c r="X228" s="116">
        <f>InputData!$C$85</f>
        <v>409020</v>
      </c>
      <c r="Y228" s="116">
        <f>InputData!$C$116</f>
        <v>140000</v>
      </c>
      <c r="Z228" s="160">
        <f>InputData!$E$13</f>
        <v>0</v>
      </c>
    </row>
    <row r="229" spans="1:26" x14ac:dyDescent="0.25">
      <c r="A229">
        <f>InputData!$K$1</f>
        <v>2013</v>
      </c>
      <c r="B229" t="str">
        <f>InputData!$G$1</f>
        <v>San Antonio, TX</v>
      </c>
      <c r="C229" t="s">
        <v>11</v>
      </c>
      <c r="D229" t="str">
        <f>Graph_IntMed!$J$6</f>
        <v>IBRr</v>
      </c>
      <c r="E229" t="str">
        <f t="shared" si="3"/>
        <v>Internal Medicine IBRr</v>
      </c>
      <c r="F229">
        <f>Graph_IntMed!$A24</f>
        <v>2030</v>
      </c>
      <c r="G229">
        <f>Graph_IntMed!$B24</f>
        <v>18</v>
      </c>
      <c r="H229" s="165">
        <f>Graph_IntMed!$J24</f>
        <v>757506.96127388917</v>
      </c>
      <c r="I229" s="160">
        <f>InputData!$C$3</f>
        <v>0.02</v>
      </c>
      <c r="J229" s="160">
        <f>InputData!$C$4</f>
        <v>0.01</v>
      </c>
      <c r="K229" s="160">
        <f>InputData!$C$5</f>
        <v>0.01</v>
      </c>
      <c r="L229" s="160">
        <f>InputData!$C$6</f>
        <v>6.2100000000000002E-2</v>
      </c>
      <c r="M229" s="160">
        <f>InputData!$C$7</f>
        <v>0.03</v>
      </c>
      <c r="N229" s="160">
        <f>InputData!$C$8</f>
        <v>0.02</v>
      </c>
      <c r="O229" s="160">
        <f>InputData!$C$9</f>
        <v>0.06</v>
      </c>
      <c r="P229" s="160">
        <f>InputData!$C$10</f>
        <v>0.02</v>
      </c>
      <c r="Q229" s="160">
        <f>InputData!$C$11</f>
        <v>0.02</v>
      </c>
      <c r="R229" s="160">
        <f>InputData!$C$12</f>
        <v>0.02</v>
      </c>
      <c r="S229" s="160">
        <f>InputData!$C$13</f>
        <v>0.9</v>
      </c>
      <c r="T229" s="116">
        <f>InputData!$C$88</f>
        <v>180000</v>
      </c>
      <c r="U229" s="116">
        <f>InputData!$C$81</f>
        <v>178500</v>
      </c>
      <c r="V229" s="116">
        <f>InputData!$C$82</f>
        <v>303960</v>
      </c>
      <c r="W229" s="116">
        <f>InputData!$C$84</f>
        <v>215220</v>
      </c>
      <c r="X229" s="116">
        <f>InputData!$C$85</f>
        <v>409020</v>
      </c>
      <c r="Y229" s="116">
        <f>InputData!$C$116</f>
        <v>140000</v>
      </c>
      <c r="Z229" s="160">
        <f>InputData!$E$13</f>
        <v>0</v>
      </c>
    </row>
    <row r="230" spans="1:26" x14ac:dyDescent="0.25">
      <c r="A230">
        <f>InputData!$K$1</f>
        <v>2013</v>
      </c>
      <c r="B230" t="str">
        <f>InputData!$G$1</f>
        <v>San Antonio, TX</v>
      </c>
      <c r="C230" t="s">
        <v>11</v>
      </c>
      <c r="D230" t="str">
        <f>Graph_IntMed!$J$6</f>
        <v>IBRr</v>
      </c>
      <c r="E230" t="str">
        <f t="shared" si="3"/>
        <v>Internal Medicine IBRr</v>
      </c>
      <c r="F230">
        <f>Graph_IntMed!$A25</f>
        <v>2031</v>
      </c>
      <c r="G230">
        <f>Graph_IntMed!$B25</f>
        <v>19</v>
      </c>
      <c r="H230" s="165">
        <f>Graph_IntMed!$J25</f>
        <v>839266.72817268269</v>
      </c>
      <c r="I230" s="160">
        <f>InputData!$C$3</f>
        <v>0.02</v>
      </c>
      <c r="J230" s="160">
        <f>InputData!$C$4</f>
        <v>0.01</v>
      </c>
      <c r="K230" s="160">
        <f>InputData!$C$5</f>
        <v>0.01</v>
      </c>
      <c r="L230" s="160">
        <f>InputData!$C$6</f>
        <v>6.2100000000000002E-2</v>
      </c>
      <c r="M230" s="160">
        <f>InputData!$C$7</f>
        <v>0.03</v>
      </c>
      <c r="N230" s="160">
        <f>InputData!$C$8</f>
        <v>0.02</v>
      </c>
      <c r="O230" s="160">
        <f>InputData!$C$9</f>
        <v>0.06</v>
      </c>
      <c r="P230" s="160">
        <f>InputData!$C$10</f>
        <v>0.02</v>
      </c>
      <c r="Q230" s="160">
        <f>InputData!$C$11</f>
        <v>0.02</v>
      </c>
      <c r="R230" s="160">
        <f>InputData!$C$12</f>
        <v>0.02</v>
      </c>
      <c r="S230" s="160">
        <f>InputData!$C$13</f>
        <v>0.9</v>
      </c>
      <c r="T230" s="116">
        <f>InputData!$C$88</f>
        <v>180000</v>
      </c>
      <c r="U230" s="116">
        <f>InputData!$C$81</f>
        <v>178500</v>
      </c>
      <c r="V230" s="116">
        <f>InputData!$C$82</f>
        <v>303960</v>
      </c>
      <c r="W230" s="116">
        <f>InputData!$C$84</f>
        <v>215220</v>
      </c>
      <c r="X230" s="116">
        <f>InputData!$C$85</f>
        <v>409020</v>
      </c>
      <c r="Y230" s="116">
        <f>InputData!$C$116</f>
        <v>140000</v>
      </c>
      <c r="Z230" s="160">
        <f>InputData!$E$13</f>
        <v>0</v>
      </c>
    </row>
    <row r="231" spans="1:26" x14ac:dyDescent="0.25">
      <c r="A231">
        <f>InputData!$K$1</f>
        <v>2013</v>
      </c>
      <c r="B231" t="str">
        <f>InputData!$G$1</f>
        <v>San Antonio, TX</v>
      </c>
      <c r="C231" t="s">
        <v>11</v>
      </c>
      <c r="D231" t="str">
        <f>Graph_IntMed!$J$6</f>
        <v>IBRr</v>
      </c>
      <c r="E231" t="str">
        <f t="shared" si="3"/>
        <v>Internal Medicine IBRr</v>
      </c>
      <c r="F231">
        <f>Graph_IntMed!$A26</f>
        <v>2032</v>
      </c>
      <c r="G231">
        <f>Graph_IntMed!$B26</f>
        <v>20</v>
      </c>
      <c r="H231" s="165">
        <f>Graph_IntMed!$J26</f>
        <v>920459.58031337033</v>
      </c>
      <c r="I231" s="160">
        <f>InputData!$C$3</f>
        <v>0.02</v>
      </c>
      <c r="J231" s="160">
        <f>InputData!$C$4</f>
        <v>0.01</v>
      </c>
      <c r="K231" s="160">
        <f>InputData!$C$5</f>
        <v>0.01</v>
      </c>
      <c r="L231" s="160">
        <f>InputData!$C$6</f>
        <v>6.2100000000000002E-2</v>
      </c>
      <c r="M231" s="160">
        <f>InputData!$C$7</f>
        <v>0.03</v>
      </c>
      <c r="N231" s="160">
        <f>InputData!$C$8</f>
        <v>0.02</v>
      </c>
      <c r="O231" s="160">
        <f>InputData!$C$9</f>
        <v>0.06</v>
      </c>
      <c r="P231" s="160">
        <f>InputData!$C$10</f>
        <v>0.02</v>
      </c>
      <c r="Q231" s="160">
        <f>InputData!$C$11</f>
        <v>0.02</v>
      </c>
      <c r="R231" s="160">
        <f>InputData!$C$12</f>
        <v>0.02</v>
      </c>
      <c r="S231" s="160">
        <f>InputData!$C$13</f>
        <v>0.9</v>
      </c>
      <c r="T231" s="116">
        <f>InputData!$C$88</f>
        <v>180000</v>
      </c>
      <c r="U231" s="116">
        <f>InputData!$C$81</f>
        <v>178500</v>
      </c>
      <c r="V231" s="116">
        <f>InputData!$C$82</f>
        <v>303960</v>
      </c>
      <c r="W231" s="116">
        <f>InputData!$C$84</f>
        <v>215220</v>
      </c>
      <c r="X231" s="116">
        <f>InputData!$C$85</f>
        <v>409020</v>
      </c>
      <c r="Y231" s="116">
        <f>InputData!$C$116</f>
        <v>140000</v>
      </c>
      <c r="Z231" s="160">
        <f>InputData!$E$13</f>
        <v>0</v>
      </c>
    </row>
    <row r="232" spans="1:26" x14ac:dyDescent="0.25">
      <c r="A232">
        <f>InputData!$K$1</f>
        <v>2013</v>
      </c>
      <c r="B232" t="str">
        <f>InputData!$G$1</f>
        <v>San Antonio, TX</v>
      </c>
      <c r="C232" t="s">
        <v>11</v>
      </c>
      <c r="D232" t="str">
        <f>Graph_IntMed!$J$6</f>
        <v>IBRr</v>
      </c>
      <c r="E232" t="str">
        <f t="shared" si="3"/>
        <v>Internal Medicine IBRr</v>
      </c>
      <c r="F232">
        <f>Graph_IntMed!$A27</f>
        <v>2033</v>
      </c>
      <c r="G232">
        <f>Graph_IntMed!$B27</f>
        <v>21</v>
      </c>
      <c r="H232" s="165">
        <f>Graph_IntMed!$J27</f>
        <v>1000001.6129376353</v>
      </c>
      <c r="I232" s="160">
        <f>InputData!$C$3</f>
        <v>0.02</v>
      </c>
      <c r="J232" s="160">
        <f>InputData!$C$4</f>
        <v>0.01</v>
      </c>
      <c r="K232" s="160">
        <f>InputData!$C$5</f>
        <v>0.01</v>
      </c>
      <c r="L232" s="160">
        <f>InputData!$C$6</f>
        <v>6.2100000000000002E-2</v>
      </c>
      <c r="M232" s="160">
        <f>InputData!$C$7</f>
        <v>0.03</v>
      </c>
      <c r="N232" s="160">
        <f>InputData!$C$8</f>
        <v>0.02</v>
      </c>
      <c r="O232" s="160">
        <f>InputData!$C$9</f>
        <v>0.06</v>
      </c>
      <c r="P232" s="160">
        <f>InputData!$C$10</f>
        <v>0.02</v>
      </c>
      <c r="Q232" s="160">
        <f>InputData!$C$11</f>
        <v>0.02</v>
      </c>
      <c r="R232" s="160">
        <f>InputData!$C$12</f>
        <v>0.02</v>
      </c>
      <c r="S232" s="160">
        <f>InputData!$C$13</f>
        <v>0.9</v>
      </c>
      <c r="T232" s="116">
        <f>InputData!$C$88</f>
        <v>180000</v>
      </c>
      <c r="U232" s="116">
        <f>InputData!$C$81</f>
        <v>178500</v>
      </c>
      <c r="V232" s="116">
        <f>InputData!$C$82</f>
        <v>303960</v>
      </c>
      <c r="W232" s="116">
        <f>InputData!$C$84</f>
        <v>215220</v>
      </c>
      <c r="X232" s="116">
        <f>InputData!$C$85</f>
        <v>409020</v>
      </c>
      <c r="Y232" s="116">
        <f>InputData!$C$116</f>
        <v>140000</v>
      </c>
      <c r="Z232" s="160">
        <f>InputData!$E$13</f>
        <v>0</v>
      </c>
    </row>
    <row r="233" spans="1:26" x14ac:dyDescent="0.25">
      <c r="A233">
        <f>InputData!$K$1</f>
        <v>2013</v>
      </c>
      <c r="B233" t="str">
        <f>InputData!$G$1</f>
        <v>San Antonio, TX</v>
      </c>
      <c r="C233" t="s">
        <v>11</v>
      </c>
      <c r="D233" t="str">
        <f>Graph_IntMed!$J$6</f>
        <v>IBRr</v>
      </c>
      <c r="E233" t="str">
        <f t="shared" si="3"/>
        <v>Internal Medicine IBRr</v>
      </c>
      <c r="F233">
        <f>Graph_IntMed!$A28</f>
        <v>2034</v>
      </c>
      <c r="G233">
        <f>Graph_IntMed!$B28</f>
        <v>22</v>
      </c>
      <c r="H233" s="165">
        <f>Graph_IntMed!$J28</f>
        <v>1077926.9077587428</v>
      </c>
      <c r="I233" s="160">
        <f>InputData!$C$3</f>
        <v>0.02</v>
      </c>
      <c r="J233" s="160">
        <f>InputData!$C$4</f>
        <v>0.01</v>
      </c>
      <c r="K233" s="160">
        <f>InputData!$C$5</f>
        <v>0.01</v>
      </c>
      <c r="L233" s="160">
        <f>InputData!$C$6</f>
        <v>6.2100000000000002E-2</v>
      </c>
      <c r="M233" s="160">
        <f>InputData!$C$7</f>
        <v>0.03</v>
      </c>
      <c r="N233" s="160">
        <f>InputData!$C$8</f>
        <v>0.02</v>
      </c>
      <c r="O233" s="160">
        <f>InputData!$C$9</f>
        <v>0.06</v>
      </c>
      <c r="P233" s="160">
        <f>InputData!$C$10</f>
        <v>0.02</v>
      </c>
      <c r="Q233" s="160">
        <f>InputData!$C$11</f>
        <v>0.02</v>
      </c>
      <c r="R233" s="160">
        <f>InputData!$C$12</f>
        <v>0.02</v>
      </c>
      <c r="S233" s="160">
        <f>InputData!$C$13</f>
        <v>0.9</v>
      </c>
      <c r="T233" s="116">
        <f>InputData!$C$88</f>
        <v>180000</v>
      </c>
      <c r="U233" s="116">
        <f>InputData!$C$81</f>
        <v>178500</v>
      </c>
      <c r="V233" s="116">
        <f>InputData!$C$82</f>
        <v>303960</v>
      </c>
      <c r="W233" s="116">
        <f>InputData!$C$84</f>
        <v>215220</v>
      </c>
      <c r="X233" s="116">
        <f>InputData!$C$85</f>
        <v>409020</v>
      </c>
      <c r="Y233" s="116">
        <f>InputData!$C$116</f>
        <v>140000</v>
      </c>
      <c r="Z233" s="160">
        <f>InputData!$E$13</f>
        <v>0</v>
      </c>
    </row>
    <row r="234" spans="1:26" x14ac:dyDescent="0.25">
      <c r="A234">
        <f>InputData!$K$1</f>
        <v>2013</v>
      </c>
      <c r="B234" t="str">
        <f>InputData!$G$1</f>
        <v>San Antonio, TX</v>
      </c>
      <c r="C234" t="s">
        <v>11</v>
      </c>
      <c r="D234" t="str">
        <f>Graph_IntMed!$J$6</f>
        <v>IBRr</v>
      </c>
      <c r="E234" t="str">
        <f t="shared" si="3"/>
        <v>Internal Medicine IBRr</v>
      </c>
      <c r="F234">
        <f>Graph_IntMed!$A29</f>
        <v>2035</v>
      </c>
      <c r="G234">
        <f>Graph_IntMed!$B29</f>
        <v>23</v>
      </c>
      <c r="H234" s="165">
        <f>Graph_IntMed!$J29</f>
        <v>1154268.8283365131</v>
      </c>
      <c r="I234" s="160">
        <f>InputData!$C$3</f>
        <v>0.02</v>
      </c>
      <c r="J234" s="160">
        <f>InputData!$C$4</f>
        <v>0.01</v>
      </c>
      <c r="K234" s="160">
        <f>InputData!$C$5</f>
        <v>0.01</v>
      </c>
      <c r="L234" s="160">
        <f>InputData!$C$6</f>
        <v>6.2100000000000002E-2</v>
      </c>
      <c r="M234" s="160">
        <f>InputData!$C$7</f>
        <v>0.03</v>
      </c>
      <c r="N234" s="160">
        <f>InputData!$C$8</f>
        <v>0.02</v>
      </c>
      <c r="O234" s="160">
        <f>InputData!$C$9</f>
        <v>0.06</v>
      </c>
      <c r="P234" s="160">
        <f>InputData!$C$10</f>
        <v>0.02</v>
      </c>
      <c r="Q234" s="160">
        <f>InputData!$C$11</f>
        <v>0.02</v>
      </c>
      <c r="R234" s="160">
        <f>InputData!$C$12</f>
        <v>0.02</v>
      </c>
      <c r="S234" s="160">
        <f>InputData!$C$13</f>
        <v>0.9</v>
      </c>
      <c r="T234" s="116">
        <f>InputData!$C$88</f>
        <v>180000</v>
      </c>
      <c r="U234" s="116">
        <f>InputData!$C$81</f>
        <v>178500</v>
      </c>
      <c r="V234" s="116">
        <f>InputData!$C$82</f>
        <v>303960</v>
      </c>
      <c r="W234" s="116">
        <f>InputData!$C$84</f>
        <v>215220</v>
      </c>
      <c r="X234" s="116">
        <f>InputData!$C$85</f>
        <v>409020</v>
      </c>
      <c r="Y234" s="116">
        <f>InputData!$C$116</f>
        <v>140000</v>
      </c>
      <c r="Z234" s="160">
        <f>InputData!$E$13</f>
        <v>0</v>
      </c>
    </row>
    <row r="235" spans="1:26" x14ac:dyDescent="0.25">
      <c r="A235">
        <f>InputData!$K$1</f>
        <v>2013</v>
      </c>
      <c r="B235" t="str">
        <f>InputData!$G$1</f>
        <v>San Antonio, TX</v>
      </c>
      <c r="C235" t="s">
        <v>11</v>
      </c>
      <c r="D235" t="str">
        <f>Graph_IntMed!$J$6</f>
        <v>IBRr</v>
      </c>
      <c r="E235" t="str">
        <f t="shared" si="3"/>
        <v>Internal Medicine IBRr</v>
      </c>
      <c r="F235">
        <f>Graph_IntMed!$A30</f>
        <v>2036</v>
      </c>
      <c r="G235">
        <f>Graph_IntMed!$B30</f>
        <v>24</v>
      </c>
      <c r="H235" s="165">
        <f>Graph_IntMed!$J30</f>
        <v>1229060.0356117096</v>
      </c>
      <c r="I235" s="160">
        <f>InputData!$C$3</f>
        <v>0.02</v>
      </c>
      <c r="J235" s="160">
        <f>InputData!$C$4</f>
        <v>0.01</v>
      </c>
      <c r="K235" s="160">
        <f>InputData!$C$5</f>
        <v>0.01</v>
      </c>
      <c r="L235" s="160">
        <f>InputData!$C$6</f>
        <v>6.2100000000000002E-2</v>
      </c>
      <c r="M235" s="160">
        <f>InputData!$C$7</f>
        <v>0.03</v>
      </c>
      <c r="N235" s="160">
        <f>InputData!$C$8</f>
        <v>0.02</v>
      </c>
      <c r="O235" s="160">
        <f>InputData!$C$9</f>
        <v>0.06</v>
      </c>
      <c r="P235" s="160">
        <f>InputData!$C$10</f>
        <v>0.02</v>
      </c>
      <c r="Q235" s="160">
        <f>InputData!$C$11</f>
        <v>0.02</v>
      </c>
      <c r="R235" s="160">
        <f>InputData!$C$12</f>
        <v>0.02</v>
      </c>
      <c r="S235" s="160">
        <f>InputData!$C$13</f>
        <v>0.9</v>
      </c>
      <c r="T235" s="116">
        <f>InputData!$C$88</f>
        <v>180000</v>
      </c>
      <c r="U235" s="116">
        <f>InputData!$C$81</f>
        <v>178500</v>
      </c>
      <c r="V235" s="116">
        <f>InputData!$C$82</f>
        <v>303960</v>
      </c>
      <c r="W235" s="116">
        <f>InputData!$C$84</f>
        <v>215220</v>
      </c>
      <c r="X235" s="116">
        <f>InputData!$C$85</f>
        <v>409020</v>
      </c>
      <c r="Y235" s="116">
        <f>InputData!$C$116</f>
        <v>140000</v>
      </c>
      <c r="Z235" s="160">
        <f>InputData!$E$13</f>
        <v>0</v>
      </c>
    </row>
    <row r="236" spans="1:26" x14ac:dyDescent="0.25">
      <c r="A236">
        <f>InputData!$K$1</f>
        <v>2013</v>
      </c>
      <c r="B236" t="str">
        <f>InputData!$G$1</f>
        <v>San Antonio, TX</v>
      </c>
      <c r="C236" t="s">
        <v>11</v>
      </c>
      <c r="D236" t="str">
        <f>Graph_IntMed!$J$6</f>
        <v>IBRr</v>
      </c>
      <c r="E236" t="str">
        <f t="shared" si="3"/>
        <v>Internal Medicine IBRr</v>
      </c>
      <c r="F236">
        <f>Graph_IntMed!$A31</f>
        <v>2037</v>
      </c>
      <c r="G236">
        <f>Graph_IntMed!$B31</f>
        <v>25</v>
      </c>
      <c r="H236" s="165">
        <f>Graph_IntMed!$J31</f>
        <v>1302332.503093513</v>
      </c>
      <c r="I236" s="160">
        <f>InputData!$C$3</f>
        <v>0.02</v>
      </c>
      <c r="J236" s="160">
        <f>InputData!$C$4</f>
        <v>0.01</v>
      </c>
      <c r="K236" s="160">
        <f>InputData!$C$5</f>
        <v>0.01</v>
      </c>
      <c r="L236" s="160">
        <f>InputData!$C$6</f>
        <v>6.2100000000000002E-2</v>
      </c>
      <c r="M236" s="160">
        <f>InputData!$C$7</f>
        <v>0.03</v>
      </c>
      <c r="N236" s="160">
        <f>InputData!$C$8</f>
        <v>0.02</v>
      </c>
      <c r="O236" s="160">
        <f>InputData!$C$9</f>
        <v>0.06</v>
      </c>
      <c r="P236" s="160">
        <f>InputData!$C$10</f>
        <v>0.02</v>
      </c>
      <c r="Q236" s="160">
        <f>InputData!$C$11</f>
        <v>0.02</v>
      </c>
      <c r="R236" s="160">
        <f>InputData!$C$12</f>
        <v>0.02</v>
      </c>
      <c r="S236" s="160">
        <f>InputData!$C$13</f>
        <v>0.9</v>
      </c>
      <c r="T236" s="116">
        <f>InputData!$C$88</f>
        <v>180000</v>
      </c>
      <c r="U236" s="116">
        <f>InputData!$C$81</f>
        <v>178500</v>
      </c>
      <c r="V236" s="116">
        <f>InputData!$C$82</f>
        <v>303960</v>
      </c>
      <c r="W236" s="116">
        <f>InputData!$C$84</f>
        <v>215220</v>
      </c>
      <c r="X236" s="116">
        <f>InputData!$C$85</f>
        <v>409020</v>
      </c>
      <c r="Y236" s="116">
        <f>InputData!$C$116</f>
        <v>140000</v>
      </c>
      <c r="Z236" s="160">
        <f>InputData!$E$13</f>
        <v>0</v>
      </c>
    </row>
    <row r="237" spans="1:26" x14ac:dyDescent="0.25">
      <c r="A237">
        <f>InputData!$K$1</f>
        <v>2013</v>
      </c>
      <c r="B237" t="str">
        <f>InputData!$G$1</f>
        <v>San Antonio, TX</v>
      </c>
      <c r="C237" t="s">
        <v>11</v>
      </c>
      <c r="D237" t="str">
        <f>Graph_IntMed!$J$6</f>
        <v>IBRr</v>
      </c>
      <c r="E237" t="str">
        <f t="shared" si="3"/>
        <v>Internal Medicine IBRr</v>
      </c>
      <c r="F237">
        <f>Graph_IntMed!$A32</f>
        <v>2038</v>
      </c>
      <c r="G237">
        <f>Graph_IntMed!$B32</f>
        <v>26</v>
      </c>
      <c r="H237" s="165">
        <f>Graph_IntMed!$J32</f>
        <v>1374117.5317081145</v>
      </c>
      <c r="I237" s="160">
        <f>InputData!$C$3</f>
        <v>0.02</v>
      </c>
      <c r="J237" s="160">
        <f>InputData!$C$4</f>
        <v>0.01</v>
      </c>
      <c r="K237" s="160">
        <f>InputData!$C$5</f>
        <v>0.01</v>
      </c>
      <c r="L237" s="160">
        <f>InputData!$C$6</f>
        <v>6.2100000000000002E-2</v>
      </c>
      <c r="M237" s="160">
        <f>InputData!$C$7</f>
        <v>0.03</v>
      </c>
      <c r="N237" s="160">
        <f>InputData!$C$8</f>
        <v>0.02</v>
      </c>
      <c r="O237" s="160">
        <f>InputData!$C$9</f>
        <v>0.06</v>
      </c>
      <c r="P237" s="160">
        <f>InputData!$C$10</f>
        <v>0.02</v>
      </c>
      <c r="Q237" s="160">
        <f>InputData!$C$11</f>
        <v>0.02</v>
      </c>
      <c r="R237" s="160">
        <f>InputData!$C$12</f>
        <v>0.02</v>
      </c>
      <c r="S237" s="160">
        <f>InputData!$C$13</f>
        <v>0.9</v>
      </c>
      <c r="T237" s="116">
        <f>InputData!$C$88</f>
        <v>180000</v>
      </c>
      <c r="U237" s="116">
        <f>InputData!$C$81</f>
        <v>178500</v>
      </c>
      <c r="V237" s="116">
        <f>InputData!$C$82</f>
        <v>303960</v>
      </c>
      <c r="W237" s="116">
        <f>InputData!$C$84</f>
        <v>215220</v>
      </c>
      <c r="X237" s="116">
        <f>InputData!$C$85</f>
        <v>409020</v>
      </c>
      <c r="Y237" s="116">
        <f>InputData!$C$116</f>
        <v>140000</v>
      </c>
      <c r="Z237" s="160">
        <f>InputData!$E$13</f>
        <v>0</v>
      </c>
    </row>
    <row r="238" spans="1:26" x14ac:dyDescent="0.25">
      <c r="A238">
        <f>InputData!$K$1</f>
        <v>2013</v>
      </c>
      <c r="B238" t="str">
        <f>InputData!$G$1</f>
        <v>San Antonio, TX</v>
      </c>
      <c r="C238" t="s">
        <v>11</v>
      </c>
      <c r="D238" t="str">
        <f>Graph_IntMed!$J$6</f>
        <v>IBRr</v>
      </c>
      <c r="E238" t="str">
        <f t="shared" si="3"/>
        <v>Internal Medicine IBRr</v>
      </c>
      <c r="F238">
        <f>Graph_IntMed!$A33</f>
        <v>2039</v>
      </c>
      <c r="G238">
        <f>Graph_IntMed!$B33</f>
        <v>27</v>
      </c>
      <c r="H238" s="165">
        <f>Graph_IntMed!$J33</f>
        <v>1444445.7643162718</v>
      </c>
      <c r="I238" s="160">
        <f>InputData!$C$3</f>
        <v>0.02</v>
      </c>
      <c r="J238" s="160">
        <f>InputData!$C$4</f>
        <v>0.01</v>
      </c>
      <c r="K238" s="160">
        <f>InputData!$C$5</f>
        <v>0.01</v>
      </c>
      <c r="L238" s="160">
        <f>InputData!$C$6</f>
        <v>6.2100000000000002E-2</v>
      </c>
      <c r="M238" s="160">
        <f>InputData!$C$7</f>
        <v>0.03</v>
      </c>
      <c r="N238" s="160">
        <f>InputData!$C$8</f>
        <v>0.02</v>
      </c>
      <c r="O238" s="160">
        <f>InputData!$C$9</f>
        <v>0.06</v>
      </c>
      <c r="P238" s="160">
        <f>InputData!$C$10</f>
        <v>0.02</v>
      </c>
      <c r="Q238" s="160">
        <f>InputData!$C$11</f>
        <v>0.02</v>
      </c>
      <c r="R238" s="160">
        <f>InputData!$C$12</f>
        <v>0.02</v>
      </c>
      <c r="S238" s="160">
        <f>InputData!$C$13</f>
        <v>0.9</v>
      </c>
      <c r="T238" s="116">
        <f>InputData!$C$88</f>
        <v>180000</v>
      </c>
      <c r="U238" s="116">
        <f>InputData!$C$81</f>
        <v>178500</v>
      </c>
      <c r="V238" s="116">
        <f>InputData!$C$82</f>
        <v>303960</v>
      </c>
      <c r="W238" s="116">
        <f>InputData!$C$84</f>
        <v>215220</v>
      </c>
      <c r="X238" s="116">
        <f>InputData!$C$85</f>
        <v>409020</v>
      </c>
      <c r="Y238" s="116">
        <f>InputData!$C$116</f>
        <v>140000</v>
      </c>
      <c r="Z238" s="160">
        <f>InputData!$E$13</f>
        <v>0</v>
      </c>
    </row>
    <row r="239" spans="1:26" x14ac:dyDescent="0.25">
      <c r="A239">
        <f>InputData!$K$1</f>
        <v>2013</v>
      </c>
      <c r="B239" t="str">
        <f>InputData!$G$1</f>
        <v>San Antonio, TX</v>
      </c>
      <c r="C239" t="s">
        <v>11</v>
      </c>
      <c r="D239" t="str">
        <f>Graph_IntMed!$J$6</f>
        <v>IBRr</v>
      </c>
      <c r="E239" t="str">
        <f t="shared" si="3"/>
        <v>Internal Medicine IBRr</v>
      </c>
      <c r="F239">
        <f>Graph_IntMed!$A34</f>
        <v>2040</v>
      </c>
      <c r="G239">
        <f>Graph_IntMed!$B34</f>
        <v>28</v>
      </c>
      <c r="H239" s="165">
        <f>Graph_IntMed!$J34</f>
        <v>1513347.1999074772</v>
      </c>
      <c r="I239" s="160">
        <f>InputData!$C$3</f>
        <v>0.02</v>
      </c>
      <c r="J239" s="160">
        <f>InputData!$C$4</f>
        <v>0.01</v>
      </c>
      <c r="K239" s="160">
        <f>InputData!$C$5</f>
        <v>0.01</v>
      </c>
      <c r="L239" s="160">
        <f>InputData!$C$6</f>
        <v>6.2100000000000002E-2</v>
      </c>
      <c r="M239" s="160">
        <f>InputData!$C$7</f>
        <v>0.03</v>
      </c>
      <c r="N239" s="160">
        <f>InputData!$C$8</f>
        <v>0.02</v>
      </c>
      <c r="O239" s="160">
        <f>InputData!$C$9</f>
        <v>0.06</v>
      </c>
      <c r="P239" s="160">
        <f>InputData!$C$10</f>
        <v>0.02</v>
      </c>
      <c r="Q239" s="160">
        <f>InputData!$C$11</f>
        <v>0.02</v>
      </c>
      <c r="R239" s="160">
        <f>InputData!$C$12</f>
        <v>0.02</v>
      </c>
      <c r="S239" s="160">
        <f>InputData!$C$13</f>
        <v>0.9</v>
      </c>
      <c r="T239" s="116">
        <f>InputData!$C$88</f>
        <v>180000</v>
      </c>
      <c r="U239" s="116">
        <f>InputData!$C$81</f>
        <v>178500</v>
      </c>
      <c r="V239" s="116">
        <f>InputData!$C$82</f>
        <v>303960</v>
      </c>
      <c r="W239" s="116">
        <f>InputData!$C$84</f>
        <v>215220</v>
      </c>
      <c r="X239" s="116">
        <f>InputData!$C$85</f>
        <v>409020</v>
      </c>
      <c r="Y239" s="116">
        <f>InputData!$C$116</f>
        <v>140000</v>
      </c>
      <c r="Z239" s="160">
        <f>InputData!$E$13</f>
        <v>0</v>
      </c>
    </row>
    <row r="240" spans="1:26" x14ac:dyDescent="0.25">
      <c r="A240">
        <f>InputData!$K$1</f>
        <v>2013</v>
      </c>
      <c r="B240" t="str">
        <f>InputData!$G$1</f>
        <v>San Antonio, TX</v>
      </c>
      <c r="C240" t="s">
        <v>11</v>
      </c>
      <c r="D240" t="str">
        <f>Graph_IntMed!$J$6</f>
        <v>IBRr</v>
      </c>
      <c r="E240" t="str">
        <f t="shared" si="3"/>
        <v>Internal Medicine IBRr</v>
      </c>
      <c r="F240">
        <f>Graph_IntMed!$A35</f>
        <v>2041</v>
      </c>
      <c r="G240">
        <f>Graph_IntMed!$B35</f>
        <v>29</v>
      </c>
      <c r="H240" s="165">
        <f>Graph_IntMed!$J35</f>
        <v>1580851.2074782122</v>
      </c>
      <c r="I240" s="160">
        <f>InputData!$C$3</f>
        <v>0.02</v>
      </c>
      <c r="J240" s="160">
        <f>InputData!$C$4</f>
        <v>0.01</v>
      </c>
      <c r="K240" s="160">
        <f>InputData!$C$5</f>
        <v>0.01</v>
      </c>
      <c r="L240" s="160">
        <f>InputData!$C$6</f>
        <v>6.2100000000000002E-2</v>
      </c>
      <c r="M240" s="160">
        <f>InputData!$C$7</f>
        <v>0.03</v>
      </c>
      <c r="N240" s="160">
        <f>InputData!$C$8</f>
        <v>0.02</v>
      </c>
      <c r="O240" s="160">
        <f>InputData!$C$9</f>
        <v>0.06</v>
      </c>
      <c r="P240" s="160">
        <f>InputData!$C$10</f>
        <v>0.02</v>
      </c>
      <c r="Q240" s="160">
        <f>InputData!$C$11</f>
        <v>0.02</v>
      </c>
      <c r="R240" s="160">
        <f>InputData!$C$12</f>
        <v>0.02</v>
      </c>
      <c r="S240" s="160">
        <f>InputData!$C$13</f>
        <v>0.9</v>
      </c>
      <c r="T240" s="116">
        <f>InputData!$C$88</f>
        <v>180000</v>
      </c>
      <c r="U240" s="116">
        <f>InputData!$C$81</f>
        <v>178500</v>
      </c>
      <c r="V240" s="116">
        <f>InputData!$C$82</f>
        <v>303960</v>
      </c>
      <c r="W240" s="116">
        <f>InputData!$C$84</f>
        <v>215220</v>
      </c>
      <c r="X240" s="116">
        <f>InputData!$C$85</f>
        <v>409020</v>
      </c>
      <c r="Y240" s="116">
        <f>InputData!$C$116</f>
        <v>140000</v>
      </c>
      <c r="Z240" s="160">
        <f>InputData!$E$13</f>
        <v>0</v>
      </c>
    </row>
    <row r="241" spans="1:26" x14ac:dyDescent="0.25">
      <c r="A241">
        <f>InputData!$K$1</f>
        <v>2013</v>
      </c>
      <c r="B241" t="str">
        <f>InputData!$G$1</f>
        <v>San Antonio, TX</v>
      </c>
      <c r="C241" t="s">
        <v>11</v>
      </c>
      <c r="D241" t="str">
        <f>Graph_IntMed!$J$6</f>
        <v>IBRr</v>
      </c>
      <c r="E241" t="str">
        <f t="shared" si="3"/>
        <v>Internal Medicine IBRr</v>
      </c>
      <c r="F241">
        <f>Graph_IntMed!$A36</f>
        <v>2042</v>
      </c>
      <c r="G241">
        <f>Graph_IntMed!$B36</f>
        <v>30</v>
      </c>
      <c r="H241" s="165">
        <f>Graph_IntMed!$J36</f>
        <v>1646986.5396015714</v>
      </c>
      <c r="I241" s="160">
        <f>InputData!$C$3</f>
        <v>0.02</v>
      </c>
      <c r="J241" s="160">
        <f>InputData!$C$4</f>
        <v>0.01</v>
      </c>
      <c r="K241" s="160">
        <f>InputData!$C$5</f>
        <v>0.01</v>
      </c>
      <c r="L241" s="160">
        <f>InputData!$C$6</f>
        <v>6.2100000000000002E-2</v>
      </c>
      <c r="M241" s="160">
        <f>InputData!$C$7</f>
        <v>0.03</v>
      </c>
      <c r="N241" s="160">
        <f>InputData!$C$8</f>
        <v>0.02</v>
      </c>
      <c r="O241" s="160">
        <f>InputData!$C$9</f>
        <v>0.06</v>
      </c>
      <c r="P241" s="160">
        <f>InputData!$C$10</f>
        <v>0.02</v>
      </c>
      <c r="Q241" s="160">
        <f>InputData!$C$11</f>
        <v>0.02</v>
      </c>
      <c r="R241" s="160">
        <f>InputData!$C$12</f>
        <v>0.02</v>
      </c>
      <c r="S241" s="160">
        <f>InputData!$C$13</f>
        <v>0.9</v>
      </c>
      <c r="T241" s="116">
        <f>InputData!$C$88</f>
        <v>180000</v>
      </c>
      <c r="U241" s="116">
        <f>InputData!$C$81</f>
        <v>178500</v>
      </c>
      <c r="V241" s="116">
        <f>InputData!$C$82</f>
        <v>303960</v>
      </c>
      <c r="W241" s="116">
        <f>InputData!$C$84</f>
        <v>215220</v>
      </c>
      <c r="X241" s="116">
        <f>InputData!$C$85</f>
        <v>409020</v>
      </c>
      <c r="Y241" s="116">
        <f>InputData!$C$116</f>
        <v>140000</v>
      </c>
      <c r="Z241" s="160">
        <f>InputData!$E$13</f>
        <v>0</v>
      </c>
    </row>
    <row r="242" spans="1:26" x14ac:dyDescent="0.25">
      <c r="A242">
        <f>InputData!$K$1</f>
        <v>2013</v>
      </c>
      <c r="B242" t="str">
        <f>InputData!$G$1</f>
        <v>San Antonio, TX</v>
      </c>
      <c r="C242" t="s">
        <v>11</v>
      </c>
      <c r="D242" t="str">
        <f>Graph_IntMed!$K$6</f>
        <v>PAYEr</v>
      </c>
      <c r="E242" t="str">
        <f t="shared" si="3"/>
        <v>Internal Medicine PAYEr</v>
      </c>
      <c r="F242">
        <f>Graph_IntMed!$A7</f>
        <v>2013</v>
      </c>
      <c r="G242">
        <f>Graph_IntMed!$B7</f>
        <v>1</v>
      </c>
      <c r="H242" s="165">
        <f>Graph_IntMed!$K7</f>
        <v>-43015.05</v>
      </c>
      <c r="I242" s="160">
        <f>InputData!$C$3</f>
        <v>0.02</v>
      </c>
      <c r="J242" s="160">
        <f>InputData!$C$4</f>
        <v>0.01</v>
      </c>
      <c r="K242" s="160">
        <f>InputData!$C$5</f>
        <v>0.01</v>
      </c>
      <c r="L242" s="160">
        <f>InputData!$C$6</f>
        <v>6.2100000000000002E-2</v>
      </c>
      <c r="M242" s="160">
        <f>InputData!$C$7</f>
        <v>0.03</v>
      </c>
      <c r="N242" s="160">
        <f>InputData!$C$8</f>
        <v>0.02</v>
      </c>
      <c r="O242" s="160">
        <f>InputData!$C$9</f>
        <v>0.06</v>
      </c>
      <c r="P242" s="160">
        <f>InputData!$C$10</f>
        <v>0.02</v>
      </c>
      <c r="Q242" s="160">
        <f>InputData!$C$11</f>
        <v>0.02</v>
      </c>
      <c r="R242" s="160">
        <f>InputData!$C$12</f>
        <v>0.02</v>
      </c>
      <c r="S242" s="160">
        <f>InputData!$C$13</f>
        <v>0.9</v>
      </c>
      <c r="T242" s="116">
        <f>InputData!$C$88</f>
        <v>180000</v>
      </c>
      <c r="U242" s="116">
        <f>InputData!$C$81</f>
        <v>178500</v>
      </c>
      <c r="V242" s="116">
        <f>InputData!$C$82</f>
        <v>303960</v>
      </c>
      <c r="W242" s="116">
        <f>InputData!$C$84</f>
        <v>215220</v>
      </c>
      <c r="X242" s="116">
        <f>InputData!$C$85</f>
        <v>409020</v>
      </c>
      <c r="Y242" s="116">
        <f>InputData!$C$116</f>
        <v>140000</v>
      </c>
      <c r="Z242" s="160">
        <f>InputData!$E$13</f>
        <v>0</v>
      </c>
    </row>
    <row r="243" spans="1:26" x14ac:dyDescent="0.25">
      <c r="A243">
        <f>InputData!$K$1</f>
        <v>2013</v>
      </c>
      <c r="B243" t="str">
        <f>InputData!$G$1</f>
        <v>San Antonio, TX</v>
      </c>
      <c r="C243" t="s">
        <v>11</v>
      </c>
      <c r="D243" t="str">
        <f>Graph_IntMed!$K$6</f>
        <v>PAYEr</v>
      </c>
      <c r="E243" t="str">
        <f t="shared" si="3"/>
        <v>Internal Medicine PAYEr</v>
      </c>
      <c r="F243">
        <f>Graph_IntMed!$A8</f>
        <v>2014</v>
      </c>
      <c r="G243">
        <f>Graph_IntMed!$B8</f>
        <v>2</v>
      </c>
      <c r="H243" s="165">
        <f>Graph_IntMed!$K8</f>
        <v>-86352.285865219877</v>
      </c>
      <c r="I243" s="160">
        <f>InputData!$C$3</f>
        <v>0.02</v>
      </c>
      <c r="J243" s="160">
        <f>InputData!$C$4</f>
        <v>0.01</v>
      </c>
      <c r="K243" s="160">
        <f>InputData!$C$5</f>
        <v>0.01</v>
      </c>
      <c r="L243" s="160">
        <f>InputData!$C$6</f>
        <v>6.2100000000000002E-2</v>
      </c>
      <c r="M243" s="160">
        <f>InputData!$C$7</f>
        <v>0.03</v>
      </c>
      <c r="N243" s="160">
        <f>InputData!$C$8</f>
        <v>0.02</v>
      </c>
      <c r="O243" s="160">
        <f>InputData!$C$9</f>
        <v>0.06</v>
      </c>
      <c r="P243" s="160">
        <f>InputData!$C$10</f>
        <v>0.02</v>
      </c>
      <c r="Q243" s="160">
        <f>InputData!$C$11</f>
        <v>0.02</v>
      </c>
      <c r="R243" s="160">
        <f>InputData!$C$12</f>
        <v>0.02</v>
      </c>
      <c r="S243" s="160">
        <f>InputData!$C$13</f>
        <v>0.9</v>
      </c>
      <c r="T243" s="116">
        <f>InputData!$C$88</f>
        <v>180000</v>
      </c>
      <c r="U243" s="116">
        <f>InputData!$C$81</f>
        <v>178500</v>
      </c>
      <c r="V243" s="116">
        <f>InputData!$C$82</f>
        <v>303960</v>
      </c>
      <c r="W243" s="116">
        <f>InputData!$C$84</f>
        <v>215220</v>
      </c>
      <c r="X243" s="116">
        <f>InputData!$C$85</f>
        <v>409020</v>
      </c>
      <c r="Y243" s="116">
        <f>InputData!$C$116</f>
        <v>140000</v>
      </c>
      <c r="Z243" s="160">
        <f>InputData!$E$13</f>
        <v>0</v>
      </c>
    </row>
    <row r="244" spans="1:26" x14ac:dyDescent="0.25">
      <c r="A244">
        <f>InputData!$K$1</f>
        <v>2013</v>
      </c>
      <c r="B244" t="str">
        <f>InputData!$G$1</f>
        <v>San Antonio, TX</v>
      </c>
      <c r="C244" t="s">
        <v>11</v>
      </c>
      <c r="D244" t="str">
        <f>Graph_IntMed!$K$6</f>
        <v>PAYEr</v>
      </c>
      <c r="E244" t="str">
        <f t="shared" si="3"/>
        <v>Internal Medicine PAYEr</v>
      </c>
      <c r="F244">
        <f>Graph_IntMed!$A9</f>
        <v>2015</v>
      </c>
      <c r="G244">
        <f>Graph_IntMed!$B9</f>
        <v>3</v>
      </c>
      <c r="H244" s="165">
        <f>Graph_IntMed!$K9</f>
        <v>-138541.19578403595</v>
      </c>
      <c r="I244" s="160">
        <f>InputData!$C$3</f>
        <v>0.02</v>
      </c>
      <c r="J244" s="160">
        <f>InputData!$C$4</f>
        <v>0.01</v>
      </c>
      <c r="K244" s="160">
        <f>InputData!$C$5</f>
        <v>0.01</v>
      </c>
      <c r="L244" s="160">
        <f>InputData!$C$6</f>
        <v>6.2100000000000002E-2</v>
      </c>
      <c r="M244" s="160">
        <f>InputData!$C$7</f>
        <v>0.03</v>
      </c>
      <c r="N244" s="160">
        <f>InputData!$C$8</f>
        <v>0.02</v>
      </c>
      <c r="O244" s="160">
        <f>InputData!$C$9</f>
        <v>0.06</v>
      </c>
      <c r="P244" s="160">
        <f>InputData!$C$10</f>
        <v>0.02</v>
      </c>
      <c r="Q244" s="160">
        <f>InputData!$C$11</f>
        <v>0.02</v>
      </c>
      <c r="R244" s="160">
        <f>InputData!$C$12</f>
        <v>0.02</v>
      </c>
      <c r="S244" s="160">
        <f>InputData!$C$13</f>
        <v>0.9</v>
      </c>
      <c r="T244" s="116">
        <f>InputData!$C$88</f>
        <v>180000</v>
      </c>
      <c r="U244" s="116">
        <f>InputData!$C$81</f>
        <v>178500</v>
      </c>
      <c r="V244" s="116">
        <f>InputData!$C$82</f>
        <v>303960</v>
      </c>
      <c r="W244" s="116">
        <f>InputData!$C$84</f>
        <v>215220</v>
      </c>
      <c r="X244" s="116">
        <f>InputData!$C$85</f>
        <v>409020</v>
      </c>
      <c r="Y244" s="116">
        <f>InputData!$C$116</f>
        <v>140000</v>
      </c>
      <c r="Z244" s="160">
        <f>InputData!$E$13</f>
        <v>0</v>
      </c>
    </row>
    <row r="245" spans="1:26" x14ac:dyDescent="0.25">
      <c r="A245">
        <f>InputData!$K$1</f>
        <v>2013</v>
      </c>
      <c r="B245" t="str">
        <f>InputData!$G$1</f>
        <v>San Antonio, TX</v>
      </c>
      <c r="C245" t="s">
        <v>11</v>
      </c>
      <c r="D245" t="str">
        <f>Graph_IntMed!$K$6</f>
        <v>PAYEr</v>
      </c>
      <c r="E245" t="str">
        <f t="shared" si="3"/>
        <v>Internal Medicine PAYEr</v>
      </c>
      <c r="F245">
        <f>Graph_IntMed!$A10</f>
        <v>2016</v>
      </c>
      <c r="G245">
        <f>Graph_IntMed!$B10</f>
        <v>4</v>
      </c>
      <c r="H245" s="165">
        <f>Graph_IntMed!$K10</f>
        <v>-190867.38028908212</v>
      </c>
      <c r="I245" s="160">
        <f>InputData!$C$3</f>
        <v>0.02</v>
      </c>
      <c r="J245" s="160">
        <f>InputData!$C$4</f>
        <v>0.01</v>
      </c>
      <c r="K245" s="160">
        <f>InputData!$C$5</f>
        <v>0.01</v>
      </c>
      <c r="L245" s="160">
        <f>InputData!$C$6</f>
        <v>6.2100000000000002E-2</v>
      </c>
      <c r="M245" s="160">
        <f>InputData!$C$7</f>
        <v>0.03</v>
      </c>
      <c r="N245" s="160">
        <f>InputData!$C$8</f>
        <v>0.02</v>
      </c>
      <c r="O245" s="160">
        <f>InputData!$C$9</f>
        <v>0.06</v>
      </c>
      <c r="P245" s="160">
        <f>InputData!$C$10</f>
        <v>0.02</v>
      </c>
      <c r="Q245" s="160">
        <f>InputData!$C$11</f>
        <v>0.02</v>
      </c>
      <c r="R245" s="160">
        <f>InputData!$C$12</f>
        <v>0.02</v>
      </c>
      <c r="S245" s="160">
        <f>InputData!$C$13</f>
        <v>0.9</v>
      </c>
      <c r="T245" s="116">
        <f>InputData!$C$88</f>
        <v>180000</v>
      </c>
      <c r="U245" s="116">
        <f>InputData!$C$81</f>
        <v>178500</v>
      </c>
      <c r="V245" s="116">
        <f>InputData!$C$82</f>
        <v>303960</v>
      </c>
      <c r="W245" s="116">
        <f>InputData!$C$84</f>
        <v>215220</v>
      </c>
      <c r="X245" s="116">
        <f>InputData!$C$85</f>
        <v>409020</v>
      </c>
      <c r="Y245" s="116">
        <f>InputData!$C$116</f>
        <v>140000</v>
      </c>
      <c r="Z245" s="160">
        <f>InputData!$E$13</f>
        <v>0</v>
      </c>
    </row>
    <row r="246" spans="1:26" x14ac:dyDescent="0.25">
      <c r="A246">
        <f>InputData!$K$1</f>
        <v>2013</v>
      </c>
      <c r="B246" t="str">
        <f>InputData!$G$1</f>
        <v>San Antonio, TX</v>
      </c>
      <c r="C246" t="s">
        <v>11</v>
      </c>
      <c r="D246" t="str">
        <f>Graph_IntMed!$K$6</f>
        <v>PAYEr</v>
      </c>
      <c r="E246" t="str">
        <f t="shared" si="3"/>
        <v>Internal Medicine PAYEr</v>
      </c>
      <c r="F246">
        <f>Graph_IntMed!$A11</f>
        <v>2017</v>
      </c>
      <c r="G246">
        <f>Graph_IntMed!$B11</f>
        <v>5</v>
      </c>
      <c r="H246" s="165">
        <f>Graph_IntMed!$K11</f>
        <v>-157911.19312249744</v>
      </c>
      <c r="I246" s="160">
        <f>InputData!$C$3</f>
        <v>0.02</v>
      </c>
      <c r="J246" s="160">
        <f>InputData!$C$4</f>
        <v>0.01</v>
      </c>
      <c r="K246" s="160">
        <f>InputData!$C$5</f>
        <v>0.01</v>
      </c>
      <c r="L246" s="160">
        <f>InputData!$C$6</f>
        <v>6.2100000000000002E-2</v>
      </c>
      <c r="M246" s="160">
        <f>InputData!$C$7</f>
        <v>0.03</v>
      </c>
      <c r="N246" s="160">
        <f>InputData!$C$8</f>
        <v>0.02</v>
      </c>
      <c r="O246" s="160">
        <f>InputData!$C$9</f>
        <v>0.06</v>
      </c>
      <c r="P246" s="160">
        <f>InputData!$C$10</f>
        <v>0.02</v>
      </c>
      <c r="Q246" s="160">
        <f>InputData!$C$11</f>
        <v>0.02</v>
      </c>
      <c r="R246" s="160">
        <f>InputData!$C$12</f>
        <v>0.02</v>
      </c>
      <c r="S246" s="160">
        <f>InputData!$C$13</f>
        <v>0.9</v>
      </c>
      <c r="T246" s="116">
        <f>InputData!$C$88</f>
        <v>180000</v>
      </c>
      <c r="U246" s="116">
        <f>InputData!$C$81</f>
        <v>178500</v>
      </c>
      <c r="V246" s="116">
        <f>InputData!$C$82</f>
        <v>303960</v>
      </c>
      <c r="W246" s="116">
        <f>InputData!$C$84</f>
        <v>215220</v>
      </c>
      <c r="X246" s="116">
        <f>InputData!$C$85</f>
        <v>409020</v>
      </c>
      <c r="Y246" s="116">
        <f>InputData!$C$116</f>
        <v>140000</v>
      </c>
      <c r="Z246" s="160">
        <f>InputData!$E$13</f>
        <v>0</v>
      </c>
    </row>
    <row r="247" spans="1:26" x14ac:dyDescent="0.25">
      <c r="A247">
        <f>InputData!$K$1</f>
        <v>2013</v>
      </c>
      <c r="B247" t="str">
        <f>InputData!$G$1</f>
        <v>San Antonio, TX</v>
      </c>
      <c r="C247" t="s">
        <v>11</v>
      </c>
      <c r="D247" t="str">
        <f>Graph_IntMed!$K$6</f>
        <v>PAYEr</v>
      </c>
      <c r="E247" t="str">
        <f t="shared" si="3"/>
        <v>Internal Medicine PAYEr</v>
      </c>
      <c r="F247">
        <f>Graph_IntMed!$A12</f>
        <v>2018</v>
      </c>
      <c r="G247">
        <f>Graph_IntMed!$B12</f>
        <v>6</v>
      </c>
      <c r="H247" s="165">
        <f>Graph_IntMed!$K12</f>
        <v>-124940.73121601369</v>
      </c>
      <c r="I247" s="160">
        <f>InputData!$C$3</f>
        <v>0.02</v>
      </c>
      <c r="J247" s="160">
        <f>InputData!$C$4</f>
        <v>0.01</v>
      </c>
      <c r="K247" s="160">
        <f>InputData!$C$5</f>
        <v>0.01</v>
      </c>
      <c r="L247" s="160">
        <f>InputData!$C$6</f>
        <v>6.2100000000000002E-2</v>
      </c>
      <c r="M247" s="160">
        <f>InputData!$C$7</f>
        <v>0.03</v>
      </c>
      <c r="N247" s="160">
        <f>InputData!$C$8</f>
        <v>0.02</v>
      </c>
      <c r="O247" s="160">
        <f>InputData!$C$9</f>
        <v>0.06</v>
      </c>
      <c r="P247" s="160">
        <f>InputData!$C$10</f>
        <v>0.02</v>
      </c>
      <c r="Q247" s="160">
        <f>InputData!$C$11</f>
        <v>0.02</v>
      </c>
      <c r="R247" s="160">
        <f>InputData!$C$12</f>
        <v>0.02</v>
      </c>
      <c r="S247" s="160">
        <f>InputData!$C$13</f>
        <v>0.9</v>
      </c>
      <c r="T247" s="116">
        <f>InputData!$C$88</f>
        <v>180000</v>
      </c>
      <c r="U247" s="116">
        <f>InputData!$C$81</f>
        <v>178500</v>
      </c>
      <c r="V247" s="116">
        <f>InputData!$C$82</f>
        <v>303960</v>
      </c>
      <c r="W247" s="116">
        <f>InputData!$C$84</f>
        <v>215220</v>
      </c>
      <c r="X247" s="116">
        <f>InputData!$C$85</f>
        <v>409020</v>
      </c>
      <c r="Y247" s="116">
        <f>InputData!$C$116</f>
        <v>140000</v>
      </c>
      <c r="Z247" s="160">
        <f>InputData!$E$13</f>
        <v>0</v>
      </c>
    </row>
    <row r="248" spans="1:26" x14ac:dyDescent="0.25">
      <c r="A248">
        <f>InputData!$K$1</f>
        <v>2013</v>
      </c>
      <c r="B248" t="str">
        <f>InputData!$G$1</f>
        <v>San Antonio, TX</v>
      </c>
      <c r="C248" t="s">
        <v>11</v>
      </c>
      <c r="D248" t="str">
        <f>Graph_IntMed!$K$6</f>
        <v>PAYEr</v>
      </c>
      <c r="E248" t="str">
        <f t="shared" si="3"/>
        <v>Internal Medicine PAYEr</v>
      </c>
      <c r="F248">
        <f>Graph_IntMed!$A13</f>
        <v>2019</v>
      </c>
      <c r="G248">
        <f>Graph_IntMed!$B13</f>
        <v>7</v>
      </c>
      <c r="H248" s="165">
        <f>Graph_IntMed!$K13</f>
        <v>-91947.694234953393</v>
      </c>
      <c r="I248" s="160">
        <f>InputData!$C$3</f>
        <v>0.02</v>
      </c>
      <c r="J248" s="160">
        <f>InputData!$C$4</f>
        <v>0.01</v>
      </c>
      <c r="K248" s="160">
        <f>InputData!$C$5</f>
        <v>0.01</v>
      </c>
      <c r="L248" s="160">
        <f>InputData!$C$6</f>
        <v>6.2100000000000002E-2</v>
      </c>
      <c r="M248" s="160">
        <f>InputData!$C$7</f>
        <v>0.03</v>
      </c>
      <c r="N248" s="160">
        <f>InputData!$C$8</f>
        <v>0.02</v>
      </c>
      <c r="O248" s="160">
        <f>InputData!$C$9</f>
        <v>0.06</v>
      </c>
      <c r="P248" s="160">
        <f>InputData!$C$10</f>
        <v>0.02</v>
      </c>
      <c r="Q248" s="160">
        <f>InputData!$C$11</f>
        <v>0.02</v>
      </c>
      <c r="R248" s="160">
        <f>InputData!$C$12</f>
        <v>0.02</v>
      </c>
      <c r="S248" s="160">
        <f>InputData!$C$13</f>
        <v>0.9</v>
      </c>
      <c r="T248" s="116">
        <f>InputData!$C$88</f>
        <v>180000</v>
      </c>
      <c r="U248" s="116">
        <f>InputData!$C$81</f>
        <v>178500</v>
      </c>
      <c r="V248" s="116">
        <f>InputData!$C$82</f>
        <v>303960</v>
      </c>
      <c r="W248" s="116">
        <f>InputData!$C$84</f>
        <v>215220</v>
      </c>
      <c r="X248" s="116">
        <f>InputData!$C$85</f>
        <v>409020</v>
      </c>
      <c r="Y248" s="116">
        <f>InputData!$C$116</f>
        <v>140000</v>
      </c>
      <c r="Z248" s="160">
        <f>InputData!$E$13</f>
        <v>0</v>
      </c>
    </row>
    <row r="249" spans="1:26" x14ac:dyDescent="0.25">
      <c r="A249">
        <f>InputData!$K$1</f>
        <v>2013</v>
      </c>
      <c r="B249" t="str">
        <f>InputData!$G$1</f>
        <v>San Antonio, TX</v>
      </c>
      <c r="C249" t="s">
        <v>11</v>
      </c>
      <c r="D249" t="str">
        <f>Graph_IntMed!$K$6</f>
        <v>PAYEr</v>
      </c>
      <c r="E249" t="str">
        <f t="shared" si="3"/>
        <v>Internal Medicine PAYEr</v>
      </c>
      <c r="F249">
        <f>Graph_IntMed!$A14</f>
        <v>2020</v>
      </c>
      <c r="G249">
        <f>Graph_IntMed!$B14</f>
        <v>8</v>
      </c>
      <c r="H249" s="165">
        <f>Graph_IntMed!$K14</f>
        <v>-1555.8230640059483</v>
      </c>
      <c r="I249" s="160">
        <f>InputData!$C$3</f>
        <v>0.02</v>
      </c>
      <c r="J249" s="160">
        <f>InputData!$C$4</f>
        <v>0.01</v>
      </c>
      <c r="K249" s="160">
        <f>InputData!$C$5</f>
        <v>0.01</v>
      </c>
      <c r="L249" s="160">
        <f>InputData!$C$6</f>
        <v>6.2100000000000002E-2</v>
      </c>
      <c r="M249" s="160">
        <f>InputData!$C$7</f>
        <v>0.03</v>
      </c>
      <c r="N249" s="160">
        <f>InputData!$C$8</f>
        <v>0.02</v>
      </c>
      <c r="O249" s="160">
        <f>InputData!$C$9</f>
        <v>0.06</v>
      </c>
      <c r="P249" s="160">
        <f>InputData!$C$10</f>
        <v>0.02</v>
      </c>
      <c r="Q249" s="160">
        <f>InputData!$C$11</f>
        <v>0.02</v>
      </c>
      <c r="R249" s="160">
        <f>InputData!$C$12</f>
        <v>0.02</v>
      </c>
      <c r="S249" s="160">
        <f>InputData!$C$13</f>
        <v>0.9</v>
      </c>
      <c r="T249" s="116">
        <f>InputData!$C$88</f>
        <v>180000</v>
      </c>
      <c r="U249" s="116">
        <f>InputData!$C$81</f>
        <v>178500</v>
      </c>
      <c r="V249" s="116">
        <f>InputData!$C$82</f>
        <v>303960</v>
      </c>
      <c r="W249" s="116">
        <f>InputData!$C$84</f>
        <v>215220</v>
      </c>
      <c r="X249" s="116">
        <f>InputData!$C$85</f>
        <v>409020</v>
      </c>
      <c r="Y249" s="116">
        <f>InputData!$C$116</f>
        <v>140000</v>
      </c>
      <c r="Z249" s="160">
        <f>InputData!$E$13</f>
        <v>0</v>
      </c>
    </row>
    <row r="250" spans="1:26" x14ac:dyDescent="0.25">
      <c r="A250">
        <f>InputData!$K$1</f>
        <v>2013</v>
      </c>
      <c r="B250" t="str">
        <f>InputData!$G$1</f>
        <v>San Antonio, TX</v>
      </c>
      <c r="C250" t="s">
        <v>11</v>
      </c>
      <c r="D250" t="str">
        <f>Graph_IntMed!$K$6</f>
        <v>PAYEr</v>
      </c>
      <c r="E250" t="str">
        <f t="shared" si="3"/>
        <v>Internal Medicine PAYEr</v>
      </c>
      <c r="F250">
        <f>Graph_IntMed!$A15</f>
        <v>2021</v>
      </c>
      <c r="G250">
        <f>Graph_IntMed!$B15</f>
        <v>9</v>
      </c>
      <c r="H250" s="165">
        <f>Graph_IntMed!$K15</f>
        <v>87039.752920124767</v>
      </c>
      <c r="I250" s="160">
        <f>InputData!$C$3</f>
        <v>0.02</v>
      </c>
      <c r="J250" s="160">
        <f>InputData!$C$4</f>
        <v>0.01</v>
      </c>
      <c r="K250" s="160">
        <f>InputData!$C$5</f>
        <v>0.01</v>
      </c>
      <c r="L250" s="160">
        <f>InputData!$C$6</f>
        <v>6.2100000000000002E-2</v>
      </c>
      <c r="M250" s="160">
        <f>InputData!$C$7</f>
        <v>0.03</v>
      </c>
      <c r="N250" s="160">
        <f>InputData!$C$8</f>
        <v>0.02</v>
      </c>
      <c r="O250" s="160">
        <f>InputData!$C$9</f>
        <v>0.06</v>
      </c>
      <c r="P250" s="160">
        <f>InputData!$C$10</f>
        <v>0.02</v>
      </c>
      <c r="Q250" s="160">
        <f>InputData!$C$11</f>
        <v>0.02</v>
      </c>
      <c r="R250" s="160">
        <f>InputData!$C$12</f>
        <v>0.02</v>
      </c>
      <c r="S250" s="160">
        <f>InputData!$C$13</f>
        <v>0.9</v>
      </c>
      <c r="T250" s="116">
        <f>InputData!$C$88</f>
        <v>180000</v>
      </c>
      <c r="U250" s="116">
        <f>InputData!$C$81</f>
        <v>178500</v>
      </c>
      <c r="V250" s="116">
        <f>InputData!$C$82</f>
        <v>303960</v>
      </c>
      <c r="W250" s="116">
        <f>InputData!$C$84</f>
        <v>215220</v>
      </c>
      <c r="X250" s="116">
        <f>InputData!$C$85</f>
        <v>409020</v>
      </c>
      <c r="Y250" s="116">
        <f>InputData!$C$116</f>
        <v>140000</v>
      </c>
      <c r="Z250" s="160">
        <f>InputData!$E$13</f>
        <v>0</v>
      </c>
    </row>
    <row r="251" spans="1:26" x14ac:dyDescent="0.25">
      <c r="A251">
        <f>InputData!$K$1</f>
        <v>2013</v>
      </c>
      <c r="B251" t="str">
        <f>InputData!$G$1</f>
        <v>San Antonio, TX</v>
      </c>
      <c r="C251" t="s">
        <v>11</v>
      </c>
      <c r="D251" t="str">
        <f>Graph_IntMed!$K$6</f>
        <v>PAYEr</v>
      </c>
      <c r="E251" t="str">
        <f t="shared" si="3"/>
        <v>Internal Medicine PAYEr</v>
      </c>
      <c r="F251">
        <f>Graph_IntMed!$A16</f>
        <v>2022</v>
      </c>
      <c r="G251">
        <f>Graph_IntMed!$B16</f>
        <v>10</v>
      </c>
      <c r="H251" s="165">
        <f>Graph_IntMed!$K16</f>
        <v>173874.95147002058</v>
      </c>
      <c r="I251" s="160">
        <f>InputData!$C$3</f>
        <v>0.02</v>
      </c>
      <c r="J251" s="160">
        <f>InputData!$C$4</f>
        <v>0.01</v>
      </c>
      <c r="K251" s="160">
        <f>InputData!$C$5</f>
        <v>0.01</v>
      </c>
      <c r="L251" s="160">
        <f>InputData!$C$6</f>
        <v>6.2100000000000002E-2</v>
      </c>
      <c r="M251" s="160">
        <f>InputData!$C$7</f>
        <v>0.03</v>
      </c>
      <c r="N251" s="160">
        <f>InputData!$C$8</f>
        <v>0.02</v>
      </c>
      <c r="O251" s="160">
        <f>InputData!$C$9</f>
        <v>0.06</v>
      </c>
      <c r="P251" s="160">
        <f>InputData!$C$10</f>
        <v>0.02</v>
      </c>
      <c r="Q251" s="160">
        <f>InputData!$C$11</f>
        <v>0.02</v>
      </c>
      <c r="R251" s="160">
        <f>InputData!$C$12</f>
        <v>0.02</v>
      </c>
      <c r="S251" s="160">
        <f>InputData!$C$13</f>
        <v>0.9</v>
      </c>
      <c r="T251" s="116">
        <f>InputData!$C$88</f>
        <v>180000</v>
      </c>
      <c r="U251" s="116">
        <f>InputData!$C$81</f>
        <v>178500</v>
      </c>
      <c r="V251" s="116">
        <f>InputData!$C$82</f>
        <v>303960</v>
      </c>
      <c r="W251" s="116">
        <f>InputData!$C$84</f>
        <v>215220</v>
      </c>
      <c r="X251" s="116">
        <f>InputData!$C$85</f>
        <v>409020</v>
      </c>
      <c r="Y251" s="116">
        <f>InputData!$C$116</f>
        <v>140000</v>
      </c>
      <c r="Z251" s="160">
        <f>InputData!$E$13</f>
        <v>0</v>
      </c>
    </row>
    <row r="252" spans="1:26" x14ac:dyDescent="0.25">
      <c r="A252">
        <f>InputData!$K$1</f>
        <v>2013</v>
      </c>
      <c r="B252" t="str">
        <f>InputData!$G$1</f>
        <v>San Antonio, TX</v>
      </c>
      <c r="C252" t="s">
        <v>11</v>
      </c>
      <c r="D252" t="str">
        <f>Graph_IntMed!$K$6</f>
        <v>PAYEr</v>
      </c>
      <c r="E252" t="str">
        <f t="shared" si="3"/>
        <v>Internal Medicine PAYEr</v>
      </c>
      <c r="F252">
        <f>Graph_IntMed!$A17</f>
        <v>2023</v>
      </c>
      <c r="G252">
        <f>Graph_IntMed!$B17</f>
        <v>11</v>
      </c>
      <c r="H252" s="165">
        <f>Graph_IntMed!$K17</f>
        <v>258984.96578865341</v>
      </c>
      <c r="I252" s="160">
        <f>InputData!$C$3</f>
        <v>0.02</v>
      </c>
      <c r="J252" s="160">
        <f>InputData!$C$4</f>
        <v>0.01</v>
      </c>
      <c r="K252" s="160">
        <f>InputData!$C$5</f>
        <v>0.01</v>
      </c>
      <c r="L252" s="160">
        <f>InputData!$C$6</f>
        <v>6.2100000000000002E-2</v>
      </c>
      <c r="M252" s="160">
        <f>InputData!$C$7</f>
        <v>0.03</v>
      </c>
      <c r="N252" s="160">
        <f>InputData!$C$8</f>
        <v>0.02</v>
      </c>
      <c r="O252" s="160">
        <f>InputData!$C$9</f>
        <v>0.06</v>
      </c>
      <c r="P252" s="160">
        <f>InputData!$C$10</f>
        <v>0.02</v>
      </c>
      <c r="Q252" s="160">
        <f>InputData!$C$11</f>
        <v>0.02</v>
      </c>
      <c r="R252" s="160">
        <f>InputData!$C$12</f>
        <v>0.02</v>
      </c>
      <c r="S252" s="160">
        <f>InputData!$C$13</f>
        <v>0.9</v>
      </c>
      <c r="T252" s="116">
        <f>InputData!$C$88</f>
        <v>180000</v>
      </c>
      <c r="U252" s="116">
        <f>InputData!$C$81</f>
        <v>178500</v>
      </c>
      <c r="V252" s="116">
        <f>InputData!$C$82</f>
        <v>303960</v>
      </c>
      <c r="W252" s="116">
        <f>InputData!$C$84</f>
        <v>215220</v>
      </c>
      <c r="X252" s="116">
        <f>InputData!$C$85</f>
        <v>409020</v>
      </c>
      <c r="Y252" s="116">
        <f>InputData!$C$116</f>
        <v>140000</v>
      </c>
      <c r="Z252" s="160">
        <f>InputData!$E$13</f>
        <v>0</v>
      </c>
    </row>
    <row r="253" spans="1:26" x14ac:dyDescent="0.25">
      <c r="A253">
        <f>InputData!$K$1</f>
        <v>2013</v>
      </c>
      <c r="B253" t="str">
        <f>InputData!$G$1</f>
        <v>San Antonio, TX</v>
      </c>
      <c r="C253" t="s">
        <v>11</v>
      </c>
      <c r="D253" t="str">
        <f>Graph_IntMed!$K$6</f>
        <v>PAYEr</v>
      </c>
      <c r="E253" t="str">
        <f t="shared" si="3"/>
        <v>Internal Medicine PAYEr</v>
      </c>
      <c r="F253">
        <f>Graph_IntMed!$A18</f>
        <v>2024</v>
      </c>
      <c r="G253">
        <f>Graph_IntMed!$B18</f>
        <v>12</v>
      </c>
      <c r="H253" s="165">
        <f>Graph_IntMed!$K18</f>
        <v>342404.27932691877</v>
      </c>
      <c r="I253" s="160">
        <f>InputData!$C$3</f>
        <v>0.02</v>
      </c>
      <c r="J253" s="160">
        <f>InputData!$C$4</f>
        <v>0.01</v>
      </c>
      <c r="K253" s="160">
        <f>InputData!$C$5</f>
        <v>0.01</v>
      </c>
      <c r="L253" s="160">
        <f>InputData!$C$6</f>
        <v>6.2100000000000002E-2</v>
      </c>
      <c r="M253" s="160">
        <f>InputData!$C$7</f>
        <v>0.03</v>
      </c>
      <c r="N253" s="160">
        <f>InputData!$C$8</f>
        <v>0.02</v>
      </c>
      <c r="O253" s="160">
        <f>InputData!$C$9</f>
        <v>0.06</v>
      </c>
      <c r="P253" s="160">
        <f>InputData!$C$10</f>
        <v>0.02</v>
      </c>
      <c r="Q253" s="160">
        <f>InputData!$C$11</f>
        <v>0.02</v>
      </c>
      <c r="R253" s="160">
        <f>InputData!$C$12</f>
        <v>0.02</v>
      </c>
      <c r="S253" s="160">
        <f>InputData!$C$13</f>
        <v>0.9</v>
      </c>
      <c r="T253" s="116">
        <f>InputData!$C$88</f>
        <v>180000</v>
      </c>
      <c r="U253" s="116">
        <f>InputData!$C$81</f>
        <v>178500</v>
      </c>
      <c r="V253" s="116">
        <f>InputData!$C$82</f>
        <v>303960</v>
      </c>
      <c r="W253" s="116">
        <f>InputData!$C$84</f>
        <v>215220</v>
      </c>
      <c r="X253" s="116">
        <f>InputData!$C$85</f>
        <v>409020</v>
      </c>
      <c r="Y253" s="116">
        <f>InputData!$C$116</f>
        <v>140000</v>
      </c>
      <c r="Z253" s="160">
        <f>InputData!$E$13</f>
        <v>0</v>
      </c>
    </row>
    <row r="254" spans="1:26" x14ac:dyDescent="0.25">
      <c r="A254">
        <f>InputData!$K$1</f>
        <v>2013</v>
      </c>
      <c r="B254" t="str">
        <f>InputData!$G$1</f>
        <v>San Antonio, TX</v>
      </c>
      <c r="C254" t="s">
        <v>11</v>
      </c>
      <c r="D254" t="str">
        <f>Graph_IntMed!$K$6</f>
        <v>PAYEr</v>
      </c>
      <c r="E254" t="str">
        <f t="shared" si="3"/>
        <v>Internal Medicine PAYEr</v>
      </c>
      <c r="F254">
        <f>Graph_IntMed!$A19</f>
        <v>2025</v>
      </c>
      <c r="G254">
        <f>Graph_IntMed!$B19</f>
        <v>13</v>
      </c>
      <c r="H254" s="165">
        <f>Graph_IntMed!$K19</f>
        <v>424166.6802738168</v>
      </c>
      <c r="I254" s="160">
        <f>InputData!$C$3</f>
        <v>0.02</v>
      </c>
      <c r="J254" s="160">
        <f>InputData!$C$4</f>
        <v>0.01</v>
      </c>
      <c r="K254" s="160">
        <f>InputData!$C$5</f>
        <v>0.01</v>
      </c>
      <c r="L254" s="160">
        <f>InputData!$C$6</f>
        <v>6.2100000000000002E-2</v>
      </c>
      <c r="M254" s="160">
        <f>InputData!$C$7</f>
        <v>0.03</v>
      </c>
      <c r="N254" s="160">
        <f>InputData!$C$8</f>
        <v>0.02</v>
      </c>
      <c r="O254" s="160">
        <f>InputData!$C$9</f>
        <v>0.06</v>
      </c>
      <c r="P254" s="160">
        <f>InputData!$C$10</f>
        <v>0.02</v>
      </c>
      <c r="Q254" s="160">
        <f>InputData!$C$11</f>
        <v>0.02</v>
      </c>
      <c r="R254" s="160">
        <f>InputData!$C$12</f>
        <v>0.02</v>
      </c>
      <c r="S254" s="160">
        <f>InputData!$C$13</f>
        <v>0.9</v>
      </c>
      <c r="T254" s="116">
        <f>InputData!$C$88</f>
        <v>180000</v>
      </c>
      <c r="U254" s="116">
        <f>InputData!$C$81</f>
        <v>178500</v>
      </c>
      <c r="V254" s="116">
        <f>InputData!$C$82</f>
        <v>303960</v>
      </c>
      <c r="W254" s="116">
        <f>InputData!$C$84</f>
        <v>215220</v>
      </c>
      <c r="X254" s="116">
        <f>InputData!$C$85</f>
        <v>409020</v>
      </c>
      <c r="Y254" s="116">
        <f>InputData!$C$116</f>
        <v>140000</v>
      </c>
      <c r="Z254" s="160">
        <f>InputData!$E$13</f>
        <v>0</v>
      </c>
    </row>
    <row r="255" spans="1:26" x14ac:dyDescent="0.25">
      <c r="A255">
        <f>InputData!$K$1</f>
        <v>2013</v>
      </c>
      <c r="B255" t="str">
        <f>InputData!$G$1</f>
        <v>San Antonio, TX</v>
      </c>
      <c r="C255" t="s">
        <v>11</v>
      </c>
      <c r="D255" t="str">
        <f>Graph_IntMed!$K$6</f>
        <v>PAYEr</v>
      </c>
      <c r="E255" t="str">
        <f t="shared" si="3"/>
        <v>Internal Medicine PAYEr</v>
      </c>
      <c r="F255">
        <f>Graph_IntMed!$A20</f>
        <v>2026</v>
      </c>
      <c r="G255">
        <f>Graph_IntMed!$B20</f>
        <v>14</v>
      </c>
      <c r="H255" s="165">
        <f>Graph_IntMed!$K20</f>
        <v>504305.2757458096</v>
      </c>
      <c r="I255" s="160">
        <f>InputData!$C$3</f>
        <v>0.02</v>
      </c>
      <c r="J255" s="160">
        <f>InputData!$C$4</f>
        <v>0.01</v>
      </c>
      <c r="K255" s="160">
        <f>InputData!$C$5</f>
        <v>0.01</v>
      </c>
      <c r="L255" s="160">
        <f>InputData!$C$6</f>
        <v>6.2100000000000002E-2</v>
      </c>
      <c r="M255" s="160">
        <f>InputData!$C$7</f>
        <v>0.03</v>
      </c>
      <c r="N255" s="160">
        <f>InputData!$C$8</f>
        <v>0.02</v>
      </c>
      <c r="O255" s="160">
        <f>InputData!$C$9</f>
        <v>0.06</v>
      </c>
      <c r="P255" s="160">
        <f>InputData!$C$10</f>
        <v>0.02</v>
      </c>
      <c r="Q255" s="160">
        <f>InputData!$C$11</f>
        <v>0.02</v>
      </c>
      <c r="R255" s="160">
        <f>InputData!$C$12</f>
        <v>0.02</v>
      </c>
      <c r="S255" s="160">
        <f>InputData!$C$13</f>
        <v>0.9</v>
      </c>
      <c r="T255" s="116">
        <f>InputData!$C$88</f>
        <v>180000</v>
      </c>
      <c r="U255" s="116">
        <f>InputData!$C$81</f>
        <v>178500</v>
      </c>
      <c r="V255" s="116">
        <f>InputData!$C$82</f>
        <v>303960</v>
      </c>
      <c r="W255" s="116">
        <f>InputData!$C$84</f>
        <v>215220</v>
      </c>
      <c r="X255" s="116">
        <f>InputData!$C$85</f>
        <v>409020</v>
      </c>
      <c r="Y255" s="116">
        <f>InputData!$C$116</f>
        <v>140000</v>
      </c>
      <c r="Z255" s="160">
        <f>InputData!$E$13</f>
        <v>0</v>
      </c>
    </row>
    <row r="256" spans="1:26" x14ac:dyDescent="0.25">
      <c r="A256">
        <f>InputData!$K$1</f>
        <v>2013</v>
      </c>
      <c r="B256" t="str">
        <f>InputData!$G$1</f>
        <v>San Antonio, TX</v>
      </c>
      <c r="C256" t="s">
        <v>11</v>
      </c>
      <c r="D256" t="str">
        <f>Graph_IntMed!$K$6</f>
        <v>PAYEr</v>
      </c>
      <c r="E256" t="str">
        <f t="shared" si="3"/>
        <v>Internal Medicine PAYEr</v>
      </c>
      <c r="F256">
        <f>Graph_IntMed!$A21</f>
        <v>2027</v>
      </c>
      <c r="G256">
        <f>Graph_IntMed!$B21</f>
        <v>15</v>
      </c>
      <c r="H256" s="165">
        <f>Graph_IntMed!$K21</f>
        <v>582794.1210680767</v>
      </c>
      <c r="I256" s="160">
        <f>InputData!$C$3</f>
        <v>0.02</v>
      </c>
      <c r="J256" s="160">
        <f>InputData!$C$4</f>
        <v>0.01</v>
      </c>
      <c r="K256" s="160">
        <f>InputData!$C$5</f>
        <v>0.01</v>
      </c>
      <c r="L256" s="160">
        <f>InputData!$C$6</f>
        <v>6.2100000000000002E-2</v>
      </c>
      <c r="M256" s="160">
        <f>InputData!$C$7</f>
        <v>0.03</v>
      </c>
      <c r="N256" s="160">
        <f>InputData!$C$8</f>
        <v>0.02</v>
      </c>
      <c r="O256" s="160">
        <f>InputData!$C$9</f>
        <v>0.06</v>
      </c>
      <c r="P256" s="160">
        <f>InputData!$C$10</f>
        <v>0.02</v>
      </c>
      <c r="Q256" s="160">
        <f>InputData!$C$11</f>
        <v>0.02</v>
      </c>
      <c r="R256" s="160">
        <f>InputData!$C$12</f>
        <v>0.02</v>
      </c>
      <c r="S256" s="160">
        <f>InputData!$C$13</f>
        <v>0.9</v>
      </c>
      <c r="T256" s="116">
        <f>InputData!$C$88</f>
        <v>180000</v>
      </c>
      <c r="U256" s="116">
        <f>InputData!$C$81</f>
        <v>178500</v>
      </c>
      <c r="V256" s="116">
        <f>InputData!$C$82</f>
        <v>303960</v>
      </c>
      <c r="W256" s="116">
        <f>InputData!$C$84</f>
        <v>215220</v>
      </c>
      <c r="X256" s="116">
        <f>InputData!$C$85</f>
        <v>409020</v>
      </c>
      <c r="Y256" s="116">
        <f>InputData!$C$116</f>
        <v>140000</v>
      </c>
      <c r="Z256" s="160">
        <f>InputData!$E$13</f>
        <v>0</v>
      </c>
    </row>
    <row r="257" spans="1:26" x14ac:dyDescent="0.25">
      <c r="A257">
        <f>InputData!$K$1</f>
        <v>2013</v>
      </c>
      <c r="B257" t="str">
        <f>InputData!$G$1</f>
        <v>San Antonio, TX</v>
      </c>
      <c r="C257" t="s">
        <v>11</v>
      </c>
      <c r="D257" t="str">
        <f>Graph_IntMed!$K$6</f>
        <v>PAYEr</v>
      </c>
      <c r="E257" t="str">
        <f t="shared" si="3"/>
        <v>Internal Medicine PAYEr</v>
      </c>
      <c r="F257">
        <f>Graph_IntMed!$A22</f>
        <v>2028</v>
      </c>
      <c r="G257">
        <f>Graph_IntMed!$B22</f>
        <v>16</v>
      </c>
      <c r="H257" s="165">
        <f>Graph_IntMed!$K22</f>
        <v>659664.95527360134</v>
      </c>
      <c r="I257" s="160">
        <f>InputData!$C$3</f>
        <v>0.02</v>
      </c>
      <c r="J257" s="160">
        <f>InputData!$C$4</f>
        <v>0.01</v>
      </c>
      <c r="K257" s="160">
        <f>InputData!$C$5</f>
        <v>0.01</v>
      </c>
      <c r="L257" s="160">
        <f>InputData!$C$6</f>
        <v>6.2100000000000002E-2</v>
      </c>
      <c r="M257" s="160">
        <f>InputData!$C$7</f>
        <v>0.03</v>
      </c>
      <c r="N257" s="160">
        <f>InputData!$C$8</f>
        <v>0.02</v>
      </c>
      <c r="O257" s="160">
        <f>InputData!$C$9</f>
        <v>0.06</v>
      </c>
      <c r="P257" s="160">
        <f>InputData!$C$10</f>
        <v>0.02</v>
      </c>
      <c r="Q257" s="160">
        <f>InputData!$C$11</f>
        <v>0.02</v>
      </c>
      <c r="R257" s="160">
        <f>InputData!$C$12</f>
        <v>0.02</v>
      </c>
      <c r="S257" s="160">
        <f>InputData!$C$13</f>
        <v>0.9</v>
      </c>
      <c r="T257" s="116">
        <f>InputData!$C$88</f>
        <v>180000</v>
      </c>
      <c r="U257" s="116">
        <f>InputData!$C$81</f>
        <v>178500</v>
      </c>
      <c r="V257" s="116">
        <f>InputData!$C$82</f>
        <v>303960</v>
      </c>
      <c r="W257" s="116">
        <f>InputData!$C$84</f>
        <v>215220</v>
      </c>
      <c r="X257" s="116">
        <f>InputData!$C$85</f>
        <v>409020</v>
      </c>
      <c r="Y257" s="116">
        <f>InputData!$C$116</f>
        <v>140000</v>
      </c>
      <c r="Z257" s="160">
        <f>InputData!$E$13</f>
        <v>0</v>
      </c>
    </row>
    <row r="258" spans="1:26" x14ac:dyDescent="0.25">
      <c r="A258">
        <f>InputData!$K$1</f>
        <v>2013</v>
      </c>
      <c r="B258" t="str">
        <f>InputData!$G$1</f>
        <v>San Antonio, TX</v>
      </c>
      <c r="C258" t="s">
        <v>11</v>
      </c>
      <c r="D258" t="str">
        <f>Graph_IntMed!$K$6</f>
        <v>PAYEr</v>
      </c>
      <c r="E258" t="str">
        <f t="shared" si="3"/>
        <v>Internal Medicine PAYEr</v>
      </c>
      <c r="F258">
        <f>Graph_IntMed!$A23</f>
        <v>2029</v>
      </c>
      <c r="G258">
        <f>Graph_IntMed!$B23</f>
        <v>17</v>
      </c>
      <c r="H258" s="165">
        <f>Graph_IntMed!$K23</f>
        <v>734951.80545355415</v>
      </c>
      <c r="I258" s="160">
        <f>InputData!$C$3</f>
        <v>0.02</v>
      </c>
      <c r="J258" s="160">
        <f>InputData!$C$4</f>
        <v>0.01</v>
      </c>
      <c r="K258" s="160">
        <f>InputData!$C$5</f>
        <v>0.01</v>
      </c>
      <c r="L258" s="160">
        <f>InputData!$C$6</f>
        <v>6.2100000000000002E-2</v>
      </c>
      <c r="M258" s="160">
        <f>InputData!$C$7</f>
        <v>0.03</v>
      </c>
      <c r="N258" s="160">
        <f>InputData!$C$8</f>
        <v>0.02</v>
      </c>
      <c r="O258" s="160">
        <f>InputData!$C$9</f>
        <v>0.06</v>
      </c>
      <c r="P258" s="160">
        <f>InputData!$C$10</f>
        <v>0.02</v>
      </c>
      <c r="Q258" s="160">
        <f>InputData!$C$11</f>
        <v>0.02</v>
      </c>
      <c r="R258" s="160">
        <f>InputData!$C$12</f>
        <v>0.02</v>
      </c>
      <c r="S258" s="160">
        <f>InputData!$C$13</f>
        <v>0.9</v>
      </c>
      <c r="T258" s="116">
        <f>InputData!$C$88</f>
        <v>180000</v>
      </c>
      <c r="U258" s="116">
        <f>InputData!$C$81</f>
        <v>178500</v>
      </c>
      <c r="V258" s="116">
        <f>InputData!$C$82</f>
        <v>303960</v>
      </c>
      <c r="W258" s="116">
        <f>InputData!$C$84</f>
        <v>215220</v>
      </c>
      <c r="X258" s="116">
        <f>InputData!$C$85</f>
        <v>409020</v>
      </c>
      <c r="Y258" s="116">
        <f>InputData!$C$116</f>
        <v>140000</v>
      </c>
      <c r="Z258" s="160">
        <f>InputData!$E$13</f>
        <v>0</v>
      </c>
    </row>
    <row r="259" spans="1:26" x14ac:dyDescent="0.25">
      <c r="A259">
        <f>InputData!$K$1</f>
        <v>2013</v>
      </c>
      <c r="B259" t="str">
        <f>InputData!$G$1</f>
        <v>San Antonio, TX</v>
      </c>
      <c r="C259" t="s">
        <v>11</v>
      </c>
      <c r="D259" t="str">
        <f>Graph_IntMed!$K$6</f>
        <v>PAYEr</v>
      </c>
      <c r="E259" t="str">
        <f t="shared" ref="E259:E322" si="4">C259 &amp; " " &amp; D259</f>
        <v>Internal Medicine PAYEr</v>
      </c>
      <c r="F259">
        <f>Graph_IntMed!$A24</f>
        <v>2030</v>
      </c>
      <c r="G259">
        <f>Graph_IntMed!$B24</f>
        <v>18</v>
      </c>
      <c r="H259" s="165">
        <f>Graph_IntMed!$K24</f>
        <v>808687.96447066683</v>
      </c>
      <c r="I259" s="160">
        <f>InputData!$C$3</f>
        <v>0.02</v>
      </c>
      <c r="J259" s="160">
        <f>InputData!$C$4</f>
        <v>0.01</v>
      </c>
      <c r="K259" s="160">
        <f>InputData!$C$5</f>
        <v>0.01</v>
      </c>
      <c r="L259" s="160">
        <f>InputData!$C$6</f>
        <v>6.2100000000000002E-2</v>
      </c>
      <c r="M259" s="160">
        <f>InputData!$C$7</f>
        <v>0.03</v>
      </c>
      <c r="N259" s="160">
        <f>InputData!$C$8</f>
        <v>0.02</v>
      </c>
      <c r="O259" s="160">
        <f>InputData!$C$9</f>
        <v>0.06</v>
      </c>
      <c r="P259" s="160">
        <f>InputData!$C$10</f>
        <v>0.02</v>
      </c>
      <c r="Q259" s="160">
        <f>InputData!$C$11</f>
        <v>0.02</v>
      </c>
      <c r="R259" s="160">
        <f>InputData!$C$12</f>
        <v>0.02</v>
      </c>
      <c r="S259" s="160">
        <f>InputData!$C$13</f>
        <v>0.9</v>
      </c>
      <c r="T259" s="116">
        <f>InputData!$C$88</f>
        <v>180000</v>
      </c>
      <c r="U259" s="116">
        <f>InputData!$C$81</f>
        <v>178500</v>
      </c>
      <c r="V259" s="116">
        <f>InputData!$C$82</f>
        <v>303960</v>
      </c>
      <c r="W259" s="116">
        <f>InputData!$C$84</f>
        <v>215220</v>
      </c>
      <c r="X259" s="116">
        <f>InputData!$C$85</f>
        <v>409020</v>
      </c>
      <c r="Y259" s="116">
        <f>InputData!$C$116</f>
        <v>140000</v>
      </c>
      <c r="Z259" s="160">
        <f>InputData!$E$13</f>
        <v>0</v>
      </c>
    </row>
    <row r="260" spans="1:26" x14ac:dyDescent="0.25">
      <c r="A260">
        <f>InputData!$K$1</f>
        <v>2013</v>
      </c>
      <c r="B260" t="str">
        <f>InputData!$G$1</f>
        <v>San Antonio, TX</v>
      </c>
      <c r="C260" t="s">
        <v>11</v>
      </c>
      <c r="D260" t="str">
        <f>Graph_IntMed!$K$6</f>
        <v>PAYEr</v>
      </c>
      <c r="E260" t="str">
        <f t="shared" si="4"/>
        <v>Internal Medicine PAYEr</v>
      </c>
      <c r="F260">
        <f>Graph_IntMed!$A25</f>
        <v>2031</v>
      </c>
      <c r="G260">
        <f>Graph_IntMed!$B25</f>
        <v>19</v>
      </c>
      <c r="H260" s="165">
        <f>Graph_IntMed!$K25</f>
        <v>880906.00730821514</v>
      </c>
      <c r="I260" s="160">
        <f>InputData!$C$3</f>
        <v>0.02</v>
      </c>
      <c r="J260" s="160">
        <f>InputData!$C$4</f>
        <v>0.01</v>
      </c>
      <c r="K260" s="160">
        <f>InputData!$C$5</f>
        <v>0.01</v>
      </c>
      <c r="L260" s="160">
        <f>InputData!$C$6</f>
        <v>6.2100000000000002E-2</v>
      </c>
      <c r="M260" s="160">
        <f>InputData!$C$7</f>
        <v>0.03</v>
      </c>
      <c r="N260" s="160">
        <f>InputData!$C$8</f>
        <v>0.02</v>
      </c>
      <c r="O260" s="160">
        <f>InputData!$C$9</f>
        <v>0.06</v>
      </c>
      <c r="P260" s="160">
        <f>InputData!$C$10</f>
        <v>0.02</v>
      </c>
      <c r="Q260" s="160">
        <f>InputData!$C$11</f>
        <v>0.02</v>
      </c>
      <c r="R260" s="160">
        <f>InputData!$C$12</f>
        <v>0.02</v>
      </c>
      <c r="S260" s="160">
        <f>InputData!$C$13</f>
        <v>0.9</v>
      </c>
      <c r="T260" s="116">
        <f>InputData!$C$88</f>
        <v>180000</v>
      </c>
      <c r="U260" s="116">
        <f>InputData!$C$81</f>
        <v>178500</v>
      </c>
      <c r="V260" s="116">
        <f>InputData!$C$82</f>
        <v>303960</v>
      </c>
      <c r="W260" s="116">
        <f>InputData!$C$84</f>
        <v>215220</v>
      </c>
      <c r="X260" s="116">
        <f>InputData!$C$85</f>
        <v>409020</v>
      </c>
      <c r="Y260" s="116">
        <f>InputData!$C$116</f>
        <v>140000</v>
      </c>
      <c r="Z260" s="160">
        <f>InputData!$E$13</f>
        <v>0</v>
      </c>
    </row>
    <row r="261" spans="1:26" x14ac:dyDescent="0.25">
      <c r="A261">
        <f>InputData!$K$1</f>
        <v>2013</v>
      </c>
      <c r="B261" t="str">
        <f>InputData!$G$1</f>
        <v>San Antonio, TX</v>
      </c>
      <c r="C261" t="s">
        <v>11</v>
      </c>
      <c r="D261" t="str">
        <f>Graph_IntMed!$K$6</f>
        <v>PAYEr</v>
      </c>
      <c r="E261" t="str">
        <f t="shared" si="4"/>
        <v>Internal Medicine PAYEr</v>
      </c>
      <c r="F261">
        <f>Graph_IntMed!$A26</f>
        <v>2032</v>
      </c>
      <c r="G261">
        <f>Graph_IntMed!$B26</f>
        <v>20</v>
      </c>
      <c r="H261" s="165">
        <f>Graph_IntMed!$K26</f>
        <v>951637.8070415688</v>
      </c>
      <c r="I261" s="160">
        <f>InputData!$C$3</f>
        <v>0.02</v>
      </c>
      <c r="J261" s="160">
        <f>InputData!$C$4</f>
        <v>0.01</v>
      </c>
      <c r="K261" s="160">
        <f>InputData!$C$5</f>
        <v>0.01</v>
      </c>
      <c r="L261" s="160">
        <f>InputData!$C$6</f>
        <v>6.2100000000000002E-2</v>
      </c>
      <c r="M261" s="160">
        <f>InputData!$C$7</f>
        <v>0.03</v>
      </c>
      <c r="N261" s="160">
        <f>InputData!$C$8</f>
        <v>0.02</v>
      </c>
      <c r="O261" s="160">
        <f>InputData!$C$9</f>
        <v>0.06</v>
      </c>
      <c r="P261" s="160">
        <f>InputData!$C$10</f>
        <v>0.02</v>
      </c>
      <c r="Q261" s="160">
        <f>InputData!$C$11</f>
        <v>0.02</v>
      </c>
      <c r="R261" s="160">
        <f>InputData!$C$12</f>
        <v>0.02</v>
      </c>
      <c r="S261" s="160">
        <f>InputData!$C$13</f>
        <v>0.9</v>
      </c>
      <c r="T261" s="116">
        <f>InputData!$C$88</f>
        <v>180000</v>
      </c>
      <c r="U261" s="116">
        <f>InputData!$C$81</f>
        <v>178500</v>
      </c>
      <c r="V261" s="116">
        <f>InputData!$C$82</f>
        <v>303960</v>
      </c>
      <c r="W261" s="116">
        <f>InputData!$C$84</f>
        <v>215220</v>
      </c>
      <c r="X261" s="116">
        <f>InputData!$C$85</f>
        <v>409020</v>
      </c>
      <c r="Y261" s="116">
        <f>InputData!$C$116</f>
        <v>140000</v>
      </c>
      <c r="Z261" s="160">
        <f>InputData!$E$13</f>
        <v>0</v>
      </c>
    </row>
    <row r="262" spans="1:26" x14ac:dyDescent="0.25">
      <c r="A262">
        <f>InputData!$K$1</f>
        <v>2013</v>
      </c>
      <c r="B262" t="str">
        <f>InputData!$G$1</f>
        <v>San Antonio, TX</v>
      </c>
      <c r="C262" t="s">
        <v>11</v>
      </c>
      <c r="D262" t="str">
        <f>Graph_IntMed!$K$6</f>
        <v>PAYEr</v>
      </c>
      <c r="E262" t="str">
        <f t="shared" si="4"/>
        <v>Internal Medicine PAYEr</v>
      </c>
      <c r="F262">
        <f>Graph_IntMed!$A27</f>
        <v>2033</v>
      </c>
      <c r="G262">
        <f>Graph_IntMed!$B27</f>
        <v>21</v>
      </c>
      <c r="H262" s="165">
        <f>Graph_IntMed!$K27</f>
        <v>1020914.5504413657</v>
      </c>
      <c r="I262" s="160">
        <f>InputData!$C$3</f>
        <v>0.02</v>
      </c>
      <c r="J262" s="160">
        <f>InputData!$C$4</f>
        <v>0.01</v>
      </c>
      <c r="K262" s="160">
        <f>InputData!$C$5</f>
        <v>0.01</v>
      </c>
      <c r="L262" s="160">
        <f>InputData!$C$6</f>
        <v>6.2100000000000002E-2</v>
      </c>
      <c r="M262" s="160">
        <f>InputData!$C$7</f>
        <v>0.03</v>
      </c>
      <c r="N262" s="160">
        <f>InputData!$C$8</f>
        <v>0.02</v>
      </c>
      <c r="O262" s="160">
        <f>InputData!$C$9</f>
        <v>0.06</v>
      </c>
      <c r="P262" s="160">
        <f>InputData!$C$10</f>
        <v>0.02</v>
      </c>
      <c r="Q262" s="160">
        <f>InputData!$C$11</f>
        <v>0.02</v>
      </c>
      <c r="R262" s="160">
        <f>InputData!$C$12</f>
        <v>0.02</v>
      </c>
      <c r="S262" s="160">
        <f>InputData!$C$13</f>
        <v>0.9</v>
      </c>
      <c r="T262" s="116">
        <f>InputData!$C$88</f>
        <v>180000</v>
      </c>
      <c r="U262" s="116">
        <f>InputData!$C$81</f>
        <v>178500</v>
      </c>
      <c r="V262" s="116">
        <f>InputData!$C$82</f>
        <v>303960</v>
      </c>
      <c r="W262" s="116">
        <f>InputData!$C$84</f>
        <v>215220</v>
      </c>
      <c r="X262" s="116">
        <f>InputData!$C$85</f>
        <v>409020</v>
      </c>
      <c r="Y262" s="116">
        <f>InputData!$C$116</f>
        <v>140000</v>
      </c>
      <c r="Z262" s="160">
        <f>InputData!$E$13</f>
        <v>0</v>
      </c>
    </row>
    <row r="263" spans="1:26" x14ac:dyDescent="0.25">
      <c r="A263">
        <f>InputData!$K$1</f>
        <v>2013</v>
      </c>
      <c r="B263" t="str">
        <f>InputData!$G$1</f>
        <v>San Antonio, TX</v>
      </c>
      <c r="C263" t="s">
        <v>11</v>
      </c>
      <c r="D263" t="str">
        <f>Graph_IntMed!$K$6</f>
        <v>PAYEr</v>
      </c>
      <c r="E263" t="str">
        <f t="shared" si="4"/>
        <v>Internal Medicine PAYEr</v>
      </c>
      <c r="F263">
        <f>Graph_IntMed!$A28</f>
        <v>2034</v>
      </c>
      <c r="G263">
        <f>Graph_IntMed!$B28</f>
        <v>22</v>
      </c>
      <c r="H263" s="165">
        <f>Graph_IntMed!$K28</f>
        <v>1088766.7532171416</v>
      </c>
      <c r="I263" s="160">
        <f>InputData!$C$3</f>
        <v>0.02</v>
      </c>
      <c r="J263" s="160">
        <f>InputData!$C$4</f>
        <v>0.01</v>
      </c>
      <c r="K263" s="160">
        <f>InputData!$C$5</f>
        <v>0.01</v>
      </c>
      <c r="L263" s="160">
        <f>InputData!$C$6</f>
        <v>6.2100000000000002E-2</v>
      </c>
      <c r="M263" s="160">
        <f>InputData!$C$7</f>
        <v>0.03</v>
      </c>
      <c r="N263" s="160">
        <f>InputData!$C$8</f>
        <v>0.02</v>
      </c>
      <c r="O263" s="160">
        <f>InputData!$C$9</f>
        <v>0.06</v>
      </c>
      <c r="P263" s="160">
        <f>InputData!$C$10</f>
        <v>0.02</v>
      </c>
      <c r="Q263" s="160">
        <f>InputData!$C$11</f>
        <v>0.02</v>
      </c>
      <c r="R263" s="160">
        <f>InputData!$C$12</f>
        <v>0.02</v>
      </c>
      <c r="S263" s="160">
        <f>InputData!$C$13</f>
        <v>0.9</v>
      </c>
      <c r="T263" s="116">
        <f>InputData!$C$88</f>
        <v>180000</v>
      </c>
      <c r="U263" s="116">
        <f>InputData!$C$81</f>
        <v>178500</v>
      </c>
      <c r="V263" s="116">
        <f>InputData!$C$82</f>
        <v>303960</v>
      </c>
      <c r="W263" s="116">
        <f>InputData!$C$84</f>
        <v>215220</v>
      </c>
      <c r="X263" s="116">
        <f>InputData!$C$85</f>
        <v>409020</v>
      </c>
      <c r="Y263" s="116">
        <f>InputData!$C$116</f>
        <v>140000</v>
      </c>
      <c r="Z263" s="160">
        <f>InputData!$E$13</f>
        <v>0</v>
      </c>
    </row>
    <row r="264" spans="1:26" x14ac:dyDescent="0.25">
      <c r="A264">
        <f>InputData!$K$1</f>
        <v>2013</v>
      </c>
      <c r="B264" t="str">
        <f>InputData!$G$1</f>
        <v>San Antonio, TX</v>
      </c>
      <c r="C264" t="s">
        <v>11</v>
      </c>
      <c r="D264" t="str">
        <f>Graph_IntMed!$K$6</f>
        <v>PAYEr</v>
      </c>
      <c r="E264" t="str">
        <f t="shared" si="4"/>
        <v>Internal Medicine PAYEr</v>
      </c>
      <c r="F264">
        <f>Graph_IntMed!$A29</f>
        <v>2035</v>
      </c>
      <c r="G264">
        <f>Graph_IntMed!$B29</f>
        <v>23</v>
      </c>
      <c r="H264" s="165">
        <f>Graph_IntMed!$K29</f>
        <v>1155268.7507974799</v>
      </c>
      <c r="I264" s="160">
        <f>InputData!$C$3</f>
        <v>0.02</v>
      </c>
      <c r="J264" s="160">
        <f>InputData!$C$4</f>
        <v>0.01</v>
      </c>
      <c r="K264" s="160">
        <f>InputData!$C$5</f>
        <v>0.01</v>
      </c>
      <c r="L264" s="160">
        <f>InputData!$C$6</f>
        <v>6.2100000000000002E-2</v>
      </c>
      <c r="M264" s="160">
        <f>InputData!$C$7</f>
        <v>0.03</v>
      </c>
      <c r="N264" s="160">
        <f>InputData!$C$8</f>
        <v>0.02</v>
      </c>
      <c r="O264" s="160">
        <f>InputData!$C$9</f>
        <v>0.06</v>
      </c>
      <c r="P264" s="160">
        <f>InputData!$C$10</f>
        <v>0.02</v>
      </c>
      <c r="Q264" s="160">
        <f>InputData!$C$11</f>
        <v>0.02</v>
      </c>
      <c r="R264" s="160">
        <f>InputData!$C$12</f>
        <v>0.02</v>
      </c>
      <c r="S264" s="160">
        <f>InputData!$C$13</f>
        <v>0.9</v>
      </c>
      <c r="T264" s="116">
        <f>InputData!$C$88</f>
        <v>180000</v>
      </c>
      <c r="U264" s="116">
        <f>InputData!$C$81</f>
        <v>178500</v>
      </c>
      <c r="V264" s="116">
        <f>InputData!$C$82</f>
        <v>303960</v>
      </c>
      <c r="W264" s="116">
        <f>InputData!$C$84</f>
        <v>215220</v>
      </c>
      <c r="X264" s="116">
        <f>InputData!$C$85</f>
        <v>409020</v>
      </c>
      <c r="Y264" s="116">
        <f>InputData!$C$116</f>
        <v>140000</v>
      </c>
      <c r="Z264" s="160">
        <f>InputData!$E$13</f>
        <v>0</v>
      </c>
    </row>
    <row r="265" spans="1:26" x14ac:dyDescent="0.25">
      <c r="A265">
        <f>InputData!$K$1</f>
        <v>2013</v>
      </c>
      <c r="B265" t="str">
        <f>InputData!$G$1</f>
        <v>San Antonio, TX</v>
      </c>
      <c r="C265" t="s">
        <v>11</v>
      </c>
      <c r="D265" t="str">
        <f>Graph_IntMed!$K$6</f>
        <v>PAYEr</v>
      </c>
      <c r="E265" t="str">
        <f t="shared" si="4"/>
        <v>Internal Medicine PAYEr</v>
      </c>
      <c r="F265">
        <f>Graph_IntMed!$A30</f>
        <v>2036</v>
      </c>
      <c r="G265">
        <f>Graph_IntMed!$B30</f>
        <v>24</v>
      </c>
      <c r="H265" s="165">
        <f>Graph_IntMed!$K30</f>
        <v>1225067.8718296164</v>
      </c>
      <c r="I265" s="160">
        <f>InputData!$C$3</f>
        <v>0.02</v>
      </c>
      <c r="J265" s="160">
        <f>InputData!$C$4</f>
        <v>0.01</v>
      </c>
      <c r="K265" s="160">
        <f>InputData!$C$5</f>
        <v>0.01</v>
      </c>
      <c r="L265" s="160">
        <f>InputData!$C$6</f>
        <v>6.2100000000000002E-2</v>
      </c>
      <c r="M265" s="160">
        <f>InputData!$C$7</f>
        <v>0.03</v>
      </c>
      <c r="N265" s="160">
        <f>InputData!$C$8</f>
        <v>0.02</v>
      </c>
      <c r="O265" s="160">
        <f>InputData!$C$9</f>
        <v>0.06</v>
      </c>
      <c r="P265" s="160">
        <f>InputData!$C$10</f>
        <v>0.02</v>
      </c>
      <c r="Q265" s="160">
        <f>InputData!$C$11</f>
        <v>0.02</v>
      </c>
      <c r="R265" s="160">
        <f>InputData!$C$12</f>
        <v>0.02</v>
      </c>
      <c r="S265" s="160">
        <f>InputData!$C$13</f>
        <v>0.9</v>
      </c>
      <c r="T265" s="116">
        <f>InputData!$C$88</f>
        <v>180000</v>
      </c>
      <c r="U265" s="116">
        <f>InputData!$C$81</f>
        <v>178500</v>
      </c>
      <c r="V265" s="116">
        <f>InputData!$C$82</f>
        <v>303960</v>
      </c>
      <c r="W265" s="116">
        <f>InputData!$C$84</f>
        <v>215220</v>
      </c>
      <c r="X265" s="116">
        <f>InputData!$C$85</f>
        <v>409020</v>
      </c>
      <c r="Y265" s="116">
        <f>InputData!$C$116</f>
        <v>140000</v>
      </c>
      <c r="Z265" s="160">
        <f>InputData!$E$13</f>
        <v>0</v>
      </c>
    </row>
    <row r="266" spans="1:26" x14ac:dyDescent="0.25">
      <c r="A266">
        <f>InputData!$K$1</f>
        <v>2013</v>
      </c>
      <c r="B266" t="str">
        <f>InputData!$G$1</f>
        <v>San Antonio, TX</v>
      </c>
      <c r="C266" t="s">
        <v>11</v>
      </c>
      <c r="D266" t="str">
        <f>Graph_IntMed!$K$6</f>
        <v>PAYEr</v>
      </c>
      <c r="E266" t="str">
        <f t="shared" si="4"/>
        <v>Internal Medicine PAYEr</v>
      </c>
      <c r="F266">
        <f>Graph_IntMed!$A31</f>
        <v>2037</v>
      </c>
      <c r="G266">
        <f>Graph_IntMed!$B31</f>
        <v>25</v>
      </c>
      <c r="H266" s="165">
        <f>Graph_IntMed!$K31</f>
        <v>1298340.3393114198</v>
      </c>
      <c r="I266" s="160">
        <f>InputData!$C$3</f>
        <v>0.02</v>
      </c>
      <c r="J266" s="160">
        <f>InputData!$C$4</f>
        <v>0.01</v>
      </c>
      <c r="K266" s="160">
        <f>InputData!$C$5</f>
        <v>0.01</v>
      </c>
      <c r="L266" s="160">
        <f>InputData!$C$6</f>
        <v>6.2100000000000002E-2</v>
      </c>
      <c r="M266" s="160">
        <f>InputData!$C$7</f>
        <v>0.03</v>
      </c>
      <c r="N266" s="160">
        <f>InputData!$C$8</f>
        <v>0.02</v>
      </c>
      <c r="O266" s="160">
        <f>InputData!$C$9</f>
        <v>0.06</v>
      </c>
      <c r="P266" s="160">
        <f>InputData!$C$10</f>
        <v>0.02</v>
      </c>
      <c r="Q266" s="160">
        <f>InputData!$C$11</f>
        <v>0.02</v>
      </c>
      <c r="R266" s="160">
        <f>InputData!$C$12</f>
        <v>0.02</v>
      </c>
      <c r="S266" s="160">
        <f>InputData!$C$13</f>
        <v>0.9</v>
      </c>
      <c r="T266" s="116">
        <f>InputData!$C$88</f>
        <v>180000</v>
      </c>
      <c r="U266" s="116">
        <f>InputData!$C$81</f>
        <v>178500</v>
      </c>
      <c r="V266" s="116">
        <f>InputData!$C$82</f>
        <v>303960</v>
      </c>
      <c r="W266" s="116">
        <f>InputData!$C$84</f>
        <v>215220</v>
      </c>
      <c r="X266" s="116">
        <f>InputData!$C$85</f>
        <v>409020</v>
      </c>
      <c r="Y266" s="116">
        <f>InputData!$C$116</f>
        <v>140000</v>
      </c>
      <c r="Z266" s="160">
        <f>InputData!$E$13</f>
        <v>0</v>
      </c>
    </row>
    <row r="267" spans="1:26" x14ac:dyDescent="0.25">
      <c r="A267">
        <f>InputData!$K$1</f>
        <v>2013</v>
      </c>
      <c r="B267" t="str">
        <f>InputData!$G$1</f>
        <v>San Antonio, TX</v>
      </c>
      <c r="C267" t="s">
        <v>11</v>
      </c>
      <c r="D267" t="str">
        <f>Graph_IntMed!$K$6</f>
        <v>PAYEr</v>
      </c>
      <c r="E267" t="str">
        <f t="shared" si="4"/>
        <v>Internal Medicine PAYEr</v>
      </c>
      <c r="F267">
        <f>Graph_IntMed!$A32</f>
        <v>2038</v>
      </c>
      <c r="G267">
        <f>Graph_IntMed!$B32</f>
        <v>26</v>
      </c>
      <c r="H267" s="165">
        <f>Graph_IntMed!$K32</f>
        <v>1370125.3679260213</v>
      </c>
      <c r="I267" s="160">
        <f>InputData!$C$3</f>
        <v>0.02</v>
      </c>
      <c r="J267" s="160">
        <f>InputData!$C$4</f>
        <v>0.01</v>
      </c>
      <c r="K267" s="160">
        <f>InputData!$C$5</f>
        <v>0.01</v>
      </c>
      <c r="L267" s="160">
        <f>InputData!$C$6</f>
        <v>6.2100000000000002E-2</v>
      </c>
      <c r="M267" s="160">
        <f>InputData!$C$7</f>
        <v>0.03</v>
      </c>
      <c r="N267" s="160">
        <f>InputData!$C$8</f>
        <v>0.02</v>
      </c>
      <c r="O267" s="160">
        <f>InputData!$C$9</f>
        <v>0.06</v>
      </c>
      <c r="P267" s="160">
        <f>InputData!$C$10</f>
        <v>0.02</v>
      </c>
      <c r="Q267" s="160">
        <f>InputData!$C$11</f>
        <v>0.02</v>
      </c>
      <c r="R267" s="160">
        <f>InputData!$C$12</f>
        <v>0.02</v>
      </c>
      <c r="S267" s="160">
        <f>InputData!$C$13</f>
        <v>0.9</v>
      </c>
      <c r="T267" s="116">
        <f>InputData!$C$88</f>
        <v>180000</v>
      </c>
      <c r="U267" s="116">
        <f>InputData!$C$81</f>
        <v>178500</v>
      </c>
      <c r="V267" s="116">
        <f>InputData!$C$82</f>
        <v>303960</v>
      </c>
      <c r="W267" s="116">
        <f>InputData!$C$84</f>
        <v>215220</v>
      </c>
      <c r="X267" s="116">
        <f>InputData!$C$85</f>
        <v>409020</v>
      </c>
      <c r="Y267" s="116">
        <f>InputData!$C$116</f>
        <v>140000</v>
      </c>
      <c r="Z267" s="160">
        <f>InputData!$E$13</f>
        <v>0</v>
      </c>
    </row>
    <row r="268" spans="1:26" x14ac:dyDescent="0.25">
      <c r="A268">
        <f>InputData!$K$1</f>
        <v>2013</v>
      </c>
      <c r="B268" t="str">
        <f>InputData!$G$1</f>
        <v>San Antonio, TX</v>
      </c>
      <c r="C268" t="s">
        <v>11</v>
      </c>
      <c r="D268" t="str">
        <f>Graph_IntMed!$K$6</f>
        <v>PAYEr</v>
      </c>
      <c r="E268" t="str">
        <f t="shared" si="4"/>
        <v>Internal Medicine PAYEr</v>
      </c>
      <c r="F268">
        <f>Graph_IntMed!$A33</f>
        <v>2039</v>
      </c>
      <c r="G268">
        <f>Graph_IntMed!$B33</f>
        <v>27</v>
      </c>
      <c r="H268" s="165">
        <f>Graph_IntMed!$K33</f>
        <v>1440453.6005341785</v>
      </c>
      <c r="I268" s="160">
        <f>InputData!$C$3</f>
        <v>0.02</v>
      </c>
      <c r="J268" s="160">
        <f>InputData!$C$4</f>
        <v>0.01</v>
      </c>
      <c r="K268" s="160">
        <f>InputData!$C$5</f>
        <v>0.01</v>
      </c>
      <c r="L268" s="160">
        <f>InputData!$C$6</f>
        <v>6.2100000000000002E-2</v>
      </c>
      <c r="M268" s="160">
        <f>InputData!$C$7</f>
        <v>0.03</v>
      </c>
      <c r="N268" s="160">
        <f>InputData!$C$8</f>
        <v>0.02</v>
      </c>
      <c r="O268" s="160">
        <f>InputData!$C$9</f>
        <v>0.06</v>
      </c>
      <c r="P268" s="160">
        <f>InputData!$C$10</f>
        <v>0.02</v>
      </c>
      <c r="Q268" s="160">
        <f>InputData!$C$11</f>
        <v>0.02</v>
      </c>
      <c r="R268" s="160">
        <f>InputData!$C$12</f>
        <v>0.02</v>
      </c>
      <c r="S268" s="160">
        <f>InputData!$C$13</f>
        <v>0.9</v>
      </c>
      <c r="T268" s="116">
        <f>InputData!$C$88</f>
        <v>180000</v>
      </c>
      <c r="U268" s="116">
        <f>InputData!$C$81</f>
        <v>178500</v>
      </c>
      <c r="V268" s="116">
        <f>InputData!$C$82</f>
        <v>303960</v>
      </c>
      <c r="W268" s="116">
        <f>InputData!$C$84</f>
        <v>215220</v>
      </c>
      <c r="X268" s="116">
        <f>InputData!$C$85</f>
        <v>409020</v>
      </c>
      <c r="Y268" s="116">
        <f>InputData!$C$116</f>
        <v>140000</v>
      </c>
      <c r="Z268" s="160">
        <f>InputData!$E$13</f>
        <v>0</v>
      </c>
    </row>
    <row r="269" spans="1:26" x14ac:dyDescent="0.25">
      <c r="A269">
        <f>InputData!$K$1</f>
        <v>2013</v>
      </c>
      <c r="B269" t="str">
        <f>InputData!$G$1</f>
        <v>San Antonio, TX</v>
      </c>
      <c r="C269" t="s">
        <v>11</v>
      </c>
      <c r="D269" t="str">
        <f>Graph_IntMed!$K$6</f>
        <v>PAYEr</v>
      </c>
      <c r="E269" t="str">
        <f t="shared" si="4"/>
        <v>Internal Medicine PAYEr</v>
      </c>
      <c r="F269">
        <f>Graph_IntMed!$A34</f>
        <v>2040</v>
      </c>
      <c r="G269">
        <f>Graph_IntMed!$B34</f>
        <v>28</v>
      </c>
      <c r="H269" s="165">
        <f>Graph_IntMed!$K34</f>
        <v>1509355.036125384</v>
      </c>
      <c r="I269" s="160">
        <f>InputData!$C$3</f>
        <v>0.02</v>
      </c>
      <c r="J269" s="160">
        <f>InputData!$C$4</f>
        <v>0.01</v>
      </c>
      <c r="K269" s="160">
        <f>InputData!$C$5</f>
        <v>0.01</v>
      </c>
      <c r="L269" s="160">
        <f>InputData!$C$6</f>
        <v>6.2100000000000002E-2</v>
      </c>
      <c r="M269" s="160">
        <f>InputData!$C$7</f>
        <v>0.03</v>
      </c>
      <c r="N269" s="160">
        <f>InputData!$C$8</f>
        <v>0.02</v>
      </c>
      <c r="O269" s="160">
        <f>InputData!$C$9</f>
        <v>0.06</v>
      </c>
      <c r="P269" s="160">
        <f>InputData!$C$10</f>
        <v>0.02</v>
      </c>
      <c r="Q269" s="160">
        <f>InputData!$C$11</f>
        <v>0.02</v>
      </c>
      <c r="R269" s="160">
        <f>InputData!$C$12</f>
        <v>0.02</v>
      </c>
      <c r="S269" s="160">
        <f>InputData!$C$13</f>
        <v>0.9</v>
      </c>
      <c r="T269" s="116">
        <f>InputData!$C$88</f>
        <v>180000</v>
      </c>
      <c r="U269" s="116">
        <f>InputData!$C$81</f>
        <v>178500</v>
      </c>
      <c r="V269" s="116">
        <f>InputData!$C$82</f>
        <v>303960</v>
      </c>
      <c r="W269" s="116">
        <f>InputData!$C$84</f>
        <v>215220</v>
      </c>
      <c r="X269" s="116">
        <f>InputData!$C$85</f>
        <v>409020</v>
      </c>
      <c r="Y269" s="116">
        <f>InputData!$C$116</f>
        <v>140000</v>
      </c>
      <c r="Z269" s="160">
        <f>InputData!$E$13</f>
        <v>0</v>
      </c>
    </row>
    <row r="270" spans="1:26" x14ac:dyDescent="0.25">
      <c r="A270">
        <f>InputData!$K$1</f>
        <v>2013</v>
      </c>
      <c r="B270" t="str">
        <f>InputData!$G$1</f>
        <v>San Antonio, TX</v>
      </c>
      <c r="C270" t="s">
        <v>11</v>
      </c>
      <c r="D270" t="str">
        <f>Graph_IntMed!$K$6</f>
        <v>PAYEr</v>
      </c>
      <c r="E270" t="str">
        <f t="shared" si="4"/>
        <v>Internal Medicine PAYEr</v>
      </c>
      <c r="F270">
        <f>Graph_IntMed!$A35</f>
        <v>2041</v>
      </c>
      <c r="G270">
        <f>Graph_IntMed!$B35</f>
        <v>29</v>
      </c>
      <c r="H270" s="165">
        <f>Graph_IntMed!$K35</f>
        <v>1576859.043696119</v>
      </c>
      <c r="I270" s="160">
        <f>InputData!$C$3</f>
        <v>0.02</v>
      </c>
      <c r="J270" s="160">
        <f>InputData!$C$4</f>
        <v>0.01</v>
      </c>
      <c r="K270" s="160">
        <f>InputData!$C$5</f>
        <v>0.01</v>
      </c>
      <c r="L270" s="160">
        <f>InputData!$C$6</f>
        <v>6.2100000000000002E-2</v>
      </c>
      <c r="M270" s="160">
        <f>InputData!$C$7</f>
        <v>0.03</v>
      </c>
      <c r="N270" s="160">
        <f>InputData!$C$8</f>
        <v>0.02</v>
      </c>
      <c r="O270" s="160">
        <f>InputData!$C$9</f>
        <v>0.06</v>
      </c>
      <c r="P270" s="160">
        <f>InputData!$C$10</f>
        <v>0.02</v>
      </c>
      <c r="Q270" s="160">
        <f>InputData!$C$11</f>
        <v>0.02</v>
      </c>
      <c r="R270" s="160">
        <f>InputData!$C$12</f>
        <v>0.02</v>
      </c>
      <c r="S270" s="160">
        <f>InputData!$C$13</f>
        <v>0.9</v>
      </c>
      <c r="T270" s="116">
        <f>InputData!$C$88</f>
        <v>180000</v>
      </c>
      <c r="U270" s="116">
        <f>InputData!$C$81</f>
        <v>178500</v>
      </c>
      <c r="V270" s="116">
        <f>InputData!$C$82</f>
        <v>303960</v>
      </c>
      <c r="W270" s="116">
        <f>InputData!$C$84</f>
        <v>215220</v>
      </c>
      <c r="X270" s="116">
        <f>InputData!$C$85</f>
        <v>409020</v>
      </c>
      <c r="Y270" s="116">
        <f>InputData!$C$116</f>
        <v>140000</v>
      </c>
      <c r="Z270" s="160">
        <f>InputData!$E$13</f>
        <v>0</v>
      </c>
    </row>
    <row r="271" spans="1:26" x14ac:dyDescent="0.25">
      <c r="A271">
        <f>InputData!$K$1</f>
        <v>2013</v>
      </c>
      <c r="B271" t="str">
        <f>InputData!$G$1</f>
        <v>San Antonio, TX</v>
      </c>
      <c r="C271" t="s">
        <v>11</v>
      </c>
      <c r="D271" t="str">
        <f>Graph_IntMed!$K$6</f>
        <v>PAYEr</v>
      </c>
      <c r="E271" t="str">
        <f t="shared" si="4"/>
        <v>Internal Medicine PAYEr</v>
      </c>
      <c r="F271">
        <f>Graph_IntMed!$A36</f>
        <v>2042</v>
      </c>
      <c r="G271">
        <f>Graph_IntMed!$B36</f>
        <v>30</v>
      </c>
      <c r="H271" s="165">
        <f>Graph_IntMed!$K36</f>
        <v>1642994.3758194782</v>
      </c>
      <c r="I271" s="160">
        <f>InputData!$C$3</f>
        <v>0.02</v>
      </c>
      <c r="J271" s="160">
        <f>InputData!$C$4</f>
        <v>0.01</v>
      </c>
      <c r="K271" s="160">
        <f>InputData!$C$5</f>
        <v>0.01</v>
      </c>
      <c r="L271" s="160">
        <f>InputData!$C$6</f>
        <v>6.2100000000000002E-2</v>
      </c>
      <c r="M271" s="160">
        <f>InputData!$C$7</f>
        <v>0.03</v>
      </c>
      <c r="N271" s="160">
        <f>InputData!$C$8</f>
        <v>0.02</v>
      </c>
      <c r="O271" s="160">
        <f>InputData!$C$9</f>
        <v>0.06</v>
      </c>
      <c r="P271" s="160">
        <f>InputData!$C$10</f>
        <v>0.02</v>
      </c>
      <c r="Q271" s="160">
        <f>InputData!$C$11</f>
        <v>0.02</v>
      </c>
      <c r="R271" s="160">
        <f>InputData!$C$12</f>
        <v>0.02</v>
      </c>
      <c r="S271" s="160">
        <f>InputData!$C$13</f>
        <v>0.9</v>
      </c>
      <c r="T271" s="116">
        <f>InputData!$C$88</f>
        <v>180000</v>
      </c>
      <c r="U271" s="116">
        <f>InputData!$C$81</f>
        <v>178500</v>
      </c>
      <c r="V271" s="116">
        <f>InputData!$C$82</f>
        <v>303960</v>
      </c>
      <c r="W271" s="116">
        <f>InputData!$C$84</f>
        <v>215220</v>
      </c>
      <c r="X271" s="116">
        <f>InputData!$C$85</f>
        <v>409020</v>
      </c>
      <c r="Y271" s="116">
        <f>InputData!$C$116</f>
        <v>140000</v>
      </c>
      <c r="Z271" s="160">
        <f>InputData!$E$13</f>
        <v>0</v>
      </c>
    </row>
    <row r="272" spans="1:26" x14ac:dyDescent="0.25">
      <c r="A272">
        <f>InputData!$K$1</f>
        <v>2013</v>
      </c>
      <c r="B272" t="str">
        <f>InputData!$G$1</f>
        <v>San Antonio, TX</v>
      </c>
      <c r="C272" t="s">
        <v>11</v>
      </c>
      <c r="D272" t="str">
        <f>Graph_IntMed!$L$6</f>
        <v>USU20</v>
      </c>
      <c r="E272" t="str">
        <f t="shared" si="4"/>
        <v>Internal Medicine USU20</v>
      </c>
      <c r="F272">
        <f>Graph_IntMed!$A7</f>
        <v>2013</v>
      </c>
      <c r="G272">
        <f>Graph_IntMed!$B7</f>
        <v>1</v>
      </c>
      <c r="H272" s="165">
        <f>Graph_IntMed!$L7</f>
        <v>54056.194799999997</v>
      </c>
      <c r="I272" s="160">
        <f>InputData!$C$3</f>
        <v>0.02</v>
      </c>
      <c r="J272" s="160">
        <f>InputData!$C$4</f>
        <v>0.01</v>
      </c>
      <c r="K272" s="160">
        <f>InputData!$C$5</f>
        <v>0.01</v>
      </c>
      <c r="L272" s="160">
        <f>InputData!$C$6</f>
        <v>6.2100000000000002E-2</v>
      </c>
      <c r="M272" s="160">
        <f>InputData!$C$7</f>
        <v>0.03</v>
      </c>
      <c r="N272" s="160">
        <f>InputData!$C$8</f>
        <v>0.02</v>
      </c>
      <c r="O272" s="160">
        <f>InputData!$C$9</f>
        <v>0.06</v>
      </c>
      <c r="P272" s="160">
        <f>InputData!$C$10</f>
        <v>0.02</v>
      </c>
      <c r="Q272" s="160">
        <f>InputData!$C$11</f>
        <v>0.02</v>
      </c>
      <c r="R272" s="160">
        <f>InputData!$C$12</f>
        <v>0.02</v>
      </c>
      <c r="S272" s="160">
        <f>InputData!$C$13</f>
        <v>0.9</v>
      </c>
      <c r="T272" s="116">
        <f>InputData!$C$88</f>
        <v>180000</v>
      </c>
      <c r="U272" s="116">
        <f>InputData!$C$81</f>
        <v>178500</v>
      </c>
      <c r="V272" s="116">
        <f>InputData!$C$82</f>
        <v>303960</v>
      </c>
      <c r="W272" s="116">
        <f>InputData!$C$84</f>
        <v>215220</v>
      </c>
      <c r="X272" s="116">
        <f>InputData!$C$85</f>
        <v>409020</v>
      </c>
      <c r="Y272" s="116">
        <f>InputData!$C$116</f>
        <v>140000</v>
      </c>
      <c r="Z272" s="160">
        <f>InputData!$E$13</f>
        <v>0</v>
      </c>
    </row>
    <row r="273" spans="1:26" x14ac:dyDescent="0.25">
      <c r="A273">
        <f>InputData!$K$1</f>
        <v>2013</v>
      </c>
      <c r="B273" t="str">
        <f>InputData!$G$1</f>
        <v>San Antonio, TX</v>
      </c>
      <c r="C273" t="s">
        <v>11</v>
      </c>
      <c r="D273" t="str">
        <f>Graph_IntMed!$L$6</f>
        <v>USU20</v>
      </c>
      <c r="E273" t="str">
        <f t="shared" si="4"/>
        <v>Internal Medicine USU20</v>
      </c>
      <c r="F273">
        <f>Graph_IntMed!$A8</f>
        <v>2014</v>
      </c>
      <c r="G273">
        <f>Graph_IntMed!$B8</f>
        <v>2</v>
      </c>
      <c r="H273" s="165">
        <f>Graph_IntMed!$L8</f>
        <v>106041.93556527697</v>
      </c>
      <c r="I273" s="160">
        <f>InputData!$C$3</f>
        <v>0.02</v>
      </c>
      <c r="J273" s="160">
        <f>InputData!$C$4</f>
        <v>0.01</v>
      </c>
      <c r="K273" s="160">
        <f>InputData!$C$5</f>
        <v>0.01</v>
      </c>
      <c r="L273" s="160">
        <f>InputData!$C$6</f>
        <v>6.2100000000000002E-2</v>
      </c>
      <c r="M273" s="160">
        <f>InputData!$C$7</f>
        <v>0.03</v>
      </c>
      <c r="N273" s="160">
        <f>InputData!$C$8</f>
        <v>0.02</v>
      </c>
      <c r="O273" s="160">
        <f>InputData!$C$9</f>
        <v>0.06</v>
      </c>
      <c r="P273" s="160">
        <f>InputData!$C$10</f>
        <v>0.02</v>
      </c>
      <c r="Q273" s="160">
        <f>InputData!$C$11</f>
        <v>0.02</v>
      </c>
      <c r="R273" s="160">
        <f>InputData!$C$12</f>
        <v>0.02</v>
      </c>
      <c r="S273" s="160">
        <f>InputData!$C$13</f>
        <v>0.9</v>
      </c>
      <c r="T273" s="116">
        <f>InputData!$C$88</f>
        <v>180000</v>
      </c>
      <c r="U273" s="116">
        <f>InputData!$C$81</f>
        <v>178500</v>
      </c>
      <c r="V273" s="116">
        <f>InputData!$C$82</f>
        <v>303960</v>
      </c>
      <c r="W273" s="116">
        <f>InputData!$C$84</f>
        <v>215220</v>
      </c>
      <c r="X273" s="116">
        <f>InputData!$C$85</f>
        <v>409020</v>
      </c>
      <c r="Y273" s="116">
        <f>InputData!$C$116</f>
        <v>140000</v>
      </c>
      <c r="Z273" s="160">
        <f>InputData!$E$13</f>
        <v>0</v>
      </c>
    </row>
    <row r="274" spans="1:26" x14ac:dyDescent="0.25">
      <c r="A274">
        <f>InputData!$K$1</f>
        <v>2013</v>
      </c>
      <c r="B274" t="str">
        <f>InputData!$G$1</f>
        <v>San Antonio, TX</v>
      </c>
      <c r="C274" t="s">
        <v>11</v>
      </c>
      <c r="D274" t="str">
        <f>Graph_IntMed!$L$6</f>
        <v>USU20</v>
      </c>
      <c r="E274" t="str">
        <f t="shared" si="4"/>
        <v>Internal Medicine USU20</v>
      </c>
      <c r="F274">
        <f>Graph_IntMed!$A9</f>
        <v>2015</v>
      </c>
      <c r="G274">
        <f>Graph_IntMed!$B9</f>
        <v>3</v>
      </c>
      <c r="H274" s="165">
        <f>Graph_IntMed!$L9</f>
        <v>157045.52189700573</v>
      </c>
      <c r="I274" s="160">
        <f>InputData!$C$3</f>
        <v>0.02</v>
      </c>
      <c r="J274" s="160">
        <f>InputData!$C$4</f>
        <v>0.01</v>
      </c>
      <c r="K274" s="160">
        <f>InputData!$C$5</f>
        <v>0.01</v>
      </c>
      <c r="L274" s="160">
        <f>InputData!$C$6</f>
        <v>6.2100000000000002E-2</v>
      </c>
      <c r="M274" s="160">
        <f>InputData!$C$7</f>
        <v>0.03</v>
      </c>
      <c r="N274" s="160">
        <f>InputData!$C$8</f>
        <v>0.02</v>
      </c>
      <c r="O274" s="160">
        <f>InputData!$C$9</f>
        <v>0.06</v>
      </c>
      <c r="P274" s="160">
        <f>InputData!$C$10</f>
        <v>0.02</v>
      </c>
      <c r="Q274" s="160">
        <f>InputData!$C$11</f>
        <v>0.02</v>
      </c>
      <c r="R274" s="160">
        <f>InputData!$C$12</f>
        <v>0.02</v>
      </c>
      <c r="S274" s="160">
        <f>InputData!$C$13</f>
        <v>0.9</v>
      </c>
      <c r="T274" s="116">
        <f>InputData!$C$88</f>
        <v>180000</v>
      </c>
      <c r="U274" s="116">
        <f>InputData!$C$81</f>
        <v>178500</v>
      </c>
      <c r="V274" s="116">
        <f>InputData!$C$82</f>
        <v>303960</v>
      </c>
      <c r="W274" s="116">
        <f>InputData!$C$84</f>
        <v>215220</v>
      </c>
      <c r="X274" s="116">
        <f>InputData!$C$85</f>
        <v>409020</v>
      </c>
      <c r="Y274" s="116">
        <f>InputData!$C$116</f>
        <v>140000</v>
      </c>
      <c r="Z274" s="160">
        <f>InputData!$E$13</f>
        <v>0</v>
      </c>
    </row>
    <row r="275" spans="1:26" x14ac:dyDescent="0.25">
      <c r="A275">
        <f>InputData!$K$1</f>
        <v>2013</v>
      </c>
      <c r="B275" t="str">
        <f>InputData!$G$1</f>
        <v>San Antonio, TX</v>
      </c>
      <c r="C275" t="s">
        <v>11</v>
      </c>
      <c r="D275" t="str">
        <f>Graph_IntMed!$L$6</f>
        <v>USU20</v>
      </c>
      <c r="E275" t="str">
        <f t="shared" si="4"/>
        <v>Internal Medicine USU20</v>
      </c>
      <c r="F275">
        <f>Graph_IntMed!$A10</f>
        <v>2016</v>
      </c>
      <c r="G275">
        <f>Graph_IntMed!$B10</f>
        <v>4</v>
      </c>
      <c r="H275" s="165">
        <f>Graph_IntMed!$L10</f>
        <v>211251.55229740124</v>
      </c>
      <c r="I275" s="160">
        <f>InputData!$C$3</f>
        <v>0.02</v>
      </c>
      <c r="J275" s="160">
        <f>InputData!$C$4</f>
        <v>0.01</v>
      </c>
      <c r="K275" s="160">
        <f>InputData!$C$5</f>
        <v>0.01</v>
      </c>
      <c r="L275" s="160">
        <f>InputData!$C$6</f>
        <v>6.2100000000000002E-2</v>
      </c>
      <c r="M275" s="160">
        <f>InputData!$C$7</f>
        <v>0.03</v>
      </c>
      <c r="N275" s="160">
        <f>InputData!$C$8</f>
        <v>0.02</v>
      </c>
      <c r="O275" s="160">
        <f>InputData!$C$9</f>
        <v>0.06</v>
      </c>
      <c r="P275" s="160">
        <f>InputData!$C$10</f>
        <v>0.02</v>
      </c>
      <c r="Q275" s="160">
        <f>InputData!$C$11</f>
        <v>0.02</v>
      </c>
      <c r="R275" s="160">
        <f>InputData!$C$12</f>
        <v>0.02</v>
      </c>
      <c r="S275" s="160">
        <f>InputData!$C$13</f>
        <v>0.9</v>
      </c>
      <c r="T275" s="116">
        <f>InputData!$C$88</f>
        <v>180000</v>
      </c>
      <c r="U275" s="116">
        <f>InputData!$C$81</f>
        <v>178500</v>
      </c>
      <c r="V275" s="116">
        <f>InputData!$C$82</f>
        <v>303960</v>
      </c>
      <c r="W275" s="116">
        <f>InputData!$C$84</f>
        <v>215220</v>
      </c>
      <c r="X275" s="116">
        <f>InputData!$C$85</f>
        <v>409020</v>
      </c>
      <c r="Y275" s="116">
        <f>InputData!$C$116</f>
        <v>140000</v>
      </c>
      <c r="Z275" s="160">
        <f>InputData!$E$13</f>
        <v>0</v>
      </c>
    </row>
    <row r="276" spans="1:26" x14ac:dyDescent="0.25">
      <c r="A276">
        <f>InputData!$K$1</f>
        <v>2013</v>
      </c>
      <c r="B276" t="str">
        <f>InputData!$G$1</f>
        <v>San Antonio, TX</v>
      </c>
      <c r="C276" t="s">
        <v>11</v>
      </c>
      <c r="D276" t="str">
        <f>Graph_IntMed!$L$6</f>
        <v>USU20</v>
      </c>
      <c r="E276" t="str">
        <f t="shared" si="4"/>
        <v>Internal Medicine USU20</v>
      </c>
      <c r="F276">
        <f>Graph_IntMed!$A11</f>
        <v>2017</v>
      </c>
      <c r="G276">
        <f>Graph_IntMed!$B11</f>
        <v>5</v>
      </c>
      <c r="H276" s="165">
        <f>Graph_IntMed!$L11</f>
        <v>261213.54479899554</v>
      </c>
      <c r="I276" s="160">
        <f>InputData!$C$3</f>
        <v>0.02</v>
      </c>
      <c r="J276" s="160">
        <f>InputData!$C$4</f>
        <v>0.01</v>
      </c>
      <c r="K276" s="160">
        <f>InputData!$C$5</f>
        <v>0.01</v>
      </c>
      <c r="L276" s="160">
        <f>InputData!$C$6</f>
        <v>6.2100000000000002E-2</v>
      </c>
      <c r="M276" s="160">
        <f>InputData!$C$7</f>
        <v>0.03</v>
      </c>
      <c r="N276" s="160">
        <f>InputData!$C$8</f>
        <v>0.02</v>
      </c>
      <c r="O276" s="160">
        <f>InputData!$C$9</f>
        <v>0.06</v>
      </c>
      <c r="P276" s="160">
        <f>InputData!$C$10</f>
        <v>0.02</v>
      </c>
      <c r="Q276" s="160">
        <f>InputData!$C$11</f>
        <v>0.02</v>
      </c>
      <c r="R276" s="160">
        <f>InputData!$C$12</f>
        <v>0.02</v>
      </c>
      <c r="S276" s="160">
        <f>InputData!$C$13</f>
        <v>0.9</v>
      </c>
      <c r="T276" s="116">
        <f>InputData!$C$88</f>
        <v>180000</v>
      </c>
      <c r="U276" s="116">
        <f>InputData!$C$81</f>
        <v>178500</v>
      </c>
      <c r="V276" s="116">
        <f>InputData!$C$82</f>
        <v>303960</v>
      </c>
      <c r="W276" s="116">
        <f>InputData!$C$84</f>
        <v>215220</v>
      </c>
      <c r="X276" s="116">
        <f>InputData!$C$85</f>
        <v>409020</v>
      </c>
      <c r="Y276" s="116">
        <f>InputData!$C$116</f>
        <v>140000</v>
      </c>
      <c r="Z276" s="160">
        <f>InputData!$E$13</f>
        <v>0</v>
      </c>
    </row>
    <row r="277" spans="1:26" x14ac:dyDescent="0.25">
      <c r="A277">
        <f>InputData!$K$1</f>
        <v>2013</v>
      </c>
      <c r="B277" t="str">
        <f>InputData!$G$1</f>
        <v>San Antonio, TX</v>
      </c>
      <c r="C277" t="s">
        <v>11</v>
      </c>
      <c r="D277" t="str">
        <f>Graph_IntMed!$L$6</f>
        <v>USU20</v>
      </c>
      <c r="E277" t="str">
        <f t="shared" si="4"/>
        <v>Internal Medicine USU20</v>
      </c>
      <c r="F277">
        <f>Graph_IntMed!$A12</f>
        <v>2018</v>
      </c>
      <c r="G277">
        <f>Graph_IntMed!$B12</f>
        <v>6</v>
      </c>
      <c r="H277" s="165">
        <f>Graph_IntMed!$L12</f>
        <v>311474.37448667729</v>
      </c>
      <c r="I277" s="160">
        <f>InputData!$C$3</f>
        <v>0.02</v>
      </c>
      <c r="J277" s="160">
        <f>InputData!$C$4</f>
        <v>0.01</v>
      </c>
      <c r="K277" s="160">
        <f>InputData!$C$5</f>
        <v>0.01</v>
      </c>
      <c r="L277" s="160">
        <f>InputData!$C$6</f>
        <v>6.2100000000000002E-2</v>
      </c>
      <c r="M277" s="160">
        <f>InputData!$C$7</f>
        <v>0.03</v>
      </c>
      <c r="N277" s="160">
        <f>InputData!$C$8</f>
        <v>0.02</v>
      </c>
      <c r="O277" s="160">
        <f>InputData!$C$9</f>
        <v>0.06</v>
      </c>
      <c r="P277" s="160">
        <f>InputData!$C$10</f>
        <v>0.02</v>
      </c>
      <c r="Q277" s="160">
        <f>InputData!$C$11</f>
        <v>0.02</v>
      </c>
      <c r="R277" s="160">
        <f>InputData!$C$12</f>
        <v>0.02</v>
      </c>
      <c r="S277" s="160">
        <f>InputData!$C$13</f>
        <v>0.9</v>
      </c>
      <c r="T277" s="116">
        <f>InputData!$C$88</f>
        <v>180000</v>
      </c>
      <c r="U277" s="116">
        <f>InputData!$C$81</f>
        <v>178500</v>
      </c>
      <c r="V277" s="116">
        <f>InputData!$C$82</f>
        <v>303960</v>
      </c>
      <c r="W277" s="116">
        <f>InputData!$C$84</f>
        <v>215220</v>
      </c>
      <c r="X277" s="116">
        <f>InputData!$C$85</f>
        <v>409020</v>
      </c>
      <c r="Y277" s="116">
        <f>InputData!$C$116</f>
        <v>140000</v>
      </c>
      <c r="Z277" s="160">
        <f>InputData!$E$13</f>
        <v>0</v>
      </c>
    </row>
    <row r="278" spans="1:26" x14ac:dyDescent="0.25">
      <c r="A278">
        <f>InputData!$K$1</f>
        <v>2013</v>
      </c>
      <c r="B278" t="str">
        <f>InputData!$G$1</f>
        <v>San Antonio, TX</v>
      </c>
      <c r="C278" t="s">
        <v>11</v>
      </c>
      <c r="D278" t="str">
        <f>Graph_IntMed!$L$6</f>
        <v>USU20</v>
      </c>
      <c r="E278" t="str">
        <f t="shared" si="4"/>
        <v>Internal Medicine USU20</v>
      </c>
      <c r="F278">
        <f>Graph_IntMed!$A13</f>
        <v>2019</v>
      </c>
      <c r="G278">
        <f>Graph_IntMed!$B13</f>
        <v>7</v>
      </c>
      <c r="H278" s="165">
        <f>Graph_IntMed!$L13</f>
        <v>363115.97670968575</v>
      </c>
      <c r="I278" s="160">
        <f>InputData!$C$3</f>
        <v>0.02</v>
      </c>
      <c r="J278" s="160">
        <f>InputData!$C$4</f>
        <v>0.01</v>
      </c>
      <c r="K278" s="160">
        <f>InputData!$C$5</f>
        <v>0.01</v>
      </c>
      <c r="L278" s="160">
        <f>InputData!$C$6</f>
        <v>6.2100000000000002E-2</v>
      </c>
      <c r="M278" s="160">
        <f>InputData!$C$7</f>
        <v>0.03</v>
      </c>
      <c r="N278" s="160">
        <f>InputData!$C$8</f>
        <v>0.02</v>
      </c>
      <c r="O278" s="160">
        <f>InputData!$C$9</f>
        <v>0.06</v>
      </c>
      <c r="P278" s="160">
        <f>InputData!$C$10</f>
        <v>0.02</v>
      </c>
      <c r="Q278" s="160">
        <f>InputData!$C$11</f>
        <v>0.02</v>
      </c>
      <c r="R278" s="160">
        <f>InputData!$C$12</f>
        <v>0.02</v>
      </c>
      <c r="S278" s="160">
        <f>InputData!$C$13</f>
        <v>0.9</v>
      </c>
      <c r="T278" s="116">
        <f>InputData!$C$88</f>
        <v>180000</v>
      </c>
      <c r="U278" s="116">
        <f>InputData!$C$81</f>
        <v>178500</v>
      </c>
      <c r="V278" s="116">
        <f>InputData!$C$82</f>
        <v>303960</v>
      </c>
      <c r="W278" s="116">
        <f>InputData!$C$84</f>
        <v>215220</v>
      </c>
      <c r="X278" s="116">
        <f>InputData!$C$85</f>
        <v>409020</v>
      </c>
      <c r="Y278" s="116">
        <f>InputData!$C$116</f>
        <v>140000</v>
      </c>
      <c r="Z278" s="160">
        <f>InputData!$E$13</f>
        <v>0</v>
      </c>
    </row>
    <row r="279" spans="1:26" x14ac:dyDescent="0.25">
      <c r="A279">
        <f>InputData!$K$1</f>
        <v>2013</v>
      </c>
      <c r="B279" t="str">
        <f>InputData!$G$1</f>
        <v>San Antonio, TX</v>
      </c>
      <c r="C279" t="s">
        <v>11</v>
      </c>
      <c r="D279" t="str">
        <f>Graph_IntMed!$L$6</f>
        <v>USU20</v>
      </c>
      <c r="E279" t="str">
        <f t="shared" si="4"/>
        <v>Internal Medicine USU20</v>
      </c>
      <c r="F279">
        <f>Graph_IntMed!$A14</f>
        <v>2020</v>
      </c>
      <c r="G279">
        <f>Graph_IntMed!$B14</f>
        <v>8</v>
      </c>
      <c r="H279" s="165">
        <f>Graph_IntMed!$L14</f>
        <v>423874.97502869397</v>
      </c>
      <c r="I279" s="160">
        <f>InputData!$C$3</f>
        <v>0.02</v>
      </c>
      <c r="J279" s="160">
        <f>InputData!$C$4</f>
        <v>0.01</v>
      </c>
      <c r="K279" s="160">
        <f>InputData!$C$5</f>
        <v>0.01</v>
      </c>
      <c r="L279" s="160">
        <f>InputData!$C$6</f>
        <v>6.2100000000000002E-2</v>
      </c>
      <c r="M279" s="160">
        <f>InputData!$C$7</f>
        <v>0.03</v>
      </c>
      <c r="N279" s="160">
        <f>InputData!$C$8</f>
        <v>0.02</v>
      </c>
      <c r="O279" s="160">
        <f>InputData!$C$9</f>
        <v>0.06</v>
      </c>
      <c r="P279" s="160">
        <f>InputData!$C$10</f>
        <v>0.02</v>
      </c>
      <c r="Q279" s="160">
        <f>InputData!$C$11</f>
        <v>0.02</v>
      </c>
      <c r="R279" s="160">
        <f>InputData!$C$12</f>
        <v>0.02</v>
      </c>
      <c r="S279" s="160">
        <f>InputData!$C$13</f>
        <v>0.9</v>
      </c>
      <c r="T279" s="116">
        <f>InputData!$C$88</f>
        <v>180000</v>
      </c>
      <c r="U279" s="116">
        <f>InputData!$C$81</f>
        <v>178500</v>
      </c>
      <c r="V279" s="116">
        <f>InputData!$C$82</f>
        <v>303960</v>
      </c>
      <c r="W279" s="116">
        <f>InputData!$C$84</f>
        <v>215220</v>
      </c>
      <c r="X279" s="116">
        <f>InputData!$C$85</f>
        <v>409020</v>
      </c>
      <c r="Y279" s="116">
        <f>InputData!$C$116</f>
        <v>140000</v>
      </c>
      <c r="Z279" s="160">
        <f>InputData!$E$13</f>
        <v>0</v>
      </c>
    </row>
    <row r="280" spans="1:26" x14ac:dyDescent="0.25">
      <c r="A280">
        <f>InputData!$K$1</f>
        <v>2013</v>
      </c>
      <c r="B280" t="str">
        <f>InputData!$G$1</f>
        <v>San Antonio, TX</v>
      </c>
      <c r="C280" t="s">
        <v>11</v>
      </c>
      <c r="D280" t="str">
        <f>Graph_IntMed!$L$6</f>
        <v>USU20</v>
      </c>
      <c r="E280" t="str">
        <f t="shared" si="4"/>
        <v>Internal Medicine USU20</v>
      </c>
      <c r="F280">
        <f>Graph_IntMed!$A15</f>
        <v>2021</v>
      </c>
      <c r="G280">
        <f>Graph_IntMed!$B15</f>
        <v>9</v>
      </c>
      <c r="H280" s="165">
        <f>Graph_IntMed!$L15</f>
        <v>484834.5605219836</v>
      </c>
      <c r="I280" s="160">
        <f>InputData!$C$3</f>
        <v>0.02</v>
      </c>
      <c r="J280" s="160">
        <f>InputData!$C$4</f>
        <v>0.01</v>
      </c>
      <c r="K280" s="160">
        <f>InputData!$C$5</f>
        <v>0.01</v>
      </c>
      <c r="L280" s="160">
        <f>InputData!$C$6</f>
        <v>6.2100000000000002E-2</v>
      </c>
      <c r="M280" s="160">
        <f>InputData!$C$7</f>
        <v>0.03</v>
      </c>
      <c r="N280" s="160">
        <f>InputData!$C$8</f>
        <v>0.02</v>
      </c>
      <c r="O280" s="160">
        <f>InputData!$C$9</f>
        <v>0.06</v>
      </c>
      <c r="P280" s="160">
        <f>InputData!$C$10</f>
        <v>0.02</v>
      </c>
      <c r="Q280" s="160">
        <f>InputData!$C$11</f>
        <v>0.02</v>
      </c>
      <c r="R280" s="160">
        <f>InputData!$C$12</f>
        <v>0.02</v>
      </c>
      <c r="S280" s="160">
        <f>InputData!$C$13</f>
        <v>0.9</v>
      </c>
      <c r="T280" s="116">
        <f>InputData!$C$88</f>
        <v>180000</v>
      </c>
      <c r="U280" s="116">
        <f>InputData!$C$81</f>
        <v>178500</v>
      </c>
      <c r="V280" s="116">
        <f>InputData!$C$82</f>
        <v>303960</v>
      </c>
      <c r="W280" s="116">
        <f>InputData!$C$84</f>
        <v>215220</v>
      </c>
      <c r="X280" s="116">
        <f>InputData!$C$85</f>
        <v>409020</v>
      </c>
      <c r="Y280" s="116">
        <f>InputData!$C$116</f>
        <v>140000</v>
      </c>
      <c r="Z280" s="160">
        <f>InputData!$E$13</f>
        <v>0</v>
      </c>
    </row>
    <row r="281" spans="1:26" x14ac:dyDescent="0.25">
      <c r="A281">
        <f>InputData!$K$1</f>
        <v>2013</v>
      </c>
      <c r="B281" t="str">
        <f>InputData!$G$1</f>
        <v>San Antonio, TX</v>
      </c>
      <c r="C281" t="s">
        <v>11</v>
      </c>
      <c r="D281" t="str">
        <f>Graph_IntMed!$L$6</f>
        <v>USU20</v>
      </c>
      <c r="E281" t="str">
        <f t="shared" si="4"/>
        <v>Internal Medicine USU20</v>
      </c>
      <c r="F281">
        <f>Graph_IntMed!$A16</f>
        <v>2022</v>
      </c>
      <c r="G281">
        <f>Graph_IntMed!$B16</f>
        <v>10</v>
      </c>
      <c r="H281" s="165">
        <f>Graph_IntMed!$L16</f>
        <v>543487.76383678697</v>
      </c>
      <c r="I281" s="160">
        <f>InputData!$C$3</f>
        <v>0.02</v>
      </c>
      <c r="J281" s="160">
        <f>InputData!$C$4</f>
        <v>0.01</v>
      </c>
      <c r="K281" s="160">
        <f>InputData!$C$5</f>
        <v>0.01</v>
      </c>
      <c r="L281" s="160">
        <f>InputData!$C$6</f>
        <v>6.2100000000000002E-2</v>
      </c>
      <c r="M281" s="160">
        <f>InputData!$C$7</f>
        <v>0.03</v>
      </c>
      <c r="N281" s="160">
        <f>InputData!$C$8</f>
        <v>0.02</v>
      </c>
      <c r="O281" s="160">
        <f>InputData!$C$9</f>
        <v>0.06</v>
      </c>
      <c r="P281" s="160">
        <f>InputData!$C$10</f>
        <v>0.02</v>
      </c>
      <c r="Q281" s="160">
        <f>InputData!$C$11</f>
        <v>0.02</v>
      </c>
      <c r="R281" s="160">
        <f>InputData!$C$12</f>
        <v>0.02</v>
      </c>
      <c r="S281" s="160">
        <f>InputData!$C$13</f>
        <v>0.9</v>
      </c>
      <c r="T281" s="116">
        <f>InputData!$C$88</f>
        <v>180000</v>
      </c>
      <c r="U281" s="116">
        <f>InputData!$C$81</f>
        <v>178500</v>
      </c>
      <c r="V281" s="116">
        <f>InputData!$C$82</f>
        <v>303960</v>
      </c>
      <c r="W281" s="116">
        <f>InputData!$C$84</f>
        <v>215220</v>
      </c>
      <c r="X281" s="116">
        <f>InputData!$C$85</f>
        <v>409020</v>
      </c>
      <c r="Y281" s="116">
        <f>InputData!$C$116</f>
        <v>140000</v>
      </c>
      <c r="Z281" s="160">
        <f>InputData!$E$13</f>
        <v>0</v>
      </c>
    </row>
    <row r="282" spans="1:26" x14ac:dyDescent="0.25">
      <c r="A282">
        <f>InputData!$K$1</f>
        <v>2013</v>
      </c>
      <c r="B282" t="str">
        <f>InputData!$G$1</f>
        <v>San Antonio, TX</v>
      </c>
      <c r="C282" t="s">
        <v>11</v>
      </c>
      <c r="D282" t="str">
        <f>Graph_IntMed!$L$6</f>
        <v>USU20</v>
      </c>
      <c r="E282" t="str">
        <f t="shared" si="4"/>
        <v>Internal Medicine USU20</v>
      </c>
      <c r="F282">
        <f>Graph_IntMed!$A17</f>
        <v>2023</v>
      </c>
      <c r="G282">
        <f>Graph_IntMed!$B17</f>
        <v>11</v>
      </c>
      <c r="H282" s="165">
        <f>Graph_IntMed!$L17</f>
        <v>607173.55986387469</v>
      </c>
      <c r="I282" s="160">
        <f>InputData!$C$3</f>
        <v>0.02</v>
      </c>
      <c r="J282" s="160">
        <f>InputData!$C$4</f>
        <v>0.01</v>
      </c>
      <c r="K282" s="160">
        <f>InputData!$C$5</f>
        <v>0.01</v>
      </c>
      <c r="L282" s="160">
        <f>InputData!$C$6</f>
        <v>6.2100000000000002E-2</v>
      </c>
      <c r="M282" s="160">
        <f>InputData!$C$7</f>
        <v>0.03</v>
      </c>
      <c r="N282" s="160">
        <f>InputData!$C$8</f>
        <v>0.02</v>
      </c>
      <c r="O282" s="160">
        <f>InputData!$C$9</f>
        <v>0.06</v>
      </c>
      <c r="P282" s="160">
        <f>InputData!$C$10</f>
        <v>0.02</v>
      </c>
      <c r="Q282" s="160">
        <f>InputData!$C$11</f>
        <v>0.02</v>
      </c>
      <c r="R282" s="160">
        <f>InputData!$C$12</f>
        <v>0.02</v>
      </c>
      <c r="S282" s="160">
        <f>InputData!$C$13</f>
        <v>0.9</v>
      </c>
      <c r="T282" s="116">
        <f>InputData!$C$88</f>
        <v>180000</v>
      </c>
      <c r="U282" s="116">
        <f>InputData!$C$81</f>
        <v>178500</v>
      </c>
      <c r="V282" s="116">
        <f>InputData!$C$82</f>
        <v>303960</v>
      </c>
      <c r="W282" s="116">
        <f>InputData!$C$84</f>
        <v>215220</v>
      </c>
      <c r="X282" s="116">
        <f>InputData!$C$85</f>
        <v>409020</v>
      </c>
      <c r="Y282" s="116">
        <f>InputData!$C$116</f>
        <v>140000</v>
      </c>
      <c r="Z282" s="160">
        <f>InputData!$E$13</f>
        <v>0</v>
      </c>
    </row>
    <row r="283" spans="1:26" x14ac:dyDescent="0.25">
      <c r="A283">
        <f>InputData!$K$1</f>
        <v>2013</v>
      </c>
      <c r="B283" t="str">
        <f>InputData!$G$1</f>
        <v>San Antonio, TX</v>
      </c>
      <c r="C283" t="s">
        <v>11</v>
      </c>
      <c r="D283" t="str">
        <f>Graph_IntMed!$L$6</f>
        <v>USU20</v>
      </c>
      <c r="E283" t="str">
        <f t="shared" si="4"/>
        <v>Internal Medicine USU20</v>
      </c>
      <c r="F283">
        <f>Graph_IntMed!$A18</f>
        <v>2024</v>
      </c>
      <c r="G283">
        <f>Graph_IntMed!$B18</f>
        <v>12</v>
      </c>
      <c r="H283" s="165">
        <f>Graph_IntMed!$L18</f>
        <v>668444.78607626876</v>
      </c>
      <c r="I283" s="160">
        <f>InputData!$C$3</f>
        <v>0.02</v>
      </c>
      <c r="J283" s="160">
        <f>InputData!$C$4</f>
        <v>0.01</v>
      </c>
      <c r="K283" s="160">
        <f>InputData!$C$5</f>
        <v>0.01</v>
      </c>
      <c r="L283" s="160">
        <f>InputData!$C$6</f>
        <v>6.2100000000000002E-2</v>
      </c>
      <c r="M283" s="160">
        <f>InputData!$C$7</f>
        <v>0.03</v>
      </c>
      <c r="N283" s="160">
        <f>InputData!$C$8</f>
        <v>0.02</v>
      </c>
      <c r="O283" s="160">
        <f>InputData!$C$9</f>
        <v>0.06</v>
      </c>
      <c r="P283" s="160">
        <f>InputData!$C$10</f>
        <v>0.02</v>
      </c>
      <c r="Q283" s="160">
        <f>InputData!$C$11</f>
        <v>0.02</v>
      </c>
      <c r="R283" s="160">
        <f>InputData!$C$12</f>
        <v>0.02</v>
      </c>
      <c r="S283" s="160">
        <f>InputData!$C$13</f>
        <v>0.9</v>
      </c>
      <c r="T283" s="116">
        <f>InputData!$C$88</f>
        <v>180000</v>
      </c>
      <c r="U283" s="116">
        <f>InputData!$C$81</f>
        <v>178500</v>
      </c>
      <c r="V283" s="116">
        <f>InputData!$C$82</f>
        <v>303960</v>
      </c>
      <c r="W283" s="116">
        <f>InputData!$C$84</f>
        <v>215220</v>
      </c>
      <c r="X283" s="116">
        <f>InputData!$C$85</f>
        <v>409020</v>
      </c>
      <c r="Y283" s="116">
        <f>InputData!$C$116</f>
        <v>140000</v>
      </c>
      <c r="Z283" s="160">
        <f>InputData!$E$13</f>
        <v>0</v>
      </c>
    </row>
    <row r="284" spans="1:26" x14ac:dyDescent="0.25">
      <c r="A284">
        <f>InputData!$K$1</f>
        <v>2013</v>
      </c>
      <c r="B284" t="str">
        <f>InputData!$G$1</f>
        <v>San Antonio, TX</v>
      </c>
      <c r="C284" t="s">
        <v>11</v>
      </c>
      <c r="D284" t="str">
        <f>Graph_IntMed!$L$6</f>
        <v>USU20</v>
      </c>
      <c r="E284" t="str">
        <f t="shared" si="4"/>
        <v>Internal Medicine USU20</v>
      </c>
      <c r="F284">
        <f>Graph_IntMed!$A19</f>
        <v>2025</v>
      </c>
      <c r="G284">
        <f>Graph_IntMed!$B19</f>
        <v>13</v>
      </c>
      <c r="H284" s="165">
        <f>Graph_IntMed!$L19</f>
        <v>728871.24943829409</v>
      </c>
      <c r="I284" s="160">
        <f>InputData!$C$3</f>
        <v>0.02</v>
      </c>
      <c r="J284" s="160">
        <f>InputData!$C$4</f>
        <v>0.01</v>
      </c>
      <c r="K284" s="160">
        <f>InputData!$C$5</f>
        <v>0.01</v>
      </c>
      <c r="L284" s="160">
        <f>InputData!$C$6</f>
        <v>6.2100000000000002E-2</v>
      </c>
      <c r="M284" s="160">
        <f>InputData!$C$7</f>
        <v>0.03</v>
      </c>
      <c r="N284" s="160">
        <f>InputData!$C$8</f>
        <v>0.02</v>
      </c>
      <c r="O284" s="160">
        <f>InputData!$C$9</f>
        <v>0.06</v>
      </c>
      <c r="P284" s="160">
        <f>InputData!$C$10</f>
        <v>0.02</v>
      </c>
      <c r="Q284" s="160">
        <f>InputData!$C$11</f>
        <v>0.02</v>
      </c>
      <c r="R284" s="160">
        <f>InputData!$C$12</f>
        <v>0.02</v>
      </c>
      <c r="S284" s="160">
        <f>InputData!$C$13</f>
        <v>0.9</v>
      </c>
      <c r="T284" s="116">
        <f>InputData!$C$88</f>
        <v>180000</v>
      </c>
      <c r="U284" s="116">
        <f>InputData!$C$81</f>
        <v>178500</v>
      </c>
      <c r="V284" s="116">
        <f>InputData!$C$82</f>
        <v>303960</v>
      </c>
      <c r="W284" s="116">
        <f>InputData!$C$84</f>
        <v>215220</v>
      </c>
      <c r="X284" s="116">
        <f>InputData!$C$85</f>
        <v>409020</v>
      </c>
      <c r="Y284" s="116">
        <f>InputData!$C$116</f>
        <v>140000</v>
      </c>
      <c r="Z284" s="160">
        <f>InputData!$E$13</f>
        <v>0</v>
      </c>
    </row>
    <row r="285" spans="1:26" x14ac:dyDescent="0.25">
      <c r="A285">
        <f>InputData!$K$1</f>
        <v>2013</v>
      </c>
      <c r="B285" t="str">
        <f>InputData!$G$1</f>
        <v>San Antonio, TX</v>
      </c>
      <c r="C285" t="s">
        <v>11</v>
      </c>
      <c r="D285" t="str">
        <f>Graph_IntMed!$L$6</f>
        <v>USU20</v>
      </c>
      <c r="E285" t="str">
        <f t="shared" si="4"/>
        <v>Internal Medicine USU20</v>
      </c>
      <c r="F285">
        <f>Graph_IntMed!$A20</f>
        <v>2026</v>
      </c>
      <c r="G285">
        <f>Graph_IntMed!$B20</f>
        <v>14</v>
      </c>
      <c r="H285" s="165">
        <f>Graph_IntMed!$L20</f>
        <v>787006.42688072962</v>
      </c>
      <c r="I285" s="160">
        <f>InputData!$C$3</f>
        <v>0.02</v>
      </c>
      <c r="J285" s="160">
        <f>InputData!$C$4</f>
        <v>0.01</v>
      </c>
      <c r="K285" s="160">
        <f>InputData!$C$5</f>
        <v>0.01</v>
      </c>
      <c r="L285" s="160">
        <f>InputData!$C$6</f>
        <v>6.2100000000000002E-2</v>
      </c>
      <c r="M285" s="160">
        <f>InputData!$C$7</f>
        <v>0.03</v>
      </c>
      <c r="N285" s="160">
        <f>InputData!$C$8</f>
        <v>0.02</v>
      </c>
      <c r="O285" s="160">
        <f>InputData!$C$9</f>
        <v>0.06</v>
      </c>
      <c r="P285" s="160">
        <f>InputData!$C$10</f>
        <v>0.02</v>
      </c>
      <c r="Q285" s="160">
        <f>InputData!$C$11</f>
        <v>0.02</v>
      </c>
      <c r="R285" s="160">
        <f>InputData!$C$12</f>
        <v>0.02</v>
      </c>
      <c r="S285" s="160">
        <f>InputData!$C$13</f>
        <v>0.9</v>
      </c>
      <c r="T285" s="116">
        <f>InputData!$C$88</f>
        <v>180000</v>
      </c>
      <c r="U285" s="116">
        <f>InputData!$C$81</f>
        <v>178500</v>
      </c>
      <c r="V285" s="116">
        <f>InputData!$C$82</f>
        <v>303960</v>
      </c>
      <c r="W285" s="116">
        <f>InputData!$C$84</f>
        <v>215220</v>
      </c>
      <c r="X285" s="116">
        <f>InputData!$C$85</f>
        <v>409020</v>
      </c>
      <c r="Y285" s="116">
        <f>InputData!$C$116</f>
        <v>140000</v>
      </c>
      <c r="Z285" s="160">
        <f>InputData!$E$13</f>
        <v>0</v>
      </c>
    </row>
    <row r="286" spans="1:26" x14ac:dyDescent="0.25">
      <c r="A286">
        <f>InputData!$K$1</f>
        <v>2013</v>
      </c>
      <c r="B286" t="str">
        <f>InputData!$G$1</f>
        <v>San Antonio, TX</v>
      </c>
      <c r="C286" t="s">
        <v>11</v>
      </c>
      <c r="D286" t="str">
        <f>Graph_IntMed!$L$6</f>
        <v>USU20</v>
      </c>
      <c r="E286" t="str">
        <f t="shared" si="4"/>
        <v>Internal Medicine USU20</v>
      </c>
      <c r="F286">
        <f>Graph_IntMed!$A21</f>
        <v>2027</v>
      </c>
      <c r="G286">
        <f>Graph_IntMed!$B21</f>
        <v>15</v>
      </c>
      <c r="H286" s="165">
        <f>Graph_IntMed!$L21</f>
        <v>866692.12305053731</v>
      </c>
      <c r="I286" s="160">
        <f>InputData!$C$3</f>
        <v>0.02</v>
      </c>
      <c r="J286" s="160">
        <f>InputData!$C$4</f>
        <v>0.01</v>
      </c>
      <c r="K286" s="160">
        <f>InputData!$C$5</f>
        <v>0.01</v>
      </c>
      <c r="L286" s="160">
        <f>InputData!$C$6</f>
        <v>6.2100000000000002E-2</v>
      </c>
      <c r="M286" s="160">
        <f>InputData!$C$7</f>
        <v>0.03</v>
      </c>
      <c r="N286" s="160">
        <f>InputData!$C$8</f>
        <v>0.02</v>
      </c>
      <c r="O286" s="160">
        <f>InputData!$C$9</f>
        <v>0.06</v>
      </c>
      <c r="P286" s="160">
        <f>InputData!$C$10</f>
        <v>0.02</v>
      </c>
      <c r="Q286" s="160">
        <f>InputData!$C$11</f>
        <v>0.02</v>
      </c>
      <c r="R286" s="160">
        <f>InputData!$C$12</f>
        <v>0.02</v>
      </c>
      <c r="S286" s="160">
        <f>InputData!$C$13</f>
        <v>0.9</v>
      </c>
      <c r="T286" s="116">
        <f>InputData!$C$88</f>
        <v>180000</v>
      </c>
      <c r="U286" s="116">
        <f>InputData!$C$81</f>
        <v>178500</v>
      </c>
      <c r="V286" s="116">
        <f>InputData!$C$82</f>
        <v>303960</v>
      </c>
      <c r="W286" s="116">
        <f>InputData!$C$84</f>
        <v>215220</v>
      </c>
      <c r="X286" s="116">
        <f>InputData!$C$85</f>
        <v>409020</v>
      </c>
      <c r="Y286" s="116">
        <f>InputData!$C$116</f>
        <v>140000</v>
      </c>
      <c r="Z286" s="160">
        <f>InputData!$E$13</f>
        <v>0</v>
      </c>
    </row>
    <row r="287" spans="1:26" x14ac:dyDescent="0.25">
      <c r="A287">
        <f>InputData!$K$1</f>
        <v>2013</v>
      </c>
      <c r="B287" t="str">
        <f>InputData!$G$1</f>
        <v>San Antonio, TX</v>
      </c>
      <c r="C287" t="s">
        <v>11</v>
      </c>
      <c r="D287" t="str">
        <f>Graph_IntMed!$L$6</f>
        <v>USU20</v>
      </c>
      <c r="E287" t="str">
        <f t="shared" si="4"/>
        <v>Internal Medicine USU20</v>
      </c>
      <c r="F287">
        <f>Graph_IntMed!$A22</f>
        <v>2028</v>
      </c>
      <c r="G287">
        <f>Graph_IntMed!$B22</f>
        <v>16</v>
      </c>
      <c r="H287" s="165">
        <f>Graph_IntMed!$L22</f>
        <v>943313.86216143309</v>
      </c>
      <c r="I287" s="160">
        <f>InputData!$C$3</f>
        <v>0.02</v>
      </c>
      <c r="J287" s="160">
        <f>InputData!$C$4</f>
        <v>0.01</v>
      </c>
      <c r="K287" s="160">
        <f>InputData!$C$5</f>
        <v>0.01</v>
      </c>
      <c r="L287" s="160">
        <f>InputData!$C$6</f>
        <v>6.2100000000000002E-2</v>
      </c>
      <c r="M287" s="160">
        <f>InputData!$C$7</f>
        <v>0.03</v>
      </c>
      <c r="N287" s="160">
        <f>InputData!$C$8</f>
        <v>0.02</v>
      </c>
      <c r="O287" s="160">
        <f>InputData!$C$9</f>
        <v>0.06</v>
      </c>
      <c r="P287" s="160">
        <f>InputData!$C$10</f>
        <v>0.02</v>
      </c>
      <c r="Q287" s="160">
        <f>InputData!$C$11</f>
        <v>0.02</v>
      </c>
      <c r="R287" s="160">
        <f>InputData!$C$12</f>
        <v>0.02</v>
      </c>
      <c r="S287" s="160">
        <f>InputData!$C$13</f>
        <v>0.9</v>
      </c>
      <c r="T287" s="116">
        <f>InputData!$C$88</f>
        <v>180000</v>
      </c>
      <c r="U287" s="116">
        <f>InputData!$C$81</f>
        <v>178500</v>
      </c>
      <c r="V287" s="116">
        <f>InputData!$C$82</f>
        <v>303960</v>
      </c>
      <c r="W287" s="116">
        <f>InputData!$C$84</f>
        <v>215220</v>
      </c>
      <c r="X287" s="116">
        <f>InputData!$C$85</f>
        <v>409020</v>
      </c>
      <c r="Y287" s="116">
        <f>InputData!$C$116</f>
        <v>140000</v>
      </c>
      <c r="Z287" s="160">
        <f>InputData!$E$13</f>
        <v>0</v>
      </c>
    </row>
    <row r="288" spans="1:26" x14ac:dyDescent="0.25">
      <c r="A288">
        <f>InputData!$K$1</f>
        <v>2013</v>
      </c>
      <c r="B288" t="str">
        <f>InputData!$G$1</f>
        <v>San Antonio, TX</v>
      </c>
      <c r="C288" t="s">
        <v>11</v>
      </c>
      <c r="D288" t="str">
        <f>Graph_IntMed!$L$6</f>
        <v>USU20</v>
      </c>
      <c r="E288" t="str">
        <f t="shared" si="4"/>
        <v>Internal Medicine USU20</v>
      </c>
      <c r="F288">
        <f>Graph_IntMed!$A23</f>
        <v>2029</v>
      </c>
      <c r="G288">
        <f>Graph_IntMed!$B23</f>
        <v>17</v>
      </c>
      <c r="H288" s="165">
        <f>Graph_IntMed!$L23</f>
        <v>1019655.3707134107</v>
      </c>
      <c r="I288" s="160">
        <f>InputData!$C$3</f>
        <v>0.02</v>
      </c>
      <c r="J288" s="160">
        <f>InputData!$C$4</f>
        <v>0.01</v>
      </c>
      <c r="K288" s="160">
        <f>InputData!$C$5</f>
        <v>0.01</v>
      </c>
      <c r="L288" s="160">
        <f>InputData!$C$6</f>
        <v>6.2100000000000002E-2</v>
      </c>
      <c r="M288" s="160">
        <f>InputData!$C$7</f>
        <v>0.03</v>
      </c>
      <c r="N288" s="160">
        <f>InputData!$C$8</f>
        <v>0.02</v>
      </c>
      <c r="O288" s="160">
        <f>InputData!$C$9</f>
        <v>0.06</v>
      </c>
      <c r="P288" s="160">
        <f>InputData!$C$10</f>
        <v>0.02</v>
      </c>
      <c r="Q288" s="160">
        <f>InputData!$C$11</f>
        <v>0.02</v>
      </c>
      <c r="R288" s="160">
        <f>InputData!$C$12</f>
        <v>0.02</v>
      </c>
      <c r="S288" s="160">
        <f>InputData!$C$13</f>
        <v>0.9</v>
      </c>
      <c r="T288" s="116">
        <f>InputData!$C$88</f>
        <v>180000</v>
      </c>
      <c r="U288" s="116">
        <f>InputData!$C$81</f>
        <v>178500</v>
      </c>
      <c r="V288" s="116">
        <f>InputData!$C$82</f>
        <v>303960</v>
      </c>
      <c r="W288" s="116">
        <f>InputData!$C$84</f>
        <v>215220</v>
      </c>
      <c r="X288" s="116">
        <f>InputData!$C$85</f>
        <v>409020</v>
      </c>
      <c r="Y288" s="116">
        <f>InputData!$C$116</f>
        <v>140000</v>
      </c>
      <c r="Z288" s="160">
        <f>InputData!$E$13</f>
        <v>0</v>
      </c>
    </row>
    <row r="289" spans="1:26" x14ac:dyDescent="0.25">
      <c r="A289">
        <f>InputData!$K$1</f>
        <v>2013</v>
      </c>
      <c r="B289" t="str">
        <f>InputData!$G$1</f>
        <v>San Antonio, TX</v>
      </c>
      <c r="C289" t="s">
        <v>11</v>
      </c>
      <c r="D289" t="str">
        <f>Graph_IntMed!$L$6</f>
        <v>USU20</v>
      </c>
      <c r="E289" t="str">
        <f t="shared" si="4"/>
        <v>Internal Medicine USU20</v>
      </c>
      <c r="F289">
        <f>Graph_IntMed!$A24</f>
        <v>2030</v>
      </c>
      <c r="G289">
        <f>Graph_IntMed!$B24</f>
        <v>18</v>
      </c>
      <c r="H289" s="165">
        <f>Graph_IntMed!$L24</f>
        <v>1093061.2692764015</v>
      </c>
      <c r="I289" s="160">
        <f>InputData!$C$3</f>
        <v>0.02</v>
      </c>
      <c r="J289" s="160">
        <f>InputData!$C$4</f>
        <v>0.01</v>
      </c>
      <c r="K289" s="160">
        <f>InputData!$C$5</f>
        <v>0.01</v>
      </c>
      <c r="L289" s="160">
        <f>InputData!$C$6</f>
        <v>6.2100000000000002E-2</v>
      </c>
      <c r="M289" s="160">
        <f>InputData!$C$7</f>
        <v>0.03</v>
      </c>
      <c r="N289" s="160">
        <f>InputData!$C$8</f>
        <v>0.02</v>
      </c>
      <c r="O289" s="160">
        <f>InputData!$C$9</f>
        <v>0.06</v>
      </c>
      <c r="P289" s="160">
        <f>InputData!$C$10</f>
        <v>0.02</v>
      </c>
      <c r="Q289" s="160">
        <f>InputData!$C$11</f>
        <v>0.02</v>
      </c>
      <c r="R289" s="160">
        <f>InputData!$C$12</f>
        <v>0.02</v>
      </c>
      <c r="S289" s="160">
        <f>InputData!$C$13</f>
        <v>0.9</v>
      </c>
      <c r="T289" s="116">
        <f>InputData!$C$88</f>
        <v>180000</v>
      </c>
      <c r="U289" s="116">
        <f>InputData!$C$81</f>
        <v>178500</v>
      </c>
      <c r="V289" s="116">
        <f>InputData!$C$82</f>
        <v>303960</v>
      </c>
      <c r="W289" s="116">
        <f>InputData!$C$84</f>
        <v>215220</v>
      </c>
      <c r="X289" s="116">
        <f>InputData!$C$85</f>
        <v>409020</v>
      </c>
      <c r="Y289" s="116">
        <f>InputData!$C$116</f>
        <v>140000</v>
      </c>
      <c r="Z289" s="160">
        <f>InputData!$E$13</f>
        <v>0</v>
      </c>
    </row>
    <row r="290" spans="1:26" x14ac:dyDescent="0.25">
      <c r="A290">
        <f>InputData!$K$1</f>
        <v>2013</v>
      </c>
      <c r="B290" t="str">
        <f>InputData!$G$1</f>
        <v>San Antonio, TX</v>
      </c>
      <c r="C290" t="s">
        <v>11</v>
      </c>
      <c r="D290" t="str">
        <f>Graph_IntMed!$L$6</f>
        <v>USU20</v>
      </c>
      <c r="E290" t="str">
        <f t="shared" si="4"/>
        <v>Internal Medicine USU20</v>
      </c>
      <c r="F290">
        <f>Graph_IntMed!$A25</f>
        <v>2031</v>
      </c>
      <c r="G290">
        <f>Graph_IntMed!$B25</f>
        <v>19</v>
      </c>
      <c r="H290" s="165">
        <f>Graph_IntMed!$L25</f>
        <v>1164922.7432174559</v>
      </c>
      <c r="I290" s="160">
        <f>InputData!$C$3</f>
        <v>0.02</v>
      </c>
      <c r="J290" s="160">
        <f>InputData!$C$4</f>
        <v>0.01</v>
      </c>
      <c r="K290" s="160">
        <f>InputData!$C$5</f>
        <v>0.01</v>
      </c>
      <c r="L290" s="160">
        <f>InputData!$C$6</f>
        <v>6.2100000000000002E-2</v>
      </c>
      <c r="M290" s="160">
        <f>InputData!$C$7</f>
        <v>0.03</v>
      </c>
      <c r="N290" s="160">
        <f>InputData!$C$8</f>
        <v>0.02</v>
      </c>
      <c r="O290" s="160">
        <f>InputData!$C$9</f>
        <v>0.06</v>
      </c>
      <c r="P290" s="160">
        <f>InputData!$C$10</f>
        <v>0.02</v>
      </c>
      <c r="Q290" s="160">
        <f>InputData!$C$11</f>
        <v>0.02</v>
      </c>
      <c r="R290" s="160">
        <f>InputData!$C$12</f>
        <v>0.02</v>
      </c>
      <c r="S290" s="160">
        <f>InputData!$C$13</f>
        <v>0.9</v>
      </c>
      <c r="T290" s="116">
        <f>InputData!$C$88</f>
        <v>180000</v>
      </c>
      <c r="U290" s="116">
        <f>InputData!$C$81</f>
        <v>178500</v>
      </c>
      <c r="V290" s="116">
        <f>InputData!$C$82</f>
        <v>303960</v>
      </c>
      <c r="W290" s="116">
        <f>InputData!$C$84</f>
        <v>215220</v>
      </c>
      <c r="X290" s="116">
        <f>InputData!$C$85</f>
        <v>409020</v>
      </c>
      <c r="Y290" s="116">
        <f>InputData!$C$116</f>
        <v>140000</v>
      </c>
      <c r="Z290" s="160">
        <f>InputData!$E$13</f>
        <v>0</v>
      </c>
    </row>
    <row r="291" spans="1:26" x14ac:dyDescent="0.25">
      <c r="A291">
        <f>InputData!$K$1</f>
        <v>2013</v>
      </c>
      <c r="B291" t="str">
        <f>InputData!$G$1</f>
        <v>San Antonio, TX</v>
      </c>
      <c r="C291" t="s">
        <v>11</v>
      </c>
      <c r="D291" t="str">
        <f>Graph_IntMed!$L$6</f>
        <v>USU20</v>
      </c>
      <c r="E291" t="str">
        <f t="shared" si="4"/>
        <v>Internal Medicine USU20</v>
      </c>
      <c r="F291">
        <f>Graph_IntMed!$A26</f>
        <v>2032</v>
      </c>
      <c r="G291">
        <f>Graph_IntMed!$B26</f>
        <v>20</v>
      </c>
      <c r="H291" s="165">
        <f>Graph_IntMed!$L26</f>
        <v>1234020.8995299013</v>
      </c>
      <c r="I291" s="160">
        <f>InputData!$C$3</f>
        <v>0.02</v>
      </c>
      <c r="J291" s="160">
        <f>InputData!$C$4</f>
        <v>0.01</v>
      </c>
      <c r="K291" s="160">
        <f>InputData!$C$5</f>
        <v>0.01</v>
      </c>
      <c r="L291" s="160">
        <f>InputData!$C$6</f>
        <v>6.2100000000000002E-2</v>
      </c>
      <c r="M291" s="160">
        <f>InputData!$C$7</f>
        <v>0.03</v>
      </c>
      <c r="N291" s="160">
        <f>InputData!$C$8</f>
        <v>0.02</v>
      </c>
      <c r="O291" s="160">
        <f>InputData!$C$9</f>
        <v>0.06</v>
      </c>
      <c r="P291" s="160">
        <f>InputData!$C$10</f>
        <v>0.02</v>
      </c>
      <c r="Q291" s="160">
        <f>InputData!$C$11</f>
        <v>0.02</v>
      </c>
      <c r="R291" s="160">
        <f>InputData!$C$12</f>
        <v>0.02</v>
      </c>
      <c r="S291" s="160">
        <f>InputData!$C$13</f>
        <v>0.9</v>
      </c>
      <c r="T291" s="116">
        <f>InputData!$C$88</f>
        <v>180000</v>
      </c>
      <c r="U291" s="116">
        <f>InputData!$C$81</f>
        <v>178500</v>
      </c>
      <c r="V291" s="116">
        <f>InputData!$C$82</f>
        <v>303960</v>
      </c>
      <c r="W291" s="116">
        <f>InputData!$C$84</f>
        <v>215220</v>
      </c>
      <c r="X291" s="116">
        <f>InputData!$C$85</f>
        <v>409020</v>
      </c>
      <c r="Y291" s="116">
        <f>InputData!$C$116</f>
        <v>140000</v>
      </c>
      <c r="Z291" s="160">
        <f>InputData!$E$13</f>
        <v>0</v>
      </c>
    </row>
    <row r="292" spans="1:26" x14ac:dyDescent="0.25">
      <c r="A292">
        <f>InputData!$K$1</f>
        <v>2013</v>
      </c>
      <c r="B292" t="str">
        <f>InputData!$G$1</f>
        <v>San Antonio, TX</v>
      </c>
      <c r="C292" t="s">
        <v>11</v>
      </c>
      <c r="D292" t="str">
        <f>Graph_IntMed!$L$6</f>
        <v>USU20</v>
      </c>
      <c r="E292" t="str">
        <f t="shared" si="4"/>
        <v>Internal Medicine USU20</v>
      </c>
      <c r="F292">
        <f>Graph_IntMed!$A27</f>
        <v>2033</v>
      </c>
      <c r="G292">
        <f>Graph_IntMed!$B27</f>
        <v>21</v>
      </c>
      <c r="H292" s="165">
        <f>Graph_IntMed!$L27</f>
        <v>1302270.4267230788</v>
      </c>
      <c r="I292" s="160">
        <f>InputData!$C$3</f>
        <v>0.02</v>
      </c>
      <c r="J292" s="160">
        <f>InputData!$C$4</f>
        <v>0.01</v>
      </c>
      <c r="K292" s="160">
        <f>InputData!$C$5</f>
        <v>0.01</v>
      </c>
      <c r="L292" s="160">
        <f>InputData!$C$6</f>
        <v>6.2100000000000002E-2</v>
      </c>
      <c r="M292" s="160">
        <f>InputData!$C$7</f>
        <v>0.03</v>
      </c>
      <c r="N292" s="160">
        <f>InputData!$C$8</f>
        <v>0.02</v>
      </c>
      <c r="O292" s="160">
        <f>InputData!$C$9</f>
        <v>0.06</v>
      </c>
      <c r="P292" s="160">
        <f>InputData!$C$10</f>
        <v>0.02</v>
      </c>
      <c r="Q292" s="160">
        <f>InputData!$C$11</f>
        <v>0.02</v>
      </c>
      <c r="R292" s="160">
        <f>InputData!$C$12</f>
        <v>0.02</v>
      </c>
      <c r="S292" s="160">
        <f>InputData!$C$13</f>
        <v>0.9</v>
      </c>
      <c r="T292" s="116">
        <f>InputData!$C$88</f>
        <v>180000</v>
      </c>
      <c r="U292" s="116">
        <f>InputData!$C$81</f>
        <v>178500</v>
      </c>
      <c r="V292" s="116">
        <f>InputData!$C$82</f>
        <v>303960</v>
      </c>
      <c r="W292" s="116">
        <f>InputData!$C$84</f>
        <v>215220</v>
      </c>
      <c r="X292" s="116">
        <f>InputData!$C$85</f>
        <v>409020</v>
      </c>
      <c r="Y292" s="116">
        <f>InputData!$C$116</f>
        <v>140000</v>
      </c>
      <c r="Z292" s="160">
        <f>InputData!$E$13</f>
        <v>0</v>
      </c>
    </row>
    <row r="293" spans="1:26" x14ac:dyDescent="0.25">
      <c r="A293">
        <f>InputData!$K$1</f>
        <v>2013</v>
      </c>
      <c r="B293" t="str">
        <f>InputData!$G$1</f>
        <v>San Antonio, TX</v>
      </c>
      <c r="C293" t="s">
        <v>11</v>
      </c>
      <c r="D293" t="str">
        <f>Graph_IntMed!$L$6</f>
        <v>USU20</v>
      </c>
      <c r="E293" t="str">
        <f t="shared" si="4"/>
        <v>Internal Medicine USU20</v>
      </c>
      <c r="F293">
        <f>Graph_IntMed!$A28</f>
        <v>2034</v>
      </c>
      <c r="G293">
        <f>Graph_IntMed!$B28</f>
        <v>22</v>
      </c>
      <c r="H293" s="165">
        <f>Graph_IntMed!$L28</f>
        <v>1367895.4297844293</v>
      </c>
      <c r="I293" s="160">
        <f>InputData!$C$3</f>
        <v>0.02</v>
      </c>
      <c r="J293" s="160">
        <f>InputData!$C$4</f>
        <v>0.01</v>
      </c>
      <c r="K293" s="160">
        <f>InputData!$C$5</f>
        <v>0.01</v>
      </c>
      <c r="L293" s="160">
        <f>InputData!$C$6</f>
        <v>6.2100000000000002E-2</v>
      </c>
      <c r="M293" s="160">
        <f>InputData!$C$7</f>
        <v>0.03</v>
      </c>
      <c r="N293" s="160">
        <f>InputData!$C$8</f>
        <v>0.02</v>
      </c>
      <c r="O293" s="160">
        <f>InputData!$C$9</f>
        <v>0.06</v>
      </c>
      <c r="P293" s="160">
        <f>InputData!$C$10</f>
        <v>0.02</v>
      </c>
      <c r="Q293" s="160">
        <f>InputData!$C$11</f>
        <v>0.02</v>
      </c>
      <c r="R293" s="160">
        <f>InputData!$C$12</f>
        <v>0.02</v>
      </c>
      <c r="S293" s="160">
        <f>InputData!$C$13</f>
        <v>0.9</v>
      </c>
      <c r="T293" s="116">
        <f>InputData!$C$88</f>
        <v>180000</v>
      </c>
      <c r="U293" s="116">
        <f>InputData!$C$81</f>
        <v>178500</v>
      </c>
      <c r="V293" s="116">
        <f>InputData!$C$82</f>
        <v>303960</v>
      </c>
      <c r="W293" s="116">
        <f>InputData!$C$84</f>
        <v>215220</v>
      </c>
      <c r="X293" s="116">
        <f>InputData!$C$85</f>
        <v>409020</v>
      </c>
      <c r="Y293" s="116">
        <f>InputData!$C$116</f>
        <v>140000</v>
      </c>
      <c r="Z293" s="160">
        <f>InputData!$E$13</f>
        <v>0</v>
      </c>
    </row>
    <row r="294" spans="1:26" x14ac:dyDescent="0.25">
      <c r="A294">
        <f>InputData!$K$1</f>
        <v>2013</v>
      </c>
      <c r="B294" t="str">
        <f>InputData!$G$1</f>
        <v>San Antonio, TX</v>
      </c>
      <c r="C294" t="s">
        <v>11</v>
      </c>
      <c r="D294" t="str">
        <f>Graph_IntMed!$L$6</f>
        <v>USU20</v>
      </c>
      <c r="E294" t="str">
        <f t="shared" si="4"/>
        <v>Internal Medicine USU20</v>
      </c>
      <c r="F294">
        <f>Graph_IntMed!$A29</f>
        <v>2035</v>
      </c>
      <c r="G294">
        <f>Graph_IntMed!$B29</f>
        <v>23</v>
      </c>
      <c r="H294" s="165">
        <f>Graph_IntMed!$L29</f>
        <v>1434930.3930117351</v>
      </c>
      <c r="I294" s="160">
        <f>InputData!$C$3</f>
        <v>0.02</v>
      </c>
      <c r="J294" s="160">
        <f>InputData!$C$4</f>
        <v>0.01</v>
      </c>
      <c r="K294" s="160">
        <f>InputData!$C$5</f>
        <v>0.01</v>
      </c>
      <c r="L294" s="160">
        <f>InputData!$C$6</f>
        <v>6.2100000000000002E-2</v>
      </c>
      <c r="M294" s="160">
        <f>InputData!$C$7</f>
        <v>0.03</v>
      </c>
      <c r="N294" s="160">
        <f>InputData!$C$8</f>
        <v>0.02</v>
      </c>
      <c r="O294" s="160">
        <f>InputData!$C$9</f>
        <v>0.06</v>
      </c>
      <c r="P294" s="160">
        <f>InputData!$C$10</f>
        <v>0.02</v>
      </c>
      <c r="Q294" s="160">
        <f>InputData!$C$11</f>
        <v>0.02</v>
      </c>
      <c r="R294" s="160">
        <f>InputData!$C$12</f>
        <v>0.02</v>
      </c>
      <c r="S294" s="160">
        <f>InputData!$C$13</f>
        <v>0.9</v>
      </c>
      <c r="T294" s="116">
        <f>InputData!$C$88</f>
        <v>180000</v>
      </c>
      <c r="U294" s="116">
        <f>InputData!$C$81</f>
        <v>178500</v>
      </c>
      <c r="V294" s="116">
        <f>InputData!$C$82</f>
        <v>303960</v>
      </c>
      <c r="W294" s="116">
        <f>InputData!$C$84</f>
        <v>215220</v>
      </c>
      <c r="X294" s="116">
        <f>InputData!$C$85</f>
        <v>409020</v>
      </c>
      <c r="Y294" s="116">
        <f>InputData!$C$116</f>
        <v>140000</v>
      </c>
      <c r="Z294" s="160">
        <f>InputData!$E$13</f>
        <v>0</v>
      </c>
    </row>
    <row r="295" spans="1:26" x14ac:dyDescent="0.25">
      <c r="A295">
        <f>InputData!$K$1</f>
        <v>2013</v>
      </c>
      <c r="B295" t="str">
        <f>InputData!$G$1</f>
        <v>San Antonio, TX</v>
      </c>
      <c r="C295" t="s">
        <v>11</v>
      </c>
      <c r="D295" t="str">
        <f>Graph_IntMed!$L$6</f>
        <v>USU20</v>
      </c>
      <c r="E295" t="str">
        <f t="shared" si="4"/>
        <v>Internal Medicine USU20</v>
      </c>
      <c r="F295">
        <f>Graph_IntMed!$A30</f>
        <v>2036</v>
      </c>
      <c r="G295">
        <f>Graph_IntMed!$B30</f>
        <v>24</v>
      </c>
      <c r="H295" s="165">
        <f>Graph_IntMed!$L30</f>
        <v>1499381.6004349594</v>
      </c>
      <c r="I295" s="160">
        <f>InputData!$C$3</f>
        <v>0.02</v>
      </c>
      <c r="J295" s="160">
        <f>InputData!$C$4</f>
        <v>0.01</v>
      </c>
      <c r="K295" s="160">
        <f>InputData!$C$5</f>
        <v>0.01</v>
      </c>
      <c r="L295" s="160">
        <f>InputData!$C$6</f>
        <v>6.2100000000000002E-2</v>
      </c>
      <c r="M295" s="160">
        <f>InputData!$C$7</f>
        <v>0.03</v>
      </c>
      <c r="N295" s="160">
        <f>InputData!$C$8</f>
        <v>0.02</v>
      </c>
      <c r="O295" s="160">
        <f>InputData!$C$9</f>
        <v>0.06</v>
      </c>
      <c r="P295" s="160">
        <f>InputData!$C$10</f>
        <v>0.02</v>
      </c>
      <c r="Q295" s="160">
        <f>InputData!$C$11</f>
        <v>0.02</v>
      </c>
      <c r="R295" s="160">
        <f>InputData!$C$12</f>
        <v>0.02</v>
      </c>
      <c r="S295" s="160">
        <f>InputData!$C$13</f>
        <v>0.9</v>
      </c>
      <c r="T295" s="116">
        <f>InputData!$C$88</f>
        <v>180000</v>
      </c>
      <c r="U295" s="116">
        <f>InputData!$C$81</f>
        <v>178500</v>
      </c>
      <c r="V295" s="116">
        <f>InputData!$C$82</f>
        <v>303960</v>
      </c>
      <c r="W295" s="116">
        <f>InputData!$C$84</f>
        <v>215220</v>
      </c>
      <c r="X295" s="116">
        <f>InputData!$C$85</f>
        <v>409020</v>
      </c>
      <c r="Y295" s="116">
        <f>InputData!$C$116</f>
        <v>140000</v>
      </c>
      <c r="Z295" s="160">
        <f>InputData!$E$13</f>
        <v>0</v>
      </c>
    </row>
    <row r="296" spans="1:26" x14ac:dyDescent="0.25">
      <c r="A296">
        <f>InputData!$K$1</f>
        <v>2013</v>
      </c>
      <c r="B296" t="str">
        <f>InputData!$G$1</f>
        <v>San Antonio, TX</v>
      </c>
      <c r="C296" t="s">
        <v>11</v>
      </c>
      <c r="D296" t="str">
        <f>Graph_IntMed!$L$6</f>
        <v>USU20</v>
      </c>
      <c r="E296" t="str">
        <f t="shared" si="4"/>
        <v>Internal Medicine USU20</v>
      </c>
      <c r="F296">
        <f>Graph_IntMed!$A31</f>
        <v>2037</v>
      </c>
      <c r="G296">
        <f>Graph_IntMed!$B31</f>
        <v>25</v>
      </c>
      <c r="H296" s="165">
        <f>Graph_IntMed!$L31</f>
        <v>1555783.4704518379</v>
      </c>
      <c r="I296" s="160">
        <f>InputData!$C$3</f>
        <v>0.02</v>
      </c>
      <c r="J296" s="160">
        <f>InputData!$C$4</f>
        <v>0.01</v>
      </c>
      <c r="K296" s="160">
        <f>InputData!$C$5</f>
        <v>0.01</v>
      </c>
      <c r="L296" s="160">
        <f>InputData!$C$6</f>
        <v>6.2100000000000002E-2</v>
      </c>
      <c r="M296" s="160">
        <f>InputData!$C$7</f>
        <v>0.03</v>
      </c>
      <c r="N296" s="160">
        <f>InputData!$C$8</f>
        <v>0.02</v>
      </c>
      <c r="O296" s="160">
        <f>InputData!$C$9</f>
        <v>0.06</v>
      </c>
      <c r="P296" s="160">
        <f>InputData!$C$10</f>
        <v>0.02</v>
      </c>
      <c r="Q296" s="160">
        <f>InputData!$C$11</f>
        <v>0.02</v>
      </c>
      <c r="R296" s="160">
        <f>InputData!$C$12</f>
        <v>0.02</v>
      </c>
      <c r="S296" s="160">
        <f>InputData!$C$13</f>
        <v>0.9</v>
      </c>
      <c r="T296" s="116">
        <f>InputData!$C$88</f>
        <v>180000</v>
      </c>
      <c r="U296" s="116">
        <f>InputData!$C$81</f>
        <v>178500</v>
      </c>
      <c r="V296" s="116">
        <f>InputData!$C$82</f>
        <v>303960</v>
      </c>
      <c r="W296" s="116">
        <f>InputData!$C$84</f>
        <v>215220</v>
      </c>
      <c r="X296" s="116">
        <f>InputData!$C$85</f>
        <v>409020</v>
      </c>
      <c r="Y296" s="116">
        <f>InputData!$C$116</f>
        <v>140000</v>
      </c>
      <c r="Z296" s="160">
        <f>InputData!$E$13</f>
        <v>0</v>
      </c>
    </row>
    <row r="297" spans="1:26" x14ac:dyDescent="0.25">
      <c r="A297">
        <f>InputData!$K$1</f>
        <v>2013</v>
      </c>
      <c r="B297" t="str">
        <f>InputData!$G$1</f>
        <v>San Antonio, TX</v>
      </c>
      <c r="C297" t="s">
        <v>11</v>
      </c>
      <c r="D297" t="str">
        <f>Graph_IntMed!$L$6</f>
        <v>USU20</v>
      </c>
      <c r="E297" t="str">
        <f t="shared" si="4"/>
        <v>Internal Medicine USU20</v>
      </c>
      <c r="F297">
        <f>Graph_IntMed!$A32</f>
        <v>2038</v>
      </c>
      <c r="G297">
        <f>Graph_IntMed!$B32</f>
        <v>26</v>
      </c>
      <c r="H297" s="165">
        <f>Graph_IntMed!$L32</f>
        <v>1610012.1067875663</v>
      </c>
      <c r="I297" s="160">
        <f>InputData!$C$3</f>
        <v>0.02</v>
      </c>
      <c r="J297" s="160">
        <f>InputData!$C$4</f>
        <v>0.01</v>
      </c>
      <c r="K297" s="160">
        <f>InputData!$C$5</f>
        <v>0.01</v>
      </c>
      <c r="L297" s="160">
        <f>InputData!$C$6</f>
        <v>6.2100000000000002E-2</v>
      </c>
      <c r="M297" s="160">
        <f>InputData!$C$7</f>
        <v>0.03</v>
      </c>
      <c r="N297" s="160">
        <f>InputData!$C$8</f>
        <v>0.02</v>
      </c>
      <c r="O297" s="160">
        <f>InputData!$C$9</f>
        <v>0.06</v>
      </c>
      <c r="P297" s="160">
        <f>InputData!$C$10</f>
        <v>0.02</v>
      </c>
      <c r="Q297" s="160">
        <f>InputData!$C$11</f>
        <v>0.02</v>
      </c>
      <c r="R297" s="160">
        <f>InputData!$C$12</f>
        <v>0.02</v>
      </c>
      <c r="S297" s="160">
        <f>InputData!$C$13</f>
        <v>0.9</v>
      </c>
      <c r="T297" s="116">
        <f>InputData!$C$88</f>
        <v>180000</v>
      </c>
      <c r="U297" s="116">
        <f>InputData!$C$81</f>
        <v>178500</v>
      </c>
      <c r="V297" s="116">
        <f>InputData!$C$82</f>
        <v>303960</v>
      </c>
      <c r="W297" s="116">
        <f>InputData!$C$84</f>
        <v>215220</v>
      </c>
      <c r="X297" s="116">
        <f>InputData!$C$85</f>
        <v>409020</v>
      </c>
      <c r="Y297" s="116">
        <f>InputData!$C$116</f>
        <v>140000</v>
      </c>
      <c r="Z297" s="160">
        <f>InputData!$E$13</f>
        <v>0</v>
      </c>
    </row>
    <row r="298" spans="1:26" x14ac:dyDescent="0.25">
      <c r="A298">
        <f>InputData!$K$1</f>
        <v>2013</v>
      </c>
      <c r="B298" t="str">
        <f>InputData!$G$1</f>
        <v>San Antonio, TX</v>
      </c>
      <c r="C298" t="s">
        <v>11</v>
      </c>
      <c r="D298" t="str">
        <f>Graph_IntMed!$L$6</f>
        <v>USU20</v>
      </c>
      <c r="E298" t="str">
        <f t="shared" si="4"/>
        <v>Internal Medicine USU20</v>
      </c>
      <c r="F298">
        <f>Graph_IntMed!$A33</f>
        <v>2039</v>
      </c>
      <c r="G298">
        <f>Graph_IntMed!$B33</f>
        <v>27</v>
      </c>
      <c r="H298" s="165">
        <f>Graph_IntMed!$L33</f>
        <v>1688901.5760365392</v>
      </c>
      <c r="I298" s="160">
        <f>InputData!$C$3</f>
        <v>0.02</v>
      </c>
      <c r="J298" s="160">
        <f>InputData!$C$4</f>
        <v>0.01</v>
      </c>
      <c r="K298" s="160">
        <f>InputData!$C$5</f>
        <v>0.01</v>
      </c>
      <c r="L298" s="160">
        <f>InputData!$C$6</f>
        <v>6.2100000000000002E-2</v>
      </c>
      <c r="M298" s="160">
        <f>InputData!$C$7</f>
        <v>0.03</v>
      </c>
      <c r="N298" s="160">
        <f>InputData!$C$8</f>
        <v>0.02</v>
      </c>
      <c r="O298" s="160">
        <f>InputData!$C$9</f>
        <v>0.06</v>
      </c>
      <c r="P298" s="160">
        <f>InputData!$C$10</f>
        <v>0.02</v>
      </c>
      <c r="Q298" s="160">
        <f>InputData!$C$11</f>
        <v>0.02</v>
      </c>
      <c r="R298" s="160">
        <f>InputData!$C$12</f>
        <v>0.02</v>
      </c>
      <c r="S298" s="160">
        <f>InputData!$C$13</f>
        <v>0.9</v>
      </c>
      <c r="T298" s="116">
        <f>InputData!$C$88</f>
        <v>180000</v>
      </c>
      <c r="U298" s="116">
        <f>InputData!$C$81</f>
        <v>178500</v>
      </c>
      <c r="V298" s="116">
        <f>InputData!$C$82</f>
        <v>303960</v>
      </c>
      <c r="W298" s="116">
        <f>InputData!$C$84</f>
        <v>215220</v>
      </c>
      <c r="X298" s="116">
        <f>InputData!$C$85</f>
        <v>409020</v>
      </c>
      <c r="Y298" s="116">
        <f>InputData!$C$116</f>
        <v>140000</v>
      </c>
      <c r="Z298" s="160">
        <f>InputData!$E$13</f>
        <v>0</v>
      </c>
    </row>
    <row r="299" spans="1:26" x14ac:dyDescent="0.25">
      <c r="A299">
        <f>InputData!$K$1</f>
        <v>2013</v>
      </c>
      <c r="B299" t="str">
        <f>InputData!$G$1</f>
        <v>San Antonio, TX</v>
      </c>
      <c r="C299" t="s">
        <v>11</v>
      </c>
      <c r="D299" t="str">
        <f>Graph_IntMed!$L$6</f>
        <v>USU20</v>
      </c>
      <c r="E299" t="str">
        <f t="shared" si="4"/>
        <v>Internal Medicine USU20</v>
      </c>
      <c r="F299">
        <f>Graph_IntMed!$A34</f>
        <v>2040</v>
      </c>
      <c r="G299">
        <f>Graph_IntMed!$B34</f>
        <v>28</v>
      </c>
      <c r="H299" s="165">
        <f>Graph_IntMed!$L34</f>
        <v>1765909.0832181347</v>
      </c>
      <c r="I299" s="160">
        <f>InputData!$C$3</f>
        <v>0.02</v>
      </c>
      <c r="J299" s="160">
        <f>InputData!$C$4</f>
        <v>0.01</v>
      </c>
      <c r="K299" s="160">
        <f>InputData!$C$5</f>
        <v>0.01</v>
      </c>
      <c r="L299" s="160">
        <f>InputData!$C$6</f>
        <v>6.2100000000000002E-2</v>
      </c>
      <c r="M299" s="160">
        <f>InputData!$C$7</f>
        <v>0.03</v>
      </c>
      <c r="N299" s="160">
        <f>InputData!$C$8</f>
        <v>0.02</v>
      </c>
      <c r="O299" s="160">
        <f>InputData!$C$9</f>
        <v>0.06</v>
      </c>
      <c r="P299" s="160">
        <f>InputData!$C$10</f>
        <v>0.02</v>
      </c>
      <c r="Q299" s="160">
        <f>InputData!$C$11</f>
        <v>0.02</v>
      </c>
      <c r="R299" s="160">
        <f>InputData!$C$12</f>
        <v>0.02</v>
      </c>
      <c r="S299" s="160">
        <f>InputData!$C$13</f>
        <v>0.9</v>
      </c>
      <c r="T299" s="116">
        <f>InputData!$C$88</f>
        <v>180000</v>
      </c>
      <c r="U299" s="116">
        <f>InputData!$C$81</f>
        <v>178500</v>
      </c>
      <c r="V299" s="116">
        <f>InputData!$C$82</f>
        <v>303960</v>
      </c>
      <c r="W299" s="116">
        <f>InputData!$C$84</f>
        <v>215220</v>
      </c>
      <c r="X299" s="116">
        <f>InputData!$C$85</f>
        <v>409020</v>
      </c>
      <c r="Y299" s="116">
        <f>InputData!$C$116</f>
        <v>140000</v>
      </c>
      <c r="Z299" s="160">
        <f>InputData!$E$13</f>
        <v>0</v>
      </c>
    </row>
    <row r="300" spans="1:26" x14ac:dyDescent="0.25">
      <c r="A300">
        <f>InputData!$K$1</f>
        <v>2013</v>
      </c>
      <c r="B300" t="str">
        <f>InputData!$G$1</f>
        <v>San Antonio, TX</v>
      </c>
      <c r="C300" t="s">
        <v>11</v>
      </c>
      <c r="D300" t="str">
        <f>Graph_IntMed!$L$6</f>
        <v>USU20</v>
      </c>
      <c r="E300" t="str">
        <f t="shared" si="4"/>
        <v>Internal Medicine USU20</v>
      </c>
      <c r="F300">
        <f>Graph_IntMed!$A35</f>
        <v>2041</v>
      </c>
      <c r="G300">
        <f>Graph_IntMed!$B35</f>
        <v>29</v>
      </c>
      <c r="H300" s="165">
        <f>Graph_IntMed!$L35</f>
        <v>1841084.0246325182</v>
      </c>
      <c r="I300" s="160">
        <f>InputData!$C$3</f>
        <v>0.02</v>
      </c>
      <c r="J300" s="160">
        <f>InputData!$C$4</f>
        <v>0.01</v>
      </c>
      <c r="K300" s="160">
        <f>InputData!$C$5</f>
        <v>0.01</v>
      </c>
      <c r="L300" s="160">
        <f>InputData!$C$6</f>
        <v>6.2100000000000002E-2</v>
      </c>
      <c r="M300" s="160">
        <f>InputData!$C$7</f>
        <v>0.03</v>
      </c>
      <c r="N300" s="160">
        <f>InputData!$C$8</f>
        <v>0.02</v>
      </c>
      <c r="O300" s="160">
        <f>InputData!$C$9</f>
        <v>0.06</v>
      </c>
      <c r="P300" s="160">
        <f>InputData!$C$10</f>
        <v>0.02</v>
      </c>
      <c r="Q300" s="160">
        <f>InputData!$C$11</f>
        <v>0.02</v>
      </c>
      <c r="R300" s="160">
        <f>InputData!$C$12</f>
        <v>0.02</v>
      </c>
      <c r="S300" s="160">
        <f>InputData!$C$13</f>
        <v>0.9</v>
      </c>
      <c r="T300" s="116">
        <f>InputData!$C$88</f>
        <v>180000</v>
      </c>
      <c r="U300" s="116">
        <f>InputData!$C$81</f>
        <v>178500</v>
      </c>
      <c r="V300" s="116">
        <f>InputData!$C$82</f>
        <v>303960</v>
      </c>
      <c r="W300" s="116">
        <f>InputData!$C$84</f>
        <v>215220</v>
      </c>
      <c r="X300" s="116">
        <f>InputData!$C$85</f>
        <v>409020</v>
      </c>
      <c r="Y300" s="116">
        <f>InputData!$C$116</f>
        <v>140000</v>
      </c>
      <c r="Z300" s="160">
        <f>InputData!$E$13</f>
        <v>0</v>
      </c>
    </row>
    <row r="301" spans="1:26" x14ac:dyDescent="0.25">
      <c r="A301">
        <f>InputData!$K$1</f>
        <v>2013</v>
      </c>
      <c r="B301" t="str">
        <f>InputData!$G$1</f>
        <v>San Antonio, TX</v>
      </c>
      <c r="C301" t="s">
        <v>11</v>
      </c>
      <c r="D301" t="str">
        <f>Graph_IntMed!$L$6</f>
        <v>USU20</v>
      </c>
      <c r="E301" t="str">
        <f t="shared" si="4"/>
        <v>Internal Medicine USU20</v>
      </c>
      <c r="F301">
        <f>Graph_IntMed!$A36</f>
        <v>2042</v>
      </c>
      <c r="G301">
        <f>Graph_IntMed!$B36</f>
        <v>30</v>
      </c>
      <c r="H301" s="165">
        <f>Graph_IntMed!$L36</f>
        <v>1914474.3584127922</v>
      </c>
      <c r="I301" s="160">
        <f>InputData!$C$3</f>
        <v>0.02</v>
      </c>
      <c r="J301" s="160">
        <f>InputData!$C$4</f>
        <v>0.01</v>
      </c>
      <c r="K301" s="160">
        <f>InputData!$C$5</f>
        <v>0.01</v>
      </c>
      <c r="L301" s="160">
        <f>InputData!$C$6</f>
        <v>6.2100000000000002E-2</v>
      </c>
      <c r="M301" s="160">
        <f>InputData!$C$7</f>
        <v>0.03</v>
      </c>
      <c r="N301" s="160">
        <f>InputData!$C$8</f>
        <v>0.02</v>
      </c>
      <c r="O301" s="160">
        <f>InputData!$C$9</f>
        <v>0.06</v>
      </c>
      <c r="P301" s="160">
        <f>InputData!$C$10</f>
        <v>0.02</v>
      </c>
      <c r="Q301" s="160">
        <f>InputData!$C$11</f>
        <v>0.02</v>
      </c>
      <c r="R301" s="160">
        <f>InputData!$C$12</f>
        <v>0.02</v>
      </c>
      <c r="S301" s="160">
        <f>InputData!$C$13</f>
        <v>0.9</v>
      </c>
      <c r="T301" s="116">
        <f>InputData!$C$88</f>
        <v>180000</v>
      </c>
      <c r="U301" s="116">
        <f>InputData!$C$81</f>
        <v>178500</v>
      </c>
      <c r="V301" s="116">
        <f>InputData!$C$82</f>
        <v>303960</v>
      </c>
      <c r="W301" s="116">
        <f>InputData!$C$84</f>
        <v>215220</v>
      </c>
      <c r="X301" s="116">
        <f>InputData!$C$85</f>
        <v>409020</v>
      </c>
      <c r="Y301" s="116">
        <f>InputData!$C$116</f>
        <v>140000</v>
      </c>
      <c r="Z301" s="160">
        <f>InputData!$E$13</f>
        <v>0</v>
      </c>
    </row>
    <row r="302" spans="1:26" x14ac:dyDescent="0.25">
      <c r="A302">
        <f>InputData!$K$1</f>
        <v>2013</v>
      </c>
      <c r="B302" t="str">
        <f>InputData!$G$1</f>
        <v>San Antonio, TX</v>
      </c>
      <c r="C302" t="s">
        <v>11</v>
      </c>
      <c r="D302" t="str">
        <f>Graph_IntMed!$M$6</f>
        <v>HPSP20</v>
      </c>
      <c r="E302" t="str">
        <f t="shared" si="4"/>
        <v>Internal Medicine HPSP20</v>
      </c>
      <c r="F302">
        <f>Graph_IntMed!$A7</f>
        <v>2013</v>
      </c>
      <c r="G302">
        <f>Graph_IntMed!$B7</f>
        <v>1</v>
      </c>
      <c r="H302" s="165">
        <f>Graph_IntMed!$M7</f>
        <v>43551.744866529771</v>
      </c>
      <c r="I302" s="160">
        <f>InputData!$C$3</f>
        <v>0.02</v>
      </c>
      <c r="J302" s="160">
        <f>InputData!$C$4</f>
        <v>0.01</v>
      </c>
      <c r="K302" s="160">
        <f>InputData!$C$5</f>
        <v>0.01</v>
      </c>
      <c r="L302" s="160">
        <f>InputData!$C$6</f>
        <v>6.2100000000000002E-2</v>
      </c>
      <c r="M302" s="160">
        <f>InputData!$C$7</f>
        <v>0.03</v>
      </c>
      <c r="N302" s="160">
        <f>InputData!$C$8</f>
        <v>0.02</v>
      </c>
      <c r="O302" s="160">
        <f>InputData!$C$9</f>
        <v>0.06</v>
      </c>
      <c r="P302" s="160">
        <f>InputData!$C$10</f>
        <v>0.02</v>
      </c>
      <c r="Q302" s="160">
        <f>InputData!$C$11</f>
        <v>0.02</v>
      </c>
      <c r="R302" s="160">
        <f>InputData!$C$12</f>
        <v>0.02</v>
      </c>
      <c r="S302" s="160">
        <f>InputData!$C$13</f>
        <v>0.9</v>
      </c>
      <c r="T302" s="116">
        <f>InputData!$C$88</f>
        <v>180000</v>
      </c>
      <c r="U302" s="116">
        <f>InputData!$C$81</f>
        <v>178500</v>
      </c>
      <c r="V302" s="116">
        <f>InputData!$C$82</f>
        <v>303960</v>
      </c>
      <c r="W302" s="116">
        <f>InputData!$C$84</f>
        <v>215220</v>
      </c>
      <c r="X302" s="116">
        <f>InputData!$C$85</f>
        <v>409020</v>
      </c>
      <c r="Y302" s="116">
        <f>InputData!$C$116</f>
        <v>140000</v>
      </c>
      <c r="Z302" s="160">
        <f>InputData!$E$13</f>
        <v>0</v>
      </c>
    </row>
    <row r="303" spans="1:26" x14ac:dyDescent="0.25">
      <c r="A303">
        <f>InputData!$K$1</f>
        <v>2013</v>
      </c>
      <c r="B303" t="str">
        <f>InputData!$G$1</f>
        <v>San Antonio, TX</v>
      </c>
      <c r="C303" t="s">
        <v>11</v>
      </c>
      <c r="D303" t="str">
        <f>Graph_IntMed!$M$6</f>
        <v>HPSP20</v>
      </c>
      <c r="E303" t="str">
        <f t="shared" si="4"/>
        <v>Internal Medicine HPSP20</v>
      </c>
      <c r="F303">
        <f>Graph_IntMed!$A8</f>
        <v>2014</v>
      </c>
      <c r="G303">
        <f>Graph_IntMed!$B8</f>
        <v>2</v>
      </c>
      <c r="H303" s="165">
        <f>Graph_IntMed!$M8</f>
        <v>69389.851463288214</v>
      </c>
      <c r="I303" s="160">
        <f>InputData!$C$3</f>
        <v>0.02</v>
      </c>
      <c r="J303" s="160">
        <f>InputData!$C$4</f>
        <v>0.01</v>
      </c>
      <c r="K303" s="160">
        <f>InputData!$C$5</f>
        <v>0.01</v>
      </c>
      <c r="L303" s="160">
        <f>InputData!$C$6</f>
        <v>6.2100000000000002E-2</v>
      </c>
      <c r="M303" s="160">
        <f>InputData!$C$7</f>
        <v>0.03</v>
      </c>
      <c r="N303" s="160">
        <f>InputData!$C$8</f>
        <v>0.02</v>
      </c>
      <c r="O303" s="160">
        <f>InputData!$C$9</f>
        <v>0.06</v>
      </c>
      <c r="P303" s="160">
        <f>InputData!$C$10</f>
        <v>0.02</v>
      </c>
      <c r="Q303" s="160">
        <f>InputData!$C$11</f>
        <v>0.02</v>
      </c>
      <c r="R303" s="160">
        <f>InputData!$C$12</f>
        <v>0.02</v>
      </c>
      <c r="S303" s="160">
        <f>InputData!$C$13</f>
        <v>0.9</v>
      </c>
      <c r="T303" s="116">
        <f>InputData!$C$88</f>
        <v>180000</v>
      </c>
      <c r="U303" s="116">
        <f>InputData!$C$81</f>
        <v>178500</v>
      </c>
      <c r="V303" s="116">
        <f>InputData!$C$82</f>
        <v>303960</v>
      </c>
      <c r="W303" s="116">
        <f>InputData!$C$84</f>
        <v>215220</v>
      </c>
      <c r="X303" s="116">
        <f>InputData!$C$85</f>
        <v>409020</v>
      </c>
      <c r="Y303" s="116">
        <f>InputData!$C$116</f>
        <v>140000</v>
      </c>
      <c r="Z303" s="160">
        <f>InputData!$E$13</f>
        <v>0</v>
      </c>
    </row>
    <row r="304" spans="1:26" x14ac:dyDescent="0.25">
      <c r="A304">
        <f>InputData!$K$1</f>
        <v>2013</v>
      </c>
      <c r="B304" t="str">
        <f>InputData!$G$1</f>
        <v>San Antonio, TX</v>
      </c>
      <c r="C304" t="s">
        <v>11</v>
      </c>
      <c r="D304" t="str">
        <f>Graph_IntMed!$M$6</f>
        <v>HPSP20</v>
      </c>
      <c r="E304" t="str">
        <f t="shared" si="4"/>
        <v>Internal Medicine HPSP20</v>
      </c>
      <c r="F304">
        <f>Graph_IntMed!$A9</f>
        <v>2015</v>
      </c>
      <c r="G304">
        <f>Graph_IntMed!$B9</f>
        <v>3</v>
      </c>
      <c r="H304" s="165">
        <f>Graph_IntMed!$M9</f>
        <v>94384.024082394724</v>
      </c>
      <c r="I304" s="160">
        <f>InputData!$C$3</f>
        <v>0.02</v>
      </c>
      <c r="J304" s="160">
        <f>InputData!$C$4</f>
        <v>0.01</v>
      </c>
      <c r="K304" s="160">
        <f>InputData!$C$5</f>
        <v>0.01</v>
      </c>
      <c r="L304" s="160">
        <f>InputData!$C$6</f>
        <v>6.2100000000000002E-2</v>
      </c>
      <c r="M304" s="160">
        <f>InputData!$C$7</f>
        <v>0.03</v>
      </c>
      <c r="N304" s="160">
        <f>InputData!$C$8</f>
        <v>0.02</v>
      </c>
      <c r="O304" s="160">
        <f>InputData!$C$9</f>
        <v>0.06</v>
      </c>
      <c r="P304" s="160">
        <f>InputData!$C$10</f>
        <v>0.02</v>
      </c>
      <c r="Q304" s="160">
        <f>InputData!$C$11</f>
        <v>0.02</v>
      </c>
      <c r="R304" s="160">
        <f>InputData!$C$12</f>
        <v>0.02</v>
      </c>
      <c r="S304" s="160">
        <f>InputData!$C$13</f>
        <v>0.9</v>
      </c>
      <c r="T304" s="116">
        <f>InputData!$C$88</f>
        <v>180000</v>
      </c>
      <c r="U304" s="116">
        <f>InputData!$C$81</f>
        <v>178500</v>
      </c>
      <c r="V304" s="116">
        <f>InputData!$C$82</f>
        <v>303960</v>
      </c>
      <c r="W304" s="116">
        <f>InputData!$C$84</f>
        <v>215220</v>
      </c>
      <c r="X304" s="116">
        <f>InputData!$C$85</f>
        <v>409020</v>
      </c>
      <c r="Y304" s="116">
        <f>InputData!$C$116</f>
        <v>140000</v>
      </c>
      <c r="Z304" s="160">
        <f>InputData!$E$13</f>
        <v>0</v>
      </c>
    </row>
    <row r="305" spans="1:26" x14ac:dyDescent="0.25">
      <c r="A305">
        <f>InputData!$K$1</f>
        <v>2013</v>
      </c>
      <c r="B305" t="str">
        <f>InputData!$G$1</f>
        <v>San Antonio, TX</v>
      </c>
      <c r="C305" t="s">
        <v>11</v>
      </c>
      <c r="D305" t="str">
        <f>Graph_IntMed!$M$6</f>
        <v>HPSP20</v>
      </c>
      <c r="E305" t="str">
        <f t="shared" si="4"/>
        <v>Internal Medicine HPSP20</v>
      </c>
      <c r="F305">
        <f>Graph_IntMed!$A10</f>
        <v>2016</v>
      </c>
      <c r="G305">
        <f>Graph_IntMed!$B10</f>
        <v>4</v>
      </c>
      <c r="H305" s="165">
        <f>Graph_IntMed!$M10</f>
        <v>119127.82998672797</v>
      </c>
      <c r="I305" s="160">
        <f>InputData!$C$3</f>
        <v>0.02</v>
      </c>
      <c r="J305" s="160">
        <f>InputData!$C$4</f>
        <v>0.01</v>
      </c>
      <c r="K305" s="160">
        <f>InputData!$C$5</f>
        <v>0.01</v>
      </c>
      <c r="L305" s="160">
        <f>InputData!$C$6</f>
        <v>6.2100000000000002E-2</v>
      </c>
      <c r="M305" s="160">
        <f>InputData!$C$7</f>
        <v>0.03</v>
      </c>
      <c r="N305" s="160">
        <f>InputData!$C$8</f>
        <v>0.02</v>
      </c>
      <c r="O305" s="160">
        <f>InputData!$C$9</f>
        <v>0.06</v>
      </c>
      <c r="P305" s="160">
        <f>InputData!$C$10</f>
        <v>0.02</v>
      </c>
      <c r="Q305" s="160">
        <f>InputData!$C$11</f>
        <v>0.02</v>
      </c>
      <c r="R305" s="160">
        <f>InputData!$C$12</f>
        <v>0.02</v>
      </c>
      <c r="S305" s="160">
        <f>InputData!$C$13</f>
        <v>0.9</v>
      </c>
      <c r="T305" s="116">
        <f>InputData!$C$88</f>
        <v>180000</v>
      </c>
      <c r="U305" s="116">
        <f>InputData!$C$81</f>
        <v>178500</v>
      </c>
      <c r="V305" s="116">
        <f>InputData!$C$82</f>
        <v>303960</v>
      </c>
      <c r="W305" s="116">
        <f>InputData!$C$84</f>
        <v>215220</v>
      </c>
      <c r="X305" s="116">
        <f>InputData!$C$85</f>
        <v>409020</v>
      </c>
      <c r="Y305" s="116">
        <f>InputData!$C$116</f>
        <v>140000</v>
      </c>
      <c r="Z305" s="160">
        <f>InputData!$E$13</f>
        <v>0</v>
      </c>
    </row>
    <row r="306" spans="1:26" x14ac:dyDescent="0.25">
      <c r="A306">
        <f>InputData!$K$1</f>
        <v>2013</v>
      </c>
      <c r="B306" t="str">
        <f>InputData!$G$1</f>
        <v>San Antonio, TX</v>
      </c>
      <c r="C306" t="s">
        <v>11</v>
      </c>
      <c r="D306" t="str">
        <f>Graph_IntMed!$M$6</f>
        <v>HPSP20</v>
      </c>
      <c r="E306" t="str">
        <f t="shared" si="4"/>
        <v>Internal Medicine HPSP20</v>
      </c>
      <c r="F306">
        <f>Graph_IntMed!$A11</f>
        <v>2017</v>
      </c>
      <c r="G306">
        <f>Graph_IntMed!$B11</f>
        <v>5</v>
      </c>
      <c r="H306" s="165">
        <f>Graph_IntMed!$M11</f>
        <v>169089.82248832227</v>
      </c>
      <c r="I306" s="160">
        <f>InputData!$C$3</f>
        <v>0.02</v>
      </c>
      <c r="J306" s="160">
        <f>InputData!$C$4</f>
        <v>0.01</v>
      </c>
      <c r="K306" s="160">
        <f>InputData!$C$5</f>
        <v>0.01</v>
      </c>
      <c r="L306" s="160">
        <f>InputData!$C$6</f>
        <v>6.2100000000000002E-2</v>
      </c>
      <c r="M306" s="160">
        <f>InputData!$C$7</f>
        <v>0.03</v>
      </c>
      <c r="N306" s="160">
        <f>InputData!$C$8</f>
        <v>0.02</v>
      </c>
      <c r="O306" s="160">
        <f>InputData!$C$9</f>
        <v>0.06</v>
      </c>
      <c r="P306" s="160">
        <f>InputData!$C$10</f>
        <v>0.02</v>
      </c>
      <c r="Q306" s="160">
        <f>InputData!$C$11</f>
        <v>0.02</v>
      </c>
      <c r="R306" s="160">
        <f>InputData!$C$12</f>
        <v>0.02</v>
      </c>
      <c r="S306" s="160">
        <f>InputData!$C$13</f>
        <v>0.9</v>
      </c>
      <c r="T306" s="116">
        <f>InputData!$C$88</f>
        <v>180000</v>
      </c>
      <c r="U306" s="116">
        <f>InputData!$C$81</f>
        <v>178500</v>
      </c>
      <c r="V306" s="116">
        <f>InputData!$C$82</f>
        <v>303960</v>
      </c>
      <c r="W306" s="116">
        <f>InputData!$C$84</f>
        <v>215220</v>
      </c>
      <c r="X306" s="116">
        <f>InputData!$C$85</f>
        <v>409020</v>
      </c>
      <c r="Y306" s="116">
        <f>InputData!$C$116</f>
        <v>140000</v>
      </c>
      <c r="Z306" s="160">
        <f>InputData!$E$13</f>
        <v>0</v>
      </c>
    </row>
    <row r="307" spans="1:26" x14ac:dyDescent="0.25">
      <c r="A307">
        <f>InputData!$K$1</f>
        <v>2013</v>
      </c>
      <c r="B307" t="str">
        <f>InputData!$G$1</f>
        <v>San Antonio, TX</v>
      </c>
      <c r="C307" t="s">
        <v>11</v>
      </c>
      <c r="D307" t="str">
        <f>Graph_IntMed!$M$6</f>
        <v>HPSP20</v>
      </c>
      <c r="E307" t="str">
        <f t="shared" si="4"/>
        <v>Internal Medicine HPSP20</v>
      </c>
      <c r="F307">
        <f>Graph_IntMed!$A12</f>
        <v>2018</v>
      </c>
      <c r="G307">
        <f>Graph_IntMed!$B12</f>
        <v>6</v>
      </c>
      <c r="H307" s="165">
        <f>Graph_IntMed!$M12</f>
        <v>219350.65217600405</v>
      </c>
      <c r="I307" s="160">
        <f>InputData!$C$3</f>
        <v>0.02</v>
      </c>
      <c r="J307" s="160">
        <f>InputData!$C$4</f>
        <v>0.01</v>
      </c>
      <c r="K307" s="160">
        <f>InputData!$C$5</f>
        <v>0.01</v>
      </c>
      <c r="L307" s="160">
        <f>InputData!$C$6</f>
        <v>6.2100000000000002E-2</v>
      </c>
      <c r="M307" s="160">
        <f>InputData!$C$7</f>
        <v>0.03</v>
      </c>
      <c r="N307" s="160">
        <f>InputData!$C$8</f>
        <v>0.02</v>
      </c>
      <c r="O307" s="160">
        <f>InputData!$C$9</f>
        <v>0.06</v>
      </c>
      <c r="P307" s="160">
        <f>InputData!$C$10</f>
        <v>0.02</v>
      </c>
      <c r="Q307" s="160">
        <f>InputData!$C$11</f>
        <v>0.02</v>
      </c>
      <c r="R307" s="160">
        <f>InputData!$C$12</f>
        <v>0.02</v>
      </c>
      <c r="S307" s="160">
        <f>InputData!$C$13</f>
        <v>0.9</v>
      </c>
      <c r="T307" s="116">
        <f>InputData!$C$88</f>
        <v>180000</v>
      </c>
      <c r="U307" s="116">
        <f>InputData!$C$81</f>
        <v>178500</v>
      </c>
      <c r="V307" s="116">
        <f>InputData!$C$82</f>
        <v>303960</v>
      </c>
      <c r="W307" s="116">
        <f>InputData!$C$84</f>
        <v>215220</v>
      </c>
      <c r="X307" s="116">
        <f>InputData!$C$85</f>
        <v>409020</v>
      </c>
      <c r="Y307" s="116">
        <f>InputData!$C$116</f>
        <v>140000</v>
      </c>
      <c r="Z307" s="160">
        <f>InputData!$E$13</f>
        <v>0</v>
      </c>
    </row>
    <row r="308" spans="1:26" x14ac:dyDescent="0.25">
      <c r="A308">
        <f>InputData!$K$1</f>
        <v>2013</v>
      </c>
      <c r="B308" t="str">
        <f>InputData!$G$1</f>
        <v>San Antonio, TX</v>
      </c>
      <c r="C308" t="s">
        <v>11</v>
      </c>
      <c r="D308" t="str">
        <f>Graph_IntMed!$M$6</f>
        <v>HPSP20</v>
      </c>
      <c r="E308" t="str">
        <f t="shared" si="4"/>
        <v>Internal Medicine HPSP20</v>
      </c>
      <c r="F308">
        <f>Graph_IntMed!$A13</f>
        <v>2019</v>
      </c>
      <c r="G308">
        <f>Graph_IntMed!$B13</f>
        <v>7</v>
      </c>
      <c r="H308" s="165">
        <f>Graph_IntMed!$M13</f>
        <v>270992.25439901254</v>
      </c>
      <c r="I308" s="160">
        <f>InputData!$C$3</f>
        <v>0.02</v>
      </c>
      <c r="J308" s="160">
        <f>InputData!$C$4</f>
        <v>0.01</v>
      </c>
      <c r="K308" s="160">
        <f>InputData!$C$5</f>
        <v>0.01</v>
      </c>
      <c r="L308" s="160">
        <f>InputData!$C$6</f>
        <v>6.2100000000000002E-2</v>
      </c>
      <c r="M308" s="160">
        <f>InputData!$C$7</f>
        <v>0.03</v>
      </c>
      <c r="N308" s="160">
        <f>InputData!$C$8</f>
        <v>0.02</v>
      </c>
      <c r="O308" s="160">
        <f>InputData!$C$9</f>
        <v>0.06</v>
      </c>
      <c r="P308" s="160">
        <f>InputData!$C$10</f>
        <v>0.02</v>
      </c>
      <c r="Q308" s="160">
        <f>InputData!$C$11</f>
        <v>0.02</v>
      </c>
      <c r="R308" s="160">
        <f>InputData!$C$12</f>
        <v>0.02</v>
      </c>
      <c r="S308" s="160">
        <f>InputData!$C$13</f>
        <v>0.9</v>
      </c>
      <c r="T308" s="116">
        <f>InputData!$C$88</f>
        <v>180000</v>
      </c>
      <c r="U308" s="116">
        <f>InputData!$C$81</f>
        <v>178500</v>
      </c>
      <c r="V308" s="116">
        <f>InputData!$C$82</f>
        <v>303960</v>
      </c>
      <c r="W308" s="116">
        <f>InputData!$C$84</f>
        <v>215220</v>
      </c>
      <c r="X308" s="116">
        <f>InputData!$C$85</f>
        <v>409020</v>
      </c>
      <c r="Y308" s="116">
        <f>InputData!$C$116</f>
        <v>140000</v>
      </c>
      <c r="Z308" s="160">
        <f>InputData!$E$13</f>
        <v>0</v>
      </c>
    </row>
    <row r="309" spans="1:26" x14ac:dyDescent="0.25">
      <c r="A309">
        <f>InputData!$K$1</f>
        <v>2013</v>
      </c>
      <c r="B309" t="str">
        <f>InputData!$G$1</f>
        <v>San Antonio, TX</v>
      </c>
      <c r="C309" t="s">
        <v>11</v>
      </c>
      <c r="D309" t="str">
        <f>Graph_IntMed!$M$6</f>
        <v>HPSP20</v>
      </c>
      <c r="E309" t="str">
        <f t="shared" si="4"/>
        <v>Internal Medicine HPSP20</v>
      </c>
      <c r="F309">
        <f>Graph_IntMed!$A14</f>
        <v>2020</v>
      </c>
      <c r="G309">
        <f>Graph_IntMed!$B14</f>
        <v>8</v>
      </c>
      <c r="H309" s="165">
        <f>Graph_IntMed!$M14</f>
        <v>331751.25271802075</v>
      </c>
      <c r="I309" s="160">
        <f>InputData!$C$3</f>
        <v>0.02</v>
      </c>
      <c r="J309" s="160">
        <f>InputData!$C$4</f>
        <v>0.01</v>
      </c>
      <c r="K309" s="160">
        <f>InputData!$C$5</f>
        <v>0.01</v>
      </c>
      <c r="L309" s="160">
        <f>InputData!$C$6</f>
        <v>6.2100000000000002E-2</v>
      </c>
      <c r="M309" s="160">
        <f>InputData!$C$7</f>
        <v>0.03</v>
      </c>
      <c r="N309" s="160">
        <f>InputData!$C$8</f>
        <v>0.02</v>
      </c>
      <c r="O309" s="160">
        <f>InputData!$C$9</f>
        <v>0.06</v>
      </c>
      <c r="P309" s="160">
        <f>InputData!$C$10</f>
        <v>0.02</v>
      </c>
      <c r="Q309" s="160">
        <f>InputData!$C$11</f>
        <v>0.02</v>
      </c>
      <c r="R309" s="160">
        <f>InputData!$C$12</f>
        <v>0.02</v>
      </c>
      <c r="S309" s="160">
        <f>InputData!$C$13</f>
        <v>0.9</v>
      </c>
      <c r="T309" s="116">
        <f>InputData!$C$88</f>
        <v>180000</v>
      </c>
      <c r="U309" s="116">
        <f>InputData!$C$81</f>
        <v>178500</v>
      </c>
      <c r="V309" s="116">
        <f>InputData!$C$82</f>
        <v>303960</v>
      </c>
      <c r="W309" s="116">
        <f>InputData!$C$84</f>
        <v>215220</v>
      </c>
      <c r="X309" s="116">
        <f>InputData!$C$85</f>
        <v>409020</v>
      </c>
      <c r="Y309" s="116">
        <f>InputData!$C$116</f>
        <v>140000</v>
      </c>
      <c r="Z309" s="160">
        <f>InputData!$E$13</f>
        <v>0</v>
      </c>
    </row>
    <row r="310" spans="1:26" x14ac:dyDescent="0.25">
      <c r="A310">
        <f>InputData!$K$1</f>
        <v>2013</v>
      </c>
      <c r="B310" t="str">
        <f>InputData!$G$1</f>
        <v>San Antonio, TX</v>
      </c>
      <c r="C310" t="s">
        <v>11</v>
      </c>
      <c r="D310" t="str">
        <f>Graph_IntMed!$M$6</f>
        <v>HPSP20</v>
      </c>
      <c r="E310" t="str">
        <f t="shared" si="4"/>
        <v>Internal Medicine HPSP20</v>
      </c>
      <c r="F310">
        <f>Graph_IntMed!$A15</f>
        <v>2021</v>
      </c>
      <c r="G310">
        <f>Graph_IntMed!$B15</f>
        <v>9</v>
      </c>
      <c r="H310" s="165">
        <f>Graph_IntMed!$M15</f>
        <v>392710.83821131039</v>
      </c>
      <c r="I310" s="160">
        <f>InputData!$C$3</f>
        <v>0.02</v>
      </c>
      <c r="J310" s="160">
        <f>InputData!$C$4</f>
        <v>0.01</v>
      </c>
      <c r="K310" s="160">
        <f>InputData!$C$5</f>
        <v>0.01</v>
      </c>
      <c r="L310" s="160">
        <f>InputData!$C$6</f>
        <v>6.2100000000000002E-2</v>
      </c>
      <c r="M310" s="160">
        <f>InputData!$C$7</f>
        <v>0.03</v>
      </c>
      <c r="N310" s="160">
        <f>InputData!$C$8</f>
        <v>0.02</v>
      </c>
      <c r="O310" s="160">
        <f>InputData!$C$9</f>
        <v>0.06</v>
      </c>
      <c r="P310" s="160">
        <f>InputData!$C$10</f>
        <v>0.02</v>
      </c>
      <c r="Q310" s="160">
        <f>InputData!$C$11</f>
        <v>0.02</v>
      </c>
      <c r="R310" s="160">
        <f>InputData!$C$12</f>
        <v>0.02</v>
      </c>
      <c r="S310" s="160">
        <f>InputData!$C$13</f>
        <v>0.9</v>
      </c>
      <c r="T310" s="116">
        <f>InputData!$C$88</f>
        <v>180000</v>
      </c>
      <c r="U310" s="116">
        <f>InputData!$C$81</f>
        <v>178500</v>
      </c>
      <c r="V310" s="116">
        <f>InputData!$C$82</f>
        <v>303960</v>
      </c>
      <c r="W310" s="116">
        <f>InputData!$C$84</f>
        <v>215220</v>
      </c>
      <c r="X310" s="116">
        <f>InputData!$C$85</f>
        <v>409020</v>
      </c>
      <c r="Y310" s="116">
        <f>InputData!$C$116</f>
        <v>140000</v>
      </c>
      <c r="Z310" s="160">
        <f>InputData!$E$13</f>
        <v>0</v>
      </c>
    </row>
    <row r="311" spans="1:26" x14ac:dyDescent="0.25">
      <c r="A311">
        <f>InputData!$K$1</f>
        <v>2013</v>
      </c>
      <c r="B311" t="str">
        <f>InputData!$G$1</f>
        <v>San Antonio, TX</v>
      </c>
      <c r="C311" t="s">
        <v>11</v>
      </c>
      <c r="D311" t="str">
        <f>Graph_IntMed!$M$6</f>
        <v>HPSP20</v>
      </c>
      <c r="E311" t="str">
        <f t="shared" si="4"/>
        <v>Internal Medicine HPSP20</v>
      </c>
      <c r="F311">
        <f>Graph_IntMed!$A16</f>
        <v>2022</v>
      </c>
      <c r="G311">
        <f>Graph_IntMed!$B16</f>
        <v>10</v>
      </c>
      <c r="H311" s="165">
        <f>Graph_IntMed!$M16</f>
        <v>451364.04152611369</v>
      </c>
      <c r="I311" s="160">
        <f>InputData!$C$3</f>
        <v>0.02</v>
      </c>
      <c r="J311" s="160">
        <f>InputData!$C$4</f>
        <v>0.01</v>
      </c>
      <c r="K311" s="160">
        <f>InputData!$C$5</f>
        <v>0.01</v>
      </c>
      <c r="L311" s="160">
        <f>InputData!$C$6</f>
        <v>6.2100000000000002E-2</v>
      </c>
      <c r="M311" s="160">
        <f>InputData!$C$7</f>
        <v>0.03</v>
      </c>
      <c r="N311" s="160">
        <f>InputData!$C$8</f>
        <v>0.02</v>
      </c>
      <c r="O311" s="160">
        <f>InputData!$C$9</f>
        <v>0.06</v>
      </c>
      <c r="P311" s="160">
        <f>InputData!$C$10</f>
        <v>0.02</v>
      </c>
      <c r="Q311" s="160">
        <f>InputData!$C$11</f>
        <v>0.02</v>
      </c>
      <c r="R311" s="160">
        <f>InputData!$C$12</f>
        <v>0.02</v>
      </c>
      <c r="S311" s="160">
        <f>InputData!$C$13</f>
        <v>0.9</v>
      </c>
      <c r="T311" s="116">
        <f>InputData!$C$88</f>
        <v>180000</v>
      </c>
      <c r="U311" s="116">
        <f>InputData!$C$81</f>
        <v>178500</v>
      </c>
      <c r="V311" s="116">
        <f>InputData!$C$82</f>
        <v>303960</v>
      </c>
      <c r="W311" s="116">
        <f>InputData!$C$84</f>
        <v>215220</v>
      </c>
      <c r="X311" s="116">
        <f>InputData!$C$85</f>
        <v>409020</v>
      </c>
      <c r="Y311" s="116">
        <f>InputData!$C$116</f>
        <v>140000</v>
      </c>
      <c r="Z311" s="160">
        <f>InputData!$E$13</f>
        <v>0</v>
      </c>
    </row>
    <row r="312" spans="1:26" x14ac:dyDescent="0.25">
      <c r="A312">
        <f>InputData!$K$1</f>
        <v>2013</v>
      </c>
      <c r="B312" t="str">
        <f>InputData!$G$1</f>
        <v>San Antonio, TX</v>
      </c>
      <c r="C312" t="s">
        <v>11</v>
      </c>
      <c r="D312" t="str">
        <f>Graph_IntMed!$M$6</f>
        <v>HPSP20</v>
      </c>
      <c r="E312" t="str">
        <f t="shared" si="4"/>
        <v>Internal Medicine HPSP20</v>
      </c>
      <c r="F312">
        <f>Graph_IntMed!$A17</f>
        <v>2023</v>
      </c>
      <c r="G312">
        <f>Graph_IntMed!$B17</f>
        <v>11</v>
      </c>
      <c r="H312" s="165">
        <f>Graph_IntMed!$M17</f>
        <v>515049.83755320142</v>
      </c>
      <c r="I312" s="160">
        <f>InputData!$C$3</f>
        <v>0.02</v>
      </c>
      <c r="J312" s="160">
        <f>InputData!$C$4</f>
        <v>0.01</v>
      </c>
      <c r="K312" s="160">
        <f>InputData!$C$5</f>
        <v>0.01</v>
      </c>
      <c r="L312" s="160">
        <f>InputData!$C$6</f>
        <v>6.2100000000000002E-2</v>
      </c>
      <c r="M312" s="160">
        <f>InputData!$C$7</f>
        <v>0.03</v>
      </c>
      <c r="N312" s="160">
        <f>InputData!$C$8</f>
        <v>0.02</v>
      </c>
      <c r="O312" s="160">
        <f>InputData!$C$9</f>
        <v>0.06</v>
      </c>
      <c r="P312" s="160">
        <f>InputData!$C$10</f>
        <v>0.02</v>
      </c>
      <c r="Q312" s="160">
        <f>InputData!$C$11</f>
        <v>0.02</v>
      </c>
      <c r="R312" s="160">
        <f>InputData!$C$12</f>
        <v>0.02</v>
      </c>
      <c r="S312" s="160">
        <f>InputData!$C$13</f>
        <v>0.9</v>
      </c>
      <c r="T312" s="116">
        <f>InputData!$C$88</f>
        <v>180000</v>
      </c>
      <c r="U312" s="116">
        <f>InputData!$C$81</f>
        <v>178500</v>
      </c>
      <c r="V312" s="116">
        <f>InputData!$C$82</f>
        <v>303960</v>
      </c>
      <c r="W312" s="116">
        <f>InputData!$C$84</f>
        <v>215220</v>
      </c>
      <c r="X312" s="116">
        <f>InputData!$C$85</f>
        <v>409020</v>
      </c>
      <c r="Y312" s="116">
        <f>InputData!$C$116</f>
        <v>140000</v>
      </c>
      <c r="Z312" s="160">
        <f>InputData!$E$13</f>
        <v>0</v>
      </c>
    </row>
    <row r="313" spans="1:26" x14ac:dyDescent="0.25">
      <c r="A313">
        <f>InputData!$K$1</f>
        <v>2013</v>
      </c>
      <c r="B313" t="str">
        <f>InputData!$G$1</f>
        <v>San Antonio, TX</v>
      </c>
      <c r="C313" t="s">
        <v>11</v>
      </c>
      <c r="D313" t="str">
        <f>Graph_IntMed!$M$6</f>
        <v>HPSP20</v>
      </c>
      <c r="E313" t="str">
        <f t="shared" si="4"/>
        <v>Internal Medicine HPSP20</v>
      </c>
      <c r="F313">
        <f>Graph_IntMed!$A18</f>
        <v>2024</v>
      </c>
      <c r="G313">
        <f>Graph_IntMed!$B18</f>
        <v>12</v>
      </c>
      <c r="H313" s="165">
        <f>Graph_IntMed!$M18</f>
        <v>600551.07119948231</v>
      </c>
      <c r="I313" s="160">
        <f>InputData!$C$3</f>
        <v>0.02</v>
      </c>
      <c r="J313" s="160">
        <f>InputData!$C$4</f>
        <v>0.01</v>
      </c>
      <c r="K313" s="160">
        <f>InputData!$C$5</f>
        <v>0.01</v>
      </c>
      <c r="L313" s="160">
        <f>InputData!$C$6</f>
        <v>6.2100000000000002E-2</v>
      </c>
      <c r="M313" s="160">
        <f>InputData!$C$7</f>
        <v>0.03</v>
      </c>
      <c r="N313" s="160">
        <f>InputData!$C$8</f>
        <v>0.02</v>
      </c>
      <c r="O313" s="160">
        <f>InputData!$C$9</f>
        <v>0.06</v>
      </c>
      <c r="P313" s="160">
        <f>InputData!$C$10</f>
        <v>0.02</v>
      </c>
      <c r="Q313" s="160">
        <f>InputData!$C$11</f>
        <v>0.02</v>
      </c>
      <c r="R313" s="160">
        <f>InputData!$C$12</f>
        <v>0.02</v>
      </c>
      <c r="S313" s="160">
        <f>InputData!$C$13</f>
        <v>0.9</v>
      </c>
      <c r="T313" s="116">
        <f>InputData!$C$88</f>
        <v>180000</v>
      </c>
      <c r="U313" s="116">
        <f>InputData!$C$81</f>
        <v>178500</v>
      </c>
      <c r="V313" s="116">
        <f>InputData!$C$82</f>
        <v>303960</v>
      </c>
      <c r="W313" s="116">
        <f>InputData!$C$84</f>
        <v>215220</v>
      </c>
      <c r="X313" s="116">
        <f>InputData!$C$85</f>
        <v>409020</v>
      </c>
      <c r="Y313" s="116">
        <f>InputData!$C$116</f>
        <v>140000</v>
      </c>
      <c r="Z313" s="160">
        <f>InputData!$E$13</f>
        <v>0</v>
      </c>
    </row>
    <row r="314" spans="1:26" x14ac:dyDescent="0.25">
      <c r="A314">
        <f>InputData!$K$1</f>
        <v>2013</v>
      </c>
      <c r="B314" t="str">
        <f>InputData!$G$1</f>
        <v>San Antonio, TX</v>
      </c>
      <c r="C314" t="s">
        <v>11</v>
      </c>
      <c r="D314" t="str">
        <f>Graph_IntMed!$M$6</f>
        <v>HPSP20</v>
      </c>
      <c r="E314" t="str">
        <f t="shared" si="4"/>
        <v>Internal Medicine HPSP20</v>
      </c>
      <c r="F314">
        <f>Graph_IntMed!$A19</f>
        <v>2025</v>
      </c>
      <c r="G314">
        <f>Graph_IntMed!$B19</f>
        <v>13</v>
      </c>
      <c r="H314" s="165">
        <f>Graph_IntMed!$M19</f>
        <v>684313.1123290431</v>
      </c>
      <c r="I314" s="160">
        <f>InputData!$C$3</f>
        <v>0.02</v>
      </c>
      <c r="J314" s="160">
        <f>InputData!$C$4</f>
        <v>0.01</v>
      </c>
      <c r="K314" s="160">
        <f>InputData!$C$5</f>
        <v>0.01</v>
      </c>
      <c r="L314" s="160">
        <f>InputData!$C$6</f>
        <v>6.2100000000000002E-2</v>
      </c>
      <c r="M314" s="160">
        <f>InputData!$C$7</f>
        <v>0.03</v>
      </c>
      <c r="N314" s="160">
        <f>InputData!$C$8</f>
        <v>0.02</v>
      </c>
      <c r="O314" s="160">
        <f>InputData!$C$9</f>
        <v>0.06</v>
      </c>
      <c r="P314" s="160">
        <f>InputData!$C$10</f>
        <v>0.02</v>
      </c>
      <c r="Q314" s="160">
        <f>InputData!$C$11</f>
        <v>0.02</v>
      </c>
      <c r="R314" s="160">
        <f>InputData!$C$12</f>
        <v>0.02</v>
      </c>
      <c r="S314" s="160">
        <f>InputData!$C$13</f>
        <v>0.9</v>
      </c>
      <c r="T314" s="116">
        <f>InputData!$C$88</f>
        <v>180000</v>
      </c>
      <c r="U314" s="116">
        <f>InputData!$C$81</f>
        <v>178500</v>
      </c>
      <c r="V314" s="116">
        <f>InputData!$C$82</f>
        <v>303960</v>
      </c>
      <c r="W314" s="116">
        <f>InputData!$C$84</f>
        <v>215220</v>
      </c>
      <c r="X314" s="116">
        <f>InputData!$C$85</f>
        <v>409020</v>
      </c>
      <c r="Y314" s="116">
        <f>InputData!$C$116</f>
        <v>140000</v>
      </c>
      <c r="Z314" s="160">
        <f>InputData!$E$13</f>
        <v>0</v>
      </c>
    </row>
    <row r="315" spans="1:26" x14ac:dyDescent="0.25">
      <c r="A315">
        <f>InputData!$K$1</f>
        <v>2013</v>
      </c>
      <c r="B315" t="str">
        <f>InputData!$G$1</f>
        <v>San Antonio, TX</v>
      </c>
      <c r="C315" t="s">
        <v>11</v>
      </c>
      <c r="D315" t="str">
        <f>Graph_IntMed!$M$6</f>
        <v>HPSP20</v>
      </c>
      <c r="E315" t="str">
        <f t="shared" si="4"/>
        <v>Internal Medicine HPSP20</v>
      </c>
      <c r="F315">
        <f>Graph_IntMed!$A20</f>
        <v>2026</v>
      </c>
      <c r="G315">
        <f>Graph_IntMed!$B20</f>
        <v>14</v>
      </c>
      <c r="H315" s="165">
        <f>Graph_IntMed!$M20</f>
        <v>764854.60947290598</v>
      </c>
      <c r="I315" s="160">
        <f>InputData!$C$3</f>
        <v>0.02</v>
      </c>
      <c r="J315" s="160">
        <f>InputData!$C$4</f>
        <v>0.01</v>
      </c>
      <c r="K315" s="160">
        <f>InputData!$C$5</f>
        <v>0.01</v>
      </c>
      <c r="L315" s="160">
        <f>InputData!$C$6</f>
        <v>6.2100000000000002E-2</v>
      </c>
      <c r="M315" s="160">
        <f>InputData!$C$7</f>
        <v>0.03</v>
      </c>
      <c r="N315" s="160">
        <f>InputData!$C$8</f>
        <v>0.02</v>
      </c>
      <c r="O315" s="160">
        <f>InputData!$C$9</f>
        <v>0.06</v>
      </c>
      <c r="P315" s="160">
        <f>InputData!$C$10</f>
        <v>0.02</v>
      </c>
      <c r="Q315" s="160">
        <f>InputData!$C$11</f>
        <v>0.02</v>
      </c>
      <c r="R315" s="160">
        <f>InputData!$C$12</f>
        <v>0.02</v>
      </c>
      <c r="S315" s="160">
        <f>InputData!$C$13</f>
        <v>0.9</v>
      </c>
      <c r="T315" s="116">
        <f>InputData!$C$88</f>
        <v>180000</v>
      </c>
      <c r="U315" s="116">
        <f>InputData!$C$81</f>
        <v>178500</v>
      </c>
      <c r="V315" s="116">
        <f>InputData!$C$82</f>
        <v>303960</v>
      </c>
      <c r="W315" s="116">
        <f>InputData!$C$84</f>
        <v>215220</v>
      </c>
      <c r="X315" s="116">
        <f>InputData!$C$85</f>
        <v>409020</v>
      </c>
      <c r="Y315" s="116">
        <f>InputData!$C$116</f>
        <v>140000</v>
      </c>
      <c r="Z315" s="160">
        <f>InputData!$E$13</f>
        <v>0</v>
      </c>
    </row>
    <row r="316" spans="1:26" x14ac:dyDescent="0.25">
      <c r="A316">
        <f>InputData!$K$1</f>
        <v>2013</v>
      </c>
      <c r="B316" t="str">
        <f>InputData!$G$1</f>
        <v>San Antonio, TX</v>
      </c>
      <c r="C316" t="s">
        <v>11</v>
      </c>
      <c r="D316" t="str">
        <f>Graph_IntMed!$M$6</f>
        <v>HPSP20</v>
      </c>
      <c r="E316" t="str">
        <f t="shared" si="4"/>
        <v>Internal Medicine HPSP20</v>
      </c>
      <c r="F316">
        <f>Graph_IntMed!$A21</f>
        <v>2027</v>
      </c>
      <c r="G316">
        <f>Graph_IntMed!$B21</f>
        <v>15</v>
      </c>
      <c r="H316" s="165">
        <f>Graph_IntMed!$M21</f>
        <v>844540.30564271368</v>
      </c>
      <c r="I316" s="160">
        <f>InputData!$C$3</f>
        <v>0.02</v>
      </c>
      <c r="J316" s="160">
        <f>InputData!$C$4</f>
        <v>0.01</v>
      </c>
      <c r="K316" s="160">
        <f>InputData!$C$5</f>
        <v>0.01</v>
      </c>
      <c r="L316" s="160">
        <f>InputData!$C$6</f>
        <v>6.2100000000000002E-2</v>
      </c>
      <c r="M316" s="160">
        <f>InputData!$C$7</f>
        <v>0.03</v>
      </c>
      <c r="N316" s="160">
        <f>InputData!$C$8</f>
        <v>0.02</v>
      </c>
      <c r="O316" s="160">
        <f>InputData!$C$9</f>
        <v>0.06</v>
      </c>
      <c r="P316" s="160">
        <f>InputData!$C$10</f>
        <v>0.02</v>
      </c>
      <c r="Q316" s="160">
        <f>InputData!$C$11</f>
        <v>0.02</v>
      </c>
      <c r="R316" s="160">
        <f>InputData!$C$12</f>
        <v>0.02</v>
      </c>
      <c r="S316" s="160">
        <f>InputData!$C$13</f>
        <v>0.9</v>
      </c>
      <c r="T316" s="116">
        <f>InputData!$C$88</f>
        <v>180000</v>
      </c>
      <c r="U316" s="116">
        <f>InputData!$C$81</f>
        <v>178500</v>
      </c>
      <c r="V316" s="116">
        <f>InputData!$C$82</f>
        <v>303960</v>
      </c>
      <c r="W316" s="116">
        <f>InputData!$C$84</f>
        <v>215220</v>
      </c>
      <c r="X316" s="116">
        <f>InputData!$C$85</f>
        <v>409020</v>
      </c>
      <c r="Y316" s="116">
        <f>InputData!$C$116</f>
        <v>140000</v>
      </c>
      <c r="Z316" s="160">
        <f>InputData!$E$13</f>
        <v>0</v>
      </c>
    </row>
    <row r="317" spans="1:26" x14ac:dyDescent="0.25">
      <c r="A317">
        <f>InputData!$K$1</f>
        <v>2013</v>
      </c>
      <c r="B317" t="str">
        <f>InputData!$G$1</f>
        <v>San Antonio, TX</v>
      </c>
      <c r="C317" t="s">
        <v>11</v>
      </c>
      <c r="D317" t="str">
        <f>Graph_IntMed!$M$6</f>
        <v>HPSP20</v>
      </c>
      <c r="E317" t="str">
        <f t="shared" si="4"/>
        <v>Internal Medicine HPSP20</v>
      </c>
      <c r="F317">
        <f>Graph_IntMed!$A22</f>
        <v>2028</v>
      </c>
      <c r="G317">
        <f>Graph_IntMed!$B22</f>
        <v>16</v>
      </c>
      <c r="H317" s="165">
        <f>Graph_IntMed!$M22</f>
        <v>921162.04475360946</v>
      </c>
      <c r="I317" s="160">
        <f>InputData!$C$3</f>
        <v>0.02</v>
      </c>
      <c r="J317" s="160">
        <f>InputData!$C$4</f>
        <v>0.01</v>
      </c>
      <c r="K317" s="160">
        <f>InputData!$C$5</f>
        <v>0.01</v>
      </c>
      <c r="L317" s="160">
        <f>InputData!$C$6</f>
        <v>6.2100000000000002E-2</v>
      </c>
      <c r="M317" s="160">
        <f>InputData!$C$7</f>
        <v>0.03</v>
      </c>
      <c r="N317" s="160">
        <f>InputData!$C$8</f>
        <v>0.02</v>
      </c>
      <c r="O317" s="160">
        <f>InputData!$C$9</f>
        <v>0.06</v>
      </c>
      <c r="P317" s="160">
        <f>InputData!$C$10</f>
        <v>0.02</v>
      </c>
      <c r="Q317" s="160">
        <f>InputData!$C$11</f>
        <v>0.02</v>
      </c>
      <c r="R317" s="160">
        <f>InputData!$C$12</f>
        <v>0.02</v>
      </c>
      <c r="S317" s="160">
        <f>InputData!$C$13</f>
        <v>0.9</v>
      </c>
      <c r="T317" s="116">
        <f>InputData!$C$88</f>
        <v>180000</v>
      </c>
      <c r="U317" s="116">
        <f>InputData!$C$81</f>
        <v>178500</v>
      </c>
      <c r="V317" s="116">
        <f>InputData!$C$82</f>
        <v>303960</v>
      </c>
      <c r="W317" s="116">
        <f>InputData!$C$84</f>
        <v>215220</v>
      </c>
      <c r="X317" s="116">
        <f>InputData!$C$85</f>
        <v>409020</v>
      </c>
      <c r="Y317" s="116">
        <f>InputData!$C$116</f>
        <v>140000</v>
      </c>
      <c r="Z317" s="160">
        <f>InputData!$E$13</f>
        <v>0</v>
      </c>
    </row>
    <row r="318" spans="1:26" x14ac:dyDescent="0.25">
      <c r="A318">
        <f>InputData!$K$1</f>
        <v>2013</v>
      </c>
      <c r="B318" t="str">
        <f>InputData!$G$1</f>
        <v>San Antonio, TX</v>
      </c>
      <c r="C318" t="s">
        <v>11</v>
      </c>
      <c r="D318" t="str">
        <f>Graph_IntMed!$M$6</f>
        <v>HPSP20</v>
      </c>
      <c r="E318" t="str">
        <f t="shared" si="4"/>
        <v>Internal Medicine HPSP20</v>
      </c>
      <c r="F318">
        <f>Graph_IntMed!$A23</f>
        <v>2029</v>
      </c>
      <c r="G318">
        <f>Graph_IntMed!$B23</f>
        <v>17</v>
      </c>
      <c r="H318" s="165">
        <f>Graph_IntMed!$M23</f>
        <v>997503.55330558703</v>
      </c>
      <c r="I318" s="160">
        <f>InputData!$C$3</f>
        <v>0.02</v>
      </c>
      <c r="J318" s="160">
        <f>InputData!$C$4</f>
        <v>0.01</v>
      </c>
      <c r="K318" s="160">
        <f>InputData!$C$5</f>
        <v>0.01</v>
      </c>
      <c r="L318" s="160">
        <f>InputData!$C$6</f>
        <v>6.2100000000000002E-2</v>
      </c>
      <c r="M318" s="160">
        <f>InputData!$C$7</f>
        <v>0.03</v>
      </c>
      <c r="N318" s="160">
        <f>InputData!$C$8</f>
        <v>0.02</v>
      </c>
      <c r="O318" s="160">
        <f>InputData!$C$9</f>
        <v>0.06</v>
      </c>
      <c r="P318" s="160">
        <f>InputData!$C$10</f>
        <v>0.02</v>
      </c>
      <c r="Q318" s="160">
        <f>InputData!$C$11</f>
        <v>0.02</v>
      </c>
      <c r="R318" s="160">
        <f>InputData!$C$12</f>
        <v>0.02</v>
      </c>
      <c r="S318" s="160">
        <f>InputData!$C$13</f>
        <v>0.9</v>
      </c>
      <c r="T318" s="116">
        <f>InputData!$C$88</f>
        <v>180000</v>
      </c>
      <c r="U318" s="116">
        <f>InputData!$C$81</f>
        <v>178500</v>
      </c>
      <c r="V318" s="116">
        <f>InputData!$C$82</f>
        <v>303960</v>
      </c>
      <c r="W318" s="116">
        <f>InputData!$C$84</f>
        <v>215220</v>
      </c>
      <c r="X318" s="116">
        <f>InputData!$C$85</f>
        <v>409020</v>
      </c>
      <c r="Y318" s="116">
        <f>InputData!$C$116</f>
        <v>140000</v>
      </c>
      <c r="Z318" s="160">
        <f>InputData!$E$13</f>
        <v>0</v>
      </c>
    </row>
    <row r="319" spans="1:26" x14ac:dyDescent="0.25">
      <c r="A319">
        <f>InputData!$K$1</f>
        <v>2013</v>
      </c>
      <c r="B319" t="str">
        <f>InputData!$G$1</f>
        <v>San Antonio, TX</v>
      </c>
      <c r="C319" t="s">
        <v>11</v>
      </c>
      <c r="D319" t="str">
        <f>Graph_IntMed!$M$6</f>
        <v>HPSP20</v>
      </c>
      <c r="E319" t="str">
        <f t="shared" si="4"/>
        <v>Internal Medicine HPSP20</v>
      </c>
      <c r="F319">
        <f>Graph_IntMed!$A24</f>
        <v>2030</v>
      </c>
      <c r="G319">
        <f>Graph_IntMed!$B24</f>
        <v>18</v>
      </c>
      <c r="H319" s="165">
        <f>Graph_IntMed!$M24</f>
        <v>1070909.4518685779</v>
      </c>
      <c r="I319" s="160">
        <f>InputData!$C$3</f>
        <v>0.02</v>
      </c>
      <c r="J319" s="160">
        <f>InputData!$C$4</f>
        <v>0.01</v>
      </c>
      <c r="K319" s="160">
        <f>InputData!$C$5</f>
        <v>0.01</v>
      </c>
      <c r="L319" s="160">
        <f>InputData!$C$6</f>
        <v>6.2100000000000002E-2</v>
      </c>
      <c r="M319" s="160">
        <f>InputData!$C$7</f>
        <v>0.03</v>
      </c>
      <c r="N319" s="160">
        <f>InputData!$C$8</f>
        <v>0.02</v>
      </c>
      <c r="O319" s="160">
        <f>InputData!$C$9</f>
        <v>0.06</v>
      </c>
      <c r="P319" s="160">
        <f>InputData!$C$10</f>
        <v>0.02</v>
      </c>
      <c r="Q319" s="160">
        <f>InputData!$C$11</f>
        <v>0.02</v>
      </c>
      <c r="R319" s="160">
        <f>InputData!$C$12</f>
        <v>0.02</v>
      </c>
      <c r="S319" s="160">
        <f>InputData!$C$13</f>
        <v>0.9</v>
      </c>
      <c r="T319" s="116">
        <f>InputData!$C$88</f>
        <v>180000</v>
      </c>
      <c r="U319" s="116">
        <f>InputData!$C$81</f>
        <v>178500</v>
      </c>
      <c r="V319" s="116">
        <f>InputData!$C$82</f>
        <v>303960</v>
      </c>
      <c r="W319" s="116">
        <f>InputData!$C$84</f>
        <v>215220</v>
      </c>
      <c r="X319" s="116">
        <f>InputData!$C$85</f>
        <v>409020</v>
      </c>
      <c r="Y319" s="116">
        <f>InputData!$C$116</f>
        <v>140000</v>
      </c>
      <c r="Z319" s="160">
        <f>InputData!$E$13</f>
        <v>0</v>
      </c>
    </row>
    <row r="320" spans="1:26" x14ac:dyDescent="0.25">
      <c r="A320">
        <f>InputData!$K$1</f>
        <v>2013</v>
      </c>
      <c r="B320" t="str">
        <f>InputData!$G$1</f>
        <v>San Antonio, TX</v>
      </c>
      <c r="C320" t="s">
        <v>11</v>
      </c>
      <c r="D320" t="str">
        <f>Graph_IntMed!$M$6</f>
        <v>HPSP20</v>
      </c>
      <c r="E320" t="str">
        <f t="shared" si="4"/>
        <v>Internal Medicine HPSP20</v>
      </c>
      <c r="F320">
        <f>Graph_IntMed!$A25</f>
        <v>2031</v>
      </c>
      <c r="G320">
        <f>Graph_IntMed!$B25</f>
        <v>19</v>
      </c>
      <c r="H320" s="165">
        <f>Graph_IntMed!$M25</f>
        <v>1142770.9258096323</v>
      </c>
      <c r="I320" s="160">
        <f>InputData!$C$3</f>
        <v>0.02</v>
      </c>
      <c r="J320" s="160">
        <f>InputData!$C$4</f>
        <v>0.01</v>
      </c>
      <c r="K320" s="160">
        <f>InputData!$C$5</f>
        <v>0.01</v>
      </c>
      <c r="L320" s="160">
        <f>InputData!$C$6</f>
        <v>6.2100000000000002E-2</v>
      </c>
      <c r="M320" s="160">
        <f>InputData!$C$7</f>
        <v>0.03</v>
      </c>
      <c r="N320" s="160">
        <f>InputData!$C$8</f>
        <v>0.02</v>
      </c>
      <c r="O320" s="160">
        <f>InputData!$C$9</f>
        <v>0.06</v>
      </c>
      <c r="P320" s="160">
        <f>InputData!$C$10</f>
        <v>0.02</v>
      </c>
      <c r="Q320" s="160">
        <f>InputData!$C$11</f>
        <v>0.02</v>
      </c>
      <c r="R320" s="160">
        <f>InputData!$C$12</f>
        <v>0.02</v>
      </c>
      <c r="S320" s="160">
        <f>InputData!$C$13</f>
        <v>0.9</v>
      </c>
      <c r="T320" s="116">
        <f>InputData!$C$88</f>
        <v>180000</v>
      </c>
      <c r="U320" s="116">
        <f>InputData!$C$81</f>
        <v>178500</v>
      </c>
      <c r="V320" s="116">
        <f>InputData!$C$82</f>
        <v>303960</v>
      </c>
      <c r="W320" s="116">
        <f>InputData!$C$84</f>
        <v>215220</v>
      </c>
      <c r="X320" s="116">
        <f>InputData!$C$85</f>
        <v>409020</v>
      </c>
      <c r="Y320" s="116">
        <f>InputData!$C$116</f>
        <v>140000</v>
      </c>
      <c r="Z320" s="160">
        <f>InputData!$E$13</f>
        <v>0</v>
      </c>
    </row>
    <row r="321" spans="1:26" x14ac:dyDescent="0.25">
      <c r="A321">
        <f>InputData!$K$1</f>
        <v>2013</v>
      </c>
      <c r="B321" t="str">
        <f>InputData!$G$1</f>
        <v>San Antonio, TX</v>
      </c>
      <c r="C321" t="s">
        <v>11</v>
      </c>
      <c r="D321" t="str">
        <f>Graph_IntMed!$M$6</f>
        <v>HPSP20</v>
      </c>
      <c r="E321" t="str">
        <f t="shared" si="4"/>
        <v>Internal Medicine HPSP20</v>
      </c>
      <c r="F321">
        <f>Graph_IntMed!$A26</f>
        <v>2032</v>
      </c>
      <c r="G321">
        <f>Graph_IntMed!$B26</f>
        <v>20</v>
      </c>
      <c r="H321" s="165">
        <f>Graph_IntMed!$M26</f>
        <v>1211869.0821220777</v>
      </c>
      <c r="I321" s="160">
        <f>InputData!$C$3</f>
        <v>0.02</v>
      </c>
      <c r="J321" s="160">
        <f>InputData!$C$4</f>
        <v>0.01</v>
      </c>
      <c r="K321" s="160">
        <f>InputData!$C$5</f>
        <v>0.01</v>
      </c>
      <c r="L321" s="160">
        <f>InputData!$C$6</f>
        <v>6.2100000000000002E-2</v>
      </c>
      <c r="M321" s="160">
        <f>InputData!$C$7</f>
        <v>0.03</v>
      </c>
      <c r="N321" s="160">
        <f>InputData!$C$8</f>
        <v>0.02</v>
      </c>
      <c r="O321" s="160">
        <f>InputData!$C$9</f>
        <v>0.06</v>
      </c>
      <c r="P321" s="160">
        <f>InputData!$C$10</f>
        <v>0.02</v>
      </c>
      <c r="Q321" s="160">
        <f>InputData!$C$11</f>
        <v>0.02</v>
      </c>
      <c r="R321" s="160">
        <f>InputData!$C$12</f>
        <v>0.02</v>
      </c>
      <c r="S321" s="160">
        <f>InputData!$C$13</f>
        <v>0.9</v>
      </c>
      <c r="T321" s="116">
        <f>InputData!$C$88</f>
        <v>180000</v>
      </c>
      <c r="U321" s="116">
        <f>InputData!$C$81</f>
        <v>178500</v>
      </c>
      <c r="V321" s="116">
        <f>InputData!$C$82</f>
        <v>303960</v>
      </c>
      <c r="W321" s="116">
        <f>InputData!$C$84</f>
        <v>215220</v>
      </c>
      <c r="X321" s="116">
        <f>InputData!$C$85</f>
        <v>409020</v>
      </c>
      <c r="Y321" s="116">
        <f>InputData!$C$116</f>
        <v>140000</v>
      </c>
      <c r="Z321" s="160">
        <f>InputData!$E$13</f>
        <v>0</v>
      </c>
    </row>
    <row r="322" spans="1:26" x14ac:dyDescent="0.25">
      <c r="A322">
        <f>InputData!$K$1</f>
        <v>2013</v>
      </c>
      <c r="B322" t="str">
        <f>InputData!$G$1</f>
        <v>San Antonio, TX</v>
      </c>
      <c r="C322" t="s">
        <v>11</v>
      </c>
      <c r="D322" t="str">
        <f>Graph_IntMed!$M$6</f>
        <v>HPSP20</v>
      </c>
      <c r="E322" t="str">
        <f t="shared" si="4"/>
        <v>Internal Medicine HPSP20</v>
      </c>
      <c r="F322">
        <f>Graph_IntMed!$A27</f>
        <v>2033</v>
      </c>
      <c r="G322">
        <f>Graph_IntMed!$B27</f>
        <v>21</v>
      </c>
      <c r="H322" s="165">
        <f>Graph_IntMed!$M27</f>
        <v>1280118.6093152552</v>
      </c>
      <c r="I322" s="160">
        <f>InputData!$C$3</f>
        <v>0.02</v>
      </c>
      <c r="J322" s="160">
        <f>InputData!$C$4</f>
        <v>0.01</v>
      </c>
      <c r="K322" s="160">
        <f>InputData!$C$5</f>
        <v>0.01</v>
      </c>
      <c r="L322" s="160">
        <f>InputData!$C$6</f>
        <v>6.2100000000000002E-2</v>
      </c>
      <c r="M322" s="160">
        <f>InputData!$C$7</f>
        <v>0.03</v>
      </c>
      <c r="N322" s="160">
        <f>InputData!$C$8</f>
        <v>0.02</v>
      </c>
      <c r="O322" s="160">
        <f>InputData!$C$9</f>
        <v>0.06</v>
      </c>
      <c r="P322" s="160">
        <f>InputData!$C$10</f>
        <v>0.02</v>
      </c>
      <c r="Q322" s="160">
        <f>InputData!$C$11</f>
        <v>0.02</v>
      </c>
      <c r="R322" s="160">
        <f>InputData!$C$12</f>
        <v>0.02</v>
      </c>
      <c r="S322" s="160">
        <f>InputData!$C$13</f>
        <v>0.9</v>
      </c>
      <c r="T322" s="116">
        <f>InputData!$C$88</f>
        <v>180000</v>
      </c>
      <c r="U322" s="116">
        <f>InputData!$C$81</f>
        <v>178500</v>
      </c>
      <c r="V322" s="116">
        <f>InputData!$C$82</f>
        <v>303960</v>
      </c>
      <c r="W322" s="116">
        <f>InputData!$C$84</f>
        <v>215220</v>
      </c>
      <c r="X322" s="116">
        <f>InputData!$C$85</f>
        <v>409020</v>
      </c>
      <c r="Y322" s="116">
        <f>InputData!$C$116</f>
        <v>140000</v>
      </c>
      <c r="Z322" s="160">
        <f>InputData!$E$13</f>
        <v>0</v>
      </c>
    </row>
    <row r="323" spans="1:26" x14ac:dyDescent="0.25">
      <c r="A323">
        <f>InputData!$K$1</f>
        <v>2013</v>
      </c>
      <c r="B323" t="str">
        <f>InputData!$G$1</f>
        <v>San Antonio, TX</v>
      </c>
      <c r="C323" t="s">
        <v>11</v>
      </c>
      <c r="D323" t="str">
        <f>Graph_IntMed!$M$6</f>
        <v>HPSP20</v>
      </c>
      <c r="E323" t="str">
        <f t="shared" ref="E323:E386" si="5">C323 &amp; " " &amp; D323</f>
        <v>Internal Medicine HPSP20</v>
      </c>
      <c r="F323">
        <f>Graph_IntMed!$A28</f>
        <v>2034</v>
      </c>
      <c r="G323">
        <f>Graph_IntMed!$B28</f>
        <v>22</v>
      </c>
      <c r="H323" s="165">
        <f>Graph_IntMed!$M28</f>
        <v>1345743.6123766056</v>
      </c>
      <c r="I323" s="160">
        <f>InputData!$C$3</f>
        <v>0.02</v>
      </c>
      <c r="J323" s="160">
        <f>InputData!$C$4</f>
        <v>0.01</v>
      </c>
      <c r="K323" s="160">
        <f>InputData!$C$5</f>
        <v>0.01</v>
      </c>
      <c r="L323" s="160">
        <f>InputData!$C$6</f>
        <v>6.2100000000000002E-2</v>
      </c>
      <c r="M323" s="160">
        <f>InputData!$C$7</f>
        <v>0.03</v>
      </c>
      <c r="N323" s="160">
        <f>InputData!$C$8</f>
        <v>0.02</v>
      </c>
      <c r="O323" s="160">
        <f>InputData!$C$9</f>
        <v>0.06</v>
      </c>
      <c r="P323" s="160">
        <f>InputData!$C$10</f>
        <v>0.02</v>
      </c>
      <c r="Q323" s="160">
        <f>InputData!$C$11</f>
        <v>0.02</v>
      </c>
      <c r="R323" s="160">
        <f>InputData!$C$12</f>
        <v>0.02</v>
      </c>
      <c r="S323" s="160">
        <f>InputData!$C$13</f>
        <v>0.9</v>
      </c>
      <c r="T323" s="116">
        <f>InputData!$C$88</f>
        <v>180000</v>
      </c>
      <c r="U323" s="116">
        <f>InputData!$C$81</f>
        <v>178500</v>
      </c>
      <c r="V323" s="116">
        <f>InputData!$C$82</f>
        <v>303960</v>
      </c>
      <c r="W323" s="116">
        <f>InputData!$C$84</f>
        <v>215220</v>
      </c>
      <c r="X323" s="116">
        <f>InputData!$C$85</f>
        <v>409020</v>
      </c>
      <c r="Y323" s="116">
        <f>InputData!$C$116</f>
        <v>140000</v>
      </c>
      <c r="Z323" s="160">
        <f>InputData!$E$13</f>
        <v>0</v>
      </c>
    </row>
    <row r="324" spans="1:26" x14ac:dyDescent="0.25">
      <c r="A324">
        <f>InputData!$K$1</f>
        <v>2013</v>
      </c>
      <c r="B324" t="str">
        <f>InputData!$G$1</f>
        <v>San Antonio, TX</v>
      </c>
      <c r="C324" t="s">
        <v>11</v>
      </c>
      <c r="D324" t="str">
        <f>Graph_IntMed!$M$6</f>
        <v>HPSP20</v>
      </c>
      <c r="E324" t="str">
        <f t="shared" si="5"/>
        <v>Internal Medicine HPSP20</v>
      </c>
      <c r="F324">
        <f>Graph_IntMed!$A29</f>
        <v>2035</v>
      </c>
      <c r="G324">
        <f>Graph_IntMed!$B29</f>
        <v>23</v>
      </c>
      <c r="H324" s="165">
        <f>Graph_IntMed!$M29</f>
        <v>1412778.5756039114</v>
      </c>
      <c r="I324" s="160">
        <f>InputData!$C$3</f>
        <v>0.02</v>
      </c>
      <c r="J324" s="160">
        <f>InputData!$C$4</f>
        <v>0.01</v>
      </c>
      <c r="K324" s="160">
        <f>InputData!$C$5</f>
        <v>0.01</v>
      </c>
      <c r="L324" s="160">
        <f>InputData!$C$6</f>
        <v>6.2100000000000002E-2</v>
      </c>
      <c r="M324" s="160">
        <f>InputData!$C$7</f>
        <v>0.03</v>
      </c>
      <c r="N324" s="160">
        <f>InputData!$C$8</f>
        <v>0.02</v>
      </c>
      <c r="O324" s="160">
        <f>InputData!$C$9</f>
        <v>0.06</v>
      </c>
      <c r="P324" s="160">
        <f>InputData!$C$10</f>
        <v>0.02</v>
      </c>
      <c r="Q324" s="160">
        <f>InputData!$C$11</f>
        <v>0.02</v>
      </c>
      <c r="R324" s="160">
        <f>InputData!$C$12</f>
        <v>0.02</v>
      </c>
      <c r="S324" s="160">
        <f>InputData!$C$13</f>
        <v>0.9</v>
      </c>
      <c r="T324" s="116">
        <f>InputData!$C$88</f>
        <v>180000</v>
      </c>
      <c r="U324" s="116">
        <f>InputData!$C$81</f>
        <v>178500</v>
      </c>
      <c r="V324" s="116">
        <f>InputData!$C$82</f>
        <v>303960</v>
      </c>
      <c r="W324" s="116">
        <f>InputData!$C$84</f>
        <v>215220</v>
      </c>
      <c r="X324" s="116">
        <f>InputData!$C$85</f>
        <v>409020</v>
      </c>
      <c r="Y324" s="116">
        <f>InputData!$C$116</f>
        <v>140000</v>
      </c>
      <c r="Z324" s="160">
        <f>InputData!$E$13</f>
        <v>0</v>
      </c>
    </row>
    <row r="325" spans="1:26" x14ac:dyDescent="0.25">
      <c r="A325">
        <f>InputData!$K$1</f>
        <v>2013</v>
      </c>
      <c r="B325" t="str">
        <f>InputData!$G$1</f>
        <v>San Antonio, TX</v>
      </c>
      <c r="C325" t="s">
        <v>11</v>
      </c>
      <c r="D325" t="str">
        <f>Graph_IntMed!$M$6</f>
        <v>HPSP20</v>
      </c>
      <c r="E325" t="str">
        <f t="shared" si="5"/>
        <v>Internal Medicine HPSP20</v>
      </c>
      <c r="F325">
        <f>Graph_IntMed!$A30</f>
        <v>2036</v>
      </c>
      <c r="G325">
        <f>Graph_IntMed!$B30</f>
        <v>24</v>
      </c>
      <c r="H325" s="165">
        <f>Graph_IntMed!$M30</f>
        <v>1477229.7830271358</v>
      </c>
      <c r="I325" s="160">
        <f>InputData!$C$3</f>
        <v>0.02</v>
      </c>
      <c r="J325" s="160">
        <f>InputData!$C$4</f>
        <v>0.01</v>
      </c>
      <c r="K325" s="160">
        <f>InputData!$C$5</f>
        <v>0.01</v>
      </c>
      <c r="L325" s="160">
        <f>InputData!$C$6</f>
        <v>6.2100000000000002E-2</v>
      </c>
      <c r="M325" s="160">
        <f>InputData!$C$7</f>
        <v>0.03</v>
      </c>
      <c r="N325" s="160">
        <f>InputData!$C$8</f>
        <v>0.02</v>
      </c>
      <c r="O325" s="160">
        <f>InputData!$C$9</f>
        <v>0.06</v>
      </c>
      <c r="P325" s="160">
        <f>InputData!$C$10</f>
        <v>0.02</v>
      </c>
      <c r="Q325" s="160">
        <f>InputData!$C$11</f>
        <v>0.02</v>
      </c>
      <c r="R325" s="160">
        <f>InputData!$C$12</f>
        <v>0.02</v>
      </c>
      <c r="S325" s="160">
        <f>InputData!$C$13</f>
        <v>0.9</v>
      </c>
      <c r="T325" s="116">
        <f>InputData!$C$88</f>
        <v>180000</v>
      </c>
      <c r="U325" s="116">
        <f>InputData!$C$81</f>
        <v>178500</v>
      </c>
      <c r="V325" s="116">
        <f>InputData!$C$82</f>
        <v>303960</v>
      </c>
      <c r="W325" s="116">
        <f>InputData!$C$84</f>
        <v>215220</v>
      </c>
      <c r="X325" s="116">
        <f>InputData!$C$85</f>
        <v>409020</v>
      </c>
      <c r="Y325" s="116">
        <f>InputData!$C$116</f>
        <v>140000</v>
      </c>
      <c r="Z325" s="160">
        <f>InputData!$E$13</f>
        <v>0</v>
      </c>
    </row>
    <row r="326" spans="1:26" x14ac:dyDescent="0.25">
      <c r="A326">
        <f>InputData!$K$1</f>
        <v>2013</v>
      </c>
      <c r="B326" t="str">
        <f>InputData!$G$1</f>
        <v>San Antonio, TX</v>
      </c>
      <c r="C326" t="s">
        <v>11</v>
      </c>
      <c r="D326" t="str">
        <f>Graph_IntMed!$M$6</f>
        <v>HPSP20</v>
      </c>
      <c r="E326" t="str">
        <f t="shared" si="5"/>
        <v>Internal Medicine HPSP20</v>
      </c>
      <c r="F326">
        <f>Graph_IntMed!$A31</f>
        <v>2037</v>
      </c>
      <c r="G326">
        <f>Graph_IntMed!$B31</f>
        <v>25</v>
      </c>
      <c r="H326" s="165">
        <f>Graph_IntMed!$M31</f>
        <v>1532244.4688702906</v>
      </c>
      <c r="I326" s="160">
        <f>InputData!$C$3</f>
        <v>0.02</v>
      </c>
      <c r="J326" s="160">
        <f>InputData!$C$4</f>
        <v>0.01</v>
      </c>
      <c r="K326" s="160">
        <f>InputData!$C$5</f>
        <v>0.01</v>
      </c>
      <c r="L326" s="160">
        <f>InputData!$C$6</f>
        <v>6.2100000000000002E-2</v>
      </c>
      <c r="M326" s="160">
        <f>InputData!$C$7</f>
        <v>0.03</v>
      </c>
      <c r="N326" s="160">
        <f>InputData!$C$8</f>
        <v>0.02</v>
      </c>
      <c r="O326" s="160">
        <f>InputData!$C$9</f>
        <v>0.06</v>
      </c>
      <c r="P326" s="160">
        <f>InputData!$C$10</f>
        <v>0.02</v>
      </c>
      <c r="Q326" s="160">
        <f>InputData!$C$11</f>
        <v>0.02</v>
      </c>
      <c r="R326" s="160">
        <f>InputData!$C$12</f>
        <v>0.02</v>
      </c>
      <c r="S326" s="160">
        <f>InputData!$C$13</f>
        <v>0.9</v>
      </c>
      <c r="T326" s="116">
        <f>InputData!$C$88</f>
        <v>180000</v>
      </c>
      <c r="U326" s="116">
        <f>InputData!$C$81</f>
        <v>178500</v>
      </c>
      <c r="V326" s="116">
        <f>InputData!$C$82</f>
        <v>303960</v>
      </c>
      <c r="W326" s="116">
        <f>InputData!$C$84</f>
        <v>215220</v>
      </c>
      <c r="X326" s="116">
        <f>InputData!$C$85</f>
        <v>409020</v>
      </c>
      <c r="Y326" s="116">
        <f>InputData!$C$116</f>
        <v>140000</v>
      </c>
      <c r="Z326" s="160">
        <f>InputData!$E$13</f>
        <v>0</v>
      </c>
    </row>
    <row r="327" spans="1:26" x14ac:dyDescent="0.25">
      <c r="A327">
        <f>InputData!$K$1</f>
        <v>2013</v>
      </c>
      <c r="B327" t="str">
        <f>InputData!$G$1</f>
        <v>San Antonio, TX</v>
      </c>
      <c r="C327" t="s">
        <v>11</v>
      </c>
      <c r="D327" t="str">
        <f>Graph_IntMed!$M$6</f>
        <v>HPSP20</v>
      </c>
      <c r="E327" t="str">
        <f t="shared" si="5"/>
        <v>Internal Medicine HPSP20</v>
      </c>
      <c r="F327">
        <f>Graph_IntMed!$A32</f>
        <v>2038</v>
      </c>
      <c r="G327">
        <f>Graph_IntMed!$B32</f>
        <v>26</v>
      </c>
      <c r="H327" s="165">
        <f>Graph_IntMed!$M32</f>
        <v>1585405.2290196868</v>
      </c>
      <c r="I327" s="160">
        <f>InputData!$C$3</f>
        <v>0.02</v>
      </c>
      <c r="J327" s="160">
        <f>InputData!$C$4</f>
        <v>0.01</v>
      </c>
      <c r="K327" s="160">
        <f>InputData!$C$5</f>
        <v>0.01</v>
      </c>
      <c r="L327" s="160">
        <f>InputData!$C$6</f>
        <v>6.2100000000000002E-2</v>
      </c>
      <c r="M327" s="160">
        <f>InputData!$C$7</f>
        <v>0.03</v>
      </c>
      <c r="N327" s="160">
        <f>InputData!$C$8</f>
        <v>0.02</v>
      </c>
      <c r="O327" s="160">
        <f>InputData!$C$9</f>
        <v>0.06</v>
      </c>
      <c r="P327" s="160">
        <f>InputData!$C$10</f>
        <v>0.02</v>
      </c>
      <c r="Q327" s="160">
        <f>InputData!$C$11</f>
        <v>0.02</v>
      </c>
      <c r="R327" s="160">
        <f>InputData!$C$12</f>
        <v>0.02</v>
      </c>
      <c r="S327" s="160">
        <f>InputData!$C$13</f>
        <v>0.9</v>
      </c>
      <c r="T327" s="116">
        <f>InputData!$C$88</f>
        <v>180000</v>
      </c>
      <c r="U327" s="116">
        <f>InputData!$C$81</f>
        <v>178500</v>
      </c>
      <c r="V327" s="116">
        <f>InputData!$C$82</f>
        <v>303960</v>
      </c>
      <c r="W327" s="116">
        <f>InputData!$C$84</f>
        <v>215220</v>
      </c>
      <c r="X327" s="116">
        <f>InputData!$C$85</f>
        <v>409020</v>
      </c>
      <c r="Y327" s="116">
        <f>InputData!$C$116</f>
        <v>140000</v>
      </c>
      <c r="Z327" s="160">
        <f>InputData!$E$13</f>
        <v>0</v>
      </c>
    </row>
    <row r="328" spans="1:26" x14ac:dyDescent="0.25">
      <c r="A328">
        <f>InputData!$K$1</f>
        <v>2013</v>
      </c>
      <c r="B328" t="str">
        <f>InputData!$G$1</f>
        <v>San Antonio, TX</v>
      </c>
      <c r="C328" t="s">
        <v>11</v>
      </c>
      <c r="D328" t="str">
        <f>Graph_IntMed!$M$6</f>
        <v>HPSP20</v>
      </c>
      <c r="E328" t="str">
        <f t="shared" si="5"/>
        <v>Internal Medicine HPSP20</v>
      </c>
      <c r="F328">
        <f>Graph_IntMed!$A33</f>
        <v>2039</v>
      </c>
      <c r="G328">
        <f>Graph_IntMed!$B33</f>
        <v>27</v>
      </c>
      <c r="H328" s="165">
        <f>Graph_IntMed!$M33</f>
        <v>1636773.2535569523</v>
      </c>
      <c r="I328" s="160">
        <f>InputData!$C$3</f>
        <v>0.02</v>
      </c>
      <c r="J328" s="160">
        <f>InputData!$C$4</f>
        <v>0.01</v>
      </c>
      <c r="K328" s="160">
        <f>InputData!$C$5</f>
        <v>0.01</v>
      </c>
      <c r="L328" s="160">
        <f>InputData!$C$6</f>
        <v>6.2100000000000002E-2</v>
      </c>
      <c r="M328" s="160">
        <f>InputData!$C$7</f>
        <v>0.03</v>
      </c>
      <c r="N328" s="160">
        <f>InputData!$C$8</f>
        <v>0.02</v>
      </c>
      <c r="O328" s="160">
        <f>InputData!$C$9</f>
        <v>0.06</v>
      </c>
      <c r="P328" s="160">
        <f>InputData!$C$10</f>
        <v>0.02</v>
      </c>
      <c r="Q328" s="160">
        <f>InputData!$C$11</f>
        <v>0.02</v>
      </c>
      <c r="R328" s="160">
        <f>InputData!$C$12</f>
        <v>0.02</v>
      </c>
      <c r="S328" s="160">
        <f>InputData!$C$13</f>
        <v>0.9</v>
      </c>
      <c r="T328" s="116">
        <f>InputData!$C$88</f>
        <v>180000</v>
      </c>
      <c r="U328" s="116">
        <f>InputData!$C$81</f>
        <v>178500</v>
      </c>
      <c r="V328" s="116">
        <f>InputData!$C$82</f>
        <v>303960</v>
      </c>
      <c r="W328" s="116">
        <f>InputData!$C$84</f>
        <v>215220</v>
      </c>
      <c r="X328" s="116">
        <f>InputData!$C$85</f>
        <v>409020</v>
      </c>
      <c r="Y328" s="116">
        <f>InputData!$C$116</f>
        <v>140000</v>
      </c>
      <c r="Z328" s="160">
        <f>InputData!$E$13</f>
        <v>0</v>
      </c>
    </row>
    <row r="329" spans="1:26" x14ac:dyDescent="0.25">
      <c r="A329">
        <f>InputData!$K$1</f>
        <v>2013</v>
      </c>
      <c r="B329" t="str">
        <f>InputData!$G$1</f>
        <v>San Antonio, TX</v>
      </c>
      <c r="C329" t="s">
        <v>11</v>
      </c>
      <c r="D329" t="str">
        <f>Graph_IntMed!$M$6</f>
        <v>HPSP20</v>
      </c>
      <c r="E329" t="str">
        <f t="shared" si="5"/>
        <v>Internal Medicine HPSP20</v>
      </c>
      <c r="F329">
        <f>Graph_IntMed!$A34</f>
        <v>2040</v>
      </c>
      <c r="G329">
        <f>Graph_IntMed!$B34</f>
        <v>28</v>
      </c>
      <c r="H329" s="165">
        <f>Graph_IntMed!$M34</f>
        <v>1714340.0495104855</v>
      </c>
      <c r="I329" s="160">
        <f>InputData!$C$3</f>
        <v>0.02</v>
      </c>
      <c r="J329" s="160">
        <f>InputData!$C$4</f>
        <v>0.01</v>
      </c>
      <c r="K329" s="160">
        <f>InputData!$C$5</f>
        <v>0.01</v>
      </c>
      <c r="L329" s="160">
        <f>InputData!$C$6</f>
        <v>6.2100000000000002E-2</v>
      </c>
      <c r="M329" s="160">
        <f>InputData!$C$7</f>
        <v>0.03</v>
      </c>
      <c r="N329" s="160">
        <f>InputData!$C$8</f>
        <v>0.02</v>
      </c>
      <c r="O329" s="160">
        <f>InputData!$C$9</f>
        <v>0.06</v>
      </c>
      <c r="P329" s="160">
        <f>InputData!$C$10</f>
        <v>0.02</v>
      </c>
      <c r="Q329" s="160">
        <f>InputData!$C$11</f>
        <v>0.02</v>
      </c>
      <c r="R329" s="160">
        <f>InputData!$C$12</f>
        <v>0.02</v>
      </c>
      <c r="S329" s="160">
        <f>InputData!$C$13</f>
        <v>0.9</v>
      </c>
      <c r="T329" s="116">
        <f>InputData!$C$88</f>
        <v>180000</v>
      </c>
      <c r="U329" s="116">
        <f>InputData!$C$81</f>
        <v>178500</v>
      </c>
      <c r="V329" s="116">
        <f>InputData!$C$82</f>
        <v>303960</v>
      </c>
      <c r="W329" s="116">
        <f>InputData!$C$84</f>
        <v>215220</v>
      </c>
      <c r="X329" s="116">
        <f>InputData!$C$85</f>
        <v>409020</v>
      </c>
      <c r="Y329" s="116">
        <f>InputData!$C$116</f>
        <v>140000</v>
      </c>
      <c r="Z329" s="160">
        <f>InputData!$E$13</f>
        <v>0</v>
      </c>
    </row>
    <row r="330" spans="1:26" x14ac:dyDescent="0.25">
      <c r="A330">
        <f>InputData!$K$1</f>
        <v>2013</v>
      </c>
      <c r="B330" t="str">
        <f>InputData!$G$1</f>
        <v>San Antonio, TX</v>
      </c>
      <c r="C330" t="s">
        <v>11</v>
      </c>
      <c r="D330" t="str">
        <f>Graph_IntMed!$M$6</f>
        <v>HPSP20</v>
      </c>
      <c r="E330" t="str">
        <f t="shared" si="5"/>
        <v>Internal Medicine HPSP20</v>
      </c>
      <c r="F330">
        <f>Graph_IntMed!$A35</f>
        <v>2041</v>
      </c>
      <c r="G330">
        <f>Graph_IntMed!$B35</f>
        <v>29</v>
      </c>
      <c r="H330" s="165">
        <f>Graph_IntMed!$M35</f>
        <v>1790052.6662148526</v>
      </c>
      <c r="I330" s="160">
        <f>InputData!$C$3</f>
        <v>0.02</v>
      </c>
      <c r="J330" s="160">
        <f>InputData!$C$4</f>
        <v>0.01</v>
      </c>
      <c r="K330" s="160">
        <f>InputData!$C$5</f>
        <v>0.01</v>
      </c>
      <c r="L330" s="160">
        <f>InputData!$C$6</f>
        <v>6.2100000000000002E-2</v>
      </c>
      <c r="M330" s="160">
        <f>InputData!$C$7</f>
        <v>0.03</v>
      </c>
      <c r="N330" s="160">
        <f>InputData!$C$8</f>
        <v>0.02</v>
      </c>
      <c r="O330" s="160">
        <f>InputData!$C$9</f>
        <v>0.06</v>
      </c>
      <c r="P330" s="160">
        <f>InputData!$C$10</f>
        <v>0.02</v>
      </c>
      <c r="Q330" s="160">
        <f>InputData!$C$11</f>
        <v>0.02</v>
      </c>
      <c r="R330" s="160">
        <f>InputData!$C$12</f>
        <v>0.02</v>
      </c>
      <c r="S330" s="160">
        <f>InputData!$C$13</f>
        <v>0.9</v>
      </c>
      <c r="T330" s="116">
        <f>InputData!$C$88</f>
        <v>180000</v>
      </c>
      <c r="U330" s="116">
        <f>InputData!$C$81</f>
        <v>178500</v>
      </c>
      <c r="V330" s="116">
        <f>InputData!$C$82</f>
        <v>303960</v>
      </c>
      <c r="W330" s="116">
        <f>InputData!$C$84</f>
        <v>215220</v>
      </c>
      <c r="X330" s="116">
        <f>InputData!$C$85</f>
        <v>409020</v>
      </c>
      <c r="Y330" s="116">
        <f>InputData!$C$116</f>
        <v>140000</v>
      </c>
      <c r="Z330" s="160">
        <f>InputData!$E$13</f>
        <v>0</v>
      </c>
    </row>
    <row r="331" spans="1:26" x14ac:dyDescent="0.25">
      <c r="A331">
        <f>InputData!$K$1</f>
        <v>2013</v>
      </c>
      <c r="B331" t="str">
        <f>InputData!$G$1</f>
        <v>San Antonio, TX</v>
      </c>
      <c r="C331" t="s">
        <v>11</v>
      </c>
      <c r="D331" t="str">
        <f>Graph_IntMed!$M$6</f>
        <v>HPSP20</v>
      </c>
      <c r="E331" t="str">
        <f t="shared" si="5"/>
        <v>Internal Medicine HPSP20</v>
      </c>
      <c r="F331">
        <f>Graph_IntMed!$A36</f>
        <v>2042</v>
      </c>
      <c r="G331">
        <f>Graph_IntMed!$B36</f>
        <v>30</v>
      </c>
      <c r="H331" s="165">
        <f>Graph_IntMed!$M36</f>
        <v>1863959.8970471765</v>
      </c>
      <c r="I331" s="160">
        <f>InputData!$C$3</f>
        <v>0.02</v>
      </c>
      <c r="J331" s="160">
        <f>InputData!$C$4</f>
        <v>0.01</v>
      </c>
      <c r="K331" s="160">
        <f>InputData!$C$5</f>
        <v>0.01</v>
      </c>
      <c r="L331" s="160">
        <f>InputData!$C$6</f>
        <v>6.2100000000000002E-2</v>
      </c>
      <c r="M331" s="160">
        <f>InputData!$C$7</f>
        <v>0.03</v>
      </c>
      <c r="N331" s="160">
        <f>InputData!$C$8</f>
        <v>0.02</v>
      </c>
      <c r="O331" s="160">
        <f>InputData!$C$9</f>
        <v>0.06</v>
      </c>
      <c r="P331" s="160">
        <f>InputData!$C$10</f>
        <v>0.02</v>
      </c>
      <c r="Q331" s="160">
        <f>InputData!$C$11</f>
        <v>0.02</v>
      </c>
      <c r="R331" s="160">
        <f>InputData!$C$12</f>
        <v>0.02</v>
      </c>
      <c r="S331" s="160">
        <f>InputData!$C$13</f>
        <v>0.9</v>
      </c>
      <c r="T331" s="116">
        <f>InputData!$C$88</f>
        <v>180000</v>
      </c>
      <c r="U331" s="116">
        <f>InputData!$C$81</f>
        <v>178500</v>
      </c>
      <c r="V331" s="116">
        <f>InputData!$C$82</f>
        <v>303960</v>
      </c>
      <c r="W331" s="116">
        <f>InputData!$C$84</f>
        <v>215220</v>
      </c>
      <c r="X331" s="116">
        <f>InputData!$C$85</f>
        <v>409020</v>
      </c>
      <c r="Y331" s="116">
        <f>InputData!$C$116</f>
        <v>140000</v>
      </c>
      <c r="Z331" s="160">
        <f>InputData!$E$13</f>
        <v>0</v>
      </c>
    </row>
    <row r="332" spans="1:26" x14ac:dyDescent="0.25">
      <c r="A332">
        <f>InputData!$K$1</f>
        <v>2013</v>
      </c>
      <c r="B332" t="str">
        <f>InputData!$G$1</f>
        <v>San Antonio, TX</v>
      </c>
      <c r="C332" t="s">
        <v>11</v>
      </c>
      <c r="D332" t="str">
        <f>Graph_IntMed!$N$6</f>
        <v>USUim</v>
      </c>
      <c r="E332" t="str">
        <f t="shared" si="5"/>
        <v>Internal Medicine USUim</v>
      </c>
      <c r="F332">
        <f>Graph_IntMed!$A7</f>
        <v>2013</v>
      </c>
      <c r="G332">
        <f>Graph_IntMed!$B7</f>
        <v>1</v>
      </c>
      <c r="H332" s="165">
        <f>Graph_IntMed!$N7</f>
        <v>54056.194799999997</v>
      </c>
      <c r="I332" s="160">
        <f>InputData!$C$3</f>
        <v>0.02</v>
      </c>
      <c r="J332" s="160">
        <f>InputData!$C$4</f>
        <v>0.01</v>
      </c>
      <c r="K332" s="160">
        <f>InputData!$C$5</f>
        <v>0.01</v>
      </c>
      <c r="L332" s="160">
        <f>InputData!$C$6</f>
        <v>6.2100000000000002E-2</v>
      </c>
      <c r="M332" s="160">
        <f>InputData!$C$7</f>
        <v>0.03</v>
      </c>
      <c r="N332" s="160">
        <f>InputData!$C$8</f>
        <v>0.02</v>
      </c>
      <c r="O332" s="160">
        <f>InputData!$C$9</f>
        <v>0.06</v>
      </c>
      <c r="P332" s="160">
        <f>InputData!$C$10</f>
        <v>0.02</v>
      </c>
      <c r="Q332" s="160">
        <f>InputData!$C$11</f>
        <v>0.02</v>
      </c>
      <c r="R332" s="160">
        <f>InputData!$C$12</f>
        <v>0.02</v>
      </c>
      <c r="S332" s="160">
        <f>InputData!$C$13</f>
        <v>0.9</v>
      </c>
      <c r="T332" s="116">
        <f>InputData!$C$88</f>
        <v>180000</v>
      </c>
      <c r="U332" s="116">
        <f>InputData!$C$81</f>
        <v>178500</v>
      </c>
      <c r="V332" s="116">
        <f>InputData!$C$82</f>
        <v>303960</v>
      </c>
      <c r="W332" s="116">
        <f>InputData!$C$84</f>
        <v>215220</v>
      </c>
      <c r="X332" s="116">
        <f>InputData!$C$85</f>
        <v>409020</v>
      </c>
      <c r="Y332" s="116">
        <f>InputData!$C$116</f>
        <v>140000</v>
      </c>
      <c r="Z332" s="160">
        <f>InputData!$E$13</f>
        <v>0</v>
      </c>
    </row>
    <row r="333" spans="1:26" x14ac:dyDescent="0.25">
      <c r="A333">
        <f>InputData!$K$1</f>
        <v>2013</v>
      </c>
      <c r="B333" t="str">
        <f>InputData!$G$1</f>
        <v>San Antonio, TX</v>
      </c>
      <c r="C333" t="s">
        <v>11</v>
      </c>
      <c r="D333" t="str">
        <f>Graph_IntMed!$N$6</f>
        <v>USUim</v>
      </c>
      <c r="E333" t="str">
        <f t="shared" si="5"/>
        <v>Internal Medicine USUim</v>
      </c>
      <c r="F333">
        <f>Graph_IntMed!$A8</f>
        <v>2014</v>
      </c>
      <c r="G333">
        <f>Graph_IntMed!$B8</f>
        <v>2</v>
      </c>
      <c r="H333" s="165">
        <f>Graph_IntMed!$N8</f>
        <v>106041.93556527697</v>
      </c>
      <c r="I333" s="160">
        <f>InputData!$C$3</f>
        <v>0.02</v>
      </c>
      <c r="J333" s="160">
        <f>InputData!$C$4</f>
        <v>0.01</v>
      </c>
      <c r="K333" s="160">
        <f>InputData!$C$5</f>
        <v>0.01</v>
      </c>
      <c r="L333" s="160">
        <f>InputData!$C$6</f>
        <v>6.2100000000000002E-2</v>
      </c>
      <c r="M333" s="160">
        <f>InputData!$C$7</f>
        <v>0.03</v>
      </c>
      <c r="N333" s="160">
        <f>InputData!$C$8</f>
        <v>0.02</v>
      </c>
      <c r="O333" s="160">
        <f>InputData!$C$9</f>
        <v>0.06</v>
      </c>
      <c r="P333" s="160">
        <f>InputData!$C$10</f>
        <v>0.02</v>
      </c>
      <c r="Q333" s="160">
        <f>InputData!$C$11</f>
        <v>0.02</v>
      </c>
      <c r="R333" s="160">
        <f>InputData!$C$12</f>
        <v>0.02</v>
      </c>
      <c r="S333" s="160">
        <f>InputData!$C$13</f>
        <v>0.9</v>
      </c>
      <c r="T333" s="116">
        <f>InputData!$C$88</f>
        <v>180000</v>
      </c>
      <c r="U333" s="116">
        <f>InputData!$C$81</f>
        <v>178500</v>
      </c>
      <c r="V333" s="116">
        <f>InputData!$C$82</f>
        <v>303960</v>
      </c>
      <c r="W333" s="116">
        <f>InputData!$C$84</f>
        <v>215220</v>
      </c>
      <c r="X333" s="116">
        <f>InputData!$C$85</f>
        <v>409020</v>
      </c>
      <c r="Y333" s="116">
        <f>InputData!$C$116</f>
        <v>140000</v>
      </c>
      <c r="Z333" s="160">
        <f>InputData!$E$13</f>
        <v>0</v>
      </c>
    </row>
    <row r="334" spans="1:26" x14ac:dyDescent="0.25">
      <c r="A334">
        <f>InputData!$K$1</f>
        <v>2013</v>
      </c>
      <c r="B334" t="str">
        <f>InputData!$G$1</f>
        <v>San Antonio, TX</v>
      </c>
      <c r="C334" t="s">
        <v>11</v>
      </c>
      <c r="D334" t="str">
        <f>Graph_IntMed!$N$6</f>
        <v>USUim</v>
      </c>
      <c r="E334" t="str">
        <f t="shared" si="5"/>
        <v>Internal Medicine USUim</v>
      </c>
      <c r="F334">
        <f>Graph_IntMed!$A9</f>
        <v>2015</v>
      </c>
      <c r="G334">
        <f>Graph_IntMed!$B9</f>
        <v>3</v>
      </c>
      <c r="H334" s="165">
        <f>Graph_IntMed!$N9</f>
        <v>157045.52189700573</v>
      </c>
      <c r="I334" s="160">
        <f>InputData!$C$3</f>
        <v>0.02</v>
      </c>
      <c r="J334" s="160">
        <f>InputData!$C$4</f>
        <v>0.01</v>
      </c>
      <c r="K334" s="160">
        <f>InputData!$C$5</f>
        <v>0.01</v>
      </c>
      <c r="L334" s="160">
        <f>InputData!$C$6</f>
        <v>6.2100000000000002E-2</v>
      </c>
      <c r="M334" s="160">
        <f>InputData!$C$7</f>
        <v>0.03</v>
      </c>
      <c r="N334" s="160">
        <f>InputData!$C$8</f>
        <v>0.02</v>
      </c>
      <c r="O334" s="160">
        <f>InputData!$C$9</f>
        <v>0.06</v>
      </c>
      <c r="P334" s="160">
        <f>InputData!$C$10</f>
        <v>0.02</v>
      </c>
      <c r="Q334" s="160">
        <f>InputData!$C$11</f>
        <v>0.02</v>
      </c>
      <c r="R334" s="160">
        <f>InputData!$C$12</f>
        <v>0.02</v>
      </c>
      <c r="S334" s="160">
        <f>InputData!$C$13</f>
        <v>0.9</v>
      </c>
      <c r="T334" s="116">
        <f>InputData!$C$88</f>
        <v>180000</v>
      </c>
      <c r="U334" s="116">
        <f>InputData!$C$81</f>
        <v>178500</v>
      </c>
      <c r="V334" s="116">
        <f>InputData!$C$82</f>
        <v>303960</v>
      </c>
      <c r="W334" s="116">
        <f>InputData!$C$84</f>
        <v>215220</v>
      </c>
      <c r="X334" s="116">
        <f>InputData!$C$85</f>
        <v>409020</v>
      </c>
      <c r="Y334" s="116">
        <f>InputData!$C$116</f>
        <v>140000</v>
      </c>
      <c r="Z334" s="160">
        <f>InputData!$E$13</f>
        <v>0</v>
      </c>
    </row>
    <row r="335" spans="1:26" x14ac:dyDescent="0.25">
      <c r="A335">
        <f>InputData!$K$1</f>
        <v>2013</v>
      </c>
      <c r="B335" t="str">
        <f>InputData!$G$1</f>
        <v>San Antonio, TX</v>
      </c>
      <c r="C335" t="s">
        <v>11</v>
      </c>
      <c r="D335" t="str">
        <f>Graph_IntMed!$N$6</f>
        <v>USUim</v>
      </c>
      <c r="E335" t="str">
        <f t="shared" si="5"/>
        <v>Internal Medicine USUim</v>
      </c>
      <c r="F335">
        <f>Graph_IntMed!$A10</f>
        <v>2016</v>
      </c>
      <c r="G335">
        <f>Graph_IntMed!$B10</f>
        <v>4</v>
      </c>
      <c r="H335" s="165">
        <f>Graph_IntMed!$N10</f>
        <v>211251.55229740124</v>
      </c>
      <c r="I335" s="160">
        <f>InputData!$C$3</f>
        <v>0.02</v>
      </c>
      <c r="J335" s="160">
        <f>InputData!$C$4</f>
        <v>0.01</v>
      </c>
      <c r="K335" s="160">
        <f>InputData!$C$5</f>
        <v>0.01</v>
      </c>
      <c r="L335" s="160">
        <f>InputData!$C$6</f>
        <v>6.2100000000000002E-2</v>
      </c>
      <c r="M335" s="160">
        <f>InputData!$C$7</f>
        <v>0.03</v>
      </c>
      <c r="N335" s="160">
        <f>InputData!$C$8</f>
        <v>0.02</v>
      </c>
      <c r="O335" s="160">
        <f>InputData!$C$9</f>
        <v>0.06</v>
      </c>
      <c r="P335" s="160">
        <f>InputData!$C$10</f>
        <v>0.02</v>
      </c>
      <c r="Q335" s="160">
        <f>InputData!$C$11</f>
        <v>0.02</v>
      </c>
      <c r="R335" s="160">
        <f>InputData!$C$12</f>
        <v>0.02</v>
      </c>
      <c r="S335" s="160">
        <f>InputData!$C$13</f>
        <v>0.9</v>
      </c>
      <c r="T335" s="116">
        <f>InputData!$C$88</f>
        <v>180000</v>
      </c>
      <c r="U335" s="116">
        <f>InputData!$C$81</f>
        <v>178500</v>
      </c>
      <c r="V335" s="116">
        <f>InputData!$C$82</f>
        <v>303960</v>
      </c>
      <c r="W335" s="116">
        <f>InputData!$C$84</f>
        <v>215220</v>
      </c>
      <c r="X335" s="116">
        <f>InputData!$C$85</f>
        <v>409020</v>
      </c>
      <c r="Y335" s="116">
        <f>InputData!$C$116</f>
        <v>140000</v>
      </c>
      <c r="Z335" s="160">
        <f>InputData!$E$13</f>
        <v>0</v>
      </c>
    </row>
    <row r="336" spans="1:26" x14ac:dyDescent="0.25">
      <c r="A336">
        <f>InputData!$K$1</f>
        <v>2013</v>
      </c>
      <c r="B336" t="str">
        <f>InputData!$G$1</f>
        <v>San Antonio, TX</v>
      </c>
      <c r="C336" t="s">
        <v>11</v>
      </c>
      <c r="D336" t="str">
        <f>Graph_IntMed!$N$6</f>
        <v>USUim</v>
      </c>
      <c r="E336" t="str">
        <f t="shared" si="5"/>
        <v>Internal Medicine USUim</v>
      </c>
      <c r="F336">
        <f>Graph_IntMed!$A11</f>
        <v>2017</v>
      </c>
      <c r="G336">
        <f>Graph_IntMed!$B11</f>
        <v>5</v>
      </c>
      <c r="H336" s="165">
        <f>Graph_IntMed!$N11</f>
        <v>261213.54479899554</v>
      </c>
      <c r="I336" s="160">
        <f>InputData!$C$3</f>
        <v>0.02</v>
      </c>
      <c r="J336" s="160">
        <f>InputData!$C$4</f>
        <v>0.01</v>
      </c>
      <c r="K336" s="160">
        <f>InputData!$C$5</f>
        <v>0.01</v>
      </c>
      <c r="L336" s="160">
        <f>InputData!$C$6</f>
        <v>6.2100000000000002E-2</v>
      </c>
      <c r="M336" s="160">
        <f>InputData!$C$7</f>
        <v>0.03</v>
      </c>
      <c r="N336" s="160">
        <f>InputData!$C$8</f>
        <v>0.02</v>
      </c>
      <c r="O336" s="160">
        <f>InputData!$C$9</f>
        <v>0.06</v>
      </c>
      <c r="P336" s="160">
        <f>InputData!$C$10</f>
        <v>0.02</v>
      </c>
      <c r="Q336" s="160">
        <f>InputData!$C$11</f>
        <v>0.02</v>
      </c>
      <c r="R336" s="160">
        <f>InputData!$C$12</f>
        <v>0.02</v>
      </c>
      <c r="S336" s="160">
        <f>InputData!$C$13</f>
        <v>0.9</v>
      </c>
      <c r="T336" s="116">
        <f>InputData!$C$88</f>
        <v>180000</v>
      </c>
      <c r="U336" s="116">
        <f>InputData!$C$81</f>
        <v>178500</v>
      </c>
      <c r="V336" s="116">
        <f>InputData!$C$82</f>
        <v>303960</v>
      </c>
      <c r="W336" s="116">
        <f>InputData!$C$84</f>
        <v>215220</v>
      </c>
      <c r="X336" s="116">
        <f>InputData!$C$85</f>
        <v>409020</v>
      </c>
      <c r="Y336" s="116">
        <f>InputData!$C$116</f>
        <v>140000</v>
      </c>
      <c r="Z336" s="160">
        <f>InputData!$E$13</f>
        <v>0</v>
      </c>
    </row>
    <row r="337" spans="1:26" x14ac:dyDescent="0.25">
      <c r="A337">
        <f>InputData!$K$1</f>
        <v>2013</v>
      </c>
      <c r="B337" t="str">
        <f>InputData!$G$1</f>
        <v>San Antonio, TX</v>
      </c>
      <c r="C337" t="s">
        <v>11</v>
      </c>
      <c r="D337" t="str">
        <f>Graph_IntMed!$N$6</f>
        <v>USUim</v>
      </c>
      <c r="E337" t="str">
        <f t="shared" si="5"/>
        <v>Internal Medicine USUim</v>
      </c>
      <c r="F337">
        <f>Graph_IntMed!$A12</f>
        <v>2018</v>
      </c>
      <c r="G337">
        <f>Graph_IntMed!$B12</f>
        <v>6</v>
      </c>
      <c r="H337" s="165">
        <f>Graph_IntMed!$N12</f>
        <v>311474.37448667729</v>
      </c>
      <c r="I337" s="160">
        <f>InputData!$C$3</f>
        <v>0.02</v>
      </c>
      <c r="J337" s="160">
        <f>InputData!$C$4</f>
        <v>0.01</v>
      </c>
      <c r="K337" s="160">
        <f>InputData!$C$5</f>
        <v>0.01</v>
      </c>
      <c r="L337" s="160">
        <f>InputData!$C$6</f>
        <v>6.2100000000000002E-2</v>
      </c>
      <c r="M337" s="160">
        <f>InputData!$C$7</f>
        <v>0.03</v>
      </c>
      <c r="N337" s="160">
        <f>InputData!$C$8</f>
        <v>0.02</v>
      </c>
      <c r="O337" s="160">
        <f>InputData!$C$9</f>
        <v>0.06</v>
      </c>
      <c r="P337" s="160">
        <f>InputData!$C$10</f>
        <v>0.02</v>
      </c>
      <c r="Q337" s="160">
        <f>InputData!$C$11</f>
        <v>0.02</v>
      </c>
      <c r="R337" s="160">
        <f>InputData!$C$12</f>
        <v>0.02</v>
      </c>
      <c r="S337" s="160">
        <f>InputData!$C$13</f>
        <v>0.9</v>
      </c>
      <c r="T337" s="116">
        <f>InputData!$C$88</f>
        <v>180000</v>
      </c>
      <c r="U337" s="116">
        <f>InputData!$C$81</f>
        <v>178500</v>
      </c>
      <c r="V337" s="116">
        <f>InputData!$C$82</f>
        <v>303960</v>
      </c>
      <c r="W337" s="116">
        <f>InputData!$C$84</f>
        <v>215220</v>
      </c>
      <c r="X337" s="116">
        <f>InputData!$C$85</f>
        <v>409020</v>
      </c>
      <c r="Y337" s="116">
        <f>InputData!$C$116</f>
        <v>140000</v>
      </c>
      <c r="Z337" s="160">
        <f>InputData!$E$13</f>
        <v>0</v>
      </c>
    </row>
    <row r="338" spans="1:26" x14ac:dyDescent="0.25">
      <c r="A338">
        <f>InputData!$K$1</f>
        <v>2013</v>
      </c>
      <c r="B338" t="str">
        <f>InputData!$G$1</f>
        <v>San Antonio, TX</v>
      </c>
      <c r="C338" t="s">
        <v>11</v>
      </c>
      <c r="D338" t="str">
        <f>Graph_IntMed!$N$6</f>
        <v>USUim</v>
      </c>
      <c r="E338" t="str">
        <f t="shared" si="5"/>
        <v>Internal Medicine USUim</v>
      </c>
      <c r="F338">
        <f>Graph_IntMed!$A13</f>
        <v>2019</v>
      </c>
      <c r="G338">
        <f>Graph_IntMed!$B13</f>
        <v>7</v>
      </c>
      <c r="H338" s="165">
        <f>Graph_IntMed!$N13</f>
        <v>363115.97670968575</v>
      </c>
      <c r="I338" s="160">
        <f>InputData!$C$3</f>
        <v>0.02</v>
      </c>
      <c r="J338" s="160">
        <f>InputData!$C$4</f>
        <v>0.01</v>
      </c>
      <c r="K338" s="160">
        <f>InputData!$C$5</f>
        <v>0.01</v>
      </c>
      <c r="L338" s="160">
        <f>InputData!$C$6</f>
        <v>6.2100000000000002E-2</v>
      </c>
      <c r="M338" s="160">
        <f>InputData!$C$7</f>
        <v>0.03</v>
      </c>
      <c r="N338" s="160">
        <f>InputData!$C$8</f>
        <v>0.02</v>
      </c>
      <c r="O338" s="160">
        <f>InputData!$C$9</f>
        <v>0.06</v>
      </c>
      <c r="P338" s="160">
        <f>InputData!$C$10</f>
        <v>0.02</v>
      </c>
      <c r="Q338" s="160">
        <f>InputData!$C$11</f>
        <v>0.02</v>
      </c>
      <c r="R338" s="160">
        <f>InputData!$C$12</f>
        <v>0.02</v>
      </c>
      <c r="S338" s="160">
        <f>InputData!$C$13</f>
        <v>0.9</v>
      </c>
      <c r="T338" s="116">
        <f>InputData!$C$88</f>
        <v>180000</v>
      </c>
      <c r="U338" s="116">
        <f>InputData!$C$81</f>
        <v>178500</v>
      </c>
      <c r="V338" s="116">
        <f>InputData!$C$82</f>
        <v>303960</v>
      </c>
      <c r="W338" s="116">
        <f>InputData!$C$84</f>
        <v>215220</v>
      </c>
      <c r="X338" s="116">
        <f>InputData!$C$85</f>
        <v>409020</v>
      </c>
      <c r="Y338" s="116">
        <f>InputData!$C$116</f>
        <v>140000</v>
      </c>
      <c r="Z338" s="160">
        <f>InputData!$E$13</f>
        <v>0</v>
      </c>
    </row>
    <row r="339" spans="1:26" x14ac:dyDescent="0.25">
      <c r="A339">
        <f>InputData!$K$1</f>
        <v>2013</v>
      </c>
      <c r="B339" t="str">
        <f>InputData!$G$1</f>
        <v>San Antonio, TX</v>
      </c>
      <c r="C339" t="s">
        <v>11</v>
      </c>
      <c r="D339" t="str">
        <f>Graph_IntMed!$N$6</f>
        <v>USUim</v>
      </c>
      <c r="E339" t="str">
        <f t="shared" si="5"/>
        <v>Internal Medicine USUim</v>
      </c>
      <c r="F339">
        <f>Graph_IntMed!$A14</f>
        <v>2020</v>
      </c>
      <c r="G339">
        <f>Graph_IntMed!$B14</f>
        <v>8</v>
      </c>
      <c r="H339" s="165">
        <f>Graph_IntMed!$N14</f>
        <v>423874.97502869397</v>
      </c>
      <c r="I339" s="160">
        <f>InputData!$C$3</f>
        <v>0.02</v>
      </c>
      <c r="J339" s="160">
        <f>InputData!$C$4</f>
        <v>0.01</v>
      </c>
      <c r="K339" s="160">
        <f>InputData!$C$5</f>
        <v>0.01</v>
      </c>
      <c r="L339" s="160">
        <f>InputData!$C$6</f>
        <v>6.2100000000000002E-2</v>
      </c>
      <c r="M339" s="160">
        <f>InputData!$C$7</f>
        <v>0.03</v>
      </c>
      <c r="N339" s="160">
        <f>InputData!$C$8</f>
        <v>0.02</v>
      </c>
      <c r="O339" s="160">
        <f>InputData!$C$9</f>
        <v>0.06</v>
      </c>
      <c r="P339" s="160">
        <f>InputData!$C$10</f>
        <v>0.02</v>
      </c>
      <c r="Q339" s="160">
        <f>InputData!$C$11</f>
        <v>0.02</v>
      </c>
      <c r="R339" s="160">
        <f>InputData!$C$12</f>
        <v>0.02</v>
      </c>
      <c r="S339" s="160">
        <f>InputData!$C$13</f>
        <v>0.9</v>
      </c>
      <c r="T339" s="116">
        <f>InputData!$C$88</f>
        <v>180000</v>
      </c>
      <c r="U339" s="116">
        <f>InputData!$C$81</f>
        <v>178500</v>
      </c>
      <c r="V339" s="116">
        <f>InputData!$C$82</f>
        <v>303960</v>
      </c>
      <c r="W339" s="116">
        <f>InputData!$C$84</f>
        <v>215220</v>
      </c>
      <c r="X339" s="116">
        <f>InputData!$C$85</f>
        <v>409020</v>
      </c>
      <c r="Y339" s="116">
        <f>InputData!$C$116</f>
        <v>140000</v>
      </c>
      <c r="Z339" s="160">
        <f>InputData!$E$13</f>
        <v>0</v>
      </c>
    </row>
    <row r="340" spans="1:26" x14ac:dyDescent="0.25">
      <c r="A340">
        <f>InputData!$K$1</f>
        <v>2013</v>
      </c>
      <c r="B340" t="str">
        <f>InputData!$G$1</f>
        <v>San Antonio, TX</v>
      </c>
      <c r="C340" t="s">
        <v>11</v>
      </c>
      <c r="D340" t="str">
        <f>Graph_IntMed!$N$6</f>
        <v>USUim</v>
      </c>
      <c r="E340" t="str">
        <f t="shared" si="5"/>
        <v>Internal Medicine USUim</v>
      </c>
      <c r="F340">
        <f>Graph_IntMed!$A15</f>
        <v>2021</v>
      </c>
      <c r="G340">
        <f>Graph_IntMed!$B15</f>
        <v>9</v>
      </c>
      <c r="H340" s="165">
        <f>Graph_IntMed!$N15</f>
        <v>484834.5605219836</v>
      </c>
      <c r="I340" s="160">
        <f>InputData!$C$3</f>
        <v>0.02</v>
      </c>
      <c r="J340" s="160">
        <f>InputData!$C$4</f>
        <v>0.01</v>
      </c>
      <c r="K340" s="160">
        <f>InputData!$C$5</f>
        <v>0.01</v>
      </c>
      <c r="L340" s="160">
        <f>InputData!$C$6</f>
        <v>6.2100000000000002E-2</v>
      </c>
      <c r="M340" s="160">
        <f>InputData!$C$7</f>
        <v>0.03</v>
      </c>
      <c r="N340" s="160">
        <f>InputData!$C$8</f>
        <v>0.02</v>
      </c>
      <c r="O340" s="160">
        <f>InputData!$C$9</f>
        <v>0.06</v>
      </c>
      <c r="P340" s="160">
        <f>InputData!$C$10</f>
        <v>0.02</v>
      </c>
      <c r="Q340" s="160">
        <f>InputData!$C$11</f>
        <v>0.02</v>
      </c>
      <c r="R340" s="160">
        <f>InputData!$C$12</f>
        <v>0.02</v>
      </c>
      <c r="S340" s="160">
        <f>InputData!$C$13</f>
        <v>0.9</v>
      </c>
      <c r="T340" s="116">
        <f>InputData!$C$88</f>
        <v>180000</v>
      </c>
      <c r="U340" s="116">
        <f>InputData!$C$81</f>
        <v>178500</v>
      </c>
      <c r="V340" s="116">
        <f>InputData!$C$82</f>
        <v>303960</v>
      </c>
      <c r="W340" s="116">
        <f>InputData!$C$84</f>
        <v>215220</v>
      </c>
      <c r="X340" s="116">
        <f>InputData!$C$85</f>
        <v>409020</v>
      </c>
      <c r="Y340" s="116">
        <f>InputData!$C$116</f>
        <v>140000</v>
      </c>
      <c r="Z340" s="160">
        <f>InputData!$E$13</f>
        <v>0</v>
      </c>
    </row>
    <row r="341" spans="1:26" x14ac:dyDescent="0.25">
      <c r="A341">
        <f>InputData!$K$1</f>
        <v>2013</v>
      </c>
      <c r="B341" t="str">
        <f>InputData!$G$1</f>
        <v>San Antonio, TX</v>
      </c>
      <c r="C341" t="s">
        <v>11</v>
      </c>
      <c r="D341" t="str">
        <f>Graph_IntMed!$N$6</f>
        <v>USUim</v>
      </c>
      <c r="E341" t="str">
        <f t="shared" si="5"/>
        <v>Internal Medicine USUim</v>
      </c>
      <c r="F341">
        <f>Graph_IntMed!$A16</f>
        <v>2022</v>
      </c>
      <c r="G341">
        <f>Graph_IntMed!$B16</f>
        <v>10</v>
      </c>
      <c r="H341" s="165">
        <f>Graph_IntMed!$N16</f>
        <v>543487.76383678697</v>
      </c>
      <c r="I341" s="160">
        <f>InputData!$C$3</f>
        <v>0.02</v>
      </c>
      <c r="J341" s="160">
        <f>InputData!$C$4</f>
        <v>0.01</v>
      </c>
      <c r="K341" s="160">
        <f>InputData!$C$5</f>
        <v>0.01</v>
      </c>
      <c r="L341" s="160">
        <f>InputData!$C$6</f>
        <v>6.2100000000000002E-2</v>
      </c>
      <c r="M341" s="160">
        <f>InputData!$C$7</f>
        <v>0.03</v>
      </c>
      <c r="N341" s="160">
        <f>InputData!$C$8</f>
        <v>0.02</v>
      </c>
      <c r="O341" s="160">
        <f>InputData!$C$9</f>
        <v>0.06</v>
      </c>
      <c r="P341" s="160">
        <f>InputData!$C$10</f>
        <v>0.02</v>
      </c>
      <c r="Q341" s="160">
        <f>InputData!$C$11</f>
        <v>0.02</v>
      </c>
      <c r="R341" s="160">
        <f>InputData!$C$12</f>
        <v>0.02</v>
      </c>
      <c r="S341" s="160">
        <f>InputData!$C$13</f>
        <v>0.9</v>
      </c>
      <c r="T341" s="116">
        <f>InputData!$C$88</f>
        <v>180000</v>
      </c>
      <c r="U341" s="116">
        <f>InputData!$C$81</f>
        <v>178500</v>
      </c>
      <c r="V341" s="116">
        <f>InputData!$C$82</f>
        <v>303960</v>
      </c>
      <c r="W341" s="116">
        <f>InputData!$C$84</f>
        <v>215220</v>
      </c>
      <c r="X341" s="116">
        <f>InputData!$C$85</f>
        <v>409020</v>
      </c>
      <c r="Y341" s="116">
        <f>InputData!$C$116</f>
        <v>140000</v>
      </c>
      <c r="Z341" s="160">
        <f>InputData!$E$13</f>
        <v>0</v>
      </c>
    </row>
    <row r="342" spans="1:26" x14ac:dyDescent="0.25">
      <c r="A342">
        <f>InputData!$K$1</f>
        <v>2013</v>
      </c>
      <c r="B342" t="str">
        <f>InputData!$G$1</f>
        <v>San Antonio, TX</v>
      </c>
      <c r="C342" t="s">
        <v>11</v>
      </c>
      <c r="D342" t="str">
        <f>Graph_IntMed!$N$6</f>
        <v>USUim</v>
      </c>
      <c r="E342" t="str">
        <f t="shared" si="5"/>
        <v>Internal Medicine USUim</v>
      </c>
      <c r="F342">
        <f>Graph_IntMed!$A17</f>
        <v>2023</v>
      </c>
      <c r="G342">
        <f>Graph_IntMed!$B17</f>
        <v>11</v>
      </c>
      <c r="H342" s="165">
        <f>Graph_IntMed!$N17</f>
        <v>607173.55986387469</v>
      </c>
      <c r="I342" s="160">
        <f>InputData!$C$3</f>
        <v>0.02</v>
      </c>
      <c r="J342" s="160">
        <f>InputData!$C$4</f>
        <v>0.01</v>
      </c>
      <c r="K342" s="160">
        <f>InputData!$C$5</f>
        <v>0.01</v>
      </c>
      <c r="L342" s="160">
        <f>InputData!$C$6</f>
        <v>6.2100000000000002E-2</v>
      </c>
      <c r="M342" s="160">
        <f>InputData!$C$7</f>
        <v>0.03</v>
      </c>
      <c r="N342" s="160">
        <f>InputData!$C$8</f>
        <v>0.02</v>
      </c>
      <c r="O342" s="160">
        <f>InputData!$C$9</f>
        <v>0.06</v>
      </c>
      <c r="P342" s="160">
        <f>InputData!$C$10</f>
        <v>0.02</v>
      </c>
      <c r="Q342" s="160">
        <f>InputData!$C$11</f>
        <v>0.02</v>
      </c>
      <c r="R342" s="160">
        <f>InputData!$C$12</f>
        <v>0.02</v>
      </c>
      <c r="S342" s="160">
        <f>InputData!$C$13</f>
        <v>0.9</v>
      </c>
      <c r="T342" s="116">
        <f>InputData!$C$88</f>
        <v>180000</v>
      </c>
      <c r="U342" s="116">
        <f>InputData!$C$81</f>
        <v>178500</v>
      </c>
      <c r="V342" s="116">
        <f>InputData!$C$82</f>
        <v>303960</v>
      </c>
      <c r="W342" s="116">
        <f>InputData!$C$84</f>
        <v>215220</v>
      </c>
      <c r="X342" s="116">
        <f>InputData!$C$85</f>
        <v>409020</v>
      </c>
      <c r="Y342" s="116">
        <f>InputData!$C$116</f>
        <v>140000</v>
      </c>
      <c r="Z342" s="160">
        <f>InputData!$E$13</f>
        <v>0</v>
      </c>
    </row>
    <row r="343" spans="1:26" x14ac:dyDescent="0.25">
      <c r="A343">
        <f>InputData!$K$1</f>
        <v>2013</v>
      </c>
      <c r="B343" t="str">
        <f>InputData!$G$1</f>
        <v>San Antonio, TX</v>
      </c>
      <c r="C343" t="s">
        <v>11</v>
      </c>
      <c r="D343" t="str">
        <f>Graph_IntMed!$N$6</f>
        <v>USUim</v>
      </c>
      <c r="E343" t="str">
        <f t="shared" si="5"/>
        <v>Internal Medicine USUim</v>
      </c>
      <c r="F343">
        <f>Graph_IntMed!$A18</f>
        <v>2024</v>
      </c>
      <c r="G343">
        <f>Graph_IntMed!$B18</f>
        <v>12</v>
      </c>
      <c r="H343" s="165">
        <f>Graph_IntMed!$N18</f>
        <v>668444.78607626876</v>
      </c>
      <c r="I343" s="160">
        <f>InputData!$C$3</f>
        <v>0.02</v>
      </c>
      <c r="J343" s="160">
        <f>InputData!$C$4</f>
        <v>0.01</v>
      </c>
      <c r="K343" s="160">
        <f>InputData!$C$5</f>
        <v>0.01</v>
      </c>
      <c r="L343" s="160">
        <f>InputData!$C$6</f>
        <v>6.2100000000000002E-2</v>
      </c>
      <c r="M343" s="160">
        <f>InputData!$C$7</f>
        <v>0.03</v>
      </c>
      <c r="N343" s="160">
        <f>InputData!$C$8</f>
        <v>0.02</v>
      </c>
      <c r="O343" s="160">
        <f>InputData!$C$9</f>
        <v>0.06</v>
      </c>
      <c r="P343" s="160">
        <f>InputData!$C$10</f>
        <v>0.02</v>
      </c>
      <c r="Q343" s="160">
        <f>InputData!$C$11</f>
        <v>0.02</v>
      </c>
      <c r="R343" s="160">
        <f>InputData!$C$12</f>
        <v>0.02</v>
      </c>
      <c r="S343" s="160">
        <f>InputData!$C$13</f>
        <v>0.9</v>
      </c>
      <c r="T343" s="116">
        <f>InputData!$C$88</f>
        <v>180000</v>
      </c>
      <c r="U343" s="116">
        <f>InputData!$C$81</f>
        <v>178500</v>
      </c>
      <c r="V343" s="116">
        <f>InputData!$C$82</f>
        <v>303960</v>
      </c>
      <c r="W343" s="116">
        <f>InputData!$C$84</f>
        <v>215220</v>
      </c>
      <c r="X343" s="116">
        <f>InputData!$C$85</f>
        <v>409020</v>
      </c>
      <c r="Y343" s="116">
        <f>InputData!$C$116</f>
        <v>140000</v>
      </c>
      <c r="Z343" s="160">
        <f>InputData!$E$13</f>
        <v>0</v>
      </c>
    </row>
    <row r="344" spans="1:26" x14ac:dyDescent="0.25">
      <c r="A344">
        <f>InputData!$K$1</f>
        <v>2013</v>
      </c>
      <c r="B344" t="str">
        <f>InputData!$G$1</f>
        <v>San Antonio, TX</v>
      </c>
      <c r="C344" t="s">
        <v>11</v>
      </c>
      <c r="D344" t="str">
        <f>Graph_IntMed!$N$6</f>
        <v>USUim</v>
      </c>
      <c r="E344" t="str">
        <f t="shared" si="5"/>
        <v>Internal Medicine USUim</v>
      </c>
      <c r="F344">
        <f>Graph_IntMed!$A19</f>
        <v>2025</v>
      </c>
      <c r="G344">
        <f>Graph_IntMed!$B19</f>
        <v>13</v>
      </c>
      <c r="H344" s="165">
        <f>Graph_IntMed!$N19</f>
        <v>728871.24943829409</v>
      </c>
      <c r="I344" s="160">
        <f>InputData!$C$3</f>
        <v>0.02</v>
      </c>
      <c r="J344" s="160">
        <f>InputData!$C$4</f>
        <v>0.01</v>
      </c>
      <c r="K344" s="160">
        <f>InputData!$C$5</f>
        <v>0.01</v>
      </c>
      <c r="L344" s="160">
        <f>InputData!$C$6</f>
        <v>6.2100000000000002E-2</v>
      </c>
      <c r="M344" s="160">
        <f>InputData!$C$7</f>
        <v>0.03</v>
      </c>
      <c r="N344" s="160">
        <f>InputData!$C$8</f>
        <v>0.02</v>
      </c>
      <c r="O344" s="160">
        <f>InputData!$C$9</f>
        <v>0.06</v>
      </c>
      <c r="P344" s="160">
        <f>InputData!$C$10</f>
        <v>0.02</v>
      </c>
      <c r="Q344" s="160">
        <f>InputData!$C$11</f>
        <v>0.02</v>
      </c>
      <c r="R344" s="160">
        <f>InputData!$C$12</f>
        <v>0.02</v>
      </c>
      <c r="S344" s="160">
        <f>InputData!$C$13</f>
        <v>0.9</v>
      </c>
      <c r="T344" s="116">
        <f>InputData!$C$88</f>
        <v>180000</v>
      </c>
      <c r="U344" s="116">
        <f>InputData!$C$81</f>
        <v>178500</v>
      </c>
      <c r="V344" s="116">
        <f>InputData!$C$82</f>
        <v>303960</v>
      </c>
      <c r="W344" s="116">
        <f>InputData!$C$84</f>
        <v>215220</v>
      </c>
      <c r="X344" s="116">
        <f>InputData!$C$85</f>
        <v>409020</v>
      </c>
      <c r="Y344" s="116">
        <f>InputData!$C$116</f>
        <v>140000</v>
      </c>
      <c r="Z344" s="160">
        <f>InputData!$E$13</f>
        <v>0</v>
      </c>
    </row>
    <row r="345" spans="1:26" x14ac:dyDescent="0.25">
      <c r="A345">
        <f>InputData!$K$1</f>
        <v>2013</v>
      </c>
      <c r="B345" t="str">
        <f>InputData!$G$1</f>
        <v>San Antonio, TX</v>
      </c>
      <c r="C345" t="s">
        <v>11</v>
      </c>
      <c r="D345" t="str">
        <f>Graph_IntMed!$N$6</f>
        <v>USUim</v>
      </c>
      <c r="E345" t="str">
        <f t="shared" si="5"/>
        <v>Internal Medicine USUim</v>
      </c>
      <c r="F345">
        <f>Graph_IntMed!$A20</f>
        <v>2026</v>
      </c>
      <c r="G345">
        <f>Graph_IntMed!$B20</f>
        <v>14</v>
      </c>
      <c r="H345" s="165">
        <f>Graph_IntMed!$N20</f>
        <v>787006.42688072962</v>
      </c>
      <c r="I345" s="160">
        <f>InputData!$C$3</f>
        <v>0.02</v>
      </c>
      <c r="J345" s="160">
        <f>InputData!$C$4</f>
        <v>0.01</v>
      </c>
      <c r="K345" s="160">
        <f>InputData!$C$5</f>
        <v>0.01</v>
      </c>
      <c r="L345" s="160">
        <f>InputData!$C$6</f>
        <v>6.2100000000000002E-2</v>
      </c>
      <c r="M345" s="160">
        <f>InputData!$C$7</f>
        <v>0.03</v>
      </c>
      <c r="N345" s="160">
        <f>InputData!$C$8</f>
        <v>0.02</v>
      </c>
      <c r="O345" s="160">
        <f>InputData!$C$9</f>
        <v>0.06</v>
      </c>
      <c r="P345" s="160">
        <f>InputData!$C$10</f>
        <v>0.02</v>
      </c>
      <c r="Q345" s="160">
        <f>InputData!$C$11</f>
        <v>0.02</v>
      </c>
      <c r="R345" s="160">
        <f>InputData!$C$12</f>
        <v>0.02</v>
      </c>
      <c r="S345" s="160">
        <f>InputData!$C$13</f>
        <v>0.9</v>
      </c>
      <c r="T345" s="116">
        <f>InputData!$C$88</f>
        <v>180000</v>
      </c>
      <c r="U345" s="116">
        <f>InputData!$C$81</f>
        <v>178500</v>
      </c>
      <c r="V345" s="116">
        <f>InputData!$C$82</f>
        <v>303960</v>
      </c>
      <c r="W345" s="116">
        <f>InputData!$C$84</f>
        <v>215220</v>
      </c>
      <c r="X345" s="116">
        <f>InputData!$C$85</f>
        <v>409020</v>
      </c>
      <c r="Y345" s="116">
        <f>InputData!$C$116</f>
        <v>140000</v>
      </c>
      <c r="Z345" s="160">
        <f>InputData!$E$13</f>
        <v>0</v>
      </c>
    </row>
    <row r="346" spans="1:26" x14ac:dyDescent="0.25">
      <c r="A346">
        <f>InputData!$K$1</f>
        <v>2013</v>
      </c>
      <c r="B346" t="str">
        <f>InputData!$G$1</f>
        <v>San Antonio, TX</v>
      </c>
      <c r="C346" t="s">
        <v>11</v>
      </c>
      <c r="D346" t="str">
        <f>Graph_IntMed!$N$6</f>
        <v>USUim</v>
      </c>
      <c r="E346" t="str">
        <f t="shared" si="5"/>
        <v>Internal Medicine USUim</v>
      </c>
      <c r="F346">
        <f>Graph_IntMed!$A21</f>
        <v>2027</v>
      </c>
      <c r="G346">
        <f>Graph_IntMed!$B21</f>
        <v>15</v>
      </c>
      <c r="H346" s="165">
        <f>Graph_IntMed!$N21</f>
        <v>868135.23805063753</v>
      </c>
      <c r="I346" s="160">
        <f>InputData!$C$3</f>
        <v>0.02</v>
      </c>
      <c r="J346" s="160">
        <f>InputData!$C$4</f>
        <v>0.01</v>
      </c>
      <c r="K346" s="160">
        <f>InputData!$C$5</f>
        <v>0.01</v>
      </c>
      <c r="L346" s="160">
        <f>InputData!$C$6</f>
        <v>6.2100000000000002E-2</v>
      </c>
      <c r="M346" s="160">
        <f>InputData!$C$7</f>
        <v>0.03</v>
      </c>
      <c r="N346" s="160">
        <f>InputData!$C$8</f>
        <v>0.02</v>
      </c>
      <c r="O346" s="160">
        <f>InputData!$C$9</f>
        <v>0.06</v>
      </c>
      <c r="P346" s="160">
        <f>InputData!$C$10</f>
        <v>0.02</v>
      </c>
      <c r="Q346" s="160">
        <f>InputData!$C$11</f>
        <v>0.02</v>
      </c>
      <c r="R346" s="160">
        <f>InputData!$C$12</f>
        <v>0.02</v>
      </c>
      <c r="S346" s="160">
        <f>InputData!$C$13</f>
        <v>0.9</v>
      </c>
      <c r="T346" s="116">
        <f>InputData!$C$88</f>
        <v>180000</v>
      </c>
      <c r="U346" s="116">
        <f>InputData!$C$81</f>
        <v>178500</v>
      </c>
      <c r="V346" s="116">
        <f>InputData!$C$82</f>
        <v>303960</v>
      </c>
      <c r="W346" s="116">
        <f>InputData!$C$84</f>
        <v>215220</v>
      </c>
      <c r="X346" s="116">
        <f>InputData!$C$85</f>
        <v>409020</v>
      </c>
      <c r="Y346" s="116">
        <f>InputData!$C$116</f>
        <v>140000</v>
      </c>
      <c r="Z346" s="160">
        <f>InputData!$E$13</f>
        <v>0</v>
      </c>
    </row>
    <row r="347" spans="1:26" x14ac:dyDescent="0.25">
      <c r="A347">
        <f>InputData!$K$1</f>
        <v>2013</v>
      </c>
      <c r="B347" t="str">
        <f>InputData!$G$1</f>
        <v>San Antonio, TX</v>
      </c>
      <c r="C347" t="s">
        <v>11</v>
      </c>
      <c r="D347" t="str">
        <f>Graph_IntMed!$N$6</f>
        <v>USUim</v>
      </c>
      <c r="E347" t="str">
        <f t="shared" si="5"/>
        <v>Internal Medicine USUim</v>
      </c>
      <c r="F347">
        <f>Graph_IntMed!$A22</f>
        <v>2028</v>
      </c>
      <c r="G347">
        <f>Graph_IntMed!$B22</f>
        <v>16</v>
      </c>
      <c r="H347" s="165">
        <f>Graph_IntMed!$N22</f>
        <v>947664.69639162696</v>
      </c>
      <c r="I347" s="160">
        <f>InputData!$C$3</f>
        <v>0.02</v>
      </c>
      <c r="J347" s="160">
        <f>InputData!$C$4</f>
        <v>0.01</v>
      </c>
      <c r="K347" s="160">
        <f>InputData!$C$5</f>
        <v>0.01</v>
      </c>
      <c r="L347" s="160">
        <f>InputData!$C$6</f>
        <v>6.2100000000000002E-2</v>
      </c>
      <c r="M347" s="160">
        <f>InputData!$C$7</f>
        <v>0.03</v>
      </c>
      <c r="N347" s="160">
        <f>InputData!$C$8</f>
        <v>0.02</v>
      </c>
      <c r="O347" s="160">
        <f>InputData!$C$9</f>
        <v>0.06</v>
      </c>
      <c r="P347" s="160">
        <f>InputData!$C$10</f>
        <v>0.02</v>
      </c>
      <c r="Q347" s="160">
        <f>InputData!$C$11</f>
        <v>0.02</v>
      </c>
      <c r="R347" s="160">
        <f>InputData!$C$12</f>
        <v>0.02</v>
      </c>
      <c r="S347" s="160">
        <f>InputData!$C$13</f>
        <v>0.9</v>
      </c>
      <c r="T347" s="116">
        <f>InputData!$C$88</f>
        <v>180000</v>
      </c>
      <c r="U347" s="116">
        <f>InputData!$C$81</f>
        <v>178500</v>
      </c>
      <c r="V347" s="116">
        <f>InputData!$C$82</f>
        <v>303960</v>
      </c>
      <c r="W347" s="116">
        <f>InputData!$C$84</f>
        <v>215220</v>
      </c>
      <c r="X347" s="116">
        <f>InputData!$C$85</f>
        <v>409020</v>
      </c>
      <c r="Y347" s="116">
        <f>InputData!$C$116</f>
        <v>140000</v>
      </c>
      <c r="Z347" s="160">
        <f>InputData!$E$13</f>
        <v>0</v>
      </c>
    </row>
    <row r="348" spans="1:26" x14ac:dyDescent="0.25">
      <c r="A348">
        <f>InputData!$K$1</f>
        <v>2013</v>
      </c>
      <c r="B348" t="str">
        <f>InputData!$G$1</f>
        <v>San Antonio, TX</v>
      </c>
      <c r="C348" t="s">
        <v>11</v>
      </c>
      <c r="D348" t="str">
        <f>Graph_IntMed!$N$6</f>
        <v>USUim</v>
      </c>
      <c r="E348" t="str">
        <f t="shared" si="5"/>
        <v>Internal Medicine USUim</v>
      </c>
      <c r="F348">
        <f>Graph_IntMed!$A23</f>
        <v>2029</v>
      </c>
      <c r="G348">
        <f>Graph_IntMed!$B23</f>
        <v>17</v>
      </c>
      <c r="H348" s="165">
        <f>Graph_IntMed!$N23</f>
        <v>1025626.4120104356</v>
      </c>
      <c r="I348" s="160">
        <f>InputData!$C$3</f>
        <v>0.02</v>
      </c>
      <c r="J348" s="160">
        <f>InputData!$C$4</f>
        <v>0.01</v>
      </c>
      <c r="K348" s="160">
        <f>InputData!$C$5</f>
        <v>0.01</v>
      </c>
      <c r="L348" s="160">
        <f>InputData!$C$6</f>
        <v>6.2100000000000002E-2</v>
      </c>
      <c r="M348" s="160">
        <f>InputData!$C$7</f>
        <v>0.03</v>
      </c>
      <c r="N348" s="160">
        <f>InputData!$C$8</f>
        <v>0.02</v>
      </c>
      <c r="O348" s="160">
        <f>InputData!$C$9</f>
        <v>0.06</v>
      </c>
      <c r="P348" s="160">
        <f>InputData!$C$10</f>
        <v>0.02</v>
      </c>
      <c r="Q348" s="160">
        <f>InputData!$C$11</f>
        <v>0.02</v>
      </c>
      <c r="R348" s="160">
        <f>InputData!$C$12</f>
        <v>0.02</v>
      </c>
      <c r="S348" s="160">
        <f>InputData!$C$13</f>
        <v>0.9</v>
      </c>
      <c r="T348" s="116">
        <f>InputData!$C$88</f>
        <v>180000</v>
      </c>
      <c r="U348" s="116">
        <f>InputData!$C$81</f>
        <v>178500</v>
      </c>
      <c r="V348" s="116">
        <f>InputData!$C$82</f>
        <v>303960</v>
      </c>
      <c r="W348" s="116">
        <f>InputData!$C$84</f>
        <v>215220</v>
      </c>
      <c r="X348" s="116">
        <f>InputData!$C$85</f>
        <v>409020</v>
      </c>
      <c r="Y348" s="116">
        <f>InputData!$C$116</f>
        <v>140000</v>
      </c>
      <c r="Z348" s="160">
        <f>InputData!$E$13</f>
        <v>0</v>
      </c>
    </row>
    <row r="349" spans="1:26" x14ac:dyDescent="0.25">
      <c r="A349">
        <f>InputData!$K$1</f>
        <v>2013</v>
      </c>
      <c r="B349" t="str">
        <f>InputData!$G$1</f>
        <v>San Antonio, TX</v>
      </c>
      <c r="C349" t="s">
        <v>11</v>
      </c>
      <c r="D349" t="str">
        <f>Graph_IntMed!$N$6</f>
        <v>USUim</v>
      </c>
      <c r="E349" t="str">
        <f t="shared" si="5"/>
        <v>Internal Medicine USUim</v>
      </c>
      <c r="F349">
        <f>Graph_IntMed!$A24</f>
        <v>2030</v>
      </c>
      <c r="G349">
        <f>Graph_IntMed!$B24</f>
        <v>18</v>
      </c>
      <c r="H349" s="165">
        <f>Graph_IntMed!$N24</f>
        <v>1102051.367919029</v>
      </c>
      <c r="I349" s="160">
        <f>InputData!$C$3</f>
        <v>0.02</v>
      </c>
      <c r="J349" s="160">
        <f>InputData!$C$4</f>
        <v>0.01</v>
      </c>
      <c r="K349" s="160">
        <f>InputData!$C$5</f>
        <v>0.01</v>
      </c>
      <c r="L349" s="160">
        <f>InputData!$C$6</f>
        <v>6.2100000000000002E-2</v>
      </c>
      <c r="M349" s="160">
        <f>InputData!$C$7</f>
        <v>0.03</v>
      </c>
      <c r="N349" s="160">
        <f>InputData!$C$8</f>
        <v>0.02</v>
      </c>
      <c r="O349" s="160">
        <f>InputData!$C$9</f>
        <v>0.06</v>
      </c>
      <c r="P349" s="160">
        <f>InputData!$C$10</f>
        <v>0.02</v>
      </c>
      <c r="Q349" s="160">
        <f>InputData!$C$11</f>
        <v>0.02</v>
      </c>
      <c r="R349" s="160">
        <f>InputData!$C$12</f>
        <v>0.02</v>
      </c>
      <c r="S349" s="160">
        <f>InputData!$C$13</f>
        <v>0.9</v>
      </c>
      <c r="T349" s="116">
        <f>InputData!$C$88</f>
        <v>180000</v>
      </c>
      <c r="U349" s="116">
        <f>InputData!$C$81</f>
        <v>178500</v>
      </c>
      <c r="V349" s="116">
        <f>InputData!$C$82</f>
        <v>303960</v>
      </c>
      <c r="W349" s="116">
        <f>InputData!$C$84</f>
        <v>215220</v>
      </c>
      <c r="X349" s="116">
        <f>InputData!$C$85</f>
        <v>409020</v>
      </c>
      <c r="Y349" s="116">
        <f>InputData!$C$116</f>
        <v>140000</v>
      </c>
      <c r="Z349" s="160">
        <f>InputData!$E$13</f>
        <v>0</v>
      </c>
    </row>
    <row r="350" spans="1:26" x14ac:dyDescent="0.25">
      <c r="A350">
        <f>InputData!$K$1</f>
        <v>2013</v>
      </c>
      <c r="B350" t="str">
        <f>InputData!$G$1</f>
        <v>San Antonio, TX</v>
      </c>
      <c r="C350" t="s">
        <v>11</v>
      </c>
      <c r="D350" t="str">
        <f>Graph_IntMed!$N$6</f>
        <v>USUim</v>
      </c>
      <c r="E350" t="str">
        <f t="shared" si="5"/>
        <v>Internal Medicine USUim</v>
      </c>
      <c r="F350">
        <f>Graph_IntMed!$A25</f>
        <v>2031</v>
      </c>
      <c r="G350">
        <f>Graph_IntMed!$B25</f>
        <v>19</v>
      </c>
      <c r="H350" s="165">
        <f>Graph_IntMed!$N25</f>
        <v>1176969.9325428705</v>
      </c>
      <c r="I350" s="160">
        <f>InputData!$C$3</f>
        <v>0.02</v>
      </c>
      <c r="J350" s="160">
        <f>InputData!$C$4</f>
        <v>0.01</v>
      </c>
      <c r="K350" s="160">
        <f>InputData!$C$5</f>
        <v>0.01</v>
      </c>
      <c r="L350" s="160">
        <f>InputData!$C$6</f>
        <v>6.2100000000000002E-2</v>
      </c>
      <c r="M350" s="160">
        <f>InputData!$C$7</f>
        <v>0.03</v>
      </c>
      <c r="N350" s="160">
        <f>InputData!$C$8</f>
        <v>0.02</v>
      </c>
      <c r="O350" s="160">
        <f>InputData!$C$9</f>
        <v>0.06</v>
      </c>
      <c r="P350" s="160">
        <f>InputData!$C$10</f>
        <v>0.02</v>
      </c>
      <c r="Q350" s="160">
        <f>InputData!$C$11</f>
        <v>0.02</v>
      </c>
      <c r="R350" s="160">
        <f>InputData!$C$12</f>
        <v>0.02</v>
      </c>
      <c r="S350" s="160">
        <f>InputData!$C$13</f>
        <v>0.9</v>
      </c>
      <c r="T350" s="116">
        <f>InputData!$C$88</f>
        <v>180000</v>
      </c>
      <c r="U350" s="116">
        <f>InputData!$C$81</f>
        <v>178500</v>
      </c>
      <c r="V350" s="116">
        <f>InputData!$C$82</f>
        <v>303960</v>
      </c>
      <c r="W350" s="116">
        <f>InputData!$C$84</f>
        <v>215220</v>
      </c>
      <c r="X350" s="116">
        <f>InputData!$C$85</f>
        <v>409020</v>
      </c>
      <c r="Y350" s="116">
        <f>InputData!$C$116</f>
        <v>140000</v>
      </c>
      <c r="Z350" s="160">
        <f>InputData!$E$13</f>
        <v>0</v>
      </c>
    </row>
    <row r="351" spans="1:26" x14ac:dyDescent="0.25">
      <c r="A351">
        <f>InputData!$K$1</f>
        <v>2013</v>
      </c>
      <c r="B351" t="str">
        <f>InputData!$G$1</f>
        <v>San Antonio, TX</v>
      </c>
      <c r="C351" t="s">
        <v>11</v>
      </c>
      <c r="D351" t="str">
        <f>Graph_IntMed!$N$6</f>
        <v>USUim</v>
      </c>
      <c r="E351" t="str">
        <f t="shared" si="5"/>
        <v>Internal Medicine USUim</v>
      </c>
      <c r="F351">
        <f>Graph_IntMed!$A26</f>
        <v>2032</v>
      </c>
      <c r="G351">
        <f>Graph_IntMed!$B26</f>
        <v>20</v>
      </c>
      <c r="H351" s="165">
        <f>Graph_IntMed!$N26</f>
        <v>1250411.8719777474</v>
      </c>
      <c r="I351" s="160">
        <f>InputData!$C$3</f>
        <v>0.02</v>
      </c>
      <c r="J351" s="160">
        <f>InputData!$C$4</f>
        <v>0.01</v>
      </c>
      <c r="K351" s="160">
        <f>InputData!$C$5</f>
        <v>0.01</v>
      </c>
      <c r="L351" s="160">
        <f>InputData!$C$6</f>
        <v>6.2100000000000002E-2</v>
      </c>
      <c r="M351" s="160">
        <f>InputData!$C$7</f>
        <v>0.03</v>
      </c>
      <c r="N351" s="160">
        <f>InputData!$C$8</f>
        <v>0.02</v>
      </c>
      <c r="O351" s="160">
        <f>InputData!$C$9</f>
        <v>0.06</v>
      </c>
      <c r="P351" s="160">
        <f>InputData!$C$10</f>
        <v>0.02</v>
      </c>
      <c r="Q351" s="160">
        <f>InputData!$C$11</f>
        <v>0.02</v>
      </c>
      <c r="R351" s="160">
        <f>InputData!$C$12</f>
        <v>0.02</v>
      </c>
      <c r="S351" s="160">
        <f>InputData!$C$13</f>
        <v>0.9</v>
      </c>
      <c r="T351" s="116">
        <f>InputData!$C$88</f>
        <v>180000</v>
      </c>
      <c r="U351" s="116">
        <f>InputData!$C$81</f>
        <v>178500</v>
      </c>
      <c r="V351" s="116">
        <f>InputData!$C$82</f>
        <v>303960</v>
      </c>
      <c r="W351" s="116">
        <f>InputData!$C$84</f>
        <v>215220</v>
      </c>
      <c r="X351" s="116">
        <f>InputData!$C$85</f>
        <v>409020</v>
      </c>
      <c r="Y351" s="116">
        <f>InputData!$C$116</f>
        <v>140000</v>
      </c>
      <c r="Z351" s="160">
        <f>InputData!$E$13</f>
        <v>0</v>
      </c>
    </row>
    <row r="352" spans="1:26" x14ac:dyDescent="0.25">
      <c r="A352">
        <f>InputData!$K$1</f>
        <v>2013</v>
      </c>
      <c r="B352" t="str">
        <f>InputData!$G$1</f>
        <v>San Antonio, TX</v>
      </c>
      <c r="C352" t="s">
        <v>11</v>
      </c>
      <c r="D352" t="str">
        <f>Graph_IntMed!$N$6</f>
        <v>USUim</v>
      </c>
      <c r="E352" t="str">
        <f t="shared" si="5"/>
        <v>Internal Medicine USUim</v>
      </c>
      <c r="F352">
        <f>Graph_IntMed!$A27</f>
        <v>2033</v>
      </c>
      <c r="G352">
        <f>Graph_IntMed!$B27</f>
        <v>21</v>
      </c>
      <c r="H352" s="165">
        <f>Graph_IntMed!$N27</f>
        <v>1322406.3620002642</v>
      </c>
      <c r="I352" s="160">
        <f>InputData!$C$3</f>
        <v>0.02</v>
      </c>
      <c r="J352" s="160">
        <f>InputData!$C$4</f>
        <v>0.01</v>
      </c>
      <c r="K352" s="160">
        <f>InputData!$C$5</f>
        <v>0.01</v>
      </c>
      <c r="L352" s="160">
        <f>InputData!$C$6</f>
        <v>6.2100000000000002E-2</v>
      </c>
      <c r="M352" s="160">
        <f>InputData!$C$7</f>
        <v>0.03</v>
      </c>
      <c r="N352" s="160">
        <f>InputData!$C$8</f>
        <v>0.02</v>
      </c>
      <c r="O352" s="160">
        <f>InputData!$C$9</f>
        <v>0.06</v>
      </c>
      <c r="P352" s="160">
        <f>InputData!$C$10</f>
        <v>0.02</v>
      </c>
      <c r="Q352" s="160">
        <f>InputData!$C$11</f>
        <v>0.02</v>
      </c>
      <c r="R352" s="160">
        <f>InputData!$C$12</f>
        <v>0.02</v>
      </c>
      <c r="S352" s="160">
        <f>InputData!$C$13</f>
        <v>0.9</v>
      </c>
      <c r="T352" s="116">
        <f>InputData!$C$88</f>
        <v>180000</v>
      </c>
      <c r="U352" s="116">
        <f>InputData!$C$81</f>
        <v>178500</v>
      </c>
      <c r="V352" s="116">
        <f>InputData!$C$82</f>
        <v>303960</v>
      </c>
      <c r="W352" s="116">
        <f>InputData!$C$84</f>
        <v>215220</v>
      </c>
      <c r="X352" s="116">
        <f>InputData!$C$85</f>
        <v>409020</v>
      </c>
      <c r="Y352" s="116">
        <f>InputData!$C$116</f>
        <v>140000</v>
      </c>
      <c r="Z352" s="160">
        <f>InputData!$E$13</f>
        <v>0</v>
      </c>
    </row>
    <row r="353" spans="1:26" x14ac:dyDescent="0.25">
      <c r="A353">
        <f>InputData!$K$1</f>
        <v>2013</v>
      </c>
      <c r="B353" t="str">
        <f>InputData!$G$1</f>
        <v>San Antonio, TX</v>
      </c>
      <c r="C353" t="s">
        <v>11</v>
      </c>
      <c r="D353" t="str">
        <f>Graph_IntMed!$N$6</f>
        <v>USUim</v>
      </c>
      <c r="E353" t="str">
        <f t="shared" si="5"/>
        <v>Internal Medicine USUim</v>
      </c>
      <c r="F353">
        <f>Graph_IntMed!$A28</f>
        <v>2034</v>
      </c>
      <c r="G353">
        <f>Graph_IntMed!$B28</f>
        <v>22</v>
      </c>
      <c r="H353" s="165">
        <f>Graph_IntMed!$N28</f>
        <v>1392981.9998370076</v>
      </c>
      <c r="I353" s="160">
        <f>InputData!$C$3</f>
        <v>0.02</v>
      </c>
      <c r="J353" s="160">
        <f>InputData!$C$4</f>
        <v>0.01</v>
      </c>
      <c r="K353" s="160">
        <f>InputData!$C$5</f>
        <v>0.01</v>
      </c>
      <c r="L353" s="160">
        <f>InputData!$C$6</f>
        <v>6.2100000000000002E-2</v>
      </c>
      <c r="M353" s="160">
        <f>InputData!$C$7</f>
        <v>0.03</v>
      </c>
      <c r="N353" s="160">
        <f>InputData!$C$8</f>
        <v>0.02</v>
      </c>
      <c r="O353" s="160">
        <f>InputData!$C$9</f>
        <v>0.06</v>
      </c>
      <c r="P353" s="160">
        <f>InputData!$C$10</f>
        <v>0.02</v>
      </c>
      <c r="Q353" s="160">
        <f>InputData!$C$11</f>
        <v>0.02</v>
      </c>
      <c r="R353" s="160">
        <f>InputData!$C$12</f>
        <v>0.02</v>
      </c>
      <c r="S353" s="160">
        <f>InputData!$C$13</f>
        <v>0.9</v>
      </c>
      <c r="T353" s="116">
        <f>InputData!$C$88</f>
        <v>180000</v>
      </c>
      <c r="U353" s="116">
        <f>InputData!$C$81</f>
        <v>178500</v>
      </c>
      <c r="V353" s="116">
        <f>InputData!$C$82</f>
        <v>303960</v>
      </c>
      <c r="W353" s="116">
        <f>InputData!$C$84</f>
        <v>215220</v>
      </c>
      <c r="X353" s="116">
        <f>InputData!$C$85</f>
        <v>409020</v>
      </c>
      <c r="Y353" s="116">
        <f>InputData!$C$116</f>
        <v>140000</v>
      </c>
      <c r="Z353" s="160">
        <f>InputData!$E$13</f>
        <v>0</v>
      </c>
    </row>
    <row r="354" spans="1:26" x14ac:dyDescent="0.25">
      <c r="A354">
        <f>InputData!$K$1</f>
        <v>2013</v>
      </c>
      <c r="B354" t="str">
        <f>InputData!$G$1</f>
        <v>San Antonio, TX</v>
      </c>
      <c r="C354" t="s">
        <v>11</v>
      </c>
      <c r="D354" t="str">
        <f>Graph_IntMed!$N$6</f>
        <v>USUim</v>
      </c>
      <c r="E354" t="str">
        <f t="shared" si="5"/>
        <v>Internal Medicine USUim</v>
      </c>
      <c r="F354">
        <f>Graph_IntMed!$A29</f>
        <v>2035</v>
      </c>
      <c r="G354">
        <f>Graph_IntMed!$B29</f>
        <v>23</v>
      </c>
      <c r="H354" s="165">
        <f>Graph_IntMed!$N29</f>
        <v>1462166.8156972844</v>
      </c>
      <c r="I354" s="160">
        <f>InputData!$C$3</f>
        <v>0.02</v>
      </c>
      <c r="J354" s="160">
        <f>InputData!$C$4</f>
        <v>0.01</v>
      </c>
      <c r="K354" s="160">
        <f>InputData!$C$5</f>
        <v>0.01</v>
      </c>
      <c r="L354" s="160">
        <f>InputData!$C$6</f>
        <v>6.2100000000000002E-2</v>
      </c>
      <c r="M354" s="160">
        <f>InputData!$C$7</f>
        <v>0.03</v>
      </c>
      <c r="N354" s="160">
        <f>InputData!$C$8</f>
        <v>0.02</v>
      </c>
      <c r="O354" s="160">
        <f>InputData!$C$9</f>
        <v>0.06</v>
      </c>
      <c r="P354" s="160">
        <f>InputData!$C$10</f>
        <v>0.02</v>
      </c>
      <c r="Q354" s="160">
        <f>InputData!$C$11</f>
        <v>0.02</v>
      </c>
      <c r="R354" s="160">
        <f>InputData!$C$12</f>
        <v>0.02</v>
      </c>
      <c r="S354" s="160">
        <f>InputData!$C$13</f>
        <v>0.9</v>
      </c>
      <c r="T354" s="116">
        <f>InputData!$C$88</f>
        <v>180000</v>
      </c>
      <c r="U354" s="116">
        <f>InputData!$C$81</f>
        <v>178500</v>
      </c>
      <c r="V354" s="116">
        <f>InputData!$C$82</f>
        <v>303960</v>
      </c>
      <c r="W354" s="116">
        <f>InputData!$C$84</f>
        <v>215220</v>
      </c>
      <c r="X354" s="116">
        <f>InputData!$C$85</f>
        <v>409020</v>
      </c>
      <c r="Y354" s="116">
        <f>InputData!$C$116</f>
        <v>140000</v>
      </c>
      <c r="Z354" s="160">
        <f>InputData!$E$13</f>
        <v>0</v>
      </c>
    </row>
    <row r="355" spans="1:26" x14ac:dyDescent="0.25">
      <c r="A355">
        <f>InputData!$K$1</f>
        <v>2013</v>
      </c>
      <c r="B355" t="str">
        <f>InputData!$G$1</f>
        <v>San Antonio, TX</v>
      </c>
      <c r="C355" t="s">
        <v>11</v>
      </c>
      <c r="D355" t="str">
        <f>Graph_IntMed!$N$6</f>
        <v>USUim</v>
      </c>
      <c r="E355" t="str">
        <f t="shared" si="5"/>
        <v>Internal Medicine USUim</v>
      </c>
      <c r="F355">
        <f>Graph_IntMed!$A30</f>
        <v>2036</v>
      </c>
      <c r="G355">
        <f>Graph_IntMed!$B30</f>
        <v>24</v>
      </c>
      <c r="H355" s="165">
        <f>Graph_IntMed!$N30</f>
        <v>1529988.2840742352</v>
      </c>
      <c r="I355" s="160">
        <f>InputData!$C$3</f>
        <v>0.02</v>
      </c>
      <c r="J355" s="160">
        <f>InputData!$C$4</f>
        <v>0.01</v>
      </c>
      <c r="K355" s="160">
        <f>InputData!$C$5</f>
        <v>0.01</v>
      </c>
      <c r="L355" s="160">
        <f>InputData!$C$6</f>
        <v>6.2100000000000002E-2</v>
      </c>
      <c r="M355" s="160">
        <f>InputData!$C$7</f>
        <v>0.03</v>
      </c>
      <c r="N355" s="160">
        <f>InputData!$C$8</f>
        <v>0.02</v>
      </c>
      <c r="O355" s="160">
        <f>InputData!$C$9</f>
        <v>0.06</v>
      </c>
      <c r="P355" s="160">
        <f>InputData!$C$10</f>
        <v>0.02</v>
      </c>
      <c r="Q355" s="160">
        <f>InputData!$C$11</f>
        <v>0.02</v>
      </c>
      <c r="R355" s="160">
        <f>InputData!$C$12</f>
        <v>0.02</v>
      </c>
      <c r="S355" s="160">
        <f>InputData!$C$13</f>
        <v>0.9</v>
      </c>
      <c r="T355" s="116">
        <f>InputData!$C$88</f>
        <v>180000</v>
      </c>
      <c r="U355" s="116">
        <f>InputData!$C$81</f>
        <v>178500</v>
      </c>
      <c r="V355" s="116">
        <f>InputData!$C$82</f>
        <v>303960</v>
      </c>
      <c r="W355" s="116">
        <f>InputData!$C$84</f>
        <v>215220</v>
      </c>
      <c r="X355" s="116">
        <f>InputData!$C$85</f>
        <v>409020</v>
      </c>
      <c r="Y355" s="116">
        <f>InputData!$C$116</f>
        <v>140000</v>
      </c>
      <c r="Z355" s="160">
        <f>InputData!$E$13</f>
        <v>0</v>
      </c>
    </row>
    <row r="356" spans="1:26" x14ac:dyDescent="0.25">
      <c r="A356">
        <f>InputData!$K$1</f>
        <v>2013</v>
      </c>
      <c r="B356" t="str">
        <f>InputData!$G$1</f>
        <v>San Antonio, TX</v>
      </c>
      <c r="C356" t="s">
        <v>11</v>
      </c>
      <c r="D356" t="str">
        <f>Graph_IntMed!$N$6</f>
        <v>USUim</v>
      </c>
      <c r="E356" t="str">
        <f t="shared" si="5"/>
        <v>Internal Medicine USUim</v>
      </c>
      <c r="F356">
        <f>Graph_IntMed!$A31</f>
        <v>2037</v>
      </c>
      <c r="G356">
        <f>Graph_IntMed!$B31</f>
        <v>25</v>
      </c>
      <c r="H356" s="165">
        <f>Graph_IntMed!$N31</f>
        <v>1596466.4092454289</v>
      </c>
      <c r="I356" s="160">
        <f>InputData!$C$3</f>
        <v>0.02</v>
      </c>
      <c r="J356" s="160">
        <f>InputData!$C$4</f>
        <v>0.01</v>
      </c>
      <c r="K356" s="160">
        <f>InputData!$C$5</f>
        <v>0.01</v>
      </c>
      <c r="L356" s="160">
        <f>InputData!$C$6</f>
        <v>6.2100000000000002E-2</v>
      </c>
      <c r="M356" s="160">
        <f>InputData!$C$7</f>
        <v>0.03</v>
      </c>
      <c r="N356" s="160">
        <f>InputData!$C$8</f>
        <v>0.02</v>
      </c>
      <c r="O356" s="160">
        <f>InputData!$C$9</f>
        <v>0.06</v>
      </c>
      <c r="P356" s="160">
        <f>InputData!$C$10</f>
        <v>0.02</v>
      </c>
      <c r="Q356" s="160">
        <f>InputData!$C$11</f>
        <v>0.02</v>
      </c>
      <c r="R356" s="160">
        <f>InputData!$C$12</f>
        <v>0.02</v>
      </c>
      <c r="S356" s="160">
        <f>InputData!$C$13</f>
        <v>0.9</v>
      </c>
      <c r="T356" s="116">
        <f>InputData!$C$88</f>
        <v>180000</v>
      </c>
      <c r="U356" s="116">
        <f>InputData!$C$81</f>
        <v>178500</v>
      </c>
      <c r="V356" s="116">
        <f>InputData!$C$82</f>
        <v>303960</v>
      </c>
      <c r="W356" s="116">
        <f>InputData!$C$84</f>
        <v>215220</v>
      </c>
      <c r="X356" s="116">
        <f>InputData!$C$85</f>
        <v>409020</v>
      </c>
      <c r="Y356" s="116">
        <f>InputData!$C$116</f>
        <v>140000</v>
      </c>
      <c r="Z356" s="160">
        <f>InputData!$E$13</f>
        <v>0</v>
      </c>
    </row>
    <row r="357" spans="1:26" x14ac:dyDescent="0.25">
      <c r="A357">
        <f>InputData!$K$1</f>
        <v>2013</v>
      </c>
      <c r="B357" t="str">
        <f>InputData!$G$1</f>
        <v>San Antonio, TX</v>
      </c>
      <c r="C357" t="s">
        <v>11</v>
      </c>
      <c r="D357" t="str">
        <f>Graph_IntMed!$N$6</f>
        <v>USUim</v>
      </c>
      <c r="E357" t="str">
        <f t="shared" si="5"/>
        <v>Internal Medicine USUim</v>
      </c>
      <c r="F357">
        <f>Graph_IntMed!$A32</f>
        <v>2038</v>
      </c>
      <c r="G357">
        <f>Graph_IntMed!$B32</f>
        <v>26</v>
      </c>
      <c r="H357" s="165">
        <f>Graph_IntMed!$N32</f>
        <v>1661590.317947668</v>
      </c>
      <c r="I357" s="160">
        <f>InputData!$C$3</f>
        <v>0.02</v>
      </c>
      <c r="J357" s="160">
        <f>InputData!$C$4</f>
        <v>0.01</v>
      </c>
      <c r="K357" s="160">
        <f>InputData!$C$5</f>
        <v>0.01</v>
      </c>
      <c r="L357" s="160">
        <f>InputData!$C$6</f>
        <v>6.2100000000000002E-2</v>
      </c>
      <c r="M357" s="160">
        <f>InputData!$C$7</f>
        <v>0.03</v>
      </c>
      <c r="N357" s="160">
        <f>InputData!$C$8</f>
        <v>0.02</v>
      </c>
      <c r="O357" s="160">
        <f>InputData!$C$9</f>
        <v>0.06</v>
      </c>
      <c r="P357" s="160">
        <f>InputData!$C$10</f>
        <v>0.02</v>
      </c>
      <c r="Q357" s="160">
        <f>InputData!$C$11</f>
        <v>0.02</v>
      </c>
      <c r="R357" s="160">
        <f>InputData!$C$12</f>
        <v>0.02</v>
      </c>
      <c r="S357" s="160">
        <f>InputData!$C$13</f>
        <v>0.9</v>
      </c>
      <c r="T357" s="116">
        <f>InputData!$C$88</f>
        <v>180000</v>
      </c>
      <c r="U357" s="116">
        <f>InputData!$C$81</f>
        <v>178500</v>
      </c>
      <c r="V357" s="116">
        <f>InputData!$C$82</f>
        <v>303960</v>
      </c>
      <c r="W357" s="116">
        <f>InputData!$C$84</f>
        <v>215220</v>
      </c>
      <c r="X357" s="116">
        <f>InputData!$C$85</f>
        <v>409020</v>
      </c>
      <c r="Y357" s="116">
        <f>InputData!$C$116</f>
        <v>140000</v>
      </c>
      <c r="Z357" s="160">
        <f>InputData!$E$13</f>
        <v>0</v>
      </c>
    </row>
    <row r="358" spans="1:26" x14ac:dyDescent="0.25">
      <c r="A358">
        <f>InputData!$K$1</f>
        <v>2013</v>
      </c>
      <c r="B358" t="str">
        <f>InputData!$G$1</f>
        <v>San Antonio, TX</v>
      </c>
      <c r="C358" t="s">
        <v>11</v>
      </c>
      <c r="D358" t="str">
        <f>Graph_IntMed!$N$6</f>
        <v>USUim</v>
      </c>
      <c r="E358" t="str">
        <f t="shared" si="5"/>
        <v>Internal Medicine USUim</v>
      </c>
      <c r="F358">
        <f>Graph_IntMed!$A33</f>
        <v>2039</v>
      </c>
      <c r="G358">
        <f>Graph_IntMed!$B33</f>
        <v>27</v>
      </c>
      <c r="H358" s="165">
        <f>Graph_IntMed!$N33</f>
        <v>1725388.0408378227</v>
      </c>
      <c r="I358" s="160">
        <f>InputData!$C$3</f>
        <v>0.02</v>
      </c>
      <c r="J358" s="160">
        <f>InputData!$C$4</f>
        <v>0.01</v>
      </c>
      <c r="K358" s="160">
        <f>InputData!$C$5</f>
        <v>0.01</v>
      </c>
      <c r="L358" s="160">
        <f>InputData!$C$6</f>
        <v>6.2100000000000002E-2</v>
      </c>
      <c r="M358" s="160">
        <f>InputData!$C$7</f>
        <v>0.03</v>
      </c>
      <c r="N358" s="160">
        <f>InputData!$C$8</f>
        <v>0.02</v>
      </c>
      <c r="O358" s="160">
        <f>InputData!$C$9</f>
        <v>0.06</v>
      </c>
      <c r="P358" s="160">
        <f>InputData!$C$10</f>
        <v>0.02</v>
      </c>
      <c r="Q358" s="160">
        <f>InputData!$C$11</f>
        <v>0.02</v>
      </c>
      <c r="R358" s="160">
        <f>InputData!$C$12</f>
        <v>0.02</v>
      </c>
      <c r="S358" s="160">
        <f>InputData!$C$13</f>
        <v>0.9</v>
      </c>
      <c r="T358" s="116">
        <f>InputData!$C$88</f>
        <v>180000</v>
      </c>
      <c r="U358" s="116">
        <f>InputData!$C$81</f>
        <v>178500</v>
      </c>
      <c r="V358" s="116">
        <f>InputData!$C$82</f>
        <v>303960</v>
      </c>
      <c r="W358" s="116">
        <f>InputData!$C$84</f>
        <v>215220</v>
      </c>
      <c r="X358" s="116">
        <f>InputData!$C$85</f>
        <v>409020</v>
      </c>
      <c r="Y358" s="116">
        <f>InputData!$C$116</f>
        <v>140000</v>
      </c>
      <c r="Z358" s="160">
        <f>InputData!$E$13</f>
        <v>0</v>
      </c>
    </row>
    <row r="359" spans="1:26" x14ac:dyDescent="0.25">
      <c r="A359">
        <f>InputData!$K$1</f>
        <v>2013</v>
      </c>
      <c r="B359" t="str">
        <f>InputData!$G$1</f>
        <v>San Antonio, TX</v>
      </c>
      <c r="C359" t="s">
        <v>11</v>
      </c>
      <c r="D359" t="str">
        <f>Graph_IntMed!$N$6</f>
        <v>USUim</v>
      </c>
      <c r="E359" t="str">
        <f t="shared" si="5"/>
        <v>Internal Medicine USUim</v>
      </c>
      <c r="F359">
        <f>Graph_IntMed!$A34</f>
        <v>2040</v>
      </c>
      <c r="G359">
        <f>Graph_IntMed!$B34</f>
        <v>28</v>
      </c>
      <c r="H359" s="165">
        <f>Graph_IntMed!$N34</f>
        <v>1787887.0159211827</v>
      </c>
      <c r="I359" s="160">
        <f>InputData!$C$3</f>
        <v>0.02</v>
      </c>
      <c r="J359" s="160">
        <f>InputData!$C$4</f>
        <v>0.01</v>
      </c>
      <c r="K359" s="160">
        <f>InputData!$C$5</f>
        <v>0.01</v>
      </c>
      <c r="L359" s="160">
        <f>InputData!$C$6</f>
        <v>6.2100000000000002E-2</v>
      </c>
      <c r="M359" s="160">
        <f>InputData!$C$7</f>
        <v>0.03</v>
      </c>
      <c r="N359" s="160">
        <f>InputData!$C$8</f>
        <v>0.02</v>
      </c>
      <c r="O359" s="160">
        <f>InputData!$C$9</f>
        <v>0.06</v>
      </c>
      <c r="P359" s="160">
        <f>InputData!$C$10</f>
        <v>0.02</v>
      </c>
      <c r="Q359" s="160">
        <f>InputData!$C$11</f>
        <v>0.02</v>
      </c>
      <c r="R359" s="160">
        <f>InputData!$C$12</f>
        <v>0.02</v>
      </c>
      <c r="S359" s="160">
        <f>InputData!$C$13</f>
        <v>0.9</v>
      </c>
      <c r="T359" s="116">
        <f>InputData!$C$88</f>
        <v>180000</v>
      </c>
      <c r="U359" s="116">
        <f>InputData!$C$81</f>
        <v>178500</v>
      </c>
      <c r="V359" s="116">
        <f>InputData!$C$82</f>
        <v>303960</v>
      </c>
      <c r="W359" s="116">
        <f>InputData!$C$84</f>
        <v>215220</v>
      </c>
      <c r="X359" s="116">
        <f>InputData!$C$85</f>
        <v>409020</v>
      </c>
      <c r="Y359" s="116">
        <f>InputData!$C$116</f>
        <v>140000</v>
      </c>
      <c r="Z359" s="160">
        <f>InputData!$E$13</f>
        <v>0</v>
      </c>
    </row>
    <row r="360" spans="1:26" x14ac:dyDescent="0.25">
      <c r="A360">
        <f>InputData!$K$1</f>
        <v>2013</v>
      </c>
      <c r="B360" t="str">
        <f>InputData!$G$1</f>
        <v>San Antonio, TX</v>
      </c>
      <c r="C360" t="s">
        <v>11</v>
      </c>
      <c r="D360" t="str">
        <f>Graph_IntMed!$N$6</f>
        <v>USUim</v>
      </c>
      <c r="E360" t="str">
        <f t="shared" si="5"/>
        <v>Internal Medicine USUim</v>
      </c>
      <c r="F360">
        <f>Graph_IntMed!$A35</f>
        <v>2041</v>
      </c>
      <c r="G360">
        <f>Graph_IntMed!$B35</f>
        <v>29</v>
      </c>
      <c r="H360" s="165">
        <f>Graph_IntMed!$N35</f>
        <v>1849114.1014254023</v>
      </c>
      <c r="I360" s="160">
        <f>InputData!$C$3</f>
        <v>0.02</v>
      </c>
      <c r="J360" s="160">
        <f>InputData!$C$4</f>
        <v>0.01</v>
      </c>
      <c r="K360" s="160">
        <f>InputData!$C$5</f>
        <v>0.01</v>
      </c>
      <c r="L360" s="160">
        <f>InputData!$C$6</f>
        <v>6.2100000000000002E-2</v>
      </c>
      <c r="M360" s="160">
        <f>InputData!$C$7</f>
        <v>0.03</v>
      </c>
      <c r="N360" s="160">
        <f>InputData!$C$8</f>
        <v>0.02</v>
      </c>
      <c r="O360" s="160">
        <f>InputData!$C$9</f>
        <v>0.06</v>
      </c>
      <c r="P360" s="160">
        <f>InputData!$C$10</f>
        <v>0.02</v>
      </c>
      <c r="Q360" s="160">
        <f>InputData!$C$11</f>
        <v>0.02</v>
      </c>
      <c r="R360" s="160">
        <f>InputData!$C$12</f>
        <v>0.02</v>
      </c>
      <c r="S360" s="160">
        <f>InputData!$C$13</f>
        <v>0.9</v>
      </c>
      <c r="T360" s="116">
        <f>InputData!$C$88</f>
        <v>180000</v>
      </c>
      <c r="U360" s="116">
        <f>InputData!$C$81</f>
        <v>178500</v>
      </c>
      <c r="V360" s="116">
        <f>InputData!$C$82</f>
        <v>303960</v>
      </c>
      <c r="W360" s="116">
        <f>InputData!$C$84</f>
        <v>215220</v>
      </c>
      <c r="X360" s="116">
        <f>InputData!$C$85</f>
        <v>409020</v>
      </c>
      <c r="Y360" s="116">
        <f>InputData!$C$116</f>
        <v>140000</v>
      </c>
      <c r="Z360" s="160">
        <f>InputData!$E$13</f>
        <v>0</v>
      </c>
    </row>
    <row r="361" spans="1:26" x14ac:dyDescent="0.25">
      <c r="A361">
        <f>InputData!$K$1</f>
        <v>2013</v>
      </c>
      <c r="B361" t="str">
        <f>InputData!$G$1</f>
        <v>San Antonio, TX</v>
      </c>
      <c r="C361" t="s">
        <v>11</v>
      </c>
      <c r="D361" t="str">
        <f>Graph_IntMed!$N$6</f>
        <v>USUim</v>
      </c>
      <c r="E361" t="str">
        <f t="shared" si="5"/>
        <v>Internal Medicine USUim</v>
      </c>
      <c r="F361">
        <f>Graph_IntMed!$A36</f>
        <v>2042</v>
      </c>
      <c r="G361">
        <f>Graph_IntMed!$B36</f>
        <v>30</v>
      </c>
      <c r="H361" s="165">
        <f>Graph_IntMed!$N36</f>
        <v>1909095.5883855114</v>
      </c>
      <c r="I361" s="160">
        <f>InputData!$C$3</f>
        <v>0.02</v>
      </c>
      <c r="J361" s="160">
        <f>InputData!$C$4</f>
        <v>0.01</v>
      </c>
      <c r="K361" s="160">
        <f>InputData!$C$5</f>
        <v>0.01</v>
      </c>
      <c r="L361" s="160">
        <f>InputData!$C$6</f>
        <v>6.2100000000000002E-2</v>
      </c>
      <c r="M361" s="160">
        <f>InputData!$C$7</f>
        <v>0.03</v>
      </c>
      <c r="N361" s="160">
        <f>InputData!$C$8</f>
        <v>0.02</v>
      </c>
      <c r="O361" s="160">
        <f>InputData!$C$9</f>
        <v>0.06</v>
      </c>
      <c r="P361" s="160">
        <f>InputData!$C$10</f>
        <v>0.02</v>
      </c>
      <c r="Q361" s="160">
        <f>InputData!$C$11</f>
        <v>0.02</v>
      </c>
      <c r="R361" s="160">
        <f>InputData!$C$12</f>
        <v>0.02</v>
      </c>
      <c r="S361" s="160">
        <f>InputData!$C$13</f>
        <v>0.9</v>
      </c>
      <c r="T361" s="116">
        <f>InputData!$C$88</f>
        <v>180000</v>
      </c>
      <c r="U361" s="116">
        <f>InputData!$C$81</f>
        <v>178500</v>
      </c>
      <c r="V361" s="116">
        <f>InputData!$C$82</f>
        <v>303960</v>
      </c>
      <c r="W361" s="116">
        <f>InputData!$C$84</f>
        <v>215220</v>
      </c>
      <c r="X361" s="116">
        <f>InputData!$C$85</f>
        <v>409020</v>
      </c>
      <c r="Y361" s="116">
        <f>InputData!$C$116</f>
        <v>140000</v>
      </c>
      <c r="Z361" s="160">
        <f>InputData!$E$13</f>
        <v>0</v>
      </c>
    </row>
    <row r="362" spans="1:26" x14ac:dyDescent="0.25">
      <c r="A362">
        <f>InputData!$K$1</f>
        <v>2013</v>
      </c>
      <c r="B362" t="str">
        <f>InputData!$G$1</f>
        <v>San Antonio, TX</v>
      </c>
      <c r="C362" t="s">
        <v>11</v>
      </c>
      <c r="D362" t="str">
        <f>Graph_IntMed!$O$6</f>
        <v>HPSPim</v>
      </c>
      <c r="E362" t="str">
        <f t="shared" si="5"/>
        <v>Internal Medicine HPSPim</v>
      </c>
      <c r="F362">
        <f>Graph_IntMed!$A7</f>
        <v>2013</v>
      </c>
      <c r="G362">
        <f>Graph_IntMed!$B7</f>
        <v>1</v>
      </c>
      <c r="H362" s="165">
        <f>Graph_IntMed!$O7</f>
        <v>43551.744866529771</v>
      </c>
      <c r="I362" s="160">
        <f>InputData!$C$3</f>
        <v>0.02</v>
      </c>
      <c r="J362" s="160">
        <f>InputData!$C$4</f>
        <v>0.01</v>
      </c>
      <c r="K362" s="160">
        <f>InputData!$C$5</f>
        <v>0.01</v>
      </c>
      <c r="L362" s="160">
        <f>InputData!$C$6</f>
        <v>6.2100000000000002E-2</v>
      </c>
      <c r="M362" s="160">
        <f>InputData!$C$7</f>
        <v>0.03</v>
      </c>
      <c r="N362" s="160">
        <f>InputData!$C$8</f>
        <v>0.02</v>
      </c>
      <c r="O362" s="160">
        <f>InputData!$C$9</f>
        <v>0.06</v>
      </c>
      <c r="P362" s="160">
        <f>InputData!$C$10</f>
        <v>0.02</v>
      </c>
      <c r="Q362" s="160">
        <f>InputData!$C$11</f>
        <v>0.02</v>
      </c>
      <c r="R362" s="160">
        <f>InputData!$C$12</f>
        <v>0.02</v>
      </c>
      <c r="S362" s="160">
        <f>InputData!$C$13</f>
        <v>0.9</v>
      </c>
      <c r="T362" s="116">
        <f>InputData!$C$88</f>
        <v>180000</v>
      </c>
      <c r="U362" s="116">
        <f>InputData!$C$81</f>
        <v>178500</v>
      </c>
      <c r="V362" s="116">
        <f>InputData!$C$82</f>
        <v>303960</v>
      </c>
      <c r="W362" s="116">
        <f>InputData!$C$84</f>
        <v>215220</v>
      </c>
      <c r="X362" s="116">
        <f>InputData!$C$85</f>
        <v>409020</v>
      </c>
      <c r="Y362" s="116">
        <f>InputData!$C$116</f>
        <v>140000</v>
      </c>
      <c r="Z362" s="160">
        <f>InputData!$E$13</f>
        <v>0</v>
      </c>
    </row>
    <row r="363" spans="1:26" x14ac:dyDescent="0.25">
      <c r="A363">
        <f>InputData!$K$1</f>
        <v>2013</v>
      </c>
      <c r="B363" t="str">
        <f>InputData!$G$1</f>
        <v>San Antonio, TX</v>
      </c>
      <c r="C363" t="s">
        <v>11</v>
      </c>
      <c r="D363" t="str">
        <f>Graph_IntMed!$O$6</f>
        <v>HPSPim</v>
      </c>
      <c r="E363" t="str">
        <f t="shared" si="5"/>
        <v>Internal Medicine HPSPim</v>
      </c>
      <c r="F363">
        <f>Graph_IntMed!$A8</f>
        <v>2014</v>
      </c>
      <c r="G363">
        <f>Graph_IntMed!$B8</f>
        <v>2</v>
      </c>
      <c r="H363" s="165">
        <f>Graph_IntMed!$O8</f>
        <v>69389.851463288214</v>
      </c>
      <c r="I363" s="160">
        <f>InputData!$C$3</f>
        <v>0.02</v>
      </c>
      <c r="J363" s="160">
        <f>InputData!$C$4</f>
        <v>0.01</v>
      </c>
      <c r="K363" s="160">
        <f>InputData!$C$5</f>
        <v>0.01</v>
      </c>
      <c r="L363" s="160">
        <f>InputData!$C$6</f>
        <v>6.2100000000000002E-2</v>
      </c>
      <c r="M363" s="160">
        <f>InputData!$C$7</f>
        <v>0.03</v>
      </c>
      <c r="N363" s="160">
        <f>InputData!$C$8</f>
        <v>0.02</v>
      </c>
      <c r="O363" s="160">
        <f>InputData!$C$9</f>
        <v>0.06</v>
      </c>
      <c r="P363" s="160">
        <f>InputData!$C$10</f>
        <v>0.02</v>
      </c>
      <c r="Q363" s="160">
        <f>InputData!$C$11</f>
        <v>0.02</v>
      </c>
      <c r="R363" s="160">
        <f>InputData!$C$12</f>
        <v>0.02</v>
      </c>
      <c r="S363" s="160">
        <f>InputData!$C$13</f>
        <v>0.9</v>
      </c>
      <c r="T363" s="116">
        <f>InputData!$C$88</f>
        <v>180000</v>
      </c>
      <c r="U363" s="116">
        <f>InputData!$C$81</f>
        <v>178500</v>
      </c>
      <c r="V363" s="116">
        <f>InputData!$C$82</f>
        <v>303960</v>
      </c>
      <c r="W363" s="116">
        <f>InputData!$C$84</f>
        <v>215220</v>
      </c>
      <c r="X363" s="116">
        <f>InputData!$C$85</f>
        <v>409020</v>
      </c>
      <c r="Y363" s="116">
        <f>InputData!$C$116</f>
        <v>140000</v>
      </c>
      <c r="Z363" s="160">
        <f>InputData!$E$13</f>
        <v>0</v>
      </c>
    </row>
    <row r="364" spans="1:26" x14ac:dyDescent="0.25">
      <c r="A364">
        <f>InputData!$K$1</f>
        <v>2013</v>
      </c>
      <c r="B364" t="str">
        <f>InputData!$G$1</f>
        <v>San Antonio, TX</v>
      </c>
      <c r="C364" t="s">
        <v>11</v>
      </c>
      <c r="D364" t="str">
        <f>Graph_IntMed!$O$6</f>
        <v>HPSPim</v>
      </c>
      <c r="E364" t="str">
        <f t="shared" si="5"/>
        <v>Internal Medicine HPSPim</v>
      </c>
      <c r="F364">
        <f>Graph_IntMed!$A9</f>
        <v>2015</v>
      </c>
      <c r="G364">
        <f>Graph_IntMed!$B9</f>
        <v>3</v>
      </c>
      <c r="H364" s="165">
        <f>Graph_IntMed!$O9</f>
        <v>94384.024082394724</v>
      </c>
      <c r="I364" s="160">
        <f>InputData!$C$3</f>
        <v>0.02</v>
      </c>
      <c r="J364" s="160">
        <f>InputData!$C$4</f>
        <v>0.01</v>
      </c>
      <c r="K364" s="160">
        <f>InputData!$C$5</f>
        <v>0.01</v>
      </c>
      <c r="L364" s="160">
        <f>InputData!$C$6</f>
        <v>6.2100000000000002E-2</v>
      </c>
      <c r="M364" s="160">
        <f>InputData!$C$7</f>
        <v>0.03</v>
      </c>
      <c r="N364" s="160">
        <f>InputData!$C$8</f>
        <v>0.02</v>
      </c>
      <c r="O364" s="160">
        <f>InputData!$C$9</f>
        <v>0.06</v>
      </c>
      <c r="P364" s="160">
        <f>InputData!$C$10</f>
        <v>0.02</v>
      </c>
      <c r="Q364" s="160">
        <f>InputData!$C$11</f>
        <v>0.02</v>
      </c>
      <c r="R364" s="160">
        <f>InputData!$C$12</f>
        <v>0.02</v>
      </c>
      <c r="S364" s="160">
        <f>InputData!$C$13</f>
        <v>0.9</v>
      </c>
      <c r="T364" s="116">
        <f>InputData!$C$88</f>
        <v>180000</v>
      </c>
      <c r="U364" s="116">
        <f>InputData!$C$81</f>
        <v>178500</v>
      </c>
      <c r="V364" s="116">
        <f>InputData!$C$82</f>
        <v>303960</v>
      </c>
      <c r="W364" s="116">
        <f>InputData!$C$84</f>
        <v>215220</v>
      </c>
      <c r="X364" s="116">
        <f>InputData!$C$85</f>
        <v>409020</v>
      </c>
      <c r="Y364" s="116">
        <f>InputData!$C$116</f>
        <v>140000</v>
      </c>
      <c r="Z364" s="160">
        <f>InputData!$E$13</f>
        <v>0</v>
      </c>
    </row>
    <row r="365" spans="1:26" x14ac:dyDescent="0.25">
      <c r="A365">
        <f>InputData!$K$1</f>
        <v>2013</v>
      </c>
      <c r="B365" t="str">
        <f>InputData!$G$1</f>
        <v>San Antonio, TX</v>
      </c>
      <c r="C365" t="s">
        <v>11</v>
      </c>
      <c r="D365" t="str">
        <f>Graph_IntMed!$O$6</f>
        <v>HPSPim</v>
      </c>
      <c r="E365" t="str">
        <f t="shared" si="5"/>
        <v>Internal Medicine HPSPim</v>
      </c>
      <c r="F365">
        <f>Graph_IntMed!$A10</f>
        <v>2016</v>
      </c>
      <c r="G365">
        <f>Graph_IntMed!$B10</f>
        <v>4</v>
      </c>
      <c r="H365" s="165">
        <f>Graph_IntMed!$O10</f>
        <v>119127.82998672797</v>
      </c>
      <c r="I365" s="160">
        <f>InputData!$C$3</f>
        <v>0.02</v>
      </c>
      <c r="J365" s="160">
        <f>InputData!$C$4</f>
        <v>0.01</v>
      </c>
      <c r="K365" s="160">
        <f>InputData!$C$5</f>
        <v>0.01</v>
      </c>
      <c r="L365" s="160">
        <f>InputData!$C$6</f>
        <v>6.2100000000000002E-2</v>
      </c>
      <c r="M365" s="160">
        <f>InputData!$C$7</f>
        <v>0.03</v>
      </c>
      <c r="N365" s="160">
        <f>InputData!$C$8</f>
        <v>0.02</v>
      </c>
      <c r="O365" s="160">
        <f>InputData!$C$9</f>
        <v>0.06</v>
      </c>
      <c r="P365" s="160">
        <f>InputData!$C$10</f>
        <v>0.02</v>
      </c>
      <c r="Q365" s="160">
        <f>InputData!$C$11</f>
        <v>0.02</v>
      </c>
      <c r="R365" s="160">
        <f>InputData!$C$12</f>
        <v>0.02</v>
      </c>
      <c r="S365" s="160">
        <f>InputData!$C$13</f>
        <v>0.9</v>
      </c>
      <c r="T365" s="116">
        <f>InputData!$C$88</f>
        <v>180000</v>
      </c>
      <c r="U365" s="116">
        <f>InputData!$C$81</f>
        <v>178500</v>
      </c>
      <c r="V365" s="116">
        <f>InputData!$C$82</f>
        <v>303960</v>
      </c>
      <c r="W365" s="116">
        <f>InputData!$C$84</f>
        <v>215220</v>
      </c>
      <c r="X365" s="116">
        <f>InputData!$C$85</f>
        <v>409020</v>
      </c>
      <c r="Y365" s="116">
        <f>InputData!$C$116</f>
        <v>140000</v>
      </c>
      <c r="Z365" s="160">
        <f>InputData!$E$13</f>
        <v>0</v>
      </c>
    </row>
    <row r="366" spans="1:26" x14ac:dyDescent="0.25">
      <c r="A366">
        <f>InputData!$K$1</f>
        <v>2013</v>
      </c>
      <c r="B366" t="str">
        <f>InputData!$G$1</f>
        <v>San Antonio, TX</v>
      </c>
      <c r="C366" t="s">
        <v>11</v>
      </c>
      <c r="D366" t="str">
        <f>Graph_IntMed!$O$6</f>
        <v>HPSPim</v>
      </c>
      <c r="E366" t="str">
        <f t="shared" si="5"/>
        <v>Internal Medicine HPSPim</v>
      </c>
      <c r="F366">
        <f>Graph_IntMed!$A11</f>
        <v>2017</v>
      </c>
      <c r="G366">
        <f>Graph_IntMed!$B11</f>
        <v>5</v>
      </c>
      <c r="H366" s="165">
        <f>Graph_IntMed!$O11</f>
        <v>169089.82248832227</v>
      </c>
      <c r="I366" s="160">
        <f>InputData!$C$3</f>
        <v>0.02</v>
      </c>
      <c r="J366" s="160">
        <f>InputData!$C$4</f>
        <v>0.01</v>
      </c>
      <c r="K366" s="160">
        <f>InputData!$C$5</f>
        <v>0.01</v>
      </c>
      <c r="L366" s="160">
        <f>InputData!$C$6</f>
        <v>6.2100000000000002E-2</v>
      </c>
      <c r="M366" s="160">
        <f>InputData!$C$7</f>
        <v>0.03</v>
      </c>
      <c r="N366" s="160">
        <f>InputData!$C$8</f>
        <v>0.02</v>
      </c>
      <c r="O366" s="160">
        <f>InputData!$C$9</f>
        <v>0.06</v>
      </c>
      <c r="P366" s="160">
        <f>InputData!$C$10</f>
        <v>0.02</v>
      </c>
      <c r="Q366" s="160">
        <f>InputData!$C$11</f>
        <v>0.02</v>
      </c>
      <c r="R366" s="160">
        <f>InputData!$C$12</f>
        <v>0.02</v>
      </c>
      <c r="S366" s="160">
        <f>InputData!$C$13</f>
        <v>0.9</v>
      </c>
      <c r="T366" s="116">
        <f>InputData!$C$88</f>
        <v>180000</v>
      </c>
      <c r="U366" s="116">
        <f>InputData!$C$81</f>
        <v>178500</v>
      </c>
      <c r="V366" s="116">
        <f>InputData!$C$82</f>
        <v>303960</v>
      </c>
      <c r="W366" s="116">
        <f>InputData!$C$84</f>
        <v>215220</v>
      </c>
      <c r="X366" s="116">
        <f>InputData!$C$85</f>
        <v>409020</v>
      </c>
      <c r="Y366" s="116">
        <f>InputData!$C$116</f>
        <v>140000</v>
      </c>
      <c r="Z366" s="160">
        <f>InputData!$E$13</f>
        <v>0</v>
      </c>
    </row>
    <row r="367" spans="1:26" x14ac:dyDescent="0.25">
      <c r="A367">
        <f>InputData!$K$1</f>
        <v>2013</v>
      </c>
      <c r="B367" t="str">
        <f>InputData!$G$1</f>
        <v>San Antonio, TX</v>
      </c>
      <c r="C367" t="s">
        <v>11</v>
      </c>
      <c r="D367" t="str">
        <f>Graph_IntMed!$O$6</f>
        <v>HPSPim</v>
      </c>
      <c r="E367" t="str">
        <f t="shared" si="5"/>
        <v>Internal Medicine HPSPim</v>
      </c>
      <c r="F367">
        <f>Graph_IntMed!$A12</f>
        <v>2018</v>
      </c>
      <c r="G367">
        <f>Graph_IntMed!$B12</f>
        <v>6</v>
      </c>
      <c r="H367" s="165">
        <f>Graph_IntMed!$O12</f>
        <v>219350.65217600405</v>
      </c>
      <c r="I367" s="160">
        <f>InputData!$C$3</f>
        <v>0.02</v>
      </c>
      <c r="J367" s="160">
        <f>InputData!$C$4</f>
        <v>0.01</v>
      </c>
      <c r="K367" s="160">
        <f>InputData!$C$5</f>
        <v>0.01</v>
      </c>
      <c r="L367" s="160">
        <f>InputData!$C$6</f>
        <v>6.2100000000000002E-2</v>
      </c>
      <c r="M367" s="160">
        <f>InputData!$C$7</f>
        <v>0.03</v>
      </c>
      <c r="N367" s="160">
        <f>InputData!$C$8</f>
        <v>0.02</v>
      </c>
      <c r="O367" s="160">
        <f>InputData!$C$9</f>
        <v>0.06</v>
      </c>
      <c r="P367" s="160">
        <f>InputData!$C$10</f>
        <v>0.02</v>
      </c>
      <c r="Q367" s="160">
        <f>InputData!$C$11</f>
        <v>0.02</v>
      </c>
      <c r="R367" s="160">
        <f>InputData!$C$12</f>
        <v>0.02</v>
      </c>
      <c r="S367" s="160">
        <f>InputData!$C$13</f>
        <v>0.9</v>
      </c>
      <c r="T367" s="116">
        <f>InputData!$C$88</f>
        <v>180000</v>
      </c>
      <c r="U367" s="116">
        <f>InputData!$C$81</f>
        <v>178500</v>
      </c>
      <c r="V367" s="116">
        <f>InputData!$C$82</f>
        <v>303960</v>
      </c>
      <c r="W367" s="116">
        <f>InputData!$C$84</f>
        <v>215220</v>
      </c>
      <c r="X367" s="116">
        <f>InputData!$C$85</f>
        <v>409020</v>
      </c>
      <c r="Y367" s="116">
        <f>InputData!$C$116</f>
        <v>140000</v>
      </c>
      <c r="Z367" s="160">
        <f>InputData!$E$13</f>
        <v>0</v>
      </c>
    </row>
    <row r="368" spans="1:26" x14ac:dyDescent="0.25">
      <c r="A368">
        <f>InputData!$K$1</f>
        <v>2013</v>
      </c>
      <c r="B368" t="str">
        <f>InputData!$G$1</f>
        <v>San Antonio, TX</v>
      </c>
      <c r="C368" t="s">
        <v>11</v>
      </c>
      <c r="D368" t="str">
        <f>Graph_IntMed!$O$6</f>
        <v>HPSPim</v>
      </c>
      <c r="E368" t="str">
        <f t="shared" si="5"/>
        <v>Internal Medicine HPSPim</v>
      </c>
      <c r="F368">
        <f>Graph_IntMed!$A13</f>
        <v>2019</v>
      </c>
      <c r="G368">
        <f>Graph_IntMed!$B13</f>
        <v>7</v>
      </c>
      <c r="H368" s="165">
        <f>Graph_IntMed!$O13</f>
        <v>270992.25439901254</v>
      </c>
      <c r="I368" s="160">
        <f>InputData!$C$3</f>
        <v>0.02</v>
      </c>
      <c r="J368" s="160">
        <f>InputData!$C$4</f>
        <v>0.01</v>
      </c>
      <c r="K368" s="160">
        <f>InputData!$C$5</f>
        <v>0.01</v>
      </c>
      <c r="L368" s="160">
        <f>InputData!$C$6</f>
        <v>6.2100000000000002E-2</v>
      </c>
      <c r="M368" s="160">
        <f>InputData!$C$7</f>
        <v>0.03</v>
      </c>
      <c r="N368" s="160">
        <f>InputData!$C$8</f>
        <v>0.02</v>
      </c>
      <c r="O368" s="160">
        <f>InputData!$C$9</f>
        <v>0.06</v>
      </c>
      <c r="P368" s="160">
        <f>InputData!$C$10</f>
        <v>0.02</v>
      </c>
      <c r="Q368" s="160">
        <f>InputData!$C$11</f>
        <v>0.02</v>
      </c>
      <c r="R368" s="160">
        <f>InputData!$C$12</f>
        <v>0.02</v>
      </c>
      <c r="S368" s="160">
        <f>InputData!$C$13</f>
        <v>0.9</v>
      </c>
      <c r="T368" s="116">
        <f>InputData!$C$88</f>
        <v>180000</v>
      </c>
      <c r="U368" s="116">
        <f>InputData!$C$81</f>
        <v>178500</v>
      </c>
      <c r="V368" s="116">
        <f>InputData!$C$82</f>
        <v>303960</v>
      </c>
      <c r="W368" s="116">
        <f>InputData!$C$84</f>
        <v>215220</v>
      </c>
      <c r="X368" s="116">
        <f>InputData!$C$85</f>
        <v>409020</v>
      </c>
      <c r="Y368" s="116">
        <f>InputData!$C$116</f>
        <v>140000</v>
      </c>
      <c r="Z368" s="160">
        <f>InputData!$E$13</f>
        <v>0</v>
      </c>
    </row>
    <row r="369" spans="1:26" x14ac:dyDescent="0.25">
      <c r="A369">
        <f>InputData!$K$1</f>
        <v>2013</v>
      </c>
      <c r="B369" t="str">
        <f>InputData!$G$1</f>
        <v>San Antonio, TX</v>
      </c>
      <c r="C369" t="s">
        <v>11</v>
      </c>
      <c r="D369" t="str">
        <f>Graph_IntMed!$O$6</f>
        <v>HPSPim</v>
      </c>
      <c r="E369" t="str">
        <f t="shared" si="5"/>
        <v>Internal Medicine HPSPim</v>
      </c>
      <c r="F369">
        <f>Graph_IntMed!$A14</f>
        <v>2020</v>
      </c>
      <c r="G369">
        <f>Graph_IntMed!$B14</f>
        <v>8</v>
      </c>
      <c r="H369" s="165">
        <f>Graph_IntMed!$O14</f>
        <v>331751.25271802075</v>
      </c>
      <c r="I369" s="160">
        <f>InputData!$C$3</f>
        <v>0.02</v>
      </c>
      <c r="J369" s="160">
        <f>InputData!$C$4</f>
        <v>0.01</v>
      </c>
      <c r="K369" s="160">
        <f>InputData!$C$5</f>
        <v>0.01</v>
      </c>
      <c r="L369" s="160">
        <f>InputData!$C$6</f>
        <v>6.2100000000000002E-2</v>
      </c>
      <c r="M369" s="160">
        <f>InputData!$C$7</f>
        <v>0.03</v>
      </c>
      <c r="N369" s="160">
        <f>InputData!$C$8</f>
        <v>0.02</v>
      </c>
      <c r="O369" s="160">
        <f>InputData!$C$9</f>
        <v>0.06</v>
      </c>
      <c r="P369" s="160">
        <f>InputData!$C$10</f>
        <v>0.02</v>
      </c>
      <c r="Q369" s="160">
        <f>InputData!$C$11</f>
        <v>0.02</v>
      </c>
      <c r="R369" s="160">
        <f>InputData!$C$12</f>
        <v>0.02</v>
      </c>
      <c r="S369" s="160">
        <f>InputData!$C$13</f>
        <v>0.9</v>
      </c>
      <c r="T369" s="116">
        <f>InputData!$C$88</f>
        <v>180000</v>
      </c>
      <c r="U369" s="116">
        <f>InputData!$C$81</f>
        <v>178500</v>
      </c>
      <c r="V369" s="116">
        <f>InputData!$C$82</f>
        <v>303960</v>
      </c>
      <c r="W369" s="116">
        <f>InputData!$C$84</f>
        <v>215220</v>
      </c>
      <c r="X369" s="116">
        <f>InputData!$C$85</f>
        <v>409020</v>
      </c>
      <c r="Y369" s="116">
        <f>InputData!$C$116</f>
        <v>140000</v>
      </c>
      <c r="Z369" s="160">
        <f>InputData!$E$13</f>
        <v>0</v>
      </c>
    </row>
    <row r="370" spans="1:26" x14ac:dyDescent="0.25">
      <c r="A370">
        <f>InputData!$K$1</f>
        <v>2013</v>
      </c>
      <c r="B370" t="str">
        <f>InputData!$G$1</f>
        <v>San Antonio, TX</v>
      </c>
      <c r="C370" t="s">
        <v>11</v>
      </c>
      <c r="D370" t="str">
        <f>Graph_IntMed!$O$6</f>
        <v>HPSPim</v>
      </c>
      <c r="E370" t="str">
        <f t="shared" si="5"/>
        <v>Internal Medicine HPSPim</v>
      </c>
      <c r="F370">
        <f>Graph_IntMed!$A15</f>
        <v>2021</v>
      </c>
      <c r="G370">
        <f>Graph_IntMed!$B15</f>
        <v>9</v>
      </c>
      <c r="H370" s="165">
        <f>Graph_IntMed!$O15</f>
        <v>392710.83821131039</v>
      </c>
      <c r="I370" s="160">
        <f>InputData!$C$3</f>
        <v>0.02</v>
      </c>
      <c r="J370" s="160">
        <f>InputData!$C$4</f>
        <v>0.01</v>
      </c>
      <c r="K370" s="160">
        <f>InputData!$C$5</f>
        <v>0.01</v>
      </c>
      <c r="L370" s="160">
        <f>InputData!$C$6</f>
        <v>6.2100000000000002E-2</v>
      </c>
      <c r="M370" s="160">
        <f>InputData!$C$7</f>
        <v>0.03</v>
      </c>
      <c r="N370" s="160">
        <f>InputData!$C$8</f>
        <v>0.02</v>
      </c>
      <c r="O370" s="160">
        <f>InputData!$C$9</f>
        <v>0.06</v>
      </c>
      <c r="P370" s="160">
        <f>InputData!$C$10</f>
        <v>0.02</v>
      </c>
      <c r="Q370" s="160">
        <f>InputData!$C$11</f>
        <v>0.02</v>
      </c>
      <c r="R370" s="160">
        <f>InputData!$C$12</f>
        <v>0.02</v>
      </c>
      <c r="S370" s="160">
        <f>InputData!$C$13</f>
        <v>0.9</v>
      </c>
      <c r="T370" s="116">
        <f>InputData!$C$88</f>
        <v>180000</v>
      </c>
      <c r="U370" s="116">
        <f>InputData!$C$81</f>
        <v>178500</v>
      </c>
      <c r="V370" s="116">
        <f>InputData!$C$82</f>
        <v>303960</v>
      </c>
      <c r="W370" s="116">
        <f>InputData!$C$84</f>
        <v>215220</v>
      </c>
      <c r="X370" s="116">
        <f>InputData!$C$85</f>
        <v>409020</v>
      </c>
      <c r="Y370" s="116">
        <f>InputData!$C$116</f>
        <v>140000</v>
      </c>
      <c r="Z370" s="160">
        <f>InputData!$E$13</f>
        <v>0</v>
      </c>
    </row>
    <row r="371" spans="1:26" x14ac:dyDescent="0.25">
      <c r="A371">
        <f>InputData!$K$1</f>
        <v>2013</v>
      </c>
      <c r="B371" t="str">
        <f>InputData!$G$1</f>
        <v>San Antonio, TX</v>
      </c>
      <c r="C371" t="s">
        <v>11</v>
      </c>
      <c r="D371" t="str">
        <f>Graph_IntMed!$O$6</f>
        <v>HPSPim</v>
      </c>
      <c r="E371" t="str">
        <f t="shared" si="5"/>
        <v>Internal Medicine HPSPim</v>
      </c>
      <c r="F371">
        <f>Graph_IntMed!$A16</f>
        <v>2022</v>
      </c>
      <c r="G371">
        <f>Graph_IntMed!$B16</f>
        <v>10</v>
      </c>
      <c r="H371" s="165">
        <f>Graph_IntMed!$O16</f>
        <v>451364.04152611369</v>
      </c>
      <c r="I371" s="160">
        <f>InputData!$C$3</f>
        <v>0.02</v>
      </c>
      <c r="J371" s="160">
        <f>InputData!$C$4</f>
        <v>0.01</v>
      </c>
      <c r="K371" s="160">
        <f>InputData!$C$5</f>
        <v>0.01</v>
      </c>
      <c r="L371" s="160">
        <f>InputData!$C$6</f>
        <v>6.2100000000000002E-2</v>
      </c>
      <c r="M371" s="160">
        <f>InputData!$C$7</f>
        <v>0.03</v>
      </c>
      <c r="N371" s="160">
        <f>InputData!$C$8</f>
        <v>0.02</v>
      </c>
      <c r="O371" s="160">
        <f>InputData!$C$9</f>
        <v>0.06</v>
      </c>
      <c r="P371" s="160">
        <f>InputData!$C$10</f>
        <v>0.02</v>
      </c>
      <c r="Q371" s="160">
        <f>InputData!$C$11</f>
        <v>0.02</v>
      </c>
      <c r="R371" s="160">
        <f>InputData!$C$12</f>
        <v>0.02</v>
      </c>
      <c r="S371" s="160">
        <f>InputData!$C$13</f>
        <v>0.9</v>
      </c>
      <c r="T371" s="116">
        <f>InputData!$C$88</f>
        <v>180000</v>
      </c>
      <c r="U371" s="116">
        <f>InputData!$C$81</f>
        <v>178500</v>
      </c>
      <c r="V371" s="116">
        <f>InputData!$C$82</f>
        <v>303960</v>
      </c>
      <c r="W371" s="116">
        <f>InputData!$C$84</f>
        <v>215220</v>
      </c>
      <c r="X371" s="116">
        <f>InputData!$C$85</f>
        <v>409020</v>
      </c>
      <c r="Y371" s="116">
        <f>InputData!$C$116</f>
        <v>140000</v>
      </c>
      <c r="Z371" s="160">
        <f>InputData!$E$13</f>
        <v>0</v>
      </c>
    </row>
    <row r="372" spans="1:26" x14ac:dyDescent="0.25">
      <c r="A372">
        <f>InputData!$K$1</f>
        <v>2013</v>
      </c>
      <c r="B372" t="str">
        <f>InputData!$G$1</f>
        <v>San Antonio, TX</v>
      </c>
      <c r="C372" t="s">
        <v>11</v>
      </c>
      <c r="D372" t="str">
        <f>Graph_IntMed!$O$6</f>
        <v>HPSPim</v>
      </c>
      <c r="E372" t="str">
        <f t="shared" si="5"/>
        <v>Internal Medicine HPSPim</v>
      </c>
      <c r="F372">
        <f>Graph_IntMed!$A17</f>
        <v>2023</v>
      </c>
      <c r="G372">
        <f>Graph_IntMed!$B17</f>
        <v>11</v>
      </c>
      <c r="H372" s="165">
        <f>Graph_IntMed!$O17</f>
        <v>515049.83755320142</v>
      </c>
      <c r="I372" s="160">
        <f>InputData!$C$3</f>
        <v>0.02</v>
      </c>
      <c r="J372" s="160">
        <f>InputData!$C$4</f>
        <v>0.01</v>
      </c>
      <c r="K372" s="160">
        <f>InputData!$C$5</f>
        <v>0.01</v>
      </c>
      <c r="L372" s="160">
        <f>InputData!$C$6</f>
        <v>6.2100000000000002E-2</v>
      </c>
      <c r="M372" s="160">
        <f>InputData!$C$7</f>
        <v>0.03</v>
      </c>
      <c r="N372" s="160">
        <f>InputData!$C$8</f>
        <v>0.02</v>
      </c>
      <c r="O372" s="160">
        <f>InputData!$C$9</f>
        <v>0.06</v>
      </c>
      <c r="P372" s="160">
        <f>InputData!$C$10</f>
        <v>0.02</v>
      </c>
      <c r="Q372" s="160">
        <f>InputData!$C$11</f>
        <v>0.02</v>
      </c>
      <c r="R372" s="160">
        <f>InputData!$C$12</f>
        <v>0.02</v>
      </c>
      <c r="S372" s="160">
        <f>InputData!$C$13</f>
        <v>0.9</v>
      </c>
      <c r="T372" s="116">
        <f>InputData!$C$88</f>
        <v>180000</v>
      </c>
      <c r="U372" s="116">
        <f>InputData!$C$81</f>
        <v>178500</v>
      </c>
      <c r="V372" s="116">
        <f>InputData!$C$82</f>
        <v>303960</v>
      </c>
      <c r="W372" s="116">
        <f>InputData!$C$84</f>
        <v>215220</v>
      </c>
      <c r="X372" s="116">
        <f>InputData!$C$85</f>
        <v>409020</v>
      </c>
      <c r="Y372" s="116">
        <f>InputData!$C$116</f>
        <v>140000</v>
      </c>
      <c r="Z372" s="160">
        <f>InputData!$E$13</f>
        <v>0</v>
      </c>
    </row>
    <row r="373" spans="1:26" x14ac:dyDescent="0.25">
      <c r="A373">
        <f>InputData!$K$1</f>
        <v>2013</v>
      </c>
      <c r="B373" t="str">
        <f>InputData!$G$1</f>
        <v>San Antonio, TX</v>
      </c>
      <c r="C373" t="s">
        <v>11</v>
      </c>
      <c r="D373" t="str">
        <f>Graph_IntMed!$O$6</f>
        <v>HPSPim</v>
      </c>
      <c r="E373" t="str">
        <f t="shared" si="5"/>
        <v>Internal Medicine HPSPim</v>
      </c>
      <c r="F373">
        <f>Graph_IntMed!$A18</f>
        <v>2024</v>
      </c>
      <c r="G373">
        <f>Graph_IntMed!$B18</f>
        <v>12</v>
      </c>
      <c r="H373" s="165">
        <f>Graph_IntMed!$O18</f>
        <v>601172.8318493634</v>
      </c>
      <c r="I373" s="160">
        <f>InputData!$C$3</f>
        <v>0.02</v>
      </c>
      <c r="J373" s="160">
        <f>InputData!$C$4</f>
        <v>0.01</v>
      </c>
      <c r="K373" s="160">
        <f>InputData!$C$5</f>
        <v>0.01</v>
      </c>
      <c r="L373" s="160">
        <f>InputData!$C$6</f>
        <v>6.2100000000000002E-2</v>
      </c>
      <c r="M373" s="160">
        <f>InputData!$C$7</f>
        <v>0.03</v>
      </c>
      <c r="N373" s="160">
        <f>InputData!$C$8</f>
        <v>0.02</v>
      </c>
      <c r="O373" s="160">
        <f>InputData!$C$9</f>
        <v>0.06</v>
      </c>
      <c r="P373" s="160">
        <f>InputData!$C$10</f>
        <v>0.02</v>
      </c>
      <c r="Q373" s="160">
        <f>InputData!$C$11</f>
        <v>0.02</v>
      </c>
      <c r="R373" s="160">
        <f>InputData!$C$12</f>
        <v>0.02</v>
      </c>
      <c r="S373" s="160">
        <f>InputData!$C$13</f>
        <v>0.9</v>
      </c>
      <c r="T373" s="116">
        <f>InputData!$C$88</f>
        <v>180000</v>
      </c>
      <c r="U373" s="116">
        <f>InputData!$C$81</f>
        <v>178500</v>
      </c>
      <c r="V373" s="116">
        <f>InputData!$C$82</f>
        <v>303960</v>
      </c>
      <c r="W373" s="116">
        <f>InputData!$C$84</f>
        <v>215220</v>
      </c>
      <c r="X373" s="116">
        <f>InputData!$C$85</f>
        <v>409020</v>
      </c>
      <c r="Y373" s="116">
        <f>InputData!$C$116</f>
        <v>140000</v>
      </c>
      <c r="Z373" s="160">
        <f>InputData!$E$13</f>
        <v>0</v>
      </c>
    </row>
    <row r="374" spans="1:26" x14ac:dyDescent="0.25">
      <c r="A374">
        <f>InputData!$K$1</f>
        <v>2013</v>
      </c>
      <c r="B374" t="str">
        <f>InputData!$G$1</f>
        <v>San Antonio, TX</v>
      </c>
      <c r="C374" t="s">
        <v>11</v>
      </c>
      <c r="D374" t="str">
        <f>Graph_IntMed!$O$6</f>
        <v>HPSPim</v>
      </c>
      <c r="E374" t="str">
        <f t="shared" si="5"/>
        <v>Internal Medicine HPSPim</v>
      </c>
      <c r="F374">
        <f>Graph_IntMed!$A19</f>
        <v>2025</v>
      </c>
      <c r="G374">
        <f>Graph_IntMed!$B19</f>
        <v>13</v>
      </c>
      <c r="H374" s="165">
        <f>Graph_IntMed!$O19</f>
        <v>685597.75146305724</v>
      </c>
      <c r="I374" s="160">
        <f>InputData!$C$3</f>
        <v>0.02</v>
      </c>
      <c r="J374" s="160">
        <f>InputData!$C$4</f>
        <v>0.01</v>
      </c>
      <c r="K374" s="160">
        <f>InputData!$C$5</f>
        <v>0.01</v>
      </c>
      <c r="L374" s="160">
        <f>InputData!$C$6</f>
        <v>6.2100000000000002E-2</v>
      </c>
      <c r="M374" s="160">
        <f>InputData!$C$7</f>
        <v>0.03</v>
      </c>
      <c r="N374" s="160">
        <f>InputData!$C$8</f>
        <v>0.02</v>
      </c>
      <c r="O374" s="160">
        <f>InputData!$C$9</f>
        <v>0.06</v>
      </c>
      <c r="P374" s="160">
        <f>InputData!$C$10</f>
        <v>0.02</v>
      </c>
      <c r="Q374" s="160">
        <f>InputData!$C$11</f>
        <v>0.02</v>
      </c>
      <c r="R374" s="160">
        <f>InputData!$C$12</f>
        <v>0.02</v>
      </c>
      <c r="S374" s="160">
        <f>InputData!$C$13</f>
        <v>0.9</v>
      </c>
      <c r="T374" s="116">
        <f>InputData!$C$88</f>
        <v>180000</v>
      </c>
      <c r="U374" s="116">
        <f>InputData!$C$81</f>
        <v>178500</v>
      </c>
      <c r="V374" s="116">
        <f>InputData!$C$82</f>
        <v>303960</v>
      </c>
      <c r="W374" s="116">
        <f>InputData!$C$84</f>
        <v>215220</v>
      </c>
      <c r="X374" s="116">
        <f>InputData!$C$85</f>
        <v>409020</v>
      </c>
      <c r="Y374" s="116">
        <f>InputData!$C$116</f>
        <v>140000</v>
      </c>
      <c r="Z374" s="160">
        <f>InputData!$E$13</f>
        <v>0</v>
      </c>
    </row>
    <row r="375" spans="1:26" x14ac:dyDescent="0.25">
      <c r="A375">
        <f>InputData!$K$1</f>
        <v>2013</v>
      </c>
      <c r="B375" t="str">
        <f>InputData!$G$1</f>
        <v>San Antonio, TX</v>
      </c>
      <c r="C375" t="s">
        <v>11</v>
      </c>
      <c r="D375" t="str">
        <f>Graph_IntMed!$O$6</f>
        <v>HPSPim</v>
      </c>
      <c r="E375" t="str">
        <f t="shared" si="5"/>
        <v>Internal Medicine HPSPim</v>
      </c>
      <c r="F375">
        <f>Graph_IntMed!$A20</f>
        <v>2026</v>
      </c>
      <c r="G375">
        <f>Graph_IntMed!$B20</f>
        <v>14</v>
      </c>
      <c r="H375" s="165">
        <f>Graph_IntMed!$O20</f>
        <v>768358.16542832518</v>
      </c>
      <c r="I375" s="160">
        <f>InputData!$C$3</f>
        <v>0.02</v>
      </c>
      <c r="J375" s="160">
        <f>InputData!$C$4</f>
        <v>0.01</v>
      </c>
      <c r="K375" s="160">
        <f>InputData!$C$5</f>
        <v>0.01</v>
      </c>
      <c r="L375" s="160">
        <f>InputData!$C$6</f>
        <v>6.2100000000000002E-2</v>
      </c>
      <c r="M375" s="160">
        <f>InputData!$C$7</f>
        <v>0.03</v>
      </c>
      <c r="N375" s="160">
        <f>InputData!$C$8</f>
        <v>0.02</v>
      </c>
      <c r="O375" s="160">
        <f>InputData!$C$9</f>
        <v>0.06</v>
      </c>
      <c r="P375" s="160">
        <f>InputData!$C$10</f>
        <v>0.02</v>
      </c>
      <c r="Q375" s="160">
        <f>InputData!$C$11</f>
        <v>0.02</v>
      </c>
      <c r="R375" s="160">
        <f>InputData!$C$12</f>
        <v>0.02</v>
      </c>
      <c r="S375" s="160">
        <f>InputData!$C$13</f>
        <v>0.9</v>
      </c>
      <c r="T375" s="116">
        <f>InputData!$C$88</f>
        <v>180000</v>
      </c>
      <c r="U375" s="116">
        <f>InputData!$C$81</f>
        <v>178500</v>
      </c>
      <c r="V375" s="116">
        <f>InputData!$C$82</f>
        <v>303960</v>
      </c>
      <c r="W375" s="116">
        <f>InputData!$C$84</f>
        <v>215220</v>
      </c>
      <c r="X375" s="116">
        <f>InputData!$C$85</f>
        <v>409020</v>
      </c>
      <c r="Y375" s="116">
        <f>InputData!$C$116</f>
        <v>140000</v>
      </c>
      <c r="Z375" s="160">
        <f>InputData!$E$13</f>
        <v>0</v>
      </c>
    </row>
    <row r="376" spans="1:26" x14ac:dyDescent="0.25">
      <c r="A376">
        <f>InputData!$K$1</f>
        <v>2013</v>
      </c>
      <c r="B376" t="str">
        <f>InputData!$G$1</f>
        <v>San Antonio, TX</v>
      </c>
      <c r="C376" t="s">
        <v>11</v>
      </c>
      <c r="D376" t="str">
        <f>Graph_IntMed!$O$6</f>
        <v>HPSPim</v>
      </c>
      <c r="E376" t="str">
        <f t="shared" si="5"/>
        <v>Internal Medicine HPSPim</v>
      </c>
      <c r="F376">
        <f>Graph_IntMed!$A21</f>
        <v>2027</v>
      </c>
      <c r="G376">
        <f>Graph_IntMed!$B21</f>
        <v>15</v>
      </c>
      <c r="H376" s="165">
        <f>Graph_IntMed!$O21</f>
        <v>849486.97659823322</v>
      </c>
      <c r="I376" s="160">
        <f>InputData!$C$3</f>
        <v>0.02</v>
      </c>
      <c r="J376" s="160">
        <f>InputData!$C$4</f>
        <v>0.01</v>
      </c>
      <c r="K376" s="160">
        <f>InputData!$C$5</f>
        <v>0.01</v>
      </c>
      <c r="L376" s="160">
        <f>InputData!$C$6</f>
        <v>6.2100000000000002E-2</v>
      </c>
      <c r="M376" s="160">
        <f>InputData!$C$7</f>
        <v>0.03</v>
      </c>
      <c r="N376" s="160">
        <f>InputData!$C$8</f>
        <v>0.02</v>
      </c>
      <c r="O376" s="160">
        <f>InputData!$C$9</f>
        <v>0.06</v>
      </c>
      <c r="P376" s="160">
        <f>InputData!$C$10</f>
        <v>0.02</v>
      </c>
      <c r="Q376" s="160">
        <f>InputData!$C$11</f>
        <v>0.02</v>
      </c>
      <c r="R376" s="160">
        <f>InputData!$C$12</f>
        <v>0.02</v>
      </c>
      <c r="S376" s="160">
        <f>InputData!$C$13</f>
        <v>0.9</v>
      </c>
      <c r="T376" s="116">
        <f>InputData!$C$88</f>
        <v>180000</v>
      </c>
      <c r="U376" s="116">
        <f>InputData!$C$81</f>
        <v>178500</v>
      </c>
      <c r="V376" s="116">
        <f>InputData!$C$82</f>
        <v>303960</v>
      </c>
      <c r="W376" s="116">
        <f>InputData!$C$84</f>
        <v>215220</v>
      </c>
      <c r="X376" s="116">
        <f>InputData!$C$85</f>
        <v>409020</v>
      </c>
      <c r="Y376" s="116">
        <f>InputData!$C$116</f>
        <v>140000</v>
      </c>
      <c r="Z376" s="160">
        <f>InputData!$E$13</f>
        <v>0</v>
      </c>
    </row>
    <row r="377" spans="1:26" x14ac:dyDescent="0.25">
      <c r="A377">
        <f>InputData!$K$1</f>
        <v>2013</v>
      </c>
      <c r="B377" t="str">
        <f>InputData!$G$1</f>
        <v>San Antonio, TX</v>
      </c>
      <c r="C377" t="s">
        <v>11</v>
      </c>
      <c r="D377" t="str">
        <f>Graph_IntMed!$O$6</f>
        <v>HPSPim</v>
      </c>
      <c r="E377" t="str">
        <f t="shared" si="5"/>
        <v>Internal Medicine HPSPim</v>
      </c>
      <c r="F377">
        <f>Graph_IntMed!$A22</f>
        <v>2028</v>
      </c>
      <c r="G377">
        <f>Graph_IntMed!$B22</f>
        <v>16</v>
      </c>
      <c r="H377" s="165">
        <f>Graph_IntMed!$O22</f>
        <v>929016.43493922264</v>
      </c>
      <c r="I377" s="160">
        <f>InputData!$C$3</f>
        <v>0.02</v>
      </c>
      <c r="J377" s="160">
        <f>InputData!$C$4</f>
        <v>0.01</v>
      </c>
      <c r="K377" s="160">
        <f>InputData!$C$5</f>
        <v>0.01</v>
      </c>
      <c r="L377" s="160">
        <f>InputData!$C$6</f>
        <v>6.2100000000000002E-2</v>
      </c>
      <c r="M377" s="160">
        <f>InputData!$C$7</f>
        <v>0.03</v>
      </c>
      <c r="N377" s="160">
        <f>InputData!$C$8</f>
        <v>0.02</v>
      </c>
      <c r="O377" s="160">
        <f>InputData!$C$9</f>
        <v>0.06</v>
      </c>
      <c r="P377" s="160">
        <f>InputData!$C$10</f>
        <v>0.02</v>
      </c>
      <c r="Q377" s="160">
        <f>InputData!$C$11</f>
        <v>0.02</v>
      </c>
      <c r="R377" s="160">
        <f>InputData!$C$12</f>
        <v>0.02</v>
      </c>
      <c r="S377" s="160">
        <f>InputData!$C$13</f>
        <v>0.9</v>
      </c>
      <c r="T377" s="116">
        <f>InputData!$C$88</f>
        <v>180000</v>
      </c>
      <c r="U377" s="116">
        <f>InputData!$C$81</f>
        <v>178500</v>
      </c>
      <c r="V377" s="116">
        <f>InputData!$C$82</f>
        <v>303960</v>
      </c>
      <c r="W377" s="116">
        <f>InputData!$C$84</f>
        <v>215220</v>
      </c>
      <c r="X377" s="116">
        <f>InputData!$C$85</f>
        <v>409020</v>
      </c>
      <c r="Y377" s="116">
        <f>InputData!$C$116</f>
        <v>140000</v>
      </c>
      <c r="Z377" s="160">
        <f>InputData!$E$13</f>
        <v>0</v>
      </c>
    </row>
    <row r="378" spans="1:26" x14ac:dyDescent="0.25">
      <c r="A378">
        <f>InputData!$K$1</f>
        <v>2013</v>
      </c>
      <c r="B378" t="str">
        <f>InputData!$G$1</f>
        <v>San Antonio, TX</v>
      </c>
      <c r="C378" t="s">
        <v>11</v>
      </c>
      <c r="D378" t="str">
        <f>Graph_IntMed!$O$6</f>
        <v>HPSPim</v>
      </c>
      <c r="E378" t="str">
        <f t="shared" si="5"/>
        <v>Internal Medicine HPSPim</v>
      </c>
      <c r="F378">
        <f>Graph_IntMed!$A23</f>
        <v>2029</v>
      </c>
      <c r="G378">
        <f>Graph_IntMed!$B23</f>
        <v>17</v>
      </c>
      <c r="H378" s="165">
        <f>Graph_IntMed!$O23</f>
        <v>1006978.1505580313</v>
      </c>
      <c r="I378" s="160">
        <f>InputData!$C$3</f>
        <v>0.02</v>
      </c>
      <c r="J378" s="160">
        <f>InputData!$C$4</f>
        <v>0.01</v>
      </c>
      <c r="K378" s="160">
        <f>InputData!$C$5</f>
        <v>0.01</v>
      </c>
      <c r="L378" s="160">
        <f>InputData!$C$6</f>
        <v>6.2100000000000002E-2</v>
      </c>
      <c r="M378" s="160">
        <f>InputData!$C$7</f>
        <v>0.03</v>
      </c>
      <c r="N378" s="160">
        <f>InputData!$C$8</f>
        <v>0.02</v>
      </c>
      <c r="O378" s="160">
        <f>InputData!$C$9</f>
        <v>0.06</v>
      </c>
      <c r="P378" s="160">
        <f>InputData!$C$10</f>
        <v>0.02</v>
      </c>
      <c r="Q378" s="160">
        <f>InputData!$C$11</f>
        <v>0.02</v>
      </c>
      <c r="R378" s="160">
        <f>InputData!$C$12</f>
        <v>0.02</v>
      </c>
      <c r="S378" s="160">
        <f>InputData!$C$13</f>
        <v>0.9</v>
      </c>
      <c r="T378" s="116">
        <f>InputData!$C$88</f>
        <v>180000</v>
      </c>
      <c r="U378" s="116">
        <f>InputData!$C$81</f>
        <v>178500</v>
      </c>
      <c r="V378" s="116">
        <f>InputData!$C$82</f>
        <v>303960</v>
      </c>
      <c r="W378" s="116">
        <f>InputData!$C$84</f>
        <v>215220</v>
      </c>
      <c r="X378" s="116">
        <f>InputData!$C$85</f>
        <v>409020</v>
      </c>
      <c r="Y378" s="116">
        <f>InputData!$C$116</f>
        <v>140000</v>
      </c>
      <c r="Z378" s="160">
        <f>InputData!$E$13</f>
        <v>0</v>
      </c>
    </row>
    <row r="379" spans="1:26" x14ac:dyDescent="0.25">
      <c r="A379">
        <f>InputData!$K$1</f>
        <v>2013</v>
      </c>
      <c r="B379" t="str">
        <f>InputData!$G$1</f>
        <v>San Antonio, TX</v>
      </c>
      <c r="C379" t="s">
        <v>11</v>
      </c>
      <c r="D379" t="str">
        <f>Graph_IntMed!$O$6</f>
        <v>HPSPim</v>
      </c>
      <c r="E379" t="str">
        <f t="shared" si="5"/>
        <v>Internal Medicine HPSPim</v>
      </c>
      <c r="F379">
        <f>Graph_IntMed!$A24</f>
        <v>2030</v>
      </c>
      <c r="G379">
        <f>Graph_IntMed!$B24</f>
        <v>18</v>
      </c>
      <c r="H379" s="165">
        <f>Graph_IntMed!$O24</f>
        <v>1083403.1064666247</v>
      </c>
      <c r="I379" s="160">
        <f>InputData!$C$3</f>
        <v>0.02</v>
      </c>
      <c r="J379" s="160">
        <f>InputData!$C$4</f>
        <v>0.01</v>
      </c>
      <c r="K379" s="160">
        <f>InputData!$C$5</f>
        <v>0.01</v>
      </c>
      <c r="L379" s="160">
        <f>InputData!$C$6</f>
        <v>6.2100000000000002E-2</v>
      </c>
      <c r="M379" s="160">
        <f>InputData!$C$7</f>
        <v>0.03</v>
      </c>
      <c r="N379" s="160">
        <f>InputData!$C$8</f>
        <v>0.02</v>
      </c>
      <c r="O379" s="160">
        <f>InputData!$C$9</f>
        <v>0.06</v>
      </c>
      <c r="P379" s="160">
        <f>InputData!$C$10</f>
        <v>0.02</v>
      </c>
      <c r="Q379" s="160">
        <f>InputData!$C$11</f>
        <v>0.02</v>
      </c>
      <c r="R379" s="160">
        <f>InputData!$C$12</f>
        <v>0.02</v>
      </c>
      <c r="S379" s="160">
        <f>InputData!$C$13</f>
        <v>0.9</v>
      </c>
      <c r="T379" s="116">
        <f>InputData!$C$88</f>
        <v>180000</v>
      </c>
      <c r="U379" s="116">
        <f>InputData!$C$81</f>
        <v>178500</v>
      </c>
      <c r="V379" s="116">
        <f>InputData!$C$82</f>
        <v>303960</v>
      </c>
      <c r="W379" s="116">
        <f>InputData!$C$84</f>
        <v>215220</v>
      </c>
      <c r="X379" s="116">
        <f>InputData!$C$85</f>
        <v>409020</v>
      </c>
      <c r="Y379" s="116">
        <f>InputData!$C$116</f>
        <v>140000</v>
      </c>
      <c r="Z379" s="160">
        <f>InputData!$E$13</f>
        <v>0</v>
      </c>
    </row>
    <row r="380" spans="1:26" x14ac:dyDescent="0.25">
      <c r="A380">
        <f>InputData!$K$1</f>
        <v>2013</v>
      </c>
      <c r="B380" t="str">
        <f>InputData!$G$1</f>
        <v>San Antonio, TX</v>
      </c>
      <c r="C380" t="s">
        <v>11</v>
      </c>
      <c r="D380" t="str">
        <f>Graph_IntMed!$O$6</f>
        <v>HPSPim</v>
      </c>
      <c r="E380" t="str">
        <f t="shared" si="5"/>
        <v>Internal Medicine HPSPim</v>
      </c>
      <c r="F380">
        <f>Graph_IntMed!$A25</f>
        <v>2031</v>
      </c>
      <c r="G380">
        <f>Graph_IntMed!$B25</f>
        <v>19</v>
      </c>
      <c r="H380" s="165">
        <f>Graph_IntMed!$O25</f>
        <v>1158321.6710904662</v>
      </c>
      <c r="I380" s="160">
        <f>InputData!$C$3</f>
        <v>0.02</v>
      </c>
      <c r="J380" s="160">
        <f>InputData!$C$4</f>
        <v>0.01</v>
      </c>
      <c r="K380" s="160">
        <f>InputData!$C$5</f>
        <v>0.01</v>
      </c>
      <c r="L380" s="160">
        <f>InputData!$C$6</f>
        <v>6.2100000000000002E-2</v>
      </c>
      <c r="M380" s="160">
        <f>InputData!$C$7</f>
        <v>0.03</v>
      </c>
      <c r="N380" s="160">
        <f>InputData!$C$8</f>
        <v>0.02</v>
      </c>
      <c r="O380" s="160">
        <f>InputData!$C$9</f>
        <v>0.06</v>
      </c>
      <c r="P380" s="160">
        <f>InputData!$C$10</f>
        <v>0.02</v>
      </c>
      <c r="Q380" s="160">
        <f>InputData!$C$11</f>
        <v>0.02</v>
      </c>
      <c r="R380" s="160">
        <f>InputData!$C$12</f>
        <v>0.02</v>
      </c>
      <c r="S380" s="160">
        <f>InputData!$C$13</f>
        <v>0.9</v>
      </c>
      <c r="T380" s="116">
        <f>InputData!$C$88</f>
        <v>180000</v>
      </c>
      <c r="U380" s="116">
        <f>InputData!$C$81</f>
        <v>178500</v>
      </c>
      <c r="V380" s="116">
        <f>InputData!$C$82</f>
        <v>303960</v>
      </c>
      <c r="W380" s="116">
        <f>InputData!$C$84</f>
        <v>215220</v>
      </c>
      <c r="X380" s="116">
        <f>InputData!$C$85</f>
        <v>409020</v>
      </c>
      <c r="Y380" s="116">
        <f>InputData!$C$116</f>
        <v>140000</v>
      </c>
      <c r="Z380" s="160">
        <f>InputData!$E$13</f>
        <v>0</v>
      </c>
    </row>
    <row r="381" spans="1:26" x14ac:dyDescent="0.25">
      <c r="A381">
        <f>InputData!$K$1</f>
        <v>2013</v>
      </c>
      <c r="B381" t="str">
        <f>InputData!$G$1</f>
        <v>San Antonio, TX</v>
      </c>
      <c r="C381" t="s">
        <v>11</v>
      </c>
      <c r="D381" t="str">
        <f>Graph_IntMed!$O$6</f>
        <v>HPSPim</v>
      </c>
      <c r="E381" t="str">
        <f t="shared" si="5"/>
        <v>Internal Medicine HPSPim</v>
      </c>
      <c r="F381">
        <f>Graph_IntMed!$A26</f>
        <v>2032</v>
      </c>
      <c r="G381">
        <f>Graph_IntMed!$B26</f>
        <v>20</v>
      </c>
      <c r="H381" s="165">
        <f>Graph_IntMed!$O26</f>
        <v>1231763.6105253431</v>
      </c>
      <c r="I381" s="160">
        <f>InputData!$C$3</f>
        <v>0.02</v>
      </c>
      <c r="J381" s="160">
        <f>InputData!$C$4</f>
        <v>0.01</v>
      </c>
      <c r="K381" s="160">
        <f>InputData!$C$5</f>
        <v>0.01</v>
      </c>
      <c r="L381" s="160">
        <f>InputData!$C$6</f>
        <v>6.2100000000000002E-2</v>
      </c>
      <c r="M381" s="160">
        <f>InputData!$C$7</f>
        <v>0.03</v>
      </c>
      <c r="N381" s="160">
        <f>InputData!$C$8</f>
        <v>0.02</v>
      </c>
      <c r="O381" s="160">
        <f>InputData!$C$9</f>
        <v>0.06</v>
      </c>
      <c r="P381" s="160">
        <f>InputData!$C$10</f>
        <v>0.02</v>
      </c>
      <c r="Q381" s="160">
        <f>InputData!$C$11</f>
        <v>0.02</v>
      </c>
      <c r="R381" s="160">
        <f>InputData!$C$12</f>
        <v>0.02</v>
      </c>
      <c r="S381" s="160">
        <f>InputData!$C$13</f>
        <v>0.9</v>
      </c>
      <c r="T381" s="116">
        <f>InputData!$C$88</f>
        <v>180000</v>
      </c>
      <c r="U381" s="116">
        <f>InputData!$C$81</f>
        <v>178500</v>
      </c>
      <c r="V381" s="116">
        <f>InputData!$C$82</f>
        <v>303960</v>
      </c>
      <c r="W381" s="116">
        <f>InputData!$C$84</f>
        <v>215220</v>
      </c>
      <c r="X381" s="116">
        <f>InputData!$C$85</f>
        <v>409020</v>
      </c>
      <c r="Y381" s="116">
        <f>InputData!$C$116</f>
        <v>140000</v>
      </c>
      <c r="Z381" s="160">
        <f>InputData!$E$13</f>
        <v>0</v>
      </c>
    </row>
    <row r="382" spans="1:26" x14ac:dyDescent="0.25">
      <c r="A382">
        <f>InputData!$K$1</f>
        <v>2013</v>
      </c>
      <c r="B382" t="str">
        <f>InputData!$G$1</f>
        <v>San Antonio, TX</v>
      </c>
      <c r="C382" t="s">
        <v>11</v>
      </c>
      <c r="D382" t="str">
        <f>Graph_IntMed!$O$6</f>
        <v>HPSPim</v>
      </c>
      <c r="E382" t="str">
        <f t="shared" si="5"/>
        <v>Internal Medicine HPSPim</v>
      </c>
      <c r="F382">
        <f>Graph_IntMed!$A27</f>
        <v>2033</v>
      </c>
      <c r="G382">
        <f>Graph_IntMed!$B27</f>
        <v>21</v>
      </c>
      <c r="H382" s="165">
        <f>Graph_IntMed!$O27</f>
        <v>1303758.1005478599</v>
      </c>
      <c r="I382" s="160">
        <f>InputData!$C$3</f>
        <v>0.02</v>
      </c>
      <c r="J382" s="160">
        <f>InputData!$C$4</f>
        <v>0.01</v>
      </c>
      <c r="K382" s="160">
        <f>InputData!$C$5</f>
        <v>0.01</v>
      </c>
      <c r="L382" s="160">
        <f>InputData!$C$6</f>
        <v>6.2100000000000002E-2</v>
      </c>
      <c r="M382" s="160">
        <f>InputData!$C$7</f>
        <v>0.03</v>
      </c>
      <c r="N382" s="160">
        <f>InputData!$C$8</f>
        <v>0.02</v>
      </c>
      <c r="O382" s="160">
        <f>InputData!$C$9</f>
        <v>0.06</v>
      </c>
      <c r="P382" s="160">
        <f>InputData!$C$10</f>
        <v>0.02</v>
      </c>
      <c r="Q382" s="160">
        <f>InputData!$C$11</f>
        <v>0.02</v>
      </c>
      <c r="R382" s="160">
        <f>InputData!$C$12</f>
        <v>0.02</v>
      </c>
      <c r="S382" s="160">
        <f>InputData!$C$13</f>
        <v>0.9</v>
      </c>
      <c r="T382" s="116">
        <f>InputData!$C$88</f>
        <v>180000</v>
      </c>
      <c r="U382" s="116">
        <f>InputData!$C$81</f>
        <v>178500</v>
      </c>
      <c r="V382" s="116">
        <f>InputData!$C$82</f>
        <v>303960</v>
      </c>
      <c r="W382" s="116">
        <f>InputData!$C$84</f>
        <v>215220</v>
      </c>
      <c r="X382" s="116">
        <f>InputData!$C$85</f>
        <v>409020</v>
      </c>
      <c r="Y382" s="116">
        <f>InputData!$C$116</f>
        <v>140000</v>
      </c>
      <c r="Z382" s="160">
        <f>InputData!$E$13</f>
        <v>0</v>
      </c>
    </row>
    <row r="383" spans="1:26" x14ac:dyDescent="0.25">
      <c r="A383">
        <f>InputData!$K$1</f>
        <v>2013</v>
      </c>
      <c r="B383" t="str">
        <f>InputData!$G$1</f>
        <v>San Antonio, TX</v>
      </c>
      <c r="C383" t="s">
        <v>11</v>
      </c>
      <c r="D383" t="str">
        <f>Graph_IntMed!$O$6</f>
        <v>HPSPim</v>
      </c>
      <c r="E383" t="str">
        <f t="shared" si="5"/>
        <v>Internal Medicine HPSPim</v>
      </c>
      <c r="F383">
        <f>Graph_IntMed!$A28</f>
        <v>2034</v>
      </c>
      <c r="G383">
        <f>Graph_IntMed!$B28</f>
        <v>22</v>
      </c>
      <c r="H383" s="165">
        <f>Graph_IntMed!$O28</f>
        <v>1374333.7383846033</v>
      </c>
      <c r="I383" s="160">
        <f>InputData!$C$3</f>
        <v>0.02</v>
      </c>
      <c r="J383" s="160">
        <f>InputData!$C$4</f>
        <v>0.01</v>
      </c>
      <c r="K383" s="160">
        <f>InputData!$C$5</f>
        <v>0.01</v>
      </c>
      <c r="L383" s="160">
        <f>InputData!$C$6</f>
        <v>6.2100000000000002E-2</v>
      </c>
      <c r="M383" s="160">
        <f>InputData!$C$7</f>
        <v>0.03</v>
      </c>
      <c r="N383" s="160">
        <f>InputData!$C$8</f>
        <v>0.02</v>
      </c>
      <c r="O383" s="160">
        <f>InputData!$C$9</f>
        <v>0.06</v>
      </c>
      <c r="P383" s="160">
        <f>InputData!$C$10</f>
        <v>0.02</v>
      </c>
      <c r="Q383" s="160">
        <f>InputData!$C$11</f>
        <v>0.02</v>
      </c>
      <c r="R383" s="160">
        <f>InputData!$C$12</f>
        <v>0.02</v>
      </c>
      <c r="S383" s="160">
        <f>InputData!$C$13</f>
        <v>0.9</v>
      </c>
      <c r="T383" s="116">
        <f>InputData!$C$88</f>
        <v>180000</v>
      </c>
      <c r="U383" s="116">
        <f>InputData!$C$81</f>
        <v>178500</v>
      </c>
      <c r="V383" s="116">
        <f>InputData!$C$82</f>
        <v>303960</v>
      </c>
      <c r="W383" s="116">
        <f>InputData!$C$84</f>
        <v>215220</v>
      </c>
      <c r="X383" s="116">
        <f>InputData!$C$85</f>
        <v>409020</v>
      </c>
      <c r="Y383" s="116">
        <f>InputData!$C$116</f>
        <v>140000</v>
      </c>
      <c r="Z383" s="160">
        <f>InputData!$E$13</f>
        <v>0</v>
      </c>
    </row>
    <row r="384" spans="1:26" x14ac:dyDescent="0.25">
      <c r="A384">
        <f>InputData!$K$1</f>
        <v>2013</v>
      </c>
      <c r="B384" t="str">
        <f>InputData!$G$1</f>
        <v>San Antonio, TX</v>
      </c>
      <c r="C384" t="s">
        <v>11</v>
      </c>
      <c r="D384" t="str">
        <f>Graph_IntMed!$O$6</f>
        <v>HPSPim</v>
      </c>
      <c r="E384" t="str">
        <f t="shared" si="5"/>
        <v>Internal Medicine HPSPim</v>
      </c>
      <c r="F384">
        <f>Graph_IntMed!$A29</f>
        <v>2035</v>
      </c>
      <c r="G384">
        <f>Graph_IntMed!$B29</f>
        <v>23</v>
      </c>
      <c r="H384" s="165">
        <f>Graph_IntMed!$O29</f>
        <v>1443518.5542448801</v>
      </c>
      <c r="I384" s="160">
        <f>InputData!$C$3</f>
        <v>0.02</v>
      </c>
      <c r="J384" s="160">
        <f>InputData!$C$4</f>
        <v>0.01</v>
      </c>
      <c r="K384" s="160">
        <f>InputData!$C$5</f>
        <v>0.01</v>
      </c>
      <c r="L384" s="160">
        <f>InputData!$C$6</f>
        <v>6.2100000000000002E-2</v>
      </c>
      <c r="M384" s="160">
        <f>InputData!$C$7</f>
        <v>0.03</v>
      </c>
      <c r="N384" s="160">
        <f>InputData!$C$8</f>
        <v>0.02</v>
      </c>
      <c r="O384" s="160">
        <f>InputData!$C$9</f>
        <v>0.06</v>
      </c>
      <c r="P384" s="160">
        <f>InputData!$C$10</f>
        <v>0.02</v>
      </c>
      <c r="Q384" s="160">
        <f>InputData!$C$11</f>
        <v>0.02</v>
      </c>
      <c r="R384" s="160">
        <f>InputData!$C$12</f>
        <v>0.02</v>
      </c>
      <c r="S384" s="160">
        <f>InputData!$C$13</f>
        <v>0.9</v>
      </c>
      <c r="T384" s="116">
        <f>InputData!$C$88</f>
        <v>180000</v>
      </c>
      <c r="U384" s="116">
        <f>InputData!$C$81</f>
        <v>178500</v>
      </c>
      <c r="V384" s="116">
        <f>InputData!$C$82</f>
        <v>303960</v>
      </c>
      <c r="W384" s="116">
        <f>InputData!$C$84</f>
        <v>215220</v>
      </c>
      <c r="X384" s="116">
        <f>InputData!$C$85</f>
        <v>409020</v>
      </c>
      <c r="Y384" s="116">
        <f>InputData!$C$116</f>
        <v>140000</v>
      </c>
      <c r="Z384" s="160">
        <f>InputData!$E$13</f>
        <v>0</v>
      </c>
    </row>
    <row r="385" spans="1:26" x14ac:dyDescent="0.25">
      <c r="A385">
        <f>InputData!$K$1</f>
        <v>2013</v>
      </c>
      <c r="B385" t="str">
        <f>InputData!$G$1</f>
        <v>San Antonio, TX</v>
      </c>
      <c r="C385" t="s">
        <v>11</v>
      </c>
      <c r="D385" t="str">
        <f>Graph_IntMed!$O$6</f>
        <v>HPSPim</v>
      </c>
      <c r="E385" t="str">
        <f t="shared" si="5"/>
        <v>Internal Medicine HPSPim</v>
      </c>
      <c r="F385">
        <f>Graph_IntMed!$A30</f>
        <v>2036</v>
      </c>
      <c r="G385">
        <f>Graph_IntMed!$B30</f>
        <v>24</v>
      </c>
      <c r="H385" s="165">
        <f>Graph_IntMed!$O30</f>
        <v>1511340.0226218309</v>
      </c>
      <c r="I385" s="160">
        <f>InputData!$C$3</f>
        <v>0.02</v>
      </c>
      <c r="J385" s="160">
        <f>InputData!$C$4</f>
        <v>0.01</v>
      </c>
      <c r="K385" s="160">
        <f>InputData!$C$5</f>
        <v>0.01</v>
      </c>
      <c r="L385" s="160">
        <f>InputData!$C$6</f>
        <v>6.2100000000000002E-2</v>
      </c>
      <c r="M385" s="160">
        <f>InputData!$C$7</f>
        <v>0.03</v>
      </c>
      <c r="N385" s="160">
        <f>InputData!$C$8</f>
        <v>0.02</v>
      </c>
      <c r="O385" s="160">
        <f>InputData!$C$9</f>
        <v>0.06</v>
      </c>
      <c r="P385" s="160">
        <f>InputData!$C$10</f>
        <v>0.02</v>
      </c>
      <c r="Q385" s="160">
        <f>InputData!$C$11</f>
        <v>0.02</v>
      </c>
      <c r="R385" s="160">
        <f>InputData!$C$12</f>
        <v>0.02</v>
      </c>
      <c r="S385" s="160">
        <f>InputData!$C$13</f>
        <v>0.9</v>
      </c>
      <c r="T385" s="116">
        <f>InputData!$C$88</f>
        <v>180000</v>
      </c>
      <c r="U385" s="116">
        <f>InputData!$C$81</f>
        <v>178500</v>
      </c>
      <c r="V385" s="116">
        <f>InputData!$C$82</f>
        <v>303960</v>
      </c>
      <c r="W385" s="116">
        <f>InputData!$C$84</f>
        <v>215220</v>
      </c>
      <c r="X385" s="116">
        <f>InputData!$C$85</f>
        <v>409020</v>
      </c>
      <c r="Y385" s="116">
        <f>InputData!$C$116</f>
        <v>140000</v>
      </c>
      <c r="Z385" s="160">
        <f>InputData!$E$13</f>
        <v>0</v>
      </c>
    </row>
    <row r="386" spans="1:26" x14ac:dyDescent="0.25">
      <c r="A386">
        <f>InputData!$K$1</f>
        <v>2013</v>
      </c>
      <c r="B386" t="str">
        <f>InputData!$G$1</f>
        <v>San Antonio, TX</v>
      </c>
      <c r="C386" t="s">
        <v>11</v>
      </c>
      <c r="D386" t="str">
        <f>Graph_IntMed!$O$6</f>
        <v>HPSPim</v>
      </c>
      <c r="E386" t="str">
        <f t="shared" si="5"/>
        <v>Internal Medicine HPSPim</v>
      </c>
      <c r="F386">
        <f>Graph_IntMed!$A31</f>
        <v>2037</v>
      </c>
      <c r="G386">
        <f>Graph_IntMed!$B31</f>
        <v>25</v>
      </c>
      <c r="H386" s="165">
        <f>Graph_IntMed!$O31</f>
        <v>1577818.1477930245</v>
      </c>
      <c r="I386" s="160">
        <f>InputData!$C$3</f>
        <v>0.02</v>
      </c>
      <c r="J386" s="160">
        <f>InputData!$C$4</f>
        <v>0.01</v>
      </c>
      <c r="K386" s="160">
        <f>InputData!$C$5</f>
        <v>0.01</v>
      </c>
      <c r="L386" s="160">
        <f>InputData!$C$6</f>
        <v>6.2100000000000002E-2</v>
      </c>
      <c r="M386" s="160">
        <f>InputData!$C$7</f>
        <v>0.03</v>
      </c>
      <c r="N386" s="160">
        <f>InputData!$C$8</f>
        <v>0.02</v>
      </c>
      <c r="O386" s="160">
        <f>InputData!$C$9</f>
        <v>0.06</v>
      </c>
      <c r="P386" s="160">
        <f>InputData!$C$10</f>
        <v>0.02</v>
      </c>
      <c r="Q386" s="160">
        <f>InputData!$C$11</f>
        <v>0.02</v>
      </c>
      <c r="R386" s="160">
        <f>InputData!$C$12</f>
        <v>0.02</v>
      </c>
      <c r="S386" s="160">
        <f>InputData!$C$13</f>
        <v>0.9</v>
      </c>
      <c r="T386" s="116">
        <f>InputData!$C$88</f>
        <v>180000</v>
      </c>
      <c r="U386" s="116">
        <f>InputData!$C$81</f>
        <v>178500</v>
      </c>
      <c r="V386" s="116">
        <f>InputData!$C$82</f>
        <v>303960</v>
      </c>
      <c r="W386" s="116">
        <f>InputData!$C$84</f>
        <v>215220</v>
      </c>
      <c r="X386" s="116">
        <f>InputData!$C$85</f>
        <v>409020</v>
      </c>
      <c r="Y386" s="116">
        <f>InputData!$C$116</f>
        <v>140000</v>
      </c>
      <c r="Z386" s="160">
        <f>InputData!$E$13</f>
        <v>0</v>
      </c>
    </row>
    <row r="387" spans="1:26" x14ac:dyDescent="0.25">
      <c r="A387">
        <f>InputData!$K$1</f>
        <v>2013</v>
      </c>
      <c r="B387" t="str">
        <f>InputData!$G$1</f>
        <v>San Antonio, TX</v>
      </c>
      <c r="C387" t="s">
        <v>11</v>
      </c>
      <c r="D387" t="str">
        <f>Graph_IntMed!$O$6</f>
        <v>HPSPim</v>
      </c>
      <c r="E387" t="str">
        <f t="shared" ref="E387:E450" si="6">C387 &amp; " " &amp; D387</f>
        <v>Internal Medicine HPSPim</v>
      </c>
      <c r="F387">
        <f>Graph_IntMed!$A32</f>
        <v>2038</v>
      </c>
      <c r="G387">
        <f>Graph_IntMed!$B32</f>
        <v>26</v>
      </c>
      <c r="H387" s="165">
        <f>Graph_IntMed!$O32</f>
        <v>1642942.0564952637</v>
      </c>
      <c r="I387" s="160">
        <f>InputData!$C$3</f>
        <v>0.02</v>
      </c>
      <c r="J387" s="160">
        <f>InputData!$C$4</f>
        <v>0.01</v>
      </c>
      <c r="K387" s="160">
        <f>InputData!$C$5</f>
        <v>0.01</v>
      </c>
      <c r="L387" s="160">
        <f>InputData!$C$6</f>
        <v>6.2100000000000002E-2</v>
      </c>
      <c r="M387" s="160">
        <f>InputData!$C$7</f>
        <v>0.03</v>
      </c>
      <c r="N387" s="160">
        <f>InputData!$C$8</f>
        <v>0.02</v>
      </c>
      <c r="O387" s="160">
        <f>InputData!$C$9</f>
        <v>0.06</v>
      </c>
      <c r="P387" s="160">
        <f>InputData!$C$10</f>
        <v>0.02</v>
      </c>
      <c r="Q387" s="160">
        <f>InputData!$C$11</f>
        <v>0.02</v>
      </c>
      <c r="R387" s="160">
        <f>InputData!$C$12</f>
        <v>0.02</v>
      </c>
      <c r="S387" s="160">
        <f>InputData!$C$13</f>
        <v>0.9</v>
      </c>
      <c r="T387" s="116">
        <f>InputData!$C$88</f>
        <v>180000</v>
      </c>
      <c r="U387" s="116">
        <f>InputData!$C$81</f>
        <v>178500</v>
      </c>
      <c r="V387" s="116">
        <f>InputData!$C$82</f>
        <v>303960</v>
      </c>
      <c r="W387" s="116">
        <f>InputData!$C$84</f>
        <v>215220</v>
      </c>
      <c r="X387" s="116">
        <f>InputData!$C$85</f>
        <v>409020</v>
      </c>
      <c r="Y387" s="116">
        <f>InputData!$C$116</f>
        <v>140000</v>
      </c>
      <c r="Z387" s="160">
        <f>InputData!$E$13</f>
        <v>0</v>
      </c>
    </row>
    <row r="388" spans="1:26" x14ac:dyDescent="0.25">
      <c r="A388">
        <f>InputData!$K$1</f>
        <v>2013</v>
      </c>
      <c r="B388" t="str">
        <f>InputData!$G$1</f>
        <v>San Antonio, TX</v>
      </c>
      <c r="C388" t="s">
        <v>11</v>
      </c>
      <c r="D388" t="str">
        <f>Graph_IntMed!$O$6</f>
        <v>HPSPim</v>
      </c>
      <c r="E388" t="str">
        <f t="shared" si="6"/>
        <v>Internal Medicine HPSPim</v>
      </c>
      <c r="F388">
        <f>Graph_IntMed!$A33</f>
        <v>2039</v>
      </c>
      <c r="G388">
        <f>Graph_IntMed!$B33</f>
        <v>27</v>
      </c>
      <c r="H388" s="165">
        <f>Graph_IntMed!$O33</f>
        <v>1706739.7793854184</v>
      </c>
      <c r="I388" s="160">
        <f>InputData!$C$3</f>
        <v>0.02</v>
      </c>
      <c r="J388" s="160">
        <f>InputData!$C$4</f>
        <v>0.01</v>
      </c>
      <c r="K388" s="160">
        <f>InputData!$C$5</f>
        <v>0.01</v>
      </c>
      <c r="L388" s="160">
        <f>InputData!$C$6</f>
        <v>6.2100000000000002E-2</v>
      </c>
      <c r="M388" s="160">
        <f>InputData!$C$7</f>
        <v>0.03</v>
      </c>
      <c r="N388" s="160">
        <f>InputData!$C$8</f>
        <v>0.02</v>
      </c>
      <c r="O388" s="160">
        <f>InputData!$C$9</f>
        <v>0.06</v>
      </c>
      <c r="P388" s="160">
        <f>InputData!$C$10</f>
        <v>0.02</v>
      </c>
      <c r="Q388" s="160">
        <f>InputData!$C$11</f>
        <v>0.02</v>
      </c>
      <c r="R388" s="160">
        <f>InputData!$C$12</f>
        <v>0.02</v>
      </c>
      <c r="S388" s="160">
        <f>InputData!$C$13</f>
        <v>0.9</v>
      </c>
      <c r="T388" s="116">
        <f>InputData!$C$88</f>
        <v>180000</v>
      </c>
      <c r="U388" s="116">
        <f>InputData!$C$81</f>
        <v>178500</v>
      </c>
      <c r="V388" s="116">
        <f>InputData!$C$82</f>
        <v>303960</v>
      </c>
      <c r="W388" s="116">
        <f>InputData!$C$84</f>
        <v>215220</v>
      </c>
      <c r="X388" s="116">
        <f>InputData!$C$85</f>
        <v>409020</v>
      </c>
      <c r="Y388" s="116">
        <f>InputData!$C$116</f>
        <v>140000</v>
      </c>
      <c r="Z388" s="160">
        <f>InputData!$E$13</f>
        <v>0</v>
      </c>
    </row>
    <row r="389" spans="1:26" x14ac:dyDescent="0.25">
      <c r="A389">
        <f>InputData!$K$1</f>
        <v>2013</v>
      </c>
      <c r="B389" t="str">
        <f>InputData!$G$1</f>
        <v>San Antonio, TX</v>
      </c>
      <c r="C389" t="s">
        <v>11</v>
      </c>
      <c r="D389" t="str">
        <f>Graph_IntMed!$O$6</f>
        <v>HPSPim</v>
      </c>
      <c r="E389" t="str">
        <f t="shared" si="6"/>
        <v>Internal Medicine HPSPim</v>
      </c>
      <c r="F389">
        <f>Graph_IntMed!$A34</f>
        <v>2040</v>
      </c>
      <c r="G389">
        <f>Graph_IntMed!$B34</f>
        <v>28</v>
      </c>
      <c r="H389" s="165">
        <f>Graph_IntMed!$O34</f>
        <v>1769238.7544687784</v>
      </c>
      <c r="I389" s="160">
        <f>InputData!$C$3</f>
        <v>0.02</v>
      </c>
      <c r="J389" s="160">
        <f>InputData!$C$4</f>
        <v>0.01</v>
      </c>
      <c r="K389" s="160">
        <f>InputData!$C$5</f>
        <v>0.01</v>
      </c>
      <c r="L389" s="160">
        <f>InputData!$C$6</f>
        <v>6.2100000000000002E-2</v>
      </c>
      <c r="M389" s="160">
        <f>InputData!$C$7</f>
        <v>0.03</v>
      </c>
      <c r="N389" s="160">
        <f>InputData!$C$8</f>
        <v>0.02</v>
      </c>
      <c r="O389" s="160">
        <f>InputData!$C$9</f>
        <v>0.06</v>
      </c>
      <c r="P389" s="160">
        <f>InputData!$C$10</f>
        <v>0.02</v>
      </c>
      <c r="Q389" s="160">
        <f>InputData!$C$11</f>
        <v>0.02</v>
      </c>
      <c r="R389" s="160">
        <f>InputData!$C$12</f>
        <v>0.02</v>
      </c>
      <c r="S389" s="160">
        <f>InputData!$C$13</f>
        <v>0.9</v>
      </c>
      <c r="T389" s="116">
        <f>InputData!$C$88</f>
        <v>180000</v>
      </c>
      <c r="U389" s="116">
        <f>InputData!$C$81</f>
        <v>178500</v>
      </c>
      <c r="V389" s="116">
        <f>InputData!$C$82</f>
        <v>303960</v>
      </c>
      <c r="W389" s="116">
        <f>InputData!$C$84</f>
        <v>215220</v>
      </c>
      <c r="X389" s="116">
        <f>InputData!$C$85</f>
        <v>409020</v>
      </c>
      <c r="Y389" s="116">
        <f>InputData!$C$116</f>
        <v>140000</v>
      </c>
      <c r="Z389" s="160">
        <f>InputData!$E$13</f>
        <v>0</v>
      </c>
    </row>
    <row r="390" spans="1:26" x14ac:dyDescent="0.25">
      <c r="A390">
        <f>InputData!$K$1</f>
        <v>2013</v>
      </c>
      <c r="B390" t="str">
        <f>InputData!$G$1</f>
        <v>San Antonio, TX</v>
      </c>
      <c r="C390" t="s">
        <v>11</v>
      </c>
      <c r="D390" t="str">
        <f>Graph_IntMed!$O$6</f>
        <v>HPSPim</v>
      </c>
      <c r="E390" t="str">
        <f t="shared" si="6"/>
        <v>Internal Medicine HPSPim</v>
      </c>
      <c r="F390">
        <f>Graph_IntMed!$A35</f>
        <v>2041</v>
      </c>
      <c r="G390">
        <f>Graph_IntMed!$B35</f>
        <v>29</v>
      </c>
      <c r="H390" s="165">
        <f>Graph_IntMed!$O35</f>
        <v>1830465.839972998</v>
      </c>
      <c r="I390" s="160">
        <f>InputData!$C$3</f>
        <v>0.02</v>
      </c>
      <c r="J390" s="160">
        <f>InputData!$C$4</f>
        <v>0.01</v>
      </c>
      <c r="K390" s="160">
        <f>InputData!$C$5</f>
        <v>0.01</v>
      </c>
      <c r="L390" s="160">
        <f>InputData!$C$6</f>
        <v>6.2100000000000002E-2</v>
      </c>
      <c r="M390" s="160">
        <f>InputData!$C$7</f>
        <v>0.03</v>
      </c>
      <c r="N390" s="160">
        <f>InputData!$C$8</f>
        <v>0.02</v>
      </c>
      <c r="O390" s="160">
        <f>InputData!$C$9</f>
        <v>0.06</v>
      </c>
      <c r="P390" s="160">
        <f>InputData!$C$10</f>
        <v>0.02</v>
      </c>
      <c r="Q390" s="160">
        <f>InputData!$C$11</f>
        <v>0.02</v>
      </c>
      <c r="R390" s="160">
        <f>InputData!$C$12</f>
        <v>0.02</v>
      </c>
      <c r="S390" s="160">
        <f>InputData!$C$13</f>
        <v>0.9</v>
      </c>
      <c r="T390" s="116">
        <f>InputData!$C$88</f>
        <v>180000</v>
      </c>
      <c r="U390" s="116">
        <f>InputData!$C$81</f>
        <v>178500</v>
      </c>
      <c r="V390" s="116">
        <f>InputData!$C$82</f>
        <v>303960</v>
      </c>
      <c r="W390" s="116">
        <f>InputData!$C$84</f>
        <v>215220</v>
      </c>
      <c r="X390" s="116">
        <f>InputData!$C$85</f>
        <v>409020</v>
      </c>
      <c r="Y390" s="116">
        <f>InputData!$C$116</f>
        <v>140000</v>
      </c>
      <c r="Z390" s="160">
        <f>InputData!$E$13</f>
        <v>0</v>
      </c>
    </row>
    <row r="391" spans="1:26" x14ac:dyDescent="0.25">
      <c r="A391">
        <f>InputData!$K$1</f>
        <v>2013</v>
      </c>
      <c r="B391" t="str">
        <f>InputData!$G$1</f>
        <v>San Antonio, TX</v>
      </c>
      <c r="C391" t="s">
        <v>11</v>
      </c>
      <c r="D391" t="str">
        <f>Graph_IntMed!$O$6</f>
        <v>HPSPim</v>
      </c>
      <c r="E391" t="str">
        <f t="shared" si="6"/>
        <v>Internal Medicine HPSPim</v>
      </c>
      <c r="F391">
        <f>Graph_IntMed!$A36</f>
        <v>2042</v>
      </c>
      <c r="G391">
        <f>Graph_IntMed!$B36</f>
        <v>30</v>
      </c>
      <c r="H391" s="165">
        <f>Graph_IntMed!$O36</f>
        <v>1890447.3269331071</v>
      </c>
      <c r="I391" s="160">
        <f>InputData!$C$3</f>
        <v>0.02</v>
      </c>
      <c r="J391" s="160">
        <f>InputData!$C$4</f>
        <v>0.01</v>
      </c>
      <c r="K391" s="160">
        <f>InputData!$C$5</f>
        <v>0.01</v>
      </c>
      <c r="L391" s="160">
        <f>InputData!$C$6</f>
        <v>6.2100000000000002E-2</v>
      </c>
      <c r="M391" s="160">
        <f>InputData!$C$7</f>
        <v>0.03</v>
      </c>
      <c r="N391" s="160">
        <f>InputData!$C$8</f>
        <v>0.02</v>
      </c>
      <c r="O391" s="160">
        <f>InputData!$C$9</f>
        <v>0.06</v>
      </c>
      <c r="P391" s="160">
        <f>InputData!$C$10</f>
        <v>0.02</v>
      </c>
      <c r="Q391" s="160">
        <f>InputData!$C$11</f>
        <v>0.02</v>
      </c>
      <c r="R391" s="160">
        <f>InputData!$C$12</f>
        <v>0.02</v>
      </c>
      <c r="S391" s="160">
        <f>InputData!$C$13</f>
        <v>0.9</v>
      </c>
      <c r="T391" s="116">
        <f>InputData!$C$88</f>
        <v>180000</v>
      </c>
      <c r="U391" s="116">
        <f>InputData!$C$81</f>
        <v>178500</v>
      </c>
      <c r="V391" s="116">
        <f>InputData!$C$82</f>
        <v>303960</v>
      </c>
      <c r="W391" s="116">
        <f>InputData!$C$84</f>
        <v>215220</v>
      </c>
      <c r="X391" s="116">
        <f>InputData!$C$85</f>
        <v>409020</v>
      </c>
      <c r="Y391" s="116">
        <f>InputData!$C$116</f>
        <v>140000</v>
      </c>
      <c r="Z391" s="160">
        <f>InputData!$E$13</f>
        <v>0</v>
      </c>
    </row>
    <row r="392" spans="1:26" x14ac:dyDescent="0.25">
      <c r="A392">
        <f>InputData!$K$1</f>
        <v>2013</v>
      </c>
      <c r="B392" t="str">
        <f>InputData!$G$1</f>
        <v>San Antonio, TX</v>
      </c>
      <c r="C392" t="s">
        <v>11</v>
      </c>
      <c r="D392" t="str">
        <f>Graph_IntMed!$P$6</f>
        <v>NHSC</v>
      </c>
      <c r="E392" t="str">
        <f t="shared" si="6"/>
        <v>Internal Medicine NHSC</v>
      </c>
      <c r="F392">
        <f>Graph_IntMed!$A7</f>
        <v>2013</v>
      </c>
      <c r="G392">
        <f>Graph_IntMed!$B7</f>
        <v>1</v>
      </c>
      <c r="H392" s="165">
        <f>Graph_IntMed!$P7</f>
        <v>13737.898000000001</v>
      </c>
      <c r="I392" s="160">
        <f>InputData!$C$3</f>
        <v>0.02</v>
      </c>
      <c r="J392" s="160">
        <f>InputData!$C$4</f>
        <v>0.01</v>
      </c>
      <c r="K392" s="160">
        <f>InputData!$C$5</f>
        <v>0.01</v>
      </c>
      <c r="L392" s="160">
        <f>InputData!$C$6</f>
        <v>6.2100000000000002E-2</v>
      </c>
      <c r="M392" s="160">
        <f>InputData!$C$7</f>
        <v>0.03</v>
      </c>
      <c r="N392" s="160">
        <f>InputData!$C$8</f>
        <v>0.02</v>
      </c>
      <c r="O392" s="160">
        <f>InputData!$C$9</f>
        <v>0.06</v>
      </c>
      <c r="P392" s="160">
        <f>InputData!$C$10</f>
        <v>0.02</v>
      </c>
      <c r="Q392" s="160">
        <f>InputData!$C$11</f>
        <v>0.02</v>
      </c>
      <c r="R392" s="160">
        <f>InputData!$C$12</f>
        <v>0.02</v>
      </c>
      <c r="S392" s="160">
        <f>InputData!$C$13</f>
        <v>0.9</v>
      </c>
      <c r="T392" s="116">
        <f>InputData!$C$88</f>
        <v>180000</v>
      </c>
      <c r="U392" s="116">
        <f>InputData!$C$81</f>
        <v>178500</v>
      </c>
      <c r="V392" s="116">
        <f>InputData!$C$82</f>
        <v>303960</v>
      </c>
      <c r="W392" s="116">
        <f>InputData!$C$84</f>
        <v>215220</v>
      </c>
      <c r="X392" s="116">
        <f>InputData!$C$85</f>
        <v>409020</v>
      </c>
      <c r="Y392" s="116">
        <f>InputData!$C$116</f>
        <v>140000</v>
      </c>
      <c r="Z392" s="160">
        <f>InputData!$E$13</f>
        <v>0</v>
      </c>
    </row>
    <row r="393" spans="1:26" x14ac:dyDescent="0.25">
      <c r="A393">
        <f>InputData!$K$1</f>
        <v>2013</v>
      </c>
      <c r="B393" t="str">
        <f>InputData!$G$1</f>
        <v>San Antonio, TX</v>
      </c>
      <c r="C393" t="s">
        <v>11</v>
      </c>
      <c r="D393" t="str">
        <f>Graph_IntMed!$P$6</f>
        <v>NHSC</v>
      </c>
      <c r="E393" t="str">
        <f t="shared" si="6"/>
        <v>Internal Medicine NHSC</v>
      </c>
      <c r="F393">
        <f>Graph_IntMed!$A8</f>
        <v>2014</v>
      </c>
      <c r="G393">
        <f>Graph_IntMed!$B8</f>
        <v>2</v>
      </c>
      <c r="H393" s="165">
        <f>Graph_IntMed!$P8</f>
        <v>26833.174984580241</v>
      </c>
      <c r="I393" s="160">
        <f>InputData!$C$3</f>
        <v>0.02</v>
      </c>
      <c r="J393" s="160">
        <f>InputData!$C$4</f>
        <v>0.01</v>
      </c>
      <c r="K393" s="160">
        <f>InputData!$C$5</f>
        <v>0.01</v>
      </c>
      <c r="L393" s="160">
        <f>InputData!$C$6</f>
        <v>6.2100000000000002E-2</v>
      </c>
      <c r="M393" s="160">
        <f>InputData!$C$7</f>
        <v>0.03</v>
      </c>
      <c r="N393" s="160">
        <f>InputData!$C$8</f>
        <v>0.02</v>
      </c>
      <c r="O393" s="160">
        <f>InputData!$C$9</f>
        <v>0.06</v>
      </c>
      <c r="P393" s="160">
        <f>InputData!$C$10</f>
        <v>0.02</v>
      </c>
      <c r="Q393" s="160">
        <f>InputData!$C$11</f>
        <v>0.02</v>
      </c>
      <c r="R393" s="160">
        <f>InputData!$C$12</f>
        <v>0.02</v>
      </c>
      <c r="S393" s="160">
        <f>InputData!$C$13</f>
        <v>0.9</v>
      </c>
      <c r="T393" s="116">
        <f>InputData!$C$88</f>
        <v>180000</v>
      </c>
      <c r="U393" s="116">
        <f>InputData!$C$81</f>
        <v>178500</v>
      </c>
      <c r="V393" s="116">
        <f>InputData!$C$82</f>
        <v>303960</v>
      </c>
      <c r="W393" s="116">
        <f>InputData!$C$84</f>
        <v>215220</v>
      </c>
      <c r="X393" s="116">
        <f>InputData!$C$85</f>
        <v>409020</v>
      </c>
      <c r="Y393" s="116">
        <f>InputData!$C$116</f>
        <v>140000</v>
      </c>
      <c r="Z393" s="160">
        <f>InputData!$E$13</f>
        <v>0</v>
      </c>
    </row>
    <row r="394" spans="1:26" x14ac:dyDescent="0.25">
      <c r="A394">
        <f>InputData!$K$1</f>
        <v>2013</v>
      </c>
      <c r="B394" t="str">
        <f>InputData!$G$1</f>
        <v>San Antonio, TX</v>
      </c>
      <c r="C394" t="s">
        <v>11</v>
      </c>
      <c r="D394" t="str">
        <f>Graph_IntMed!$P$6</f>
        <v>NHSC</v>
      </c>
      <c r="E394" t="str">
        <f t="shared" si="6"/>
        <v>Internal Medicine NHSC</v>
      </c>
      <c r="F394">
        <f>Graph_IntMed!$A9</f>
        <v>2015</v>
      </c>
      <c r="G394">
        <f>Graph_IntMed!$B9</f>
        <v>3</v>
      </c>
      <c r="H394" s="165">
        <f>Graph_IntMed!$P9</f>
        <v>39316.22701228669</v>
      </c>
      <c r="I394" s="160">
        <f>InputData!$C$3</f>
        <v>0.02</v>
      </c>
      <c r="J394" s="160">
        <f>InputData!$C$4</f>
        <v>0.01</v>
      </c>
      <c r="K394" s="160">
        <f>InputData!$C$5</f>
        <v>0.01</v>
      </c>
      <c r="L394" s="160">
        <f>InputData!$C$6</f>
        <v>6.2100000000000002E-2</v>
      </c>
      <c r="M394" s="160">
        <f>InputData!$C$7</f>
        <v>0.03</v>
      </c>
      <c r="N394" s="160">
        <f>InputData!$C$8</f>
        <v>0.02</v>
      </c>
      <c r="O394" s="160">
        <f>InputData!$C$9</f>
        <v>0.06</v>
      </c>
      <c r="P394" s="160">
        <f>InputData!$C$10</f>
        <v>0.02</v>
      </c>
      <c r="Q394" s="160">
        <f>InputData!$C$11</f>
        <v>0.02</v>
      </c>
      <c r="R394" s="160">
        <f>InputData!$C$12</f>
        <v>0.02</v>
      </c>
      <c r="S394" s="160">
        <f>InputData!$C$13</f>
        <v>0.9</v>
      </c>
      <c r="T394" s="116">
        <f>InputData!$C$88</f>
        <v>180000</v>
      </c>
      <c r="U394" s="116">
        <f>InputData!$C$81</f>
        <v>178500</v>
      </c>
      <c r="V394" s="116">
        <f>InputData!$C$82</f>
        <v>303960</v>
      </c>
      <c r="W394" s="116">
        <f>InputData!$C$84</f>
        <v>215220</v>
      </c>
      <c r="X394" s="116">
        <f>InputData!$C$85</f>
        <v>409020</v>
      </c>
      <c r="Y394" s="116">
        <f>InputData!$C$116</f>
        <v>140000</v>
      </c>
      <c r="Z394" s="160">
        <f>InputData!$E$13</f>
        <v>0</v>
      </c>
    </row>
    <row r="395" spans="1:26" x14ac:dyDescent="0.25">
      <c r="A395">
        <f>InputData!$K$1</f>
        <v>2013</v>
      </c>
      <c r="B395" t="str">
        <f>InputData!$G$1</f>
        <v>San Antonio, TX</v>
      </c>
      <c r="C395" t="s">
        <v>11</v>
      </c>
      <c r="D395" t="str">
        <f>Graph_IntMed!$P$6</f>
        <v>NHSC</v>
      </c>
      <c r="E395" t="str">
        <f t="shared" si="6"/>
        <v>Internal Medicine NHSC</v>
      </c>
      <c r="F395">
        <f>Graph_IntMed!$A10</f>
        <v>2016</v>
      </c>
      <c r="G395">
        <f>Graph_IntMed!$B10</f>
        <v>4</v>
      </c>
      <c r="H395" s="165">
        <f>Graph_IntMed!$P10</f>
        <v>51216.002327239214</v>
      </c>
      <c r="I395" s="160">
        <f>InputData!$C$3</f>
        <v>0.02</v>
      </c>
      <c r="J395" s="160">
        <f>InputData!$C$4</f>
        <v>0.01</v>
      </c>
      <c r="K395" s="160">
        <f>InputData!$C$5</f>
        <v>0.01</v>
      </c>
      <c r="L395" s="160">
        <f>InputData!$C$6</f>
        <v>6.2100000000000002E-2</v>
      </c>
      <c r="M395" s="160">
        <f>InputData!$C$7</f>
        <v>0.03</v>
      </c>
      <c r="N395" s="160">
        <f>InputData!$C$8</f>
        <v>0.02</v>
      </c>
      <c r="O395" s="160">
        <f>InputData!$C$9</f>
        <v>0.06</v>
      </c>
      <c r="P395" s="160">
        <f>InputData!$C$10</f>
        <v>0.02</v>
      </c>
      <c r="Q395" s="160">
        <f>InputData!$C$11</f>
        <v>0.02</v>
      </c>
      <c r="R395" s="160">
        <f>InputData!$C$12</f>
        <v>0.02</v>
      </c>
      <c r="S395" s="160">
        <f>InputData!$C$13</f>
        <v>0.9</v>
      </c>
      <c r="T395" s="116">
        <f>InputData!$C$88</f>
        <v>180000</v>
      </c>
      <c r="U395" s="116">
        <f>InputData!$C$81</f>
        <v>178500</v>
      </c>
      <c r="V395" s="116">
        <f>InputData!$C$82</f>
        <v>303960</v>
      </c>
      <c r="W395" s="116">
        <f>InputData!$C$84</f>
        <v>215220</v>
      </c>
      <c r="X395" s="116">
        <f>InputData!$C$85</f>
        <v>409020</v>
      </c>
      <c r="Y395" s="116">
        <f>InputData!$C$116</f>
        <v>140000</v>
      </c>
      <c r="Z395" s="160">
        <f>InputData!$E$13</f>
        <v>0</v>
      </c>
    </row>
    <row r="396" spans="1:26" x14ac:dyDescent="0.25">
      <c r="A396">
        <f>InputData!$K$1</f>
        <v>2013</v>
      </c>
      <c r="B396" t="str">
        <f>InputData!$G$1</f>
        <v>San Antonio, TX</v>
      </c>
      <c r="C396" t="s">
        <v>11</v>
      </c>
      <c r="D396" t="str">
        <f>Graph_IntMed!$P$6</f>
        <v>NHSC</v>
      </c>
      <c r="E396" t="str">
        <f t="shared" si="6"/>
        <v>Internal Medicine NHSC</v>
      </c>
      <c r="F396">
        <f>Graph_IntMed!$A11</f>
        <v>2017</v>
      </c>
      <c r="G396">
        <f>Graph_IntMed!$B11</f>
        <v>5</v>
      </c>
      <c r="H396" s="165">
        <f>Graph_IntMed!$P11</f>
        <v>87102.330929145042</v>
      </c>
      <c r="I396" s="160">
        <f>InputData!$C$3</f>
        <v>0.02</v>
      </c>
      <c r="J396" s="160">
        <f>InputData!$C$4</f>
        <v>0.01</v>
      </c>
      <c r="K396" s="160">
        <f>InputData!$C$5</f>
        <v>0.01</v>
      </c>
      <c r="L396" s="160">
        <f>InputData!$C$6</f>
        <v>6.2100000000000002E-2</v>
      </c>
      <c r="M396" s="160">
        <f>InputData!$C$7</f>
        <v>0.03</v>
      </c>
      <c r="N396" s="160">
        <f>InputData!$C$8</f>
        <v>0.02</v>
      </c>
      <c r="O396" s="160">
        <f>InputData!$C$9</f>
        <v>0.06</v>
      </c>
      <c r="P396" s="160">
        <f>InputData!$C$10</f>
        <v>0.02</v>
      </c>
      <c r="Q396" s="160">
        <f>InputData!$C$11</f>
        <v>0.02</v>
      </c>
      <c r="R396" s="160">
        <f>InputData!$C$12</f>
        <v>0.02</v>
      </c>
      <c r="S396" s="160">
        <f>InputData!$C$13</f>
        <v>0.9</v>
      </c>
      <c r="T396" s="116">
        <f>InputData!$C$88</f>
        <v>180000</v>
      </c>
      <c r="U396" s="116">
        <f>InputData!$C$81</f>
        <v>178500</v>
      </c>
      <c r="V396" s="116">
        <f>InputData!$C$82</f>
        <v>303960</v>
      </c>
      <c r="W396" s="116">
        <f>InputData!$C$84</f>
        <v>215220</v>
      </c>
      <c r="X396" s="116">
        <f>InputData!$C$85</f>
        <v>409020</v>
      </c>
      <c r="Y396" s="116">
        <f>InputData!$C$116</f>
        <v>140000</v>
      </c>
      <c r="Z396" s="160">
        <f>InputData!$E$13</f>
        <v>0</v>
      </c>
    </row>
    <row r="397" spans="1:26" x14ac:dyDescent="0.25">
      <c r="A397">
        <f>InputData!$K$1</f>
        <v>2013</v>
      </c>
      <c r="B397" t="str">
        <f>InputData!$G$1</f>
        <v>San Antonio, TX</v>
      </c>
      <c r="C397" t="s">
        <v>11</v>
      </c>
      <c r="D397" t="str">
        <f>Graph_IntMed!$P$6</f>
        <v>NHSC</v>
      </c>
      <c r="E397" t="str">
        <f t="shared" si="6"/>
        <v>Internal Medicine NHSC</v>
      </c>
      <c r="F397">
        <f>Graph_IntMed!$A12</f>
        <v>2018</v>
      </c>
      <c r="G397">
        <f>Graph_IntMed!$B12</f>
        <v>6</v>
      </c>
      <c r="H397" s="165">
        <f>Graph_IntMed!$P12</f>
        <v>123087.45323780252</v>
      </c>
      <c r="I397" s="160">
        <f>InputData!$C$3</f>
        <v>0.02</v>
      </c>
      <c r="J397" s="160">
        <f>InputData!$C$4</f>
        <v>0.01</v>
      </c>
      <c r="K397" s="160">
        <f>InputData!$C$5</f>
        <v>0.01</v>
      </c>
      <c r="L397" s="160">
        <f>InputData!$C$6</f>
        <v>6.2100000000000002E-2</v>
      </c>
      <c r="M397" s="160">
        <f>InputData!$C$7</f>
        <v>0.03</v>
      </c>
      <c r="N397" s="160">
        <f>InputData!$C$8</f>
        <v>0.02</v>
      </c>
      <c r="O397" s="160">
        <f>InputData!$C$9</f>
        <v>0.06</v>
      </c>
      <c r="P397" s="160">
        <f>InputData!$C$10</f>
        <v>0.02</v>
      </c>
      <c r="Q397" s="160">
        <f>InputData!$C$11</f>
        <v>0.02</v>
      </c>
      <c r="R397" s="160">
        <f>InputData!$C$12</f>
        <v>0.02</v>
      </c>
      <c r="S397" s="160">
        <f>InputData!$C$13</f>
        <v>0.9</v>
      </c>
      <c r="T397" s="116">
        <f>InputData!$C$88</f>
        <v>180000</v>
      </c>
      <c r="U397" s="116">
        <f>InputData!$C$81</f>
        <v>178500</v>
      </c>
      <c r="V397" s="116">
        <f>InputData!$C$82</f>
        <v>303960</v>
      </c>
      <c r="W397" s="116">
        <f>InputData!$C$84</f>
        <v>215220</v>
      </c>
      <c r="X397" s="116">
        <f>InputData!$C$85</f>
        <v>409020</v>
      </c>
      <c r="Y397" s="116">
        <f>InputData!$C$116</f>
        <v>140000</v>
      </c>
      <c r="Z397" s="160">
        <f>InputData!$E$13</f>
        <v>0</v>
      </c>
    </row>
    <row r="398" spans="1:26" x14ac:dyDescent="0.25">
      <c r="A398">
        <f>InputData!$K$1</f>
        <v>2013</v>
      </c>
      <c r="B398" t="str">
        <f>InputData!$G$1</f>
        <v>San Antonio, TX</v>
      </c>
      <c r="C398" t="s">
        <v>11</v>
      </c>
      <c r="D398" t="str">
        <f>Graph_IntMed!$P$6</f>
        <v>NHSC</v>
      </c>
      <c r="E398" t="str">
        <f t="shared" si="6"/>
        <v>Internal Medicine NHSC</v>
      </c>
      <c r="F398">
        <f>Graph_IntMed!$A13</f>
        <v>2019</v>
      </c>
      <c r="G398">
        <f>Graph_IntMed!$B13</f>
        <v>7</v>
      </c>
      <c r="H398" s="165">
        <f>Graph_IntMed!$P13</f>
        <v>159178.72767926601</v>
      </c>
      <c r="I398" s="160">
        <f>InputData!$C$3</f>
        <v>0.02</v>
      </c>
      <c r="J398" s="160">
        <f>InputData!$C$4</f>
        <v>0.01</v>
      </c>
      <c r="K398" s="160">
        <f>InputData!$C$5</f>
        <v>0.01</v>
      </c>
      <c r="L398" s="160">
        <f>InputData!$C$6</f>
        <v>6.2100000000000002E-2</v>
      </c>
      <c r="M398" s="160">
        <f>InputData!$C$7</f>
        <v>0.03</v>
      </c>
      <c r="N398" s="160">
        <f>InputData!$C$8</f>
        <v>0.02</v>
      </c>
      <c r="O398" s="160">
        <f>InputData!$C$9</f>
        <v>0.06</v>
      </c>
      <c r="P398" s="160">
        <f>InputData!$C$10</f>
        <v>0.02</v>
      </c>
      <c r="Q398" s="160">
        <f>InputData!$C$11</f>
        <v>0.02</v>
      </c>
      <c r="R398" s="160">
        <f>InputData!$C$12</f>
        <v>0.02</v>
      </c>
      <c r="S398" s="160">
        <f>InputData!$C$13</f>
        <v>0.9</v>
      </c>
      <c r="T398" s="116">
        <f>InputData!$C$88</f>
        <v>180000</v>
      </c>
      <c r="U398" s="116">
        <f>InputData!$C$81</f>
        <v>178500</v>
      </c>
      <c r="V398" s="116">
        <f>InputData!$C$82</f>
        <v>303960</v>
      </c>
      <c r="W398" s="116">
        <f>InputData!$C$84</f>
        <v>215220</v>
      </c>
      <c r="X398" s="116">
        <f>InputData!$C$85</f>
        <v>409020</v>
      </c>
      <c r="Y398" s="116">
        <f>InputData!$C$116</f>
        <v>140000</v>
      </c>
      <c r="Z398" s="160">
        <f>InputData!$E$13</f>
        <v>0</v>
      </c>
    </row>
    <row r="399" spans="1:26" x14ac:dyDescent="0.25">
      <c r="A399">
        <f>InputData!$K$1</f>
        <v>2013</v>
      </c>
      <c r="B399" t="str">
        <f>InputData!$G$1</f>
        <v>San Antonio, TX</v>
      </c>
      <c r="C399" t="s">
        <v>11</v>
      </c>
      <c r="D399" t="str">
        <f>Graph_IntMed!$P$6</f>
        <v>NHSC</v>
      </c>
      <c r="E399" t="str">
        <f t="shared" si="6"/>
        <v>Internal Medicine NHSC</v>
      </c>
      <c r="F399">
        <f>Graph_IntMed!$A14</f>
        <v>2020</v>
      </c>
      <c r="G399">
        <f>Graph_IntMed!$B14</f>
        <v>8</v>
      </c>
      <c r="H399" s="165">
        <f>Graph_IntMed!$P14</f>
        <v>241485.8266800486</v>
      </c>
      <c r="I399" s="160">
        <f>InputData!$C$3</f>
        <v>0.02</v>
      </c>
      <c r="J399" s="160">
        <f>InputData!$C$4</f>
        <v>0.01</v>
      </c>
      <c r="K399" s="160">
        <f>InputData!$C$5</f>
        <v>0.01</v>
      </c>
      <c r="L399" s="160">
        <f>InputData!$C$6</f>
        <v>6.2100000000000002E-2</v>
      </c>
      <c r="M399" s="160">
        <f>InputData!$C$7</f>
        <v>0.03</v>
      </c>
      <c r="N399" s="160">
        <f>InputData!$C$8</f>
        <v>0.02</v>
      </c>
      <c r="O399" s="160">
        <f>InputData!$C$9</f>
        <v>0.06</v>
      </c>
      <c r="P399" s="160">
        <f>InputData!$C$10</f>
        <v>0.02</v>
      </c>
      <c r="Q399" s="160">
        <f>InputData!$C$11</f>
        <v>0.02</v>
      </c>
      <c r="R399" s="160">
        <f>InputData!$C$12</f>
        <v>0.02</v>
      </c>
      <c r="S399" s="160">
        <f>InputData!$C$13</f>
        <v>0.9</v>
      </c>
      <c r="T399" s="116">
        <f>InputData!$C$88</f>
        <v>180000</v>
      </c>
      <c r="U399" s="116">
        <f>InputData!$C$81</f>
        <v>178500</v>
      </c>
      <c r="V399" s="116">
        <f>InputData!$C$82</f>
        <v>303960</v>
      </c>
      <c r="W399" s="116">
        <f>InputData!$C$84</f>
        <v>215220</v>
      </c>
      <c r="X399" s="116">
        <f>InputData!$C$85</f>
        <v>409020</v>
      </c>
      <c r="Y399" s="116">
        <f>InputData!$C$116</f>
        <v>140000</v>
      </c>
      <c r="Z399" s="160">
        <f>InputData!$E$13</f>
        <v>0</v>
      </c>
    </row>
    <row r="400" spans="1:26" x14ac:dyDescent="0.25">
      <c r="A400">
        <f>InputData!$K$1</f>
        <v>2013</v>
      </c>
      <c r="B400" t="str">
        <f>InputData!$G$1</f>
        <v>San Antonio, TX</v>
      </c>
      <c r="C400" t="s">
        <v>11</v>
      </c>
      <c r="D400" t="str">
        <f>Graph_IntMed!$P$6</f>
        <v>NHSC</v>
      </c>
      <c r="E400" t="str">
        <f t="shared" si="6"/>
        <v>Internal Medicine NHSC</v>
      </c>
      <c r="F400">
        <f>Graph_IntMed!$A15</f>
        <v>2021</v>
      </c>
      <c r="G400">
        <f>Graph_IntMed!$B15</f>
        <v>9</v>
      </c>
      <c r="H400" s="165">
        <f>Graph_IntMed!$P15</f>
        <v>322160.04281040467</v>
      </c>
      <c r="I400" s="160">
        <f>InputData!$C$3</f>
        <v>0.02</v>
      </c>
      <c r="J400" s="160">
        <f>InputData!$C$4</f>
        <v>0.01</v>
      </c>
      <c r="K400" s="160">
        <f>InputData!$C$5</f>
        <v>0.01</v>
      </c>
      <c r="L400" s="160">
        <f>InputData!$C$6</f>
        <v>6.2100000000000002E-2</v>
      </c>
      <c r="M400" s="160">
        <f>InputData!$C$7</f>
        <v>0.03</v>
      </c>
      <c r="N400" s="160">
        <f>InputData!$C$8</f>
        <v>0.02</v>
      </c>
      <c r="O400" s="160">
        <f>InputData!$C$9</f>
        <v>0.06</v>
      </c>
      <c r="P400" s="160">
        <f>InputData!$C$10</f>
        <v>0.02</v>
      </c>
      <c r="Q400" s="160">
        <f>InputData!$C$11</f>
        <v>0.02</v>
      </c>
      <c r="R400" s="160">
        <f>InputData!$C$12</f>
        <v>0.02</v>
      </c>
      <c r="S400" s="160">
        <f>InputData!$C$13</f>
        <v>0.9</v>
      </c>
      <c r="T400" s="116">
        <f>InputData!$C$88</f>
        <v>180000</v>
      </c>
      <c r="U400" s="116">
        <f>InputData!$C$81</f>
        <v>178500</v>
      </c>
      <c r="V400" s="116">
        <f>InputData!$C$82</f>
        <v>303960</v>
      </c>
      <c r="W400" s="116">
        <f>InputData!$C$84</f>
        <v>215220</v>
      </c>
      <c r="X400" s="116">
        <f>InputData!$C$85</f>
        <v>409020</v>
      </c>
      <c r="Y400" s="116">
        <f>InputData!$C$116</f>
        <v>140000</v>
      </c>
      <c r="Z400" s="160">
        <f>InputData!$E$13</f>
        <v>0</v>
      </c>
    </row>
    <row r="401" spans="1:26" x14ac:dyDescent="0.25">
      <c r="A401">
        <f>InputData!$K$1</f>
        <v>2013</v>
      </c>
      <c r="B401" t="str">
        <f>InputData!$G$1</f>
        <v>San Antonio, TX</v>
      </c>
      <c r="C401" t="s">
        <v>11</v>
      </c>
      <c r="D401" t="str">
        <f>Graph_IntMed!$P$6</f>
        <v>NHSC</v>
      </c>
      <c r="E401" t="str">
        <f t="shared" si="6"/>
        <v>Internal Medicine NHSC</v>
      </c>
      <c r="F401">
        <f>Graph_IntMed!$A16</f>
        <v>2022</v>
      </c>
      <c r="G401">
        <f>Graph_IntMed!$B16</f>
        <v>10</v>
      </c>
      <c r="H401" s="165">
        <f>Graph_IntMed!$P16</f>
        <v>401233.94730921235</v>
      </c>
      <c r="I401" s="160">
        <f>InputData!$C$3</f>
        <v>0.02</v>
      </c>
      <c r="J401" s="160">
        <f>InputData!$C$4</f>
        <v>0.01</v>
      </c>
      <c r="K401" s="160">
        <f>InputData!$C$5</f>
        <v>0.01</v>
      </c>
      <c r="L401" s="160">
        <f>InputData!$C$6</f>
        <v>6.2100000000000002E-2</v>
      </c>
      <c r="M401" s="160">
        <f>InputData!$C$7</f>
        <v>0.03</v>
      </c>
      <c r="N401" s="160">
        <f>InputData!$C$8</f>
        <v>0.02</v>
      </c>
      <c r="O401" s="160">
        <f>InputData!$C$9</f>
        <v>0.06</v>
      </c>
      <c r="P401" s="160">
        <f>InputData!$C$10</f>
        <v>0.02</v>
      </c>
      <c r="Q401" s="160">
        <f>InputData!$C$11</f>
        <v>0.02</v>
      </c>
      <c r="R401" s="160">
        <f>InputData!$C$12</f>
        <v>0.02</v>
      </c>
      <c r="S401" s="160">
        <f>InputData!$C$13</f>
        <v>0.9</v>
      </c>
      <c r="T401" s="116">
        <f>InputData!$C$88</f>
        <v>180000</v>
      </c>
      <c r="U401" s="116">
        <f>InputData!$C$81</f>
        <v>178500</v>
      </c>
      <c r="V401" s="116">
        <f>InputData!$C$82</f>
        <v>303960</v>
      </c>
      <c r="W401" s="116">
        <f>InputData!$C$84</f>
        <v>215220</v>
      </c>
      <c r="X401" s="116">
        <f>InputData!$C$85</f>
        <v>409020</v>
      </c>
      <c r="Y401" s="116">
        <f>InputData!$C$116</f>
        <v>140000</v>
      </c>
      <c r="Z401" s="160">
        <f>InputData!$E$13</f>
        <v>0</v>
      </c>
    </row>
    <row r="402" spans="1:26" x14ac:dyDescent="0.25">
      <c r="A402">
        <f>InputData!$K$1</f>
        <v>2013</v>
      </c>
      <c r="B402" t="str">
        <f>InputData!$G$1</f>
        <v>San Antonio, TX</v>
      </c>
      <c r="C402" t="s">
        <v>11</v>
      </c>
      <c r="D402" t="str">
        <f>Graph_IntMed!$P$6</f>
        <v>NHSC</v>
      </c>
      <c r="E402" t="str">
        <f t="shared" si="6"/>
        <v>Internal Medicine NHSC</v>
      </c>
      <c r="F402">
        <f>Graph_IntMed!$A17</f>
        <v>2023</v>
      </c>
      <c r="G402">
        <f>Graph_IntMed!$B17</f>
        <v>11</v>
      </c>
      <c r="H402" s="165">
        <f>Graph_IntMed!$P17</f>
        <v>478739.45662979071</v>
      </c>
      <c r="I402" s="160">
        <f>InputData!$C$3</f>
        <v>0.02</v>
      </c>
      <c r="J402" s="160">
        <f>InputData!$C$4</f>
        <v>0.01</v>
      </c>
      <c r="K402" s="160">
        <f>InputData!$C$5</f>
        <v>0.01</v>
      </c>
      <c r="L402" s="160">
        <f>InputData!$C$6</f>
        <v>6.2100000000000002E-2</v>
      </c>
      <c r="M402" s="160">
        <f>InputData!$C$7</f>
        <v>0.03</v>
      </c>
      <c r="N402" s="160">
        <f>InputData!$C$8</f>
        <v>0.02</v>
      </c>
      <c r="O402" s="160">
        <f>InputData!$C$9</f>
        <v>0.06</v>
      </c>
      <c r="P402" s="160">
        <f>InputData!$C$10</f>
        <v>0.02</v>
      </c>
      <c r="Q402" s="160">
        <f>InputData!$C$11</f>
        <v>0.02</v>
      </c>
      <c r="R402" s="160">
        <f>InputData!$C$12</f>
        <v>0.02</v>
      </c>
      <c r="S402" s="160">
        <f>InputData!$C$13</f>
        <v>0.9</v>
      </c>
      <c r="T402" s="116">
        <f>InputData!$C$88</f>
        <v>180000</v>
      </c>
      <c r="U402" s="116">
        <f>InputData!$C$81</f>
        <v>178500</v>
      </c>
      <c r="V402" s="116">
        <f>InputData!$C$82</f>
        <v>303960</v>
      </c>
      <c r="W402" s="116">
        <f>InputData!$C$84</f>
        <v>215220</v>
      </c>
      <c r="X402" s="116">
        <f>InputData!$C$85</f>
        <v>409020</v>
      </c>
      <c r="Y402" s="116">
        <f>InputData!$C$116</f>
        <v>140000</v>
      </c>
      <c r="Z402" s="160">
        <f>InputData!$E$13</f>
        <v>0</v>
      </c>
    </row>
    <row r="403" spans="1:26" x14ac:dyDescent="0.25">
      <c r="A403">
        <f>InputData!$K$1</f>
        <v>2013</v>
      </c>
      <c r="B403" t="str">
        <f>InputData!$G$1</f>
        <v>San Antonio, TX</v>
      </c>
      <c r="C403" t="s">
        <v>11</v>
      </c>
      <c r="D403" t="str">
        <f>Graph_IntMed!$P$6</f>
        <v>NHSC</v>
      </c>
      <c r="E403" t="str">
        <f t="shared" si="6"/>
        <v>Internal Medicine NHSC</v>
      </c>
      <c r="F403">
        <f>Graph_IntMed!$A18</f>
        <v>2024</v>
      </c>
      <c r="G403">
        <f>Graph_IntMed!$B18</f>
        <v>12</v>
      </c>
      <c r="H403" s="165">
        <f>Graph_IntMed!$P18</f>
        <v>554707.84574874945</v>
      </c>
      <c r="I403" s="160">
        <f>InputData!$C$3</f>
        <v>0.02</v>
      </c>
      <c r="J403" s="160">
        <f>InputData!$C$4</f>
        <v>0.01</v>
      </c>
      <c r="K403" s="160">
        <f>InputData!$C$5</f>
        <v>0.01</v>
      </c>
      <c r="L403" s="160">
        <f>InputData!$C$6</f>
        <v>6.2100000000000002E-2</v>
      </c>
      <c r="M403" s="160">
        <f>InputData!$C$7</f>
        <v>0.03</v>
      </c>
      <c r="N403" s="160">
        <f>InputData!$C$8</f>
        <v>0.02</v>
      </c>
      <c r="O403" s="160">
        <f>InputData!$C$9</f>
        <v>0.06</v>
      </c>
      <c r="P403" s="160">
        <f>InputData!$C$10</f>
        <v>0.02</v>
      </c>
      <c r="Q403" s="160">
        <f>InputData!$C$11</f>
        <v>0.02</v>
      </c>
      <c r="R403" s="160">
        <f>InputData!$C$12</f>
        <v>0.02</v>
      </c>
      <c r="S403" s="160">
        <f>InputData!$C$13</f>
        <v>0.9</v>
      </c>
      <c r="T403" s="116">
        <f>InputData!$C$88</f>
        <v>180000</v>
      </c>
      <c r="U403" s="116">
        <f>InputData!$C$81</f>
        <v>178500</v>
      </c>
      <c r="V403" s="116">
        <f>InputData!$C$82</f>
        <v>303960</v>
      </c>
      <c r="W403" s="116">
        <f>InputData!$C$84</f>
        <v>215220</v>
      </c>
      <c r="X403" s="116">
        <f>InputData!$C$85</f>
        <v>409020</v>
      </c>
      <c r="Y403" s="116">
        <f>InputData!$C$116</f>
        <v>140000</v>
      </c>
      <c r="Z403" s="160">
        <f>InputData!$E$13</f>
        <v>0</v>
      </c>
    </row>
    <row r="404" spans="1:26" x14ac:dyDescent="0.25">
      <c r="A404">
        <f>InputData!$K$1</f>
        <v>2013</v>
      </c>
      <c r="B404" t="str">
        <f>InputData!$G$1</f>
        <v>San Antonio, TX</v>
      </c>
      <c r="C404" t="s">
        <v>11</v>
      </c>
      <c r="D404" t="str">
        <f>Graph_IntMed!$P$6</f>
        <v>NHSC</v>
      </c>
      <c r="E404" t="str">
        <f t="shared" si="6"/>
        <v>Internal Medicine NHSC</v>
      </c>
      <c r="F404">
        <f>Graph_IntMed!$A19</f>
        <v>2025</v>
      </c>
      <c r="G404">
        <f>Graph_IntMed!$B19</f>
        <v>13</v>
      </c>
      <c r="H404" s="165">
        <f>Graph_IntMed!$P19</f>
        <v>629169.76120019332</v>
      </c>
      <c r="I404" s="160">
        <f>InputData!$C$3</f>
        <v>0.02</v>
      </c>
      <c r="J404" s="160">
        <f>InputData!$C$4</f>
        <v>0.01</v>
      </c>
      <c r="K404" s="160">
        <f>InputData!$C$5</f>
        <v>0.01</v>
      </c>
      <c r="L404" s="160">
        <f>InputData!$C$6</f>
        <v>6.2100000000000002E-2</v>
      </c>
      <c r="M404" s="160">
        <f>InputData!$C$7</f>
        <v>0.03</v>
      </c>
      <c r="N404" s="160">
        <f>InputData!$C$8</f>
        <v>0.02</v>
      </c>
      <c r="O404" s="160">
        <f>InputData!$C$9</f>
        <v>0.06</v>
      </c>
      <c r="P404" s="160">
        <f>InputData!$C$10</f>
        <v>0.02</v>
      </c>
      <c r="Q404" s="160">
        <f>InputData!$C$11</f>
        <v>0.02</v>
      </c>
      <c r="R404" s="160">
        <f>InputData!$C$12</f>
        <v>0.02</v>
      </c>
      <c r="S404" s="160">
        <f>InputData!$C$13</f>
        <v>0.9</v>
      </c>
      <c r="T404" s="116">
        <f>InputData!$C$88</f>
        <v>180000</v>
      </c>
      <c r="U404" s="116">
        <f>InputData!$C$81</f>
        <v>178500</v>
      </c>
      <c r="V404" s="116">
        <f>InputData!$C$82</f>
        <v>303960</v>
      </c>
      <c r="W404" s="116">
        <f>InputData!$C$84</f>
        <v>215220</v>
      </c>
      <c r="X404" s="116">
        <f>InputData!$C$85</f>
        <v>409020</v>
      </c>
      <c r="Y404" s="116">
        <f>InputData!$C$116</f>
        <v>140000</v>
      </c>
      <c r="Z404" s="160">
        <f>InputData!$E$13</f>
        <v>0</v>
      </c>
    </row>
    <row r="405" spans="1:26" x14ac:dyDescent="0.25">
      <c r="A405">
        <f>InputData!$K$1</f>
        <v>2013</v>
      </c>
      <c r="B405" t="str">
        <f>InputData!$G$1</f>
        <v>San Antonio, TX</v>
      </c>
      <c r="C405" t="s">
        <v>11</v>
      </c>
      <c r="D405" t="str">
        <f>Graph_IntMed!$P$6</f>
        <v>NHSC</v>
      </c>
      <c r="E405" t="str">
        <f t="shared" si="6"/>
        <v>Internal Medicine NHSC</v>
      </c>
      <c r="F405">
        <f>Graph_IntMed!$A20</f>
        <v>2026</v>
      </c>
      <c r="G405">
        <f>Graph_IntMed!$B20</f>
        <v>14</v>
      </c>
      <c r="H405" s="165">
        <f>Graph_IntMed!$P20</f>
        <v>702155.23384106648</v>
      </c>
      <c r="I405" s="160">
        <f>InputData!$C$3</f>
        <v>0.02</v>
      </c>
      <c r="J405" s="160">
        <f>InputData!$C$4</f>
        <v>0.01</v>
      </c>
      <c r="K405" s="160">
        <f>InputData!$C$5</f>
        <v>0.01</v>
      </c>
      <c r="L405" s="160">
        <f>InputData!$C$6</f>
        <v>6.2100000000000002E-2</v>
      </c>
      <c r="M405" s="160">
        <f>InputData!$C$7</f>
        <v>0.03</v>
      </c>
      <c r="N405" s="160">
        <f>InputData!$C$8</f>
        <v>0.02</v>
      </c>
      <c r="O405" s="160">
        <f>InputData!$C$9</f>
        <v>0.06</v>
      </c>
      <c r="P405" s="160">
        <f>InputData!$C$10</f>
        <v>0.02</v>
      </c>
      <c r="Q405" s="160">
        <f>InputData!$C$11</f>
        <v>0.02</v>
      </c>
      <c r="R405" s="160">
        <f>InputData!$C$12</f>
        <v>0.02</v>
      </c>
      <c r="S405" s="160">
        <f>InputData!$C$13</f>
        <v>0.9</v>
      </c>
      <c r="T405" s="116">
        <f>InputData!$C$88</f>
        <v>180000</v>
      </c>
      <c r="U405" s="116">
        <f>InputData!$C$81</f>
        <v>178500</v>
      </c>
      <c r="V405" s="116">
        <f>InputData!$C$82</f>
        <v>303960</v>
      </c>
      <c r="W405" s="116">
        <f>InputData!$C$84</f>
        <v>215220</v>
      </c>
      <c r="X405" s="116">
        <f>InputData!$C$85</f>
        <v>409020</v>
      </c>
      <c r="Y405" s="116">
        <f>InputData!$C$116</f>
        <v>140000</v>
      </c>
      <c r="Z405" s="160">
        <f>InputData!$E$13</f>
        <v>0</v>
      </c>
    </row>
    <row r="406" spans="1:26" x14ac:dyDescent="0.25">
      <c r="A406">
        <f>InputData!$K$1</f>
        <v>2013</v>
      </c>
      <c r="B406" t="str">
        <f>InputData!$G$1</f>
        <v>San Antonio, TX</v>
      </c>
      <c r="C406" t="s">
        <v>11</v>
      </c>
      <c r="D406" t="str">
        <f>Graph_IntMed!$P$6</f>
        <v>NHSC</v>
      </c>
      <c r="E406" t="str">
        <f t="shared" si="6"/>
        <v>Internal Medicine NHSC</v>
      </c>
      <c r="F406">
        <f>Graph_IntMed!$A21</f>
        <v>2027</v>
      </c>
      <c r="G406">
        <f>Graph_IntMed!$B21</f>
        <v>15</v>
      </c>
      <c r="H406" s="165">
        <f>Graph_IntMed!$P21</f>
        <v>773693.69135329383</v>
      </c>
      <c r="I406" s="160">
        <f>InputData!$C$3</f>
        <v>0.02</v>
      </c>
      <c r="J406" s="160">
        <f>InputData!$C$4</f>
        <v>0.01</v>
      </c>
      <c r="K406" s="160">
        <f>InputData!$C$5</f>
        <v>0.01</v>
      </c>
      <c r="L406" s="160">
        <f>InputData!$C$6</f>
        <v>6.2100000000000002E-2</v>
      </c>
      <c r="M406" s="160">
        <f>InputData!$C$7</f>
        <v>0.03</v>
      </c>
      <c r="N406" s="160">
        <f>InputData!$C$8</f>
        <v>0.02</v>
      </c>
      <c r="O406" s="160">
        <f>InputData!$C$9</f>
        <v>0.06</v>
      </c>
      <c r="P406" s="160">
        <f>InputData!$C$10</f>
        <v>0.02</v>
      </c>
      <c r="Q406" s="160">
        <f>InputData!$C$11</f>
        <v>0.02</v>
      </c>
      <c r="R406" s="160">
        <f>InputData!$C$12</f>
        <v>0.02</v>
      </c>
      <c r="S406" s="160">
        <f>InputData!$C$13</f>
        <v>0.9</v>
      </c>
      <c r="T406" s="116">
        <f>InputData!$C$88</f>
        <v>180000</v>
      </c>
      <c r="U406" s="116">
        <f>InputData!$C$81</f>
        <v>178500</v>
      </c>
      <c r="V406" s="116">
        <f>InputData!$C$82</f>
        <v>303960</v>
      </c>
      <c r="W406" s="116">
        <f>InputData!$C$84</f>
        <v>215220</v>
      </c>
      <c r="X406" s="116">
        <f>InputData!$C$85</f>
        <v>409020</v>
      </c>
      <c r="Y406" s="116">
        <f>InputData!$C$116</f>
        <v>140000</v>
      </c>
      <c r="Z406" s="160">
        <f>InputData!$E$13</f>
        <v>0</v>
      </c>
    </row>
    <row r="407" spans="1:26" x14ac:dyDescent="0.25">
      <c r="A407">
        <f>InputData!$K$1</f>
        <v>2013</v>
      </c>
      <c r="B407" t="str">
        <f>InputData!$G$1</f>
        <v>San Antonio, TX</v>
      </c>
      <c r="C407" t="s">
        <v>11</v>
      </c>
      <c r="D407" t="str">
        <f>Graph_IntMed!$P$6</f>
        <v>NHSC</v>
      </c>
      <c r="E407" t="str">
        <f t="shared" si="6"/>
        <v>Internal Medicine NHSC</v>
      </c>
      <c r="F407">
        <f>Graph_IntMed!$A22</f>
        <v>2028</v>
      </c>
      <c r="G407">
        <f>Graph_IntMed!$B22</f>
        <v>16</v>
      </c>
      <c r="H407" s="165">
        <f>Graph_IntMed!$P22</f>
        <v>843113.05724170024</v>
      </c>
      <c r="I407" s="160">
        <f>InputData!$C$3</f>
        <v>0.02</v>
      </c>
      <c r="J407" s="160">
        <f>InputData!$C$4</f>
        <v>0.01</v>
      </c>
      <c r="K407" s="160">
        <f>InputData!$C$5</f>
        <v>0.01</v>
      </c>
      <c r="L407" s="160">
        <f>InputData!$C$6</f>
        <v>6.2100000000000002E-2</v>
      </c>
      <c r="M407" s="160">
        <f>InputData!$C$7</f>
        <v>0.03</v>
      </c>
      <c r="N407" s="160">
        <f>InputData!$C$8</f>
        <v>0.02</v>
      </c>
      <c r="O407" s="160">
        <f>InputData!$C$9</f>
        <v>0.06</v>
      </c>
      <c r="P407" s="160">
        <f>InputData!$C$10</f>
        <v>0.02</v>
      </c>
      <c r="Q407" s="160">
        <f>InputData!$C$11</f>
        <v>0.02</v>
      </c>
      <c r="R407" s="160">
        <f>InputData!$C$12</f>
        <v>0.02</v>
      </c>
      <c r="S407" s="160">
        <f>InputData!$C$13</f>
        <v>0.9</v>
      </c>
      <c r="T407" s="116">
        <f>InputData!$C$88</f>
        <v>180000</v>
      </c>
      <c r="U407" s="116">
        <f>InputData!$C$81</f>
        <v>178500</v>
      </c>
      <c r="V407" s="116">
        <f>InputData!$C$82</f>
        <v>303960</v>
      </c>
      <c r="W407" s="116">
        <f>InputData!$C$84</f>
        <v>215220</v>
      </c>
      <c r="X407" s="116">
        <f>InputData!$C$85</f>
        <v>409020</v>
      </c>
      <c r="Y407" s="116">
        <f>InputData!$C$116</f>
        <v>140000</v>
      </c>
      <c r="Z407" s="160">
        <f>InputData!$E$13</f>
        <v>0</v>
      </c>
    </row>
    <row r="408" spans="1:26" x14ac:dyDescent="0.25">
      <c r="A408">
        <f>InputData!$K$1</f>
        <v>2013</v>
      </c>
      <c r="B408" t="str">
        <f>InputData!$G$1</f>
        <v>San Antonio, TX</v>
      </c>
      <c r="C408" t="s">
        <v>11</v>
      </c>
      <c r="D408" t="str">
        <f>Graph_IntMed!$P$6</f>
        <v>NHSC</v>
      </c>
      <c r="E408" t="str">
        <f t="shared" si="6"/>
        <v>Internal Medicine NHSC</v>
      </c>
      <c r="F408">
        <f>Graph_IntMed!$A23</f>
        <v>2029</v>
      </c>
      <c r="G408">
        <f>Graph_IntMed!$B23</f>
        <v>17</v>
      </c>
      <c r="H408" s="165">
        <f>Graph_IntMed!$P23</f>
        <v>911162.91751483921</v>
      </c>
      <c r="I408" s="160">
        <f>InputData!$C$3</f>
        <v>0.02</v>
      </c>
      <c r="J408" s="160">
        <f>InputData!$C$4</f>
        <v>0.01</v>
      </c>
      <c r="K408" s="160">
        <f>InputData!$C$5</f>
        <v>0.01</v>
      </c>
      <c r="L408" s="160">
        <f>InputData!$C$6</f>
        <v>6.2100000000000002E-2</v>
      </c>
      <c r="M408" s="160">
        <f>InputData!$C$7</f>
        <v>0.03</v>
      </c>
      <c r="N408" s="160">
        <f>InputData!$C$8</f>
        <v>0.02</v>
      </c>
      <c r="O408" s="160">
        <f>InputData!$C$9</f>
        <v>0.06</v>
      </c>
      <c r="P408" s="160">
        <f>InputData!$C$10</f>
        <v>0.02</v>
      </c>
      <c r="Q408" s="160">
        <f>InputData!$C$11</f>
        <v>0.02</v>
      </c>
      <c r="R408" s="160">
        <f>InputData!$C$12</f>
        <v>0.02</v>
      </c>
      <c r="S408" s="160">
        <f>InputData!$C$13</f>
        <v>0.9</v>
      </c>
      <c r="T408" s="116">
        <f>InputData!$C$88</f>
        <v>180000</v>
      </c>
      <c r="U408" s="116">
        <f>InputData!$C$81</f>
        <v>178500</v>
      </c>
      <c r="V408" s="116">
        <f>InputData!$C$82</f>
        <v>303960</v>
      </c>
      <c r="W408" s="116">
        <f>InputData!$C$84</f>
        <v>215220</v>
      </c>
      <c r="X408" s="116">
        <f>InputData!$C$85</f>
        <v>409020</v>
      </c>
      <c r="Y408" s="116">
        <f>InputData!$C$116</f>
        <v>140000</v>
      </c>
      <c r="Z408" s="160">
        <f>InputData!$E$13</f>
        <v>0</v>
      </c>
    </row>
    <row r="409" spans="1:26" x14ac:dyDescent="0.25">
      <c r="A409">
        <f>InputData!$K$1</f>
        <v>2013</v>
      </c>
      <c r="B409" t="str">
        <f>InputData!$G$1</f>
        <v>San Antonio, TX</v>
      </c>
      <c r="C409" t="s">
        <v>11</v>
      </c>
      <c r="D409" t="str">
        <f>Graph_IntMed!$P$6</f>
        <v>NHSC</v>
      </c>
      <c r="E409" t="str">
        <f t="shared" si="6"/>
        <v>Internal Medicine NHSC</v>
      </c>
      <c r="F409">
        <f>Graph_IntMed!$A24</f>
        <v>2030</v>
      </c>
      <c r="G409">
        <f>Graph_IntMed!$B24</f>
        <v>18</v>
      </c>
      <c r="H409" s="165">
        <f>Graph_IntMed!$P24</f>
        <v>977870.3681825801</v>
      </c>
      <c r="I409" s="160">
        <f>InputData!$C$3</f>
        <v>0.02</v>
      </c>
      <c r="J409" s="160">
        <f>InputData!$C$4</f>
        <v>0.01</v>
      </c>
      <c r="K409" s="160">
        <f>InputData!$C$5</f>
        <v>0.01</v>
      </c>
      <c r="L409" s="160">
        <f>InputData!$C$6</f>
        <v>6.2100000000000002E-2</v>
      </c>
      <c r="M409" s="160">
        <f>InputData!$C$7</f>
        <v>0.03</v>
      </c>
      <c r="N409" s="160">
        <f>InputData!$C$8</f>
        <v>0.02</v>
      </c>
      <c r="O409" s="160">
        <f>InputData!$C$9</f>
        <v>0.06</v>
      </c>
      <c r="P409" s="160">
        <f>InputData!$C$10</f>
        <v>0.02</v>
      </c>
      <c r="Q409" s="160">
        <f>InputData!$C$11</f>
        <v>0.02</v>
      </c>
      <c r="R409" s="160">
        <f>InputData!$C$12</f>
        <v>0.02</v>
      </c>
      <c r="S409" s="160">
        <f>InputData!$C$13</f>
        <v>0.9</v>
      </c>
      <c r="T409" s="116">
        <f>InputData!$C$88</f>
        <v>180000</v>
      </c>
      <c r="U409" s="116">
        <f>InputData!$C$81</f>
        <v>178500</v>
      </c>
      <c r="V409" s="116">
        <f>InputData!$C$82</f>
        <v>303960</v>
      </c>
      <c r="W409" s="116">
        <f>InputData!$C$84</f>
        <v>215220</v>
      </c>
      <c r="X409" s="116">
        <f>InputData!$C$85</f>
        <v>409020</v>
      </c>
      <c r="Y409" s="116">
        <f>InputData!$C$116</f>
        <v>140000</v>
      </c>
      <c r="Z409" s="160">
        <f>InputData!$E$13</f>
        <v>0</v>
      </c>
    </row>
    <row r="410" spans="1:26" x14ac:dyDescent="0.25">
      <c r="A410">
        <f>InputData!$K$1</f>
        <v>2013</v>
      </c>
      <c r="B410" t="str">
        <f>InputData!$G$1</f>
        <v>San Antonio, TX</v>
      </c>
      <c r="C410" t="s">
        <v>11</v>
      </c>
      <c r="D410" t="str">
        <f>Graph_IntMed!$P$6</f>
        <v>NHSC</v>
      </c>
      <c r="E410" t="str">
        <f t="shared" si="6"/>
        <v>Internal Medicine NHSC</v>
      </c>
      <c r="F410">
        <f>Graph_IntMed!$A25</f>
        <v>2031</v>
      </c>
      <c r="G410">
        <f>Graph_IntMed!$B25</f>
        <v>19</v>
      </c>
      <c r="H410" s="165">
        <f>Graph_IntMed!$P25</f>
        <v>1043261.9668840171</v>
      </c>
      <c r="I410" s="160">
        <f>InputData!$C$3</f>
        <v>0.02</v>
      </c>
      <c r="J410" s="160">
        <f>InputData!$C$4</f>
        <v>0.01</v>
      </c>
      <c r="K410" s="160">
        <f>InputData!$C$5</f>
        <v>0.01</v>
      </c>
      <c r="L410" s="160">
        <f>InputData!$C$6</f>
        <v>6.2100000000000002E-2</v>
      </c>
      <c r="M410" s="160">
        <f>InputData!$C$7</f>
        <v>0.03</v>
      </c>
      <c r="N410" s="160">
        <f>InputData!$C$8</f>
        <v>0.02</v>
      </c>
      <c r="O410" s="160">
        <f>InputData!$C$9</f>
        <v>0.06</v>
      </c>
      <c r="P410" s="160">
        <f>InputData!$C$10</f>
        <v>0.02</v>
      </c>
      <c r="Q410" s="160">
        <f>InputData!$C$11</f>
        <v>0.02</v>
      </c>
      <c r="R410" s="160">
        <f>InputData!$C$12</f>
        <v>0.02</v>
      </c>
      <c r="S410" s="160">
        <f>InputData!$C$13</f>
        <v>0.9</v>
      </c>
      <c r="T410" s="116">
        <f>InputData!$C$88</f>
        <v>180000</v>
      </c>
      <c r="U410" s="116">
        <f>InputData!$C$81</f>
        <v>178500</v>
      </c>
      <c r="V410" s="116">
        <f>InputData!$C$82</f>
        <v>303960</v>
      </c>
      <c r="W410" s="116">
        <f>InputData!$C$84</f>
        <v>215220</v>
      </c>
      <c r="X410" s="116">
        <f>InputData!$C$85</f>
        <v>409020</v>
      </c>
      <c r="Y410" s="116">
        <f>InputData!$C$116</f>
        <v>140000</v>
      </c>
      <c r="Z410" s="160">
        <f>InputData!$E$13</f>
        <v>0</v>
      </c>
    </row>
    <row r="411" spans="1:26" x14ac:dyDescent="0.25">
      <c r="A411">
        <f>InputData!$K$1</f>
        <v>2013</v>
      </c>
      <c r="B411" t="str">
        <f>InputData!$G$1</f>
        <v>San Antonio, TX</v>
      </c>
      <c r="C411" t="s">
        <v>11</v>
      </c>
      <c r="D411" t="str">
        <f>Graph_IntMed!$P$6</f>
        <v>NHSC</v>
      </c>
      <c r="E411" t="str">
        <f t="shared" si="6"/>
        <v>Internal Medicine NHSC</v>
      </c>
      <c r="F411">
        <f>Graph_IntMed!$A26</f>
        <v>2032</v>
      </c>
      <c r="G411">
        <f>Graph_IntMed!$B26</f>
        <v>20</v>
      </c>
      <c r="H411" s="165">
        <f>Graph_IntMed!$P26</f>
        <v>1107363.7436498699</v>
      </c>
      <c r="I411" s="160">
        <f>InputData!$C$3</f>
        <v>0.02</v>
      </c>
      <c r="J411" s="160">
        <f>InputData!$C$4</f>
        <v>0.01</v>
      </c>
      <c r="K411" s="160">
        <f>InputData!$C$5</f>
        <v>0.01</v>
      </c>
      <c r="L411" s="160">
        <f>InputData!$C$6</f>
        <v>6.2100000000000002E-2</v>
      </c>
      <c r="M411" s="160">
        <f>InputData!$C$7</f>
        <v>0.03</v>
      </c>
      <c r="N411" s="160">
        <f>InputData!$C$8</f>
        <v>0.02</v>
      </c>
      <c r="O411" s="160">
        <f>InputData!$C$9</f>
        <v>0.06</v>
      </c>
      <c r="P411" s="160">
        <f>InputData!$C$10</f>
        <v>0.02</v>
      </c>
      <c r="Q411" s="160">
        <f>InputData!$C$11</f>
        <v>0.02</v>
      </c>
      <c r="R411" s="160">
        <f>InputData!$C$12</f>
        <v>0.02</v>
      </c>
      <c r="S411" s="160">
        <f>InputData!$C$13</f>
        <v>0.9</v>
      </c>
      <c r="T411" s="116">
        <f>InputData!$C$88</f>
        <v>180000</v>
      </c>
      <c r="U411" s="116">
        <f>InputData!$C$81</f>
        <v>178500</v>
      </c>
      <c r="V411" s="116">
        <f>InputData!$C$82</f>
        <v>303960</v>
      </c>
      <c r="W411" s="116">
        <f>InputData!$C$84</f>
        <v>215220</v>
      </c>
      <c r="X411" s="116">
        <f>InputData!$C$85</f>
        <v>409020</v>
      </c>
      <c r="Y411" s="116">
        <f>InputData!$C$116</f>
        <v>140000</v>
      </c>
      <c r="Z411" s="160">
        <f>InputData!$E$13</f>
        <v>0</v>
      </c>
    </row>
    <row r="412" spans="1:26" x14ac:dyDescent="0.25">
      <c r="A412">
        <f>InputData!$K$1</f>
        <v>2013</v>
      </c>
      <c r="B412" t="str">
        <f>InputData!$G$1</f>
        <v>San Antonio, TX</v>
      </c>
      <c r="C412" t="s">
        <v>11</v>
      </c>
      <c r="D412" t="str">
        <f>Graph_IntMed!$P$6</f>
        <v>NHSC</v>
      </c>
      <c r="E412" t="str">
        <f t="shared" si="6"/>
        <v>Internal Medicine NHSC</v>
      </c>
      <c r="F412">
        <f>Graph_IntMed!$A27</f>
        <v>2033</v>
      </c>
      <c r="G412">
        <f>Graph_IntMed!$B27</f>
        <v>21</v>
      </c>
      <c r="H412" s="165">
        <f>Graph_IntMed!$P27</f>
        <v>1170201.2114478534</v>
      </c>
      <c r="I412" s="160">
        <f>InputData!$C$3</f>
        <v>0.02</v>
      </c>
      <c r="J412" s="160">
        <f>InputData!$C$4</f>
        <v>0.01</v>
      </c>
      <c r="K412" s="160">
        <f>InputData!$C$5</f>
        <v>0.01</v>
      </c>
      <c r="L412" s="160">
        <f>InputData!$C$6</f>
        <v>6.2100000000000002E-2</v>
      </c>
      <c r="M412" s="160">
        <f>InputData!$C$7</f>
        <v>0.03</v>
      </c>
      <c r="N412" s="160">
        <f>InputData!$C$8</f>
        <v>0.02</v>
      </c>
      <c r="O412" s="160">
        <f>InputData!$C$9</f>
        <v>0.06</v>
      </c>
      <c r="P412" s="160">
        <f>InputData!$C$10</f>
        <v>0.02</v>
      </c>
      <c r="Q412" s="160">
        <f>InputData!$C$11</f>
        <v>0.02</v>
      </c>
      <c r="R412" s="160">
        <f>InputData!$C$12</f>
        <v>0.02</v>
      </c>
      <c r="S412" s="160">
        <f>InputData!$C$13</f>
        <v>0.9</v>
      </c>
      <c r="T412" s="116">
        <f>InputData!$C$88</f>
        <v>180000</v>
      </c>
      <c r="U412" s="116">
        <f>InputData!$C$81</f>
        <v>178500</v>
      </c>
      <c r="V412" s="116">
        <f>InputData!$C$82</f>
        <v>303960</v>
      </c>
      <c r="W412" s="116">
        <f>InputData!$C$84</f>
        <v>215220</v>
      </c>
      <c r="X412" s="116">
        <f>InputData!$C$85</f>
        <v>409020</v>
      </c>
      <c r="Y412" s="116">
        <f>InputData!$C$116</f>
        <v>140000</v>
      </c>
      <c r="Z412" s="160">
        <f>InputData!$E$13</f>
        <v>0</v>
      </c>
    </row>
    <row r="413" spans="1:26" x14ac:dyDescent="0.25">
      <c r="A413">
        <f>InputData!$K$1</f>
        <v>2013</v>
      </c>
      <c r="B413" t="str">
        <f>InputData!$G$1</f>
        <v>San Antonio, TX</v>
      </c>
      <c r="C413" t="s">
        <v>11</v>
      </c>
      <c r="D413" t="str">
        <f>Graph_IntMed!$P$6</f>
        <v>NHSC</v>
      </c>
      <c r="E413" t="str">
        <f t="shared" si="6"/>
        <v>Internal Medicine NHSC</v>
      </c>
      <c r="F413">
        <f>Graph_IntMed!$A28</f>
        <v>2034</v>
      </c>
      <c r="G413">
        <f>Graph_IntMed!$B28</f>
        <v>22</v>
      </c>
      <c r="H413" s="165">
        <f>Graph_IntMed!$P28</f>
        <v>1231799.3765154462</v>
      </c>
      <c r="I413" s="160">
        <f>InputData!$C$3</f>
        <v>0.02</v>
      </c>
      <c r="J413" s="160">
        <f>InputData!$C$4</f>
        <v>0.01</v>
      </c>
      <c r="K413" s="160">
        <f>InputData!$C$5</f>
        <v>0.01</v>
      </c>
      <c r="L413" s="160">
        <f>InputData!$C$6</f>
        <v>6.2100000000000002E-2</v>
      </c>
      <c r="M413" s="160">
        <f>InputData!$C$7</f>
        <v>0.03</v>
      </c>
      <c r="N413" s="160">
        <f>InputData!$C$8</f>
        <v>0.02</v>
      </c>
      <c r="O413" s="160">
        <f>InputData!$C$9</f>
        <v>0.06</v>
      </c>
      <c r="P413" s="160">
        <f>InputData!$C$10</f>
        <v>0.02</v>
      </c>
      <c r="Q413" s="160">
        <f>InputData!$C$11</f>
        <v>0.02</v>
      </c>
      <c r="R413" s="160">
        <f>InputData!$C$12</f>
        <v>0.02</v>
      </c>
      <c r="S413" s="160">
        <f>InputData!$C$13</f>
        <v>0.9</v>
      </c>
      <c r="T413" s="116">
        <f>InputData!$C$88</f>
        <v>180000</v>
      </c>
      <c r="U413" s="116">
        <f>InputData!$C$81</f>
        <v>178500</v>
      </c>
      <c r="V413" s="116">
        <f>InputData!$C$82</f>
        <v>303960</v>
      </c>
      <c r="W413" s="116">
        <f>InputData!$C$84</f>
        <v>215220</v>
      </c>
      <c r="X413" s="116">
        <f>InputData!$C$85</f>
        <v>409020</v>
      </c>
      <c r="Y413" s="116">
        <f>InputData!$C$116</f>
        <v>140000</v>
      </c>
      <c r="Z413" s="160">
        <f>InputData!$E$13</f>
        <v>0</v>
      </c>
    </row>
    <row r="414" spans="1:26" x14ac:dyDescent="0.25">
      <c r="A414">
        <f>InputData!$K$1</f>
        <v>2013</v>
      </c>
      <c r="B414" t="str">
        <f>InputData!$G$1</f>
        <v>San Antonio, TX</v>
      </c>
      <c r="C414" t="s">
        <v>11</v>
      </c>
      <c r="D414" t="str">
        <f>Graph_IntMed!$P$6</f>
        <v>NHSC</v>
      </c>
      <c r="E414" t="str">
        <f t="shared" si="6"/>
        <v>Internal Medicine NHSC</v>
      </c>
      <c r="F414">
        <f>Graph_IntMed!$A29</f>
        <v>2035</v>
      </c>
      <c r="G414">
        <f>Graph_IntMed!$B29</f>
        <v>23</v>
      </c>
      <c r="H414" s="165">
        <f>Graph_IntMed!$P29</f>
        <v>1292182.7484843994</v>
      </c>
      <c r="I414" s="160">
        <f>InputData!$C$3</f>
        <v>0.02</v>
      </c>
      <c r="J414" s="160">
        <f>InputData!$C$4</f>
        <v>0.01</v>
      </c>
      <c r="K414" s="160">
        <f>InputData!$C$5</f>
        <v>0.01</v>
      </c>
      <c r="L414" s="160">
        <f>InputData!$C$6</f>
        <v>6.2100000000000002E-2</v>
      </c>
      <c r="M414" s="160">
        <f>InputData!$C$7</f>
        <v>0.03</v>
      </c>
      <c r="N414" s="160">
        <f>InputData!$C$8</f>
        <v>0.02</v>
      </c>
      <c r="O414" s="160">
        <f>InputData!$C$9</f>
        <v>0.06</v>
      </c>
      <c r="P414" s="160">
        <f>InputData!$C$10</f>
        <v>0.02</v>
      </c>
      <c r="Q414" s="160">
        <f>InputData!$C$11</f>
        <v>0.02</v>
      </c>
      <c r="R414" s="160">
        <f>InputData!$C$12</f>
        <v>0.02</v>
      </c>
      <c r="S414" s="160">
        <f>InputData!$C$13</f>
        <v>0.9</v>
      </c>
      <c r="T414" s="116">
        <f>InputData!$C$88</f>
        <v>180000</v>
      </c>
      <c r="U414" s="116">
        <f>InputData!$C$81</f>
        <v>178500</v>
      </c>
      <c r="V414" s="116">
        <f>InputData!$C$82</f>
        <v>303960</v>
      </c>
      <c r="W414" s="116">
        <f>InputData!$C$84</f>
        <v>215220</v>
      </c>
      <c r="X414" s="116">
        <f>InputData!$C$85</f>
        <v>409020</v>
      </c>
      <c r="Y414" s="116">
        <f>InputData!$C$116</f>
        <v>140000</v>
      </c>
      <c r="Z414" s="160">
        <f>InputData!$E$13</f>
        <v>0</v>
      </c>
    </row>
    <row r="415" spans="1:26" x14ac:dyDescent="0.25">
      <c r="A415">
        <f>InputData!$K$1</f>
        <v>2013</v>
      </c>
      <c r="B415" t="str">
        <f>InputData!$G$1</f>
        <v>San Antonio, TX</v>
      </c>
      <c r="C415" t="s">
        <v>11</v>
      </c>
      <c r="D415" t="str">
        <f>Graph_IntMed!$P$6</f>
        <v>NHSC</v>
      </c>
      <c r="E415" t="str">
        <f t="shared" si="6"/>
        <v>Internal Medicine NHSC</v>
      </c>
      <c r="F415">
        <f>Graph_IntMed!$A30</f>
        <v>2036</v>
      </c>
      <c r="G415">
        <f>Graph_IntMed!$B30</f>
        <v>24</v>
      </c>
      <c r="H415" s="165">
        <f>Graph_IntMed!$P30</f>
        <v>1351375.3503012287</v>
      </c>
      <c r="I415" s="160">
        <f>InputData!$C$3</f>
        <v>0.02</v>
      </c>
      <c r="J415" s="160">
        <f>InputData!$C$4</f>
        <v>0.01</v>
      </c>
      <c r="K415" s="160">
        <f>InputData!$C$5</f>
        <v>0.01</v>
      </c>
      <c r="L415" s="160">
        <f>InputData!$C$6</f>
        <v>6.2100000000000002E-2</v>
      </c>
      <c r="M415" s="160">
        <f>InputData!$C$7</f>
        <v>0.03</v>
      </c>
      <c r="N415" s="160">
        <f>InputData!$C$8</f>
        <v>0.02</v>
      </c>
      <c r="O415" s="160">
        <f>InputData!$C$9</f>
        <v>0.06</v>
      </c>
      <c r="P415" s="160">
        <f>InputData!$C$10</f>
        <v>0.02</v>
      </c>
      <c r="Q415" s="160">
        <f>InputData!$C$11</f>
        <v>0.02</v>
      </c>
      <c r="R415" s="160">
        <f>InputData!$C$12</f>
        <v>0.02</v>
      </c>
      <c r="S415" s="160">
        <f>InputData!$C$13</f>
        <v>0.9</v>
      </c>
      <c r="T415" s="116">
        <f>InputData!$C$88</f>
        <v>180000</v>
      </c>
      <c r="U415" s="116">
        <f>InputData!$C$81</f>
        <v>178500</v>
      </c>
      <c r="V415" s="116">
        <f>InputData!$C$82</f>
        <v>303960</v>
      </c>
      <c r="W415" s="116">
        <f>InputData!$C$84</f>
        <v>215220</v>
      </c>
      <c r="X415" s="116">
        <f>InputData!$C$85</f>
        <v>409020</v>
      </c>
      <c r="Y415" s="116">
        <f>InputData!$C$116</f>
        <v>140000</v>
      </c>
      <c r="Z415" s="160">
        <f>InputData!$E$13</f>
        <v>0</v>
      </c>
    </row>
    <row r="416" spans="1:26" x14ac:dyDescent="0.25">
      <c r="A416">
        <f>InputData!$K$1</f>
        <v>2013</v>
      </c>
      <c r="B416" t="str">
        <f>InputData!$G$1</f>
        <v>San Antonio, TX</v>
      </c>
      <c r="C416" t="s">
        <v>11</v>
      </c>
      <c r="D416" t="str">
        <f>Graph_IntMed!$P$6</f>
        <v>NHSC</v>
      </c>
      <c r="E416" t="str">
        <f t="shared" si="6"/>
        <v>Internal Medicine NHSC</v>
      </c>
      <c r="F416">
        <f>Graph_IntMed!$A31</f>
        <v>2037</v>
      </c>
      <c r="G416">
        <f>Graph_IntMed!$B31</f>
        <v>25</v>
      </c>
      <c r="H416" s="165">
        <f>Graph_IntMed!$P31</f>
        <v>1409400.7279478563</v>
      </c>
      <c r="I416" s="160">
        <f>InputData!$C$3</f>
        <v>0.02</v>
      </c>
      <c r="J416" s="160">
        <f>InputData!$C$4</f>
        <v>0.01</v>
      </c>
      <c r="K416" s="160">
        <f>InputData!$C$5</f>
        <v>0.01</v>
      </c>
      <c r="L416" s="160">
        <f>InputData!$C$6</f>
        <v>6.2100000000000002E-2</v>
      </c>
      <c r="M416" s="160">
        <f>InputData!$C$7</f>
        <v>0.03</v>
      </c>
      <c r="N416" s="160">
        <f>InputData!$C$8</f>
        <v>0.02</v>
      </c>
      <c r="O416" s="160">
        <f>InputData!$C$9</f>
        <v>0.06</v>
      </c>
      <c r="P416" s="160">
        <f>InputData!$C$10</f>
        <v>0.02</v>
      </c>
      <c r="Q416" s="160">
        <f>InputData!$C$11</f>
        <v>0.02</v>
      </c>
      <c r="R416" s="160">
        <f>InputData!$C$12</f>
        <v>0.02</v>
      </c>
      <c r="S416" s="160">
        <f>InputData!$C$13</f>
        <v>0.9</v>
      </c>
      <c r="T416" s="116">
        <f>InputData!$C$88</f>
        <v>180000</v>
      </c>
      <c r="U416" s="116">
        <f>InputData!$C$81</f>
        <v>178500</v>
      </c>
      <c r="V416" s="116">
        <f>InputData!$C$82</f>
        <v>303960</v>
      </c>
      <c r="W416" s="116">
        <f>InputData!$C$84</f>
        <v>215220</v>
      </c>
      <c r="X416" s="116">
        <f>InputData!$C$85</f>
        <v>409020</v>
      </c>
      <c r="Y416" s="116">
        <f>InputData!$C$116</f>
        <v>140000</v>
      </c>
      <c r="Z416" s="160">
        <f>InputData!$E$13</f>
        <v>0</v>
      </c>
    </row>
    <row r="417" spans="1:26" x14ac:dyDescent="0.25">
      <c r="A417">
        <f>InputData!$K$1</f>
        <v>2013</v>
      </c>
      <c r="B417" t="str">
        <f>InputData!$G$1</f>
        <v>San Antonio, TX</v>
      </c>
      <c r="C417" t="s">
        <v>11</v>
      </c>
      <c r="D417" t="str">
        <f>Graph_IntMed!$P$6</f>
        <v>NHSC</v>
      </c>
      <c r="E417" t="str">
        <f t="shared" si="6"/>
        <v>Internal Medicine NHSC</v>
      </c>
      <c r="F417">
        <f>Graph_IntMed!$A32</f>
        <v>2038</v>
      </c>
      <c r="G417">
        <f>Graph_IntMed!$B32</f>
        <v>26</v>
      </c>
      <c r="H417" s="165">
        <f>Graph_IntMed!$P32</f>
        <v>1466281.9599664717</v>
      </c>
      <c r="I417" s="160">
        <f>InputData!$C$3</f>
        <v>0.02</v>
      </c>
      <c r="J417" s="160">
        <f>InputData!$C$4</f>
        <v>0.01</v>
      </c>
      <c r="K417" s="160">
        <f>InputData!$C$5</f>
        <v>0.01</v>
      </c>
      <c r="L417" s="160">
        <f>InputData!$C$6</f>
        <v>6.2100000000000002E-2</v>
      </c>
      <c r="M417" s="160">
        <f>InputData!$C$7</f>
        <v>0.03</v>
      </c>
      <c r="N417" s="160">
        <f>InputData!$C$8</f>
        <v>0.02</v>
      </c>
      <c r="O417" s="160">
        <f>InputData!$C$9</f>
        <v>0.06</v>
      </c>
      <c r="P417" s="160">
        <f>InputData!$C$10</f>
        <v>0.02</v>
      </c>
      <c r="Q417" s="160">
        <f>InputData!$C$11</f>
        <v>0.02</v>
      </c>
      <c r="R417" s="160">
        <f>InputData!$C$12</f>
        <v>0.02</v>
      </c>
      <c r="S417" s="160">
        <f>InputData!$C$13</f>
        <v>0.9</v>
      </c>
      <c r="T417" s="116">
        <f>InputData!$C$88</f>
        <v>180000</v>
      </c>
      <c r="U417" s="116">
        <f>InputData!$C$81</f>
        <v>178500</v>
      </c>
      <c r="V417" s="116">
        <f>InputData!$C$82</f>
        <v>303960</v>
      </c>
      <c r="W417" s="116">
        <f>InputData!$C$84</f>
        <v>215220</v>
      </c>
      <c r="X417" s="116">
        <f>InputData!$C$85</f>
        <v>409020</v>
      </c>
      <c r="Y417" s="116">
        <f>InputData!$C$116</f>
        <v>140000</v>
      </c>
      <c r="Z417" s="160">
        <f>InputData!$E$13</f>
        <v>0</v>
      </c>
    </row>
    <row r="418" spans="1:26" x14ac:dyDescent="0.25">
      <c r="A418">
        <f>InputData!$K$1</f>
        <v>2013</v>
      </c>
      <c r="B418" t="str">
        <f>InputData!$G$1</f>
        <v>San Antonio, TX</v>
      </c>
      <c r="C418" t="s">
        <v>11</v>
      </c>
      <c r="D418" t="str">
        <f>Graph_IntMed!$P$6</f>
        <v>NHSC</v>
      </c>
      <c r="E418" t="str">
        <f t="shared" si="6"/>
        <v>Internal Medicine NHSC</v>
      </c>
      <c r="F418">
        <f>Graph_IntMed!$A33</f>
        <v>2039</v>
      </c>
      <c r="G418">
        <f>Graph_IntMed!$B33</f>
        <v>27</v>
      </c>
      <c r="H418" s="165">
        <f>Graph_IntMed!$P33</f>
        <v>1522041.6667926034</v>
      </c>
      <c r="I418" s="160">
        <f>InputData!$C$3</f>
        <v>0.02</v>
      </c>
      <c r="J418" s="160">
        <f>InputData!$C$4</f>
        <v>0.01</v>
      </c>
      <c r="K418" s="160">
        <f>InputData!$C$5</f>
        <v>0.01</v>
      </c>
      <c r="L418" s="160">
        <f>InputData!$C$6</f>
        <v>6.2100000000000002E-2</v>
      </c>
      <c r="M418" s="160">
        <f>InputData!$C$7</f>
        <v>0.03</v>
      </c>
      <c r="N418" s="160">
        <f>InputData!$C$8</f>
        <v>0.02</v>
      </c>
      <c r="O418" s="160">
        <f>InputData!$C$9</f>
        <v>0.06</v>
      </c>
      <c r="P418" s="160">
        <f>InputData!$C$10</f>
        <v>0.02</v>
      </c>
      <c r="Q418" s="160">
        <f>InputData!$C$11</f>
        <v>0.02</v>
      </c>
      <c r="R418" s="160">
        <f>InputData!$C$12</f>
        <v>0.02</v>
      </c>
      <c r="S418" s="160">
        <f>InputData!$C$13</f>
        <v>0.9</v>
      </c>
      <c r="T418" s="116">
        <f>InputData!$C$88</f>
        <v>180000</v>
      </c>
      <c r="U418" s="116">
        <f>InputData!$C$81</f>
        <v>178500</v>
      </c>
      <c r="V418" s="116">
        <f>InputData!$C$82</f>
        <v>303960</v>
      </c>
      <c r="W418" s="116">
        <f>InputData!$C$84</f>
        <v>215220</v>
      </c>
      <c r="X418" s="116">
        <f>InputData!$C$85</f>
        <v>409020</v>
      </c>
      <c r="Y418" s="116">
        <f>InputData!$C$116</f>
        <v>140000</v>
      </c>
      <c r="Z418" s="160">
        <f>InputData!$E$13</f>
        <v>0</v>
      </c>
    </row>
    <row r="419" spans="1:26" x14ac:dyDescent="0.25">
      <c r="A419">
        <f>InputData!$K$1</f>
        <v>2013</v>
      </c>
      <c r="B419" t="str">
        <f>InputData!$G$1</f>
        <v>San Antonio, TX</v>
      </c>
      <c r="C419" t="s">
        <v>11</v>
      </c>
      <c r="D419" t="str">
        <f>Graph_IntMed!$P$6</f>
        <v>NHSC</v>
      </c>
      <c r="E419" t="str">
        <f t="shared" si="6"/>
        <v>Internal Medicine NHSC</v>
      </c>
      <c r="F419">
        <f>Graph_IntMed!$A34</f>
        <v>2040</v>
      </c>
      <c r="G419">
        <f>Graph_IntMed!$B34</f>
        <v>28</v>
      </c>
      <c r="H419" s="165">
        <f>Graph_IntMed!$P34</f>
        <v>1576702.0199003082</v>
      </c>
      <c r="I419" s="160">
        <f>InputData!$C$3</f>
        <v>0.02</v>
      </c>
      <c r="J419" s="160">
        <f>InputData!$C$4</f>
        <v>0.01</v>
      </c>
      <c r="K419" s="160">
        <f>InputData!$C$5</f>
        <v>0.01</v>
      </c>
      <c r="L419" s="160">
        <f>InputData!$C$6</f>
        <v>6.2100000000000002E-2</v>
      </c>
      <c r="M419" s="160">
        <f>InputData!$C$7</f>
        <v>0.03</v>
      </c>
      <c r="N419" s="160">
        <f>InputData!$C$8</f>
        <v>0.02</v>
      </c>
      <c r="O419" s="160">
        <f>InputData!$C$9</f>
        <v>0.06</v>
      </c>
      <c r="P419" s="160">
        <f>InputData!$C$10</f>
        <v>0.02</v>
      </c>
      <c r="Q419" s="160">
        <f>InputData!$C$11</f>
        <v>0.02</v>
      </c>
      <c r="R419" s="160">
        <f>InputData!$C$12</f>
        <v>0.02</v>
      </c>
      <c r="S419" s="160">
        <f>InputData!$C$13</f>
        <v>0.9</v>
      </c>
      <c r="T419" s="116">
        <f>InputData!$C$88</f>
        <v>180000</v>
      </c>
      <c r="U419" s="116">
        <f>InputData!$C$81</f>
        <v>178500</v>
      </c>
      <c r="V419" s="116">
        <f>InputData!$C$82</f>
        <v>303960</v>
      </c>
      <c r="W419" s="116">
        <f>InputData!$C$84</f>
        <v>215220</v>
      </c>
      <c r="X419" s="116">
        <f>InputData!$C$85</f>
        <v>409020</v>
      </c>
      <c r="Y419" s="116">
        <f>InputData!$C$116</f>
        <v>140000</v>
      </c>
      <c r="Z419" s="160">
        <f>InputData!$E$13</f>
        <v>0</v>
      </c>
    </row>
    <row r="420" spans="1:26" x14ac:dyDescent="0.25">
      <c r="A420">
        <f>InputData!$K$1</f>
        <v>2013</v>
      </c>
      <c r="B420" t="str">
        <f>InputData!$G$1</f>
        <v>San Antonio, TX</v>
      </c>
      <c r="C420" t="s">
        <v>11</v>
      </c>
      <c r="D420" t="str">
        <f>Graph_IntMed!$P$6</f>
        <v>NHSC</v>
      </c>
      <c r="E420" t="str">
        <f t="shared" si="6"/>
        <v>Internal Medicine NHSC</v>
      </c>
      <c r="F420">
        <f>Graph_IntMed!$A35</f>
        <v>2041</v>
      </c>
      <c r="G420">
        <f>Graph_IntMed!$B35</f>
        <v>29</v>
      </c>
      <c r="H420" s="165">
        <f>Graph_IntMed!$P35</f>
        <v>1630284.7507633036</v>
      </c>
      <c r="I420" s="160">
        <f>InputData!$C$3</f>
        <v>0.02</v>
      </c>
      <c r="J420" s="160">
        <f>InputData!$C$4</f>
        <v>0.01</v>
      </c>
      <c r="K420" s="160">
        <f>InputData!$C$5</f>
        <v>0.01</v>
      </c>
      <c r="L420" s="160">
        <f>InputData!$C$6</f>
        <v>6.2100000000000002E-2</v>
      </c>
      <c r="M420" s="160">
        <f>InputData!$C$7</f>
        <v>0.03</v>
      </c>
      <c r="N420" s="160">
        <f>InputData!$C$8</f>
        <v>0.02</v>
      </c>
      <c r="O420" s="160">
        <f>InputData!$C$9</f>
        <v>0.06</v>
      </c>
      <c r="P420" s="160">
        <f>InputData!$C$10</f>
        <v>0.02</v>
      </c>
      <c r="Q420" s="160">
        <f>InputData!$C$11</f>
        <v>0.02</v>
      </c>
      <c r="R420" s="160">
        <f>InputData!$C$12</f>
        <v>0.02</v>
      </c>
      <c r="S420" s="160">
        <f>InputData!$C$13</f>
        <v>0.9</v>
      </c>
      <c r="T420" s="116">
        <f>InputData!$C$88</f>
        <v>180000</v>
      </c>
      <c r="U420" s="116">
        <f>InputData!$C$81</f>
        <v>178500</v>
      </c>
      <c r="V420" s="116">
        <f>InputData!$C$82</f>
        <v>303960</v>
      </c>
      <c r="W420" s="116">
        <f>InputData!$C$84</f>
        <v>215220</v>
      </c>
      <c r="X420" s="116">
        <f>InputData!$C$85</f>
        <v>409020</v>
      </c>
      <c r="Y420" s="116">
        <f>InputData!$C$116</f>
        <v>140000</v>
      </c>
      <c r="Z420" s="160">
        <f>InputData!$E$13</f>
        <v>0</v>
      </c>
    </row>
    <row r="421" spans="1:26" x14ac:dyDescent="0.25">
      <c r="A421">
        <f>InputData!$K$1</f>
        <v>2013</v>
      </c>
      <c r="B421" t="str">
        <f>InputData!$G$1</f>
        <v>San Antonio, TX</v>
      </c>
      <c r="C421" t="s">
        <v>11</v>
      </c>
      <c r="D421" t="str">
        <f>Graph_IntMed!$P$6</f>
        <v>NHSC</v>
      </c>
      <c r="E421" t="str">
        <f t="shared" si="6"/>
        <v>Internal Medicine NHSC</v>
      </c>
      <c r="F421">
        <f>Graph_IntMed!$A36</f>
        <v>2042</v>
      </c>
      <c r="G421">
        <f>Graph_IntMed!$B36</f>
        <v>30</v>
      </c>
      <c r="H421" s="165">
        <f>Graph_IntMed!$P36</f>
        <v>1682811.1596357916</v>
      </c>
      <c r="I421" s="160">
        <f>InputData!$C$3</f>
        <v>0.02</v>
      </c>
      <c r="J421" s="160">
        <f>InputData!$C$4</f>
        <v>0.01</v>
      </c>
      <c r="K421" s="160">
        <f>InputData!$C$5</f>
        <v>0.01</v>
      </c>
      <c r="L421" s="160">
        <f>InputData!$C$6</f>
        <v>6.2100000000000002E-2</v>
      </c>
      <c r="M421" s="160">
        <f>InputData!$C$7</f>
        <v>0.03</v>
      </c>
      <c r="N421" s="160">
        <f>InputData!$C$8</f>
        <v>0.02</v>
      </c>
      <c r="O421" s="160">
        <f>InputData!$C$9</f>
        <v>0.06</v>
      </c>
      <c r="P421" s="160">
        <f>InputData!$C$10</f>
        <v>0.02</v>
      </c>
      <c r="Q421" s="160">
        <f>InputData!$C$11</f>
        <v>0.02</v>
      </c>
      <c r="R421" s="160">
        <f>InputData!$C$12</f>
        <v>0.02</v>
      </c>
      <c r="S421" s="160">
        <f>InputData!$C$13</f>
        <v>0.9</v>
      </c>
      <c r="T421" s="116">
        <f>InputData!$C$88</f>
        <v>180000</v>
      </c>
      <c r="U421" s="116">
        <f>InputData!$C$81</f>
        <v>178500</v>
      </c>
      <c r="V421" s="116">
        <f>InputData!$C$82</f>
        <v>303960</v>
      </c>
      <c r="W421" s="116">
        <f>InputData!$C$84</f>
        <v>215220</v>
      </c>
      <c r="X421" s="116">
        <f>InputData!$C$85</f>
        <v>409020</v>
      </c>
      <c r="Y421" s="116">
        <f>InputData!$C$116</f>
        <v>140000</v>
      </c>
      <c r="Z421" s="160">
        <f>InputData!$E$13</f>
        <v>0</v>
      </c>
    </row>
    <row r="422" spans="1:26" x14ac:dyDescent="0.25">
      <c r="A422">
        <f>InputData!$K$1</f>
        <v>2013</v>
      </c>
      <c r="B422" t="str">
        <f>InputData!$G$1</f>
        <v>San Antonio, TX</v>
      </c>
      <c r="C422" t="s">
        <v>11</v>
      </c>
      <c r="D422" t="str">
        <f>Graph_IntMed!$Q$6</f>
        <v>PSLF</v>
      </c>
      <c r="E422" t="str">
        <f t="shared" si="6"/>
        <v>Internal Medicine PSLF</v>
      </c>
      <c r="F422">
        <f>Graph_IntMed!$A7</f>
        <v>2013</v>
      </c>
      <c r="G422">
        <f>Graph_IntMed!$B7</f>
        <v>1</v>
      </c>
      <c r="H422" s="165">
        <f>Graph_IntMed!$Q7</f>
        <v>-43015.05</v>
      </c>
      <c r="I422" s="160">
        <f>InputData!$C$3</f>
        <v>0.02</v>
      </c>
      <c r="J422" s="160">
        <f>InputData!$C$4</f>
        <v>0.01</v>
      </c>
      <c r="K422" s="160">
        <f>InputData!$C$5</f>
        <v>0.01</v>
      </c>
      <c r="L422" s="160">
        <f>InputData!$C$6</f>
        <v>6.2100000000000002E-2</v>
      </c>
      <c r="M422" s="160">
        <f>InputData!$C$7</f>
        <v>0.03</v>
      </c>
      <c r="N422" s="160">
        <f>InputData!$C$8</f>
        <v>0.02</v>
      </c>
      <c r="O422" s="160">
        <f>InputData!$C$9</f>
        <v>0.06</v>
      </c>
      <c r="P422" s="160">
        <f>InputData!$C$10</f>
        <v>0.02</v>
      </c>
      <c r="Q422" s="160">
        <f>InputData!$C$11</f>
        <v>0.02</v>
      </c>
      <c r="R422" s="160">
        <f>InputData!$C$12</f>
        <v>0.02</v>
      </c>
      <c r="S422" s="160">
        <f>InputData!$C$13</f>
        <v>0.9</v>
      </c>
      <c r="T422" s="116">
        <f>InputData!$C$88</f>
        <v>180000</v>
      </c>
      <c r="U422" s="116">
        <f>InputData!$C$81</f>
        <v>178500</v>
      </c>
      <c r="V422" s="116">
        <f>InputData!$C$82</f>
        <v>303960</v>
      </c>
      <c r="W422" s="116">
        <f>InputData!$C$84</f>
        <v>215220</v>
      </c>
      <c r="X422" s="116">
        <f>InputData!$C$85</f>
        <v>409020</v>
      </c>
      <c r="Y422" s="116">
        <f>InputData!$C$116</f>
        <v>140000</v>
      </c>
      <c r="Z422" s="160">
        <f>InputData!$E$13</f>
        <v>0</v>
      </c>
    </row>
    <row r="423" spans="1:26" x14ac:dyDescent="0.25">
      <c r="A423">
        <f>InputData!$K$1</f>
        <v>2013</v>
      </c>
      <c r="B423" t="str">
        <f>InputData!$G$1</f>
        <v>San Antonio, TX</v>
      </c>
      <c r="C423" t="s">
        <v>11</v>
      </c>
      <c r="D423" t="str">
        <f>Graph_IntMed!$Q$6</f>
        <v>PSLF</v>
      </c>
      <c r="E423" t="str">
        <f t="shared" si="6"/>
        <v>Internal Medicine PSLF</v>
      </c>
      <c r="F423">
        <f>Graph_IntMed!$A8</f>
        <v>2014</v>
      </c>
      <c r="G423">
        <f>Graph_IntMed!$B8</f>
        <v>2</v>
      </c>
      <c r="H423" s="165">
        <f>Graph_IntMed!$Q8</f>
        <v>-86352.285865219877</v>
      </c>
      <c r="I423" s="160">
        <f>InputData!$C$3</f>
        <v>0.02</v>
      </c>
      <c r="J423" s="160">
        <f>InputData!$C$4</f>
        <v>0.01</v>
      </c>
      <c r="K423" s="160">
        <f>InputData!$C$5</f>
        <v>0.01</v>
      </c>
      <c r="L423" s="160">
        <f>InputData!$C$6</f>
        <v>6.2100000000000002E-2</v>
      </c>
      <c r="M423" s="160">
        <f>InputData!$C$7</f>
        <v>0.03</v>
      </c>
      <c r="N423" s="160">
        <f>InputData!$C$8</f>
        <v>0.02</v>
      </c>
      <c r="O423" s="160">
        <f>InputData!$C$9</f>
        <v>0.06</v>
      </c>
      <c r="P423" s="160">
        <f>InputData!$C$10</f>
        <v>0.02</v>
      </c>
      <c r="Q423" s="160">
        <f>InputData!$C$11</f>
        <v>0.02</v>
      </c>
      <c r="R423" s="160">
        <f>InputData!$C$12</f>
        <v>0.02</v>
      </c>
      <c r="S423" s="160">
        <f>InputData!$C$13</f>
        <v>0.9</v>
      </c>
      <c r="T423" s="116">
        <f>InputData!$C$88</f>
        <v>180000</v>
      </c>
      <c r="U423" s="116">
        <f>InputData!$C$81</f>
        <v>178500</v>
      </c>
      <c r="V423" s="116">
        <f>InputData!$C$82</f>
        <v>303960</v>
      </c>
      <c r="W423" s="116">
        <f>InputData!$C$84</f>
        <v>215220</v>
      </c>
      <c r="X423" s="116">
        <f>InputData!$C$85</f>
        <v>409020</v>
      </c>
      <c r="Y423" s="116">
        <f>InputData!$C$116</f>
        <v>140000</v>
      </c>
      <c r="Z423" s="160">
        <f>InputData!$E$13</f>
        <v>0</v>
      </c>
    </row>
    <row r="424" spans="1:26" x14ac:dyDescent="0.25">
      <c r="A424">
        <f>InputData!$K$1</f>
        <v>2013</v>
      </c>
      <c r="B424" t="str">
        <f>InputData!$G$1</f>
        <v>San Antonio, TX</v>
      </c>
      <c r="C424" t="s">
        <v>11</v>
      </c>
      <c r="D424" t="str">
        <f>Graph_IntMed!$Q$6</f>
        <v>PSLF</v>
      </c>
      <c r="E424" t="str">
        <f t="shared" si="6"/>
        <v>Internal Medicine PSLF</v>
      </c>
      <c r="F424">
        <f>Graph_IntMed!$A9</f>
        <v>2015</v>
      </c>
      <c r="G424">
        <f>Graph_IntMed!$B9</f>
        <v>3</v>
      </c>
      <c r="H424" s="165">
        <f>Graph_IntMed!$Q9</f>
        <v>-138541.19578403595</v>
      </c>
      <c r="I424" s="160">
        <f>InputData!$C$3</f>
        <v>0.02</v>
      </c>
      <c r="J424" s="160">
        <f>InputData!$C$4</f>
        <v>0.01</v>
      </c>
      <c r="K424" s="160">
        <f>InputData!$C$5</f>
        <v>0.01</v>
      </c>
      <c r="L424" s="160">
        <f>InputData!$C$6</f>
        <v>6.2100000000000002E-2</v>
      </c>
      <c r="M424" s="160">
        <f>InputData!$C$7</f>
        <v>0.03</v>
      </c>
      <c r="N424" s="160">
        <f>InputData!$C$8</f>
        <v>0.02</v>
      </c>
      <c r="O424" s="160">
        <f>InputData!$C$9</f>
        <v>0.06</v>
      </c>
      <c r="P424" s="160">
        <f>InputData!$C$10</f>
        <v>0.02</v>
      </c>
      <c r="Q424" s="160">
        <f>InputData!$C$11</f>
        <v>0.02</v>
      </c>
      <c r="R424" s="160">
        <f>InputData!$C$12</f>
        <v>0.02</v>
      </c>
      <c r="S424" s="160">
        <f>InputData!$C$13</f>
        <v>0.9</v>
      </c>
      <c r="T424" s="116">
        <f>InputData!$C$88</f>
        <v>180000</v>
      </c>
      <c r="U424" s="116">
        <f>InputData!$C$81</f>
        <v>178500</v>
      </c>
      <c r="V424" s="116">
        <f>InputData!$C$82</f>
        <v>303960</v>
      </c>
      <c r="W424" s="116">
        <f>InputData!$C$84</f>
        <v>215220</v>
      </c>
      <c r="X424" s="116">
        <f>InputData!$C$85</f>
        <v>409020</v>
      </c>
      <c r="Y424" s="116">
        <f>InputData!$C$116</f>
        <v>140000</v>
      </c>
      <c r="Z424" s="160">
        <f>InputData!$E$13</f>
        <v>0</v>
      </c>
    </row>
    <row r="425" spans="1:26" x14ac:dyDescent="0.25">
      <c r="A425">
        <f>InputData!$K$1</f>
        <v>2013</v>
      </c>
      <c r="B425" t="str">
        <f>InputData!$G$1</f>
        <v>San Antonio, TX</v>
      </c>
      <c r="C425" t="s">
        <v>11</v>
      </c>
      <c r="D425" t="str">
        <f>Graph_IntMed!$Q$6</f>
        <v>PSLF</v>
      </c>
      <c r="E425" t="str">
        <f t="shared" si="6"/>
        <v>Internal Medicine PSLF</v>
      </c>
      <c r="F425">
        <f>Graph_IntMed!$A10</f>
        <v>2016</v>
      </c>
      <c r="G425">
        <f>Graph_IntMed!$B10</f>
        <v>4</v>
      </c>
      <c r="H425" s="165">
        <f>Graph_IntMed!$Q10</f>
        <v>-190867.3802890821</v>
      </c>
      <c r="I425" s="160">
        <f>InputData!$C$3</f>
        <v>0.02</v>
      </c>
      <c r="J425" s="160">
        <f>InputData!$C$4</f>
        <v>0.01</v>
      </c>
      <c r="K425" s="160">
        <f>InputData!$C$5</f>
        <v>0.01</v>
      </c>
      <c r="L425" s="160">
        <f>InputData!$C$6</f>
        <v>6.2100000000000002E-2</v>
      </c>
      <c r="M425" s="160">
        <f>InputData!$C$7</f>
        <v>0.03</v>
      </c>
      <c r="N425" s="160">
        <f>InputData!$C$8</f>
        <v>0.02</v>
      </c>
      <c r="O425" s="160">
        <f>InputData!$C$9</f>
        <v>0.06</v>
      </c>
      <c r="P425" s="160">
        <f>InputData!$C$10</f>
        <v>0.02</v>
      </c>
      <c r="Q425" s="160">
        <f>InputData!$C$11</f>
        <v>0.02</v>
      </c>
      <c r="R425" s="160">
        <f>InputData!$C$12</f>
        <v>0.02</v>
      </c>
      <c r="S425" s="160">
        <f>InputData!$C$13</f>
        <v>0.9</v>
      </c>
      <c r="T425" s="116">
        <f>InputData!$C$88</f>
        <v>180000</v>
      </c>
      <c r="U425" s="116">
        <f>InputData!$C$81</f>
        <v>178500</v>
      </c>
      <c r="V425" s="116">
        <f>InputData!$C$82</f>
        <v>303960</v>
      </c>
      <c r="W425" s="116">
        <f>InputData!$C$84</f>
        <v>215220</v>
      </c>
      <c r="X425" s="116">
        <f>InputData!$C$85</f>
        <v>409020</v>
      </c>
      <c r="Y425" s="116">
        <f>InputData!$C$116</f>
        <v>140000</v>
      </c>
      <c r="Z425" s="160">
        <f>InputData!$E$13</f>
        <v>0</v>
      </c>
    </row>
    <row r="426" spans="1:26" x14ac:dyDescent="0.25">
      <c r="A426">
        <f>InputData!$K$1</f>
        <v>2013</v>
      </c>
      <c r="B426" t="str">
        <f>InputData!$G$1</f>
        <v>San Antonio, TX</v>
      </c>
      <c r="C426" t="s">
        <v>11</v>
      </c>
      <c r="D426" t="str">
        <f>Graph_IntMed!$Q$6</f>
        <v>PSLF</v>
      </c>
      <c r="E426" t="str">
        <f t="shared" si="6"/>
        <v>Internal Medicine PSLF</v>
      </c>
      <c r="F426">
        <f>Graph_IntMed!$A11</f>
        <v>2017</v>
      </c>
      <c r="G426">
        <f>Graph_IntMed!$B11</f>
        <v>5</v>
      </c>
      <c r="H426" s="165">
        <f>Graph_IntMed!$Q11</f>
        <v>-157911.19312249741</v>
      </c>
      <c r="I426" s="160">
        <f>InputData!$C$3</f>
        <v>0.02</v>
      </c>
      <c r="J426" s="160">
        <f>InputData!$C$4</f>
        <v>0.01</v>
      </c>
      <c r="K426" s="160">
        <f>InputData!$C$5</f>
        <v>0.01</v>
      </c>
      <c r="L426" s="160">
        <f>InputData!$C$6</f>
        <v>6.2100000000000002E-2</v>
      </c>
      <c r="M426" s="160">
        <f>InputData!$C$7</f>
        <v>0.03</v>
      </c>
      <c r="N426" s="160">
        <f>InputData!$C$8</f>
        <v>0.02</v>
      </c>
      <c r="O426" s="160">
        <f>InputData!$C$9</f>
        <v>0.06</v>
      </c>
      <c r="P426" s="160">
        <f>InputData!$C$10</f>
        <v>0.02</v>
      </c>
      <c r="Q426" s="160">
        <f>InputData!$C$11</f>
        <v>0.02</v>
      </c>
      <c r="R426" s="160">
        <f>InputData!$C$12</f>
        <v>0.02</v>
      </c>
      <c r="S426" s="160">
        <f>InputData!$C$13</f>
        <v>0.9</v>
      </c>
      <c r="T426" s="116">
        <f>InputData!$C$88</f>
        <v>180000</v>
      </c>
      <c r="U426" s="116">
        <f>InputData!$C$81</f>
        <v>178500</v>
      </c>
      <c r="V426" s="116">
        <f>InputData!$C$82</f>
        <v>303960</v>
      </c>
      <c r="W426" s="116">
        <f>InputData!$C$84</f>
        <v>215220</v>
      </c>
      <c r="X426" s="116">
        <f>InputData!$C$85</f>
        <v>409020</v>
      </c>
      <c r="Y426" s="116">
        <f>InputData!$C$116</f>
        <v>140000</v>
      </c>
      <c r="Z426" s="160">
        <f>InputData!$E$13</f>
        <v>0</v>
      </c>
    </row>
    <row r="427" spans="1:26" x14ac:dyDescent="0.25">
      <c r="A427">
        <f>InputData!$K$1</f>
        <v>2013</v>
      </c>
      <c r="B427" t="str">
        <f>InputData!$G$1</f>
        <v>San Antonio, TX</v>
      </c>
      <c r="C427" t="s">
        <v>11</v>
      </c>
      <c r="D427" t="str">
        <f>Graph_IntMed!$Q$6</f>
        <v>PSLF</v>
      </c>
      <c r="E427" t="str">
        <f t="shared" si="6"/>
        <v>Internal Medicine PSLF</v>
      </c>
      <c r="F427">
        <f>Graph_IntMed!$A12</f>
        <v>2018</v>
      </c>
      <c r="G427">
        <f>Graph_IntMed!$B12</f>
        <v>6</v>
      </c>
      <c r="H427" s="165">
        <f>Graph_IntMed!$Q12</f>
        <v>-124940.73121601366</v>
      </c>
      <c r="I427" s="160">
        <f>InputData!$C$3</f>
        <v>0.02</v>
      </c>
      <c r="J427" s="160">
        <f>InputData!$C$4</f>
        <v>0.01</v>
      </c>
      <c r="K427" s="160">
        <f>InputData!$C$5</f>
        <v>0.01</v>
      </c>
      <c r="L427" s="160">
        <f>InputData!$C$6</f>
        <v>6.2100000000000002E-2</v>
      </c>
      <c r="M427" s="160">
        <f>InputData!$C$7</f>
        <v>0.03</v>
      </c>
      <c r="N427" s="160">
        <f>InputData!$C$8</f>
        <v>0.02</v>
      </c>
      <c r="O427" s="160">
        <f>InputData!$C$9</f>
        <v>0.06</v>
      </c>
      <c r="P427" s="160">
        <f>InputData!$C$10</f>
        <v>0.02</v>
      </c>
      <c r="Q427" s="160">
        <f>InputData!$C$11</f>
        <v>0.02</v>
      </c>
      <c r="R427" s="160">
        <f>InputData!$C$12</f>
        <v>0.02</v>
      </c>
      <c r="S427" s="160">
        <f>InputData!$C$13</f>
        <v>0.9</v>
      </c>
      <c r="T427" s="116">
        <f>InputData!$C$88</f>
        <v>180000</v>
      </c>
      <c r="U427" s="116">
        <f>InputData!$C$81</f>
        <v>178500</v>
      </c>
      <c r="V427" s="116">
        <f>InputData!$C$82</f>
        <v>303960</v>
      </c>
      <c r="W427" s="116">
        <f>InputData!$C$84</f>
        <v>215220</v>
      </c>
      <c r="X427" s="116">
        <f>InputData!$C$85</f>
        <v>409020</v>
      </c>
      <c r="Y427" s="116">
        <f>InputData!$C$116</f>
        <v>140000</v>
      </c>
      <c r="Z427" s="160">
        <f>InputData!$E$13</f>
        <v>0</v>
      </c>
    </row>
    <row r="428" spans="1:26" x14ac:dyDescent="0.25">
      <c r="A428">
        <f>InputData!$K$1</f>
        <v>2013</v>
      </c>
      <c r="B428" t="str">
        <f>InputData!$G$1</f>
        <v>San Antonio, TX</v>
      </c>
      <c r="C428" t="s">
        <v>11</v>
      </c>
      <c r="D428" t="str">
        <f>Graph_IntMed!$Q$6</f>
        <v>PSLF</v>
      </c>
      <c r="E428" t="str">
        <f t="shared" si="6"/>
        <v>Internal Medicine PSLF</v>
      </c>
      <c r="F428">
        <f>Graph_IntMed!$A13</f>
        <v>2019</v>
      </c>
      <c r="G428">
        <f>Graph_IntMed!$B13</f>
        <v>7</v>
      </c>
      <c r="H428" s="165">
        <f>Graph_IntMed!$Q13</f>
        <v>-91947.694234953364</v>
      </c>
      <c r="I428" s="160">
        <f>InputData!$C$3</f>
        <v>0.02</v>
      </c>
      <c r="J428" s="160">
        <f>InputData!$C$4</f>
        <v>0.01</v>
      </c>
      <c r="K428" s="160">
        <f>InputData!$C$5</f>
        <v>0.01</v>
      </c>
      <c r="L428" s="160">
        <f>InputData!$C$6</f>
        <v>6.2100000000000002E-2</v>
      </c>
      <c r="M428" s="160">
        <f>InputData!$C$7</f>
        <v>0.03</v>
      </c>
      <c r="N428" s="160">
        <f>InputData!$C$8</f>
        <v>0.02</v>
      </c>
      <c r="O428" s="160">
        <f>InputData!$C$9</f>
        <v>0.06</v>
      </c>
      <c r="P428" s="160">
        <f>InputData!$C$10</f>
        <v>0.02</v>
      </c>
      <c r="Q428" s="160">
        <f>InputData!$C$11</f>
        <v>0.02</v>
      </c>
      <c r="R428" s="160">
        <f>InputData!$C$12</f>
        <v>0.02</v>
      </c>
      <c r="S428" s="160">
        <f>InputData!$C$13</f>
        <v>0.9</v>
      </c>
      <c r="T428" s="116">
        <f>InputData!$C$88</f>
        <v>180000</v>
      </c>
      <c r="U428" s="116">
        <f>InputData!$C$81</f>
        <v>178500</v>
      </c>
      <c r="V428" s="116">
        <f>InputData!$C$82</f>
        <v>303960</v>
      </c>
      <c r="W428" s="116">
        <f>InputData!$C$84</f>
        <v>215220</v>
      </c>
      <c r="X428" s="116">
        <f>InputData!$C$85</f>
        <v>409020</v>
      </c>
      <c r="Y428" s="116">
        <f>InputData!$C$116</f>
        <v>140000</v>
      </c>
      <c r="Z428" s="160">
        <f>InputData!$E$13</f>
        <v>0</v>
      </c>
    </row>
    <row r="429" spans="1:26" x14ac:dyDescent="0.25">
      <c r="A429">
        <f>InputData!$K$1</f>
        <v>2013</v>
      </c>
      <c r="B429" t="str">
        <f>InputData!$G$1</f>
        <v>San Antonio, TX</v>
      </c>
      <c r="C429" t="s">
        <v>11</v>
      </c>
      <c r="D429" t="str">
        <f>Graph_IntMed!$Q$6</f>
        <v>PSLF</v>
      </c>
      <c r="E429" t="str">
        <f t="shared" si="6"/>
        <v>Internal Medicine PSLF</v>
      </c>
      <c r="F429">
        <f>Graph_IntMed!$A14</f>
        <v>2020</v>
      </c>
      <c r="G429">
        <f>Graph_IntMed!$B14</f>
        <v>8</v>
      </c>
      <c r="H429" s="165">
        <f>Graph_IntMed!$Q14</f>
        <v>-7203.3353537460498</v>
      </c>
      <c r="I429" s="160">
        <f>InputData!$C$3</f>
        <v>0.02</v>
      </c>
      <c r="J429" s="160">
        <f>InputData!$C$4</f>
        <v>0.01</v>
      </c>
      <c r="K429" s="160">
        <f>InputData!$C$5</f>
        <v>0.01</v>
      </c>
      <c r="L429" s="160">
        <f>InputData!$C$6</f>
        <v>6.2100000000000002E-2</v>
      </c>
      <c r="M429" s="160">
        <f>InputData!$C$7</f>
        <v>0.03</v>
      </c>
      <c r="N429" s="160">
        <f>InputData!$C$8</f>
        <v>0.02</v>
      </c>
      <c r="O429" s="160">
        <f>InputData!$C$9</f>
        <v>0.06</v>
      </c>
      <c r="P429" s="160">
        <f>InputData!$C$10</f>
        <v>0.02</v>
      </c>
      <c r="Q429" s="160">
        <f>InputData!$C$11</f>
        <v>0.02</v>
      </c>
      <c r="R429" s="160">
        <f>InputData!$C$12</f>
        <v>0.02</v>
      </c>
      <c r="S429" s="160">
        <f>InputData!$C$13</f>
        <v>0.9</v>
      </c>
      <c r="T429" s="116">
        <f>InputData!$C$88</f>
        <v>180000</v>
      </c>
      <c r="U429" s="116">
        <f>InputData!$C$81</f>
        <v>178500</v>
      </c>
      <c r="V429" s="116">
        <f>InputData!$C$82</f>
        <v>303960</v>
      </c>
      <c r="W429" s="116">
        <f>InputData!$C$84</f>
        <v>215220</v>
      </c>
      <c r="X429" s="116">
        <f>InputData!$C$85</f>
        <v>409020</v>
      </c>
      <c r="Y429" s="116">
        <f>InputData!$C$116</f>
        <v>140000</v>
      </c>
      <c r="Z429" s="160">
        <f>InputData!$E$13</f>
        <v>0</v>
      </c>
    </row>
    <row r="430" spans="1:26" x14ac:dyDescent="0.25">
      <c r="A430">
        <f>InputData!$K$1</f>
        <v>2013</v>
      </c>
      <c r="B430" t="str">
        <f>InputData!$G$1</f>
        <v>San Antonio, TX</v>
      </c>
      <c r="C430" t="s">
        <v>11</v>
      </c>
      <c r="D430" t="str">
        <f>Graph_IntMed!$Q$6</f>
        <v>PSLF</v>
      </c>
      <c r="E430" t="str">
        <f t="shared" si="6"/>
        <v>Internal Medicine PSLF</v>
      </c>
      <c r="F430">
        <f>Graph_IntMed!$A15</f>
        <v>2021</v>
      </c>
      <c r="G430">
        <f>Graph_IntMed!$B15</f>
        <v>9</v>
      </c>
      <c r="H430" s="165">
        <f>Graph_IntMed!$Q15</f>
        <v>76047.069009965111</v>
      </c>
      <c r="I430" s="160">
        <f>InputData!$C$3</f>
        <v>0.02</v>
      </c>
      <c r="J430" s="160">
        <f>InputData!$C$4</f>
        <v>0.01</v>
      </c>
      <c r="K430" s="160">
        <f>InputData!$C$5</f>
        <v>0.01</v>
      </c>
      <c r="L430" s="160">
        <f>InputData!$C$6</f>
        <v>6.2100000000000002E-2</v>
      </c>
      <c r="M430" s="160">
        <f>InputData!$C$7</f>
        <v>0.03</v>
      </c>
      <c r="N430" s="160">
        <f>InputData!$C$8</f>
        <v>0.02</v>
      </c>
      <c r="O430" s="160">
        <f>InputData!$C$9</f>
        <v>0.06</v>
      </c>
      <c r="P430" s="160">
        <f>InputData!$C$10</f>
        <v>0.02</v>
      </c>
      <c r="Q430" s="160">
        <f>InputData!$C$11</f>
        <v>0.02</v>
      </c>
      <c r="R430" s="160">
        <f>InputData!$C$12</f>
        <v>0.02</v>
      </c>
      <c r="S430" s="160">
        <f>InputData!$C$13</f>
        <v>0.9</v>
      </c>
      <c r="T430" s="116">
        <f>InputData!$C$88</f>
        <v>180000</v>
      </c>
      <c r="U430" s="116">
        <f>InputData!$C$81</f>
        <v>178500</v>
      </c>
      <c r="V430" s="116">
        <f>InputData!$C$82</f>
        <v>303960</v>
      </c>
      <c r="W430" s="116">
        <f>InputData!$C$84</f>
        <v>215220</v>
      </c>
      <c r="X430" s="116">
        <f>InputData!$C$85</f>
        <v>409020</v>
      </c>
      <c r="Y430" s="116">
        <f>InputData!$C$116</f>
        <v>140000</v>
      </c>
      <c r="Z430" s="160">
        <f>InputData!$E$13</f>
        <v>0</v>
      </c>
    </row>
    <row r="431" spans="1:26" x14ac:dyDescent="0.25">
      <c r="A431">
        <f>InputData!$K$1</f>
        <v>2013</v>
      </c>
      <c r="B431" t="str">
        <f>InputData!$G$1</f>
        <v>San Antonio, TX</v>
      </c>
      <c r="C431" t="s">
        <v>11</v>
      </c>
      <c r="D431" t="str">
        <f>Graph_IntMed!$Q$6</f>
        <v>PSLF</v>
      </c>
      <c r="E431" t="str">
        <f t="shared" si="6"/>
        <v>Internal Medicine PSLF</v>
      </c>
      <c r="F431">
        <f>Graph_IntMed!$A16</f>
        <v>2022</v>
      </c>
      <c r="G431">
        <f>Graph_IntMed!$B16</f>
        <v>10</v>
      </c>
      <c r="H431" s="165">
        <f>Graph_IntMed!$Q16</f>
        <v>157792.6553459086</v>
      </c>
      <c r="I431" s="160">
        <f>InputData!$C$3</f>
        <v>0.02</v>
      </c>
      <c r="J431" s="160">
        <f>InputData!$C$4</f>
        <v>0.01</v>
      </c>
      <c r="K431" s="160">
        <f>InputData!$C$5</f>
        <v>0.01</v>
      </c>
      <c r="L431" s="160">
        <f>InputData!$C$6</f>
        <v>6.2100000000000002E-2</v>
      </c>
      <c r="M431" s="160">
        <f>InputData!$C$7</f>
        <v>0.03</v>
      </c>
      <c r="N431" s="160">
        <f>InputData!$C$8</f>
        <v>0.02</v>
      </c>
      <c r="O431" s="160">
        <f>InputData!$C$9</f>
        <v>0.06</v>
      </c>
      <c r="P431" s="160">
        <f>InputData!$C$10</f>
        <v>0.02</v>
      </c>
      <c r="Q431" s="160">
        <f>InputData!$C$11</f>
        <v>0.02</v>
      </c>
      <c r="R431" s="160">
        <f>InputData!$C$12</f>
        <v>0.02</v>
      </c>
      <c r="S431" s="160">
        <f>InputData!$C$13</f>
        <v>0.9</v>
      </c>
      <c r="T431" s="116">
        <f>InputData!$C$88</f>
        <v>180000</v>
      </c>
      <c r="U431" s="116">
        <f>InputData!$C$81</f>
        <v>178500</v>
      </c>
      <c r="V431" s="116">
        <f>InputData!$C$82</f>
        <v>303960</v>
      </c>
      <c r="W431" s="116">
        <f>InputData!$C$84</f>
        <v>215220</v>
      </c>
      <c r="X431" s="116">
        <f>InputData!$C$85</f>
        <v>409020</v>
      </c>
      <c r="Y431" s="116">
        <f>InputData!$C$116</f>
        <v>140000</v>
      </c>
      <c r="Z431" s="160">
        <f>InputData!$E$13</f>
        <v>0</v>
      </c>
    </row>
    <row r="432" spans="1:26" x14ac:dyDescent="0.25">
      <c r="A432">
        <f>InputData!$K$1</f>
        <v>2013</v>
      </c>
      <c r="B432" t="str">
        <f>InputData!$G$1</f>
        <v>San Antonio, TX</v>
      </c>
      <c r="C432" t="s">
        <v>11</v>
      </c>
      <c r="D432" t="str">
        <f>Graph_IntMed!$Q$6</f>
        <v>PSLF</v>
      </c>
      <c r="E432" t="str">
        <f t="shared" si="6"/>
        <v>Internal Medicine PSLF</v>
      </c>
      <c r="F432">
        <f>Graph_IntMed!$A17</f>
        <v>2023</v>
      </c>
      <c r="G432">
        <f>Graph_IntMed!$B17</f>
        <v>11</v>
      </c>
      <c r="H432" s="165">
        <f>Graph_IntMed!$Q17</f>
        <v>238025.62422551654</v>
      </c>
      <c r="I432" s="160">
        <f>InputData!$C$3</f>
        <v>0.02</v>
      </c>
      <c r="J432" s="160">
        <f>InputData!$C$4</f>
        <v>0.01</v>
      </c>
      <c r="K432" s="160">
        <f>InputData!$C$5</f>
        <v>0.01</v>
      </c>
      <c r="L432" s="160">
        <f>InputData!$C$6</f>
        <v>6.2100000000000002E-2</v>
      </c>
      <c r="M432" s="160">
        <f>InputData!$C$7</f>
        <v>0.03</v>
      </c>
      <c r="N432" s="160">
        <f>InputData!$C$8</f>
        <v>0.02</v>
      </c>
      <c r="O432" s="160">
        <f>InputData!$C$9</f>
        <v>0.06</v>
      </c>
      <c r="P432" s="160">
        <f>InputData!$C$10</f>
        <v>0.02</v>
      </c>
      <c r="Q432" s="160">
        <f>InputData!$C$11</f>
        <v>0.02</v>
      </c>
      <c r="R432" s="160">
        <f>InputData!$C$12</f>
        <v>0.02</v>
      </c>
      <c r="S432" s="160">
        <f>InputData!$C$13</f>
        <v>0.9</v>
      </c>
      <c r="T432" s="116">
        <f>InputData!$C$88</f>
        <v>180000</v>
      </c>
      <c r="U432" s="116">
        <f>InputData!$C$81</f>
        <v>178500</v>
      </c>
      <c r="V432" s="116">
        <f>InputData!$C$82</f>
        <v>303960</v>
      </c>
      <c r="W432" s="116">
        <f>InputData!$C$84</f>
        <v>215220</v>
      </c>
      <c r="X432" s="116">
        <f>InputData!$C$85</f>
        <v>409020</v>
      </c>
      <c r="Y432" s="116">
        <f>InputData!$C$116</f>
        <v>140000</v>
      </c>
      <c r="Z432" s="160">
        <f>InputData!$E$13</f>
        <v>0</v>
      </c>
    </row>
    <row r="433" spans="1:26" x14ac:dyDescent="0.25">
      <c r="A433">
        <f>InputData!$K$1</f>
        <v>2013</v>
      </c>
      <c r="B433" t="str">
        <f>InputData!$G$1</f>
        <v>San Antonio, TX</v>
      </c>
      <c r="C433" t="s">
        <v>11</v>
      </c>
      <c r="D433" t="str">
        <f>Graph_IntMed!$Q$6</f>
        <v>PSLF</v>
      </c>
      <c r="E433" t="str">
        <f t="shared" si="6"/>
        <v>Internal Medicine PSLF</v>
      </c>
      <c r="F433">
        <f>Graph_IntMed!$A18</f>
        <v>2024</v>
      </c>
      <c r="G433">
        <f>Graph_IntMed!$B18</f>
        <v>12</v>
      </c>
      <c r="H433" s="165">
        <f>Graph_IntMed!$Q18</f>
        <v>315972.89442811173</v>
      </c>
      <c r="I433" s="160">
        <f>InputData!$C$3</f>
        <v>0.02</v>
      </c>
      <c r="J433" s="160">
        <f>InputData!$C$4</f>
        <v>0.01</v>
      </c>
      <c r="K433" s="160">
        <f>InputData!$C$5</f>
        <v>0.01</v>
      </c>
      <c r="L433" s="160">
        <f>InputData!$C$6</f>
        <v>6.2100000000000002E-2</v>
      </c>
      <c r="M433" s="160">
        <f>InputData!$C$7</f>
        <v>0.03</v>
      </c>
      <c r="N433" s="160">
        <f>InputData!$C$8</f>
        <v>0.02</v>
      </c>
      <c r="O433" s="160">
        <f>InputData!$C$9</f>
        <v>0.06</v>
      </c>
      <c r="P433" s="160">
        <f>InputData!$C$10</f>
        <v>0.02</v>
      </c>
      <c r="Q433" s="160">
        <f>InputData!$C$11</f>
        <v>0.02</v>
      </c>
      <c r="R433" s="160">
        <f>InputData!$C$12</f>
        <v>0.02</v>
      </c>
      <c r="S433" s="160">
        <f>InputData!$C$13</f>
        <v>0.9</v>
      </c>
      <c r="T433" s="116">
        <f>InputData!$C$88</f>
        <v>180000</v>
      </c>
      <c r="U433" s="116">
        <f>InputData!$C$81</f>
        <v>178500</v>
      </c>
      <c r="V433" s="116">
        <f>InputData!$C$82</f>
        <v>303960</v>
      </c>
      <c r="W433" s="116">
        <f>InputData!$C$84</f>
        <v>215220</v>
      </c>
      <c r="X433" s="116">
        <f>InputData!$C$85</f>
        <v>409020</v>
      </c>
      <c r="Y433" s="116">
        <f>InputData!$C$116</f>
        <v>140000</v>
      </c>
      <c r="Z433" s="160">
        <f>InputData!$E$13</f>
        <v>0</v>
      </c>
    </row>
    <row r="434" spans="1:26" x14ac:dyDescent="0.25">
      <c r="A434">
        <f>InputData!$K$1</f>
        <v>2013</v>
      </c>
      <c r="B434" t="str">
        <f>InputData!$G$1</f>
        <v>San Antonio, TX</v>
      </c>
      <c r="C434" t="s">
        <v>11</v>
      </c>
      <c r="D434" t="str">
        <f>Graph_IntMed!$Q$6</f>
        <v>PSLF</v>
      </c>
      <c r="E434" t="str">
        <f t="shared" si="6"/>
        <v>Internal Medicine PSLF</v>
      </c>
      <c r="F434">
        <f>Graph_IntMed!$A19</f>
        <v>2025</v>
      </c>
      <c r="G434">
        <f>Graph_IntMed!$B19</f>
        <v>13</v>
      </c>
      <c r="H434" s="165">
        <f>Graph_IntMed!$Q19</f>
        <v>391691.51370933955</v>
      </c>
      <c r="I434" s="160">
        <f>InputData!$C$3</f>
        <v>0.02</v>
      </c>
      <c r="J434" s="160">
        <f>InputData!$C$4</f>
        <v>0.01</v>
      </c>
      <c r="K434" s="160">
        <f>InputData!$C$5</f>
        <v>0.01</v>
      </c>
      <c r="L434" s="160">
        <f>InputData!$C$6</f>
        <v>6.2100000000000002E-2</v>
      </c>
      <c r="M434" s="160">
        <f>InputData!$C$7</f>
        <v>0.03</v>
      </c>
      <c r="N434" s="160">
        <f>InputData!$C$8</f>
        <v>0.02</v>
      </c>
      <c r="O434" s="160">
        <f>InputData!$C$9</f>
        <v>0.06</v>
      </c>
      <c r="P434" s="160">
        <f>InputData!$C$10</f>
        <v>0.02</v>
      </c>
      <c r="Q434" s="160">
        <f>InputData!$C$11</f>
        <v>0.02</v>
      </c>
      <c r="R434" s="160">
        <f>InputData!$C$12</f>
        <v>0.02</v>
      </c>
      <c r="S434" s="160">
        <f>InputData!$C$13</f>
        <v>0.9</v>
      </c>
      <c r="T434" s="116">
        <f>InputData!$C$88</f>
        <v>180000</v>
      </c>
      <c r="U434" s="116">
        <f>InputData!$C$81</f>
        <v>178500</v>
      </c>
      <c r="V434" s="116">
        <f>InputData!$C$82</f>
        <v>303960</v>
      </c>
      <c r="W434" s="116">
        <f>InputData!$C$84</f>
        <v>215220</v>
      </c>
      <c r="X434" s="116">
        <f>InputData!$C$85</f>
        <v>409020</v>
      </c>
      <c r="Y434" s="116">
        <f>InputData!$C$116</f>
        <v>140000</v>
      </c>
      <c r="Z434" s="160">
        <f>InputData!$E$13</f>
        <v>0</v>
      </c>
    </row>
    <row r="435" spans="1:26" x14ac:dyDescent="0.25">
      <c r="A435">
        <f>InputData!$K$1</f>
        <v>2013</v>
      </c>
      <c r="B435" t="str">
        <f>InputData!$G$1</f>
        <v>San Antonio, TX</v>
      </c>
      <c r="C435" t="s">
        <v>11</v>
      </c>
      <c r="D435" t="str">
        <f>Graph_IntMed!$Q$6</f>
        <v>PSLF</v>
      </c>
      <c r="E435" t="str">
        <f t="shared" si="6"/>
        <v>Internal Medicine PSLF</v>
      </c>
      <c r="F435">
        <f>Graph_IntMed!$A20</f>
        <v>2026</v>
      </c>
      <c r="G435">
        <f>Graph_IntMed!$B20</f>
        <v>14</v>
      </c>
      <c r="H435" s="165">
        <f>Graph_IntMed!$Q20</f>
        <v>465237.5280574917</v>
      </c>
      <c r="I435" s="160">
        <f>InputData!$C$3</f>
        <v>0.02</v>
      </c>
      <c r="J435" s="160">
        <f>InputData!$C$4</f>
        <v>0.01</v>
      </c>
      <c r="K435" s="160">
        <f>InputData!$C$5</f>
        <v>0.01</v>
      </c>
      <c r="L435" s="160">
        <f>InputData!$C$6</f>
        <v>6.2100000000000002E-2</v>
      </c>
      <c r="M435" s="160">
        <f>InputData!$C$7</f>
        <v>0.03</v>
      </c>
      <c r="N435" s="160">
        <f>InputData!$C$8</f>
        <v>0.02</v>
      </c>
      <c r="O435" s="160">
        <f>InputData!$C$9</f>
        <v>0.06</v>
      </c>
      <c r="P435" s="160">
        <f>InputData!$C$10</f>
        <v>0.02</v>
      </c>
      <c r="Q435" s="160">
        <f>InputData!$C$11</f>
        <v>0.02</v>
      </c>
      <c r="R435" s="160">
        <f>InputData!$C$12</f>
        <v>0.02</v>
      </c>
      <c r="S435" s="160">
        <f>InputData!$C$13</f>
        <v>0.9</v>
      </c>
      <c r="T435" s="116">
        <f>InputData!$C$88</f>
        <v>180000</v>
      </c>
      <c r="U435" s="116">
        <f>InputData!$C$81</f>
        <v>178500</v>
      </c>
      <c r="V435" s="116">
        <f>InputData!$C$82</f>
        <v>303960</v>
      </c>
      <c r="W435" s="116">
        <f>InputData!$C$84</f>
        <v>215220</v>
      </c>
      <c r="X435" s="116">
        <f>InputData!$C$85</f>
        <v>409020</v>
      </c>
      <c r="Y435" s="116">
        <f>InputData!$C$116</f>
        <v>140000</v>
      </c>
      <c r="Z435" s="160">
        <f>InputData!$E$13</f>
        <v>0</v>
      </c>
    </row>
    <row r="436" spans="1:26" x14ac:dyDescent="0.25">
      <c r="A436">
        <f>InputData!$K$1</f>
        <v>2013</v>
      </c>
      <c r="B436" t="str">
        <f>InputData!$G$1</f>
        <v>San Antonio, TX</v>
      </c>
      <c r="C436" t="s">
        <v>11</v>
      </c>
      <c r="D436" t="str">
        <f>Graph_IntMed!$Q$6</f>
        <v>PSLF</v>
      </c>
      <c r="E436" t="str">
        <f t="shared" si="6"/>
        <v>Internal Medicine PSLF</v>
      </c>
      <c r="F436">
        <f>Graph_IntMed!$A21</f>
        <v>2027</v>
      </c>
      <c r="G436">
        <f>Graph_IntMed!$B21</f>
        <v>15</v>
      </c>
      <c r="H436" s="165">
        <f>Graph_IntMed!$Q21</f>
        <v>536665.9741005844</v>
      </c>
      <c r="I436" s="160">
        <f>InputData!$C$3</f>
        <v>0.02</v>
      </c>
      <c r="J436" s="160">
        <f>InputData!$C$4</f>
        <v>0.01</v>
      </c>
      <c r="K436" s="160">
        <f>InputData!$C$5</f>
        <v>0.01</v>
      </c>
      <c r="L436" s="160">
        <f>InputData!$C$6</f>
        <v>6.2100000000000002E-2</v>
      </c>
      <c r="M436" s="160">
        <f>InputData!$C$7</f>
        <v>0.03</v>
      </c>
      <c r="N436" s="160">
        <f>InputData!$C$8</f>
        <v>0.02</v>
      </c>
      <c r="O436" s="160">
        <f>InputData!$C$9</f>
        <v>0.06</v>
      </c>
      <c r="P436" s="160">
        <f>InputData!$C$10</f>
        <v>0.02</v>
      </c>
      <c r="Q436" s="160">
        <f>InputData!$C$11</f>
        <v>0.02</v>
      </c>
      <c r="R436" s="160">
        <f>InputData!$C$12</f>
        <v>0.02</v>
      </c>
      <c r="S436" s="160">
        <f>InputData!$C$13</f>
        <v>0.9</v>
      </c>
      <c r="T436" s="116">
        <f>InputData!$C$88</f>
        <v>180000</v>
      </c>
      <c r="U436" s="116">
        <f>InputData!$C$81</f>
        <v>178500</v>
      </c>
      <c r="V436" s="116">
        <f>InputData!$C$82</f>
        <v>303960</v>
      </c>
      <c r="W436" s="116">
        <f>InputData!$C$84</f>
        <v>215220</v>
      </c>
      <c r="X436" s="116">
        <f>InputData!$C$85</f>
        <v>409020</v>
      </c>
      <c r="Y436" s="116">
        <f>InputData!$C$116</f>
        <v>140000</v>
      </c>
      <c r="Z436" s="160">
        <f>InputData!$E$13</f>
        <v>0</v>
      </c>
    </row>
    <row r="437" spans="1:26" x14ac:dyDescent="0.25">
      <c r="A437">
        <f>InputData!$K$1</f>
        <v>2013</v>
      </c>
      <c r="B437" t="str">
        <f>InputData!$G$1</f>
        <v>San Antonio, TX</v>
      </c>
      <c r="C437" t="s">
        <v>11</v>
      </c>
      <c r="D437" t="str">
        <f>Graph_IntMed!$Q$6</f>
        <v>PSLF</v>
      </c>
      <c r="E437" t="str">
        <f t="shared" si="6"/>
        <v>Internal Medicine PSLF</v>
      </c>
      <c r="F437">
        <f>Graph_IntMed!$A22</f>
        <v>2028</v>
      </c>
      <c r="G437">
        <f>Graph_IntMed!$B22</f>
        <v>16</v>
      </c>
      <c r="H437" s="165">
        <f>Graph_IntMed!$Q22</f>
        <v>606030.87359118427</v>
      </c>
      <c r="I437" s="160">
        <f>InputData!$C$3</f>
        <v>0.02</v>
      </c>
      <c r="J437" s="160">
        <f>InputData!$C$4</f>
        <v>0.01</v>
      </c>
      <c r="K437" s="160">
        <f>InputData!$C$5</f>
        <v>0.01</v>
      </c>
      <c r="L437" s="160">
        <f>InputData!$C$6</f>
        <v>6.2100000000000002E-2</v>
      </c>
      <c r="M437" s="160">
        <f>InputData!$C$7</f>
        <v>0.03</v>
      </c>
      <c r="N437" s="160">
        <f>InputData!$C$8</f>
        <v>0.02</v>
      </c>
      <c r="O437" s="160">
        <f>InputData!$C$9</f>
        <v>0.06</v>
      </c>
      <c r="P437" s="160">
        <f>InputData!$C$10</f>
        <v>0.02</v>
      </c>
      <c r="Q437" s="160">
        <f>InputData!$C$11</f>
        <v>0.02</v>
      </c>
      <c r="R437" s="160">
        <f>InputData!$C$12</f>
        <v>0.02</v>
      </c>
      <c r="S437" s="160">
        <f>InputData!$C$13</f>
        <v>0.9</v>
      </c>
      <c r="T437" s="116">
        <f>InputData!$C$88</f>
        <v>180000</v>
      </c>
      <c r="U437" s="116">
        <f>InputData!$C$81</f>
        <v>178500</v>
      </c>
      <c r="V437" s="116">
        <f>InputData!$C$82</f>
        <v>303960</v>
      </c>
      <c r="W437" s="116">
        <f>InputData!$C$84</f>
        <v>215220</v>
      </c>
      <c r="X437" s="116">
        <f>InputData!$C$85</f>
        <v>409020</v>
      </c>
      <c r="Y437" s="116">
        <f>InputData!$C$116</f>
        <v>140000</v>
      </c>
      <c r="Z437" s="160">
        <f>InputData!$E$13</f>
        <v>0</v>
      </c>
    </row>
    <row r="438" spans="1:26" x14ac:dyDescent="0.25">
      <c r="A438">
        <f>InputData!$K$1</f>
        <v>2013</v>
      </c>
      <c r="B438" t="str">
        <f>InputData!$G$1</f>
        <v>San Antonio, TX</v>
      </c>
      <c r="C438" t="s">
        <v>11</v>
      </c>
      <c r="D438" t="str">
        <f>Graph_IntMed!$Q$6</f>
        <v>PSLF</v>
      </c>
      <c r="E438" t="str">
        <f t="shared" si="6"/>
        <v>Internal Medicine PSLF</v>
      </c>
      <c r="F438">
        <f>Graph_IntMed!$A23</f>
        <v>2029</v>
      </c>
      <c r="G438">
        <f>Graph_IntMed!$B23</f>
        <v>17</v>
      </c>
      <c r="H438" s="165">
        <f>Graph_IntMed!$Q23</f>
        <v>672847.30892490898</v>
      </c>
      <c r="I438" s="160">
        <f>InputData!$C$3</f>
        <v>0.02</v>
      </c>
      <c r="J438" s="160">
        <f>InputData!$C$4</f>
        <v>0.01</v>
      </c>
      <c r="K438" s="160">
        <f>InputData!$C$5</f>
        <v>0.01</v>
      </c>
      <c r="L438" s="160">
        <f>InputData!$C$6</f>
        <v>6.2100000000000002E-2</v>
      </c>
      <c r="M438" s="160">
        <f>InputData!$C$7</f>
        <v>0.03</v>
      </c>
      <c r="N438" s="160">
        <f>InputData!$C$8</f>
        <v>0.02</v>
      </c>
      <c r="O438" s="160">
        <f>InputData!$C$9</f>
        <v>0.06</v>
      </c>
      <c r="P438" s="160">
        <f>InputData!$C$10</f>
        <v>0.02</v>
      </c>
      <c r="Q438" s="160">
        <f>InputData!$C$11</f>
        <v>0.02</v>
      </c>
      <c r="R438" s="160">
        <f>InputData!$C$12</f>
        <v>0.02</v>
      </c>
      <c r="S438" s="160">
        <f>InputData!$C$13</f>
        <v>0.9</v>
      </c>
      <c r="T438" s="116">
        <f>InputData!$C$88</f>
        <v>180000</v>
      </c>
      <c r="U438" s="116">
        <f>InputData!$C$81</f>
        <v>178500</v>
      </c>
      <c r="V438" s="116">
        <f>InputData!$C$82</f>
        <v>303960</v>
      </c>
      <c r="W438" s="116">
        <f>InputData!$C$84</f>
        <v>215220</v>
      </c>
      <c r="X438" s="116">
        <f>InputData!$C$85</f>
        <v>409020</v>
      </c>
      <c r="Y438" s="116">
        <f>InputData!$C$116</f>
        <v>140000</v>
      </c>
      <c r="Z438" s="160">
        <f>InputData!$E$13</f>
        <v>0</v>
      </c>
    </row>
    <row r="439" spans="1:26" x14ac:dyDescent="0.25">
      <c r="A439">
        <f>InputData!$K$1</f>
        <v>2013</v>
      </c>
      <c r="B439" t="str">
        <f>InputData!$G$1</f>
        <v>San Antonio, TX</v>
      </c>
      <c r="C439" t="s">
        <v>11</v>
      </c>
      <c r="D439" t="str">
        <f>Graph_IntMed!$Q$6</f>
        <v>PSLF</v>
      </c>
      <c r="E439" t="str">
        <f t="shared" si="6"/>
        <v>Internal Medicine PSLF</v>
      </c>
      <c r="F439">
        <f>Graph_IntMed!$A24</f>
        <v>2030</v>
      </c>
      <c r="G439">
        <f>Graph_IntMed!$B24</f>
        <v>18</v>
      </c>
      <c r="H439" s="165">
        <f>Graph_IntMed!$Q24</f>
        <v>749272.26483350236</v>
      </c>
      <c r="I439" s="160">
        <f>InputData!$C$3</f>
        <v>0.02</v>
      </c>
      <c r="J439" s="160">
        <f>InputData!$C$4</f>
        <v>0.01</v>
      </c>
      <c r="K439" s="160">
        <f>InputData!$C$5</f>
        <v>0.01</v>
      </c>
      <c r="L439" s="160">
        <f>InputData!$C$6</f>
        <v>6.2100000000000002E-2</v>
      </c>
      <c r="M439" s="160">
        <f>InputData!$C$7</f>
        <v>0.03</v>
      </c>
      <c r="N439" s="160">
        <f>InputData!$C$8</f>
        <v>0.02</v>
      </c>
      <c r="O439" s="160">
        <f>InputData!$C$9</f>
        <v>0.06</v>
      </c>
      <c r="P439" s="160">
        <f>InputData!$C$10</f>
        <v>0.02</v>
      </c>
      <c r="Q439" s="160">
        <f>InputData!$C$11</f>
        <v>0.02</v>
      </c>
      <c r="R439" s="160">
        <f>InputData!$C$12</f>
        <v>0.02</v>
      </c>
      <c r="S439" s="160">
        <f>InputData!$C$13</f>
        <v>0.9</v>
      </c>
      <c r="T439" s="116">
        <f>InputData!$C$88</f>
        <v>180000</v>
      </c>
      <c r="U439" s="116">
        <f>InputData!$C$81</f>
        <v>178500</v>
      </c>
      <c r="V439" s="116">
        <f>InputData!$C$82</f>
        <v>303960</v>
      </c>
      <c r="W439" s="116">
        <f>InputData!$C$84</f>
        <v>215220</v>
      </c>
      <c r="X439" s="116">
        <f>InputData!$C$85</f>
        <v>409020</v>
      </c>
      <c r="Y439" s="116">
        <f>InputData!$C$116</f>
        <v>140000</v>
      </c>
      <c r="Z439" s="160">
        <f>InputData!$E$13</f>
        <v>0</v>
      </c>
    </row>
    <row r="440" spans="1:26" x14ac:dyDescent="0.25">
      <c r="A440">
        <f>InputData!$K$1</f>
        <v>2013</v>
      </c>
      <c r="B440" t="str">
        <f>InputData!$G$1</f>
        <v>San Antonio, TX</v>
      </c>
      <c r="C440" t="s">
        <v>11</v>
      </c>
      <c r="D440" t="str">
        <f>Graph_IntMed!$Q$6</f>
        <v>PSLF</v>
      </c>
      <c r="E440" t="str">
        <f t="shared" si="6"/>
        <v>Internal Medicine PSLF</v>
      </c>
      <c r="F440">
        <f>Graph_IntMed!$A25</f>
        <v>2031</v>
      </c>
      <c r="G440">
        <f>Graph_IntMed!$B25</f>
        <v>19</v>
      </c>
      <c r="H440" s="165">
        <f>Graph_IntMed!$Q25</f>
        <v>824190.82945734379</v>
      </c>
      <c r="I440" s="160">
        <f>InputData!$C$3</f>
        <v>0.02</v>
      </c>
      <c r="J440" s="160">
        <f>InputData!$C$4</f>
        <v>0.01</v>
      </c>
      <c r="K440" s="160">
        <f>InputData!$C$5</f>
        <v>0.01</v>
      </c>
      <c r="L440" s="160">
        <f>InputData!$C$6</f>
        <v>6.2100000000000002E-2</v>
      </c>
      <c r="M440" s="160">
        <f>InputData!$C$7</f>
        <v>0.03</v>
      </c>
      <c r="N440" s="160">
        <f>InputData!$C$8</f>
        <v>0.02</v>
      </c>
      <c r="O440" s="160">
        <f>InputData!$C$9</f>
        <v>0.06</v>
      </c>
      <c r="P440" s="160">
        <f>InputData!$C$10</f>
        <v>0.02</v>
      </c>
      <c r="Q440" s="160">
        <f>InputData!$C$11</f>
        <v>0.02</v>
      </c>
      <c r="R440" s="160">
        <f>InputData!$C$12</f>
        <v>0.02</v>
      </c>
      <c r="S440" s="160">
        <f>InputData!$C$13</f>
        <v>0.9</v>
      </c>
      <c r="T440" s="116">
        <f>InputData!$C$88</f>
        <v>180000</v>
      </c>
      <c r="U440" s="116">
        <f>InputData!$C$81</f>
        <v>178500</v>
      </c>
      <c r="V440" s="116">
        <f>InputData!$C$82</f>
        <v>303960</v>
      </c>
      <c r="W440" s="116">
        <f>InputData!$C$84</f>
        <v>215220</v>
      </c>
      <c r="X440" s="116">
        <f>InputData!$C$85</f>
        <v>409020</v>
      </c>
      <c r="Y440" s="116">
        <f>InputData!$C$116</f>
        <v>140000</v>
      </c>
      <c r="Z440" s="160">
        <f>InputData!$E$13</f>
        <v>0</v>
      </c>
    </row>
    <row r="441" spans="1:26" x14ac:dyDescent="0.25">
      <c r="A441">
        <f>InputData!$K$1</f>
        <v>2013</v>
      </c>
      <c r="B441" t="str">
        <f>InputData!$G$1</f>
        <v>San Antonio, TX</v>
      </c>
      <c r="C441" t="s">
        <v>11</v>
      </c>
      <c r="D441" t="str">
        <f>Graph_IntMed!$Q$6</f>
        <v>PSLF</v>
      </c>
      <c r="E441" t="str">
        <f t="shared" si="6"/>
        <v>Internal Medicine PSLF</v>
      </c>
      <c r="F441">
        <f>Graph_IntMed!$A26</f>
        <v>2032</v>
      </c>
      <c r="G441">
        <f>Graph_IntMed!$B26</f>
        <v>20</v>
      </c>
      <c r="H441" s="165">
        <f>Graph_IntMed!$Q26</f>
        <v>897632.76889222057</v>
      </c>
      <c r="I441" s="160">
        <f>InputData!$C$3</f>
        <v>0.02</v>
      </c>
      <c r="J441" s="160">
        <f>InputData!$C$4</f>
        <v>0.01</v>
      </c>
      <c r="K441" s="160">
        <f>InputData!$C$5</f>
        <v>0.01</v>
      </c>
      <c r="L441" s="160">
        <f>InputData!$C$6</f>
        <v>6.2100000000000002E-2</v>
      </c>
      <c r="M441" s="160">
        <f>InputData!$C$7</f>
        <v>0.03</v>
      </c>
      <c r="N441" s="160">
        <f>InputData!$C$8</f>
        <v>0.02</v>
      </c>
      <c r="O441" s="160">
        <f>InputData!$C$9</f>
        <v>0.06</v>
      </c>
      <c r="P441" s="160">
        <f>InputData!$C$10</f>
        <v>0.02</v>
      </c>
      <c r="Q441" s="160">
        <f>InputData!$C$11</f>
        <v>0.02</v>
      </c>
      <c r="R441" s="160">
        <f>InputData!$C$12</f>
        <v>0.02</v>
      </c>
      <c r="S441" s="160">
        <f>InputData!$C$13</f>
        <v>0.9</v>
      </c>
      <c r="T441" s="116">
        <f>InputData!$C$88</f>
        <v>180000</v>
      </c>
      <c r="U441" s="116">
        <f>InputData!$C$81</f>
        <v>178500</v>
      </c>
      <c r="V441" s="116">
        <f>InputData!$C$82</f>
        <v>303960</v>
      </c>
      <c r="W441" s="116">
        <f>InputData!$C$84</f>
        <v>215220</v>
      </c>
      <c r="X441" s="116">
        <f>InputData!$C$85</f>
        <v>409020</v>
      </c>
      <c r="Y441" s="116">
        <f>InputData!$C$116</f>
        <v>140000</v>
      </c>
      <c r="Z441" s="160">
        <f>InputData!$E$13</f>
        <v>0</v>
      </c>
    </row>
    <row r="442" spans="1:26" x14ac:dyDescent="0.25">
      <c r="A442">
        <f>InputData!$K$1</f>
        <v>2013</v>
      </c>
      <c r="B442" t="str">
        <f>InputData!$G$1</f>
        <v>San Antonio, TX</v>
      </c>
      <c r="C442" t="s">
        <v>11</v>
      </c>
      <c r="D442" t="str">
        <f>Graph_IntMed!$Q$6</f>
        <v>PSLF</v>
      </c>
      <c r="E442" t="str">
        <f t="shared" si="6"/>
        <v>Internal Medicine PSLF</v>
      </c>
      <c r="F442">
        <f>Graph_IntMed!$A27</f>
        <v>2033</v>
      </c>
      <c r="G442">
        <f>Graph_IntMed!$B27</f>
        <v>21</v>
      </c>
      <c r="H442" s="165">
        <f>Graph_IntMed!$Q27</f>
        <v>969627.25891473726</v>
      </c>
      <c r="I442" s="160">
        <f>InputData!$C$3</f>
        <v>0.02</v>
      </c>
      <c r="J442" s="160">
        <f>InputData!$C$4</f>
        <v>0.01</v>
      </c>
      <c r="K442" s="160">
        <f>InputData!$C$5</f>
        <v>0.01</v>
      </c>
      <c r="L442" s="160">
        <f>InputData!$C$6</f>
        <v>6.2100000000000002E-2</v>
      </c>
      <c r="M442" s="160">
        <f>InputData!$C$7</f>
        <v>0.03</v>
      </c>
      <c r="N442" s="160">
        <f>InputData!$C$8</f>
        <v>0.02</v>
      </c>
      <c r="O442" s="160">
        <f>InputData!$C$9</f>
        <v>0.06</v>
      </c>
      <c r="P442" s="160">
        <f>InputData!$C$10</f>
        <v>0.02</v>
      </c>
      <c r="Q442" s="160">
        <f>InputData!$C$11</f>
        <v>0.02</v>
      </c>
      <c r="R442" s="160">
        <f>InputData!$C$12</f>
        <v>0.02</v>
      </c>
      <c r="S442" s="160">
        <f>InputData!$C$13</f>
        <v>0.9</v>
      </c>
      <c r="T442" s="116">
        <f>InputData!$C$88</f>
        <v>180000</v>
      </c>
      <c r="U442" s="116">
        <f>InputData!$C$81</f>
        <v>178500</v>
      </c>
      <c r="V442" s="116">
        <f>InputData!$C$82</f>
        <v>303960</v>
      </c>
      <c r="W442" s="116">
        <f>InputData!$C$84</f>
        <v>215220</v>
      </c>
      <c r="X442" s="116">
        <f>InputData!$C$85</f>
        <v>409020</v>
      </c>
      <c r="Y442" s="116">
        <f>InputData!$C$116</f>
        <v>140000</v>
      </c>
      <c r="Z442" s="160">
        <f>InputData!$E$13</f>
        <v>0</v>
      </c>
    </row>
    <row r="443" spans="1:26" x14ac:dyDescent="0.25">
      <c r="A443">
        <f>InputData!$K$1</f>
        <v>2013</v>
      </c>
      <c r="B443" t="str">
        <f>InputData!$G$1</f>
        <v>San Antonio, TX</v>
      </c>
      <c r="C443" t="s">
        <v>11</v>
      </c>
      <c r="D443" t="str">
        <f>Graph_IntMed!$Q$6</f>
        <v>PSLF</v>
      </c>
      <c r="E443" t="str">
        <f t="shared" si="6"/>
        <v>Internal Medicine PSLF</v>
      </c>
      <c r="F443">
        <f>Graph_IntMed!$A28</f>
        <v>2034</v>
      </c>
      <c r="G443">
        <f>Graph_IntMed!$B28</f>
        <v>22</v>
      </c>
      <c r="H443" s="165">
        <f>Graph_IntMed!$Q28</f>
        <v>1040202.8967514804</v>
      </c>
      <c r="I443" s="160">
        <f>InputData!$C$3</f>
        <v>0.02</v>
      </c>
      <c r="J443" s="160">
        <f>InputData!$C$4</f>
        <v>0.01</v>
      </c>
      <c r="K443" s="160">
        <f>InputData!$C$5</f>
        <v>0.01</v>
      </c>
      <c r="L443" s="160">
        <f>InputData!$C$6</f>
        <v>6.2100000000000002E-2</v>
      </c>
      <c r="M443" s="160">
        <f>InputData!$C$7</f>
        <v>0.03</v>
      </c>
      <c r="N443" s="160">
        <f>InputData!$C$8</f>
        <v>0.02</v>
      </c>
      <c r="O443" s="160">
        <f>InputData!$C$9</f>
        <v>0.06</v>
      </c>
      <c r="P443" s="160">
        <f>InputData!$C$10</f>
        <v>0.02</v>
      </c>
      <c r="Q443" s="160">
        <f>InputData!$C$11</f>
        <v>0.02</v>
      </c>
      <c r="R443" s="160">
        <f>InputData!$C$12</f>
        <v>0.02</v>
      </c>
      <c r="S443" s="160">
        <f>InputData!$C$13</f>
        <v>0.9</v>
      </c>
      <c r="T443" s="116">
        <f>InputData!$C$88</f>
        <v>180000</v>
      </c>
      <c r="U443" s="116">
        <f>InputData!$C$81</f>
        <v>178500</v>
      </c>
      <c r="V443" s="116">
        <f>InputData!$C$82</f>
        <v>303960</v>
      </c>
      <c r="W443" s="116">
        <f>InputData!$C$84</f>
        <v>215220</v>
      </c>
      <c r="X443" s="116">
        <f>InputData!$C$85</f>
        <v>409020</v>
      </c>
      <c r="Y443" s="116">
        <f>InputData!$C$116</f>
        <v>140000</v>
      </c>
      <c r="Z443" s="160">
        <f>InputData!$E$13</f>
        <v>0</v>
      </c>
    </row>
    <row r="444" spans="1:26" x14ac:dyDescent="0.25">
      <c r="A444">
        <f>InputData!$K$1</f>
        <v>2013</v>
      </c>
      <c r="B444" t="str">
        <f>InputData!$G$1</f>
        <v>San Antonio, TX</v>
      </c>
      <c r="C444" t="s">
        <v>11</v>
      </c>
      <c r="D444" t="str">
        <f>Graph_IntMed!$Q$6</f>
        <v>PSLF</v>
      </c>
      <c r="E444" t="str">
        <f t="shared" si="6"/>
        <v>Internal Medicine PSLF</v>
      </c>
      <c r="F444">
        <f>Graph_IntMed!$A29</f>
        <v>2035</v>
      </c>
      <c r="G444">
        <f>Graph_IntMed!$B29</f>
        <v>23</v>
      </c>
      <c r="H444" s="165">
        <f>Graph_IntMed!$Q29</f>
        <v>1109387.7126117572</v>
      </c>
      <c r="I444" s="160">
        <f>InputData!$C$3</f>
        <v>0.02</v>
      </c>
      <c r="J444" s="160">
        <f>InputData!$C$4</f>
        <v>0.01</v>
      </c>
      <c r="K444" s="160">
        <f>InputData!$C$5</f>
        <v>0.01</v>
      </c>
      <c r="L444" s="160">
        <f>InputData!$C$6</f>
        <v>6.2100000000000002E-2</v>
      </c>
      <c r="M444" s="160">
        <f>InputData!$C$7</f>
        <v>0.03</v>
      </c>
      <c r="N444" s="160">
        <f>InputData!$C$8</f>
        <v>0.02</v>
      </c>
      <c r="O444" s="160">
        <f>InputData!$C$9</f>
        <v>0.06</v>
      </c>
      <c r="P444" s="160">
        <f>InputData!$C$10</f>
        <v>0.02</v>
      </c>
      <c r="Q444" s="160">
        <f>InputData!$C$11</f>
        <v>0.02</v>
      </c>
      <c r="R444" s="160">
        <f>InputData!$C$12</f>
        <v>0.02</v>
      </c>
      <c r="S444" s="160">
        <f>InputData!$C$13</f>
        <v>0.9</v>
      </c>
      <c r="T444" s="116">
        <f>InputData!$C$88</f>
        <v>180000</v>
      </c>
      <c r="U444" s="116">
        <f>InputData!$C$81</f>
        <v>178500</v>
      </c>
      <c r="V444" s="116">
        <f>InputData!$C$82</f>
        <v>303960</v>
      </c>
      <c r="W444" s="116">
        <f>InputData!$C$84</f>
        <v>215220</v>
      </c>
      <c r="X444" s="116">
        <f>InputData!$C$85</f>
        <v>409020</v>
      </c>
      <c r="Y444" s="116">
        <f>InputData!$C$116</f>
        <v>140000</v>
      </c>
      <c r="Z444" s="160">
        <f>InputData!$E$13</f>
        <v>0</v>
      </c>
    </row>
    <row r="445" spans="1:26" x14ac:dyDescent="0.25">
      <c r="A445">
        <f>InputData!$K$1</f>
        <v>2013</v>
      </c>
      <c r="B445" t="str">
        <f>InputData!$G$1</f>
        <v>San Antonio, TX</v>
      </c>
      <c r="C445" t="s">
        <v>11</v>
      </c>
      <c r="D445" t="str">
        <f>Graph_IntMed!$Q$6</f>
        <v>PSLF</v>
      </c>
      <c r="E445" t="str">
        <f t="shared" si="6"/>
        <v>Internal Medicine PSLF</v>
      </c>
      <c r="F445">
        <f>Graph_IntMed!$A30</f>
        <v>2036</v>
      </c>
      <c r="G445">
        <f>Graph_IntMed!$B30</f>
        <v>24</v>
      </c>
      <c r="H445" s="165">
        <f>Graph_IntMed!$Q30</f>
        <v>1177209.1809887078</v>
      </c>
      <c r="I445" s="160">
        <f>InputData!$C$3</f>
        <v>0.02</v>
      </c>
      <c r="J445" s="160">
        <f>InputData!$C$4</f>
        <v>0.01</v>
      </c>
      <c r="K445" s="160">
        <f>InputData!$C$5</f>
        <v>0.01</v>
      </c>
      <c r="L445" s="160">
        <f>InputData!$C$6</f>
        <v>6.2100000000000002E-2</v>
      </c>
      <c r="M445" s="160">
        <f>InputData!$C$7</f>
        <v>0.03</v>
      </c>
      <c r="N445" s="160">
        <f>InputData!$C$8</f>
        <v>0.02</v>
      </c>
      <c r="O445" s="160">
        <f>InputData!$C$9</f>
        <v>0.06</v>
      </c>
      <c r="P445" s="160">
        <f>InputData!$C$10</f>
        <v>0.02</v>
      </c>
      <c r="Q445" s="160">
        <f>InputData!$C$11</f>
        <v>0.02</v>
      </c>
      <c r="R445" s="160">
        <f>InputData!$C$12</f>
        <v>0.02</v>
      </c>
      <c r="S445" s="160">
        <f>InputData!$C$13</f>
        <v>0.9</v>
      </c>
      <c r="T445" s="116">
        <f>InputData!$C$88</f>
        <v>180000</v>
      </c>
      <c r="U445" s="116">
        <f>InputData!$C$81</f>
        <v>178500</v>
      </c>
      <c r="V445" s="116">
        <f>InputData!$C$82</f>
        <v>303960</v>
      </c>
      <c r="W445" s="116">
        <f>InputData!$C$84</f>
        <v>215220</v>
      </c>
      <c r="X445" s="116">
        <f>InputData!$C$85</f>
        <v>409020</v>
      </c>
      <c r="Y445" s="116">
        <f>InputData!$C$116</f>
        <v>140000</v>
      </c>
      <c r="Z445" s="160">
        <f>InputData!$E$13</f>
        <v>0</v>
      </c>
    </row>
    <row r="446" spans="1:26" x14ac:dyDescent="0.25">
      <c r="A446">
        <f>InputData!$K$1</f>
        <v>2013</v>
      </c>
      <c r="B446" t="str">
        <f>InputData!$G$1</f>
        <v>San Antonio, TX</v>
      </c>
      <c r="C446" t="s">
        <v>11</v>
      </c>
      <c r="D446" t="str">
        <f>Graph_IntMed!$Q$6</f>
        <v>PSLF</v>
      </c>
      <c r="E446" t="str">
        <f t="shared" si="6"/>
        <v>Internal Medicine PSLF</v>
      </c>
      <c r="F446">
        <f>Graph_IntMed!$A31</f>
        <v>2037</v>
      </c>
      <c r="G446">
        <f>Graph_IntMed!$B31</f>
        <v>25</v>
      </c>
      <c r="H446" s="165">
        <f>Graph_IntMed!$Q31</f>
        <v>1243687.3061599014</v>
      </c>
      <c r="I446" s="160">
        <f>InputData!$C$3</f>
        <v>0.02</v>
      </c>
      <c r="J446" s="160">
        <f>InputData!$C$4</f>
        <v>0.01</v>
      </c>
      <c r="K446" s="160">
        <f>InputData!$C$5</f>
        <v>0.01</v>
      </c>
      <c r="L446" s="160">
        <f>InputData!$C$6</f>
        <v>6.2100000000000002E-2</v>
      </c>
      <c r="M446" s="160">
        <f>InputData!$C$7</f>
        <v>0.03</v>
      </c>
      <c r="N446" s="160">
        <f>InputData!$C$8</f>
        <v>0.02</v>
      </c>
      <c r="O446" s="160">
        <f>InputData!$C$9</f>
        <v>0.06</v>
      </c>
      <c r="P446" s="160">
        <f>InputData!$C$10</f>
        <v>0.02</v>
      </c>
      <c r="Q446" s="160">
        <f>InputData!$C$11</f>
        <v>0.02</v>
      </c>
      <c r="R446" s="160">
        <f>InputData!$C$12</f>
        <v>0.02</v>
      </c>
      <c r="S446" s="160">
        <f>InputData!$C$13</f>
        <v>0.9</v>
      </c>
      <c r="T446" s="116">
        <f>InputData!$C$88</f>
        <v>180000</v>
      </c>
      <c r="U446" s="116">
        <f>InputData!$C$81</f>
        <v>178500</v>
      </c>
      <c r="V446" s="116">
        <f>InputData!$C$82</f>
        <v>303960</v>
      </c>
      <c r="W446" s="116">
        <f>InputData!$C$84</f>
        <v>215220</v>
      </c>
      <c r="X446" s="116">
        <f>InputData!$C$85</f>
        <v>409020</v>
      </c>
      <c r="Y446" s="116">
        <f>InputData!$C$116</f>
        <v>140000</v>
      </c>
      <c r="Z446" s="160">
        <f>InputData!$E$13</f>
        <v>0</v>
      </c>
    </row>
    <row r="447" spans="1:26" x14ac:dyDescent="0.25">
      <c r="A447">
        <f>InputData!$K$1</f>
        <v>2013</v>
      </c>
      <c r="B447" t="str">
        <f>InputData!$G$1</f>
        <v>San Antonio, TX</v>
      </c>
      <c r="C447" t="s">
        <v>11</v>
      </c>
      <c r="D447" t="str">
        <f>Graph_IntMed!$Q$6</f>
        <v>PSLF</v>
      </c>
      <c r="E447" t="str">
        <f t="shared" si="6"/>
        <v>Internal Medicine PSLF</v>
      </c>
      <c r="F447">
        <f>Graph_IntMed!$A32</f>
        <v>2038</v>
      </c>
      <c r="G447">
        <f>Graph_IntMed!$B32</f>
        <v>26</v>
      </c>
      <c r="H447" s="165">
        <f>Graph_IntMed!$Q32</f>
        <v>1308811.2148621404</v>
      </c>
      <c r="I447" s="160">
        <f>InputData!$C$3</f>
        <v>0.02</v>
      </c>
      <c r="J447" s="160">
        <f>InputData!$C$4</f>
        <v>0.01</v>
      </c>
      <c r="K447" s="160">
        <f>InputData!$C$5</f>
        <v>0.01</v>
      </c>
      <c r="L447" s="160">
        <f>InputData!$C$6</f>
        <v>6.2100000000000002E-2</v>
      </c>
      <c r="M447" s="160">
        <f>InputData!$C$7</f>
        <v>0.03</v>
      </c>
      <c r="N447" s="160">
        <f>InputData!$C$8</f>
        <v>0.02</v>
      </c>
      <c r="O447" s="160">
        <f>InputData!$C$9</f>
        <v>0.06</v>
      </c>
      <c r="P447" s="160">
        <f>InputData!$C$10</f>
        <v>0.02</v>
      </c>
      <c r="Q447" s="160">
        <f>InputData!$C$11</f>
        <v>0.02</v>
      </c>
      <c r="R447" s="160">
        <f>InputData!$C$12</f>
        <v>0.02</v>
      </c>
      <c r="S447" s="160">
        <f>InputData!$C$13</f>
        <v>0.9</v>
      </c>
      <c r="T447" s="116">
        <f>InputData!$C$88</f>
        <v>180000</v>
      </c>
      <c r="U447" s="116">
        <f>InputData!$C$81</f>
        <v>178500</v>
      </c>
      <c r="V447" s="116">
        <f>InputData!$C$82</f>
        <v>303960</v>
      </c>
      <c r="W447" s="116">
        <f>InputData!$C$84</f>
        <v>215220</v>
      </c>
      <c r="X447" s="116">
        <f>InputData!$C$85</f>
        <v>409020</v>
      </c>
      <c r="Y447" s="116">
        <f>InputData!$C$116</f>
        <v>140000</v>
      </c>
      <c r="Z447" s="160">
        <f>InputData!$E$13</f>
        <v>0</v>
      </c>
    </row>
    <row r="448" spans="1:26" x14ac:dyDescent="0.25">
      <c r="A448">
        <f>InputData!$K$1</f>
        <v>2013</v>
      </c>
      <c r="B448" t="str">
        <f>InputData!$G$1</f>
        <v>San Antonio, TX</v>
      </c>
      <c r="C448" t="s">
        <v>11</v>
      </c>
      <c r="D448" t="str">
        <f>Graph_IntMed!$Q$6</f>
        <v>PSLF</v>
      </c>
      <c r="E448" t="str">
        <f t="shared" si="6"/>
        <v>Internal Medicine PSLF</v>
      </c>
      <c r="F448">
        <f>Graph_IntMed!$A33</f>
        <v>2039</v>
      </c>
      <c r="G448">
        <f>Graph_IntMed!$B33</f>
        <v>27</v>
      </c>
      <c r="H448" s="165">
        <f>Graph_IntMed!$Q33</f>
        <v>1372608.9377522951</v>
      </c>
      <c r="I448" s="160">
        <f>InputData!$C$3</f>
        <v>0.02</v>
      </c>
      <c r="J448" s="160">
        <f>InputData!$C$4</f>
        <v>0.01</v>
      </c>
      <c r="K448" s="160">
        <f>InputData!$C$5</f>
        <v>0.01</v>
      </c>
      <c r="L448" s="160">
        <f>InputData!$C$6</f>
        <v>6.2100000000000002E-2</v>
      </c>
      <c r="M448" s="160">
        <f>InputData!$C$7</f>
        <v>0.03</v>
      </c>
      <c r="N448" s="160">
        <f>InputData!$C$8</f>
        <v>0.02</v>
      </c>
      <c r="O448" s="160">
        <f>InputData!$C$9</f>
        <v>0.06</v>
      </c>
      <c r="P448" s="160">
        <f>InputData!$C$10</f>
        <v>0.02</v>
      </c>
      <c r="Q448" s="160">
        <f>InputData!$C$11</f>
        <v>0.02</v>
      </c>
      <c r="R448" s="160">
        <f>InputData!$C$12</f>
        <v>0.02</v>
      </c>
      <c r="S448" s="160">
        <f>InputData!$C$13</f>
        <v>0.9</v>
      </c>
      <c r="T448" s="116">
        <f>InputData!$C$88</f>
        <v>180000</v>
      </c>
      <c r="U448" s="116">
        <f>InputData!$C$81</f>
        <v>178500</v>
      </c>
      <c r="V448" s="116">
        <f>InputData!$C$82</f>
        <v>303960</v>
      </c>
      <c r="W448" s="116">
        <f>InputData!$C$84</f>
        <v>215220</v>
      </c>
      <c r="X448" s="116">
        <f>InputData!$C$85</f>
        <v>409020</v>
      </c>
      <c r="Y448" s="116">
        <f>InputData!$C$116</f>
        <v>140000</v>
      </c>
      <c r="Z448" s="160">
        <f>InputData!$E$13</f>
        <v>0</v>
      </c>
    </row>
    <row r="449" spans="1:26" x14ac:dyDescent="0.25">
      <c r="A449">
        <f>InputData!$K$1</f>
        <v>2013</v>
      </c>
      <c r="B449" t="str">
        <f>InputData!$G$1</f>
        <v>San Antonio, TX</v>
      </c>
      <c r="C449" t="s">
        <v>11</v>
      </c>
      <c r="D449" t="str">
        <f>Graph_IntMed!$Q$6</f>
        <v>PSLF</v>
      </c>
      <c r="E449" t="str">
        <f t="shared" si="6"/>
        <v>Internal Medicine PSLF</v>
      </c>
      <c r="F449">
        <f>Graph_IntMed!$A34</f>
        <v>2040</v>
      </c>
      <c r="G449">
        <f>Graph_IntMed!$B34</f>
        <v>28</v>
      </c>
      <c r="H449" s="165">
        <f>Graph_IntMed!$Q34</f>
        <v>1435107.912835655</v>
      </c>
      <c r="I449" s="160">
        <f>InputData!$C$3</f>
        <v>0.02</v>
      </c>
      <c r="J449" s="160">
        <f>InputData!$C$4</f>
        <v>0.01</v>
      </c>
      <c r="K449" s="160">
        <f>InputData!$C$5</f>
        <v>0.01</v>
      </c>
      <c r="L449" s="160">
        <f>InputData!$C$6</f>
        <v>6.2100000000000002E-2</v>
      </c>
      <c r="M449" s="160">
        <f>InputData!$C$7</f>
        <v>0.03</v>
      </c>
      <c r="N449" s="160">
        <f>InputData!$C$8</f>
        <v>0.02</v>
      </c>
      <c r="O449" s="160">
        <f>InputData!$C$9</f>
        <v>0.06</v>
      </c>
      <c r="P449" s="160">
        <f>InputData!$C$10</f>
        <v>0.02</v>
      </c>
      <c r="Q449" s="160">
        <f>InputData!$C$11</f>
        <v>0.02</v>
      </c>
      <c r="R449" s="160">
        <f>InputData!$C$12</f>
        <v>0.02</v>
      </c>
      <c r="S449" s="160">
        <f>InputData!$C$13</f>
        <v>0.9</v>
      </c>
      <c r="T449" s="116">
        <f>InputData!$C$88</f>
        <v>180000</v>
      </c>
      <c r="U449" s="116">
        <f>InputData!$C$81</f>
        <v>178500</v>
      </c>
      <c r="V449" s="116">
        <f>InputData!$C$82</f>
        <v>303960</v>
      </c>
      <c r="W449" s="116">
        <f>InputData!$C$84</f>
        <v>215220</v>
      </c>
      <c r="X449" s="116">
        <f>InputData!$C$85</f>
        <v>409020</v>
      </c>
      <c r="Y449" s="116">
        <f>InputData!$C$116</f>
        <v>140000</v>
      </c>
      <c r="Z449" s="160">
        <f>InputData!$E$13</f>
        <v>0</v>
      </c>
    </row>
    <row r="450" spans="1:26" x14ac:dyDescent="0.25">
      <c r="A450">
        <f>InputData!$K$1</f>
        <v>2013</v>
      </c>
      <c r="B450" t="str">
        <f>InputData!$G$1</f>
        <v>San Antonio, TX</v>
      </c>
      <c r="C450" t="s">
        <v>11</v>
      </c>
      <c r="D450" t="str">
        <f>Graph_IntMed!$Q$6</f>
        <v>PSLF</v>
      </c>
      <c r="E450" t="str">
        <f t="shared" si="6"/>
        <v>Internal Medicine PSLF</v>
      </c>
      <c r="F450">
        <f>Graph_IntMed!$A35</f>
        <v>2041</v>
      </c>
      <c r="G450">
        <f>Graph_IntMed!$B35</f>
        <v>29</v>
      </c>
      <c r="H450" s="165">
        <f>Graph_IntMed!$Q35</f>
        <v>1496334.9983398747</v>
      </c>
      <c r="I450" s="160">
        <f>InputData!$C$3</f>
        <v>0.02</v>
      </c>
      <c r="J450" s="160">
        <f>InputData!$C$4</f>
        <v>0.01</v>
      </c>
      <c r="K450" s="160">
        <f>InputData!$C$5</f>
        <v>0.01</v>
      </c>
      <c r="L450" s="160">
        <f>InputData!$C$6</f>
        <v>6.2100000000000002E-2</v>
      </c>
      <c r="M450" s="160">
        <f>InputData!$C$7</f>
        <v>0.03</v>
      </c>
      <c r="N450" s="160">
        <f>InputData!$C$8</f>
        <v>0.02</v>
      </c>
      <c r="O450" s="160">
        <f>InputData!$C$9</f>
        <v>0.06</v>
      </c>
      <c r="P450" s="160">
        <f>InputData!$C$10</f>
        <v>0.02</v>
      </c>
      <c r="Q450" s="160">
        <f>InputData!$C$11</f>
        <v>0.02</v>
      </c>
      <c r="R450" s="160">
        <f>InputData!$C$12</f>
        <v>0.02</v>
      </c>
      <c r="S450" s="160">
        <f>InputData!$C$13</f>
        <v>0.9</v>
      </c>
      <c r="T450" s="116">
        <f>InputData!$C$88</f>
        <v>180000</v>
      </c>
      <c r="U450" s="116">
        <f>InputData!$C$81</f>
        <v>178500</v>
      </c>
      <c r="V450" s="116">
        <f>InputData!$C$82</f>
        <v>303960</v>
      </c>
      <c r="W450" s="116">
        <f>InputData!$C$84</f>
        <v>215220</v>
      </c>
      <c r="X450" s="116">
        <f>InputData!$C$85</f>
        <v>409020</v>
      </c>
      <c r="Y450" s="116">
        <f>InputData!$C$116</f>
        <v>140000</v>
      </c>
      <c r="Z450" s="160">
        <f>InputData!$E$13</f>
        <v>0</v>
      </c>
    </row>
    <row r="451" spans="1:26" x14ac:dyDescent="0.25">
      <c r="A451">
        <f>InputData!$K$1</f>
        <v>2013</v>
      </c>
      <c r="B451" t="str">
        <f>InputData!$G$1</f>
        <v>San Antonio, TX</v>
      </c>
      <c r="C451" t="s">
        <v>11</v>
      </c>
      <c r="D451" t="str">
        <f>Graph_IntMed!$Q$6</f>
        <v>PSLF</v>
      </c>
      <c r="E451" t="str">
        <f t="shared" ref="E451:E514" si="7">C451 &amp; " " &amp; D451</f>
        <v>Internal Medicine PSLF</v>
      </c>
      <c r="F451">
        <f>Graph_IntMed!$A36</f>
        <v>2042</v>
      </c>
      <c r="G451">
        <f>Graph_IntMed!$B36</f>
        <v>30</v>
      </c>
      <c r="H451" s="165">
        <f>Graph_IntMed!$Q36</f>
        <v>1556316.4852999835</v>
      </c>
      <c r="I451" s="160">
        <f>InputData!$C$3</f>
        <v>0.02</v>
      </c>
      <c r="J451" s="160">
        <f>InputData!$C$4</f>
        <v>0.01</v>
      </c>
      <c r="K451" s="160">
        <f>InputData!$C$5</f>
        <v>0.01</v>
      </c>
      <c r="L451" s="160">
        <f>InputData!$C$6</f>
        <v>6.2100000000000002E-2</v>
      </c>
      <c r="M451" s="160">
        <f>InputData!$C$7</f>
        <v>0.03</v>
      </c>
      <c r="N451" s="160">
        <f>InputData!$C$8</f>
        <v>0.02</v>
      </c>
      <c r="O451" s="160">
        <f>InputData!$C$9</f>
        <v>0.06</v>
      </c>
      <c r="P451" s="160">
        <f>InputData!$C$10</f>
        <v>0.02</v>
      </c>
      <c r="Q451" s="160">
        <f>InputData!$C$11</f>
        <v>0.02</v>
      </c>
      <c r="R451" s="160">
        <f>InputData!$C$12</f>
        <v>0.02</v>
      </c>
      <c r="S451" s="160">
        <f>InputData!$C$13</f>
        <v>0.9</v>
      </c>
      <c r="T451" s="116">
        <f>InputData!$C$88</f>
        <v>180000</v>
      </c>
      <c r="U451" s="116">
        <f>InputData!$C$81</f>
        <v>178500</v>
      </c>
      <c r="V451" s="116">
        <f>InputData!$C$82</f>
        <v>303960</v>
      </c>
      <c r="W451" s="116">
        <f>InputData!$C$84</f>
        <v>215220</v>
      </c>
      <c r="X451" s="116">
        <f>InputData!$C$85</f>
        <v>409020</v>
      </c>
      <c r="Y451" s="116">
        <f>InputData!$C$116</f>
        <v>140000</v>
      </c>
      <c r="Z451" s="160">
        <f>InputData!$E$13</f>
        <v>0</v>
      </c>
    </row>
    <row r="452" spans="1:26" x14ac:dyDescent="0.25">
      <c r="A452">
        <f>InputData!$K$1</f>
        <v>2013</v>
      </c>
      <c r="B452" t="str">
        <f>InputData!$G$1</f>
        <v>San Antonio, TX</v>
      </c>
      <c r="C452" t="s">
        <v>177</v>
      </c>
      <c r="D452" t="str">
        <f>Graph_Ortho!$C$6</f>
        <v>USU30</v>
      </c>
      <c r="E452" t="str">
        <f t="shared" si="7"/>
        <v>Orthopedics USU30</v>
      </c>
      <c r="F452">
        <f>Graph_Ortho!$A7</f>
        <v>2013</v>
      </c>
      <c r="G452">
        <f>Graph_Ortho!$B7</f>
        <v>1</v>
      </c>
      <c r="H452" s="165">
        <f>Graph_Ortho!$C7</f>
        <v>54056.194799999997</v>
      </c>
      <c r="I452" s="160">
        <f>InputData!$C$3</f>
        <v>0.02</v>
      </c>
      <c r="J452" s="160">
        <f>InputData!$C$4</f>
        <v>0.01</v>
      </c>
      <c r="K452" s="160">
        <f>InputData!$C$5</f>
        <v>0.01</v>
      </c>
      <c r="L452" s="160">
        <f>InputData!$C$6</f>
        <v>6.2100000000000002E-2</v>
      </c>
      <c r="M452" s="160">
        <f>InputData!$C$7</f>
        <v>0.03</v>
      </c>
      <c r="N452" s="160">
        <f>InputData!$C$8</f>
        <v>0.02</v>
      </c>
      <c r="O452" s="160">
        <f>InputData!$C$9</f>
        <v>0.06</v>
      </c>
      <c r="P452" s="160">
        <f>InputData!$C$10</f>
        <v>0.02</v>
      </c>
      <c r="Q452" s="160">
        <f>InputData!$C$11</f>
        <v>0.02</v>
      </c>
      <c r="R452" s="160">
        <f>InputData!$C$12</f>
        <v>0.02</v>
      </c>
      <c r="S452" s="160">
        <f>InputData!$C$13</f>
        <v>0.9</v>
      </c>
      <c r="T452" s="116">
        <f>InputData!$C$88</f>
        <v>180000</v>
      </c>
      <c r="U452" s="116">
        <f>InputData!$C$81</f>
        <v>178500</v>
      </c>
      <c r="V452" s="116">
        <f>InputData!$C$82</f>
        <v>303960</v>
      </c>
      <c r="W452" s="116">
        <f>InputData!$C$84</f>
        <v>215220</v>
      </c>
      <c r="X452" s="116">
        <f>InputData!$C$85</f>
        <v>409020</v>
      </c>
      <c r="Y452" s="116">
        <f>InputData!$C$116</f>
        <v>140000</v>
      </c>
      <c r="Z452" s="160">
        <f>InputData!$E$13</f>
        <v>0</v>
      </c>
    </row>
    <row r="453" spans="1:26" x14ac:dyDescent="0.25">
      <c r="A453">
        <f>InputData!$K$1</f>
        <v>2013</v>
      </c>
      <c r="B453" t="str">
        <f>InputData!$G$1</f>
        <v>San Antonio, TX</v>
      </c>
      <c r="C453" t="s">
        <v>177</v>
      </c>
      <c r="D453" t="str">
        <f>Graph_Ortho!$C$6</f>
        <v>USU30</v>
      </c>
      <c r="E453" t="str">
        <f t="shared" si="7"/>
        <v>Orthopedics USU30</v>
      </c>
      <c r="F453">
        <f>Graph_Ortho!$A8</f>
        <v>2014</v>
      </c>
      <c r="G453">
        <f>Graph_Ortho!$B8</f>
        <v>2</v>
      </c>
      <c r="H453" s="165">
        <f>Graph_Ortho!$C8</f>
        <v>106041.93556527697</v>
      </c>
      <c r="I453" s="160">
        <f>InputData!$C$3</f>
        <v>0.02</v>
      </c>
      <c r="J453" s="160">
        <f>InputData!$C$4</f>
        <v>0.01</v>
      </c>
      <c r="K453" s="160">
        <f>InputData!$C$5</f>
        <v>0.01</v>
      </c>
      <c r="L453" s="160">
        <f>InputData!$C$6</f>
        <v>6.2100000000000002E-2</v>
      </c>
      <c r="M453" s="160">
        <f>InputData!$C$7</f>
        <v>0.03</v>
      </c>
      <c r="N453" s="160">
        <f>InputData!$C$8</f>
        <v>0.02</v>
      </c>
      <c r="O453" s="160">
        <f>InputData!$C$9</f>
        <v>0.06</v>
      </c>
      <c r="P453" s="160">
        <f>InputData!$C$10</f>
        <v>0.02</v>
      </c>
      <c r="Q453" s="160">
        <f>InputData!$C$11</f>
        <v>0.02</v>
      </c>
      <c r="R453" s="160">
        <f>InputData!$C$12</f>
        <v>0.02</v>
      </c>
      <c r="S453" s="160">
        <f>InputData!$C$13</f>
        <v>0.9</v>
      </c>
      <c r="T453" s="116">
        <f>InputData!$C$88</f>
        <v>180000</v>
      </c>
      <c r="U453" s="116">
        <f>InputData!$C$81</f>
        <v>178500</v>
      </c>
      <c r="V453" s="116">
        <f>InputData!$C$82</f>
        <v>303960</v>
      </c>
      <c r="W453" s="116">
        <f>InputData!$C$84</f>
        <v>215220</v>
      </c>
      <c r="X453" s="116">
        <f>InputData!$C$85</f>
        <v>409020</v>
      </c>
      <c r="Y453" s="116">
        <f>InputData!$C$116</f>
        <v>140000</v>
      </c>
      <c r="Z453" s="160">
        <f>InputData!$E$13</f>
        <v>0</v>
      </c>
    </row>
    <row r="454" spans="1:26" x14ac:dyDescent="0.25">
      <c r="A454">
        <f>InputData!$K$1</f>
        <v>2013</v>
      </c>
      <c r="B454" t="str">
        <f>InputData!$G$1</f>
        <v>San Antonio, TX</v>
      </c>
      <c r="C454" t="s">
        <v>177</v>
      </c>
      <c r="D454" t="str">
        <f>Graph_Ortho!$C$6</f>
        <v>USU30</v>
      </c>
      <c r="E454" t="str">
        <f t="shared" si="7"/>
        <v>Orthopedics USU30</v>
      </c>
      <c r="F454">
        <f>Graph_Ortho!$A9</f>
        <v>2015</v>
      </c>
      <c r="G454">
        <f>Graph_Ortho!$B9</f>
        <v>3</v>
      </c>
      <c r="H454" s="165">
        <f>Graph_Ortho!$C9</f>
        <v>157045.52189700573</v>
      </c>
      <c r="I454" s="160">
        <f>InputData!$C$3</f>
        <v>0.02</v>
      </c>
      <c r="J454" s="160">
        <f>InputData!$C$4</f>
        <v>0.01</v>
      </c>
      <c r="K454" s="160">
        <f>InputData!$C$5</f>
        <v>0.01</v>
      </c>
      <c r="L454" s="160">
        <f>InputData!$C$6</f>
        <v>6.2100000000000002E-2</v>
      </c>
      <c r="M454" s="160">
        <f>InputData!$C$7</f>
        <v>0.03</v>
      </c>
      <c r="N454" s="160">
        <f>InputData!$C$8</f>
        <v>0.02</v>
      </c>
      <c r="O454" s="160">
        <f>InputData!$C$9</f>
        <v>0.06</v>
      </c>
      <c r="P454" s="160">
        <f>InputData!$C$10</f>
        <v>0.02</v>
      </c>
      <c r="Q454" s="160">
        <f>InputData!$C$11</f>
        <v>0.02</v>
      </c>
      <c r="R454" s="160">
        <f>InputData!$C$12</f>
        <v>0.02</v>
      </c>
      <c r="S454" s="160">
        <f>InputData!$C$13</f>
        <v>0.9</v>
      </c>
      <c r="T454" s="116">
        <f>InputData!$C$88</f>
        <v>180000</v>
      </c>
      <c r="U454" s="116">
        <f>InputData!$C$81</f>
        <v>178500</v>
      </c>
      <c r="V454" s="116">
        <f>InputData!$C$82</f>
        <v>303960</v>
      </c>
      <c r="W454" s="116">
        <f>InputData!$C$84</f>
        <v>215220</v>
      </c>
      <c r="X454" s="116">
        <f>InputData!$C$85</f>
        <v>409020</v>
      </c>
      <c r="Y454" s="116">
        <f>InputData!$C$116</f>
        <v>140000</v>
      </c>
      <c r="Z454" s="160">
        <f>InputData!$E$13</f>
        <v>0</v>
      </c>
    </row>
    <row r="455" spans="1:26" x14ac:dyDescent="0.25">
      <c r="A455">
        <f>InputData!$K$1</f>
        <v>2013</v>
      </c>
      <c r="B455" t="str">
        <f>InputData!$G$1</f>
        <v>San Antonio, TX</v>
      </c>
      <c r="C455" t="s">
        <v>177</v>
      </c>
      <c r="D455" t="str">
        <f>Graph_Ortho!$C$6</f>
        <v>USU30</v>
      </c>
      <c r="E455" t="str">
        <f t="shared" si="7"/>
        <v>Orthopedics USU30</v>
      </c>
      <c r="F455">
        <f>Graph_Ortho!$A10</f>
        <v>2016</v>
      </c>
      <c r="G455">
        <f>Graph_Ortho!$B10</f>
        <v>4</v>
      </c>
      <c r="H455" s="165">
        <f>Graph_Ortho!$C10</f>
        <v>211251.55229740124</v>
      </c>
      <c r="I455" s="160">
        <f>InputData!$C$3</f>
        <v>0.02</v>
      </c>
      <c r="J455" s="160">
        <f>InputData!$C$4</f>
        <v>0.01</v>
      </c>
      <c r="K455" s="160">
        <f>InputData!$C$5</f>
        <v>0.01</v>
      </c>
      <c r="L455" s="160">
        <f>InputData!$C$6</f>
        <v>6.2100000000000002E-2</v>
      </c>
      <c r="M455" s="160">
        <f>InputData!$C$7</f>
        <v>0.03</v>
      </c>
      <c r="N455" s="160">
        <f>InputData!$C$8</f>
        <v>0.02</v>
      </c>
      <c r="O455" s="160">
        <f>InputData!$C$9</f>
        <v>0.06</v>
      </c>
      <c r="P455" s="160">
        <f>InputData!$C$10</f>
        <v>0.02</v>
      </c>
      <c r="Q455" s="160">
        <f>InputData!$C$11</f>
        <v>0.02</v>
      </c>
      <c r="R455" s="160">
        <f>InputData!$C$12</f>
        <v>0.02</v>
      </c>
      <c r="S455" s="160">
        <f>InputData!$C$13</f>
        <v>0.9</v>
      </c>
      <c r="T455" s="116">
        <f>InputData!$C$88</f>
        <v>180000</v>
      </c>
      <c r="U455" s="116">
        <f>InputData!$C$81</f>
        <v>178500</v>
      </c>
      <c r="V455" s="116">
        <f>InputData!$C$82</f>
        <v>303960</v>
      </c>
      <c r="W455" s="116">
        <f>InputData!$C$84</f>
        <v>215220</v>
      </c>
      <c r="X455" s="116">
        <f>InputData!$C$85</f>
        <v>409020</v>
      </c>
      <c r="Y455" s="116">
        <f>InputData!$C$116</f>
        <v>140000</v>
      </c>
      <c r="Z455" s="160">
        <f>InputData!$E$13</f>
        <v>0</v>
      </c>
    </row>
    <row r="456" spans="1:26" x14ac:dyDescent="0.25">
      <c r="A456">
        <f>InputData!$K$1</f>
        <v>2013</v>
      </c>
      <c r="B456" t="str">
        <f>InputData!$G$1</f>
        <v>San Antonio, TX</v>
      </c>
      <c r="C456" t="s">
        <v>177</v>
      </c>
      <c r="D456" t="str">
        <f>Graph_Ortho!$C$6</f>
        <v>USU30</v>
      </c>
      <c r="E456" t="str">
        <f t="shared" si="7"/>
        <v>Orthopedics USU30</v>
      </c>
      <c r="F456">
        <f>Graph_Ortho!$A11</f>
        <v>2017</v>
      </c>
      <c r="G456">
        <f>Graph_Ortho!$B11</f>
        <v>5</v>
      </c>
      <c r="H456" s="165">
        <f>Graph_Ortho!$C11</f>
        <v>261213.54479899554</v>
      </c>
      <c r="I456" s="160">
        <f>InputData!$C$3</f>
        <v>0.02</v>
      </c>
      <c r="J456" s="160">
        <f>InputData!$C$4</f>
        <v>0.01</v>
      </c>
      <c r="K456" s="160">
        <f>InputData!$C$5</f>
        <v>0.01</v>
      </c>
      <c r="L456" s="160">
        <f>InputData!$C$6</f>
        <v>6.2100000000000002E-2</v>
      </c>
      <c r="M456" s="160">
        <f>InputData!$C$7</f>
        <v>0.03</v>
      </c>
      <c r="N456" s="160">
        <f>InputData!$C$8</f>
        <v>0.02</v>
      </c>
      <c r="O456" s="160">
        <f>InputData!$C$9</f>
        <v>0.06</v>
      </c>
      <c r="P456" s="160">
        <f>InputData!$C$10</f>
        <v>0.02</v>
      </c>
      <c r="Q456" s="160">
        <f>InputData!$C$11</f>
        <v>0.02</v>
      </c>
      <c r="R456" s="160">
        <f>InputData!$C$12</f>
        <v>0.02</v>
      </c>
      <c r="S456" s="160">
        <f>InputData!$C$13</f>
        <v>0.9</v>
      </c>
      <c r="T456" s="116">
        <f>InputData!$C$88</f>
        <v>180000</v>
      </c>
      <c r="U456" s="116">
        <f>InputData!$C$81</f>
        <v>178500</v>
      </c>
      <c r="V456" s="116">
        <f>InputData!$C$82</f>
        <v>303960</v>
      </c>
      <c r="W456" s="116">
        <f>InputData!$C$84</f>
        <v>215220</v>
      </c>
      <c r="X456" s="116">
        <f>InputData!$C$85</f>
        <v>409020</v>
      </c>
      <c r="Y456" s="116">
        <f>InputData!$C$116</f>
        <v>140000</v>
      </c>
      <c r="Z456" s="160">
        <f>InputData!$E$13</f>
        <v>0</v>
      </c>
    </row>
    <row r="457" spans="1:26" x14ac:dyDescent="0.25">
      <c r="A457">
        <f>InputData!$K$1</f>
        <v>2013</v>
      </c>
      <c r="B457" t="str">
        <f>InputData!$G$1</f>
        <v>San Antonio, TX</v>
      </c>
      <c r="C457" t="s">
        <v>177</v>
      </c>
      <c r="D457" t="str">
        <f>Graph_Ortho!$C$6</f>
        <v>USU30</v>
      </c>
      <c r="E457" t="str">
        <f t="shared" si="7"/>
        <v>Orthopedics USU30</v>
      </c>
      <c r="F457">
        <f>Graph_Ortho!$A12</f>
        <v>2018</v>
      </c>
      <c r="G457">
        <f>Graph_Ortho!$B12</f>
        <v>6</v>
      </c>
      <c r="H457" s="165">
        <f>Graph_Ortho!$C12</f>
        <v>311474.37448667729</v>
      </c>
      <c r="I457" s="160">
        <f>InputData!$C$3</f>
        <v>0.02</v>
      </c>
      <c r="J457" s="160">
        <f>InputData!$C$4</f>
        <v>0.01</v>
      </c>
      <c r="K457" s="160">
        <f>InputData!$C$5</f>
        <v>0.01</v>
      </c>
      <c r="L457" s="160">
        <f>InputData!$C$6</f>
        <v>6.2100000000000002E-2</v>
      </c>
      <c r="M457" s="160">
        <f>InputData!$C$7</f>
        <v>0.03</v>
      </c>
      <c r="N457" s="160">
        <f>InputData!$C$8</f>
        <v>0.02</v>
      </c>
      <c r="O457" s="160">
        <f>InputData!$C$9</f>
        <v>0.06</v>
      </c>
      <c r="P457" s="160">
        <f>InputData!$C$10</f>
        <v>0.02</v>
      </c>
      <c r="Q457" s="160">
        <f>InputData!$C$11</f>
        <v>0.02</v>
      </c>
      <c r="R457" s="160">
        <f>InputData!$C$12</f>
        <v>0.02</v>
      </c>
      <c r="S457" s="160">
        <f>InputData!$C$13</f>
        <v>0.9</v>
      </c>
      <c r="T457" s="116">
        <f>InputData!$C$88</f>
        <v>180000</v>
      </c>
      <c r="U457" s="116">
        <f>InputData!$C$81</f>
        <v>178500</v>
      </c>
      <c r="V457" s="116">
        <f>InputData!$C$82</f>
        <v>303960</v>
      </c>
      <c r="W457" s="116">
        <f>InputData!$C$84</f>
        <v>215220</v>
      </c>
      <c r="X457" s="116">
        <f>InputData!$C$85</f>
        <v>409020</v>
      </c>
      <c r="Y457" s="116">
        <f>InputData!$C$116</f>
        <v>140000</v>
      </c>
      <c r="Z457" s="160">
        <f>InputData!$E$13</f>
        <v>0</v>
      </c>
    </row>
    <row r="458" spans="1:26" x14ac:dyDescent="0.25">
      <c r="A458">
        <f>InputData!$K$1</f>
        <v>2013</v>
      </c>
      <c r="B458" t="str">
        <f>InputData!$G$1</f>
        <v>San Antonio, TX</v>
      </c>
      <c r="C458" t="s">
        <v>177</v>
      </c>
      <c r="D458" t="str">
        <f>Graph_Ortho!$C$6</f>
        <v>USU30</v>
      </c>
      <c r="E458" t="str">
        <f t="shared" si="7"/>
        <v>Orthopedics USU30</v>
      </c>
      <c r="F458">
        <f>Graph_Ortho!$A13</f>
        <v>2019</v>
      </c>
      <c r="G458">
        <f>Graph_Ortho!$B13</f>
        <v>7</v>
      </c>
      <c r="H458" s="165">
        <f>Graph_Ortho!$C13</f>
        <v>363115.97670968575</v>
      </c>
      <c r="I458" s="160">
        <f>InputData!$C$3</f>
        <v>0.02</v>
      </c>
      <c r="J458" s="160">
        <f>InputData!$C$4</f>
        <v>0.01</v>
      </c>
      <c r="K458" s="160">
        <f>InputData!$C$5</f>
        <v>0.01</v>
      </c>
      <c r="L458" s="160">
        <f>InputData!$C$6</f>
        <v>6.2100000000000002E-2</v>
      </c>
      <c r="M458" s="160">
        <f>InputData!$C$7</f>
        <v>0.03</v>
      </c>
      <c r="N458" s="160">
        <f>InputData!$C$8</f>
        <v>0.02</v>
      </c>
      <c r="O458" s="160">
        <f>InputData!$C$9</f>
        <v>0.06</v>
      </c>
      <c r="P458" s="160">
        <f>InputData!$C$10</f>
        <v>0.02</v>
      </c>
      <c r="Q458" s="160">
        <f>InputData!$C$11</f>
        <v>0.02</v>
      </c>
      <c r="R458" s="160">
        <f>InputData!$C$12</f>
        <v>0.02</v>
      </c>
      <c r="S458" s="160">
        <f>InputData!$C$13</f>
        <v>0.9</v>
      </c>
      <c r="T458" s="116">
        <f>InputData!$C$88</f>
        <v>180000</v>
      </c>
      <c r="U458" s="116">
        <f>InputData!$C$81</f>
        <v>178500</v>
      </c>
      <c r="V458" s="116">
        <f>InputData!$C$82</f>
        <v>303960</v>
      </c>
      <c r="W458" s="116">
        <f>InputData!$C$84</f>
        <v>215220</v>
      </c>
      <c r="X458" s="116">
        <f>InputData!$C$85</f>
        <v>409020</v>
      </c>
      <c r="Y458" s="116">
        <f>InputData!$C$116</f>
        <v>140000</v>
      </c>
      <c r="Z458" s="160">
        <f>InputData!$E$13</f>
        <v>0</v>
      </c>
    </row>
    <row r="459" spans="1:26" x14ac:dyDescent="0.25">
      <c r="A459">
        <f>InputData!$K$1</f>
        <v>2013</v>
      </c>
      <c r="B459" t="str">
        <f>InputData!$G$1</f>
        <v>San Antonio, TX</v>
      </c>
      <c r="C459" t="s">
        <v>177</v>
      </c>
      <c r="D459" t="str">
        <f>Graph_Ortho!$C$6</f>
        <v>USU30</v>
      </c>
      <c r="E459" t="str">
        <f t="shared" si="7"/>
        <v>Orthopedics USU30</v>
      </c>
      <c r="F459">
        <f>Graph_Ortho!$A14</f>
        <v>2020</v>
      </c>
      <c r="G459">
        <f>Graph_Ortho!$B14</f>
        <v>8</v>
      </c>
      <c r="H459" s="165">
        <f>Graph_Ortho!$C14</f>
        <v>414930.34262192424</v>
      </c>
      <c r="I459" s="160">
        <f>InputData!$C$3</f>
        <v>0.02</v>
      </c>
      <c r="J459" s="160">
        <f>InputData!$C$4</f>
        <v>0.01</v>
      </c>
      <c r="K459" s="160">
        <f>InputData!$C$5</f>
        <v>0.01</v>
      </c>
      <c r="L459" s="160">
        <f>InputData!$C$6</f>
        <v>6.2100000000000002E-2</v>
      </c>
      <c r="M459" s="160">
        <f>InputData!$C$7</f>
        <v>0.03</v>
      </c>
      <c r="N459" s="160">
        <f>InputData!$C$8</f>
        <v>0.02</v>
      </c>
      <c r="O459" s="160">
        <f>InputData!$C$9</f>
        <v>0.06</v>
      </c>
      <c r="P459" s="160">
        <f>InputData!$C$10</f>
        <v>0.02</v>
      </c>
      <c r="Q459" s="160">
        <f>InputData!$C$11</f>
        <v>0.02</v>
      </c>
      <c r="R459" s="160">
        <f>InputData!$C$12</f>
        <v>0.02</v>
      </c>
      <c r="S459" s="160">
        <f>InputData!$C$13</f>
        <v>0.9</v>
      </c>
      <c r="T459" s="116">
        <f>InputData!$C$88</f>
        <v>180000</v>
      </c>
      <c r="U459" s="116">
        <f>InputData!$C$81</f>
        <v>178500</v>
      </c>
      <c r="V459" s="116">
        <f>InputData!$C$82</f>
        <v>303960</v>
      </c>
      <c r="W459" s="116">
        <f>InputData!$C$84</f>
        <v>215220</v>
      </c>
      <c r="X459" s="116">
        <f>InputData!$C$85</f>
        <v>409020</v>
      </c>
      <c r="Y459" s="116">
        <f>InputData!$C$116</f>
        <v>140000</v>
      </c>
      <c r="Z459" s="160">
        <f>InputData!$E$13</f>
        <v>0</v>
      </c>
    </row>
    <row r="460" spans="1:26" x14ac:dyDescent="0.25">
      <c r="A460">
        <f>InputData!$K$1</f>
        <v>2013</v>
      </c>
      <c r="B460" t="str">
        <f>InputData!$G$1</f>
        <v>San Antonio, TX</v>
      </c>
      <c r="C460" t="s">
        <v>177</v>
      </c>
      <c r="D460" t="str">
        <f>Graph_Ortho!$C$6</f>
        <v>USU30</v>
      </c>
      <c r="E460" t="str">
        <f t="shared" si="7"/>
        <v>Orthopedics USU30</v>
      </c>
      <c r="F460">
        <f>Graph_Ortho!$A15</f>
        <v>2021</v>
      </c>
      <c r="G460">
        <f>Graph_Ortho!$B15</f>
        <v>9</v>
      </c>
      <c r="H460" s="165">
        <f>Graph_Ortho!$C15</f>
        <v>467290.95730725891</v>
      </c>
      <c r="I460" s="160">
        <f>InputData!$C$3</f>
        <v>0.02</v>
      </c>
      <c r="J460" s="160">
        <f>InputData!$C$4</f>
        <v>0.01</v>
      </c>
      <c r="K460" s="160">
        <f>InputData!$C$5</f>
        <v>0.01</v>
      </c>
      <c r="L460" s="160">
        <f>InputData!$C$6</f>
        <v>6.2100000000000002E-2</v>
      </c>
      <c r="M460" s="160">
        <f>InputData!$C$7</f>
        <v>0.03</v>
      </c>
      <c r="N460" s="160">
        <f>InputData!$C$8</f>
        <v>0.02</v>
      </c>
      <c r="O460" s="160">
        <f>InputData!$C$9</f>
        <v>0.06</v>
      </c>
      <c r="P460" s="160">
        <f>InputData!$C$10</f>
        <v>0.02</v>
      </c>
      <c r="Q460" s="160">
        <f>InputData!$C$11</f>
        <v>0.02</v>
      </c>
      <c r="R460" s="160">
        <f>InputData!$C$12</f>
        <v>0.02</v>
      </c>
      <c r="S460" s="160">
        <f>InputData!$C$13</f>
        <v>0.9</v>
      </c>
      <c r="T460" s="116">
        <f>InputData!$C$88</f>
        <v>180000</v>
      </c>
      <c r="U460" s="116">
        <f>InputData!$C$81</f>
        <v>178500</v>
      </c>
      <c r="V460" s="116">
        <f>InputData!$C$82</f>
        <v>303960</v>
      </c>
      <c r="W460" s="116">
        <f>InputData!$C$84</f>
        <v>215220</v>
      </c>
      <c r="X460" s="116">
        <f>InputData!$C$85</f>
        <v>409020</v>
      </c>
      <c r="Y460" s="116">
        <f>InputData!$C$116</f>
        <v>140000</v>
      </c>
      <c r="Z460" s="160">
        <f>InputData!$E$13</f>
        <v>0</v>
      </c>
    </row>
    <row r="461" spans="1:26" x14ac:dyDescent="0.25">
      <c r="A461">
        <f>InputData!$K$1</f>
        <v>2013</v>
      </c>
      <c r="B461" t="str">
        <f>InputData!$G$1</f>
        <v>San Antonio, TX</v>
      </c>
      <c r="C461" t="s">
        <v>177</v>
      </c>
      <c r="D461" t="str">
        <f>Graph_Ortho!$C$6</f>
        <v>USU30</v>
      </c>
      <c r="E461" t="str">
        <f t="shared" si="7"/>
        <v>Orthopedics USU30</v>
      </c>
      <c r="F461">
        <f>Graph_Ortho!$A16</f>
        <v>2022</v>
      </c>
      <c r="G461">
        <f>Graph_Ortho!$B16</f>
        <v>10</v>
      </c>
      <c r="H461" s="165">
        <f>Graph_Ortho!$C16</f>
        <v>524763.22436689748</v>
      </c>
      <c r="I461" s="160">
        <f>InputData!$C$3</f>
        <v>0.02</v>
      </c>
      <c r="J461" s="160">
        <f>InputData!$C$4</f>
        <v>0.01</v>
      </c>
      <c r="K461" s="160">
        <f>InputData!$C$5</f>
        <v>0.01</v>
      </c>
      <c r="L461" s="160">
        <f>InputData!$C$6</f>
        <v>6.2100000000000002E-2</v>
      </c>
      <c r="M461" s="160">
        <f>InputData!$C$7</f>
        <v>0.03</v>
      </c>
      <c r="N461" s="160">
        <f>InputData!$C$8</f>
        <v>0.02</v>
      </c>
      <c r="O461" s="160">
        <f>InputData!$C$9</f>
        <v>0.06</v>
      </c>
      <c r="P461" s="160">
        <f>InputData!$C$10</f>
        <v>0.02</v>
      </c>
      <c r="Q461" s="160">
        <f>InputData!$C$11</f>
        <v>0.02</v>
      </c>
      <c r="R461" s="160">
        <f>InputData!$C$12</f>
        <v>0.02</v>
      </c>
      <c r="S461" s="160">
        <f>InputData!$C$13</f>
        <v>0.9</v>
      </c>
      <c r="T461" s="116">
        <f>InputData!$C$88</f>
        <v>180000</v>
      </c>
      <c r="U461" s="116">
        <f>InputData!$C$81</f>
        <v>178500</v>
      </c>
      <c r="V461" s="116">
        <f>InputData!$C$82</f>
        <v>303960</v>
      </c>
      <c r="W461" s="116">
        <f>InputData!$C$84</f>
        <v>215220</v>
      </c>
      <c r="X461" s="116">
        <f>InputData!$C$85</f>
        <v>409020</v>
      </c>
      <c r="Y461" s="116">
        <f>InputData!$C$116</f>
        <v>140000</v>
      </c>
      <c r="Z461" s="160">
        <f>InputData!$E$13</f>
        <v>0</v>
      </c>
    </row>
    <row r="462" spans="1:26" x14ac:dyDescent="0.25">
      <c r="A462">
        <f>InputData!$K$1</f>
        <v>2013</v>
      </c>
      <c r="B462" t="str">
        <f>InputData!$G$1</f>
        <v>San Antonio, TX</v>
      </c>
      <c r="C462" t="s">
        <v>177</v>
      </c>
      <c r="D462" t="str">
        <f>Graph_Ortho!$C$6</f>
        <v>USU30</v>
      </c>
      <c r="E462" t="str">
        <f t="shared" si="7"/>
        <v>Orthopedics USU30</v>
      </c>
      <c r="F462">
        <f>Graph_Ortho!$A17</f>
        <v>2023</v>
      </c>
      <c r="G462">
        <f>Graph_Ortho!$B17</f>
        <v>11</v>
      </c>
      <c r="H462" s="165">
        <f>Graph_Ortho!$C17</f>
        <v>588449.02039398521</v>
      </c>
      <c r="I462" s="160">
        <f>InputData!$C$3</f>
        <v>0.02</v>
      </c>
      <c r="J462" s="160">
        <f>InputData!$C$4</f>
        <v>0.01</v>
      </c>
      <c r="K462" s="160">
        <f>InputData!$C$5</f>
        <v>0.01</v>
      </c>
      <c r="L462" s="160">
        <f>InputData!$C$6</f>
        <v>6.2100000000000002E-2</v>
      </c>
      <c r="M462" s="160">
        <f>InputData!$C$7</f>
        <v>0.03</v>
      </c>
      <c r="N462" s="160">
        <f>InputData!$C$8</f>
        <v>0.02</v>
      </c>
      <c r="O462" s="160">
        <f>InputData!$C$9</f>
        <v>0.06</v>
      </c>
      <c r="P462" s="160">
        <f>InputData!$C$10</f>
        <v>0.02</v>
      </c>
      <c r="Q462" s="160">
        <f>InputData!$C$11</f>
        <v>0.02</v>
      </c>
      <c r="R462" s="160">
        <f>InputData!$C$12</f>
        <v>0.02</v>
      </c>
      <c r="S462" s="160">
        <f>InputData!$C$13</f>
        <v>0.9</v>
      </c>
      <c r="T462" s="116">
        <f>InputData!$C$88</f>
        <v>180000</v>
      </c>
      <c r="U462" s="116">
        <f>InputData!$C$81</f>
        <v>178500</v>
      </c>
      <c r="V462" s="116">
        <f>InputData!$C$82</f>
        <v>303960</v>
      </c>
      <c r="W462" s="116">
        <f>InputData!$C$84</f>
        <v>215220</v>
      </c>
      <c r="X462" s="116">
        <f>InputData!$C$85</f>
        <v>409020</v>
      </c>
      <c r="Y462" s="116">
        <f>InputData!$C$116</f>
        <v>140000</v>
      </c>
      <c r="Z462" s="160">
        <f>InputData!$E$13</f>
        <v>0</v>
      </c>
    </row>
    <row r="463" spans="1:26" x14ac:dyDescent="0.25">
      <c r="A463">
        <f>InputData!$K$1</f>
        <v>2013</v>
      </c>
      <c r="B463" t="str">
        <f>InputData!$G$1</f>
        <v>San Antonio, TX</v>
      </c>
      <c r="C463" t="s">
        <v>177</v>
      </c>
      <c r="D463" t="str">
        <f>Graph_Ortho!$C$6</f>
        <v>USU30</v>
      </c>
      <c r="E463" t="str">
        <f t="shared" si="7"/>
        <v>Orthopedics USU30</v>
      </c>
      <c r="F463">
        <f>Graph_Ortho!$A18</f>
        <v>2024</v>
      </c>
      <c r="G463">
        <f>Graph_Ortho!$B18</f>
        <v>12</v>
      </c>
      <c r="H463" s="165">
        <f>Graph_Ortho!$C18</f>
        <v>649720.24660637928</v>
      </c>
      <c r="I463" s="160">
        <f>InputData!$C$3</f>
        <v>0.02</v>
      </c>
      <c r="J463" s="160">
        <f>InputData!$C$4</f>
        <v>0.01</v>
      </c>
      <c r="K463" s="160">
        <f>InputData!$C$5</f>
        <v>0.01</v>
      </c>
      <c r="L463" s="160">
        <f>InputData!$C$6</f>
        <v>6.2100000000000002E-2</v>
      </c>
      <c r="M463" s="160">
        <f>InputData!$C$7</f>
        <v>0.03</v>
      </c>
      <c r="N463" s="160">
        <f>InputData!$C$8</f>
        <v>0.02</v>
      </c>
      <c r="O463" s="160">
        <f>InputData!$C$9</f>
        <v>0.06</v>
      </c>
      <c r="P463" s="160">
        <f>InputData!$C$10</f>
        <v>0.02</v>
      </c>
      <c r="Q463" s="160">
        <f>InputData!$C$11</f>
        <v>0.02</v>
      </c>
      <c r="R463" s="160">
        <f>InputData!$C$12</f>
        <v>0.02</v>
      </c>
      <c r="S463" s="160">
        <f>InputData!$C$13</f>
        <v>0.9</v>
      </c>
      <c r="T463" s="116">
        <f>InputData!$C$88</f>
        <v>180000</v>
      </c>
      <c r="U463" s="116">
        <f>InputData!$C$81</f>
        <v>178500</v>
      </c>
      <c r="V463" s="116">
        <f>InputData!$C$82</f>
        <v>303960</v>
      </c>
      <c r="W463" s="116">
        <f>InputData!$C$84</f>
        <v>215220</v>
      </c>
      <c r="X463" s="116">
        <f>InputData!$C$85</f>
        <v>409020</v>
      </c>
      <c r="Y463" s="116">
        <f>InputData!$C$116</f>
        <v>140000</v>
      </c>
      <c r="Z463" s="160">
        <f>InputData!$E$13</f>
        <v>0</v>
      </c>
    </row>
    <row r="464" spans="1:26" x14ac:dyDescent="0.25">
      <c r="A464">
        <f>InputData!$K$1</f>
        <v>2013</v>
      </c>
      <c r="B464" t="str">
        <f>InputData!$G$1</f>
        <v>San Antonio, TX</v>
      </c>
      <c r="C464" t="s">
        <v>177</v>
      </c>
      <c r="D464" t="str">
        <f>Graph_Ortho!$C$6</f>
        <v>USU30</v>
      </c>
      <c r="E464" t="str">
        <f t="shared" si="7"/>
        <v>Orthopedics USU30</v>
      </c>
      <c r="F464">
        <f>Graph_Ortho!$A19</f>
        <v>2025</v>
      </c>
      <c r="G464">
        <f>Graph_Ortho!$B19</f>
        <v>13</v>
      </c>
      <c r="H464" s="165">
        <f>Graph_Ortho!$C19</f>
        <v>710146.70996840461</v>
      </c>
      <c r="I464" s="160">
        <f>InputData!$C$3</f>
        <v>0.02</v>
      </c>
      <c r="J464" s="160">
        <f>InputData!$C$4</f>
        <v>0.01</v>
      </c>
      <c r="K464" s="160">
        <f>InputData!$C$5</f>
        <v>0.01</v>
      </c>
      <c r="L464" s="160">
        <f>InputData!$C$6</f>
        <v>6.2100000000000002E-2</v>
      </c>
      <c r="M464" s="160">
        <f>InputData!$C$7</f>
        <v>0.03</v>
      </c>
      <c r="N464" s="160">
        <f>InputData!$C$8</f>
        <v>0.02</v>
      </c>
      <c r="O464" s="160">
        <f>InputData!$C$9</f>
        <v>0.06</v>
      </c>
      <c r="P464" s="160">
        <f>InputData!$C$10</f>
        <v>0.02</v>
      </c>
      <c r="Q464" s="160">
        <f>InputData!$C$11</f>
        <v>0.02</v>
      </c>
      <c r="R464" s="160">
        <f>InputData!$C$12</f>
        <v>0.02</v>
      </c>
      <c r="S464" s="160">
        <f>InputData!$C$13</f>
        <v>0.9</v>
      </c>
      <c r="T464" s="116">
        <f>InputData!$C$88</f>
        <v>180000</v>
      </c>
      <c r="U464" s="116">
        <f>InputData!$C$81</f>
        <v>178500</v>
      </c>
      <c r="V464" s="116">
        <f>InputData!$C$82</f>
        <v>303960</v>
      </c>
      <c r="W464" s="116">
        <f>InputData!$C$84</f>
        <v>215220</v>
      </c>
      <c r="X464" s="116">
        <f>InputData!$C$85</f>
        <v>409020</v>
      </c>
      <c r="Y464" s="116">
        <f>InputData!$C$116</f>
        <v>140000</v>
      </c>
      <c r="Z464" s="160">
        <f>InputData!$E$13</f>
        <v>0</v>
      </c>
    </row>
    <row r="465" spans="1:26" x14ac:dyDescent="0.25">
      <c r="A465">
        <f>InputData!$K$1</f>
        <v>2013</v>
      </c>
      <c r="B465" t="str">
        <f>InputData!$G$1</f>
        <v>San Antonio, TX</v>
      </c>
      <c r="C465" t="s">
        <v>177</v>
      </c>
      <c r="D465" t="str">
        <f>Graph_Ortho!$C$6</f>
        <v>USU30</v>
      </c>
      <c r="E465" t="str">
        <f t="shared" si="7"/>
        <v>Orthopedics USU30</v>
      </c>
      <c r="F465">
        <f>Graph_Ortho!$A20</f>
        <v>2026</v>
      </c>
      <c r="G465">
        <f>Graph_Ortho!$B20</f>
        <v>14</v>
      </c>
      <c r="H465" s="165">
        <f>Graph_Ortho!$C20</f>
        <v>768281.88741084014</v>
      </c>
      <c r="I465" s="160">
        <f>InputData!$C$3</f>
        <v>0.02</v>
      </c>
      <c r="J465" s="160">
        <f>InputData!$C$4</f>
        <v>0.01</v>
      </c>
      <c r="K465" s="160">
        <f>InputData!$C$5</f>
        <v>0.01</v>
      </c>
      <c r="L465" s="160">
        <f>InputData!$C$6</f>
        <v>6.2100000000000002E-2</v>
      </c>
      <c r="M465" s="160">
        <f>InputData!$C$7</f>
        <v>0.03</v>
      </c>
      <c r="N465" s="160">
        <f>InputData!$C$8</f>
        <v>0.02</v>
      </c>
      <c r="O465" s="160">
        <f>InputData!$C$9</f>
        <v>0.06</v>
      </c>
      <c r="P465" s="160">
        <f>InputData!$C$10</f>
        <v>0.02</v>
      </c>
      <c r="Q465" s="160">
        <f>InputData!$C$11</f>
        <v>0.02</v>
      </c>
      <c r="R465" s="160">
        <f>InputData!$C$12</f>
        <v>0.02</v>
      </c>
      <c r="S465" s="160">
        <f>InputData!$C$13</f>
        <v>0.9</v>
      </c>
      <c r="T465" s="116">
        <f>InputData!$C$88</f>
        <v>180000</v>
      </c>
      <c r="U465" s="116">
        <f>InputData!$C$81</f>
        <v>178500</v>
      </c>
      <c r="V465" s="116">
        <f>InputData!$C$82</f>
        <v>303960</v>
      </c>
      <c r="W465" s="116">
        <f>InputData!$C$84</f>
        <v>215220</v>
      </c>
      <c r="X465" s="116">
        <f>InputData!$C$85</f>
        <v>409020</v>
      </c>
      <c r="Y465" s="116">
        <f>InputData!$C$116</f>
        <v>140000</v>
      </c>
      <c r="Z465" s="160">
        <f>InputData!$E$13</f>
        <v>0</v>
      </c>
    </row>
    <row r="466" spans="1:26" x14ac:dyDescent="0.25">
      <c r="A466">
        <f>InputData!$K$1</f>
        <v>2013</v>
      </c>
      <c r="B466" t="str">
        <f>InputData!$G$1</f>
        <v>San Antonio, TX</v>
      </c>
      <c r="C466" t="s">
        <v>177</v>
      </c>
      <c r="D466" t="str">
        <f>Graph_Ortho!$C$6</f>
        <v>USU30</v>
      </c>
      <c r="E466" t="str">
        <f t="shared" si="7"/>
        <v>Orthopedics USU30</v>
      </c>
      <c r="F466">
        <f>Graph_Ortho!$A21</f>
        <v>2027</v>
      </c>
      <c r="G466">
        <f>Graph_Ortho!$B21</f>
        <v>15</v>
      </c>
      <c r="H466" s="165">
        <f>Graph_Ortho!$C21</f>
        <v>826352.17485501105</v>
      </c>
      <c r="I466" s="160">
        <f>InputData!$C$3</f>
        <v>0.02</v>
      </c>
      <c r="J466" s="160">
        <f>InputData!$C$4</f>
        <v>0.01</v>
      </c>
      <c r="K466" s="160">
        <f>InputData!$C$5</f>
        <v>0.01</v>
      </c>
      <c r="L466" s="160">
        <f>InputData!$C$6</f>
        <v>6.2100000000000002E-2</v>
      </c>
      <c r="M466" s="160">
        <f>InputData!$C$7</f>
        <v>0.03</v>
      </c>
      <c r="N466" s="160">
        <f>InputData!$C$8</f>
        <v>0.02</v>
      </c>
      <c r="O466" s="160">
        <f>InputData!$C$9</f>
        <v>0.06</v>
      </c>
      <c r="P466" s="160">
        <f>InputData!$C$10</f>
        <v>0.02</v>
      </c>
      <c r="Q466" s="160">
        <f>InputData!$C$11</f>
        <v>0.02</v>
      </c>
      <c r="R466" s="160">
        <f>InputData!$C$12</f>
        <v>0.02</v>
      </c>
      <c r="S466" s="160">
        <f>InputData!$C$13</f>
        <v>0.9</v>
      </c>
      <c r="T466" s="116">
        <f>InputData!$C$88</f>
        <v>180000</v>
      </c>
      <c r="U466" s="116">
        <f>InputData!$C$81</f>
        <v>178500</v>
      </c>
      <c r="V466" s="116">
        <f>InputData!$C$82</f>
        <v>303960</v>
      </c>
      <c r="W466" s="116">
        <f>InputData!$C$84</f>
        <v>215220</v>
      </c>
      <c r="X466" s="116">
        <f>InputData!$C$85</f>
        <v>409020</v>
      </c>
      <c r="Y466" s="116">
        <f>InputData!$C$116</f>
        <v>140000</v>
      </c>
      <c r="Z466" s="160">
        <f>InputData!$E$13</f>
        <v>0</v>
      </c>
    </row>
    <row r="467" spans="1:26" x14ac:dyDescent="0.25">
      <c r="A467">
        <f>InputData!$K$1</f>
        <v>2013</v>
      </c>
      <c r="B467" t="str">
        <f>InputData!$G$1</f>
        <v>San Antonio, TX</v>
      </c>
      <c r="C467" t="s">
        <v>177</v>
      </c>
      <c r="D467" t="str">
        <f>Graph_Ortho!$C$6</f>
        <v>USU30</v>
      </c>
      <c r="E467" t="str">
        <f t="shared" si="7"/>
        <v>Orthopedics USU30</v>
      </c>
      <c r="F467">
        <f>Graph_Ortho!$A22</f>
        <v>2028</v>
      </c>
      <c r="G467">
        <f>Graph_Ortho!$B22</f>
        <v>16</v>
      </c>
      <c r="H467" s="165">
        <f>Graph_Ortho!$C22</f>
        <v>882219.71152208454</v>
      </c>
      <c r="I467" s="160">
        <f>InputData!$C$3</f>
        <v>0.02</v>
      </c>
      <c r="J467" s="160">
        <f>InputData!$C$4</f>
        <v>0.01</v>
      </c>
      <c r="K467" s="160">
        <f>InputData!$C$5</f>
        <v>0.01</v>
      </c>
      <c r="L467" s="160">
        <f>InputData!$C$6</f>
        <v>6.2100000000000002E-2</v>
      </c>
      <c r="M467" s="160">
        <f>InputData!$C$7</f>
        <v>0.03</v>
      </c>
      <c r="N467" s="160">
        <f>InputData!$C$8</f>
        <v>0.02</v>
      </c>
      <c r="O467" s="160">
        <f>InputData!$C$9</f>
        <v>0.06</v>
      </c>
      <c r="P467" s="160">
        <f>InputData!$C$10</f>
        <v>0.02</v>
      </c>
      <c r="Q467" s="160">
        <f>InputData!$C$11</f>
        <v>0.02</v>
      </c>
      <c r="R467" s="160">
        <f>InputData!$C$12</f>
        <v>0.02</v>
      </c>
      <c r="S467" s="160">
        <f>InputData!$C$13</f>
        <v>0.9</v>
      </c>
      <c r="T467" s="116">
        <f>InputData!$C$88</f>
        <v>180000</v>
      </c>
      <c r="U467" s="116">
        <f>InputData!$C$81</f>
        <v>178500</v>
      </c>
      <c r="V467" s="116">
        <f>InputData!$C$82</f>
        <v>303960</v>
      </c>
      <c r="W467" s="116">
        <f>InputData!$C$84</f>
        <v>215220</v>
      </c>
      <c r="X467" s="116">
        <f>InputData!$C$85</f>
        <v>409020</v>
      </c>
      <c r="Y467" s="116">
        <f>InputData!$C$116</f>
        <v>140000</v>
      </c>
      <c r="Z467" s="160">
        <f>InputData!$E$13</f>
        <v>0</v>
      </c>
    </row>
    <row r="468" spans="1:26" x14ac:dyDescent="0.25">
      <c r="A468">
        <f>InputData!$K$1</f>
        <v>2013</v>
      </c>
      <c r="B468" t="str">
        <f>InputData!$G$1</f>
        <v>San Antonio, TX</v>
      </c>
      <c r="C468" t="s">
        <v>177</v>
      </c>
      <c r="D468" t="str">
        <f>Graph_Ortho!$C$6</f>
        <v>USU30</v>
      </c>
      <c r="E468" t="str">
        <f t="shared" si="7"/>
        <v>Orthopedics USU30</v>
      </c>
      <c r="F468">
        <f>Graph_Ortho!$A23</f>
        <v>2029</v>
      </c>
      <c r="G468">
        <f>Graph_Ortho!$B23</f>
        <v>17</v>
      </c>
      <c r="H468" s="165">
        <f>Graph_Ortho!$C23</f>
        <v>974779.41682908288</v>
      </c>
      <c r="I468" s="160">
        <f>InputData!$C$3</f>
        <v>0.02</v>
      </c>
      <c r="J468" s="160">
        <f>InputData!$C$4</f>
        <v>0.01</v>
      </c>
      <c r="K468" s="160">
        <f>InputData!$C$5</f>
        <v>0.01</v>
      </c>
      <c r="L468" s="160">
        <f>InputData!$C$6</f>
        <v>6.2100000000000002E-2</v>
      </c>
      <c r="M468" s="160">
        <f>InputData!$C$7</f>
        <v>0.03</v>
      </c>
      <c r="N468" s="160">
        <f>InputData!$C$8</f>
        <v>0.02</v>
      </c>
      <c r="O468" s="160">
        <f>InputData!$C$9</f>
        <v>0.06</v>
      </c>
      <c r="P468" s="160">
        <f>InputData!$C$10</f>
        <v>0.02</v>
      </c>
      <c r="Q468" s="160">
        <f>InputData!$C$11</f>
        <v>0.02</v>
      </c>
      <c r="R468" s="160">
        <f>InputData!$C$12</f>
        <v>0.02</v>
      </c>
      <c r="S468" s="160">
        <f>InputData!$C$13</f>
        <v>0.9</v>
      </c>
      <c r="T468" s="116">
        <f>InputData!$C$88</f>
        <v>180000</v>
      </c>
      <c r="U468" s="116">
        <f>InputData!$C$81</f>
        <v>178500</v>
      </c>
      <c r="V468" s="116">
        <f>InputData!$C$82</f>
        <v>303960</v>
      </c>
      <c r="W468" s="116">
        <f>InputData!$C$84</f>
        <v>215220</v>
      </c>
      <c r="X468" s="116">
        <f>InputData!$C$85</f>
        <v>409020</v>
      </c>
      <c r="Y468" s="116">
        <f>InputData!$C$116</f>
        <v>140000</v>
      </c>
      <c r="Z468" s="160">
        <f>InputData!$E$13</f>
        <v>0</v>
      </c>
    </row>
    <row r="469" spans="1:26" x14ac:dyDescent="0.25">
      <c r="A469">
        <f>InputData!$K$1</f>
        <v>2013</v>
      </c>
      <c r="B469" t="str">
        <f>InputData!$G$1</f>
        <v>San Antonio, TX</v>
      </c>
      <c r="C469" t="s">
        <v>177</v>
      </c>
      <c r="D469" t="str">
        <f>Graph_Ortho!$C$6</f>
        <v>USU30</v>
      </c>
      <c r="E469" t="str">
        <f t="shared" si="7"/>
        <v>Orthopedics USU30</v>
      </c>
      <c r="F469">
        <f>Graph_Ortho!$A24</f>
        <v>2030</v>
      </c>
      <c r="G469">
        <f>Graph_Ortho!$B24</f>
        <v>18</v>
      </c>
      <c r="H469" s="165">
        <f>Graph_Ortho!$C24</f>
        <v>1063770.2894446102</v>
      </c>
      <c r="I469" s="160">
        <f>InputData!$C$3</f>
        <v>0.02</v>
      </c>
      <c r="J469" s="160">
        <f>InputData!$C$4</f>
        <v>0.01</v>
      </c>
      <c r="K469" s="160">
        <f>InputData!$C$5</f>
        <v>0.01</v>
      </c>
      <c r="L469" s="160">
        <f>InputData!$C$6</f>
        <v>6.2100000000000002E-2</v>
      </c>
      <c r="M469" s="160">
        <f>InputData!$C$7</f>
        <v>0.03</v>
      </c>
      <c r="N469" s="160">
        <f>InputData!$C$8</f>
        <v>0.02</v>
      </c>
      <c r="O469" s="160">
        <f>InputData!$C$9</f>
        <v>0.06</v>
      </c>
      <c r="P469" s="160">
        <f>InputData!$C$10</f>
        <v>0.02</v>
      </c>
      <c r="Q469" s="160">
        <f>InputData!$C$11</f>
        <v>0.02</v>
      </c>
      <c r="R469" s="160">
        <f>InputData!$C$12</f>
        <v>0.02</v>
      </c>
      <c r="S469" s="160">
        <f>InputData!$C$13</f>
        <v>0.9</v>
      </c>
      <c r="T469" s="116">
        <f>InputData!$C$88</f>
        <v>180000</v>
      </c>
      <c r="U469" s="116">
        <f>InputData!$C$81</f>
        <v>178500</v>
      </c>
      <c r="V469" s="116">
        <f>InputData!$C$82</f>
        <v>303960</v>
      </c>
      <c r="W469" s="116">
        <f>InputData!$C$84</f>
        <v>215220</v>
      </c>
      <c r="X469" s="116">
        <f>InputData!$C$85</f>
        <v>409020</v>
      </c>
      <c r="Y469" s="116">
        <f>InputData!$C$116</f>
        <v>140000</v>
      </c>
      <c r="Z469" s="160">
        <f>InputData!$E$13</f>
        <v>0</v>
      </c>
    </row>
    <row r="470" spans="1:26" x14ac:dyDescent="0.25">
      <c r="A470">
        <f>InputData!$K$1</f>
        <v>2013</v>
      </c>
      <c r="B470" t="str">
        <f>InputData!$G$1</f>
        <v>San Antonio, TX</v>
      </c>
      <c r="C470" t="s">
        <v>177</v>
      </c>
      <c r="D470" t="str">
        <f>Graph_Ortho!$C$6</f>
        <v>USU30</v>
      </c>
      <c r="E470" t="str">
        <f t="shared" si="7"/>
        <v>Orthopedics USU30</v>
      </c>
      <c r="F470">
        <f>Graph_Ortho!$A25</f>
        <v>2031</v>
      </c>
      <c r="G470">
        <f>Graph_Ortho!$B25</f>
        <v>19</v>
      </c>
      <c r="H470" s="165">
        <f>Graph_Ortho!$C25</f>
        <v>1150608.1740209903</v>
      </c>
      <c r="I470" s="160">
        <f>InputData!$C$3</f>
        <v>0.02</v>
      </c>
      <c r="J470" s="160">
        <f>InputData!$C$4</f>
        <v>0.01</v>
      </c>
      <c r="K470" s="160">
        <f>InputData!$C$5</f>
        <v>0.01</v>
      </c>
      <c r="L470" s="160">
        <f>InputData!$C$6</f>
        <v>6.2100000000000002E-2</v>
      </c>
      <c r="M470" s="160">
        <f>InputData!$C$7</f>
        <v>0.03</v>
      </c>
      <c r="N470" s="160">
        <f>InputData!$C$8</f>
        <v>0.02</v>
      </c>
      <c r="O470" s="160">
        <f>InputData!$C$9</f>
        <v>0.06</v>
      </c>
      <c r="P470" s="160">
        <f>InputData!$C$10</f>
        <v>0.02</v>
      </c>
      <c r="Q470" s="160">
        <f>InputData!$C$11</f>
        <v>0.02</v>
      </c>
      <c r="R470" s="160">
        <f>InputData!$C$12</f>
        <v>0.02</v>
      </c>
      <c r="S470" s="160">
        <f>InputData!$C$13</f>
        <v>0.9</v>
      </c>
      <c r="T470" s="116">
        <f>InputData!$C$88</f>
        <v>180000</v>
      </c>
      <c r="U470" s="116">
        <f>InputData!$C$81</f>
        <v>178500</v>
      </c>
      <c r="V470" s="116">
        <f>InputData!$C$82</f>
        <v>303960</v>
      </c>
      <c r="W470" s="116">
        <f>InputData!$C$84</f>
        <v>215220</v>
      </c>
      <c r="X470" s="116">
        <f>InputData!$C$85</f>
        <v>409020</v>
      </c>
      <c r="Y470" s="116">
        <f>InputData!$C$116</f>
        <v>140000</v>
      </c>
      <c r="Z470" s="160">
        <f>InputData!$E$13</f>
        <v>0</v>
      </c>
    </row>
    <row r="471" spans="1:26" x14ac:dyDescent="0.25">
      <c r="A471">
        <f>InputData!$K$1</f>
        <v>2013</v>
      </c>
      <c r="B471" t="str">
        <f>InputData!$G$1</f>
        <v>San Antonio, TX</v>
      </c>
      <c r="C471" t="s">
        <v>177</v>
      </c>
      <c r="D471" t="str">
        <f>Graph_Ortho!$C$6</f>
        <v>USU30</v>
      </c>
      <c r="E471" t="str">
        <f t="shared" si="7"/>
        <v>Orthopedics USU30</v>
      </c>
      <c r="F471">
        <f>Graph_Ortho!$A26</f>
        <v>2032</v>
      </c>
      <c r="G471">
        <f>Graph_Ortho!$B26</f>
        <v>20</v>
      </c>
      <c r="H471" s="165">
        <f>Graph_Ortho!$C26</f>
        <v>1234097.8783941285</v>
      </c>
      <c r="I471" s="160">
        <f>InputData!$C$3</f>
        <v>0.02</v>
      </c>
      <c r="J471" s="160">
        <f>InputData!$C$4</f>
        <v>0.01</v>
      </c>
      <c r="K471" s="160">
        <f>InputData!$C$5</f>
        <v>0.01</v>
      </c>
      <c r="L471" s="160">
        <f>InputData!$C$6</f>
        <v>6.2100000000000002E-2</v>
      </c>
      <c r="M471" s="160">
        <f>InputData!$C$7</f>
        <v>0.03</v>
      </c>
      <c r="N471" s="160">
        <f>InputData!$C$8</f>
        <v>0.02</v>
      </c>
      <c r="O471" s="160">
        <f>InputData!$C$9</f>
        <v>0.06</v>
      </c>
      <c r="P471" s="160">
        <f>InputData!$C$10</f>
        <v>0.02</v>
      </c>
      <c r="Q471" s="160">
        <f>InputData!$C$11</f>
        <v>0.02</v>
      </c>
      <c r="R471" s="160">
        <f>InputData!$C$12</f>
        <v>0.02</v>
      </c>
      <c r="S471" s="160">
        <f>InputData!$C$13</f>
        <v>0.9</v>
      </c>
      <c r="T471" s="116">
        <f>InputData!$C$88</f>
        <v>180000</v>
      </c>
      <c r="U471" s="116">
        <f>InputData!$C$81</f>
        <v>178500</v>
      </c>
      <c r="V471" s="116">
        <f>InputData!$C$82</f>
        <v>303960</v>
      </c>
      <c r="W471" s="116">
        <f>InputData!$C$84</f>
        <v>215220</v>
      </c>
      <c r="X471" s="116">
        <f>InputData!$C$85</f>
        <v>409020</v>
      </c>
      <c r="Y471" s="116">
        <f>InputData!$C$116</f>
        <v>140000</v>
      </c>
      <c r="Z471" s="160">
        <f>InputData!$E$13</f>
        <v>0</v>
      </c>
    </row>
    <row r="472" spans="1:26" x14ac:dyDescent="0.25">
      <c r="A472">
        <f>InputData!$K$1</f>
        <v>2013</v>
      </c>
      <c r="B472" t="str">
        <f>InputData!$G$1</f>
        <v>San Antonio, TX</v>
      </c>
      <c r="C472" t="s">
        <v>177</v>
      </c>
      <c r="D472" t="str">
        <f>Graph_Ortho!$C$6</f>
        <v>USU30</v>
      </c>
      <c r="E472" t="str">
        <f t="shared" si="7"/>
        <v>Orthopedics USU30</v>
      </c>
      <c r="F472">
        <f>Graph_Ortho!$A27</f>
        <v>2033</v>
      </c>
      <c r="G472">
        <f>Graph_Ortho!$B27</f>
        <v>21</v>
      </c>
      <c r="H472" s="165">
        <f>Graph_Ortho!$C27</f>
        <v>1316176.8706719119</v>
      </c>
      <c r="I472" s="160">
        <f>InputData!$C$3</f>
        <v>0.02</v>
      </c>
      <c r="J472" s="160">
        <f>InputData!$C$4</f>
        <v>0.01</v>
      </c>
      <c r="K472" s="160">
        <f>InputData!$C$5</f>
        <v>0.01</v>
      </c>
      <c r="L472" s="160">
        <f>InputData!$C$6</f>
        <v>6.2100000000000002E-2</v>
      </c>
      <c r="M472" s="160">
        <f>InputData!$C$7</f>
        <v>0.03</v>
      </c>
      <c r="N472" s="160">
        <f>InputData!$C$8</f>
        <v>0.02</v>
      </c>
      <c r="O472" s="160">
        <f>InputData!$C$9</f>
        <v>0.06</v>
      </c>
      <c r="P472" s="160">
        <f>InputData!$C$10</f>
        <v>0.02</v>
      </c>
      <c r="Q472" s="160">
        <f>InputData!$C$11</f>
        <v>0.02</v>
      </c>
      <c r="R472" s="160">
        <f>InputData!$C$12</f>
        <v>0.02</v>
      </c>
      <c r="S472" s="160">
        <f>InputData!$C$13</f>
        <v>0.9</v>
      </c>
      <c r="T472" s="116">
        <f>InputData!$C$88</f>
        <v>180000</v>
      </c>
      <c r="U472" s="116">
        <f>InputData!$C$81</f>
        <v>178500</v>
      </c>
      <c r="V472" s="116">
        <f>InputData!$C$82</f>
        <v>303960</v>
      </c>
      <c r="W472" s="116">
        <f>InputData!$C$84</f>
        <v>215220</v>
      </c>
      <c r="X472" s="116">
        <f>InputData!$C$85</f>
        <v>409020</v>
      </c>
      <c r="Y472" s="116">
        <f>InputData!$C$116</f>
        <v>140000</v>
      </c>
      <c r="Z472" s="160">
        <f>InputData!$E$13</f>
        <v>0</v>
      </c>
    </row>
    <row r="473" spans="1:26" x14ac:dyDescent="0.25">
      <c r="A473">
        <f>InputData!$K$1</f>
        <v>2013</v>
      </c>
      <c r="B473" t="str">
        <f>InputData!$G$1</f>
        <v>San Antonio, TX</v>
      </c>
      <c r="C473" t="s">
        <v>177</v>
      </c>
      <c r="D473" t="str">
        <f>Graph_Ortho!$C$6</f>
        <v>USU30</v>
      </c>
      <c r="E473" t="str">
        <f t="shared" si="7"/>
        <v>Orthopedics USU30</v>
      </c>
      <c r="F473">
        <f>Graph_Ortho!$A28</f>
        <v>2034</v>
      </c>
      <c r="G473">
        <f>Graph_Ortho!$B28</f>
        <v>22</v>
      </c>
      <c r="H473" s="165">
        <f>Graph_Ortho!$C28</f>
        <v>1395091.1499527714</v>
      </c>
      <c r="I473" s="160">
        <f>InputData!$C$3</f>
        <v>0.02</v>
      </c>
      <c r="J473" s="160">
        <f>InputData!$C$4</f>
        <v>0.01</v>
      </c>
      <c r="K473" s="160">
        <f>InputData!$C$5</f>
        <v>0.01</v>
      </c>
      <c r="L473" s="160">
        <f>InputData!$C$6</f>
        <v>6.2100000000000002E-2</v>
      </c>
      <c r="M473" s="160">
        <f>InputData!$C$7</f>
        <v>0.03</v>
      </c>
      <c r="N473" s="160">
        <f>InputData!$C$8</f>
        <v>0.02</v>
      </c>
      <c r="O473" s="160">
        <f>InputData!$C$9</f>
        <v>0.06</v>
      </c>
      <c r="P473" s="160">
        <f>InputData!$C$10</f>
        <v>0.02</v>
      </c>
      <c r="Q473" s="160">
        <f>InputData!$C$11</f>
        <v>0.02</v>
      </c>
      <c r="R473" s="160">
        <f>InputData!$C$12</f>
        <v>0.02</v>
      </c>
      <c r="S473" s="160">
        <f>InputData!$C$13</f>
        <v>0.9</v>
      </c>
      <c r="T473" s="116">
        <f>InputData!$C$88</f>
        <v>180000</v>
      </c>
      <c r="U473" s="116">
        <f>InputData!$C$81</f>
        <v>178500</v>
      </c>
      <c r="V473" s="116">
        <f>InputData!$C$82</f>
        <v>303960</v>
      </c>
      <c r="W473" s="116">
        <f>InputData!$C$84</f>
        <v>215220</v>
      </c>
      <c r="X473" s="116">
        <f>InputData!$C$85</f>
        <v>409020</v>
      </c>
      <c r="Y473" s="116">
        <f>InputData!$C$116</f>
        <v>140000</v>
      </c>
      <c r="Z473" s="160">
        <f>InputData!$E$13</f>
        <v>0</v>
      </c>
    </row>
    <row r="474" spans="1:26" x14ac:dyDescent="0.25">
      <c r="A474">
        <f>InputData!$K$1</f>
        <v>2013</v>
      </c>
      <c r="B474" t="str">
        <f>InputData!$G$1</f>
        <v>San Antonio, TX</v>
      </c>
      <c r="C474" t="s">
        <v>177</v>
      </c>
      <c r="D474" t="str">
        <f>Graph_Ortho!$C$6</f>
        <v>USU30</v>
      </c>
      <c r="E474" t="str">
        <f t="shared" si="7"/>
        <v>Orthopedics USU30</v>
      </c>
      <c r="F474">
        <f>Graph_Ortho!$A29</f>
        <v>2035</v>
      </c>
      <c r="G474">
        <f>Graph_Ortho!$B29</f>
        <v>23</v>
      </c>
      <c r="H474" s="165">
        <f>Graph_Ortho!$C29</f>
        <v>1475405.5243788979</v>
      </c>
      <c r="I474" s="160">
        <f>InputData!$C$3</f>
        <v>0.02</v>
      </c>
      <c r="J474" s="160">
        <f>InputData!$C$4</f>
        <v>0.01</v>
      </c>
      <c r="K474" s="160">
        <f>InputData!$C$5</f>
        <v>0.01</v>
      </c>
      <c r="L474" s="160">
        <f>InputData!$C$6</f>
        <v>6.2100000000000002E-2</v>
      </c>
      <c r="M474" s="160">
        <f>InputData!$C$7</f>
        <v>0.03</v>
      </c>
      <c r="N474" s="160">
        <f>InputData!$C$8</f>
        <v>0.02</v>
      </c>
      <c r="O474" s="160">
        <f>InputData!$C$9</f>
        <v>0.06</v>
      </c>
      <c r="P474" s="160">
        <f>InputData!$C$10</f>
        <v>0.02</v>
      </c>
      <c r="Q474" s="160">
        <f>InputData!$C$11</f>
        <v>0.02</v>
      </c>
      <c r="R474" s="160">
        <f>InputData!$C$12</f>
        <v>0.02</v>
      </c>
      <c r="S474" s="160">
        <f>InputData!$C$13</f>
        <v>0.9</v>
      </c>
      <c r="T474" s="116">
        <f>InputData!$C$88</f>
        <v>180000</v>
      </c>
      <c r="U474" s="116">
        <f>InputData!$C$81</f>
        <v>178500</v>
      </c>
      <c r="V474" s="116">
        <f>InputData!$C$82</f>
        <v>303960</v>
      </c>
      <c r="W474" s="116">
        <f>InputData!$C$84</f>
        <v>215220</v>
      </c>
      <c r="X474" s="116">
        <f>InputData!$C$85</f>
        <v>409020</v>
      </c>
      <c r="Y474" s="116">
        <f>InputData!$C$116</f>
        <v>140000</v>
      </c>
      <c r="Z474" s="160">
        <f>InputData!$E$13</f>
        <v>0</v>
      </c>
    </row>
    <row r="475" spans="1:26" x14ac:dyDescent="0.25">
      <c r="A475">
        <f>InputData!$K$1</f>
        <v>2013</v>
      </c>
      <c r="B475" t="str">
        <f>InputData!$G$1</f>
        <v>San Antonio, TX</v>
      </c>
      <c r="C475" t="s">
        <v>177</v>
      </c>
      <c r="D475" t="str">
        <f>Graph_Ortho!$C$6</f>
        <v>USU30</v>
      </c>
      <c r="E475" t="str">
        <f t="shared" si="7"/>
        <v>Orthopedics USU30</v>
      </c>
      <c r="F475">
        <f>Graph_Ortho!$A30</f>
        <v>2036</v>
      </c>
      <c r="G475">
        <f>Graph_Ortho!$B30</f>
        <v>24</v>
      </c>
      <c r="H475" s="165">
        <f>Graph_Ortho!$C30</f>
        <v>1552669.9961114028</v>
      </c>
      <c r="I475" s="160">
        <f>InputData!$C$3</f>
        <v>0.02</v>
      </c>
      <c r="J475" s="160">
        <f>InputData!$C$4</f>
        <v>0.01</v>
      </c>
      <c r="K475" s="160">
        <f>InputData!$C$5</f>
        <v>0.01</v>
      </c>
      <c r="L475" s="160">
        <f>InputData!$C$6</f>
        <v>6.2100000000000002E-2</v>
      </c>
      <c r="M475" s="160">
        <f>InputData!$C$7</f>
        <v>0.03</v>
      </c>
      <c r="N475" s="160">
        <f>InputData!$C$8</f>
        <v>0.02</v>
      </c>
      <c r="O475" s="160">
        <f>InputData!$C$9</f>
        <v>0.06</v>
      </c>
      <c r="P475" s="160">
        <f>InputData!$C$10</f>
        <v>0.02</v>
      </c>
      <c r="Q475" s="160">
        <f>InputData!$C$11</f>
        <v>0.02</v>
      </c>
      <c r="R475" s="160">
        <f>InputData!$C$12</f>
        <v>0.02</v>
      </c>
      <c r="S475" s="160">
        <f>InputData!$C$13</f>
        <v>0.9</v>
      </c>
      <c r="T475" s="116">
        <f>InputData!$C$88</f>
        <v>180000</v>
      </c>
      <c r="U475" s="116">
        <f>InputData!$C$81</f>
        <v>178500</v>
      </c>
      <c r="V475" s="116">
        <f>InputData!$C$82</f>
        <v>303960</v>
      </c>
      <c r="W475" s="116">
        <f>InputData!$C$84</f>
        <v>215220</v>
      </c>
      <c r="X475" s="116">
        <f>InputData!$C$85</f>
        <v>409020</v>
      </c>
      <c r="Y475" s="116">
        <f>InputData!$C$116</f>
        <v>140000</v>
      </c>
      <c r="Z475" s="160">
        <f>InputData!$E$13</f>
        <v>0</v>
      </c>
    </row>
    <row r="476" spans="1:26" x14ac:dyDescent="0.25">
      <c r="A476">
        <f>InputData!$K$1</f>
        <v>2013</v>
      </c>
      <c r="B476" t="str">
        <f>InputData!$G$1</f>
        <v>San Antonio, TX</v>
      </c>
      <c r="C476" t="s">
        <v>177</v>
      </c>
      <c r="D476" t="str">
        <f>Graph_Ortho!$C$6</f>
        <v>USU30</v>
      </c>
      <c r="E476" t="str">
        <f t="shared" si="7"/>
        <v>Orthopedics USU30</v>
      </c>
      <c r="F476">
        <f>Graph_Ortho!$A31</f>
        <v>2037</v>
      </c>
      <c r="G476">
        <f>Graph_Ortho!$B31</f>
        <v>25</v>
      </c>
      <c r="H476" s="165">
        <f>Graph_Ortho!$C31</f>
        <v>1629635.0245071498</v>
      </c>
      <c r="I476" s="160">
        <f>InputData!$C$3</f>
        <v>0.02</v>
      </c>
      <c r="J476" s="160">
        <f>InputData!$C$4</f>
        <v>0.01</v>
      </c>
      <c r="K476" s="160">
        <f>InputData!$C$5</f>
        <v>0.01</v>
      </c>
      <c r="L476" s="160">
        <f>InputData!$C$6</f>
        <v>6.2100000000000002E-2</v>
      </c>
      <c r="M476" s="160">
        <f>InputData!$C$7</f>
        <v>0.03</v>
      </c>
      <c r="N476" s="160">
        <f>InputData!$C$8</f>
        <v>0.02</v>
      </c>
      <c r="O476" s="160">
        <f>InputData!$C$9</f>
        <v>0.06</v>
      </c>
      <c r="P476" s="160">
        <f>InputData!$C$10</f>
        <v>0.02</v>
      </c>
      <c r="Q476" s="160">
        <f>InputData!$C$11</f>
        <v>0.02</v>
      </c>
      <c r="R476" s="160">
        <f>InputData!$C$12</f>
        <v>0.02</v>
      </c>
      <c r="S476" s="160">
        <f>InputData!$C$13</f>
        <v>0.9</v>
      </c>
      <c r="T476" s="116">
        <f>InputData!$C$88</f>
        <v>180000</v>
      </c>
      <c r="U476" s="116">
        <f>InputData!$C$81</f>
        <v>178500</v>
      </c>
      <c r="V476" s="116">
        <f>InputData!$C$82</f>
        <v>303960</v>
      </c>
      <c r="W476" s="116">
        <f>InputData!$C$84</f>
        <v>215220</v>
      </c>
      <c r="X476" s="116">
        <f>InputData!$C$85</f>
        <v>409020</v>
      </c>
      <c r="Y476" s="116">
        <f>InputData!$C$116</f>
        <v>140000</v>
      </c>
      <c r="Z476" s="160">
        <f>InputData!$E$13</f>
        <v>0</v>
      </c>
    </row>
    <row r="477" spans="1:26" x14ac:dyDescent="0.25">
      <c r="A477">
        <f>InputData!$K$1</f>
        <v>2013</v>
      </c>
      <c r="B477" t="str">
        <f>InputData!$G$1</f>
        <v>San Antonio, TX</v>
      </c>
      <c r="C477" t="s">
        <v>177</v>
      </c>
      <c r="D477" t="str">
        <f>Graph_Ortho!$C$6</f>
        <v>USU30</v>
      </c>
      <c r="E477" t="str">
        <f t="shared" si="7"/>
        <v>Orthopedics USU30</v>
      </c>
      <c r="F477">
        <f>Graph_Ortho!$A32</f>
        <v>2038</v>
      </c>
      <c r="G477">
        <f>Graph_Ortho!$B32</f>
        <v>26</v>
      </c>
      <c r="H477" s="165">
        <f>Graph_Ortho!$C32</f>
        <v>1703676.4952129005</v>
      </c>
      <c r="I477" s="160">
        <f>InputData!$C$3</f>
        <v>0.02</v>
      </c>
      <c r="J477" s="160">
        <f>InputData!$C$4</f>
        <v>0.01</v>
      </c>
      <c r="K477" s="160">
        <f>InputData!$C$5</f>
        <v>0.01</v>
      </c>
      <c r="L477" s="160">
        <f>InputData!$C$6</f>
        <v>6.2100000000000002E-2</v>
      </c>
      <c r="M477" s="160">
        <f>InputData!$C$7</f>
        <v>0.03</v>
      </c>
      <c r="N477" s="160">
        <f>InputData!$C$8</f>
        <v>0.02</v>
      </c>
      <c r="O477" s="160">
        <f>InputData!$C$9</f>
        <v>0.06</v>
      </c>
      <c r="P477" s="160">
        <f>InputData!$C$10</f>
        <v>0.02</v>
      </c>
      <c r="Q477" s="160">
        <f>InputData!$C$11</f>
        <v>0.02</v>
      </c>
      <c r="R477" s="160">
        <f>InputData!$C$12</f>
        <v>0.02</v>
      </c>
      <c r="S477" s="160">
        <f>InputData!$C$13</f>
        <v>0.9</v>
      </c>
      <c r="T477" s="116">
        <f>InputData!$C$88</f>
        <v>180000</v>
      </c>
      <c r="U477" s="116">
        <f>InputData!$C$81</f>
        <v>178500</v>
      </c>
      <c r="V477" s="116">
        <f>InputData!$C$82</f>
        <v>303960</v>
      </c>
      <c r="W477" s="116">
        <f>InputData!$C$84</f>
        <v>215220</v>
      </c>
      <c r="X477" s="116">
        <f>InputData!$C$85</f>
        <v>409020</v>
      </c>
      <c r="Y477" s="116">
        <f>InputData!$C$116</f>
        <v>140000</v>
      </c>
      <c r="Z477" s="160">
        <f>InputData!$E$13</f>
        <v>0</v>
      </c>
    </row>
    <row r="478" spans="1:26" x14ac:dyDescent="0.25">
      <c r="A478">
        <f>InputData!$K$1</f>
        <v>2013</v>
      </c>
      <c r="B478" t="str">
        <f>InputData!$G$1</f>
        <v>San Antonio, TX</v>
      </c>
      <c r="C478" t="s">
        <v>177</v>
      </c>
      <c r="D478" t="str">
        <f>Graph_Ortho!$C$6</f>
        <v>USU30</v>
      </c>
      <c r="E478" t="str">
        <f t="shared" si="7"/>
        <v>Orthopedics USU30</v>
      </c>
      <c r="F478">
        <f>Graph_Ortho!$A33</f>
        <v>2039</v>
      </c>
      <c r="G478">
        <f>Graph_Ortho!$B33</f>
        <v>27</v>
      </c>
      <c r="H478" s="165">
        <f>Graph_Ortho!$C33</f>
        <v>1776295.7581278048</v>
      </c>
      <c r="I478" s="160">
        <f>InputData!$C$3</f>
        <v>0.02</v>
      </c>
      <c r="J478" s="160">
        <f>InputData!$C$4</f>
        <v>0.01</v>
      </c>
      <c r="K478" s="160">
        <f>InputData!$C$5</f>
        <v>0.01</v>
      </c>
      <c r="L478" s="160">
        <f>InputData!$C$6</f>
        <v>6.2100000000000002E-2</v>
      </c>
      <c r="M478" s="160">
        <f>InputData!$C$7</f>
        <v>0.03</v>
      </c>
      <c r="N478" s="160">
        <f>InputData!$C$8</f>
        <v>0.02</v>
      </c>
      <c r="O478" s="160">
        <f>InputData!$C$9</f>
        <v>0.06</v>
      </c>
      <c r="P478" s="160">
        <f>InputData!$C$10</f>
        <v>0.02</v>
      </c>
      <c r="Q478" s="160">
        <f>InputData!$C$11</f>
        <v>0.02</v>
      </c>
      <c r="R478" s="160">
        <f>InputData!$C$12</f>
        <v>0.02</v>
      </c>
      <c r="S478" s="160">
        <f>InputData!$C$13</f>
        <v>0.9</v>
      </c>
      <c r="T478" s="116">
        <f>InputData!$C$88</f>
        <v>180000</v>
      </c>
      <c r="U478" s="116">
        <f>InputData!$C$81</f>
        <v>178500</v>
      </c>
      <c r="V478" s="116">
        <f>InputData!$C$82</f>
        <v>303960</v>
      </c>
      <c r="W478" s="116">
        <f>InputData!$C$84</f>
        <v>215220</v>
      </c>
      <c r="X478" s="116">
        <f>InputData!$C$85</f>
        <v>409020</v>
      </c>
      <c r="Y478" s="116">
        <f>InputData!$C$116</f>
        <v>140000</v>
      </c>
      <c r="Z478" s="160">
        <f>InputData!$E$13</f>
        <v>0</v>
      </c>
    </row>
    <row r="479" spans="1:26" x14ac:dyDescent="0.25">
      <c r="A479">
        <f>InputData!$K$1</f>
        <v>2013</v>
      </c>
      <c r="B479" t="str">
        <f>InputData!$G$1</f>
        <v>San Antonio, TX</v>
      </c>
      <c r="C479" t="s">
        <v>177</v>
      </c>
      <c r="D479" t="str">
        <f>Graph_Ortho!$C$6</f>
        <v>USU30</v>
      </c>
      <c r="E479" t="str">
        <f t="shared" si="7"/>
        <v>Orthopedics USU30</v>
      </c>
      <c r="F479">
        <f>Graph_Ortho!$A34</f>
        <v>2040</v>
      </c>
      <c r="G479">
        <f>Graph_Ortho!$B34</f>
        <v>28</v>
      </c>
      <c r="H479" s="165">
        <f>Graph_Ortho!$C34</f>
        <v>1846156.4918973981</v>
      </c>
      <c r="I479" s="160">
        <f>InputData!$C$3</f>
        <v>0.02</v>
      </c>
      <c r="J479" s="160">
        <f>InputData!$C$4</f>
        <v>0.01</v>
      </c>
      <c r="K479" s="160">
        <f>InputData!$C$5</f>
        <v>0.01</v>
      </c>
      <c r="L479" s="160">
        <f>InputData!$C$6</f>
        <v>6.2100000000000002E-2</v>
      </c>
      <c r="M479" s="160">
        <f>InputData!$C$7</f>
        <v>0.03</v>
      </c>
      <c r="N479" s="160">
        <f>InputData!$C$8</f>
        <v>0.02</v>
      </c>
      <c r="O479" s="160">
        <f>InputData!$C$9</f>
        <v>0.06</v>
      </c>
      <c r="P479" s="160">
        <f>InputData!$C$10</f>
        <v>0.02</v>
      </c>
      <c r="Q479" s="160">
        <f>InputData!$C$11</f>
        <v>0.02</v>
      </c>
      <c r="R479" s="160">
        <f>InputData!$C$12</f>
        <v>0.02</v>
      </c>
      <c r="S479" s="160">
        <f>InputData!$C$13</f>
        <v>0.9</v>
      </c>
      <c r="T479" s="116">
        <f>InputData!$C$88</f>
        <v>180000</v>
      </c>
      <c r="U479" s="116">
        <f>InputData!$C$81</f>
        <v>178500</v>
      </c>
      <c r="V479" s="116">
        <f>InputData!$C$82</f>
        <v>303960</v>
      </c>
      <c r="W479" s="116">
        <f>InputData!$C$84</f>
        <v>215220</v>
      </c>
      <c r="X479" s="116">
        <f>InputData!$C$85</f>
        <v>409020</v>
      </c>
      <c r="Y479" s="116">
        <f>InputData!$C$116</f>
        <v>140000</v>
      </c>
      <c r="Z479" s="160">
        <f>InputData!$E$13</f>
        <v>0</v>
      </c>
    </row>
    <row r="480" spans="1:26" x14ac:dyDescent="0.25">
      <c r="A480">
        <f>InputData!$K$1</f>
        <v>2013</v>
      </c>
      <c r="B480" t="str">
        <f>InputData!$G$1</f>
        <v>San Antonio, TX</v>
      </c>
      <c r="C480" t="s">
        <v>177</v>
      </c>
      <c r="D480" t="str">
        <f>Graph_Ortho!$C$6</f>
        <v>USU30</v>
      </c>
      <c r="E480" t="str">
        <f t="shared" si="7"/>
        <v>Orthopedics USU30</v>
      </c>
      <c r="F480">
        <f>Graph_Ortho!$A35</f>
        <v>2041</v>
      </c>
      <c r="G480">
        <f>Graph_Ortho!$B35</f>
        <v>29</v>
      </c>
      <c r="H480" s="165">
        <f>Graph_Ortho!$C35</f>
        <v>1913363.9061486991</v>
      </c>
      <c r="I480" s="160">
        <f>InputData!$C$3</f>
        <v>0.02</v>
      </c>
      <c r="J480" s="160">
        <f>InputData!$C$4</f>
        <v>0.01</v>
      </c>
      <c r="K480" s="160">
        <f>InputData!$C$5</f>
        <v>0.01</v>
      </c>
      <c r="L480" s="160">
        <f>InputData!$C$6</f>
        <v>6.2100000000000002E-2</v>
      </c>
      <c r="M480" s="160">
        <f>InputData!$C$7</f>
        <v>0.03</v>
      </c>
      <c r="N480" s="160">
        <f>InputData!$C$8</f>
        <v>0.02</v>
      </c>
      <c r="O480" s="160">
        <f>InputData!$C$9</f>
        <v>0.06</v>
      </c>
      <c r="P480" s="160">
        <f>InputData!$C$10</f>
        <v>0.02</v>
      </c>
      <c r="Q480" s="160">
        <f>InputData!$C$11</f>
        <v>0.02</v>
      </c>
      <c r="R480" s="160">
        <f>InputData!$C$12</f>
        <v>0.02</v>
      </c>
      <c r="S480" s="160">
        <f>InputData!$C$13</f>
        <v>0.9</v>
      </c>
      <c r="T480" s="116">
        <f>InputData!$C$88</f>
        <v>180000</v>
      </c>
      <c r="U480" s="116">
        <f>InputData!$C$81</f>
        <v>178500</v>
      </c>
      <c r="V480" s="116">
        <f>InputData!$C$82</f>
        <v>303960</v>
      </c>
      <c r="W480" s="116">
        <f>InputData!$C$84</f>
        <v>215220</v>
      </c>
      <c r="X480" s="116">
        <f>InputData!$C$85</f>
        <v>409020</v>
      </c>
      <c r="Y480" s="116">
        <f>InputData!$C$116</f>
        <v>140000</v>
      </c>
      <c r="Z480" s="160">
        <f>InputData!$E$13</f>
        <v>0</v>
      </c>
    </row>
    <row r="481" spans="1:26" x14ac:dyDescent="0.25">
      <c r="A481">
        <f>InputData!$K$1</f>
        <v>2013</v>
      </c>
      <c r="B481" t="str">
        <f>InputData!$G$1</f>
        <v>San Antonio, TX</v>
      </c>
      <c r="C481" t="s">
        <v>177</v>
      </c>
      <c r="D481" t="str">
        <f>Graph_Ortho!$C$6</f>
        <v>USU30</v>
      </c>
      <c r="E481" t="str">
        <f t="shared" si="7"/>
        <v>Orthopedics USU30</v>
      </c>
      <c r="F481">
        <f>Graph_Ortho!$A36</f>
        <v>2042</v>
      </c>
      <c r="G481">
        <f>Graph_Ortho!$B36</f>
        <v>30</v>
      </c>
      <c r="H481" s="165">
        <f>Graph_Ortho!$C36</f>
        <v>1978019.1852871627</v>
      </c>
      <c r="I481" s="160">
        <f>InputData!$C$3</f>
        <v>0.02</v>
      </c>
      <c r="J481" s="160">
        <f>InputData!$C$4</f>
        <v>0.01</v>
      </c>
      <c r="K481" s="160">
        <f>InputData!$C$5</f>
        <v>0.01</v>
      </c>
      <c r="L481" s="160">
        <f>InputData!$C$6</f>
        <v>6.2100000000000002E-2</v>
      </c>
      <c r="M481" s="160">
        <f>InputData!$C$7</f>
        <v>0.03</v>
      </c>
      <c r="N481" s="160">
        <f>InputData!$C$8</f>
        <v>0.02</v>
      </c>
      <c r="O481" s="160">
        <f>InputData!$C$9</f>
        <v>0.06</v>
      </c>
      <c r="P481" s="160">
        <f>InputData!$C$10</f>
        <v>0.02</v>
      </c>
      <c r="Q481" s="160">
        <f>InputData!$C$11</f>
        <v>0.02</v>
      </c>
      <c r="R481" s="160">
        <f>InputData!$C$12</f>
        <v>0.02</v>
      </c>
      <c r="S481" s="160">
        <f>InputData!$C$13</f>
        <v>0.9</v>
      </c>
      <c r="T481" s="116">
        <f>InputData!$C$88</f>
        <v>180000</v>
      </c>
      <c r="U481" s="116">
        <f>InputData!$C$81</f>
        <v>178500</v>
      </c>
      <c r="V481" s="116">
        <f>InputData!$C$82</f>
        <v>303960</v>
      </c>
      <c r="W481" s="116">
        <f>InputData!$C$84</f>
        <v>215220</v>
      </c>
      <c r="X481" s="116">
        <f>InputData!$C$85</f>
        <v>409020</v>
      </c>
      <c r="Y481" s="116">
        <f>InputData!$C$116</f>
        <v>140000</v>
      </c>
      <c r="Z481" s="160">
        <f>InputData!$E$13</f>
        <v>0</v>
      </c>
    </row>
    <row r="482" spans="1:26" x14ac:dyDescent="0.25">
      <c r="A482">
        <f>InputData!$K$1</f>
        <v>2013</v>
      </c>
      <c r="B482" t="str">
        <f>InputData!$G$1</f>
        <v>San Antonio, TX</v>
      </c>
      <c r="C482" t="s">
        <v>177</v>
      </c>
      <c r="D482" t="str">
        <f>Graph_Ortho!$D$6</f>
        <v>HPSP30</v>
      </c>
      <c r="E482" t="str">
        <f t="shared" si="7"/>
        <v>Orthopedics HPSP30</v>
      </c>
      <c r="F482">
        <f>Graph_Ortho!$A7</f>
        <v>2013</v>
      </c>
      <c r="G482">
        <f>Graph_Ortho!$B7</f>
        <v>1</v>
      </c>
      <c r="H482" s="165">
        <f>Graph_Ortho!$D7</f>
        <v>43551.744866529771</v>
      </c>
      <c r="I482" s="160">
        <f>InputData!$C$3</f>
        <v>0.02</v>
      </c>
      <c r="J482" s="160">
        <f>InputData!$C$4</f>
        <v>0.01</v>
      </c>
      <c r="K482" s="160">
        <f>InputData!$C$5</f>
        <v>0.01</v>
      </c>
      <c r="L482" s="160">
        <f>InputData!$C$6</f>
        <v>6.2100000000000002E-2</v>
      </c>
      <c r="M482" s="160">
        <f>InputData!$C$7</f>
        <v>0.03</v>
      </c>
      <c r="N482" s="160">
        <f>InputData!$C$8</f>
        <v>0.02</v>
      </c>
      <c r="O482" s="160">
        <f>InputData!$C$9</f>
        <v>0.06</v>
      </c>
      <c r="P482" s="160">
        <f>InputData!$C$10</f>
        <v>0.02</v>
      </c>
      <c r="Q482" s="160">
        <f>InputData!$C$11</f>
        <v>0.02</v>
      </c>
      <c r="R482" s="160">
        <f>InputData!$C$12</f>
        <v>0.02</v>
      </c>
      <c r="S482" s="160">
        <f>InputData!$C$13</f>
        <v>0.9</v>
      </c>
      <c r="T482" s="116">
        <f>InputData!$C$88</f>
        <v>180000</v>
      </c>
      <c r="U482" s="116">
        <f>InputData!$C$81</f>
        <v>178500</v>
      </c>
      <c r="V482" s="116">
        <f>InputData!$C$82</f>
        <v>303960</v>
      </c>
      <c r="W482" s="116">
        <f>InputData!$C$84</f>
        <v>215220</v>
      </c>
      <c r="X482" s="116">
        <f>InputData!$C$85</f>
        <v>409020</v>
      </c>
      <c r="Y482" s="116">
        <f>InputData!$C$116</f>
        <v>140000</v>
      </c>
      <c r="Z482" s="160">
        <f>InputData!$E$13</f>
        <v>0</v>
      </c>
    </row>
    <row r="483" spans="1:26" x14ac:dyDescent="0.25">
      <c r="A483">
        <f>InputData!$K$1</f>
        <v>2013</v>
      </c>
      <c r="B483" t="str">
        <f>InputData!$G$1</f>
        <v>San Antonio, TX</v>
      </c>
      <c r="C483" t="s">
        <v>177</v>
      </c>
      <c r="D483" t="str">
        <f>Graph_Ortho!$D$6</f>
        <v>HPSP30</v>
      </c>
      <c r="E483" t="str">
        <f t="shared" si="7"/>
        <v>Orthopedics HPSP30</v>
      </c>
      <c r="F483">
        <f>Graph_Ortho!$A8</f>
        <v>2014</v>
      </c>
      <c r="G483">
        <f>Graph_Ortho!$B8</f>
        <v>2</v>
      </c>
      <c r="H483" s="165">
        <f>Graph_Ortho!$D8</f>
        <v>69389.851463288214</v>
      </c>
      <c r="I483" s="160">
        <f>InputData!$C$3</f>
        <v>0.02</v>
      </c>
      <c r="J483" s="160">
        <f>InputData!$C$4</f>
        <v>0.01</v>
      </c>
      <c r="K483" s="160">
        <f>InputData!$C$5</f>
        <v>0.01</v>
      </c>
      <c r="L483" s="160">
        <f>InputData!$C$6</f>
        <v>6.2100000000000002E-2</v>
      </c>
      <c r="M483" s="160">
        <f>InputData!$C$7</f>
        <v>0.03</v>
      </c>
      <c r="N483" s="160">
        <f>InputData!$C$8</f>
        <v>0.02</v>
      </c>
      <c r="O483" s="160">
        <f>InputData!$C$9</f>
        <v>0.06</v>
      </c>
      <c r="P483" s="160">
        <f>InputData!$C$10</f>
        <v>0.02</v>
      </c>
      <c r="Q483" s="160">
        <f>InputData!$C$11</f>
        <v>0.02</v>
      </c>
      <c r="R483" s="160">
        <f>InputData!$C$12</f>
        <v>0.02</v>
      </c>
      <c r="S483" s="160">
        <f>InputData!$C$13</f>
        <v>0.9</v>
      </c>
      <c r="T483" s="116">
        <f>InputData!$C$88</f>
        <v>180000</v>
      </c>
      <c r="U483" s="116">
        <f>InputData!$C$81</f>
        <v>178500</v>
      </c>
      <c r="V483" s="116">
        <f>InputData!$C$82</f>
        <v>303960</v>
      </c>
      <c r="W483" s="116">
        <f>InputData!$C$84</f>
        <v>215220</v>
      </c>
      <c r="X483" s="116">
        <f>InputData!$C$85</f>
        <v>409020</v>
      </c>
      <c r="Y483" s="116">
        <f>InputData!$C$116</f>
        <v>140000</v>
      </c>
      <c r="Z483" s="160">
        <f>InputData!$E$13</f>
        <v>0</v>
      </c>
    </row>
    <row r="484" spans="1:26" x14ac:dyDescent="0.25">
      <c r="A484">
        <f>InputData!$K$1</f>
        <v>2013</v>
      </c>
      <c r="B484" t="str">
        <f>InputData!$G$1</f>
        <v>San Antonio, TX</v>
      </c>
      <c r="C484" t="s">
        <v>177</v>
      </c>
      <c r="D484" t="str">
        <f>Graph_Ortho!$D$6</f>
        <v>HPSP30</v>
      </c>
      <c r="E484" t="str">
        <f t="shared" si="7"/>
        <v>Orthopedics HPSP30</v>
      </c>
      <c r="F484">
        <f>Graph_Ortho!$A9</f>
        <v>2015</v>
      </c>
      <c r="G484">
        <f>Graph_Ortho!$B9</f>
        <v>3</v>
      </c>
      <c r="H484" s="165">
        <f>Graph_Ortho!$D9</f>
        <v>94384.024082394724</v>
      </c>
      <c r="I484" s="160">
        <f>InputData!$C$3</f>
        <v>0.02</v>
      </c>
      <c r="J484" s="160">
        <f>InputData!$C$4</f>
        <v>0.01</v>
      </c>
      <c r="K484" s="160">
        <f>InputData!$C$5</f>
        <v>0.01</v>
      </c>
      <c r="L484" s="160">
        <f>InputData!$C$6</f>
        <v>6.2100000000000002E-2</v>
      </c>
      <c r="M484" s="160">
        <f>InputData!$C$7</f>
        <v>0.03</v>
      </c>
      <c r="N484" s="160">
        <f>InputData!$C$8</f>
        <v>0.02</v>
      </c>
      <c r="O484" s="160">
        <f>InputData!$C$9</f>
        <v>0.06</v>
      </c>
      <c r="P484" s="160">
        <f>InputData!$C$10</f>
        <v>0.02</v>
      </c>
      <c r="Q484" s="160">
        <f>InputData!$C$11</f>
        <v>0.02</v>
      </c>
      <c r="R484" s="160">
        <f>InputData!$C$12</f>
        <v>0.02</v>
      </c>
      <c r="S484" s="160">
        <f>InputData!$C$13</f>
        <v>0.9</v>
      </c>
      <c r="T484" s="116">
        <f>InputData!$C$88</f>
        <v>180000</v>
      </c>
      <c r="U484" s="116">
        <f>InputData!$C$81</f>
        <v>178500</v>
      </c>
      <c r="V484" s="116">
        <f>InputData!$C$82</f>
        <v>303960</v>
      </c>
      <c r="W484" s="116">
        <f>InputData!$C$84</f>
        <v>215220</v>
      </c>
      <c r="X484" s="116">
        <f>InputData!$C$85</f>
        <v>409020</v>
      </c>
      <c r="Y484" s="116">
        <f>InputData!$C$116</f>
        <v>140000</v>
      </c>
      <c r="Z484" s="160">
        <f>InputData!$E$13</f>
        <v>0</v>
      </c>
    </row>
    <row r="485" spans="1:26" x14ac:dyDescent="0.25">
      <c r="A485">
        <f>InputData!$K$1</f>
        <v>2013</v>
      </c>
      <c r="B485" t="str">
        <f>InputData!$G$1</f>
        <v>San Antonio, TX</v>
      </c>
      <c r="C485" t="s">
        <v>177</v>
      </c>
      <c r="D485" t="str">
        <f>Graph_Ortho!$D$6</f>
        <v>HPSP30</v>
      </c>
      <c r="E485" t="str">
        <f t="shared" si="7"/>
        <v>Orthopedics HPSP30</v>
      </c>
      <c r="F485">
        <f>Graph_Ortho!$A10</f>
        <v>2016</v>
      </c>
      <c r="G485">
        <f>Graph_Ortho!$B10</f>
        <v>4</v>
      </c>
      <c r="H485" s="165">
        <f>Graph_Ortho!$D10</f>
        <v>119127.82998672797</v>
      </c>
      <c r="I485" s="160">
        <f>InputData!$C$3</f>
        <v>0.02</v>
      </c>
      <c r="J485" s="160">
        <f>InputData!$C$4</f>
        <v>0.01</v>
      </c>
      <c r="K485" s="160">
        <f>InputData!$C$5</f>
        <v>0.01</v>
      </c>
      <c r="L485" s="160">
        <f>InputData!$C$6</f>
        <v>6.2100000000000002E-2</v>
      </c>
      <c r="M485" s="160">
        <f>InputData!$C$7</f>
        <v>0.03</v>
      </c>
      <c r="N485" s="160">
        <f>InputData!$C$8</f>
        <v>0.02</v>
      </c>
      <c r="O485" s="160">
        <f>InputData!$C$9</f>
        <v>0.06</v>
      </c>
      <c r="P485" s="160">
        <f>InputData!$C$10</f>
        <v>0.02</v>
      </c>
      <c r="Q485" s="160">
        <f>InputData!$C$11</f>
        <v>0.02</v>
      </c>
      <c r="R485" s="160">
        <f>InputData!$C$12</f>
        <v>0.02</v>
      </c>
      <c r="S485" s="160">
        <f>InputData!$C$13</f>
        <v>0.9</v>
      </c>
      <c r="T485" s="116">
        <f>InputData!$C$88</f>
        <v>180000</v>
      </c>
      <c r="U485" s="116">
        <f>InputData!$C$81</f>
        <v>178500</v>
      </c>
      <c r="V485" s="116">
        <f>InputData!$C$82</f>
        <v>303960</v>
      </c>
      <c r="W485" s="116">
        <f>InputData!$C$84</f>
        <v>215220</v>
      </c>
      <c r="X485" s="116">
        <f>InputData!$C$85</f>
        <v>409020</v>
      </c>
      <c r="Y485" s="116">
        <f>InputData!$C$116</f>
        <v>140000</v>
      </c>
      <c r="Z485" s="160">
        <f>InputData!$E$13</f>
        <v>0</v>
      </c>
    </row>
    <row r="486" spans="1:26" x14ac:dyDescent="0.25">
      <c r="A486">
        <f>InputData!$K$1</f>
        <v>2013</v>
      </c>
      <c r="B486" t="str">
        <f>InputData!$G$1</f>
        <v>San Antonio, TX</v>
      </c>
      <c r="C486" t="s">
        <v>177</v>
      </c>
      <c r="D486" t="str">
        <f>Graph_Ortho!$D$6</f>
        <v>HPSP30</v>
      </c>
      <c r="E486" t="str">
        <f t="shared" si="7"/>
        <v>Orthopedics HPSP30</v>
      </c>
      <c r="F486">
        <f>Graph_Ortho!$A11</f>
        <v>2017</v>
      </c>
      <c r="G486">
        <f>Graph_Ortho!$B11</f>
        <v>5</v>
      </c>
      <c r="H486" s="165">
        <f>Graph_Ortho!$D11</f>
        <v>169089.82248832227</v>
      </c>
      <c r="I486" s="160">
        <f>InputData!$C$3</f>
        <v>0.02</v>
      </c>
      <c r="J486" s="160">
        <f>InputData!$C$4</f>
        <v>0.01</v>
      </c>
      <c r="K486" s="160">
        <f>InputData!$C$5</f>
        <v>0.01</v>
      </c>
      <c r="L486" s="160">
        <f>InputData!$C$6</f>
        <v>6.2100000000000002E-2</v>
      </c>
      <c r="M486" s="160">
        <f>InputData!$C$7</f>
        <v>0.03</v>
      </c>
      <c r="N486" s="160">
        <f>InputData!$C$8</f>
        <v>0.02</v>
      </c>
      <c r="O486" s="160">
        <f>InputData!$C$9</f>
        <v>0.06</v>
      </c>
      <c r="P486" s="160">
        <f>InputData!$C$10</f>
        <v>0.02</v>
      </c>
      <c r="Q486" s="160">
        <f>InputData!$C$11</f>
        <v>0.02</v>
      </c>
      <c r="R486" s="160">
        <f>InputData!$C$12</f>
        <v>0.02</v>
      </c>
      <c r="S486" s="160">
        <f>InputData!$C$13</f>
        <v>0.9</v>
      </c>
      <c r="T486" s="116">
        <f>InputData!$C$88</f>
        <v>180000</v>
      </c>
      <c r="U486" s="116">
        <f>InputData!$C$81</f>
        <v>178500</v>
      </c>
      <c r="V486" s="116">
        <f>InputData!$C$82</f>
        <v>303960</v>
      </c>
      <c r="W486" s="116">
        <f>InputData!$C$84</f>
        <v>215220</v>
      </c>
      <c r="X486" s="116">
        <f>InputData!$C$85</f>
        <v>409020</v>
      </c>
      <c r="Y486" s="116">
        <f>InputData!$C$116</f>
        <v>140000</v>
      </c>
      <c r="Z486" s="160">
        <f>InputData!$E$13</f>
        <v>0</v>
      </c>
    </row>
    <row r="487" spans="1:26" x14ac:dyDescent="0.25">
      <c r="A487">
        <f>InputData!$K$1</f>
        <v>2013</v>
      </c>
      <c r="B487" t="str">
        <f>InputData!$G$1</f>
        <v>San Antonio, TX</v>
      </c>
      <c r="C487" t="s">
        <v>177</v>
      </c>
      <c r="D487" t="str">
        <f>Graph_Ortho!$D$6</f>
        <v>HPSP30</v>
      </c>
      <c r="E487" t="str">
        <f t="shared" si="7"/>
        <v>Orthopedics HPSP30</v>
      </c>
      <c r="F487">
        <f>Graph_Ortho!$A12</f>
        <v>2018</v>
      </c>
      <c r="G487">
        <f>Graph_Ortho!$B12</f>
        <v>6</v>
      </c>
      <c r="H487" s="165">
        <f>Graph_Ortho!$D12</f>
        <v>219350.65217600405</v>
      </c>
      <c r="I487" s="160">
        <f>InputData!$C$3</f>
        <v>0.02</v>
      </c>
      <c r="J487" s="160">
        <f>InputData!$C$4</f>
        <v>0.01</v>
      </c>
      <c r="K487" s="160">
        <f>InputData!$C$5</f>
        <v>0.01</v>
      </c>
      <c r="L487" s="160">
        <f>InputData!$C$6</f>
        <v>6.2100000000000002E-2</v>
      </c>
      <c r="M487" s="160">
        <f>InputData!$C$7</f>
        <v>0.03</v>
      </c>
      <c r="N487" s="160">
        <f>InputData!$C$8</f>
        <v>0.02</v>
      </c>
      <c r="O487" s="160">
        <f>InputData!$C$9</f>
        <v>0.06</v>
      </c>
      <c r="P487" s="160">
        <f>InputData!$C$10</f>
        <v>0.02</v>
      </c>
      <c r="Q487" s="160">
        <f>InputData!$C$11</f>
        <v>0.02</v>
      </c>
      <c r="R487" s="160">
        <f>InputData!$C$12</f>
        <v>0.02</v>
      </c>
      <c r="S487" s="160">
        <f>InputData!$C$13</f>
        <v>0.9</v>
      </c>
      <c r="T487" s="116">
        <f>InputData!$C$88</f>
        <v>180000</v>
      </c>
      <c r="U487" s="116">
        <f>InputData!$C$81</f>
        <v>178500</v>
      </c>
      <c r="V487" s="116">
        <f>InputData!$C$82</f>
        <v>303960</v>
      </c>
      <c r="W487" s="116">
        <f>InputData!$C$84</f>
        <v>215220</v>
      </c>
      <c r="X487" s="116">
        <f>InputData!$C$85</f>
        <v>409020</v>
      </c>
      <c r="Y487" s="116">
        <f>InputData!$C$116</f>
        <v>140000</v>
      </c>
      <c r="Z487" s="160">
        <f>InputData!$E$13</f>
        <v>0</v>
      </c>
    </row>
    <row r="488" spans="1:26" x14ac:dyDescent="0.25">
      <c r="A488">
        <f>InputData!$K$1</f>
        <v>2013</v>
      </c>
      <c r="B488" t="str">
        <f>InputData!$G$1</f>
        <v>San Antonio, TX</v>
      </c>
      <c r="C488" t="s">
        <v>177</v>
      </c>
      <c r="D488" t="str">
        <f>Graph_Ortho!$D$6</f>
        <v>HPSP30</v>
      </c>
      <c r="E488" t="str">
        <f t="shared" si="7"/>
        <v>Orthopedics HPSP30</v>
      </c>
      <c r="F488">
        <f>Graph_Ortho!$A13</f>
        <v>2019</v>
      </c>
      <c r="G488">
        <f>Graph_Ortho!$B13</f>
        <v>7</v>
      </c>
      <c r="H488" s="165">
        <f>Graph_Ortho!$D13</f>
        <v>270992.25439901254</v>
      </c>
      <c r="I488" s="160">
        <f>InputData!$C$3</f>
        <v>0.02</v>
      </c>
      <c r="J488" s="160">
        <f>InputData!$C$4</f>
        <v>0.01</v>
      </c>
      <c r="K488" s="160">
        <f>InputData!$C$5</f>
        <v>0.01</v>
      </c>
      <c r="L488" s="160">
        <f>InputData!$C$6</f>
        <v>6.2100000000000002E-2</v>
      </c>
      <c r="M488" s="160">
        <f>InputData!$C$7</f>
        <v>0.03</v>
      </c>
      <c r="N488" s="160">
        <f>InputData!$C$8</f>
        <v>0.02</v>
      </c>
      <c r="O488" s="160">
        <f>InputData!$C$9</f>
        <v>0.06</v>
      </c>
      <c r="P488" s="160">
        <f>InputData!$C$10</f>
        <v>0.02</v>
      </c>
      <c r="Q488" s="160">
        <f>InputData!$C$11</f>
        <v>0.02</v>
      </c>
      <c r="R488" s="160">
        <f>InputData!$C$12</f>
        <v>0.02</v>
      </c>
      <c r="S488" s="160">
        <f>InputData!$C$13</f>
        <v>0.9</v>
      </c>
      <c r="T488" s="116">
        <f>InputData!$C$88</f>
        <v>180000</v>
      </c>
      <c r="U488" s="116">
        <f>InputData!$C$81</f>
        <v>178500</v>
      </c>
      <c r="V488" s="116">
        <f>InputData!$C$82</f>
        <v>303960</v>
      </c>
      <c r="W488" s="116">
        <f>InputData!$C$84</f>
        <v>215220</v>
      </c>
      <c r="X488" s="116">
        <f>InputData!$C$85</f>
        <v>409020</v>
      </c>
      <c r="Y488" s="116">
        <f>InputData!$C$116</f>
        <v>140000</v>
      </c>
      <c r="Z488" s="160">
        <f>InputData!$E$13</f>
        <v>0</v>
      </c>
    </row>
    <row r="489" spans="1:26" x14ac:dyDescent="0.25">
      <c r="A489">
        <f>InputData!$K$1</f>
        <v>2013</v>
      </c>
      <c r="B489" t="str">
        <f>InputData!$G$1</f>
        <v>San Antonio, TX</v>
      </c>
      <c r="C489" t="s">
        <v>177</v>
      </c>
      <c r="D489" t="str">
        <f>Graph_Ortho!$D$6</f>
        <v>HPSP30</v>
      </c>
      <c r="E489" t="str">
        <f t="shared" si="7"/>
        <v>Orthopedics HPSP30</v>
      </c>
      <c r="F489">
        <f>Graph_Ortho!$A14</f>
        <v>2020</v>
      </c>
      <c r="G489">
        <f>Graph_Ortho!$B14</f>
        <v>8</v>
      </c>
      <c r="H489" s="165">
        <f>Graph_Ortho!$D14</f>
        <v>322806.62031125103</v>
      </c>
      <c r="I489" s="160">
        <f>InputData!$C$3</f>
        <v>0.02</v>
      </c>
      <c r="J489" s="160">
        <f>InputData!$C$4</f>
        <v>0.01</v>
      </c>
      <c r="K489" s="160">
        <f>InputData!$C$5</f>
        <v>0.01</v>
      </c>
      <c r="L489" s="160">
        <f>InputData!$C$6</f>
        <v>6.2100000000000002E-2</v>
      </c>
      <c r="M489" s="160">
        <f>InputData!$C$7</f>
        <v>0.03</v>
      </c>
      <c r="N489" s="160">
        <f>InputData!$C$8</f>
        <v>0.02</v>
      </c>
      <c r="O489" s="160">
        <f>InputData!$C$9</f>
        <v>0.06</v>
      </c>
      <c r="P489" s="160">
        <f>InputData!$C$10</f>
        <v>0.02</v>
      </c>
      <c r="Q489" s="160">
        <f>InputData!$C$11</f>
        <v>0.02</v>
      </c>
      <c r="R489" s="160">
        <f>InputData!$C$12</f>
        <v>0.02</v>
      </c>
      <c r="S489" s="160">
        <f>InputData!$C$13</f>
        <v>0.9</v>
      </c>
      <c r="T489" s="116">
        <f>InputData!$C$88</f>
        <v>180000</v>
      </c>
      <c r="U489" s="116">
        <f>InputData!$C$81</f>
        <v>178500</v>
      </c>
      <c r="V489" s="116">
        <f>InputData!$C$82</f>
        <v>303960</v>
      </c>
      <c r="W489" s="116">
        <f>InputData!$C$84</f>
        <v>215220</v>
      </c>
      <c r="X489" s="116">
        <f>InputData!$C$85</f>
        <v>409020</v>
      </c>
      <c r="Y489" s="116">
        <f>InputData!$C$116</f>
        <v>140000</v>
      </c>
      <c r="Z489" s="160">
        <f>InputData!$E$13</f>
        <v>0</v>
      </c>
    </row>
    <row r="490" spans="1:26" x14ac:dyDescent="0.25">
      <c r="A490">
        <f>InputData!$K$1</f>
        <v>2013</v>
      </c>
      <c r="B490" t="str">
        <f>InputData!$G$1</f>
        <v>San Antonio, TX</v>
      </c>
      <c r="C490" t="s">
        <v>177</v>
      </c>
      <c r="D490" t="str">
        <f>Graph_Ortho!$D$6</f>
        <v>HPSP30</v>
      </c>
      <c r="E490" t="str">
        <f t="shared" si="7"/>
        <v>Orthopedics HPSP30</v>
      </c>
      <c r="F490">
        <f>Graph_Ortho!$A15</f>
        <v>2021</v>
      </c>
      <c r="G490">
        <f>Graph_Ortho!$B15</f>
        <v>9</v>
      </c>
      <c r="H490" s="165">
        <f>Graph_Ortho!$D15</f>
        <v>375167.2349965857</v>
      </c>
      <c r="I490" s="160">
        <f>InputData!$C$3</f>
        <v>0.02</v>
      </c>
      <c r="J490" s="160">
        <f>InputData!$C$4</f>
        <v>0.01</v>
      </c>
      <c r="K490" s="160">
        <f>InputData!$C$5</f>
        <v>0.01</v>
      </c>
      <c r="L490" s="160">
        <f>InputData!$C$6</f>
        <v>6.2100000000000002E-2</v>
      </c>
      <c r="M490" s="160">
        <f>InputData!$C$7</f>
        <v>0.03</v>
      </c>
      <c r="N490" s="160">
        <f>InputData!$C$8</f>
        <v>0.02</v>
      </c>
      <c r="O490" s="160">
        <f>InputData!$C$9</f>
        <v>0.06</v>
      </c>
      <c r="P490" s="160">
        <f>InputData!$C$10</f>
        <v>0.02</v>
      </c>
      <c r="Q490" s="160">
        <f>InputData!$C$11</f>
        <v>0.02</v>
      </c>
      <c r="R490" s="160">
        <f>InputData!$C$12</f>
        <v>0.02</v>
      </c>
      <c r="S490" s="160">
        <f>InputData!$C$13</f>
        <v>0.9</v>
      </c>
      <c r="T490" s="116">
        <f>InputData!$C$88</f>
        <v>180000</v>
      </c>
      <c r="U490" s="116">
        <f>InputData!$C$81</f>
        <v>178500</v>
      </c>
      <c r="V490" s="116">
        <f>InputData!$C$82</f>
        <v>303960</v>
      </c>
      <c r="W490" s="116">
        <f>InputData!$C$84</f>
        <v>215220</v>
      </c>
      <c r="X490" s="116">
        <f>InputData!$C$85</f>
        <v>409020</v>
      </c>
      <c r="Y490" s="116">
        <f>InputData!$C$116</f>
        <v>140000</v>
      </c>
      <c r="Z490" s="160">
        <f>InputData!$E$13</f>
        <v>0</v>
      </c>
    </row>
    <row r="491" spans="1:26" x14ac:dyDescent="0.25">
      <c r="A491">
        <f>InputData!$K$1</f>
        <v>2013</v>
      </c>
      <c r="B491" t="str">
        <f>InputData!$G$1</f>
        <v>San Antonio, TX</v>
      </c>
      <c r="C491" t="s">
        <v>177</v>
      </c>
      <c r="D491" t="str">
        <f>Graph_Ortho!$D$6</f>
        <v>HPSP30</v>
      </c>
      <c r="E491" t="str">
        <f t="shared" si="7"/>
        <v>Orthopedics HPSP30</v>
      </c>
      <c r="F491">
        <f>Graph_Ortho!$A16</f>
        <v>2022</v>
      </c>
      <c r="G491">
        <f>Graph_Ortho!$B16</f>
        <v>10</v>
      </c>
      <c r="H491" s="165">
        <f>Graph_Ortho!$D16</f>
        <v>432639.50205622433</v>
      </c>
      <c r="I491" s="160">
        <f>InputData!$C$3</f>
        <v>0.02</v>
      </c>
      <c r="J491" s="160">
        <f>InputData!$C$4</f>
        <v>0.01</v>
      </c>
      <c r="K491" s="160">
        <f>InputData!$C$5</f>
        <v>0.01</v>
      </c>
      <c r="L491" s="160">
        <f>InputData!$C$6</f>
        <v>6.2100000000000002E-2</v>
      </c>
      <c r="M491" s="160">
        <f>InputData!$C$7</f>
        <v>0.03</v>
      </c>
      <c r="N491" s="160">
        <f>InputData!$C$8</f>
        <v>0.02</v>
      </c>
      <c r="O491" s="160">
        <f>InputData!$C$9</f>
        <v>0.06</v>
      </c>
      <c r="P491" s="160">
        <f>InputData!$C$10</f>
        <v>0.02</v>
      </c>
      <c r="Q491" s="160">
        <f>InputData!$C$11</f>
        <v>0.02</v>
      </c>
      <c r="R491" s="160">
        <f>InputData!$C$12</f>
        <v>0.02</v>
      </c>
      <c r="S491" s="160">
        <f>InputData!$C$13</f>
        <v>0.9</v>
      </c>
      <c r="T491" s="116">
        <f>InputData!$C$88</f>
        <v>180000</v>
      </c>
      <c r="U491" s="116">
        <f>InputData!$C$81</f>
        <v>178500</v>
      </c>
      <c r="V491" s="116">
        <f>InputData!$C$82</f>
        <v>303960</v>
      </c>
      <c r="W491" s="116">
        <f>InputData!$C$84</f>
        <v>215220</v>
      </c>
      <c r="X491" s="116">
        <f>InputData!$C$85</f>
        <v>409020</v>
      </c>
      <c r="Y491" s="116">
        <f>InputData!$C$116</f>
        <v>140000</v>
      </c>
      <c r="Z491" s="160">
        <f>InputData!$E$13</f>
        <v>0</v>
      </c>
    </row>
    <row r="492" spans="1:26" x14ac:dyDescent="0.25">
      <c r="A492">
        <f>InputData!$K$1</f>
        <v>2013</v>
      </c>
      <c r="B492" t="str">
        <f>InputData!$G$1</f>
        <v>San Antonio, TX</v>
      </c>
      <c r="C492" t="s">
        <v>177</v>
      </c>
      <c r="D492" t="str">
        <f>Graph_Ortho!$D$6</f>
        <v>HPSP30</v>
      </c>
      <c r="E492" t="str">
        <f t="shared" si="7"/>
        <v>Orthopedics HPSP30</v>
      </c>
      <c r="F492">
        <f>Graph_Ortho!$A17</f>
        <v>2023</v>
      </c>
      <c r="G492">
        <f>Graph_Ortho!$B17</f>
        <v>11</v>
      </c>
      <c r="H492" s="165">
        <f>Graph_Ortho!$D17</f>
        <v>496325.29808331205</v>
      </c>
      <c r="I492" s="160">
        <f>InputData!$C$3</f>
        <v>0.02</v>
      </c>
      <c r="J492" s="160">
        <f>InputData!$C$4</f>
        <v>0.01</v>
      </c>
      <c r="K492" s="160">
        <f>InputData!$C$5</f>
        <v>0.01</v>
      </c>
      <c r="L492" s="160">
        <f>InputData!$C$6</f>
        <v>6.2100000000000002E-2</v>
      </c>
      <c r="M492" s="160">
        <f>InputData!$C$7</f>
        <v>0.03</v>
      </c>
      <c r="N492" s="160">
        <f>InputData!$C$8</f>
        <v>0.02</v>
      </c>
      <c r="O492" s="160">
        <f>InputData!$C$9</f>
        <v>0.06</v>
      </c>
      <c r="P492" s="160">
        <f>InputData!$C$10</f>
        <v>0.02</v>
      </c>
      <c r="Q492" s="160">
        <f>InputData!$C$11</f>
        <v>0.02</v>
      </c>
      <c r="R492" s="160">
        <f>InputData!$C$12</f>
        <v>0.02</v>
      </c>
      <c r="S492" s="160">
        <f>InputData!$C$13</f>
        <v>0.9</v>
      </c>
      <c r="T492" s="116">
        <f>InputData!$C$88</f>
        <v>180000</v>
      </c>
      <c r="U492" s="116">
        <f>InputData!$C$81</f>
        <v>178500</v>
      </c>
      <c r="V492" s="116">
        <f>InputData!$C$82</f>
        <v>303960</v>
      </c>
      <c r="W492" s="116">
        <f>InputData!$C$84</f>
        <v>215220</v>
      </c>
      <c r="X492" s="116">
        <f>InputData!$C$85</f>
        <v>409020</v>
      </c>
      <c r="Y492" s="116">
        <f>InputData!$C$116</f>
        <v>140000</v>
      </c>
      <c r="Z492" s="160">
        <f>InputData!$E$13</f>
        <v>0</v>
      </c>
    </row>
    <row r="493" spans="1:26" x14ac:dyDescent="0.25">
      <c r="A493">
        <f>InputData!$K$1</f>
        <v>2013</v>
      </c>
      <c r="B493" t="str">
        <f>InputData!$G$1</f>
        <v>San Antonio, TX</v>
      </c>
      <c r="C493" t="s">
        <v>177</v>
      </c>
      <c r="D493" t="str">
        <f>Graph_Ortho!$D$6</f>
        <v>HPSP30</v>
      </c>
      <c r="E493" t="str">
        <f t="shared" si="7"/>
        <v>Orthopedics HPSP30</v>
      </c>
      <c r="F493">
        <f>Graph_Ortho!$A18</f>
        <v>2024</v>
      </c>
      <c r="G493">
        <f>Graph_Ortho!$B18</f>
        <v>12</v>
      </c>
      <c r="H493" s="165">
        <f>Graph_Ortho!$D18</f>
        <v>557596.52429570619</v>
      </c>
      <c r="I493" s="160">
        <f>InputData!$C$3</f>
        <v>0.02</v>
      </c>
      <c r="J493" s="160">
        <f>InputData!$C$4</f>
        <v>0.01</v>
      </c>
      <c r="K493" s="160">
        <f>InputData!$C$5</f>
        <v>0.01</v>
      </c>
      <c r="L493" s="160">
        <f>InputData!$C$6</f>
        <v>6.2100000000000002E-2</v>
      </c>
      <c r="M493" s="160">
        <f>InputData!$C$7</f>
        <v>0.03</v>
      </c>
      <c r="N493" s="160">
        <f>InputData!$C$8</f>
        <v>0.02</v>
      </c>
      <c r="O493" s="160">
        <f>InputData!$C$9</f>
        <v>0.06</v>
      </c>
      <c r="P493" s="160">
        <f>InputData!$C$10</f>
        <v>0.02</v>
      </c>
      <c r="Q493" s="160">
        <f>InputData!$C$11</f>
        <v>0.02</v>
      </c>
      <c r="R493" s="160">
        <f>InputData!$C$12</f>
        <v>0.02</v>
      </c>
      <c r="S493" s="160">
        <f>InputData!$C$13</f>
        <v>0.9</v>
      </c>
      <c r="T493" s="116">
        <f>InputData!$C$88</f>
        <v>180000</v>
      </c>
      <c r="U493" s="116">
        <f>InputData!$C$81</f>
        <v>178500</v>
      </c>
      <c r="V493" s="116">
        <f>InputData!$C$82</f>
        <v>303960</v>
      </c>
      <c r="W493" s="116">
        <f>InputData!$C$84</f>
        <v>215220</v>
      </c>
      <c r="X493" s="116">
        <f>InputData!$C$85</f>
        <v>409020</v>
      </c>
      <c r="Y493" s="116">
        <f>InputData!$C$116</f>
        <v>140000</v>
      </c>
      <c r="Z493" s="160">
        <f>InputData!$E$13</f>
        <v>0</v>
      </c>
    </row>
    <row r="494" spans="1:26" x14ac:dyDescent="0.25">
      <c r="A494">
        <f>InputData!$K$1</f>
        <v>2013</v>
      </c>
      <c r="B494" t="str">
        <f>InputData!$G$1</f>
        <v>San Antonio, TX</v>
      </c>
      <c r="C494" t="s">
        <v>177</v>
      </c>
      <c r="D494" t="str">
        <f>Graph_Ortho!$D$6</f>
        <v>HPSP30</v>
      </c>
      <c r="E494" t="str">
        <f t="shared" si="7"/>
        <v>Orthopedics HPSP30</v>
      </c>
      <c r="F494">
        <f>Graph_Ortho!$A19</f>
        <v>2025</v>
      </c>
      <c r="G494">
        <f>Graph_Ortho!$B19</f>
        <v>13</v>
      </c>
      <c r="H494" s="165">
        <f>Graph_Ortho!$D19</f>
        <v>618022.98765773152</v>
      </c>
      <c r="I494" s="160">
        <f>InputData!$C$3</f>
        <v>0.02</v>
      </c>
      <c r="J494" s="160">
        <f>InputData!$C$4</f>
        <v>0.01</v>
      </c>
      <c r="K494" s="160">
        <f>InputData!$C$5</f>
        <v>0.01</v>
      </c>
      <c r="L494" s="160">
        <f>InputData!$C$6</f>
        <v>6.2100000000000002E-2</v>
      </c>
      <c r="M494" s="160">
        <f>InputData!$C$7</f>
        <v>0.03</v>
      </c>
      <c r="N494" s="160">
        <f>InputData!$C$8</f>
        <v>0.02</v>
      </c>
      <c r="O494" s="160">
        <f>InputData!$C$9</f>
        <v>0.06</v>
      </c>
      <c r="P494" s="160">
        <f>InputData!$C$10</f>
        <v>0.02</v>
      </c>
      <c r="Q494" s="160">
        <f>InputData!$C$11</f>
        <v>0.02</v>
      </c>
      <c r="R494" s="160">
        <f>InputData!$C$12</f>
        <v>0.02</v>
      </c>
      <c r="S494" s="160">
        <f>InputData!$C$13</f>
        <v>0.9</v>
      </c>
      <c r="T494" s="116">
        <f>InputData!$C$88</f>
        <v>180000</v>
      </c>
      <c r="U494" s="116">
        <f>InputData!$C$81</f>
        <v>178500</v>
      </c>
      <c r="V494" s="116">
        <f>InputData!$C$82</f>
        <v>303960</v>
      </c>
      <c r="W494" s="116">
        <f>InputData!$C$84</f>
        <v>215220</v>
      </c>
      <c r="X494" s="116">
        <f>InputData!$C$85</f>
        <v>409020</v>
      </c>
      <c r="Y494" s="116">
        <f>InputData!$C$116</f>
        <v>140000</v>
      </c>
      <c r="Z494" s="160">
        <f>InputData!$E$13</f>
        <v>0</v>
      </c>
    </row>
    <row r="495" spans="1:26" x14ac:dyDescent="0.25">
      <c r="A495">
        <f>InputData!$K$1</f>
        <v>2013</v>
      </c>
      <c r="B495" t="str">
        <f>InputData!$G$1</f>
        <v>San Antonio, TX</v>
      </c>
      <c r="C495" t="s">
        <v>177</v>
      </c>
      <c r="D495" t="str">
        <f>Graph_Ortho!$D$6</f>
        <v>HPSP30</v>
      </c>
      <c r="E495" t="str">
        <f t="shared" si="7"/>
        <v>Orthopedics HPSP30</v>
      </c>
      <c r="F495">
        <f>Graph_Ortho!$A20</f>
        <v>2026</v>
      </c>
      <c r="G495">
        <f>Graph_Ortho!$B20</f>
        <v>14</v>
      </c>
      <c r="H495" s="165">
        <f>Graph_Ortho!$D20</f>
        <v>716840.47971472831</v>
      </c>
      <c r="I495" s="160">
        <f>InputData!$C$3</f>
        <v>0.02</v>
      </c>
      <c r="J495" s="160">
        <f>InputData!$C$4</f>
        <v>0.01</v>
      </c>
      <c r="K495" s="160">
        <f>InputData!$C$5</f>
        <v>0.01</v>
      </c>
      <c r="L495" s="160">
        <f>InputData!$C$6</f>
        <v>6.2100000000000002E-2</v>
      </c>
      <c r="M495" s="160">
        <f>InputData!$C$7</f>
        <v>0.03</v>
      </c>
      <c r="N495" s="160">
        <f>InputData!$C$8</f>
        <v>0.02</v>
      </c>
      <c r="O495" s="160">
        <f>InputData!$C$9</f>
        <v>0.06</v>
      </c>
      <c r="P495" s="160">
        <f>InputData!$C$10</f>
        <v>0.02</v>
      </c>
      <c r="Q495" s="160">
        <f>InputData!$C$11</f>
        <v>0.02</v>
      </c>
      <c r="R495" s="160">
        <f>InputData!$C$12</f>
        <v>0.02</v>
      </c>
      <c r="S495" s="160">
        <f>InputData!$C$13</f>
        <v>0.9</v>
      </c>
      <c r="T495" s="116">
        <f>InputData!$C$88</f>
        <v>180000</v>
      </c>
      <c r="U495" s="116">
        <f>InputData!$C$81</f>
        <v>178500</v>
      </c>
      <c r="V495" s="116">
        <f>InputData!$C$82</f>
        <v>303960</v>
      </c>
      <c r="W495" s="116">
        <f>InputData!$C$84</f>
        <v>215220</v>
      </c>
      <c r="X495" s="116">
        <f>InputData!$C$85</f>
        <v>409020</v>
      </c>
      <c r="Y495" s="116">
        <f>InputData!$C$116</f>
        <v>140000</v>
      </c>
      <c r="Z495" s="160">
        <f>InputData!$E$13</f>
        <v>0</v>
      </c>
    </row>
    <row r="496" spans="1:26" x14ac:dyDescent="0.25">
      <c r="A496">
        <f>InputData!$K$1</f>
        <v>2013</v>
      </c>
      <c r="B496" t="str">
        <f>InputData!$G$1</f>
        <v>San Antonio, TX</v>
      </c>
      <c r="C496" t="s">
        <v>177</v>
      </c>
      <c r="D496" t="str">
        <f>Graph_Ortho!$D$6</f>
        <v>HPSP30</v>
      </c>
      <c r="E496" t="str">
        <f t="shared" si="7"/>
        <v>Orthopedics HPSP30</v>
      </c>
      <c r="F496">
        <f>Graph_Ortho!$A21</f>
        <v>2027</v>
      </c>
      <c r="G496">
        <f>Graph_Ortho!$B21</f>
        <v>15</v>
      </c>
      <c r="H496" s="165">
        <f>Graph_Ortho!$D21</f>
        <v>814088.82472675224</v>
      </c>
      <c r="I496" s="160">
        <f>InputData!$C$3</f>
        <v>0.02</v>
      </c>
      <c r="J496" s="160">
        <f>InputData!$C$4</f>
        <v>0.01</v>
      </c>
      <c r="K496" s="160">
        <f>InputData!$C$5</f>
        <v>0.01</v>
      </c>
      <c r="L496" s="160">
        <f>InputData!$C$6</f>
        <v>6.2100000000000002E-2</v>
      </c>
      <c r="M496" s="160">
        <f>InputData!$C$7</f>
        <v>0.03</v>
      </c>
      <c r="N496" s="160">
        <f>InputData!$C$8</f>
        <v>0.02</v>
      </c>
      <c r="O496" s="160">
        <f>InputData!$C$9</f>
        <v>0.06</v>
      </c>
      <c r="P496" s="160">
        <f>InputData!$C$10</f>
        <v>0.02</v>
      </c>
      <c r="Q496" s="160">
        <f>InputData!$C$11</f>
        <v>0.02</v>
      </c>
      <c r="R496" s="160">
        <f>InputData!$C$12</f>
        <v>0.02</v>
      </c>
      <c r="S496" s="160">
        <f>InputData!$C$13</f>
        <v>0.9</v>
      </c>
      <c r="T496" s="116">
        <f>InputData!$C$88</f>
        <v>180000</v>
      </c>
      <c r="U496" s="116">
        <f>InputData!$C$81</f>
        <v>178500</v>
      </c>
      <c r="V496" s="116">
        <f>InputData!$C$82</f>
        <v>303960</v>
      </c>
      <c r="W496" s="116">
        <f>InputData!$C$84</f>
        <v>215220</v>
      </c>
      <c r="X496" s="116">
        <f>InputData!$C$85</f>
        <v>409020</v>
      </c>
      <c r="Y496" s="116">
        <f>InputData!$C$116</f>
        <v>140000</v>
      </c>
      <c r="Z496" s="160">
        <f>InputData!$E$13</f>
        <v>0</v>
      </c>
    </row>
    <row r="497" spans="1:26" x14ac:dyDescent="0.25">
      <c r="A497">
        <f>InputData!$K$1</f>
        <v>2013</v>
      </c>
      <c r="B497" t="str">
        <f>InputData!$G$1</f>
        <v>San Antonio, TX</v>
      </c>
      <c r="C497" t="s">
        <v>177</v>
      </c>
      <c r="D497" t="str">
        <f>Graph_Ortho!$D$6</f>
        <v>HPSP30</v>
      </c>
      <c r="E497" t="str">
        <f t="shared" si="7"/>
        <v>Orthopedics HPSP30</v>
      </c>
      <c r="F497">
        <f>Graph_Ortho!$A22</f>
        <v>2028</v>
      </c>
      <c r="G497">
        <f>Graph_Ortho!$B22</f>
        <v>16</v>
      </c>
      <c r="H497" s="165">
        <f>Graph_Ortho!$D22</f>
        <v>907587.63972209394</v>
      </c>
      <c r="I497" s="160">
        <f>InputData!$C$3</f>
        <v>0.02</v>
      </c>
      <c r="J497" s="160">
        <f>InputData!$C$4</f>
        <v>0.01</v>
      </c>
      <c r="K497" s="160">
        <f>InputData!$C$5</f>
        <v>0.01</v>
      </c>
      <c r="L497" s="160">
        <f>InputData!$C$6</f>
        <v>6.2100000000000002E-2</v>
      </c>
      <c r="M497" s="160">
        <f>InputData!$C$7</f>
        <v>0.03</v>
      </c>
      <c r="N497" s="160">
        <f>InputData!$C$8</f>
        <v>0.02</v>
      </c>
      <c r="O497" s="160">
        <f>InputData!$C$9</f>
        <v>0.06</v>
      </c>
      <c r="P497" s="160">
        <f>InputData!$C$10</f>
        <v>0.02</v>
      </c>
      <c r="Q497" s="160">
        <f>InputData!$C$11</f>
        <v>0.02</v>
      </c>
      <c r="R497" s="160">
        <f>InputData!$C$12</f>
        <v>0.02</v>
      </c>
      <c r="S497" s="160">
        <f>InputData!$C$13</f>
        <v>0.9</v>
      </c>
      <c r="T497" s="116">
        <f>InputData!$C$88</f>
        <v>180000</v>
      </c>
      <c r="U497" s="116">
        <f>InputData!$C$81</f>
        <v>178500</v>
      </c>
      <c r="V497" s="116">
        <f>InputData!$C$82</f>
        <v>303960</v>
      </c>
      <c r="W497" s="116">
        <f>InputData!$C$84</f>
        <v>215220</v>
      </c>
      <c r="X497" s="116">
        <f>InputData!$C$85</f>
        <v>409020</v>
      </c>
      <c r="Y497" s="116">
        <f>InputData!$C$116</f>
        <v>140000</v>
      </c>
      <c r="Z497" s="160">
        <f>InputData!$E$13</f>
        <v>0</v>
      </c>
    </row>
    <row r="498" spans="1:26" x14ac:dyDescent="0.25">
      <c r="A498">
        <f>InputData!$K$1</f>
        <v>2013</v>
      </c>
      <c r="B498" t="str">
        <f>InputData!$G$1</f>
        <v>San Antonio, TX</v>
      </c>
      <c r="C498" t="s">
        <v>177</v>
      </c>
      <c r="D498" t="str">
        <f>Graph_Ortho!$D$6</f>
        <v>HPSP30</v>
      </c>
      <c r="E498" t="str">
        <f t="shared" si="7"/>
        <v>Orthopedics HPSP30</v>
      </c>
      <c r="F498">
        <f>Graph_Ortho!$A23</f>
        <v>2029</v>
      </c>
      <c r="G498">
        <f>Graph_Ortho!$B23</f>
        <v>17</v>
      </c>
      <c r="H498" s="165">
        <f>Graph_Ortho!$D23</f>
        <v>1000147.3450290923</v>
      </c>
      <c r="I498" s="160">
        <f>InputData!$C$3</f>
        <v>0.02</v>
      </c>
      <c r="J498" s="160">
        <f>InputData!$C$4</f>
        <v>0.01</v>
      </c>
      <c r="K498" s="160">
        <f>InputData!$C$5</f>
        <v>0.01</v>
      </c>
      <c r="L498" s="160">
        <f>InputData!$C$6</f>
        <v>6.2100000000000002E-2</v>
      </c>
      <c r="M498" s="160">
        <f>InputData!$C$7</f>
        <v>0.03</v>
      </c>
      <c r="N498" s="160">
        <f>InputData!$C$8</f>
        <v>0.02</v>
      </c>
      <c r="O498" s="160">
        <f>InputData!$C$9</f>
        <v>0.06</v>
      </c>
      <c r="P498" s="160">
        <f>InputData!$C$10</f>
        <v>0.02</v>
      </c>
      <c r="Q498" s="160">
        <f>InputData!$C$11</f>
        <v>0.02</v>
      </c>
      <c r="R498" s="160">
        <f>InputData!$C$12</f>
        <v>0.02</v>
      </c>
      <c r="S498" s="160">
        <f>InputData!$C$13</f>
        <v>0.9</v>
      </c>
      <c r="T498" s="116">
        <f>InputData!$C$88</f>
        <v>180000</v>
      </c>
      <c r="U498" s="116">
        <f>InputData!$C$81</f>
        <v>178500</v>
      </c>
      <c r="V498" s="116">
        <f>InputData!$C$82</f>
        <v>303960</v>
      </c>
      <c r="W498" s="116">
        <f>InputData!$C$84</f>
        <v>215220</v>
      </c>
      <c r="X498" s="116">
        <f>InputData!$C$85</f>
        <v>409020</v>
      </c>
      <c r="Y498" s="116">
        <f>InputData!$C$116</f>
        <v>140000</v>
      </c>
      <c r="Z498" s="160">
        <f>InputData!$E$13</f>
        <v>0</v>
      </c>
    </row>
    <row r="499" spans="1:26" x14ac:dyDescent="0.25">
      <c r="A499">
        <f>InputData!$K$1</f>
        <v>2013</v>
      </c>
      <c r="B499" t="str">
        <f>InputData!$G$1</f>
        <v>San Antonio, TX</v>
      </c>
      <c r="C499" t="s">
        <v>177</v>
      </c>
      <c r="D499" t="str">
        <f>Graph_Ortho!$D$6</f>
        <v>HPSP30</v>
      </c>
      <c r="E499" t="str">
        <f t="shared" si="7"/>
        <v>Orthopedics HPSP30</v>
      </c>
      <c r="F499">
        <f>Graph_Ortho!$A24</f>
        <v>2030</v>
      </c>
      <c r="G499">
        <f>Graph_Ortho!$B24</f>
        <v>18</v>
      </c>
      <c r="H499" s="165">
        <f>Graph_Ortho!$D24</f>
        <v>1089138.2176446195</v>
      </c>
      <c r="I499" s="160">
        <f>InputData!$C$3</f>
        <v>0.02</v>
      </c>
      <c r="J499" s="160">
        <f>InputData!$C$4</f>
        <v>0.01</v>
      </c>
      <c r="K499" s="160">
        <f>InputData!$C$5</f>
        <v>0.01</v>
      </c>
      <c r="L499" s="160">
        <f>InputData!$C$6</f>
        <v>6.2100000000000002E-2</v>
      </c>
      <c r="M499" s="160">
        <f>InputData!$C$7</f>
        <v>0.03</v>
      </c>
      <c r="N499" s="160">
        <f>InputData!$C$8</f>
        <v>0.02</v>
      </c>
      <c r="O499" s="160">
        <f>InputData!$C$9</f>
        <v>0.06</v>
      </c>
      <c r="P499" s="160">
        <f>InputData!$C$10</f>
        <v>0.02</v>
      </c>
      <c r="Q499" s="160">
        <f>InputData!$C$11</f>
        <v>0.02</v>
      </c>
      <c r="R499" s="160">
        <f>InputData!$C$12</f>
        <v>0.02</v>
      </c>
      <c r="S499" s="160">
        <f>InputData!$C$13</f>
        <v>0.9</v>
      </c>
      <c r="T499" s="116">
        <f>InputData!$C$88</f>
        <v>180000</v>
      </c>
      <c r="U499" s="116">
        <f>InputData!$C$81</f>
        <v>178500</v>
      </c>
      <c r="V499" s="116">
        <f>InputData!$C$82</f>
        <v>303960</v>
      </c>
      <c r="W499" s="116">
        <f>InputData!$C$84</f>
        <v>215220</v>
      </c>
      <c r="X499" s="116">
        <f>InputData!$C$85</f>
        <v>409020</v>
      </c>
      <c r="Y499" s="116">
        <f>InputData!$C$116</f>
        <v>140000</v>
      </c>
      <c r="Z499" s="160">
        <f>InputData!$E$13</f>
        <v>0</v>
      </c>
    </row>
    <row r="500" spans="1:26" x14ac:dyDescent="0.25">
      <c r="A500">
        <f>InputData!$K$1</f>
        <v>2013</v>
      </c>
      <c r="B500" t="str">
        <f>InputData!$G$1</f>
        <v>San Antonio, TX</v>
      </c>
      <c r="C500" t="s">
        <v>177</v>
      </c>
      <c r="D500" t="str">
        <f>Graph_Ortho!$D$6</f>
        <v>HPSP30</v>
      </c>
      <c r="E500" t="str">
        <f t="shared" si="7"/>
        <v>Orthopedics HPSP30</v>
      </c>
      <c r="F500">
        <f>Graph_Ortho!$A25</f>
        <v>2031</v>
      </c>
      <c r="G500">
        <f>Graph_Ortho!$B25</f>
        <v>19</v>
      </c>
      <c r="H500" s="165">
        <f>Graph_Ortho!$D25</f>
        <v>1175976.1022209995</v>
      </c>
      <c r="I500" s="160">
        <f>InputData!$C$3</f>
        <v>0.02</v>
      </c>
      <c r="J500" s="160">
        <f>InputData!$C$4</f>
        <v>0.01</v>
      </c>
      <c r="K500" s="160">
        <f>InputData!$C$5</f>
        <v>0.01</v>
      </c>
      <c r="L500" s="160">
        <f>InputData!$C$6</f>
        <v>6.2100000000000002E-2</v>
      </c>
      <c r="M500" s="160">
        <f>InputData!$C$7</f>
        <v>0.03</v>
      </c>
      <c r="N500" s="160">
        <f>InputData!$C$8</f>
        <v>0.02</v>
      </c>
      <c r="O500" s="160">
        <f>InputData!$C$9</f>
        <v>0.06</v>
      </c>
      <c r="P500" s="160">
        <f>InputData!$C$10</f>
        <v>0.02</v>
      </c>
      <c r="Q500" s="160">
        <f>InputData!$C$11</f>
        <v>0.02</v>
      </c>
      <c r="R500" s="160">
        <f>InputData!$C$12</f>
        <v>0.02</v>
      </c>
      <c r="S500" s="160">
        <f>InputData!$C$13</f>
        <v>0.9</v>
      </c>
      <c r="T500" s="116">
        <f>InputData!$C$88</f>
        <v>180000</v>
      </c>
      <c r="U500" s="116">
        <f>InputData!$C$81</f>
        <v>178500</v>
      </c>
      <c r="V500" s="116">
        <f>InputData!$C$82</f>
        <v>303960</v>
      </c>
      <c r="W500" s="116">
        <f>InputData!$C$84</f>
        <v>215220</v>
      </c>
      <c r="X500" s="116">
        <f>InputData!$C$85</f>
        <v>409020</v>
      </c>
      <c r="Y500" s="116">
        <f>InputData!$C$116</f>
        <v>140000</v>
      </c>
      <c r="Z500" s="160">
        <f>InputData!$E$13</f>
        <v>0</v>
      </c>
    </row>
    <row r="501" spans="1:26" x14ac:dyDescent="0.25">
      <c r="A501">
        <f>InputData!$K$1</f>
        <v>2013</v>
      </c>
      <c r="B501" t="str">
        <f>InputData!$G$1</f>
        <v>San Antonio, TX</v>
      </c>
      <c r="C501" t="s">
        <v>177</v>
      </c>
      <c r="D501" t="str">
        <f>Graph_Ortho!$D$6</f>
        <v>HPSP30</v>
      </c>
      <c r="E501" t="str">
        <f t="shared" si="7"/>
        <v>Orthopedics HPSP30</v>
      </c>
      <c r="F501">
        <f>Graph_Ortho!$A26</f>
        <v>2032</v>
      </c>
      <c r="G501">
        <f>Graph_Ortho!$B26</f>
        <v>20</v>
      </c>
      <c r="H501" s="165">
        <f>Graph_Ortho!$D26</f>
        <v>1259465.8065941378</v>
      </c>
      <c r="I501" s="160">
        <f>InputData!$C$3</f>
        <v>0.02</v>
      </c>
      <c r="J501" s="160">
        <f>InputData!$C$4</f>
        <v>0.01</v>
      </c>
      <c r="K501" s="160">
        <f>InputData!$C$5</f>
        <v>0.01</v>
      </c>
      <c r="L501" s="160">
        <f>InputData!$C$6</f>
        <v>6.2100000000000002E-2</v>
      </c>
      <c r="M501" s="160">
        <f>InputData!$C$7</f>
        <v>0.03</v>
      </c>
      <c r="N501" s="160">
        <f>InputData!$C$8</f>
        <v>0.02</v>
      </c>
      <c r="O501" s="160">
        <f>InputData!$C$9</f>
        <v>0.06</v>
      </c>
      <c r="P501" s="160">
        <f>InputData!$C$10</f>
        <v>0.02</v>
      </c>
      <c r="Q501" s="160">
        <f>InputData!$C$11</f>
        <v>0.02</v>
      </c>
      <c r="R501" s="160">
        <f>InputData!$C$12</f>
        <v>0.02</v>
      </c>
      <c r="S501" s="160">
        <f>InputData!$C$13</f>
        <v>0.9</v>
      </c>
      <c r="T501" s="116">
        <f>InputData!$C$88</f>
        <v>180000</v>
      </c>
      <c r="U501" s="116">
        <f>InputData!$C$81</f>
        <v>178500</v>
      </c>
      <c r="V501" s="116">
        <f>InputData!$C$82</f>
        <v>303960</v>
      </c>
      <c r="W501" s="116">
        <f>InputData!$C$84</f>
        <v>215220</v>
      </c>
      <c r="X501" s="116">
        <f>InputData!$C$85</f>
        <v>409020</v>
      </c>
      <c r="Y501" s="116">
        <f>InputData!$C$116</f>
        <v>140000</v>
      </c>
      <c r="Z501" s="160">
        <f>InputData!$E$13</f>
        <v>0</v>
      </c>
    </row>
    <row r="502" spans="1:26" x14ac:dyDescent="0.25">
      <c r="A502">
        <f>InputData!$K$1</f>
        <v>2013</v>
      </c>
      <c r="B502" t="str">
        <f>InputData!$G$1</f>
        <v>San Antonio, TX</v>
      </c>
      <c r="C502" t="s">
        <v>177</v>
      </c>
      <c r="D502" t="str">
        <f>Graph_Ortho!$D$6</f>
        <v>HPSP30</v>
      </c>
      <c r="E502" t="str">
        <f t="shared" si="7"/>
        <v>Orthopedics HPSP30</v>
      </c>
      <c r="F502">
        <f>Graph_Ortho!$A27</f>
        <v>2033</v>
      </c>
      <c r="G502">
        <f>Graph_Ortho!$B27</f>
        <v>21</v>
      </c>
      <c r="H502" s="165">
        <f>Graph_Ortho!$D27</f>
        <v>1341544.7988719211</v>
      </c>
      <c r="I502" s="160">
        <f>InputData!$C$3</f>
        <v>0.02</v>
      </c>
      <c r="J502" s="160">
        <f>InputData!$C$4</f>
        <v>0.01</v>
      </c>
      <c r="K502" s="160">
        <f>InputData!$C$5</f>
        <v>0.01</v>
      </c>
      <c r="L502" s="160">
        <f>InputData!$C$6</f>
        <v>6.2100000000000002E-2</v>
      </c>
      <c r="M502" s="160">
        <f>InputData!$C$7</f>
        <v>0.03</v>
      </c>
      <c r="N502" s="160">
        <f>InputData!$C$8</f>
        <v>0.02</v>
      </c>
      <c r="O502" s="160">
        <f>InputData!$C$9</f>
        <v>0.06</v>
      </c>
      <c r="P502" s="160">
        <f>InputData!$C$10</f>
        <v>0.02</v>
      </c>
      <c r="Q502" s="160">
        <f>InputData!$C$11</f>
        <v>0.02</v>
      </c>
      <c r="R502" s="160">
        <f>InputData!$C$12</f>
        <v>0.02</v>
      </c>
      <c r="S502" s="160">
        <f>InputData!$C$13</f>
        <v>0.9</v>
      </c>
      <c r="T502" s="116">
        <f>InputData!$C$88</f>
        <v>180000</v>
      </c>
      <c r="U502" s="116">
        <f>InputData!$C$81</f>
        <v>178500</v>
      </c>
      <c r="V502" s="116">
        <f>InputData!$C$82</f>
        <v>303960</v>
      </c>
      <c r="W502" s="116">
        <f>InputData!$C$84</f>
        <v>215220</v>
      </c>
      <c r="X502" s="116">
        <f>InputData!$C$85</f>
        <v>409020</v>
      </c>
      <c r="Y502" s="116">
        <f>InputData!$C$116</f>
        <v>140000</v>
      </c>
      <c r="Z502" s="160">
        <f>InputData!$E$13</f>
        <v>0</v>
      </c>
    </row>
    <row r="503" spans="1:26" x14ac:dyDescent="0.25">
      <c r="A503">
        <f>InputData!$K$1</f>
        <v>2013</v>
      </c>
      <c r="B503" t="str">
        <f>InputData!$G$1</f>
        <v>San Antonio, TX</v>
      </c>
      <c r="C503" t="s">
        <v>177</v>
      </c>
      <c r="D503" t="str">
        <f>Graph_Ortho!$D$6</f>
        <v>HPSP30</v>
      </c>
      <c r="E503" t="str">
        <f t="shared" si="7"/>
        <v>Orthopedics HPSP30</v>
      </c>
      <c r="F503">
        <f>Graph_Ortho!$A28</f>
        <v>2034</v>
      </c>
      <c r="G503">
        <f>Graph_Ortho!$B28</f>
        <v>22</v>
      </c>
      <c r="H503" s="165">
        <f>Graph_Ortho!$D28</f>
        <v>1420459.0781527807</v>
      </c>
      <c r="I503" s="160">
        <f>InputData!$C$3</f>
        <v>0.02</v>
      </c>
      <c r="J503" s="160">
        <f>InputData!$C$4</f>
        <v>0.01</v>
      </c>
      <c r="K503" s="160">
        <f>InputData!$C$5</f>
        <v>0.01</v>
      </c>
      <c r="L503" s="160">
        <f>InputData!$C$6</f>
        <v>6.2100000000000002E-2</v>
      </c>
      <c r="M503" s="160">
        <f>InputData!$C$7</f>
        <v>0.03</v>
      </c>
      <c r="N503" s="160">
        <f>InputData!$C$8</f>
        <v>0.02</v>
      </c>
      <c r="O503" s="160">
        <f>InputData!$C$9</f>
        <v>0.06</v>
      </c>
      <c r="P503" s="160">
        <f>InputData!$C$10</f>
        <v>0.02</v>
      </c>
      <c r="Q503" s="160">
        <f>InputData!$C$11</f>
        <v>0.02</v>
      </c>
      <c r="R503" s="160">
        <f>InputData!$C$12</f>
        <v>0.02</v>
      </c>
      <c r="S503" s="160">
        <f>InputData!$C$13</f>
        <v>0.9</v>
      </c>
      <c r="T503" s="116">
        <f>InputData!$C$88</f>
        <v>180000</v>
      </c>
      <c r="U503" s="116">
        <f>InputData!$C$81</f>
        <v>178500</v>
      </c>
      <c r="V503" s="116">
        <f>InputData!$C$82</f>
        <v>303960</v>
      </c>
      <c r="W503" s="116">
        <f>InputData!$C$84</f>
        <v>215220</v>
      </c>
      <c r="X503" s="116">
        <f>InputData!$C$85</f>
        <v>409020</v>
      </c>
      <c r="Y503" s="116">
        <f>InputData!$C$116</f>
        <v>140000</v>
      </c>
      <c r="Z503" s="160">
        <f>InputData!$E$13</f>
        <v>0</v>
      </c>
    </row>
    <row r="504" spans="1:26" x14ac:dyDescent="0.25">
      <c r="A504">
        <f>InputData!$K$1</f>
        <v>2013</v>
      </c>
      <c r="B504" t="str">
        <f>InputData!$G$1</f>
        <v>San Antonio, TX</v>
      </c>
      <c r="C504" t="s">
        <v>177</v>
      </c>
      <c r="D504" t="str">
        <f>Graph_Ortho!$D$6</f>
        <v>HPSP30</v>
      </c>
      <c r="E504" t="str">
        <f t="shared" si="7"/>
        <v>Orthopedics HPSP30</v>
      </c>
      <c r="F504">
        <f>Graph_Ortho!$A29</f>
        <v>2035</v>
      </c>
      <c r="G504">
        <f>Graph_Ortho!$B29</f>
        <v>23</v>
      </c>
      <c r="H504" s="165">
        <f>Graph_Ortho!$D29</f>
        <v>1500773.4525789071</v>
      </c>
      <c r="I504" s="160">
        <f>InputData!$C$3</f>
        <v>0.02</v>
      </c>
      <c r="J504" s="160">
        <f>InputData!$C$4</f>
        <v>0.01</v>
      </c>
      <c r="K504" s="160">
        <f>InputData!$C$5</f>
        <v>0.01</v>
      </c>
      <c r="L504" s="160">
        <f>InputData!$C$6</f>
        <v>6.2100000000000002E-2</v>
      </c>
      <c r="M504" s="160">
        <f>InputData!$C$7</f>
        <v>0.03</v>
      </c>
      <c r="N504" s="160">
        <f>InputData!$C$8</f>
        <v>0.02</v>
      </c>
      <c r="O504" s="160">
        <f>InputData!$C$9</f>
        <v>0.06</v>
      </c>
      <c r="P504" s="160">
        <f>InputData!$C$10</f>
        <v>0.02</v>
      </c>
      <c r="Q504" s="160">
        <f>InputData!$C$11</f>
        <v>0.02</v>
      </c>
      <c r="R504" s="160">
        <f>InputData!$C$12</f>
        <v>0.02</v>
      </c>
      <c r="S504" s="160">
        <f>InputData!$C$13</f>
        <v>0.9</v>
      </c>
      <c r="T504" s="116">
        <f>InputData!$C$88</f>
        <v>180000</v>
      </c>
      <c r="U504" s="116">
        <f>InputData!$C$81</f>
        <v>178500</v>
      </c>
      <c r="V504" s="116">
        <f>InputData!$C$82</f>
        <v>303960</v>
      </c>
      <c r="W504" s="116">
        <f>InputData!$C$84</f>
        <v>215220</v>
      </c>
      <c r="X504" s="116">
        <f>InputData!$C$85</f>
        <v>409020</v>
      </c>
      <c r="Y504" s="116">
        <f>InputData!$C$116</f>
        <v>140000</v>
      </c>
      <c r="Z504" s="160">
        <f>InputData!$E$13</f>
        <v>0</v>
      </c>
    </row>
    <row r="505" spans="1:26" x14ac:dyDescent="0.25">
      <c r="A505">
        <f>InputData!$K$1</f>
        <v>2013</v>
      </c>
      <c r="B505" t="str">
        <f>InputData!$G$1</f>
        <v>San Antonio, TX</v>
      </c>
      <c r="C505" t="s">
        <v>177</v>
      </c>
      <c r="D505" t="str">
        <f>Graph_Ortho!$D$6</f>
        <v>HPSP30</v>
      </c>
      <c r="E505" t="str">
        <f t="shared" si="7"/>
        <v>Orthopedics HPSP30</v>
      </c>
      <c r="F505">
        <f>Graph_Ortho!$A30</f>
        <v>2036</v>
      </c>
      <c r="G505">
        <f>Graph_Ortho!$B30</f>
        <v>24</v>
      </c>
      <c r="H505" s="165">
        <f>Graph_Ortho!$D30</f>
        <v>1578037.924311412</v>
      </c>
      <c r="I505" s="160">
        <f>InputData!$C$3</f>
        <v>0.02</v>
      </c>
      <c r="J505" s="160">
        <f>InputData!$C$4</f>
        <v>0.01</v>
      </c>
      <c r="K505" s="160">
        <f>InputData!$C$5</f>
        <v>0.01</v>
      </c>
      <c r="L505" s="160">
        <f>InputData!$C$6</f>
        <v>6.2100000000000002E-2</v>
      </c>
      <c r="M505" s="160">
        <f>InputData!$C$7</f>
        <v>0.03</v>
      </c>
      <c r="N505" s="160">
        <f>InputData!$C$8</f>
        <v>0.02</v>
      </c>
      <c r="O505" s="160">
        <f>InputData!$C$9</f>
        <v>0.06</v>
      </c>
      <c r="P505" s="160">
        <f>InputData!$C$10</f>
        <v>0.02</v>
      </c>
      <c r="Q505" s="160">
        <f>InputData!$C$11</f>
        <v>0.02</v>
      </c>
      <c r="R505" s="160">
        <f>InputData!$C$12</f>
        <v>0.02</v>
      </c>
      <c r="S505" s="160">
        <f>InputData!$C$13</f>
        <v>0.9</v>
      </c>
      <c r="T505" s="116">
        <f>InputData!$C$88</f>
        <v>180000</v>
      </c>
      <c r="U505" s="116">
        <f>InputData!$C$81</f>
        <v>178500</v>
      </c>
      <c r="V505" s="116">
        <f>InputData!$C$82</f>
        <v>303960</v>
      </c>
      <c r="W505" s="116">
        <f>InputData!$C$84</f>
        <v>215220</v>
      </c>
      <c r="X505" s="116">
        <f>InputData!$C$85</f>
        <v>409020</v>
      </c>
      <c r="Y505" s="116">
        <f>InputData!$C$116</f>
        <v>140000</v>
      </c>
      <c r="Z505" s="160">
        <f>InputData!$E$13</f>
        <v>0</v>
      </c>
    </row>
    <row r="506" spans="1:26" x14ac:dyDescent="0.25">
      <c r="A506">
        <f>InputData!$K$1</f>
        <v>2013</v>
      </c>
      <c r="B506" t="str">
        <f>InputData!$G$1</f>
        <v>San Antonio, TX</v>
      </c>
      <c r="C506" t="s">
        <v>177</v>
      </c>
      <c r="D506" t="str">
        <f>Graph_Ortho!$D$6</f>
        <v>HPSP30</v>
      </c>
      <c r="E506" t="str">
        <f t="shared" si="7"/>
        <v>Orthopedics HPSP30</v>
      </c>
      <c r="F506">
        <f>Graph_Ortho!$A31</f>
        <v>2037</v>
      </c>
      <c r="G506">
        <f>Graph_Ortho!$B31</f>
        <v>25</v>
      </c>
      <c r="H506" s="165">
        <f>Graph_Ortho!$D31</f>
        <v>1653714.0806648121</v>
      </c>
      <c r="I506" s="160">
        <f>InputData!$C$3</f>
        <v>0.02</v>
      </c>
      <c r="J506" s="160">
        <f>InputData!$C$4</f>
        <v>0.01</v>
      </c>
      <c r="K506" s="160">
        <f>InputData!$C$5</f>
        <v>0.01</v>
      </c>
      <c r="L506" s="160">
        <f>InputData!$C$6</f>
        <v>6.2100000000000002E-2</v>
      </c>
      <c r="M506" s="160">
        <f>InputData!$C$7</f>
        <v>0.03</v>
      </c>
      <c r="N506" s="160">
        <f>InputData!$C$8</f>
        <v>0.02</v>
      </c>
      <c r="O506" s="160">
        <f>InputData!$C$9</f>
        <v>0.06</v>
      </c>
      <c r="P506" s="160">
        <f>InputData!$C$10</f>
        <v>0.02</v>
      </c>
      <c r="Q506" s="160">
        <f>InputData!$C$11</f>
        <v>0.02</v>
      </c>
      <c r="R506" s="160">
        <f>InputData!$C$12</f>
        <v>0.02</v>
      </c>
      <c r="S506" s="160">
        <f>InputData!$C$13</f>
        <v>0.9</v>
      </c>
      <c r="T506" s="116">
        <f>InputData!$C$88</f>
        <v>180000</v>
      </c>
      <c r="U506" s="116">
        <f>InputData!$C$81</f>
        <v>178500</v>
      </c>
      <c r="V506" s="116">
        <f>InputData!$C$82</f>
        <v>303960</v>
      </c>
      <c r="W506" s="116">
        <f>InputData!$C$84</f>
        <v>215220</v>
      </c>
      <c r="X506" s="116">
        <f>InputData!$C$85</f>
        <v>409020</v>
      </c>
      <c r="Y506" s="116">
        <f>InputData!$C$116</f>
        <v>140000</v>
      </c>
      <c r="Z506" s="160">
        <f>InputData!$E$13</f>
        <v>0</v>
      </c>
    </row>
    <row r="507" spans="1:26" x14ac:dyDescent="0.25">
      <c r="A507">
        <f>InputData!$K$1</f>
        <v>2013</v>
      </c>
      <c r="B507" t="str">
        <f>InputData!$G$1</f>
        <v>San Antonio, TX</v>
      </c>
      <c r="C507" t="s">
        <v>177</v>
      </c>
      <c r="D507" t="str">
        <f>Graph_Ortho!$D$6</f>
        <v>HPSP30</v>
      </c>
      <c r="E507" t="str">
        <f t="shared" si="7"/>
        <v>Orthopedics HPSP30</v>
      </c>
      <c r="F507">
        <f>Graph_Ortho!$A32</f>
        <v>2038</v>
      </c>
      <c r="G507">
        <f>Graph_Ortho!$B32</f>
        <v>26</v>
      </c>
      <c r="H507" s="165">
        <f>Graph_Ortho!$D32</f>
        <v>1726763.3574086342</v>
      </c>
      <c r="I507" s="160">
        <f>InputData!$C$3</f>
        <v>0.02</v>
      </c>
      <c r="J507" s="160">
        <f>InputData!$C$4</f>
        <v>0.01</v>
      </c>
      <c r="K507" s="160">
        <f>InputData!$C$5</f>
        <v>0.01</v>
      </c>
      <c r="L507" s="160">
        <f>InputData!$C$6</f>
        <v>6.2100000000000002E-2</v>
      </c>
      <c r="M507" s="160">
        <f>InputData!$C$7</f>
        <v>0.03</v>
      </c>
      <c r="N507" s="160">
        <f>InputData!$C$8</f>
        <v>0.02</v>
      </c>
      <c r="O507" s="160">
        <f>InputData!$C$9</f>
        <v>0.06</v>
      </c>
      <c r="P507" s="160">
        <f>InputData!$C$10</f>
        <v>0.02</v>
      </c>
      <c r="Q507" s="160">
        <f>InputData!$C$11</f>
        <v>0.02</v>
      </c>
      <c r="R507" s="160">
        <f>InputData!$C$12</f>
        <v>0.02</v>
      </c>
      <c r="S507" s="160">
        <f>InputData!$C$13</f>
        <v>0.9</v>
      </c>
      <c r="T507" s="116">
        <f>InputData!$C$88</f>
        <v>180000</v>
      </c>
      <c r="U507" s="116">
        <f>InputData!$C$81</f>
        <v>178500</v>
      </c>
      <c r="V507" s="116">
        <f>InputData!$C$82</f>
        <v>303960</v>
      </c>
      <c r="W507" s="116">
        <f>InputData!$C$84</f>
        <v>215220</v>
      </c>
      <c r="X507" s="116">
        <f>InputData!$C$85</f>
        <v>409020</v>
      </c>
      <c r="Y507" s="116">
        <f>InputData!$C$116</f>
        <v>140000</v>
      </c>
      <c r="Z507" s="160">
        <f>InputData!$E$13</f>
        <v>0</v>
      </c>
    </row>
    <row r="508" spans="1:26" x14ac:dyDescent="0.25">
      <c r="A508">
        <f>InputData!$K$1</f>
        <v>2013</v>
      </c>
      <c r="B508" t="str">
        <f>InputData!$G$1</f>
        <v>San Antonio, TX</v>
      </c>
      <c r="C508" t="s">
        <v>177</v>
      </c>
      <c r="D508" t="str">
        <f>Graph_Ortho!$D$6</f>
        <v>HPSP30</v>
      </c>
      <c r="E508" t="str">
        <f t="shared" si="7"/>
        <v>Orthopedics HPSP30</v>
      </c>
      <c r="F508">
        <f>Graph_Ortho!$A33</f>
        <v>2039</v>
      </c>
      <c r="G508">
        <f>Graph_Ortho!$B33</f>
        <v>27</v>
      </c>
      <c r="H508" s="165">
        <f>Graph_Ortho!$D33</f>
        <v>1797276.2516254494</v>
      </c>
      <c r="I508" s="160">
        <f>InputData!$C$3</f>
        <v>0.02</v>
      </c>
      <c r="J508" s="160">
        <f>InputData!$C$4</f>
        <v>0.01</v>
      </c>
      <c r="K508" s="160">
        <f>InputData!$C$5</f>
        <v>0.01</v>
      </c>
      <c r="L508" s="160">
        <f>InputData!$C$6</f>
        <v>6.2100000000000002E-2</v>
      </c>
      <c r="M508" s="160">
        <f>InputData!$C$7</f>
        <v>0.03</v>
      </c>
      <c r="N508" s="160">
        <f>InputData!$C$8</f>
        <v>0.02</v>
      </c>
      <c r="O508" s="160">
        <f>InputData!$C$9</f>
        <v>0.06</v>
      </c>
      <c r="P508" s="160">
        <f>InputData!$C$10</f>
        <v>0.02</v>
      </c>
      <c r="Q508" s="160">
        <f>InputData!$C$11</f>
        <v>0.02</v>
      </c>
      <c r="R508" s="160">
        <f>InputData!$C$12</f>
        <v>0.02</v>
      </c>
      <c r="S508" s="160">
        <f>InputData!$C$13</f>
        <v>0.9</v>
      </c>
      <c r="T508" s="116">
        <f>InputData!$C$88</f>
        <v>180000</v>
      </c>
      <c r="U508" s="116">
        <f>InputData!$C$81</f>
        <v>178500</v>
      </c>
      <c r="V508" s="116">
        <f>InputData!$C$82</f>
        <v>303960</v>
      </c>
      <c r="W508" s="116">
        <f>InputData!$C$84</f>
        <v>215220</v>
      </c>
      <c r="X508" s="116">
        <f>InputData!$C$85</f>
        <v>409020</v>
      </c>
      <c r="Y508" s="116">
        <f>InputData!$C$116</f>
        <v>140000</v>
      </c>
      <c r="Z508" s="160">
        <f>InputData!$E$13</f>
        <v>0</v>
      </c>
    </row>
    <row r="509" spans="1:26" x14ac:dyDescent="0.25">
      <c r="A509">
        <f>InputData!$K$1</f>
        <v>2013</v>
      </c>
      <c r="B509" t="str">
        <f>InputData!$G$1</f>
        <v>San Antonio, TX</v>
      </c>
      <c r="C509" t="s">
        <v>177</v>
      </c>
      <c r="D509" t="str">
        <f>Graph_Ortho!$D$6</f>
        <v>HPSP30</v>
      </c>
      <c r="E509" t="str">
        <f t="shared" si="7"/>
        <v>Orthopedics HPSP30</v>
      </c>
      <c r="F509">
        <f>Graph_Ortho!$A34</f>
        <v>2040</v>
      </c>
      <c r="G509">
        <f>Graph_Ortho!$B34</f>
        <v>28</v>
      </c>
      <c r="H509" s="165">
        <f>Graph_Ortho!$D34</f>
        <v>1865453.5926725743</v>
      </c>
      <c r="I509" s="160">
        <f>InputData!$C$3</f>
        <v>0.02</v>
      </c>
      <c r="J509" s="160">
        <f>InputData!$C$4</f>
        <v>0.01</v>
      </c>
      <c r="K509" s="160">
        <f>InputData!$C$5</f>
        <v>0.01</v>
      </c>
      <c r="L509" s="160">
        <f>InputData!$C$6</f>
        <v>6.2100000000000002E-2</v>
      </c>
      <c r="M509" s="160">
        <f>InputData!$C$7</f>
        <v>0.03</v>
      </c>
      <c r="N509" s="160">
        <f>InputData!$C$8</f>
        <v>0.02</v>
      </c>
      <c r="O509" s="160">
        <f>InputData!$C$9</f>
        <v>0.06</v>
      </c>
      <c r="P509" s="160">
        <f>InputData!$C$10</f>
        <v>0.02</v>
      </c>
      <c r="Q509" s="160">
        <f>InputData!$C$11</f>
        <v>0.02</v>
      </c>
      <c r="R509" s="160">
        <f>InputData!$C$12</f>
        <v>0.02</v>
      </c>
      <c r="S509" s="160">
        <f>InputData!$C$13</f>
        <v>0.9</v>
      </c>
      <c r="T509" s="116">
        <f>InputData!$C$88</f>
        <v>180000</v>
      </c>
      <c r="U509" s="116">
        <f>InputData!$C$81</f>
        <v>178500</v>
      </c>
      <c r="V509" s="116">
        <f>InputData!$C$82</f>
        <v>303960</v>
      </c>
      <c r="W509" s="116">
        <f>InputData!$C$84</f>
        <v>215220</v>
      </c>
      <c r="X509" s="116">
        <f>InputData!$C$85</f>
        <v>409020</v>
      </c>
      <c r="Y509" s="116">
        <f>InputData!$C$116</f>
        <v>140000</v>
      </c>
      <c r="Z509" s="160">
        <f>InputData!$E$13</f>
        <v>0</v>
      </c>
    </row>
    <row r="510" spans="1:26" x14ac:dyDescent="0.25">
      <c r="A510">
        <f>InputData!$K$1</f>
        <v>2013</v>
      </c>
      <c r="B510" t="str">
        <f>InputData!$G$1</f>
        <v>San Antonio, TX</v>
      </c>
      <c r="C510" t="s">
        <v>177</v>
      </c>
      <c r="D510" t="str">
        <f>Graph_Ortho!$D$6</f>
        <v>HPSP30</v>
      </c>
      <c r="E510" t="str">
        <f t="shared" si="7"/>
        <v>Orthopedics HPSP30</v>
      </c>
      <c r="F510">
        <f>Graph_Ortho!$A35</f>
        <v>2041</v>
      </c>
      <c r="G510">
        <f>Graph_Ortho!$B35</f>
        <v>29</v>
      </c>
      <c r="H510" s="165">
        <f>Graph_Ortho!$D35</f>
        <v>1931358.4612365635</v>
      </c>
      <c r="I510" s="160">
        <f>InputData!$C$3</f>
        <v>0.02</v>
      </c>
      <c r="J510" s="160">
        <f>InputData!$C$4</f>
        <v>0.01</v>
      </c>
      <c r="K510" s="160">
        <f>InputData!$C$5</f>
        <v>0.01</v>
      </c>
      <c r="L510" s="160">
        <f>InputData!$C$6</f>
        <v>6.2100000000000002E-2</v>
      </c>
      <c r="M510" s="160">
        <f>InputData!$C$7</f>
        <v>0.03</v>
      </c>
      <c r="N510" s="160">
        <f>InputData!$C$8</f>
        <v>0.02</v>
      </c>
      <c r="O510" s="160">
        <f>InputData!$C$9</f>
        <v>0.06</v>
      </c>
      <c r="P510" s="160">
        <f>InputData!$C$10</f>
        <v>0.02</v>
      </c>
      <c r="Q510" s="160">
        <f>InputData!$C$11</f>
        <v>0.02</v>
      </c>
      <c r="R510" s="160">
        <f>InputData!$C$12</f>
        <v>0.02</v>
      </c>
      <c r="S510" s="160">
        <f>InputData!$C$13</f>
        <v>0.9</v>
      </c>
      <c r="T510" s="116">
        <f>InputData!$C$88</f>
        <v>180000</v>
      </c>
      <c r="U510" s="116">
        <f>InputData!$C$81</f>
        <v>178500</v>
      </c>
      <c r="V510" s="116">
        <f>InputData!$C$82</f>
        <v>303960</v>
      </c>
      <c r="W510" s="116">
        <f>InputData!$C$84</f>
        <v>215220</v>
      </c>
      <c r="X510" s="116">
        <f>InputData!$C$85</f>
        <v>409020</v>
      </c>
      <c r="Y510" s="116">
        <f>InputData!$C$116</f>
        <v>140000</v>
      </c>
      <c r="Z510" s="160">
        <f>InputData!$E$13</f>
        <v>0</v>
      </c>
    </row>
    <row r="511" spans="1:26" x14ac:dyDescent="0.25">
      <c r="A511">
        <f>InputData!$K$1</f>
        <v>2013</v>
      </c>
      <c r="B511" t="str">
        <f>InputData!$G$1</f>
        <v>San Antonio, TX</v>
      </c>
      <c r="C511" t="s">
        <v>177</v>
      </c>
      <c r="D511" t="str">
        <f>Graph_Ortho!$D$6</f>
        <v>HPSP30</v>
      </c>
      <c r="E511" t="str">
        <f t="shared" si="7"/>
        <v>Orthopedics HPSP30</v>
      </c>
      <c r="F511">
        <f>Graph_Ortho!$A36</f>
        <v>2042</v>
      </c>
      <c r="G511">
        <f>Graph_Ortho!$B36</f>
        <v>30</v>
      </c>
      <c r="H511" s="165">
        <f>Graph_Ortho!$D36</f>
        <v>1995386.6720244554</v>
      </c>
      <c r="I511" s="160">
        <f>InputData!$C$3</f>
        <v>0.02</v>
      </c>
      <c r="J511" s="160">
        <f>InputData!$C$4</f>
        <v>0.01</v>
      </c>
      <c r="K511" s="160">
        <f>InputData!$C$5</f>
        <v>0.01</v>
      </c>
      <c r="L511" s="160">
        <f>InputData!$C$6</f>
        <v>6.2100000000000002E-2</v>
      </c>
      <c r="M511" s="160">
        <f>InputData!$C$7</f>
        <v>0.03</v>
      </c>
      <c r="N511" s="160">
        <f>InputData!$C$8</f>
        <v>0.02</v>
      </c>
      <c r="O511" s="160">
        <f>InputData!$C$9</f>
        <v>0.06</v>
      </c>
      <c r="P511" s="160">
        <f>InputData!$C$10</f>
        <v>0.02</v>
      </c>
      <c r="Q511" s="160">
        <f>InputData!$C$11</f>
        <v>0.02</v>
      </c>
      <c r="R511" s="160">
        <f>InputData!$C$12</f>
        <v>0.02</v>
      </c>
      <c r="S511" s="160">
        <f>InputData!$C$13</f>
        <v>0.9</v>
      </c>
      <c r="T511" s="116">
        <f>InputData!$C$88</f>
        <v>180000</v>
      </c>
      <c r="U511" s="116">
        <f>InputData!$C$81</f>
        <v>178500</v>
      </c>
      <c r="V511" s="116">
        <f>InputData!$C$82</f>
        <v>303960</v>
      </c>
      <c r="W511" s="116">
        <f>InputData!$C$84</f>
        <v>215220</v>
      </c>
      <c r="X511" s="116">
        <f>InputData!$C$85</f>
        <v>409020</v>
      </c>
      <c r="Y511" s="116">
        <f>InputData!$C$116</f>
        <v>140000</v>
      </c>
      <c r="Z511" s="160">
        <f>InputData!$E$13</f>
        <v>0</v>
      </c>
    </row>
    <row r="512" spans="1:26" x14ac:dyDescent="0.25">
      <c r="A512">
        <f>InputData!$K$1</f>
        <v>2013</v>
      </c>
      <c r="B512" t="str">
        <f>InputData!$G$1</f>
        <v>San Antonio, TX</v>
      </c>
      <c r="C512" t="s">
        <v>177</v>
      </c>
      <c r="D512" t="str">
        <f>Graph_Ortho!$E$6</f>
        <v>STD10</v>
      </c>
      <c r="E512" t="str">
        <f t="shared" si="7"/>
        <v>Orthopedics STD10</v>
      </c>
      <c r="F512">
        <f>Graph_Ortho!$A7</f>
        <v>2013</v>
      </c>
      <c r="G512">
        <f>Graph_Ortho!$B7</f>
        <v>1</v>
      </c>
      <c r="H512" s="165">
        <f>Graph_Ortho!$E7</f>
        <v>-43015.05</v>
      </c>
      <c r="I512" s="160">
        <f>InputData!$C$3</f>
        <v>0.02</v>
      </c>
      <c r="J512" s="160">
        <f>InputData!$C$4</f>
        <v>0.01</v>
      </c>
      <c r="K512" s="160">
        <f>InputData!$C$5</f>
        <v>0.01</v>
      </c>
      <c r="L512" s="160">
        <f>InputData!$C$6</f>
        <v>6.2100000000000002E-2</v>
      </c>
      <c r="M512" s="160">
        <f>InputData!$C$7</f>
        <v>0.03</v>
      </c>
      <c r="N512" s="160">
        <f>InputData!$C$8</f>
        <v>0.02</v>
      </c>
      <c r="O512" s="160">
        <f>InputData!$C$9</f>
        <v>0.06</v>
      </c>
      <c r="P512" s="160">
        <f>InputData!$C$10</f>
        <v>0.02</v>
      </c>
      <c r="Q512" s="160">
        <f>InputData!$C$11</f>
        <v>0.02</v>
      </c>
      <c r="R512" s="160">
        <f>InputData!$C$12</f>
        <v>0.02</v>
      </c>
      <c r="S512" s="160">
        <f>InputData!$C$13</f>
        <v>0.9</v>
      </c>
      <c r="T512" s="116">
        <f>InputData!$C$88</f>
        <v>180000</v>
      </c>
      <c r="U512" s="116">
        <f>InputData!$C$81</f>
        <v>178500</v>
      </c>
      <c r="V512" s="116">
        <f>InputData!$C$82</f>
        <v>303960</v>
      </c>
      <c r="W512" s="116">
        <f>InputData!$C$84</f>
        <v>215220</v>
      </c>
      <c r="X512" s="116">
        <f>InputData!$C$85</f>
        <v>409020</v>
      </c>
      <c r="Y512" s="116">
        <f>InputData!$C$116</f>
        <v>140000</v>
      </c>
      <c r="Z512" s="160">
        <f>InputData!$E$13</f>
        <v>0</v>
      </c>
    </row>
    <row r="513" spans="1:26" x14ac:dyDescent="0.25">
      <c r="A513">
        <f>InputData!$K$1</f>
        <v>2013</v>
      </c>
      <c r="B513" t="str">
        <f>InputData!$G$1</f>
        <v>San Antonio, TX</v>
      </c>
      <c r="C513" t="s">
        <v>177</v>
      </c>
      <c r="D513" t="str">
        <f>Graph_Ortho!$E$6</f>
        <v>STD10</v>
      </c>
      <c r="E513" t="str">
        <f t="shared" si="7"/>
        <v>Orthopedics STD10</v>
      </c>
      <c r="F513">
        <f>Graph_Ortho!$A8</f>
        <v>2014</v>
      </c>
      <c r="G513">
        <f>Graph_Ortho!$B8</f>
        <v>2</v>
      </c>
      <c r="H513" s="165">
        <f>Graph_Ortho!$E8</f>
        <v>-86352.285865219877</v>
      </c>
      <c r="I513" s="160">
        <f>InputData!$C$3</f>
        <v>0.02</v>
      </c>
      <c r="J513" s="160">
        <f>InputData!$C$4</f>
        <v>0.01</v>
      </c>
      <c r="K513" s="160">
        <f>InputData!$C$5</f>
        <v>0.01</v>
      </c>
      <c r="L513" s="160">
        <f>InputData!$C$6</f>
        <v>6.2100000000000002E-2</v>
      </c>
      <c r="M513" s="160">
        <f>InputData!$C$7</f>
        <v>0.03</v>
      </c>
      <c r="N513" s="160">
        <f>InputData!$C$8</f>
        <v>0.02</v>
      </c>
      <c r="O513" s="160">
        <f>InputData!$C$9</f>
        <v>0.06</v>
      </c>
      <c r="P513" s="160">
        <f>InputData!$C$10</f>
        <v>0.02</v>
      </c>
      <c r="Q513" s="160">
        <f>InputData!$C$11</f>
        <v>0.02</v>
      </c>
      <c r="R513" s="160">
        <f>InputData!$C$12</f>
        <v>0.02</v>
      </c>
      <c r="S513" s="160">
        <f>InputData!$C$13</f>
        <v>0.9</v>
      </c>
      <c r="T513" s="116">
        <f>InputData!$C$88</f>
        <v>180000</v>
      </c>
      <c r="U513" s="116">
        <f>InputData!$C$81</f>
        <v>178500</v>
      </c>
      <c r="V513" s="116">
        <f>InputData!$C$82</f>
        <v>303960</v>
      </c>
      <c r="W513" s="116">
        <f>InputData!$C$84</f>
        <v>215220</v>
      </c>
      <c r="X513" s="116">
        <f>InputData!$C$85</f>
        <v>409020</v>
      </c>
      <c r="Y513" s="116">
        <f>InputData!$C$116</f>
        <v>140000</v>
      </c>
      <c r="Z513" s="160">
        <f>InputData!$E$13</f>
        <v>0</v>
      </c>
    </row>
    <row r="514" spans="1:26" x14ac:dyDescent="0.25">
      <c r="A514">
        <f>InputData!$K$1</f>
        <v>2013</v>
      </c>
      <c r="B514" t="str">
        <f>InputData!$G$1</f>
        <v>San Antonio, TX</v>
      </c>
      <c r="C514" t="s">
        <v>177</v>
      </c>
      <c r="D514" t="str">
        <f>Graph_Ortho!$E$6</f>
        <v>STD10</v>
      </c>
      <c r="E514" t="str">
        <f t="shared" si="7"/>
        <v>Orthopedics STD10</v>
      </c>
      <c r="F514">
        <f>Graph_Ortho!$A9</f>
        <v>2015</v>
      </c>
      <c r="G514">
        <f>Graph_Ortho!$B9</f>
        <v>3</v>
      </c>
      <c r="H514" s="165">
        <f>Graph_Ortho!$E9</f>
        <v>-138541.19578403595</v>
      </c>
      <c r="I514" s="160">
        <f>InputData!$C$3</f>
        <v>0.02</v>
      </c>
      <c r="J514" s="160">
        <f>InputData!$C$4</f>
        <v>0.01</v>
      </c>
      <c r="K514" s="160">
        <f>InputData!$C$5</f>
        <v>0.01</v>
      </c>
      <c r="L514" s="160">
        <f>InputData!$C$6</f>
        <v>6.2100000000000002E-2</v>
      </c>
      <c r="M514" s="160">
        <f>InputData!$C$7</f>
        <v>0.03</v>
      </c>
      <c r="N514" s="160">
        <f>InputData!$C$8</f>
        <v>0.02</v>
      </c>
      <c r="O514" s="160">
        <f>InputData!$C$9</f>
        <v>0.06</v>
      </c>
      <c r="P514" s="160">
        <f>InputData!$C$10</f>
        <v>0.02</v>
      </c>
      <c r="Q514" s="160">
        <f>InputData!$C$11</f>
        <v>0.02</v>
      </c>
      <c r="R514" s="160">
        <f>InputData!$C$12</f>
        <v>0.02</v>
      </c>
      <c r="S514" s="160">
        <f>InputData!$C$13</f>
        <v>0.9</v>
      </c>
      <c r="T514" s="116">
        <f>InputData!$C$88</f>
        <v>180000</v>
      </c>
      <c r="U514" s="116">
        <f>InputData!$C$81</f>
        <v>178500</v>
      </c>
      <c r="V514" s="116">
        <f>InputData!$C$82</f>
        <v>303960</v>
      </c>
      <c r="W514" s="116">
        <f>InputData!$C$84</f>
        <v>215220</v>
      </c>
      <c r="X514" s="116">
        <f>InputData!$C$85</f>
        <v>409020</v>
      </c>
      <c r="Y514" s="116">
        <f>InputData!$C$116</f>
        <v>140000</v>
      </c>
      <c r="Z514" s="160">
        <f>InputData!$E$13</f>
        <v>0</v>
      </c>
    </row>
    <row r="515" spans="1:26" x14ac:dyDescent="0.25">
      <c r="A515">
        <f>InputData!$K$1</f>
        <v>2013</v>
      </c>
      <c r="B515" t="str">
        <f>InputData!$G$1</f>
        <v>San Antonio, TX</v>
      </c>
      <c r="C515" t="s">
        <v>177</v>
      </c>
      <c r="D515" t="str">
        <f>Graph_Ortho!$E$6</f>
        <v>STD10</v>
      </c>
      <c r="E515" t="str">
        <f t="shared" ref="E515:E578" si="8">C515 &amp; " " &amp; D515</f>
        <v>Orthopedics STD10</v>
      </c>
      <c r="F515">
        <f>Graph_Ortho!$A10</f>
        <v>2016</v>
      </c>
      <c r="G515">
        <f>Graph_Ortho!$B10</f>
        <v>4</v>
      </c>
      <c r="H515" s="165">
        <f>Graph_Ortho!$E10</f>
        <v>-190867.38028908212</v>
      </c>
      <c r="I515" s="160">
        <f>InputData!$C$3</f>
        <v>0.02</v>
      </c>
      <c r="J515" s="160">
        <f>InputData!$C$4</f>
        <v>0.01</v>
      </c>
      <c r="K515" s="160">
        <f>InputData!$C$5</f>
        <v>0.01</v>
      </c>
      <c r="L515" s="160">
        <f>InputData!$C$6</f>
        <v>6.2100000000000002E-2</v>
      </c>
      <c r="M515" s="160">
        <f>InputData!$C$7</f>
        <v>0.03</v>
      </c>
      <c r="N515" s="160">
        <f>InputData!$C$8</f>
        <v>0.02</v>
      </c>
      <c r="O515" s="160">
        <f>InputData!$C$9</f>
        <v>0.06</v>
      </c>
      <c r="P515" s="160">
        <f>InputData!$C$10</f>
        <v>0.02</v>
      </c>
      <c r="Q515" s="160">
        <f>InputData!$C$11</f>
        <v>0.02</v>
      </c>
      <c r="R515" s="160">
        <f>InputData!$C$12</f>
        <v>0.02</v>
      </c>
      <c r="S515" s="160">
        <f>InputData!$C$13</f>
        <v>0.9</v>
      </c>
      <c r="T515" s="116">
        <f>InputData!$C$88</f>
        <v>180000</v>
      </c>
      <c r="U515" s="116">
        <f>InputData!$C$81</f>
        <v>178500</v>
      </c>
      <c r="V515" s="116">
        <f>InputData!$C$82</f>
        <v>303960</v>
      </c>
      <c r="W515" s="116">
        <f>InputData!$C$84</f>
        <v>215220</v>
      </c>
      <c r="X515" s="116">
        <f>InputData!$C$85</f>
        <v>409020</v>
      </c>
      <c r="Y515" s="116">
        <f>InputData!$C$116</f>
        <v>140000</v>
      </c>
      <c r="Z515" s="160">
        <f>InputData!$E$13</f>
        <v>0</v>
      </c>
    </row>
    <row r="516" spans="1:26" x14ac:dyDescent="0.25">
      <c r="A516">
        <f>InputData!$K$1</f>
        <v>2013</v>
      </c>
      <c r="B516" t="str">
        <f>InputData!$G$1</f>
        <v>San Antonio, TX</v>
      </c>
      <c r="C516" t="s">
        <v>177</v>
      </c>
      <c r="D516" t="str">
        <f>Graph_Ortho!$E$6</f>
        <v>STD10</v>
      </c>
      <c r="E516" t="str">
        <f t="shared" si="8"/>
        <v>Orthopedics STD10</v>
      </c>
      <c r="F516">
        <f>Graph_Ortho!$A11</f>
        <v>2017</v>
      </c>
      <c r="G516">
        <f>Graph_Ortho!$B11</f>
        <v>5</v>
      </c>
      <c r="H516" s="165">
        <f>Graph_Ortho!$E11</f>
        <v>-154981.05168717628</v>
      </c>
      <c r="I516" s="160">
        <f>InputData!$C$3</f>
        <v>0.02</v>
      </c>
      <c r="J516" s="160">
        <f>InputData!$C$4</f>
        <v>0.01</v>
      </c>
      <c r="K516" s="160">
        <f>InputData!$C$5</f>
        <v>0.01</v>
      </c>
      <c r="L516" s="160">
        <f>InputData!$C$6</f>
        <v>6.2100000000000002E-2</v>
      </c>
      <c r="M516" s="160">
        <f>InputData!$C$7</f>
        <v>0.03</v>
      </c>
      <c r="N516" s="160">
        <f>InputData!$C$8</f>
        <v>0.02</v>
      </c>
      <c r="O516" s="160">
        <f>InputData!$C$9</f>
        <v>0.06</v>
      </c>
      <c r="P516" s="160">
        <f>InputData!$C$10</f>
        <v>0.02</v>
      </c>
      <c r="Q516" s="160">
        <f>InputData!$C$11</f>
        <v>0.02</v>
      </c>
      <c r="R516" s="160">
        <f>InputData!$C$12</f>
        <v>0.02</v>
      </c>
      <c r="S516" s="160">
        <f>InputData!$C$13</f>
        <v>0.9</v>
      </c>
      <c r="T516" s="116">
        <f>InputData!$C$88</f>
        <v>180000</v>
      </c>
      <c r="U516" s="116">
        <f>InputData!$C$81</f>
        <v>178500</v>
      </c>
      <c r="V516" s="116">
        <f>InputData!$C$82</f>
        <v>303960</v>
      </c>
      <c r="W516" s="116">
        <f>InputData!$C$84</f>
        <v>215220</v>
      </c>
      <c r="X516" s="116">
        <f>InputData!$C$85</f>
        <v>409020</v>
      </c>
      <c r="Y516" s="116">
        <f>InputData!$C$116</f>
        <v>140000</v>
      </c>
      <c r="Z516" s="160">
        <f>InputData!$E$13</f>
        <v>0</v>
      </c>
    </row>
    <row r="517" spans="1:26" x14ac:dyDescent="0.25">
      <c r="A517">
        <f>InputData!$K$1</f>
        <v>2013</v>
      </c>
      <c r="B517" t="str">
        <f>InputData!$G$1</f>
        <v>San Antonio, TX</v>
      </c>
      <c r="C517" t="s">
        <v>177</v>
      </c>
      <c r="D517" t="str">
        <f>Graph_Ortho!$E$6</f>
        <v>STD10</v>
      </c>
      <c r="E517" t="str">
        <f t="shared" si="8"/>
        <v>Orthopedics STD10</v>
      </c>
      <c r="F517">
        <f>Graph_Ortho!$A12</f>
        <v>2018</v>
      </c>
      <c r="G517">
        <f>Graph_Ortho!$B12</f>
        <v>6</v>
      </c>
      <c r="H517" s="165">
        <f>Graph_Ortho!$E12</f>
        <v>-118995.92937851879</v>
      </c>
      <c r="I517" s="160">
        <f>InputData!$C$3</f>
        <v>0.02</v>
      </c>
      <c r="J517" s="160">
        <f>InputData!$C$4</f>
        <v>0.01</v>
      </c>
      <c r="K517" s="160">
        <f>InputData!$C$5</f>
        <v>0.01</v>
      </c>
      <c r="L517" s="160">
        <f>InputData!$C$6</f>
        <v>6.2100000000000002E-2</v>
      </c>
      <c r="M517" s="160">
        <f>InputData!$C$7</f>
        <v>0.03</v>
      </c>
      <c r="N517" s="160">
        <f>InputData!$C$8</f>
        <v>0.02</v>
      </c>
      <c r="O517" s="160">
        <f>InputData!$C$9</f>
        <v>0.06</v>
      </c>
      <c r="P517" s="160">
        <f>InputData!$C$10</f>
        <v>0.02</v>
      </c>
      <c r="Q517" s="160">
        <f>InputData!$C$11</f>
        <v>0.02</v>
      </c>
      <c r="R517" s="160">
        <f>InputData!$C$12</f>
        <v>0.02</v>
      </c>
      <c r="S517" s="160">
        <f>InputData!$C$13</f>
        <v>0.9</v>
      </c>
      <c r="T517" s="116">
        <f>InputData!$C$88</f>
        <v>180000</v>
      </c>
      <c r="U517" s="116">
        <f>InputData!$C$81</f>
        <v>178500</v>
      </c>
      <c r="V517" s="116">
        <f>InputData!$C$82</f>
        <v>303960</v>
      </c>
      <c r="W517" s="116">
        <f>InputData!$C$84</f>
        <v>215220</v>
      </c>
      <c r="X517" s="116">
        <f>InputData!$C$85</f>
        <v>409020</v>
      </c>
      <c r="Y517" s="116">
        <f>InputData!$C$116</f>
        <v>140000</v>
      </c>
      <c r="Z517" s="160">
        <f>InputData!$E$13</f>
        <v>0</v>
      </c>
    </row>
    <row r="518" spans="1:26" x14ac:dyDescent="0.25">
      <c r="A518">
        <f>InputData!$K$1</f>
        <v>2013</v>
      </c>
      <c r="B518" t="str">
        <f>InputData!$G$1</f>
        <v>San Antonio, TX</v>
      </c>
      <c r="C518" t="s">
        <v>177</v>
      </c>
      <c r="D518" t="str">
        <f>Graph_Ortho!$E$6</f>
        <v>STD10</v>
      </c>
      <c r="E518" t="str">
        <f t="shared" si="8"/>
        <v>Orthopedics STD10</v>
      </c>
      <c r="F518">
        <f>Graph_Ortho!$A13</f>
        <v>2019</v>
      </c>
      <c r="G518">
        <f>Graph_Ortho!$B13</f>
        <v>7</v>
      </c>
      <c r="H518" s="165">
        <f>Graph_Ortho!$E13</f>
        <v>-82904.654937055282</v>
      </c>
      <c r="I518" s="160">
        <f>InputData!$C$3</f>
        <v>0.02</v>
      </c>
      <c r="J518" s="160">
        <f>InputData!$C$4</f>
        <v>0.01</v>
      </c>
      <c r="K518" s="160">
        <f>InputData!$C$5</f>
        <v>0.01</v>
      </c>
      <c r="L518" s="160">
        <f>InputData!$C$6</f>
        <v>6.2100000000000002E-2</v>
      </c>
      <c r="M518" s="160">
        <f>InputData!$C$7</f>
        <v>0.03</v>
      </c>
      <c r="N518" s="160">
        <f>InputData!$C$8</f>
        <v>0.02</v>
      </c>
      <c r="O518" s="160">
        <f>InputData!$C$9</f>
        <v>0.06</v>
      </c>
      <c r="P518" s="160">
        <f>InputData!$C$10</f>
        <v>0.02</v>
      </c>
      <c r="Q518" s="160">
        <f>InputData!$C$11</f>
        <v>0.02</v>
      </c>
      <c r="R518" s="160">
        <f>InputData!$C$12</f>
        <v>0.02</v>
      </c>
      <c r="S518" s="160">
        <f>InputData!$C$13</f>
        <v>0.9</v>
      </c>
      <c r="T518" s="116">
        <f>InputData!$C$88</f>
        <v>180000</v>
      </c>
      <c r="U518" s="116">
        <f>InputData!$C$81</f>
        <v>178500</v>
      </c>
      <c r="V518" s="116">
        <f>InputData!$C$82</f>
        <v>303960</v>
      </c>
      <c r="W518" s="116">
        <f>InputData!$C$84</f>
        <v>215220</v>
      </c>
      <c r="X518" s="116">
        <f>InputData!$C$85</f>
        <v>409020</v>
      </c>
      <c r="Y518" s="116">
        <f>InputData!$C$116</f>
        <v>140000</v>
      </c>
      <c r="Z518" s="160">
        <f>InputData!$E$13</f>
        <v>0</v>
      </c>
    </row>
    <row r="519" spans="1:26" x14ac:dyDescent="0.25">
      <c r="A519">
        <f>InputData!$K$1</f>
        <v>2013</v>
      </c>
      <c r="B519" t="str">
        <f>InputData!$G$1</f>
        <v>San Antonio, TX</v>
      </c>
      <c r="C519" t="s">
        <v>177</v>
      </c>
      <c r="D519" t="str">
        <f>Graph_Ortho!$E$6</f>
        <v>STD10</v>
      </c>
      <c r="E519" t="str">
        <f t="shared" si="8"/>
        <v>Orthopedics STD10</v>
      </c>
      <c r="F519">
        <f>Graph_Ortho!$A14</f>
        <v>2020</v>
      </c>
      <c r="G519">
        <f>Graph_Ortho!$B14</f>
        <v>8</v>
      </c>
      <c r="H519" s="165">
        <f>Graph_Ortho!$E14</f>
        <v>-46699.992676364229</v>
      </c>
      <c r="I519" s="160">
        <f>InputData!$C$3</f>
        <v>0.02</v>
      </c>
      <c r="J519" s="160">
        <f>InputData!$C$4</f>
        <v>0.01</v>
      </c>
      <c r="K519" s="160">
        <f>InputData!$C$5</f>
        <v>0.01</v>
      </c>
      <c r="L519" s="160">
        <f>InputData!$C$6</f>
        <v>6.2100000000000002E-2</v>
      </c>
      <c r="M519" s="160">
        <f>InputData!$C$7</f>
        <v>0.03</v>
      </c>
      <c r="N519" s="160">
        <f>InputData!$C$8</f>
        <v>0.02</v>
      </c>
      <c r="O519" s="160">
        <f>InputData!$C$9</f>
        <v>0.06</v>
      </c>
      <c r="P519" s="160">
        <f>InputData!$C$10</f>
        <v>0.02</v>
      </c>
      <c r="Q519" s="160">
        <f>InputData!$C$11</f>
        <v>0.02</v>
      </c>
      <c r="R519" s="160">
        <f>InputData!$C$12</f>
        <v>0.02</v>
      </c>
      <c r="S519" s="160">
        <f>InputData!$C$13</f>
        <v>0.9</v>
      </c>
      <c r="T519" s="116">
        <f>InputData!$C$88</f>
        <v>180000</v>
      </c>
      <c r="U519" s="116">
        <f>InputData!$C$81</f>
        <v>178500</v>
      </c>
      <c r="V519" s="116">
        <f>InputData!$C$82</f>
        <v>303960</v>
      </c>
      <c r="W519" s="116">
        <f>InputData!$C$84</f>
        <v>215220</v>
      </c>
      <c r="X519" s="116">
        <f>InputData!$C$85</f>
        <v>409020</v>
      </c>
      <c r="Y519" s="116">
        <f>InputData!$C$116</f>
        <v>140000</v>
      </c>
      <c r="Z519" s="160">
        <f>InputData!$E$13</f>
        <v>0</v>
      </c>
    </row>
    <row r="520" spans="1:26" x14ac:dyDescent="0.25">
      <c r="A520">
        <f>InputData!$K$1</f>
        <v>2013</v>
      </c>
      <c r="B520" t="str">
        <f>InputData!$G$1</f>
        <v>San Antonio, TX</v>
      </c>
      <c r="C520" t="s">
        <v>177</v>
      </c>
      <c r="D520" t="str">
        <f>Graph_Ortho!$E$6</f>
        <v>STD10</v>
      </c>
      <c r="E520" t="str">
        <f t="shared" si="8"/>
        <v>Orthopedics STD10</v>
      </c>
      <c r="F520">
        <f>Graph_Ortho!$A15</f>
        <v>2021</v>
      </c>
      <c r="G520">
        <f>Graph_Ortho!$B15</f>
        <v>9</v>
      </c>
      <c r="H520" s="165">
        <f>Graph_Ortho!$E15</f>
        <v>-10374.82525529444</v>
      </c>
      <c r="I520" s="160">
        <f>InputData!$C$3</f>
        <v>0.02</v>
      </c>
      <c r="J520" s="160">
        <f>InputData!$C$4</f>
        <v>0.01</v>
      </c>
      <c r="K520" s="160">
        <f>InputData!$C$5</f>
        <v>0.01</v>
      </c>
      <c r="L520" s="160">
        <f>InputData!$C$6</f>
        <v>6.2100000000000002E-2</v>
      </c>
      <c r="M520" s="160">
        <f>InputData!$C$7</f>
        <v>0.03</v>
      </c>
      <c r="N520" s="160">
        <f>InputData!$C$8</f>
        <v>0.02</v>
      </c>
      <c r="O520" s="160">
        <f>InputData!$C$9</f>
        <v>0.06</v>
      </c>
      <c r="P520" s="160">
        <f>InputData!$C$10</f>
        <v>0.02</v>
      </c>
      <c r="Q520" s="160">
        <f>InputData!$C$11</f>
        <v>0.02</v>
      </c>
      <c r="R520" s="160">
        <f>InputData!$C$12</f>
        <v>0.02</v>
      </c>
      <c r="S520" s="160">
        <f>InputData!$C$13</f>
        <v>0.9</v>
      </c>
      <c r="T520" s="116">
        <f>InputData!$C$88</f>
        <v>180000</v>
      </c>
      <c r="U520" s="116">
        <f>InputData!$C$81</f>
        <v>178500</v>
      </c>
      <c r="V520" s="116">
        <f>InputData!$C$82</f>
        <v>303960</v>
      </c>
      <c r="W520" s="116">
        <f>InputData!$C$84</f>
        <v>215220</v>
      </c>
      <c r="X520" s="116">
        <f>InputData!$C$85</f>
        <v>409020</v>
      </c>
      <c r="Y520" s="116">
        <f>InputData!$C$116</f>
        <v>140000</v>
      </c>
      <c r="Z520" s="160">
        <f>InputData!$E$13</f>
        <v>0</v>
      </c>
    </row>
    <row r="521" spans="1:26" x14ac:dyDescent="0.25">
      <c r="A521">
        <f>InputData!$K$1</f>
        <v>2013</v>
      </c>
      <c r="B521" t="str">
        <f>InputData!$G$1</f>
        <v>San Antonio, TX</v>
      </c>
      <c r="C521" t="s">
        <v>177</v>
      </c>
      <c r="D521" t="str">
        <f>Graph_Ortho!$E$6</f>
        <v>STD10</v>
      </c>
      <c r="E521" t="str">
        <f t="shared" si="8"/>
        <v>Orthopedics STD10</v>
      </c>
      <c r="F521">
        <f>Graph_Ortho!$A16</f>
        <v>2022</v>
      </c>
      <c r="G521">
        <f>Graph_Ortho!$B16</f>
        <v>10</v>
      </c>
      <c r="H521" s="165">
        <f>Graph_Ortho!$E16</f>
        <v>179323.95170836631</v>
      </c>
      <c r="I521" s="160">
        <f>InputData!$C$3</f>
        <v>0.02</v>
      </c>
      <c r="J521" s="160">
        <f>InputData!$C$4</f>
        <v>0.01</v>
      </c>
      <c r="K521" s="160">
        <f>InputData!$C$5</f>
        <v>0.01</v>
      </c>
      <c r="L521" s="160">
        <f>InputData!$C$6</f>
        <v>6.2100000000000002E-2</v>
      </c>
      <c r="M521" s="160">
        <f>InputData!$C$7</f>
        <v>0.03</v>
      </c>
      <c r="N521" s="160">
        <f>InputData!$C$8</f>
        <v>0.02</v>
      </c>
      <c r="O521" s="160">
        <f>InputData!$C$9</f>
        <v>0.06</v>
      </c>
      <c r="P521" s="160">
        <f>InputData!$C$10</f>
        <v>0.02</v>
      </c>
      <c r="Q521" s="160">
        <f>InputData!$C$11</f>
        <v>0.02</v>
      </c>
      <c r="R521" s="160">
        <f>InputData!$C$12</f>
        <v>0.02</v>
      </c>
      <c r="S521" s="160">
        <f>InputData!$C$13</f>
        <v>0.9</v>
      </c>
      <c r="T521" s="116">
        <f>InputData!$C$88</f>
        <v>180000</v>
      </c>
      <c r="U521" s="116">
        <f>InputData!$C$81</f>
        <v>178500</v>
      </c>
      <c r="V521" s="116">
        <f>InputData!$C$82</f>
        <v>303960</v>
      </c>
      <c r="W521" s="116">
        <f>InputData!$C$84</f>
        <v>215220</v>
      </c>
      <c r="X521" s="116">
        <f>InputData!$C$85</f>
        <v>409020</v>
      </c>
      <c r="Y521" s="116">
        <f>InputData!$C$116</f>
        <v>140000</v>
      </c>
      <c r="Z521" s="160">
        <f>InputData!$E$13</f>
        <v>0</v>
      </c>
    </row>
    <row r="522" spans="1:26" x14ac:dyDescent="0.25">
      <c r="A522">
        <f>InputData!$K$1</f>
        <v>2013</v>
      </c>
      <c r="B522" t="str">
        <f>InputData!$G$1</f>
        <v>San Antonio, TX</v>
      </c>
      <c r="C522" t="s">
        <v>177</v>
      </c>
      <c r="D522" t="str">
        <f>Graph_Ortho!$E$6</f>
        <v>STD10</v>
      </c>
      <c r="E522" t="str">
        <f t="shared" si="8"/>
        <v>Orthopedics STD10</v>
      </c>
      <c r="F522">
        <f>Graph_Ortho!$A17</f>
        <v>2023</v>
      </c>
      <c r="G522">
        <f>Graph_Ortho!$B17</f>
        <v>11</v>
      </c>
      <c r="H522" s="165">
        <f>Graph_Ortho!$E17</f>
        <v>363952.81750987977</v>
      </c>
      <c r="I522" s="160">
        <f>InputData!$C$3</f>
        <v>0.02</v>
      </c>
      <c r="J522" s="160">
        <f>InputData!$C$4</f>
        <v>0.01</v>
      </c>
      <c r="K522" s="160">
        <f>InputData!$C$5</f>
        <v>0.01</v>
      </c>
      <c r="L522" s="160">
        <f>InputData!$C$6</f>
        <v>6.2100000000000002E-2</v>
      </c>
      <c r="M522" s="160">
        <f>InputData!$C$7</f>
        <v>0.03</v>
      </c>
      <c r="N522" s="160">
        <f>InputData!$C$8</f>
        <v>0.02</v>
      </c>
      <c r="O522" s="160">
        <f>InputData!$C$9</f>
        <v>0.06</v>
      </c>
      <c r="P522" s="160">
        <f>InputData!$C$10</f>
        <v>0.02</v>
      </c>
      <c r="Q522" s="160">
        <f>InputData!$C$11</f>
        <v>0.02</v>
      </c>
      <c r="R522" s="160">
        <f>InputData!$C$12</f>
        <v>0.02</v>
      </c>
      <c r="S522" s="160">
        <f>InputData!$C$13</f>
        <v>0.9</v>
      </c>
      <c r="T522" s="116">
        <f>InputData!$C$88</f>
        <v>180000</v>
      </c>
      <c r="U522" s="116">
        <f>InputData!$C$81</f>
        <v>178500</v>
      </c>
      <c r="V522" s="116">
        <f>InputData!$C$82</f>
        <v>303960</v>
      </c>
      <c r="W522" s="116">
        <f>InputData!$C$84</f>
        <v>215220</v>
      </c>
      <c r="X522" s="116">
        <f>InputData!$C$85</f>
        <v>409020</v>
      </c>
      <c r="Y522" s="116">
        <f>InputData!$C$116</f>
        <v>140000</v>
      </c>
      <c r="Z522" s="160">
        <f>InputData!$E$13</f>
        <v>0</v>
      </c>
    </row>
    <row r="523" spans="1:26" x14ac:dyDescent="0.25">
      <c r="A523">
        <f>InputData!$K$1</f>
        <v>2013</v>
      </c>
      <c r="B523" t="str">
        <f>InputData!$G$1</f>
        <v>San Antonio, TX</v>
      </c>
      <c r="C523" t="s">
        <v>177</v>
      </c>
      <c r="D523" t="str">
        <f>Graph_Ortho!$E$6</f>
        <v>STD10</v>
      </c>
      <c r="E523" t="str">
        <f t="shared" si="8"/>
        <v>Orthopedics STD10</v>
      </c>
      <c r="F523">
        <f>Graph_Ortho!$A18</f>
        <v>2024</v>
      </c>
      <c r="G523">
        <f>Graph_Ortho!$B18</f>
        <v>12</v>
      </c>
      <c r="H523" s="165">
        <f>Graph_Ortho!$E18</f>
        <v>545345.23911094514</v>
      </c>
      <c r="I523" s="160">
        <f>InputData!$C$3</f>
        <v>0.02</v>
      </c>
      <c r="J523" s="160">
        <f>InputData!$C$4</f>
        <v>0.01</v>
      </c>
      <c r="K523" s="160">
        <f>InputData!$C$5</f>
        <v>0.01</v>
      </c>
      <c r="L523" s="160">
        <f>InputData!$C$6</f>
        <v>6.2100000000000002E-2</v>
      </c>
      <c r="M523" s="160">
        <f>InputData!$C$7</f>
        <v>0.03</v>
      </c>
      <c r="N523" s="160">
        <f>InputData!$C$8</f>
        <v>0.02</v>
      </c>
      <c r="O523" s="160">
        <f>InputData!$C$9</f>
        <v>0.06</v>
      </c>
      <c r="P523" s="160">
        <f>InputData!$C$10</f>
        <v>0.02</v>
      </c>
      <c r="Q523" s="160">
        <f>InputData!$C$11</f>
        <v>0.02</v>
      </c>
      <c r="R523" s="160">
        <f>InputData!$C$12</f>
        <v>0.02</v>
      </c>
      <c r="S523" s="160">
        <f>InputData!$C$13</f>
        <v>0.9</v>
      </c>
      <c r="T523" s="116">
        <f>InputData!$C$88</f>
        <v>180000</v>
      </c>
      <c r="U523" s="116">
        <f>InputData!$C$81</f>
        <v>178500</v>
      </c>
      <c r="V523" s="116">
        <f>InputData!$C$82</f>
        <v>303960</v>
      </c>
      <c r="W523" s="116">
        <f>InputData!$C$84</f>
        <v>215220</v>
      </c>
      <c r="X523" s="116">
        <f>InputData!$C$85</f>
        <v>409020</v>
      </c>
      <c r="Y523" s="116">
        <f>InputData!$C$116</f>
        <v>140000</v>
      </c>
      <c r="Z523" s="160">
        <f>InputData!$E$13</f>
        <v>0</v>
      </c>
    </row>
    <row r="524" spans="1:26" x14ac:dyDescent="0.25">
      <c r="A524">
        <f>InputData!$K$1</f>
        <v>2013</v>
      </c>
      <c r="B524" t="str">
        <f>InputData!$G$1</f>
        <v>San Antonio, TX</v>
      </c>
      <c r="C524" t="s">
        <v>177</v>
      </c>
      <c r="D524" t="str">
        <f>Graph_Ortho!$E$6</f>
        <v>STD10</v>
      </c>
      <c r="E524" t="str">
        <f t="shared" si="8"/>
        <v>Orthopedics STD10</v>
      </c>
      <c r="F524">
        <f>Graph_Ortho!$A19</f>
        <v>2025</v>
      </c>
      <c r="G524">
        <f>Graph_Ortho!$B19</f>
        <v>13</v>
      </c>
      <c r="H524" s="165">
        <f>Graph_Ortho!$E19</f>
        <v>723541.12475207844</v>
      </c>
      <c r="I524" s="160">
        <f>InputData!$C$3</f>
        <v>0.02</v>
      </c>
      <c r="J524" s="160">
        <f>InputData!$C$4</f>
        <v>0.01</v>
      </c>
      <c r="K524" s="160">
        <f>InputData!$C$5</f>
        <v>0.01</v>
      </c>
      <c r="L524" s="160">
        <f>InputData!$C$6</f>
        <v>6.2100000000000002E-2</v>
      </c>
      <c r="M524" s="160">
        <f>InputData!$C$7</f>
        <v>0.03</v>
      </c>
      <c r="N524" s="160">
        <f>InputData!$C$8</f>
        <v>0.02</v>
      </c>
      <c r="O524" s="160">
        <f>InputData!$C$9</f>
        <v>0.06</v>
      </c>
      <c r="P524" s="160">
        <f>InputData!$C$10</f>
        <v>0.02</v>
      </c>
      <c r="Q524" s="160">
        <f>InputData!$C$11</f>
        <v>0.02</v>
      </c>
      <c r="R524" s="160">
        <f>InputData!$C$12</f>
        <v>0.02</v>
      </c>
      <c r="S524" s="160">
        <f>InputData!$C$13</f>
        <v>0.9</v>
      </c>
      <c r="T524" s="116">
        <f>InputData!$C$88</f>
        <v>180000</v>
      </c>
      <c r="U524" s="116">
        <f>InputData!$C$81</f>
        <v>178500</v>
      </c>
      <c r="V524" s="116">
        <f>InputData!$C$82</f>
        <v>303960</v>
      </c>
      <c r="W524" s="116">
        <f>InputData!$C$84</f>
        <v>215220</v>
      </c>
      <c r="X524" s="116">
        <f>InputData!$C$85</f>
        <v>409020</v>
      </c>
      <c r="Y524" s="116">
        <f>InputData!$C$116</f>
        <v>140000</v>
      </c>
      <c r="Z524" s="160">
        <f>InputData!$E$13</f>
        <v>0</v>
      </c>
    </row>
    <row r="525" spans="1:26" x14ac:dyDescent="0.25">
      <c r="A525">
        <f>InputData!$K$1</f>
        <v>2013</v>
      </c>
      <c r="B525" t="str">
        <f>InputData!$G$1</f>
        <v>San Antonio, TX</v>
      </c>
      <c r="C525" t="s">
        <v>177</v>
      </c>
      <c r="D525" t="str">
        <f>Graph_Ortho!$E$6</f>
        <v>STD10</v>
      </c>
      <c r="E525" t="str">
        <f t="shared" si="8"/>
        <v>Orthopedics STD10</v>
      </c>
      <c r="F525">
        <f>Graph_Ortho!$A20</f>
        <v>2026</v>
      </c>
      <c r="G525">
        <f>Graph_Ortho!$B20</f>
        <v>14</v>
      </c>
      <c r="H525" s="165">
        <f>Graph_Ortho!$E20</f>
        <v>898580.88213356538</v>
      </c>
      <c r="I525" s="160">
        <f>InputData!$C$3</f>
        <v>0.02</v>
      </c>
      <c r="J525" s="160">
        <f>InputData!$C$4</f>
        <v>0.01</v>
      </c>
      <c r="K525" s="160">
        <f>InputData!$C$5</f>
        <v>0.01</v>
      </c>
      <c r="L525" s="160">
        <f>InputData!$C$6</f>
        <v>6.2100000000000002E-2</v>
      </c>
      <c r="M525" s="160">
        <f>InputData!$C$7</f>
        <v>0.03</v>
      </c>
      <c r="N525" s="160">
        <f>InputData!$C$8</f>
        <v>0.02</v>
      </c>
      <c r="O525" s="160">
        <f>InputData!$C$9</f>
        <v>0.06</v>
      </c>
      <c r="P525" s="160">
        <f>InputData!$C$10</f>
        <v>0.02</v>
      </c>
      <c r="Q525" s="160">
        <f>InputData!$C$11</f>
        <v>0.02</v>
      </c>
      <c r="R525" s="160">
        <f>InputData!$C$12</f>
        <v>0.02</v>
      </c>
      <c r="S525" s="160">
        <f>InputData!$C$13</f>
        <v>0.9</v>
      </c>
      <c r="T525" s="116">
        <f>InputData!$C$88</f>
        <v>180000</v>
      </c>
      <c r="U525" s="116">
        <f>InputData!$C$81</f>
        <v>178500</v>
      </c>
      <c r="V525" s="116">
        <f>InputData!$C$82</f>
        <v>303960</v>
      </c>
      <c r="W525" s="116">
        <f>InputData!$C$84</f>
        <v>215220</v>
      </c>
      <c r="X525" s="116">
        <f>InputData!$C$85</f>
        <v>409020</v>
      </c>
      <c r="Y525" s="116">
        <f>InputData!$C$116</f>
        <v>140000</v>
      </c>
      <c r="Z525" s="160">
        <f>InputData!$E$13</f>
        <v>0</v>
      </c>
    </row>
    <row r="526" spans="1:26" x14ac:dyDescent="0.25">
      <c r="A526">
        <f>InputData!$K$1</f>
        <v>2013</v>
      </c>
      <c r="B526" t="str">
        <f>InputData!$G$1</f>
        <v>San Antonio, TX</v>
      </c>
      <c r="C526" t="s">
        <v>177</v>
      </c>
      <c r="D526" t="str">
        <f>Graph_Ortho!$E$6</f>
        <v>STD10</v>
      </c>
      <c r="E526" t="str">
        <f t="shared" si="8"/>
        <v>Orthopedics STD10</v>
      </c>
      <c r="F526">
        <f>Graph_Ortho!$A21</f>
        <v>2027</v>
      </c>
      <c r="G526">
        <f>Graph_Ortho!$B21</f>
        <v>15</v>
      </c>
      <c r="H526" s="165">
        <f>Graph_Ortho!$E21</f>
        <v>1070505.3425774858</v>
      </c>
      <c r="I526" s="160">
        <f>InputData!$C$3</f>
        <v>0.02</v>
      </c>
      <c r="J526" s="160">
        <f>InputData!$C$4</f>
        <v>0.01</v>
      </c>
      <c r="K526" s="160">
        <f>InputData!$C$5</f>
        <v>0.01</v>
      </c>
      <c r="L526" s="160">
        <f>InputData!$C$6</f>
        <v>6.2100000000000002E-2</v>
      </c>
      <c r="M526" s="160">
        <f>InputData!$C$7</f>
        <v>0.03</v>
      </c>
      <c r="N526" s="160">
        <f>InputData!$C$8</f>
        <v>0.02</v>
      </c>
      <c r="O526" s="160">
        <f>InputData!$C$9</f>
        <v>0.06</v>
      </c>
      <c r="P526" s="160">
        <f>InputData!$C$10</f>
        <v>0.02</v>
      </c>
      <c r="Q526" s="160">
        <f>InputData!$C$11</f>
        <v>0.02</v>
      </c>
      <c r="R526" s="160">
        <f>InputData!$C$12</f>
        <v>0.02</v>
      </c>
      <c r="S526" s="160">
        <f>InputData!$C$13</f>
        <v>0.9</v>
      </c>
      <c r="T526" s="116">
        <f>InputData!$C$88</f>
        <v>180000</v>
      </c>
      <c r="U526" s="116">
        <f>InputData!$C$81</f>
        <v>178500</v>
      </c>
      <c r="V526" s="116">
        <f>InputData!$C$82</f>
        <v>303960</v>
      </c>
      <c r="W526" s="116">
        <f>InputData!$C$84</f>
        <v>215220</v>
      </c>
      <c r="X526" s="116">
        <f>InputData!$C$85</f>
        <v>409020</v>
      </c>
      <c r="Y526" s="116">
        <f>InputData!$C$116</f>
        <v>140000</v>
      </c>
      <c r="Z526" s="160">
        <f>InputData!$E$13</f>
        <v>0</v>
      </c>
    </row>
    <row r="527" spans="1:26" x14ac:dyDescent="0.25">
      <c r="A527">
        <f>InputData!$K$1</f>
        <v>2013</v>
      </c>
      <c r="B527" t="str">
        <f>InputData!$G$1</f>
        <v>San Antonio, TX</v>
      </c>
      <c r="C527" t="s">
        <v>177</v>
      </c>
      <c r="D527" t="str">
        <f>Graph_Ortho!$E$6</f>
        <v>STD10</v>
      </c>
      <c r="E527" t="str">
        <f t="shared" si="8"/>
        <v>Orthopedics STD10</v>
      </c>
      <c r="F527">
        <f>Graph_Ortho!$A22</f>
        <v>2028</v>
      </c>
      <c r="G527">
        <f>Graph_Ortho!$B22</f>
        <v>16</v>
      </c>
      <c r="H527" s="165">
        <f>Graph_Ortho!$E22</f>
        <v>1239355.6899829344</v>
      </c>
      <c r="I527" s="160">
        <f>InputData!$C$3</f>
        <v>0.02</v>
      </c>
      <c r="J527" s="160">
        <f>InputData!$C$4</f>
        <v>0.01</v>
      </c>
      <c r="K527" s="160">
        <f>InputData!$C$5</f>
        <v>0.01</v>
      </c>
      <c r="L527" s="160">
        <f>InputData!$C$6</f>
        <v>6.2100000000000002E-2</v>
      </c>
      <c r="M527" s="160">
        <f>InputData!$C$7</f>
        <v>0.03</v>
      </c>
      <c r="N527" s="160">
        <f>InputData!$C$8</f>
        <v>0.02</v>
      </c>
      <c r="O527" s="160">
        <f>InputData!$C$9</f>
        <v>0.06</v>
      </c>
      <c r="P527" s="160">
        <f>InputData!$C$10</f>
        <v>0.02</v>
      </c>
      <c r="Q527" s="160">
        <f>InputData!$C$11</f>
        <v>0.02</v>
      </c>
      <c r="R527" s="160">
        <f>InputData!$C$12</f>
        <v>0.02</v>
      </c>
      <c r="S527" s="160">
        <f>InputData!$C$13</f>
        <v>0.9</v>
      </c>
      <c r="T527" s="116">
        <f>InputData!$C$88</f>
        <v>180000</v>
      </c>
      <c r="U527" s="116">
        <f>InputData!$C$81</f>
        <v>178500</v>
      </c>
      <c r="V527" s="116">
        <f>InputData!$C$82</f>
        <v>303960</v>
      </c>
      <c r="W527" s="116">
        <f>InputData!$C$84</f>
        <v>215220</v>
      </c>
      <c r="X527" s="116">
        <f>InputData!$C$85</f>
        <v>409020</v>
      </c>
      <c r="Y527" s="116">
        <f>InputData!$C$116</f>
        <v>140000</v>
      </c>
      <c r="Z527" s="160">
        <f>InputData!$E$13</f>
        <v>0</v>
      </c>
    </row>
    <row r="528" spans="1:26" x14ac:dyDescent="0.25">
      <c r="A528">
        <f>InputData!$K$1</f>
        <v>2013</v>
      </c>
      <c r="B528" t="str">
        <f>InputData!$G$1</f>
        <v>San Antonio, TX</v>
      </c>
      <c r="C528" t="s">
        <v>177</v>
      </c>
      <c r="D528" t="str">
        <f>Graph_Ortho!$E$6</f>
        <v>STD10</v>
      </c>
      <c r="E528" t="str">
        <f t="shared" si="8"/>
        <v>Orthopedics STD10</v>
      </c>
      <c r="F528">
        <f>Graph_Ortho!$A23</f>
        <v>2029</v>
      </c>
      <c r="G528">
        <f>Graph_Ortho!$B23</f>
        <v>17</v>
      </c>
      <c r="H528" s="165">
        <f>Graph_Ortho!$E23</f>
        <v>1405173.3943175671</v>
      </c>
      <c r="I528" s="160">
        <f>InputData!$C$3</f>
        <v>0.02</v>
      </c>
      <c r="J528" s="160">
        <f>InputData!$C$4</f>
        <v>0.01</v>
      </c>
      <c r="K528" s="160">
        <f>InputData!$C$5</f>
        <v>0.01</v>
      </c>
      <c r="L528" s="160">
        <f>InputData!$C$6</f>
        <v>6.2100000000000002E-2</v>
      </c>
      <c r="M528" s="160">
        <f>InputData!$C$7</f>
        <v>0.03</v>
      </c>
      <c r="N528" s="160">
        <f>InputData!$C$8</f>
        <v>0.02</v>
      </c>
      <c r="O528" s="160">
        <f>InputData!$C$9</f>
        <v>0.06</v>
      </c>
      <c r="P528" s="160">
        <f>InputData!$C$10</f>
        <v>0.02</v>
      </c>
      <c r="Q528" s="160">
        <f>InputData!$C$11</f>
        <v>0.02</v>
      </c>
      <c r="R528" s="160">
        <f>InputData!$C$12</f>
        <v>0.02</v>
      </c>
      <c r="S528" s="160">
        <f>InputData!$C$13</f>
        <v>0.9</v>
      </c>
      <c r="T528" s="116">
        <f>InputData!$C$88</f>
        <v>180000</v>
      </c>
      <c r="U528" s="116">
        <f>InputData!$C$81</f>
        <v>178500</v>
      </c>
      <c r="V528" s="116">
        <f>InputData!$C$82</f>
        <v>303960</v>
      </c>
      <c r="W528" s="116">
        <f>InputData!$C$84</f>
        <v>215220</v>
      </c>
      <c r="X528" s="116">
        <f>InputData!$C$85</f>
        <v>409020</v>
      </c>
      <c r="Y528" s="116">
        <f>InputData!$C$116</f>
        <v>140000</v>
      </c>
      <c r="Z528" s="160">
        <f>InputData!$E$13</f>
        <v>0</v>
      </c>
    </row>
    <row r="529" spans="1:26" x14ac:dyDescent="0.25">
      <c r="A529">
        <f>InputData!$K$1</f>
        <v>2013</v>
      </c>
      <c r="B529" t="str">
        <f>InputData!$G$1</f>
        <v>San Antonio, TX</v>
      </c>
      <c r="C529" t="s">
        <v>177</v>
      </c>
      <c r="D529" t="str">
        <f>Graph_Ortho!$E$6</f>
        <v>STD10</v>
      </c>
      <c r="E529" t="str">
        <f t="shared" si="8"/>
        <v>Orthopedics STD10</v>
      </c>
      <c r="F529">
        <f>Graph_Ortho!$A24</f>
        <v>2030</v>
      </c>
      <c r="G529">
        <f>Graph_Ortho!$B24</f>
        <v>18</v>
      </c>
      <c r="H529" s="165">
        <f>Graph_Ortho!$E24</f>
        <v>1568000.149401597</v>
      </c>
      <c r="I529" s="160">
        <f>InputData!$C$3</f>
        <v>0.02</v>
      </c>
      <c r="J529" s="160">
        <f>InputData!$C$4</f>
        <v>0.01</v>
      </c>
      <c r="K529" s="160">
        <f>InputData!$C$5</f>
        <v>0.01</v>
      </c>
      <c r="L529" s="160">
        <f>InputData!$C$6</f>
        <v>6.2100000000000002E-2</v>
      </c>
      <c r="M529" s="160">
        <f>InputData!$C$7</f>
        <v>0.03</v>
      </c>
      <c r="N529" s="160">
        <f>InputData!$C$8</f>
        <v>0.02</v>
      </c>
      <c r="O529" s="160">
        <f>InputData!$C$9</f>
        <v>0.06</v>
      </c>
      <c r="P529" s="160">
        <f>InputData!$C$10</f>
        <v>0.02</v>
      </c>
      <c r="Q529" s="160">
        <f>InputData!$C$11</f>
        <v>0.02</v>
      </c>
      <c r="R529" s="160">
        <f>InputData!$C$12</f>
        <v>0.02</v>
      </c>
      <c r="S529" s="160">
        <f>InputData!$C$13</f>
        <v>0.9</v>
      </c>
      <c r="T529" s="116">
        <f>InputData!$C$88</f>
        <v>180000</v>
      </c>
      <c r="U529" s="116">
        <f>InputData!$C$81</f>
        <v>178500</v>
      </c>
      <c r="V529" s="116">
        <f>InputData!$C$82</f>
        <v>303960</v>
      </c>
      <c r="W529" s="116">
        <f>InputData!$C$84</f>
        <v>215220</v>
      </c>
      <c r="X529" s="116">
        <f>InputData!$C$85</f>
        <v>409020</v>
      </c>
      <c r="Y529" s="116">
        <f>InputData!$C$116</f>
        <v>140000</v>
      </c>
      <c r="Z529" s="160">
        <f>InputData!$E$13</f>
        <v>0</v>
      </c>
    </row>
    <row r="530" spans="1:26" x14ac:dyDescent="0.25">
      <c r="A530">
        <f>InputData!$K$1</f>
        <v>2013</v>
      </c>
      <c r="B530" t="str">
        <f>InputData!$G$1</f>
        <v>San Antonio, TX</v>
      </c>
      <c r="C530" t="s">
        <v>177</v>
      </c>
      <c r="D530" t="str">
        <f>Graph_Ortho!$E$6</f>
        <v>STD10</v>
      </c>
      <c r="E530" t="str">
        <f t="shared" si="8"/>
        <v>Orthopedics STD10</v>
      </c>
      <c r="F530">
        <f>Graph_Ortho!$A25</f>
        <v>2031</v>
      </c>
      <c r="G530">
        <f>Graph_Ortho!$B25</f>
        <v>19</v>
      </c>
      <c r="H530" s="165">
        <f>Graph_Ortho!$E25</f>
        <v>1727877.8147527021</v>
      </c>
      <c r="I530" s="160">
        <f>InputData!$C$3</f>
        <v>0.02</v>
      </c>
      <c r="J530" s="160">
        <f>InputData!$C$4</f>
        <v>0.01</v>
      </c>
      <c r="K530" s="160">
        <f>InputData!$C$5</f>
        <v>0.01</v>
      </c>
      <c r="L530" s="160">
        <f>InputData!$C$6</f>
        <v>6.2100000000000002E-2</v>
      </c>
      <c r="M530" s="160">
        <f>InputData!$C$7</f>
        <v>0.03</v>
      </c>
      <c r="N530" s="160">
        <f>InputData!$C$8</f>
        <v>0.02</v>
      </c>
      <c r="O530" s="160">
        <f>InputData!$C$9</f>
        <v>0.06</v>
      </c>
      <c r="P530" s="160">
        <f>InputData!$C$10</f>
        <v>0.02</v>
      </c>
      <c r="Q530" s="160">
        <f>InputData!$C$11</f>
        <v>0.02</v>
      </c>
      <c r="R530" s="160">
        <f>InputData!$C$12</f>
        <v>0.02</v>
      </c>
      <c r="S530" s="160">
        <f>InputData!$C$13</f>
        <v>0.9</v>
      </c>
      <c r="T530" s="116">
        <f>InputData!$C$88</f>
        <v>180000</v>
      </c>
      <c r="U530" s="116">
        <f>InputData!$C$81</f>
        <v>178500</v>
      </c>
      <c r="V530" s="116">
        <f>InputData!$C$82</f>
        <v>303960</v>
      </c>
      <c r="W530" s="116">
        <f>InputData!$C$84</f>
        <v>215220</v>
      </c>
      <c r="X530" s="116">
        <f>InputData!$C$85</f>
        <v>409020</v>
      </c>
      <c r="Y530" s="116">
        <f>InputData!$C$116</f>
        <v>140000</v>
      </c>
      <c r="Z530" s="160">
        <f>InputData!$E$13</f>
        <v>0</v>
      </c>
    </row>
    <row r="531" spans="1:26" x14ac:dyDescent="0.25">
      <c r="A531">
        <f>InputData!$K$1</f>
        <v>2013</v>
      </c>
      <c r="B531" t="str">
        <f>InputData!$G$1</f>
        <v>San Antonio, TX</v>
      </c>
      <c r="C531" t="s">
        <v>177</v>
      </c>
      <c r="D531" t="str">
        <f>Graph_Ortho!$E$6</f>
        <v>STD10</v>
      </c>
      <c r="E531" t="str">
        <f t="shared" si="8"/>
        <v>Orthopedics STD10</v>
      </c>
      <c r="F531">
        <f>Graph_Ortho!$A26</f>
        <v>2032</v>
      </c>
      <c r="G531">
        <f>Graph_Ortho!$B26</f>
        <v>20</v>
      </c>
      <c r="H531" s="165">
        <f>Graph_Ortho!$E26</f>
        <v>1899447.4990734544</v>
      </c>
      <c r="I531" s="160">
        <f>InputData!$C$3</f>
        <v>0.02</v>
      </c>
      <c r="J531" s="160">
        <f>InputData!$C$4</f>
        <v>0.01</v>
      </c>
      <c r="K531" s="160">
        <f>InputData!$C$5</f>
        <v>0.01</v>
      </c>
      <c r="L531" s="160">
        <f>InputData!$C$6</f>
        <v>6.2100000000000002E-2</v>
      </c>
      <c r="M531" s="160">
        <f>InputData!$C$7</f>
        <v>0.03</v>
      </c>
      <c r="N531" s="160">
        <f>InputData!$C$8</f>
        <v>0.02</v>
      </c>
      <c r="O531" s="160">
        <f>InputData!$C$9</f>
        <v>0.06</v>
      </c>
      <c r="P531" s="160">
        <f>InputData!$C$10</f>
        <v>0.02</v>
      </c>
      <c r="Q531" s="160">
        <f>InputData!$C$11</f>
        <v>0.02</v>
      </c>
      <c r="R531" s="160">
        <f>InputData!$C$12</f>
        <v>0.02</v>
      </c>
      <c r="S531" s="160">
        <f>InputData!$C$13</f>
        <v>0.9</v>
      </c>
      <c r="T531" s="116">
        <f>InputData!$C$88</f>
        <v>180000</v>
      </c>
      <c r="U531" s="116">
        <f>InputData!$C$81</f>
        <v>178500</v>
      </c>
      <c r="V531" s="116">
        <f>InputData!$C$82</f>
        <v>303960</v>
      </c>
      <c r="W531" s="116">
        <f>InputData!$C$84</f>
        <v>215220</v>
      </c>
      <c r="X531" s="116">
        <f>InputData!$C$85</f>
        <v>409020</v>
      </c>
      <c r="Y531" s="116">
        <f>InputData!$C$116</f>
        <v>140000</v>
      </c>
      <c r="Z531" s="160">
        <f>InputData!$E$13</f>
        <v>0</v>
      </c>
    </row>
    <row r="532" spans="1:26" x14ac:dyDescent="0.25">
      <c r="A532">
        <f>InputData!$K$1</f>
        <v>2013</v>
      </c>
      <c r="B532" t="str">
        <f>InputData!$G$1</f>
        <v>San Antonio, TX</v>
      </c>
      <c r="C532" t="s">
        <v>177</v>
      </c>
      <c r="D532" t="str">
        <f>Graph_Ortho!$E$6</f>
        <v>STD10</v>
      </c>
      <c r="E532" t="str">
        <f t="shared" si="8"/>
        <v>Orthopedics STD10</v>
      </c>
      <c r="F532">
        <f>Graph_Ortho!$A27</f>
        <v>2033</v>
      </c>
      <c r="G532">
        <f>Graph_Ortho!$B27</f>
        <v>21</v>
      </c>
      <c r="H532" s="165">
        <f>Graph_Ortho!$E27</f>
        <v>2067448.9585559273</v>
      </c>
      <c r="I532" s="160">
        <f>InputData!$C$3</f>
        <v>0.02</v>
      </c>
      <c r="J532" s="160">
        <f>InputData!$C$4</f>
        <v>0.01</v>
      </c>
      <c r="K532" s="160">
        <f>InputData!$C$5</f>
        <v>0.01</v>
      </c>
      <c r="L532" s="160">
        <f>InputData!$C$6</f>
        <v>6.2100000000000002E-2</v>
      </c>
      <c r="M532" s="160">
        <f>InputData!$C$7</f>
        <v>0.03</v>
      </c>
      <c r="N532" s="160">
        <f>InputData!$C$8</f>
        <v>0.02</v>
      </c>
      <c r="O532" s="160">
        <f>InputData!$C$9</f>
        <v>0.06</v>
      </c>
      <c r="P532" s="160">
        <f>InputData!$C$10</f>
        <v>0.02</v>
      </c>
      <c r="Q532" s="160">
        <f>InputData!$C$11</f>
        <v>0.02</v>
      </c>
      <c r="R532" s="160">
        <f>InputData!$C$12</f>
        <v>0.02</v>
      </c>
      <c r="S532" s="160">
        <f>InputData!$C$13</f>
        <v>0.9</v>
      </c>
      <c r="T532" s="116">
        <f>InputData!$C$88</f>
        <v>180000</v>
      </c>
      <c r="U532" s="116">
        <f>InputData!$C$81</f>
        <v>178500</v>
      </c>
      <c r="V532" s="116">
        <f>InputData!$C$82</f>
        <v>303960</v>
      </c>
      <c r="W532" s="116">
        <f>InputData!$C$84</f>
        <v>215220</v>
      </c>
      <c r="X532" s="116">
        <f>InputData!$C$85</f>
        <v>409020</v>
      </c>
      <c r="Y532" s="116">
        <f>InputData!$C$116</f>
        <v>140000</v>
      </c>
      <c r="Z532" s="160">
        <f>InputData!$E$13</f>
        <v>0</v>
      </c>
    </row>
    <row r="533" spans="1:26" x14ac:dyDescent="0.25">
      <c r="A533">
        <f>InputData!$K$1</f>
        <v>2013</v>
      </c>
      <c r="B533" t="str">
        <f>InputData!$G$1</f>
        <v>San Antonio, TX</v>
      </c>
      <c r="C533" t="s">
        <v>177</v>
      </c>
      <c r="D533" t="str">
        <f>Graph_Ortho!$E$6</f>
        <v>STD10</v>
      </c>
      <c r="E533" t="str">
        <f t="shared" si="8"/>
        <v>Orthopedics STD10</v>
      </c>
      <c r="F533">
        <f>Graph_Ortho!$A28</f>
        <v>2034</v>
      </c>
      <c r="G533">
        <f>Graph_Ortho!$B28</f>
        <v>22</v>
      </c>
      <c r="H533" s="165">
        <f>Graph_Ortho!$E28</f>
        <v>2231958.1034429604</v>
      </c>
      <c r="I533" s="160">
        <f>InputData!$C$3</f>
        <v>0.02</v>
      </c>
      <c r="J533" s="160">
        <f>InputData!$C$4</f>
        <v>0.01</v>
      </c>
      <c r="K533" s="160">
        <f>InputData!$C$5</f>
        <v>0.01</v>
      </c>
      <c r="L533" s="160">
        <f>InputData!$C$6</f>
        <v>6.2100000000000002E-2</v>
      </c>
      <c r="M533" s="160">
        <f>InputData!$C$7</f>
        <v>0.03</v>
      </c>
      <c r="N533" s="160">
        <f>InputData!$C$8</f>
        <v>0.02</v>
      </c>
      <c r="O533" s="160">
        <f>InputData!$C$9</f>
        <v>0.06</v>
      </c>
      <c r="P533" s="160">
        <f>InputData!$C$10</f>
        <v>0.02</v>
      </c>
      <c r="Q533" s="160">
        <f>InputData!$C$11</f>
        <v>0.02</v>
      </c>
      <c r="R533" s="160">
        <f>InputData!$C$12</f>
        <v>0.02</v>
      </c>
      <c r="S533" s="160">
        <f>InputData!$C$13</f>
        <v>0.9</v>
      </c>
      <c r="T533" s="116">
        <f>InputData!$C$88</f>
        <v>180000</v>
      </c>
      <c r="U533" s="116">
        <f>InputData!$C$81</f>
        <v>178500</v>
      </c>
      <c r="V533" s="116">
        <f>InputData!$C$82</f>
        <v>303960</v>
      </c>
      <c r="W533" s="116">
        <f>InputData!$C$84</f>
        <v>215220</v>
      </c>
      <c r="X533" s="116">
        <f>InputData!$C$85</f>
        <v>409020</v>
      </c>
      <c r="Y533" s="116">
        <f>InputData!$C$116</f>
        <v>140000</v>
      </c>
      <c r="Z533" s="160">
        <f>InputData!$E$13</f>
        <v>0</v>
      </c>
    </row>
    <row r="534" spans="1:26" x14ac:dyDescent="0.25">
      <c r="A534">
        <f>InputData!$K$1</f>
        <v>2013</v>
      </c>
      <c r="B534" t="str">
        <f>InputData!$G$1</f>
        <v>San Antonio, TX</v>
      </c>
      <c r="C534" t="s">
        <v>177</v>
      </c>
      <c r="D534" t="str">
        <f>Graph_Ortho!$E$6</f>
        <v>STD10</v>
      </c>
      <c r="E534" t="str">
        <f t="shared" si="8"/>
        <v>Orthopedics STD10</v>
      </c>
      <c r="F534">
        <f>Graph_Ortho!$A29</f>
        <v>2035</v>
      </c>
      <c r="G534">
        <f>Graph_Ortho!$B29</f>
        <v>23</v>
      </c>
      <c r="H534" s="165">
        <f>Graph_Ortho!$E29</f>
        <v>2393049.1823844654</v>
      </c>
      <c r="I534" s="160">
        <f>InputData!$C$3</f>
        <v>0.02</v>
      </c>
      <c r="J534" s="160">
        <f>InputData!$C$4</f>
        <v>0.01</v>
      </c>
      <c r="K534" s="160">
        <f>InputData!$C$5</f>
        <v>0.01</v>
      </c>
      <c r="L534" s="160">
        <f>InputData!$C$6</f>
        <v>6.2100000000000002E-2</v>
      </c>
      <c r="M534" s="160">
        <f>InputData!$C$7</f>
        <v>0.03</v>
      </c>
      <c r="N534" s="160">
        <f>InputData!$C$8</f>
        <v>0.02</v>
      </c>
      <c r="O534" s="160">
        <f>InputData!$C$9</f>
        <v>0.06</v>
      </c>
      <c r="P534" s="160">
        <f>InputData!$C$10</f>
        <v>0.02</v>
      </c>
      <c r="Q534" s="160">
        <f>InputData!$C$11</f>
        <v>0.02</v>
      </c>
      <c r="R534" s="160">
        <f>InputData!$C$12</f>
        <v>0.02</v>
      </c>
      <c r="S534" s="160">
        <f>InputData!$C$13</f>
        <v>0.9</v>
      </c>
      <c r="T534" s="116">
        <f>InputData!$C$88</f>
        <v>180000</v>
      </c>
      <c r="U534" s="116">
        <f>InputData!$C$81</f>
        <v>178500</v>
      </c>
      <c r="V534" s="116">
        <f>InputData!$C$82</f>
        <v>303960</v>
      </c>
      <c r="W534" s="116">
        <f>InputData!$C$84</f>
        <v>215220</v>
      </c>
      <c r="X534" s="116">
        <f>InputData!$C$85</f>
        <v>409020</v>
      </c>
      <c r="Y534" s="116">
        <f>InputData!$C$116</f>
        <v>140000</v>
      </c>
      <c r="Z534" s="160">
        <f>InputData!$E$13</f>
        <v>0</v>
      </c>
    </row>
    <row r="535" spans="1:26" x14ac:dyDescent="0.25">
      <c r="A535">
        <f>InputData!$K$1</f>
        <v>2013</v>
      </c>
      <c r="B535" t="str">
        <f>InputData!$G$1</f>
        <v>San Antonio, TX</v>
      </c>
      <c r="C535" t="s">
        <v>177</v>
      </c>
      <c r="D535" t="str">
        <f>Graph_Ortho!$E$6</f>
        <v>STD10</v>
      </c>
      <c r="E535" t="str">
        <f t="shared" si="8"/>
        <v>Orthopedics STD10</v>
      </c>
      <c r="F535">
        <f>Graph_Ortho!$A30</f>
        <v>2036</v>
      </c>
      <c r="G535">
        <f>Graph_Ortho!$B30</f>
        <v>24</v>
      </c>
      <c r="H535" s="165">
        <f>Graph_Ortho!$E30</f>
        <v>2550794.8200610806</v>
      </c>
      <c r="I535" s="160">
        <f>InputData!$C$3</f>
        <v>0.02</v>
      </c>
      <c r="J535" s="160">
        <f>InputData!$C$4</f>
        <v>0.01</v>
      </c>
      <c r="K535" s="160">
        <f>InputData!$C$5</f>
        <v>0.01</v>
      </c>
      <c r="L535" s="160">
        <f>InputData!$C$6</f>
        <v>6.2100000000000002E-2</v>
      </c>
      <c r="M535" s="160">
        <f>InputData!$C$7</f>
        <v>0.03</v>
      </c>
      <c r="N535" s="160">
        <f>InputData!$C$8</f>
        <v>0.02</v>
      </c>
      <c r="O535" s="160">
        <f>InputData!$C$9</f>
        <v>0.06</v>
      </c>
      <c r="P535" s="160">
        <f>InputData!$C$10</f>
        <v>0.02</v>
      </c>
      <c r="Q535" s="160">
        <f>InputData!$C$11</f>
        <v>0.02</v>
      </c>
      <c r="R535" s="160">
        <f>InputData!$C$12</f>
        <v>0.02</v>
      </c>
      <c r="S535" s="160">
        <f>InputData!$C$13</f>
        <v>0.9</v>
      </c>
      <c r="T535" s="116">
        <f>InputData!$C$88</f>
        <v>180000</v>
      </c>
      <c r="U535" s="116">
        <f>InputData!$C$81</f>
        <v>178500</v>
      </c>
      <c r="V535" s="116">
        <f>InputData!$C$82</f>
        <v>303960</v>
      </c>
      <c r="W535" s="116">
        <f>InputData!$C$84</f>
        <v>215220</v>
      </c>
      <c r="X535" s="116">
        <f>InputData!$C$85</f>
        <v>409020</v>
      </c>
      <c r="Y535" s="116">
        <f>InputData!$C$116</f>
        <v>140000</v>
      </c>
      <c r="Z535" s="160">
        <f>InputData!$E$13</f>
        <v>0</v>
      </c>
    </row>
    <row r="536" spans="1:26" x14ac:dyDescent="0.25">
      <c r="A536">
        <f>InputData!$K$1</f>
        <v>2013</v>
      </c>
      <c r="B536" t="str">
        <f>InputData!$G$1</f>
        <v>San Antonio, TX</v>
      </c>
      <c r="C536" t="s">
        <v>177</v>
      </c>
      <c r="D536" t="str">
        <f>Graph_Ortho!$E$6</f>
        <v>STD10</v>
      </c>
      <c r="E536" t="str">
        <f t="shared" si="8"/>
        <v>Orthopedics STD10</v>
      </c>
      <c r="F536">
        <f>Graph_Ortho!$A31</f>
        <v>2037</v>
      </c>
      <c r="G536">
        <f>Graph_Ortho!$B31</f>
        <v>25</v>
      </c>
      <c r="H536" s="165">
        <f>Graph_Ortho!$E31</f>
        <v>2705266.0539232129</v>
      </c>
      <c r="I536" s="160">
        <f>InputData!$C$3</f>
        <v>0.02</v>
      </c>
      <c r="J536" s="160">
        <f>InputData!$C$4</f>
        <v>0.01</v>
      </c>
      <c r="K536" s="160">
        <f>InputData!$C$5</f>
        <v>0.01</v>
      </c>
      <c r="L536" s="160">
        <f>InputData!$C$6</f>
        <v>6.2100000000000002E-2</v>
      </c>
      <c r="M536" s="160">
        <f>InputData!$C$7</f>
        <v>0.03</v>
      </c>
      <c r="N536" s="160">
        <f>InputData!$C$8</f>
        <v>0.02</v>
      </c>
      <c r="O536" s="160">
        <f>InputData!$C$9</f>
        <v>0.06</v>
      </c>
      <c r="P536" s="160">
        <f>InputData!$C$10</f>
        <v>0.02</v>
      </c>
      <c r="Q536" s="160">
        <f>InputData!$C$11</f>
        <v>0.02</v>
      </c>
      <c r="R536" s="160">
        <f>InputData!$C$12</f>
        <v>0.02</v>
      </c>
      <c r="S536" s="160">
        <f>InputData!$C$13</f>
        <v>0.9</v>
      </c>
      <c r="T536" s="116">
        <f>InputData!$C$88</f>
        <v>180000</v>
      </c>
      <c r="U536" s="116">
        <f>InputData!$C$81</f>
        <v>178500</v>
      </c>
      <c r="V536" s="116">
        <f>InputData!$C$82</f>
        <v>303960</v>
      </c>
      <c r="W536" s="116">
        <f>InputData!$C$84</f>
        <v>215220</v>
      </c>
      <c r="X536" s="116">
        <f>InputData!$C$85</f>
        <v>409020</v>
      </c>
      <c r="Y536" s="116">
        <f>InputData!$C$116</f>
        <v>140000</v>
      </c>
      <c r="Z536" s="160">
        <f>InputData!$E$13</f>
        <v>0</v>
      </c>
    </row>
    <row r="537" spans="1:26" x14ac:dyDescent="0.25">
      <c r="A537">
        <f>InputData!$K$1</f>
        <v>2013</v>
      </c>
      <c r="B537" t="str">
        <f>InputData!$G$1</f>
        <v>San Antonio, TX</v>
      </c>
      <c r="C537" t="s">
        <v>177</v>
      </c>
      <c r="D537" t="str">
        <f>Graph_Ortho!$E$6</f>
        <v>STD10</v>
      </c>
      <c r="E537" t="str">
        <f t="shared" si="8"/>
        <v>Orthopedics STD10</v>
      </c>
      <c r="F537">
        <f>Graph_Ortho!$A32</f>
        <v>2038</v>
      </c>
      <c r="G537">
        <f>Graph_Ortho!$B32</f>
        <v>26</v>
      </c>
      <c r="H537" s="165">
        <f>Graph_Ortho!$E32</f>
        <v>2856532.3700670889</v>
      </c>
      <c r="I537" s="160">
        <f>InputData!$C$3</f>
        <v>0.02</v>
      </c>
      <c r="J537" s="160">
        <f>InputData!$C$4</f>
        <v>0.01</v>
      </c>
      <c r="K537" s="160">
        <f>InputData!$C$5</f>
        <v>0.01</v>
      </c>
      <c r="L537" s="160">
        <f>InputData!$C$6</f>
        <v>6.2100000000000002E-2</v>
      </c>
      <c r="M537" s="160">
        <f>InputData!$C$7</f>
        <v>0.03</v>
      </c>
      <c r="N537" s="160">
        <f>InputData!$C$8</f>
        <v>0.02</v>
      </c>
      <c r="O537" s="160">
        <f>InputData!$C$9</f>
        <v>0.06</v>
      </c>
      <c r="P537" s="160">
        <f>InputData!$C$10</f>
        <v>0.02</v>
      </c>
      <c r="Q537" s="160">
        <f>InputData!$C$11</f>
        <v>0.02</v>
      </c>
      <c r="R537" s="160">
        <f>InputData!$C$12</f>
        <v>0.02</v>
      </c>
      <c r="S537" s="160">
        <f>InputData!$C$13</f>
        <v>0.9</v>
      </c>
      <c r="T537" s="116">
        <f>InputData!$C$88</f>
        <v>180000</v>
      </c>
      <c r="U537" s="116">
        <f>InputData!$C$81</f>
        <v>178500</v>
      </c>
      <c r="V537" s="116">
        <f>InputData!$C$82</f>
        <v>303960</v>
      </c>
      <c r="W537" s="116">
        <f>InputData!$C$84</f>
        <v>215220</v>
      </c>
      <c r="X537" s="116">
        <f>InputData!$C$85</f>
        <v>409020</v>
      </c>
      <c r="Y537" s="116">
        <f>InputData!$C$116</f>
        <v>140000</v>
      </c>
      <c r="Z537" s="160">
        <f>InputData!$E$13</f>
        <v>0</v>
      </c>
    </row>
    <row r="538" spans="1:26" x14ac:dyDescent="0.25">
      <c r="A538">
        <f>InputData!$K$1</f>
        <v>2013</v>
      </c>
      <c r="B538" t="str">
        <f>InputData!$G$1</f>
        <v>San Antonio, TX</v>
      </c>
      <c r="C538" t="s">
        <v>177</v>
      </c>
      <c r="D538" t="str">
        <f>Graph_Ortho!$E$6</f>
        <v>STD10</v>
      </c>
      <c r="E538" t="str">
        <f t="shared" si="8"/>
        <v>Orthopedics STD10</v>
      </c>
      <c r="F538">
        <f>Graph_Ortho!$A33</f>
        <v>2039</v>
      </c>
      <c r="G538">
        <f>Graph_Ortho!$B33</f>
        <v>27</v>
      </c>
      <c r="H538" s="165">
        <f>Graph_Ortho!$E33</f>
        <v>3004661.7382688913</v>
      </c>
      <c r="I538" s="160">
        <f>InputData!$C$3</f>
        <v>0.02</v>
      </c>
      <c r="J538" s="160">
        <f>InputData!$C$4</f>
        <v>0.01</v>
      </c>
      <c r="K538" s="160">
        <f>InputData!$C$5</f>
        <v>0.01</v>
      </c>
      <c r="L538" s="160">
        <f>InputData!$C$6</f>
        <v>6.2100000000000002E-2</v>
      </c>
      <c r="M538" s="160">
        <f>InputData!$C$7</f>
        <v>0.03</v>
      </c>
      <c r="N538" s="160">
        <f>InputData!$C$8</f>
        <v>0.02</v>
      </c>
      <c r="O538" s="160">
        <f>InputData!$C$9</f>
        <v>0.06</v>
      </c>
      <c r="P538" s="160">
        <f>InputData!$C$10</f>
        <v>0.02</v>
      </c>
      <c r="Q538" s="160">
        <f>InputData!$C$11</f>
        <v>0.02</v>
      </c>
      <c r="R538" s="160">
        <f>InputData!$C$12</f>
        <v>0.02</v>
      </c>
      <c r="S538" s="160">
        <f>InputData!$C$13</f>
        <v>0.9</v>
      </c>
      <c r="T538" s="116">
        <f>InputData!$C$88</f>
        <v>180000</v>
      </c>
      <c r="U538" s="116">
        <f>InputData!$C$81</f>
        <v>178500</v>
      </c>
      <c r="V538" s="116">
        <f>InputData!$C$82</f>
        <v>303960</v>
      </c>
      <c r="W538" s="116">
        <f>InputData!$C$84</f>
        <v>215220</v>
      </c>
      <c r="X538" s="116">
        <f>InputData!$C$85</f>
        <v>409020</v>
      </c>
      <c r="Y538" s="116">
        <f>InputData!$C$116</f>
        <v>140000</v>
      </c>
      <c r="Z538" s="160">
        <f>InputData!$E$13</f>
        <v>0</v>
      </c>
    </row>
    <row r="539" spans="1:26" x14ac:dyDescent="0.25">
      <c r="A539">
        <f>InputData!$K$1</f>
        <v>2013</v>
      </c>
      <c r="B539" t="str">
        <f>InputData!$G$1</f>
        <v>San Antonio, TX</v>
      </c>
      <c r="C539" t="s">
        <v>177</v>
      </c>
      <c r="D539" t="str">
        <f>Graph_Ortho!$E$6</f>
        <v>STD10</v>
      </c>
      <c r="E539" t="str">
        <f t="shared" si="8"/>
        <v>Orthopedics STD10</v>
      </c>
      <c r="F539">
        <f>Graph_Ortho!$A34</f>
        <v>2040</v>
      </c>
      <c r="G539">
        <f>Graph_Ortho!$B34</f>
        <v>28</v>
      </c>
      <c r="H539" s="165">
        <f>Graph_Ortho!$E34</f>
        <v>3149720.6461975216</v>
      </c>
      <c r="I539" s="160">
        <f>InputData!$C$3</f>
        <v>0.02</v>
      </c>
      <c r="J539" s="160">
        <f>InputData!$C$4</f>
        <v>0.01</v>
      </c>
      <c r="K539" s="160">
        <f>InputData!$C$5</f>
        <v>0.01</v>
      </c>
      <c r="L539" s="160">
        <f>InputData!$C$6</f>
        <v>6.2100000000000002E-2</v>
      </c>
      <c r="M539" s="160">
        <f>InputData!$C$7</f>
        <v>0.03</v>
      </c>
      <c r="N539" s="160">
        <f>InputData!$C$8</f>
        <v>0.02</v>
      </c>
      <c r="O539" s="160">
        <f>InputData!$C$9</f>
        <v>0.06</v>
      </c>
      <c r="P539" s="160">
        <f>InputData!$C$10</f>
        <v>0.02</v>
      </c>
      <c r="Q539" s="160">
        <f>InputData!$C$11</f>
        <v>0.02</v>
      </c>
      <c r="R539" s="160">
        <f>InputData!$C$12</f>
        <v>0.02</v>
      </c>
      <c r="S539" s="160">
        <f>InputData!$C$13</f>
        <v>0.9</v>
      </c>
      <c r="T539" s="116">
        <f>InputData!$C$88</f>
        <v>180000</v>
      </c>
      <c r="U539" s="116">
        <f>InputData!$C$81</f>
        <v>178500</v>
      </c>
      <c r="V539" s="116">
        <f>InputData!$C$82</f>
        <v>303960</v>
      </c>
      <c r="W539" s="116">
        <f>InputData!$C$84</f>
        <v>215220</v>
      </c>
      <c r="X539" s="116">
        <f>InputData!$C$85</f>
        <v>409020</v>
      </c>
      <c r="Y539" s="116">
        <f>InputData!$C$116</f>
        <v>140000</v>
      </c>
      <c r="Z539" s="160">
        <f>InputData!$E$13</f>
        <v>0</v>
      </c>
    </row>
    <row r="540" spans="1:26" x14ac:dyDescent="0.25">
      <c r="A540">
        <f>InputData!$K$1</f>
        <v>2013</v>
      </c>
      <c r="B540" t="str">
        <f>InputData!$G$1</f>
        <v>San Antonio, TX</v>
      </c>
      <c r="C540" t="s">
        <v>177</v>
      </c>
      <c r="D540" t="str">
        <f>Graph_Ortho!$E$6</f>
        <v>STD10</v>
      </c>
      <c r="E540" t="str">
        <f t="shared" si="8"/>
        <v>Orthopedics STD10</v>
      </c>
      <c r="F540">
        <f>Graph_Ortho!$A35</f>
        <v>2041</v>
      </c>
      <c r="G540">
        <f>Graph_Ortho!$B35</f>
        <v>29</v>
      </c>
      <c r="H540" s="165">
        <f>Graph_Ortho!$E35</f>
        <v>3291774.1328260093</v>
      </c>
      <c r="I540" s="160">
        <f>InputData!$C$3</f>
        <v>0.02</v>
      </c>
      <c r="J540" s="160">
        <f>InputData!$C$4</f>
        <v>0.01</v>
      </c>
      <c r="K540" s="160">
        <f>InputData!$C$5</f>
        <v>0.01</v>
      </c>
      <c r="L540" s="160">
        <f>InputData!$C$6</f>
        <v>6.2100000000000002E-2</v>
      </c>
      <c r="M540" s="160">
        <f>InputData!$C$7</f>
        <v>0.03</v>
      </c>
      <c r="N540" s="160">
        <f>InputData!$C$8</f>
        <v>0.02</v>
      </c>
      <c r="O540" s="160">
        <f>InputData!$C$9</f>
        <v>0.06</v>
      </c>
      <c r="P540" s="160">
        <f>InputData!$C$10</f>
        <v>0.02</v>
      </c>
      <c r="Q540" s="160">
        <f>InputData!$C$11</f>
        <v>0.02</v>
      </c>
      <c r="R540" s="160">
        <f>InputData!$C$12</f>
        <v>0.02</v>
      </c>
      <c r="S540" s="160">
        <f>InputData!$C$13</f>
        <v>0.9</v>
      </c>
      <c r="T540" s="116">
        <f>InputData!$C$88</f>
        <v>180000</v>
      </c>
      <c r="U540" s="116">
        <f>InputData!$C$81</f>
        <v>178500</v>
      </c>
      <c r="V540" s="116">
        <f>InputData!$C$82</f>
        <v>303960</v>
      </c>
      <c r="W540" s="116">
        <f>InputData!$C$84</f>
        <v>215220</v>
      </c>
      <c r="X540" s="116">
        <f>InputData!$C$85</f>
        <v>409020</v>
      </c>
      <c r="Y540" s="116">
        <f>InputData!$C$116</f>
        <v>140000</v>
      </c>
      <c r="Z540" s="160">
        <f>InputData!$E$13</f>
        <v>0</v>
      </c>
    </row>
    <row r="541" spans="1:26" x14ac:dyDescent="0.25">
      <c r="A541">
        <f>InputData!$K$1</f>
        <v>2013</v>
      </c>
      <c r="B541" t="str">
        <f>InputData!$G$1</f>
        <v>San Antonio, TX</v>
      </c>
      <c r="C541" t="s">
        <v>177</v>
      </c>
      <c r="D541" t="str">
        <f>Graph_Ortho!$E$6</f>
        <v>STD10</v>
      </c>
      <c r="E541" t="str">
        <f t="shared" si="8"/>
        <v>Orthopedics STD10</v>
      </c>
      <c r="F541">
        <f>Graph_Ortho!$A36</f>
        <v>2042</v>
      </c>
      <c r="G541">
        <f>Graph_Ortho!$B36</f>
        <v>30</v>
      </c>
      <c r="H541" s="165">
        <f>Graph_Ortho!$E36</f>
        <v>3430885.8210610845</v>
      </c>
      <c r="I541" s="160">
        <f>InputData!$C$3</f>
        <v>0.02</v>
      </c>
      <c r="J541" s="160">
        <f>InputData!$C$4</f>
        <v>0.01</v>
      </c>
      <c r="K541" s="160">
        <f>InputData!$C$5</f>
        <v>0.01</v>
      </c>
      <c r="L541" s="160">
        <f>InputData!$C$6</f>
        <v>6.2100000000000002E-2</v>
      </c>
      <c r="M541" s="160">
        <f>InputData!$C$7</f>
        <v>0.03</v>
      </c>
      <c r="N541" s="160">
        <f>InputData!$C$8</f>
        <v>0.02</v>
      </c>
      <c r="O541" s="160">
        <f>InputData!$C$9</f>
        <v>0.06</v>
      </c>
      <c r="P541" s="160">
        <f>InputData!$C$10</f>
        <v>0.02</v>
      </c>
      <c r="Q541" s="160">
        <f>InputData!$C$11</f>
        <v>0.02</v>
      </c>
      <c r="R541" s="160">
        <f>InputData!$C$12</f>
        <v>0.02</v>
      </c>
      <c r="S541" s="160">
        <f>InputData!$C$13</f>
        <v>0.9</v>
      </c>
      <c r="T541" s="116">
        <f>InputData!$C$88</f>
        <v>180000</v>
      </c>
      <c r="U541" s="116">
        <f>InputData!$C$81</f>
        <v>178500</v>
      </c>
      <c r="V541" s="116">
        <f>InputData!$C$82</f>
        <v>303960</v>
      </c>
      <c r="W541" s="116">
        <f>InputData!$C$84</f>
        <v>215220</v>
      </c>
      <c r="X541" s="116">
        <f>InputData!$C$85</f>
        <v>409020</v>
      </c>
      <c r="Y541" s="116">
        <f>InputData!$C$116</f>
        <v>140000</v>
      </c>
      <c r="Z541" s="160">
        <f>InputData!$E$13</f>
        <v>0</v>
      </c>
    </row>
    <row r="542" spans="1:26" x14ac:dyDescent="0.25">
      <c r="A542">
        <f>InputData!$K$1</f>
        <v>2013</v>
      </c>
      <c r="B542" t="str">
        <f>InputData!$G$1</f>
        <v>San Antonio, TX</v>
      </c>
      <c r="C542" t="s">
        <v>177</v>
      </c>
      <c r="D542" t="str">
        <f>Graph_Ortho!$F$6</f>
        <v>EXT</v>
      </c>
      <c r="E542" t="str">
        <f t="shared" si="8"/>
        <v>Orthopedics EXT</v>
      </c>
      <c r="F542">
        <f>Graph_Ortho!$A7</f>
        <v>2013</v>
      </c>
      <c r="G542">
        <f>Graph_Ortho!$B7</f>
        <v>1</v>
      </c>
      <c r="H542" s="165">
        <f>Graph_Ortho!$F7</f>
        <v>-43015.05</v>
      </c>
      <c r="I542" s="160">
        <f>InputData!$C$3</f>
        <v>0.02</v>
      </c>
      <c r="J542" s="160">
        <f>InputData!$C$4</f>
        <v>0.01</v>
      </c>
      <c r="K542" s="160">
        <f>InputData!$C$5</f>
        <v>0.01</v>
      </c>
      <c r="L542" s="160">
        <f>InputData!$C$6</f>
        <v>6.2100000000000002E-2</v>
      </c>
      <c r="M542" s="160">
        <f>InputData!$C$7</f>
        <v>0.03</v>
      </c>
      <c r="N542" s="160">
        <f>InputData!$C$8</f>
        <v>0.02</v>
      </c>
      <c r="O542" s="160">
        <f>InputData!$C$9</f>
        <v>0.06</v>
      </c>
      <c r="P542" s="160">
        <f>InputData!$C$10</f>
        <v>0.02</v>
      </c>
      <c r="Q542" s="160">
        <f>InputData!$C$11</f>
        <v>0.02</v>
      </c>
      <c r="R542" s="160">
        <f>InputData!$C$12</f>
        <v>0.02</v>
      </c>
      <c r="S542" s="160">
        <f>InputData!$C$13</f>
        <v>0.9</v>
      </c>
      <c r="T542" s="116">
        <f>InputData!$C$88</f>
        <v>180000</v>
      </c>
      <c r="U542" s="116">
        <f>InputData!$C$81</f>
        <v>178500</v>
      </c>
      <c r="V542" s="116">
        <f>InputData!$C$82</f>
        <v>303960</v>
      </c>
      <c r="W542" s="116">
        <f>InputData!$C$84</f>
        <v>215220</v>
      </c>
      <c r="X542" s="116">
        <f>InputData!$C$85</f>
        <v>409020</v>
      </c>
      <c r="Y542" s="116">
        <f>InputData!$C$116</f>
        <v>140000</v>
      </c>
      <c r="Z542" s="160">
        <f>InputData!$E$13</f>
        <v>0</v>
      </c>
    </row>
    <row r="543" spans="1:26" x14ac:dyDescent="0.25">
      <c r="A543">
        <f>InputData!$K$1</f>
        <v>2013</v>
      </c>
      <c r="B543" t="str">
        <f>InputData!$G$1</f>
        <v>San Antonio, TX</v>
      </c>
      <c r="C543" t="s">
        <v>177</v>
      </c>
      <c r="D543" t="str">
        <f>Graph_Ortho!$F$6</f>
        <v>EXT</v>
      </c>
      <c r="E543" t="str">
        <f t="shared" si="8"/>
        <v>Orthopedics EXT</v>
      </c>
      <c r="F543">
        <f>Graph_Ortho!$A8</f>
        <v>2014</v>
      </c>
      <c r="G543">
        <f>Graph_Ortho!$B8</f>
        <v>2</v>
      </c>
      <c r="H543" s="165">
        <f>Graph_Ortho!$F8</f>
        <v>-86352.285865219877</v>
      </c>
      <c r="I543" s="160">
        <f>InputData!$C$3</f>
        <v>0.02</v>
      </c>
      <c r="J543" s="160">
        <f>InputData!$C$4</f>
        <v>0.01</v>
      </c>
      <c r="K543" s="160">
        <f>InputData!$C$5</f>
        <v>0.01</v>
      </c>
      <c r="L543" s="160">
        <f>InputData!$C$6</f>
        <v>6.2100000000000002E-2</v>
      </c>
      <c r="M543" s="160">
        <f>InputData!$C$7</f>
        <v>0.03</v>
      </c>
      <c r="N543" s="160">
        <f>InputData!$C$8</f>
        <v>0.02</v>
      </c>
      <c r="O543" s="160">
        <f>InputData!$C$9</f>
        <v>0.06</v>
      </c>
      <c r="P543" s="160">
        <f>InputData!$C$10</f>
        <v>0.02</v>
      </c>
      <c r="Q543" s="160">
        <f>InputData!$C$11</f>
        <v>0.02</v>
      </c>
      <c r="R543" s="160">
        <f>InputData!$C$12</f>
        <v>0.02</v>
      </c>
      <c r="S543" s="160">
        <f>InputData!$C$13</f>
        <v>0.9</v>
      </c>
      <c r="T543" s="116">
        <f>InputData!$C$88</f>
        <v>180000</v>
      </c>
      <c r="U543" s="116">
        <f>InputData!$C$81</f>
        <v>178500</v>
      </c>
      <c r="V543" s="116">
        <f>InputData!$C$82</f>
        <v>303960</v>
      </c>
      <c r="W543" s="116">
        <f>InputData!$C$84</f>
        <v>215220</v>
      </c>
      <c r="X543" s="116">
        <f>InputData!$C$85</f>
        <v>409020</v>
      </c>
      <c r="Y543" s="116">
        <f>InputData!$C$116</f>
        <v>140000</v>
      </c>
      <c r="Z543" s="160">
        <f>InputData!$E$13</f>
        <v>0</v>
      </c>
    </row>
    <row r="544" spans="1:26" x14ac:dyDescent="0.25">
      <c r="A544">
        <f>InputData!$K$1</f>
        <v>2013</v>
      </c>
      <c r="B544" t="str">
        <f>InputData!$G$1</f>
        <v>San Antonio, TX</v>
      </c>
      <c r="C544" t="s">
        <v>177</v>
      </c>
      <c r="D544" t="str">
        <f>Graph_Ortho!$F$6</f>
        <v>EXT</v>
      </c>
      <c r="E544" t="str">
        <f t="shared" si="8"/>
        <v>Orthopedics EXT</v>
      </c>
      <c r="F544">
        <f>Graph_Ortho!$A9</f>
        <v>2015</v>
      </c>
      <c r="G544">
        <f>Graph_Ortho!$B9</f>
        <v>3</v>
      </c>
      <c r="H544" s="165">
        <f>Graph_Ortho!$F9</f>
        <v>-138541.19578403595</v>
      </c>
      <c r="I544" s="160">
        <f>InputData!$C$3</f>
        <v>0.02</v>
      </c>
      <c r="J544" s="160">
        <f>InputData!$C$4</f>
        <v>0.01</v>
      </c>
      <c r="K544" s="160">
        <f>InputData!$C$5</f>
        <v>0.01</v>
      </c>
      <c r="L544" s="160">
        <f>InputData!$C$6</f>
        <v>6.2100000000000002E-2</v>
      </c>
      <c r="M544" s="160">
        <f>InputData!$C$7</f>
        <v>0.03</v>
      </c>
      <c r="N544" s="160">
        <f>InputData!$C$8</f>
        <v>0.02</v>
      </c>
      <c r="O544" s="160">
        <f>InputData!$C$9</f>
        <v>0.06</v>
      </c>
      <c r="P544" s="160">
        <f>InputData!$C$10</f>
        <v>0.02</v>
      </c>
      <c r="Q544" s="160">
        <f>InputData!$C$11</f>
        <v>0.02</v>
      </c>
      <c r="R544" s="160">
        <f>InputData!$C$12</f>
        <v>0.02</v>
      </c>
      <c r="S544" s="160">
        <f>InputData!$C$13</f>
        <v>0.9</v>
      </c>
      <c r="T544" s="116">
        <f>InputData!$C$88</f>
        <v>180000</v>
      </c>
      <c r="U544" s="116">
        <f>InputData!$C$81</f>
        <v>178500</v>
      </c>
      <c r="V544" s="116">
        <f>InputData!$C$82</f>
        <v>303960</v>
      </c>
      <c r="W544" s="116">
        <f>InputData!$C$84</f>
        <v>215220</v>
      </c>
      <c r="X544" s="116">
        <f>InputData!$C$85</f>
        <v>409020</v>
      </c>
      <c r="Y544" s="116">
        <f>InputData!$C$116</f>
        <v>140000</v>
      </c>
      <c r="Z544" s="160">
        <f>InputData!$E$13</f>
        <v>0</v>
      </c>
    </row>
    <row r="545" spans="1:26" x14ac:dyDescent="0.25">
      <c r="A545">
        <f>InputData!$K$1</f>
        <v>2013</v>
      </c>
      <c r="B545" t="str">
        <f>InputData!$G$1</f>
        <v>San Antonio, TX</v>
      </c>
      <c r="C545" t="s">
        <v>177</v>
      </c>
      <c r="D545" t="str">
        <f>Graph_Ortho!$F$6</f>
        <v>EXT</v>
      </c>
      <c r="E545" t="str">
        <f t="shared" si="8"/>
        <v>Orthopedics EXT</v>
      </c>
      <c r="F545">
        <f>Graph_Ortho!$A10</f>
        <v>2016</v>
      </c>
      <c r="G545">
        <f>Graph_Ortho!$B10</f>
        <v>4</v>
      </c>
      <c r="H545" s="165">
        <f>Graph_Ortho!$F10</f>
        <v>-190867.38028908212</v>
      </c>
      <c r="I545" s="160">
        <f>InputData!$C$3</f>
        <v>0.02</v>
      </c>
      <c r="J545" s="160">
        <f>InputData!$C$4</f>
        <v>0.01</v>
      </c>
      <c r="K545" s="160">
        <f>InputData!$C$5</f>
        <v>0.01</v>
      </c>
      <c r="L545" s="160">
        <f>InputData!$C$6</f>
        <v>6.2100000000000002E-2</v>
      </c>
      <c r="M545" s="160">
        <f>InputData!$C$7</f>
        <v>0.03</v>
      </c>
      <c r="N545" s="160">
        <f>InputData!$C$8</f>
        <v>0.02</v>
      </c>
      <c r="O545" s="160">
        <f>InputData!$C$9</f>
        <v>0.06</v>
      </c>
      <c r="P545" s="160">
        <f>InputData!$C$10</f>
        <v>0.02</v>
      </c>
      <c r="Q545" s="160">
        <f>InputData!$C$11</f>
        <v>0.02</v>
      </c>
      <c r="R545" s="160">
        <f>InputData!$C$12</f>
        <v>0.02</v>
      </c>
      <c r="S545" s="160">
        <f>InputData!$C$13</f>
        <v>0.9</v>
      </c>
      <c r="T545" s="116">
        <f>InputData!$C$88</f>
        <v>180000</v>
      </c>
      <c r="U545" s="116">
        <f>InputData!$C$81</f>
        <v>178500</v>
      </c>
      <c r="V545" s="116">
        <f>InputData!$C$82</f>
        <v>303960</v>
      </c>
      <c r="W545" s="116">
        <f>InputData!$C$84</f>
        <v>215220</v>
      </c>
      <c r="X545" s="116">
        <f>InputData!$C$85</f>
        <v>409020</v>
      </c>
      <c r="Y545" s="116">
        <f>InputData!$C$116</f>
        <v>140000</v>
      </c>
      <c r="Z545" s="160">
        <f>InputData!$E$13</f>
        <v>0</v>
      </c>
    </row>
    <row r="546" spans="1:26" x14ac:dyDescent="0.25">
      <c r="A546">
        <f>InputData!$K$1</f>
        <v>2013</v>
      </c>
      <c r="B546" t="str">
        <f>InputData!$G$1</f>
        <v>San Antonio, TX</v>
      </c>
      <c r="C546" t="s">
        <v>177</v>
      </c>
      <c r="D546" t="str">
        <f>Graph_Ortho!$F$6</f>
        <v>EXT</v>
      </c>
      <c r="E546" t="str">
        <f t="shared" si="8"/>
        <v>Orthopedics EXT</v>
      </c>
      <c r="F546">
        <f>Graph_Ortho!$A11</f>
        <v>2017</v>
      </c>
      <c r="G546">
        <f>Graph_Ortho!$B11</f>
        <v>5</v>
      </c>
      <c r="H546" s="165">
        <f>Graph_Ortho!$F11</f>
        <v>-154981.05168717628</v>
      </c>
      <c r="I546" s="160">
        <f>InputData!$C$3</f>
        <v>0.02</v>
      </c>
      <c r="J546" s="160">
        <f>InputData!$C$4</f>
        <v>0.01</v>
      </c>
      <c r="K546" s="160">
        <f>InputData!$C$5</f>
        <v>0.01</v>
      </c>
      <c r="L546" s="160">
        <f>InputData!$C$6</f>
        <v>6.2100000000000002E-2</v>
      </c>
      <c r="M546" s="160">
        <f>InputData!$C$7</f>
        <v>0.03</v>
      </c>
      <c r="N546" s="160">
        <f>InputData!$C$8</f>
        <v>0.02</v>
      </c>
      <c r="O546" s="160">
        <f>InputData!$C$9</f>
        <v>0.06</v>
      </c>
      <c r="P546" s="160">
        <f>InputData!$C$10</f>
        <v>0.02</v>
      </c>
      <c r="Q546" s="160">
        <f>InputData!$C$11</f>
        <v>0.02</v>
      </c>
      <c r="R546" s="160">
        <f>InputData!$C$12</f>
        <v>0.02</v>
      </c>
      <c r="S546" s="160">
        <f>InputData!$C$13</f>
        <v>0.9</v>
      </c>
      <c r="T546" s="116">
        <f>InputData!$C$88</f>
        <v>180000</v>
      </c>
      <c r="U546" s="116">
        <f>InputData!$C$81</f>
        <v>178500</v>
      </c>
      <c r="V546" s="116">
        <f>InputData!$C$82</f>
        <v>303960</v>
      </c>
      <c r="W546" s="116">
        <f>InputData!$C$84</f>
        <v>215220</v>
      </c>
      <c r="X546" s="116">
        <f>InputData!$C$85</f>
        <v>409020</v>
      </c>
      <c r="Y546" s="116">
        <f>InputData!$C$116</f>
        <v>140000</v>
      </c>
      <c r="Z546" s="160">
        <f>InputData!$E$13</f>
        <v>0</v>
      </c>
    </row>
    <row r="547" spans="1:26" x14ac:dyDescent="0.25">
      <c r="A547">
        <f>InputData!$K$1</f>
        <v>2013</v>
      </c>
      <c r="B547" t="str">
        <f>InputData!$G$1</f>
        <v>San Antonio, TX</v>
      </c>
      <c r="C547" t="s">
        <v>177</v>
      </c>
      <c r="D547" t="str">
        <f>Graph_Ortho!$F$6</f>
        <v>EXT</v>
      </c>
      <c r="E547" t="str">
        <f t="shared" si="8"/>
        <v>Orthopedics EXT</v>
      </c>
      <c r="F547">
        <f>Graph_Ortho!$A12</f>
        <v>2018</v>
      </c>
      <c r="G547">
        <f>Graph_Ortho!$B12</f>
        <v>6</v>
      </c>
      <c r="H547" s="165">
        <f>Graph_Ortho!$F12</f>
        <v>-118995.92937851879</v>
      </c>
      <c r="I547" s="160">
        <f>InputData!$C$3</f>
        <v>0.02</v>
      </c>
      <c r="J547" s="160">
        <f>InputData!$C$4</f>
        <v>0.01</v>
      </c>
      <c r="K547" s="160">
        <f>InputData!$C$5</f>
        <v>0.01</v>
      </c>
      <c r="L547" s="160">
        <f>InputData!$C$6</f>
        <v>6.2100000000000002E-2</v>
      </c>
      <c r="M547" s="160">
        <f>InputData!$C$7</f>
        <v>0.03</v>
      </c>
      <c r="N547" s="160">
        <f>InputData!$C$8</f>
        <v>0.02</v>
      </c>
      <c r="O547" s="160">
        <f>InputData!$C$9</f>
        <v>0.06</v>
      </c>
      <c r="P547" s="160">
        <f>InputData!$C$10</f>
        <v>0.02</v>
      </c>
      <c r="Q547" s="160">
        <f>InputData!$C$11</f>
        <v>0.02</v>
      </c>
      <c r="R547" s="160">
        <f>InputData!$C$12</f>
        <v>0.02</v>
      </c>
      <c r="S547" s="160">
        <f>InputData!$C$13</f>
        <v>0.9</v>
      </c>
      <c r="T547" s="116">
        <f>InputData!$C$88</f>
        <v>180000</v>
      </c>
      <c r="U547" s="116">
        <f>InputData!$C$81</f>
        <v>178500</v>
      </c>
      <c r="V547" s="116">
        <f>InputData!$C$82</f>
        <v>303960</v>
      </c>
      <c r="W547" s="116">
        <f>InputData!$C$84</f>
        <v>215220</v>
      </c>
      <c r="X547" s="116">
        <f>InputData!$C$85</f>
        <v>409020</v>
      </c>
      <c r="Y547" s="116">
        <f>InputData!$C$116</f>
        <v>140000</v>
      </c>
      <c r="Z547" s="160">
        <f>InputData!$E$13</f>
        <v>0</v>
      </c>
    </row>
    <row r="548" spans="1:26" x14ac:dyDescent="0.25">
      <c r="A548">
        <f>InputData!$K$1</f>
        <v>2013</v>
      </c>
      <c r="B548" t="str">
        <f>InputData!$G$1</f>
        <v>San Antonio, TX</v>
      </c>
      <c r="C548" t="s">
        <v>177</v>
      </c>
      <c r="D548" t="str">
        <f>Graph_Ortho!$F$6</f>
        <v>EXT</v>
      </c>
      <c r="E548" t="str">
        <f t="shared" si="8"/>
        <v>Orthopedics EXT</v>
      </c>
      <c r="F548">
        <f>Graph_Ortho!$A13</f>
        <v>2019</v>
      </c>
      <c r="G548">
        <f>Graph_Ortho!$B13</f>
        <v>7</v>
      </c>
      <c r="H548" s="165">
        <f>Graph_Ortho!$F13</f>
        <v>-82904.654937055282</v>
      </c>
      <c r="I548" s="160">
        <f>InputData!$C$3</f>
        <v>0.02</v>
      </c>
      <c r="J548" s="160">
        <f>InputData!$C$4</f>
        <v>0.01</v>
      </c>
      <c r="K548" s="160">
        <f>InputData!$C$5</f>
        <v>0.01</v>
      </c>
      <c r="L548" s="160">
        <f>InputData!$C$6</f>
        <v>6.2100000000000002E-2</v>
      </c>
      <c r="M548" s="160">
        <f>InputData!$C$7</f>
        <v>0.03</v>
      </c>
      <c r="N548" s="160">
        <f>InputData!$C$8</f>
        <v>0.02</v>
      </c>
      <c r="O548" s="160">
        <f>InputData!$C$9</f>
        <v>0.06</v>
      </c>
      <c r="P548" s="160">
        <f>InputData!$C$10</f>
        <v>0.02</v>
      </c>
      <c r="Q548" s="160">
        <f>InputData!$C$11</f>
        <v>0.02</v>
      </c>
      <c r="R548" s="160">
        <f>InputData!$C$12</f>
        <v>0.02</v>
      </c>
      <c r="S548" s="160">
        <f>InputData!$C$13</f>
        <v>0.9</v>
      </c>
      <c r="T548" s="116">
        <f>InputData!$C$88</f>
        <v>180000</v>
      </c>
      <c r="U548" s="116">
        <f>InputData!$C$81</f>
        <v>178500</v>
      </c>
      <c r="V548" s="116">
        <f>InputData!$C$82</f>
        <v>303960</v>
      </c>
      <c r="W548" s="116">
        <f>InputData!$C$84</f>
        <v>215220</v>
      </c>
      <c r="X548" s="116">
        <f>InputData!$C$85</f>
        <v>409020</v>
      </c>
      <c r="Y548" s="116">
        <f>InputData!$C$116</f>
        <v>140000</v>
      </c>
      <c r="Z548" s="160">
        <f>InputData!$E$13</f>
        <v>0</v>
      </c>
    </row>
    <row r="549" spans="1:26" x14ac:dyDescent="0.25">
      <c r="A549">
        <f>InputData!$K$1</f>
        <v>2013</v>
      </c>
      <c r="B549" t="str">
        <f>InputData!$G$1</f>
        <v>San Antonio, TX</v>
      </c>
      <c r="C549" t="s">
        <v>177</v>
      </c>
      <c r="D549" t="str">
        <f>Graph_Ortho!$F$6</f>
        <v>EXT</v>
      </c>
      <c r="E549" t="str">
        <f t="shared" si="8"/>
        <v>Orthopedics EXT</v>
      </c>
      <c r="F549">
        <f>Graph_Ortho!$A14</f>
        <v>2020</v>
      </c>
      <c r="G549">
        <f>Graph_Ortho!$B14</f>
        <v>8</v>
      </c>
      <c r="H549" s="165">
        <f>Graph_Ortho!$F14</f>
        <v>-46699.992676364229</v>
      </c>
      <c r="I549" s="160">
        <f>InputData!$C$3</f>
        <v>0.02</v>
      </c>
      <c r="J549" s="160">
        <f>InputData!$C$4</f>
        <v>0.01</v>
      </c>
      <c r="K549" s="160">
        <f>InputData!$C$5</f>
        <v>0.01</v>
      </c>
      <c r="L549" s="160">
        <f>InputData!$C$6</f>
        <v>6.2100000000000002E-2</v>
      </c>
      <c r="M549" s="160">
        <f>InputData!$C$7</f>
        <v>0.03</v>
      </c>
      <c r="N549" s="160">
        <f>InputData!$C$8</f>
        <v>0.02</v>
      </c>
      <c r="O549" s="160">
        <f>InputData!$C$9</f>
        <v>0.06</v>
      </c>
      <c r="P549" s="160">
        <f>InputData!$C$10</f>
        <v>0.02</v>
      </c>
      <c r="Q549" s="160">
        <f>InputData!$C$11</f>
        <v>0.02</v>
      </c>
      <c r="R549" s="160">
        <f>InputData!$C$12</f>
        <v>0.02</v>
      </c>
      <c r="S549" s="160">
        <f>InputData!$C$13</f>
        <v>0.9</v>
      </c>
      <c r="T549" s="116">
        <f>InputData!$C$88</f>
        <v>180000</v>
      </c>
      <c r="U549" s="116">
        <f>InputData!$C$81</f>
        <v>178500</v>
      </c>
      <c r="V549" s="116">
        <f>InputData!$C$82</f>
        <v>303960</v>
      </c>
      <c r="W549" s="116">
        <f>InputData!$C$84</f>
        <v>215220</v>
      </c>
      <c r="X549" s="116">
        <f>InputData!$C$85</f>
        <v>409020</v>
      </c>
      <c r="Y549" s="116">
        <f>InputData!$C$116</f>
        <v>140000</v>
      </c>
      <c r="Z549" s="160">
        <f>InputData!$E$13</f>
        <v>0</v>
      </c>
    </row>
    <row r="550" spans="1:26" x14ac:dyDescent="0.25">
      <c r="A550">
        <f>InputData!$K$1</f>
        <v>2013</v>
      </c>
      <c r="B550" t="str">
        <f>InputData!$G$1</f>
        <v>San Antonio, TX</v>
      </c>
      <c r="C550" t="s">
        <v>177</v>
      </c>
      <c r="D550" t="str">
        <f>Graph_Ortho!$F$6</f>
        <v>EXT</v>
      </c>
      <c r="E550" t="str">
        <f t="shared" si="8"/>
        <v>Orthopedics EXT</v>
      </c>
      <c r="F550">
        <f>Graph_Ortho!$A15</f>
        <v>2021</v>
      </c>
      <c r="G550">
        <f>Graph_Ortho!$B15</f>
        <v>9</v>
      </c>
      <c r="H550" s="165">
        <f>Graph_Ortho!$F15</f>
        <v>-10374.82525529444</v>
      </c>
      <c r="I550" s="160">
        <f>InputData!$C$3</f>
        <v>0.02</v>
      </c>
      <c r="J550" s="160">
        <f>InputData!$C$4</f>
        <v>0.01</v>
      </c>
      <c r="K550" s="160">
        <f>InputData!$C$5</f>
        <v>0.01</v>
      </c>
      <c r="L550" s="160">
        <f>InputData!$C$6</f>
        <v>6.2100000000000002E-2</v>
      </c>
      <c r="M550" s="160">
        <f>InputData!$C$7</f>
        <v>0.03</v>
      </c>
      <c r="N550" s="160">
        <f>InputData!$C$8</f>
        <v>0.02</v>
      </c>
      <c r="O550" s="160">
        <f>InputData!$C$9</f>
        <v>0.06</v>
      </c>
      <c r="P550" s="160">
        <f>InputData!$C$10</f>
        <v>0.02</v>
      </c>
      <c r="Q550" s="160">
        <f>InputData!$C$11</f>
        <v>0.02</v>
      </c>
      <c r="R550" s="160">
        <f>InputData!$C$12</f>
        <v>0.02</v>
      </c>
      <c r="S550" s="160">
        <f>InputData!$C$13</f>
        <v>0.9</v>
      </c>
      <c r="T550" s="116">
        <f>InputData!$C$88</f>
        <v>180000</v>
      </c>
      <c r="U550" s="116">
        <f>InputData!$C$81</f>
        <v>178500</v>
      </c>
      <c r="V550" s="116">
        <f>InputData!$C$82</f>
        <v>303960</v>
      </c>
      <c r="W550" s="116">
        <f>InputData!$C$84</f>
        <v>215220</v>
      </c>
      <c r="X550" s="116">
        <f>InputData!$C$85</f>
        <v>409020</v>
      </c>
      <c r="Y550" s="116">
        <f>InputData!$C$116</f>
        <v>140000</v>
      </c>
      <c r="Z550" s="160">
        <f>InputData!$E$13</f>
        <v>0</v>
      </c>
    </row>
    <row r="551" spans="1:26" x14ac:dyDescent="0.25">
      <c r="A551">
        <f>InputData!$K$1</f>
        <v>2013</v>
      </c>
      <c r="B551" t="str">
        <f>InputData!$G$1</f>
        <v>San Antonio, TX</v>
      </c>
      <c r="C551" t="s">
        <v>177</v>
      </c>
      <c r="D551" t="str">
        <f>Graph_Ortho!$F$6</f>
        <v>EXT</v>
      </c>
      <c r="E551" t="str">
        <f t="shared" si="8"/>
        <v>Orthopedics EXT</v>
      </c>
      <c r="F551">
        <f>Graph_Ortho!$A16</f>
        <v>2022</v>
      </c>
      <c r="G551">
        <f>Graph_Ortho!$B16</f>
        <v>10</v>
      </c>
      <c r="H551" s="165">
        <f>Graph_Ortho!$F16</f>
        <v>189333.20745435558</v>
      </c>
      <c r="I551" s="160">
        <f>InputData!$C$3</f>
        <v>0.02</v>
      </c>
      <c r="J551" s="160">
        <f>InputData!$C$4</f>
        <v>0.01</v>
      </c>
      <c r="K551" s="160">
        <f>InputData!$C$5</f>
        <v>0.01</v>
      </c>
      <c r="L551" s="160">
        <f>InputData!$C$6</f>
        <v>6.2100000000000002E-2</v>
      </c>
      <c r="M551" s="160">
        <f>InputData!$C$7</f>
        <v>0.03</v>
      </c>
      <c r="N551" s="160">
        <f>InputData!$C$8</f>
        <v>0.02</v>
      </c>
      <c r="O551" s="160">
        <f>InputData!$C$9</f>
        <v>0.06</v>
      </c>
      <c r="P551" s="160">
        <f>InputData!$C$10</f>
        <v>0.02</v>
      </c>
      <c r="Q551" s="160">
        <f>InputData!$C$11</f>
        <v>0.02</v>
      </c>
      <c r="R551" s="160">
        <f>InputData!$C$12</f>
        <v>0.02</v>
      </c>
      <c r="S551" s="160">
        <f>InputData!$C$13</f>
        <v>0.9</v>
      </c>
      <c r="T551" s="116">
        <f>InputData!$C$88</f>
        <v>180000</v>
      </c>
      <c r="U551" s="116">
        <f>InputData!$C$81</f>
        <v>178500</v>
      </c>
      <c r="V551" s="116">
        <f>InputData!$C$82</f>
        <v>303960</v>
      </c>
      <c r="W551" s="116">
        <f>InputData!$C$84</f>
        <v>215220</v>
      </c>
      <c r="X551" s="116">
        <f>InputData!$C$85</f>
        <v>409020</v>
      </c>
      <c r="Y551" s="116">
        <f>InputData!$C$116</f>
        <v>140000</v>
      </c>
      <c r="Z551" s="160">
        <f>InputData!$E$13</f>
        <v>0</v>
      </c>
    </row>
    <row r="552" spans="1:26" x14ac:dyDescent="0.25">
      <c r="A552">
        <f>InputData!$K$1</f>
        <v>2013</v>
      </c>
      <c r="B552" t="str">
        <f>InputData!$G$1</f>
        <v>San Antonio, TX</v>
      </c>
      <c r="C552" t="s">
        <v>177</v>
      </c>
      <c r="D552" t="str">
        <f>Graph_Ortho!$F$6</f>
        <v>EXT</v>
      </c>
      <c r="E552" t="str">
        <f t="shared" si="8"/>
        <v>Orthopedics EXT</v>
      </c>
      <c r="F552">
        <f>Graph_Ortho!$A17</f>
        <v>2023</v>
      </c>
      <c r="G552">
        <f>Graph_Ortho!$B17</f>
        <v>11</v>
      </c>
      <c r="H552" s="165">
        <f>Graph_Ortho!$F17</f>
        <v>383489.25367276347</v>
      </c>
      <c r="I552" s="160">
        <f>InputData!$C$3</f>
        <v>0.02</v>
      </c>
      <c r="J552" s="160">
        <f>InputData!$C$4</f>
        <v>0.01</v>
      </c>
      <c r="K552" s="160">
        <f>InputData!$C$5</f>
        <v>0.01</v>
      </c>
      <c r="L552" s="160">
        <f>InputData!$C$6</f>
        <v>6.2100000000000002E-2</v>
      </c>
      <c r="M552" s="160">
        <f>InputData!$C$7</f>
        <v>0.03</v>
      </c>
      <c r="N552" s="160">
        <f>InputData!$C$8</f>
        <v>0.02</v>
      </c>
      <c r="O552" s="160">
        <f>InputData!$C$9</f>
        <v>0.06</v>
      </c>
      <c r="P552" s="160">
        <f>InputData!$C$10</f>
        <v>0.02</v>
      </c>
      <c r="Q552" s="160">
        <f>InputData!$C$11</f>
        <v>0.02</v>
      </c>
      <c r="R552" s="160">
        <f>InputData!$C$12</f>
        <v>0.02</v>
      </c>
      <c r="S552" s="160">
        <f>InputData!$C$13</f>
        <v>0.9</v>
      </c>
      <c r="T552" s="116">
        <f>InputData!$C$88</f>
        <v>180000</v>
      </c>
      <c r="U552" s="116">
        <f>InputData!$C$81</f>
        <v>178500</v>
      </c>
      <c r="V552" s="116">
        <f>InputData!$C$82</f>
        <v>303960</v>
      </c>
      <c r="W552" s="116">
        <f>InputData!$C$84</f>
        <v>215220</v>
      </c>
      <c r="X552" s="116">
        <f>InputData!$C$85</f>
        <v>409020</v>
      </c>
      <c r="Y552" s="116">
        <f>InputData!$C$116</f>
        <v>140000</v>
      </c>
      <c r="Z552" s="160">
        <f>InputData!$E$13</f>
        <v>0</v>
      </c>
    </row>
    <row r="553" spans="1:26" x14ac:dyDescent="0.25">
      <c r="A553">
        <f>InputData!$K$1</f>
        <v>2013</v>
      </c>
      <c r="B553" t="str">
        <f>InputData!$G$1</f>
        <v>San Antonio, TX</v>
      </c>
      <c r="C553" t="s">
        <v>177</v>
      </c>
      <c r="D553" t="str">
        <f>Graph_Ortho!$F$6</f>
        <v>EXT</v>
      </c>
      <c r="E553" t="str">
        <f t="shared" si="8"/>
        <v>Orthopedics EXT</v>
      </c>
      <c r="F553">
        <f>Graph_Ortho!$A18</f>
        <v>2024</v>
      </c>
      <c r="G553">
        <f>Graph_Ortho!$B18</f>
        <v>12</v>
      </c>
      <c r="H553" s="165">
        <f>Graph_Ortho!$F18</f>
        <v>573949.99853377021</v>
      </c>
      <c r="I553" s="160">
        <f>InputData!$C$3</f>
        <v>0.02</v>
      </c>
      <c r="J553" s="160">
        <f>InputData!$C$4</f>
        <v>0.01</v>
      </c>
      <c r="K553" s="160">
        <f>InputData!$C$5</f>
        <v>0.01</v>
      </c>
      <c r="L553" s="160">
        <f>InputData!$C$6</f>
        <v>6.2100000000000002E-2</v>
      </c>
      <c r="M553" s="160">
        <f>InputData!$C$7</f>
        <v>0.03</v>
      </c>
      <c r="N553" s="160">
        <f>InputData!$C$8</f>
        <v>0.02</v>
      </c>
      <c r="O553" s="160">
        <f>InputData!$C$9</f>
        <v>0.06</v>
      </c>
      <c r="P553" s="160">
        <f>InputData!$C$10</f>
        <v>0.02</v>
      </c>
      <c r="Q553" s="160">
        <f>InputData!$C$11</f>
        <v>0.02</v>
      </c>
      <c r="R553" s="160">
        <f>InputData!$C$12</f>
        <v>0.02</v>
      </c>
      <c r="S553" s="160">
        <f>InputData!$C$13</f>
        <v>0.9</v>
      </c>
      <c r="T553" s="116">
        <f>InputData!$C$88</f>
        <v>180000</v>
      </c>
      <c r="U553" s="116">
        <f>InputData!$C$81</f>
        <v>178500</v>
      </c>
      <c r="V553" s="116">
        <f>InputData!$C$82</f>
        <v>303960</v>
      </c>
      <c r="W553" s="116">
        <f>InputData!$C$84</f>
        <v>215220</v>
      </c>
      <c r="X553" s="116">
        <f>InputData!$C$85</f>
        <v>409020</v>
      </c>
      <c r="Y553" s="116">
        <f>InputData!$C$116</f>
        <v>140000</v>
      </c>
      <c r="Z553" s="160">
        <f>InputData!$E$13</f>
        <v>0</v>
      </c>
    </row>
    <row r="554" spans="1:26" x14ac:dyDescent="0.25">
      <c r="A554">
        <f>InputData!$K$1</f>
        <v>2013</v>
      </c>
      <c r="B554" t="str">
        <f>InputData!$G$1</f>
        <v>San Antonio, TX</v>
      </c>
      <c r="C554" t="s">
        <v>177</v>
      </c>
      <c r="D554" t="str">
        <f>Graph_Ortho!$F$6</f>
        <v>EXT</v>
      </c>
      <c r="E554" t="str">
        <f t="shared" si="8"/>
        <v>Orthopedics EXT</v>
      </c>
      <c r="F554">
        <f>Graph_Ortho!$A19</f>
        <v>2025</v>
      </c>
      <c r="G554">
        <f>Graph_Ortho!$B19</f>
        <v>13</v>
      </c>
      <c r="H554" s="165">
        <f>Graph_Ortho!$F19</f>
        <v>760777.45019426523</v>
      </c>
      <c r="I554" s="160">
        <f>InputData!$C$3</f>
        <v>0.02</v>
      </c>
      <c r="J554" s="160">
        <f>InputData!$C$4</f>
        <v>0.01</v>
      </c>
      <c r="K554" s="160">
        <f>InputData!$C$5</f>
        <v>0.01</v>
      </c>
      <c r="L554" s="160">
        <f>InputData!$C$6</f>
        <v>6.2100000000000002E-2</v>
      </c>
      <c r="M554" s="160">
        <f>InputData!$C$7</f>
        <v>0.03</v>
      </c>
      <c r="N554" s="160">
        <f>InputData!$C$8</f>
        <v>0.02</v>
      </c>
      <c r="O554" s="160">
        <f>InputData!$C$9</f>
        <v>0.06</v>
      </c>
      <c r="P554" s="160">
        <f>InputData!$C$10</f>
        <v>0.02</v>
      </c>
      <c r="Q554" s="160">
        <f>InputData!$C$11</f>
        <v>0.02</v>
      </c>
      <c r="R554" s="160">
        <f>InputData!$C$12</f>
        <v>0.02</v>
      </c>
      <c r="S554" s="160">
        <f>InputData!$C$13</f>
        <v>0.9</v>
      </c>
      <c r="T554" s="116">
        <f>InputData!$C$88</f>
        <v>180000</v>
      </c>
      <c r="U554" s="116">
        <f>InputData!$C$81</f>
        <v>178500</v>
      </c>
      <c r="V554" s="116">
        <f>InputData!$C$82</f>
        <v>303960</v>
      </c>
      <c r="W554" s="116">
        <f>InputData!$C$84</f>
        <v>215220</v>
      </c>
      <c r="X554" s="116">
        <f>InputData!$C$85</f>
        <v>409020</v>
      </c>
      <c r="Y554" s="116">
        <f>InputData!$C$116</f>
        <v>140000</v>
      </c>
      <c r="Z554" s="160">
        <f>InputData!$E$13</f>
        <v>0</v>
      </c>
    </row>
    <row r="555" spans="1:26" x14ac:dyDescent="0.25">
      <c r="A555">
        <f>InputData!$K$1</f>
        <v>2013</v>
      </c>
      <c r="B555" t="str">
        <f>InputData!$G$1</f>
        <v>San Antonio, TX</v>
      </c>
      <c r="C555" t="s">
        <v>177</v>
      </c>
      <c r="D555" t="str">
        <f>Graph_Ortho!$F$6</f>
        <v>EXT</v>
      </c>
      <c r="E555" t="str">
        <f t="shared" si="8"/>
        <v>Orthopedics EXT</v>
      </c>
      <c r="F555">
        <f>Graph_Ortho!$A20</f>
        <v>2026</v>
      </c>
      <c r="G555">
        <f>Graph_Ortho!$B20</f>
        <v>14</v>
      </c>
      <c r="H555" s="165">
        <f>Graph_Ortho!$F20</f>
        <v>944033.05187364062</v>
      </c>
      <c r="I555" s="160">
        <f>InputData!$C$3</f>
        <v>0.02</v>
      </c>
      <c r="J555" s="160">
        <f>InputData!$C$4</f>
        <v>0.01</v>
      </c>
      <c r="K555" s="160">
        <f>InputData!$C$5</f>
        <v>0.01</v>
      </c>
      <c r="L555" s="160">
        <f>InputData!$C$6</f>
        <v>6.2100000000000002E-2</v>
      </c>
      <c r="M555" s="160">
        <f>InputData!$C$7</f>
        <v>0.03</v>
      </c>
      <c r="N555" s="160">
        <f>InputData!$C$8</f>
        <v>0.02</v>
      </c>
      <c r="O555" s="160">
        <f>InputData!$C$9</f>
        <v>0.06</v>
      </c>
      <c r="P555" s="160">
        <f>InputData!$C$10</f>
        <v>0.02</v>
      </c>
      <c r="Q555" s="160">
        <f>InputData!$C$11</f>
        <v>0.02</v>
      </c>
      <c r="R555" s="160">
        <f>InputData!$C$12</f>
        <v>0.02</v>
      </c>
      <c r="S555" s="160">
        <f>InputData!$C$13</f>
        <v>0.9</v>
      </c>
      <c r="T555" s="116">
        <f>InputData!$C$88</f>
        <v>180000</v>
      </c>
      <c r="U555" s="116">
        <f>InputData!$C$81</f>
        <v>178500</v>
      </c>
      <c r="V555" s="116">
        <f>InputData!$C$82</f>
        <v>303960</v>
      </c>
      <c r="W555" s="116">
        <f>InputData!$C$84</f>
        <v>215220</v>
      </c>
      <c r="X555" s="116">
        <f>InputData!$C$85</f>
        <v>409020</v>
      </c>
      <c r="Y555" s="116">
        <f>InputData!$C$116</f>
        <v>140000</v>
      </c>
      <c r="Z555" s="160">
        <f>InputData!$E$13</f>
        <v>0</v>
      </c>
    </row>
    <row r="556" spans="1:26" x14ac:dyDescent="0.25">
      <c r="A556">
        <f>InputData!$K$1</f>
        <v>2013</v>
      </c>
      <c r="B556" t="str">
        <f>InputData!$G$1</f>
        <v>San Antonio, TX</v>
      </c>
      <c r="C556" t="s">
        <v>177</v>
      </c>
      <c r="D556" t="str">
        <f>Graph_Ortho!$F$6</f>
        <v>EXT</v>
      </c>
      <c r="E556" t="str">
        <f t="shared" si="8"/>
        <v>Orthopedics EXT</v>
      </c>
      <c r="F556">
        <f>Graph_Ortho!$A21</f>
        <v>2027</v>
      </c>
      <c r="G556">
        <f>Graph_Ortho!$B21</f>
        <v>15</v>
      </c>
      <c r="H556" s="165">
        <f>Graph_Ortho!$F21</f>
        <v>1123777.6572803333</v>
      </c>
      <c r="I556" s="160">
        <f>InputData!$C$3</f>
        <v>0.02</v>
      </c>
      <c r="J556" s="160">
        <f>InputData!$C$4</f>
        <v>0.01</v>
      </c>
      <c r="K556" s="160">
        <f>InputData!$C$5</f>
        <v>0.01</v>
      </c>
      <c r="L556" s="160">
        <f>InputData!$C$6</f>
        <v>6.2100000000000002E-2</v>
      </c>
      <c r="M556" s="160">
        <f>InputData!$C$7</f>
        <v>0.03</v>
      </c>
      <c r="N556" s="160">
        <f>InputData!$C$8</f>
        <v>0.02</v>
      </c>
      <c r="O556" s="160">
        <f>InputData!$C$9</f>
        <v>0.06</v>
      </c>
      <c r="P556" s="160">
        <f>InputData!$C$10</f>
        <v>0.02</v>
      </c>
      <c r="Q556" s="160">
        <f>InputData!$C$11</f>
        <v>0.02</v>
      </c>
      <c r="R556" s="160">
        <f>InputData!$C$12</f>
        <v>0.02</v>
      </c>
      <c r="S556" s="160">
        <f>InputData!$C$13</f>
        <v>0.9</v>
      </c>
      <c r="T556" s="116">
        <f>InputData!$C$88</f>
        <v>180000</v>
      </c>
      <c r="U556" s="116">
        <f>InputData!$C$81</f>
        <v>178500</v>
      </c>
      <c r="V556" s="116">
        <f>InputData!$C$82</f>
        <v>303960</v>
      </c>
      <c r="W556" s="116">
        <f>InputData!$C$84</f>
        <v>215220</v>
      </c>
      <c r="X556" s="116">
        <f>InputData!$C$85</f>
        <v>409020</v>
      </c>
      <c r="Y556" s="116">
        <f>InputData!$C$116</f>
        <v>140000</v>
      </c>
      <c r="Z556" s="160">
        <f>InputData!$E$13</f>
        <v>0</v>
      </c>
    </row>
    <row r="557" spans="1:26" x14ac:dyDescent="0.25">
      <c r="A557">
        <f>InputData!$K$1</f>
        <v>2013</v>
      </c>
      <c r="B557" t="str">
        <f>InputData!$G$1</f>
        <v>San Antonio, TX</v>
      </c>
      <c r="C557" t="s">
        <v>177</v>
      </c>
      <c r="D557" t="str">
        <f>Graph_Ortho!$F$6</f>
        <v>EXT</v>
      </c>
      <c r="E557" t="str">
        <f t="shared" si="8"/>
        <v>Orthopedics EXT</v>
      </c>
      <c r="F557">
        <f>Graph_Ortho!$A22</f>
        <v>2028</v>
      </c>
      <c r="G557">
        <f>Graph_Ortho!$B22</f>
        <v>16</v>
      </c>
      <c r="H557" s="165">
        <f>Graph_Ortho!$F22</f>
        <v>1300071.5083625116</v>
      </c>
      <c r="I557" s="160">
        <f>InputData!$C$3</f>
        <v>0.02</v>
      </c>
      <c r="J557" s="160">
        <f>InputData!$C$4</f>
        <v>0.01</v>
      </c>
      <c r="K557" s="160">
        <f>InputData!$C$5</f>
        <v>0.01</v>
      </c>
      <c r="L557" s="160">
        <f>InputData!$C$6</f>
        <v>6.2100000000000002E-2</v>
      </c>
      <c r="M557" s="160">
        <f>InputData!$C$7</f>
        <v>0.03</v>
      </c>
      <c r="N557" s="160">
        <f>InputData!$C$8</f>
        <v>0.02</v>
      </c>
      <c r="O557" s="160">
        <f>InputData!$C$9</f>
        <v>0.06</v>
      </c>
      <c r="P557" s="160">
        <f>InputData!$C$10</f>
        <v>0.02</v>
      </c>
      <c r="Q557" s="160">
        <f>InputData!$C$11</f>
        <v>0.02</v>
      </c>
      <c r="R557" s="160">
        <f>InputData!$C$12</f>
        <v>0.02</v>
      </c>
      <c r="S557" s="160">
        <f>InputData!$C$13</f>
        <v>0.9</v>
      </c>
      <c r="T557" s="116">
        <f>InputData!$C$88</f>
        <v>180000</v>
      </c>
      <c r="U557" s="116">
        <f>InputData!$C$81</f>
        <v>178500</v>
      </c>
      <c r="V557" s="116">
        <f>InputData!$C$82</f>
        <v>303960</v>
      </c>
      <c r="W557" s="116">
        <f>InputData!$C$84</f>
        <v>215220</v>
      </c>
      <c r="X557" s="116">
        <f>InputData!$C$85</f>
        <v>409020</v>
      </c>
      <c r="Y557" s="116">
        <f>InputData!$C$116</f>
        <v>140000</v>
      </c>
      <c r="Z557" s="160">
        <f>InputData!$E$13</f>
        <v>0</v>
      </c>
    </row>
    <row r="558" spans="1:26" x14ac:dyDescent="0.25">
      <c r="A558">
        <f>InputData!$K$1</f>
        <v>2013</v>
      </c>
      <c r="B558" t="str">
        <f>InputData!$G$1</f>
        <v>San Antonio, TX</v>
      </c>
      <c r="C558" t="s">
        <v>177</v>
      </c>
      <c r="D558" t="str">
        <f>Graph_Ortho!$F$6</f>
        <v>EXT</v>
      </c>
      <c r="E558" t="str">
        <f t="shared" si="8"/>
        <v>Orthopedics EXT</v>
      </c>
      <c r="F558">
        <f>Graph_Ortho!$A23</f>
        <v>2029</v>
      </c>
      <c r="G558">
        <f>Graph_Ortho!$B23</f>
        <v>17</v>
      </c>
      <c r="H558" s="165">
        <f>Graph_Ortho!$F23</f>
        <v>1472974.2152449549</v>
      </c>
      <c r="I558" s="160">
        <f>InputData!$C$3</f>
        <v>0.02</v>
      </c>
      <c r="J558" s="160">
        <f>InputData!$C$4</f>
        <v>0.01</v>
      </c>
      <c r="K558" s="160">
        <f>InputData!$C$5</f>
        <v>0.01</v>
      </c>
      <c r="L558" s="160">
        <f>InputData!$C$6</f>
        <v>6.2100000000000002E-2</v>
      </c>
      <c r="M558" s="160">
        <f>InputData!$C$7</f>
        <v>0.03</v>
      </c>
      <c r="N558" s="160">
        <f>InputData!$C$8</f>
        <v>0.02</v>
      </c>
      <c r="O558" s="160">
        <f>InputData!$C$9</f>
        <v>0.06</v>
      </c>
      <c r="P558" s="160">
        <f>InputData!$C$10</f>
        <v>0.02</v>
      </c>
      <c r="Q558" s="160">
        <f>InputData!$C$11</f>
        <v>0.02</v>
      </c>
      <c r="R558" s="160">
        <f>InputData!$C$12</f>
        <v>0.02</v>
      </c>
      <c r="S558" s="160">
        <f>InputData!$C$13</f>
        <v>0.9</v>
      </c>
      <c r="T558" s="116">
        <f>InputData!$C$88</f>
        <v>180000</v>
      </c>
      <c r="U558" s="116">
        <f>InputData!$C$81</f>
        <v>178500</v>
      </c>
      <c r="V558" s="116">
        <f>InputData!$C$82</f>
        <v>303960</v>
      </c>
      <c r="W558" s="116">
        <f>InputData!$C$84</f>
        <v>215220</v>
      </c>
      <c r="X558" s="116">
        <f>InputData!$C$85</f>
        <v>409020</v>
      </c>
      <c r="Y558" s="116">
        <f>InputData!$C$116</f>
        <v>140000</v>
      </c>
      <c r="Z558" s="160">
        <f>InputData!$E$13</f>
        <v>0</v>
      </c>
    </row>
    <row r="559" spans="1:26" x14ac:dyDescent="0.25">
      <c r="A559">
        <f>InputData!$K$1</f>
        <v>2013</v>
      </c>
      <c r="B559" t="str">
        <f>InputData!$G$1</f>
        <v>San Antonio, TX</v>
      </c>
      <c r="C559" t="s">
        <v>177</v>
      </c>
      <c r="D559" t="str">
        <f>Graph_Ortho!$F$6</f>
        <v>EXT</v>
      </c>
      <c r="E559" t="str">
        <f t="shared" si="8"/>
        <v>Orthopedics EXT</v>
      </c>
      <c r="F559">
        <f>Graph_Ortho!$A24</f>
        <v>2030</v>
      </c>
      <c r="G559">
        <f>Graph_Ortho!$B24</f>
        <v>18</v>
      </c>
      <c r="H559" s="165">
        <f>Graph_Ortho!$F24</f>
        <v>1642544.738221437</v>
      </c>
      <c r="I559" s="160">
        <f>InputData!$C$3</f>
        <v>0.02</v>
      </c>
      <c r="J559" s="160">
        <f>InputData!$C$4</f>
        <v>0.01</v>
      </c>
      <c r="K559" s="160">
        <f>InputData!$C$5</f>
        <v>0.01</v>
      </c>
      <c r="L559" s="160">
        <f>InputData!$C$6</f>
        <v>6.2100000000000002E-2</v>
      </c>
      <c r="M559" s="160">
        <f>InputData!$C$7</f>
        <v>0.03</v>
      </c>
      <c r="N559" s="160">
        <f>InputData!$C$8</f>
        <v>0.02</v>
      </c>
      <c r="O559" s="160">
        <f>InputData!$C$9</f>
        <v>0.06</v>
      </c>
      <c r="P559" s="160">
        <f>InputData!$C$10</f>
        <v>0.02</v>
      </c>
      <c r="Q559" s="160">
        <f>InputData!$C$11</f>
        <v>0.02</v>
      </c>
      <c r="R559" s="160">
        <f>InputData!$C$12</f>
        <v>0.02</v>
      </c>
      <c r="S559" s="160">
        <f>InputData!$C$13</f>
        <v>0.9</v>
      </c>
      <c r="T559" s="116">
        <f>InputData!$C$88</f>
        <v>180000</v>
      </c>
      <c r="U559" s="116">
        <f>InputData!$C$81</f>
        <v>178500</v>
      </c>
      <c r="V559" s="116">
        <f>InputData!$C$82</f>
        <v>303960</v>
      </c>
      <c r="W559" s="116">
        <f>InputData!$C$84</f>
        <v>215220</v>
      </c>
      <c r="X559" s="116">
        <f>InputData!$C$85</f>
        <v>409020</v>
      </c>
      <c r="Y559" s="116">
        <f>InputData!$C$116</f>
        <v>140000</v>
      </c>
      <c r="Z559" s="160">
        <f>InputData!$E$13</f>
        <v>0</v>
      </c>
    </row>
    <row r="560" spans="1:26" x14ac:dyDescent="0.25">
      <c r="A560">
        <f>InputData!$K$1</f>
        <v>2013</v>
      </c>
      <c r="B560" t="str">
        <f>InputData!$G$1</f>
        <v>San Antonio, TX</v>
      </c>
      <c r="C560" t="s">
        <v>177</v>
      </c>
      <c r="D560" t="str">
        <f>Graph_Ortho!$F$6</f>
        <v>EXT</v>
      </c>
      <c r="E560" t="str">
        <f t="shared" si="8"/>
        <v>Orthopedics EXT</v>
      </c>
      <c r="F560">
        <f>Graph_Ortho!$A25</f>
        <v>2031</v>
      </c>
      <c r="G560">
        <f>Graph_Ortho!$B25</f>
        <v>19</v>
      </c>
      <c r="H560" s="165">
        <f>Graph_Ortho!$F25</f>
        <v>1808841.3716788169</v>
      </c>
      <c r="I560" s="160">
        <f>InputData!$C$3</f>
        <v>0.02</v>
      </c>
      <c r="J560" s="160">
        <f>InputData!$C$4</f>
        <v>0.01</v>
      </c>
      <c r="K560" s="160">
        <f>InputData!$C$5</f>
        <v>0.01</v>
      </c>
      <c r="L560" s="160">
        <f>InputData!$C$6</f>
        <v>6.2100000000000002E-2</v>
      </c>
      <c r="M560" s="160">
        <f>InputData!$C$7</f>
        <v>0.03</v>
      </c>
      <c r="N560" s="160">
        <f>InputData!$C$8</f>
        <v>0.02</v>
      </c>
      <c r="O560" s="160">
        <f>InputData!$C$9</f>
        <v>0.06</v>
      </c>
      <c r="P560" s="160">
        <f>InputData!$C$10</f>
        <v>0.02</v>
      </c>
      <c r="Q560" s="160">
        <f>InputData!$C$11</f>
        <v>0.02</v>
      </c>
      <c r="R560" s="160">
        <f>InputData!$C$12</f>
        <v>0.02</v>
      </c>
      <c r="S560" s="160">
        <f>InputData!$C$13</f>
        <v>0.9</v>
      </c>
      <c r="T560" s="116">
        <f>InputData!$C$88</f>
        <v>180000</v>
      </c>
      <c r="U560" s="116">
        <f>InputData!$C$81</f>
        <v>178500</v>
      </c>
      <c r="V560" s="116">
        <f>InputData!$C$82</f>
        <v>303960</v>
      </c>
      <c r="W560" s="116">
        <f>InputData!$C$84</f>
        <v>215220</v>
      </c>
      <c r="X560" s="116">
        <f>InputData!$C$85</f>
        <v>409020</v>
      </c>
      <c r="Y560" s="116">
        <f>InputData!$C$116</f>
        <v>140000</v>
      </c>
      <c r="Z560" s="160">
        <f>InputData!$E$13</f>
        <v>0</v>
      </c>
    </row>
    <row r="561" spans="1:26" x14ac:dyDescent="0.25">
      <c r="A561">
        <f>InputData!$K$1</f>
        <v>2013</v>
      </c>
      <c r="B561" t="str">
        <f>InputData!$G$1</f>
        <v>San Antonio, TX</v>
      </c>
      <c r="C561" t="s">
        <v>177</v>
      </c>
      <c r="D561" t="str">
        <f>Graph_Ortho!$F$6</f>
        <v>EXT</v>
      </c>
      <c r="E561" t="str">
        <f t="shared" si="8"/>
        <v>Orthopedics EXT</v>
      </c>
      <c r="F561">
        <f>Graph_Ortho!$A26</f>
        <v>2032</v>
      </c>
      <c r="G561">
        <f>Graph_Ortho!$B26</f>
        <v>20</v>
      </c>
      <c r="H561" s="165">
        <f>Graph_Ortho!$F26</f>
        <v>1971921.7298355901</v>
      </c>
      <c r="I561" s="160">
        <f>InputData!$C$3</f>
        <v>0.02</v>
      </c>
      <c r="J561" s="160">
        <f>InputData!$C$4</f>
        <v>0.01</v>
      </c>
      <c r="K561" s="160">
        <f>InputData!$C$5</f>
        <v>0.01</v>
      </c>
      <c r="L561" s="160">
        <f>InputData!$C$6</f>
        <v>6.2100000000000002E-2</v>
      </c>
      <c r="M561" s="160">
        <f>InputData!$C$7</f>
        <v>0.03</v>
      </c>
      <c r="N561" s="160">
        <f>InputData!$C$8</f>
        <v>0.02</v>
      </c>
      <c r="O561" s="160">
        <f>InputData!$C$9</f>
        <v>0.06</v>
      </c>
      <c r="P561" s="160">
        <f>InputData!$C$10</f>
        <v>0.02</v>
      </c>
      <c r="Q561" s="160">
        <f>InputData!$C$11</f>
        <v>0.02</v>
      </c>
      <c r="R561" s="160">
        <f>InputData!$C$12</f>
        <v>0.02</v>
      </c>
      <c r="S561" s="160">
        <f>InputData!$C$13</f>
        <v>0.9</v>
      </c>
      <c r="T561" s="116">
        <f>InputData!$C$88</f>
        <v>180000</v>
      </c>
      <c r="U561" s="116">
        <f>InputData!$C$81</f>
        <v>178500</v>
      </c>
      <c r="V561" s="116">
        <f>InputData!$C$82</f>
        <v>303960</v>
      </c>
      <c r="W561" s="116">
        <f>InputData!$C$84</f>
        <v>215220</v>
      </c>
      <c r="X561" s="116">
        <f>InputData!$C$85</f>
        <v>409020</v>
      </c>
      <c r="Y561" s="116">
        <f>InputData!$C$116</f>
        <v>140000</v>
      </c>
      <c r="Z561" s="160">
        <f>InputData!$E$13</f>
        <v>0</v>
      </c>
    </row>
    <row r="562" spans="1:26" x14ac:dyDescent="0.25">
      <c r="A562">
        <f>InputData!$K$1</f>
        <v>2013</v>
      </c>
      <c r="B562" t="str">
        <f>InputData!$G$1</f>
        <v>San Antonio, TX</v>
      </c>
      <c r="C562" t="s">
        <v>177</v>
      </c>
      <c r="D562" t="str">
        <f>Graph_Ortho!$F$6</f>
        <v>EXT</v>
      </c>
      <c r="E562" t="str">
        <f t="shared" si="8"/>
        <v>Orthopedics EXT</v>
      </c>
      <c r="F562">
        <f>Graph_Ortho!$A27</f>
        <v>2033</v>
      </c>
      <c r="G562">
        <f>Graph_Ortho!$B27</f>
        <v>21</v>
      </c>
      <c r="H562" s="165">
        <f>Graph_Ortho!$F27</f>
        <v>2131842.734183874</v>
      </c>
      <c r="I562" s="160">
        <f>InputData!$C$3</f>
        <v>0.02</v>
      </c>
      <c r="J562" s="160">
        <f>InputData!$C$4</f>
        <v>0.01</v>
      </c>
      <c r="K562" s="160">
        <f>InputData!$C$5</f>
        <v>0.01</v>
      </c>
      <c r="L562" s="160">
        <f>InputData!$C$6</f>
        <v>6.2100000000000002E-2</v>
      </c>
      <c r="M562" s="160">
        <f>InputData!$C$7</f>
        <v>0.03</v>
      </c>
      <c r="N562" s="160">
        <f>InputData!$C$8</f>
        <v>0.02</v>
      </c>
      <c r="O562" s="160">
        <f>InputData!$C$9</f>
        <v>0.06</v>
      </c>
      <c r="P562" s="160">
        <f>InputData!$C$10</f>
        <v>0.02</v>
      </c>
      <c r="Q562" s="160">
        <f>InputData!$C$11</f>
        <v>0.02</v>
      </c>
      <c r="R562" s="160">
        <f>InputData!$C$12</f>
        <v>0.02</v>
      </c>
      <c r="S562" s="160">
        <f>InputData!$C$13</f>
        <v>0.9</v>
      </c>
      <c r="T562" s="116">
        <f>InputData!$C$88</f>
        <v>180000</v>
      </c>
      <c r="U562" s="116">
        <f>InputData!$C$81</f>
        <v>178500</v>
      </c>
      <c r="V562" s="116">
        <f>InputData!$C$82</f>
        <v>303960</v>
      </c>
      <c r="W562" s="116">
        <f>InputData!$C$84</f>
        <v>215220</v>
      </c>
      <c r="X562" s="116">
        <f>InputData!$C$85</f>
        <v>409020</v>
      </c>
      <c r="Y562" s="116">
        <f>InputData!$C$116</f>
        <v>140000</v>
      </c>
      <c r="Z562" s="160">
        <f>InputData!$E$13</f>
        <v>0</v>
      </c>
    </row>
    <row r="563" spans="1:26" x14ac:dyDescent="0.25">
      <c r="A563">
        <f>InputData!$K$1</f>
        <v>2013</v>
      </c>
      <c r="B563" t="str">
        <f>InputData!$G$1</f>
        <v>San Antonio, TX</v>
      </c>
      <c r="C563" t="s">
        <v>177</v>
      </c>
      <c r="D563" t="str">
        <f>Graph_Ortho!$F$6</f>
        <v>EXT</v>
      </c>
      <c r="E563" t="str">
        <f t="shared" si="8"/>
        <v>Orthopedics EXT</v>
      </c>
      <c r="F563">
        <f>Graph_Ortho!$A28</f>
        <v>2034</v>
      </c>
      <c r="G563">
        <f>Graph_Ortho!$B28</f>
        <v>22</v>
      </c>
      <c r="H563" s="165">
        <f>Graph_Ortho!$F28</f>
        <v>2288660.6025297032</v>
      </c>
      <c r="I563" s="160">
        <f>InputData!$C$3</f>
        <v>0.02</v>
      </c>
      <c r="J563" s="160">
        <f>InputData!$C$4</f>
        <v>0.01</v>
      </c>
      <c r="K563" s="160">
        <f>InputData!$C$5</f>
        <v>0.01</v>
      </c>
      <c r="L563" s="160">
        <f>InputData!$C$6</f>
        <v>6.2100000000000002E-2</v>
      </c>
      <c r="M563" s="160">
        <f>InputData!$C$7</f>
        <v>0.03</v>
      </c>
      <c r="N563" s="160">
        <f>InputData!$C$8</f>
        <v>0.02</v>
      </c>
      <c r="O563" s="160">
        <f>InputData!$C$9</f>
        <v>0.06</v>
      </c>
      <c r="P563" s="160">
        <f>InputData!$C$10</f>
        <v>0.02</v>
      </c>
      <c r="Q563" s="160">
        <f>InputData!$C$11</f>
        <v>0.02</v>
      </c>
      <c r="R563" s="160">
        <f>InputData!$C$12</f>
        <v>0.02</v>
      </c>
      <c r="S563" s="160">
        <f>InputData!$C$13</f>
        <v>0.9</v>
      </c>
      <c r="T563" s="116">
        <f>InputData!$C$88</f>
        <v>180000</v>
      </c>
      <c r="U563" s="116">
        <f>InputData!$C$81</f>
        <v>178500</v>
      </c>
      <c r="V563" s="116">
        <f>InputData!$C$82</f>
        <v>303960</v>
      </c>
      <c r="W563" s="116">
        <f>InputData!$C$84</f>
        <v>215220</v>
      </c>
      <c r="X563" s="116">
        <f>InputData!$C$85</f>
        <v>409020</v>
      </c>
      <c r="Y563" s="116">
        <f>InputData!$C$116</f>
        <v>140000</v>
      </c>
      <c r="Z563" s="160">
        <f>InputData!$E$13</f>
        <v>0</v>
      </c>
    </row>
    <row r="564" spans="1:26" x14ac:dyDescent="0.25">
      <c r="A564">
        <f>InputData!$K$1</f>
        <v>2013</v>
      </c>
      <c r="B564" t="str">
        <f>InputData!$G$1</f>
        <v>San Antonio, TX</v>
      </c>
      <c r="C564" t="s">
        <v>177</v>
      </c>
      <c r="D564" t="str">
        <f>Graph_Ortho!$F$6</f>
        <v>EXT</v>
      </c>
      <c r="E564" t="str">
        <f t="shared" si="8"/>
        <v>Orthopedics EXT</v>
      </c>
      <c r="F564">
        <f>Graph_Ortho!$A29</f>
        <v>2035</v>
      </c>
      <c r="G564">
        <f>Graph_Ortho!$B29</f>
        <v>23</v>
      </c>
      <c r="H564" s="165">
        <f>Graph_Ortho!$F29</f>
        <v>2442430.8395321216</v>
      </c>
      <c r="I564" s="160">
        <f>InputData!$C$3</f>
        <v>0.02</v>
      </c>
      <c r="J564" s="160">
        <f>InputData!$C$4</f>
        <v>0.01</v>
      </c>
      <c r="K564" s="160">
        <f>InputData!$C$5</f>
        <v>0.01</v>
      </c>
      <c r="L564" s="160">
        <f>InputData!$C$6</f>
        <v>6.2100000000000002E-2</v>
      </c>
      <c r="M564" s="160">
        <f>InputData!$C$7</f>
        <v>0.03</v>
      </c>
      <c r="N564" s="160">
        <f>InputData!$C$8</f>
        <v>0.02</v>
      </c>
      <c r="O564" s="160">
        <f>InputData!$C$9</f>
        <v>0.06</v>
      </c>
      <c r="P564" s="160">
        <f>InputData!$C$10</f>
        <v>0.02</v>
      </c>
      <c r="Q564" s="160">
        <f>InputData!$C$11</f>
        <v>0.02</v>
      </c>
      <c r="R564" s="160">
        <f>InputData!$C$12</f>
        <v>0.02</v>
      </c>
      <c r="S564" s="160">
        <f>InputData!$C$13</f>
        <v>0.9</v>
      </c>
      <c r="T564" s="116">
        <f>InputData!$C$88</f>
        <v>180000</v>
      </c>
      <c r="U564" s="116">
        <f>InputData!$C$81</f>
        <v>178500</v>
      </c>
      <c r="V564" s="116">
        <f>InputData!$C$82</f>
        <v>303960</v>
      </c>
      <c r="W564" s="116">
        <f>InputData!$C$84</f>
        <v>215220</v>
      </c>
      <c r="X564" s="116">
        <f>InputData!$C$85</f>
        <v>409020</v>
      </c>
      <c r="Y564" s="116">
        <f>InputData!$C$116</f>
        <v>140000</v>
      </c>
      <c r="Z564" s="160">
        <f>InputData!$E$13</f>
        <v>0</v>
      </c>
    </row>
    <row r="565" spans="1:26" x14ac:dyDescent="0.25">
      <c r="A565">
        <f>InputData!$K$1</f>
        <v>2013</v>
      </c>
      <c r="B565" t="str">
        <f>InputData!$G$1</f>
        <v>San Antonio, TX</v>
      </c>
      <c r="C565" t="s">
        <v>177</v>
      </c>
      <c r="D565" t="str">
        <f>Graph_Ortho!$F$6</f>
        <v>EXT</v>
      </c>
      <c r="E565" t="str">
        <f t="shared" si="8"/>
        <v>Orthopedics EXT</v>
      </c>
      <c r="F565">
        <f>Graph_Ortho!$A30</f>
        <v>2036</v>
      </c>
      <c r="G565">
        <f>Graph_Ortho!$B30</f>
        <v>24</v>
      </c>
      <c r="H565" s="165">
        <f>Graph_Ortho!$F30</f>
        <v>2593208.2286468805</v>
      </c>
      <c r="I565" s="160">
        <f>InputData!$C$3</f>
        <v>0.02</v>
      </c>
      <c r="J565" s="160">
        <f>InputData!$C$4</f>
        <v>0.01</v>
      </c>
      <c r="K565" s="160">
        <f>InputData!$C$5</f>
        <v>0.01</v>
      </c>
      <c r="L565" s="160">
        <f>InputData!$C$6</f>
        <v>6.2100000000000002E-2</v>
      </c>
      <c r="M565" s="160">
        <f>InputData!$C$7</f>
        <v>0.03</v>
      </c>
      <c r="N565" s="160">
        <f>InputData!$C$8</f>
        <v>0.02</v>
      </c>
      <c r="O565" s="160">
        <f>InputData!$C$9</f>
        <v>0.06</v>
      </c>
      <c r="P565" s="160">
        <f>InputData!$C$10</f>
        <v>0.02</v>
      </c>
      <c r="Q565" s="160">
        <f>InputData!$C$11</f>
        <v>0.02</v>
      </c>
      <c r="R565" s="160">
        <f>InputData!$C$12</f>
        <v>0.02</v>
      </c>
      <c r="S565" s="160">
        <f>InputData!$C$13</f>
        <v>0.9</v>
      </c>
      <c r="T565" s="116">
        <f>InputData!$C$88</f>
        <v>180000</v>
      </c>
      <c r="U565" s="116">
        <f>InputData!$C$81</f>
        <v>178500</v>
      </c>
      <c r="V565" s="116">
        <f>InputData!$C$82</f>
        <v>303960</v>
      </c>
      <c r="W565" s="116">
        <f>InputData!$C$84</f>
        <v>215220</v>
      </c>
      <c r="X565" s="116">
        <f>InputData!$C$85</f>
        <v>409020</v>
      </c>
      <c r="Y565" s="116">
        <f>InputData!$C$116</f>
        <v>140000</v>
      </c>
      <c r="Z565" s="160">
        <f>InputData!$E$13</f>
        <v>0</v>
      </c>
    </row>
    <row r="566" spans="1:26" x14ac:dyDescent="0.25">
      <c r="A566">
        <f>InputData!$K$1</f>
        <v>2013</v>
      </c>
      <c r="B566" t="str">
        <f>InputData!$G$1</f>
        <v>San Antonio, TX</v>
      </c>
      <c r="C566" t="s">
        <v>177</v>
      </c>
      <c r="D566" t="str">
        <f>Graph_Ortho!$F$6</f>
        <v>EXT</v>
      </c>
      <c r="E566" t="str">
        <f t="shared" si="8"/>
        <v>Orthopedics EXT</v>
      </c>
      <c r="F566">
        <f>Graph_Ortho!$A31</f>
        <v>2037</v>
      </c>
      <c r="G566">
        <f>Graph_Ortho!$B31</f>
        <v>25</v>
      </c>
      <c r="H566" s="165">
        <f>Graph_Ortho!$F31</f>
        <v>2741046.8253856013</v>
      </c>
      <c r="I566" s="160">
        <f>InputData!$C$3</f>
        <v>0.02</v>
      </c>
      <c r="J566" s="160">
        <f>InputData!$C$4</f>
        <v>0.01</v>
      </c>
      <c r="K566" s="160">
        <f>InputData!$C$5</f>
        <v>0.01</v>
      </c>
      <c r="L566" s="160">
        <f>InputData!$C$6</f>
        <v>6.2100000000000002E-2</v>
      </c>
      <c r="M566" s="160">
        <f>InputData!$C$7</f>
        <v>0.03</v>
      </c>
      <c r="N566" s="160">
        <f>InputData!$C$8</f>
        <v>0.02</v>
      </c>
      <c r="O566" s="160">
        <f>InputData!$C$9</f>
        <v>0.06</v>
      </c>
      <c r="P566" s="160">
        <f>InputData!$C$10</f>
        <v>0.02</v>
      </c>
      <c r="Q566" s="160">
        <f>InputData!$C$11</f>
        <v>0.02</v>
      </c>
      <c r="R566" s="160">
        <f>InputData!$C$12</f>
        <v>0.02</v>
      </c>
      <c r="S566" s="160">
        <f>InputData!$C$13</f>
        <v>0.9</v>
      </c>
      <c r="T566" s="116">
        <f>InputData!$C$88</f>
        <v>180000</v>
      </c>
      <c r="U566" s="116">
        <f>InputData!$C$81</f>
        <v>178500</v>
      </c>
      <c r="V566" s="116">
        <f>InputData!$C$82</f>
        <v>303960</v>
      </c>
      <c r="W566" s="116">
        <f>InputData!$C$84</f>
        <v>215220</v>
      </c>
      <c r="X566" s="116">
        <f>InputData!$C$85</f>
        <v>409020</v>
      </c>
      <c r="Y566" s="116">
        <f>InputData!$C$116</f>
        <v>140000</v>
      </c>
      <c r="Z566" s="160">
        <f>InputData!$E$13</f>
        <v>0</v>
      </c>
    </row>
    <row r="567" spans="1:26" x14ac:dyDescent="0.25">
      <c r="A567">
        <f>InputData!$K$1</f>
        <v>2013</v>
      </c>
      <c r="B567" t="str">
        <f>InputData!$G$1</f>
        <v>San Antonio, TX</v>
      </c>
      <c r="C567" t="s">
        <v>177</v>
      </c>
      <c r="D567" t="str">
        <f>Graph_Ortho!$F$6</f>
        <v>EXT</v>
      </c>
      <c r="E567" t="str">
        <f t="shared" si="8"/>
        <v>Orthopedics EXT</v>
      </c>
      <c r="F567">
        <f>Graph_Ortho!$A32</f>
        <v>2038</v>
      </c>
      <c r="G567">
        <f>Graph_Ortho!$B32</f>
        <v>26</v>
      </c>
      <c r="H567" s="165">
        <f>Graph_Ortho!$F32</f>
        <v>2885999.9518060698</v>
      </c>
      <c r="I567" s="160">
        <f>InputData!$C$3</f>
        <v>0.02</v>
      </c>
      <c r="J567" s="160">
        <f>InputData!$C$4</f>
        <v>0.01</v>
      </c>
      <c r="K567" s="160">
        <f>InputData!$C$5</f>
        <v>0.01</v>
      </c>
      <c r="L567" s="160">
        <f>InputData!$C$6</f>
        <v>6.2100000000000002E-2</v>
      </c>
      <c r="M567" s="160">
        <f>InputData!$C$7</f>
        <v>0.03</v>
      </c>
      <c r="N567" s="160">
        <f>InputData!$C$8</f>
        <v>0.02</v>
      </c>
      <c r="O567" s="160">
        <f>InputData!$C$9</f>
        <v>0.06</v>
      </c>
      <c r="P567" s="160">
        <f>InputData!$C$10</f>
        <v>0.02</v>
      </c>
      <c r="Q567" s="160">
        <f>InputData!$C$11</f>
        <v>0.02</v>
      </c>
      <c r="R567" s="160">
        <f>InputData!$C$12</f>
        <v>0.02</v>
      </c>
      <c r="S567" s="160">
        <f>InputData!$C$13</f>
        <v>0.9</v>
      </c>
      <c r="T567" s="116">
        <f>InputData!$C$88</f>
        <v>180000</v>
      </c>
      <c r="U567" s="116">
        <f>InputData!$C$81</f>
        <v>178500</v>
      </c>
      <c r="V567" s="116">
        <f>InputData!$C$82</f>
        <v>303960</v>
      </c>
      <c r="W567" s="116">
        <f>InputData!$C$84</f>
        <v>215220</v>
      </c>
      <c r="X567" s="116">
        <f>InputData!$C$85</f>
        <v>409020</v>
      </c>
      <c r="Y567" s="116">
        <f>InputData!$C$116</f>
        <v>140000</v>
      </c>
      <c r="Z567" s="160">
        <f>InputData!$E$13</f>
        <v>0</v>
      </c>
    </row>
    <row r="568" spans="1:26" x14ac:dyDescent="0.25">
      <c r="A568">
        <f>InputData!$K$1</f>
        <v>2013</v>
      </c>
      <c r="B568" t="str">
        <f>InputData!$G$1</f>
        <v>San Antonio, TX</v>
      </c>
      <c r="C568" t="s">
        <v>177</v>
      </c>
      <c r="D568" t="str">
        <f>Graph_Ortho!$F$6</f>
        <v>EXT</v>
      </c>
      <c r="E568" t="str">
        <f t="shared" si="8"/>
        <v>Orthopedics EXT</v>
      </c>
      <c r="F568">
        <f>Graph_Ortho!$A33</f>
        <v>2039</v>
      </c>
      <c r="G568">
        <f>Graph_Ortho!$B33</f>
        <v>27</v>
      </c>
      <c r="H568" s="165">
        <f>Graph_Ortho!$F33</f>
        <v>3028120.1921538766</v>
      </c>
      <c r="I568" s="160">
        <f>InputData!$C$3</f>
        <v>0.02</v>
      </c>
      <c r="J568" s="160">
        <f>InputData!$C$4</f>
        <v>0.01</v>
      </c>
      <c r="K568" s="160">
        <f>InputData!$C$5</f>
        <v>0.01</v>
      </c>
      <c r="L568" s="160">
        <f>InputData!$C$6</f>
        <v>6.2100000000000002E-2</v>
      </c>
      <c r="M568" s="160">
        <f>InputData!$C$7</f>
        <v>0.03</v>
      </c>
      <c r="N568" s="160">
        <f>InputData!$C$8</f>
        <v>0.02</v>
      </c>
      <c r="O568" s="160">
        <f>InputData!$C$9</f>
        <v>0.06</v>
      </c>
      <c r="P568" s="160">
        <f>InputData!$C$10</f>
        <v>0.02</v>
      </c>
      <c r="Q568" s="160">
        <f>InputData!$C$11</f>
        <v>0.02</v>
      </c>
      <c r="R568" s="160">
        <f>InputData!$C$12</f>
        <v>0.02</v>
      </c>
      <c r="S568" s="160">
        <f>InputData!$C$13</f>
        <v>0.9</v>
      </c>
      <c r="T568" s="116">
        <f>InputData!$C$88</f>
        <v>180000</v>
      </c>
      <c r="U568" s="116">
        <f>InputData!$C$81</f>
        <v>178500</v>
      </c>
      <c r="V568" s="116">
        <f>InputData!$C$82</f>
        <v>303960</v>
      </c>
      <c r="W568" s="116">
        <f>InputData!$C$84</f>
        <v>215220</v>
      </c>
      <c r="X568" s="116">
        <f>InputData!$C$85</f>
        <v>409020</v>
      </c>
      <c r="Y568" s="116">
        <f>InputData!$C$116</f>
        <v>140000</v>
      </c>
      <c r="Z568" s="160">
        <f>InputData!$E$13</f>
        <v>0</v>
      </c>
    </row>
    <row r="569" spans="1:26" x14ac:dyDescent="0.25">
      <c r="A569">
        <f>InputData!$K$1</f>
        <v>2013</v>
      </c>
      <c r="B569" t="str">
        <f>InputData!$G$1</f>
        <v>San Antonio, TX</v>
      </c>
      <c r="C569" t="s">
        <v>177</v>
      </c>
      <c r="D569" t="str">
        <f>Graph_Ortho!$F$6</f>
        <v>EXT</v>
      </c>
      <c r="E569" t="str">
        <f t="shared" si="8"/>
        <v>Orthopedics EXT</v>
      </c>
      <c r="F569">
        <f>Graph_Ortho!$A34</f>
        <v>2040</v>
      </c>
      <c r="G569">
        <f>Graph_Ortho!$B34</f>
        <v>28</v>
      </c>
      <c r="H569" s="165">
        <f>Graph_Ortho!$F34</f>
        <v>3167459.3895799411</v>
      </c>
      <c r="I569" s="160">
        <f>InputData!$C$3</f>
        <v>0.02</v>
      </c>
      <c r="J569" s="160">
        <f>InputData!$C$4</f>
        <v>0.01</v>
      </c>
      <c r="K569" s="160">
        <f>InputData!$C$5</f>
        <v>0.01</v>
      </c>
      <c r="L569" s="160">
        <f>InputData!$C$6</f>
        <v>6.2100000000000002E-2</v>
      </c>
      <c r="M569" s="160">
        <f>InputData!$C$7</f>
        <v>0.03</v>
      </c>
      <c r="N569" s="160">
        <f>InputData!$C$8</f>
        <v>0.02</v>
      </c>
      <c r="O569" s="160">
        <f>InputData!$C$9</f>
        <v>0.06</v>
      </c>
      <c r="P569" s="160">
        <f>InputData!$C$10</f>
        <v>0.02</v>
      </c>
      <c r="Q569" s="160">
        <f>InputData!$C$11</f>
        <v>0.02</v>
      </c>
      <c r="R569" s="160">
        <f>InputData!$C$12</f>
        <v>0.02</v>
      </c>
      <c r="S569" s="160">
        <f>InputData!$C$13</f>
        <v>0.9</v>
      </c>
      <c r="T569" s="116">
        <f>InputData!$C$88</f>
        <v>180000</v>
      </c>
      <c r="U569" s="116">
        <f>InputData!$C$81</f>
        <v>178500</v>
      </c>
      <c r="V569" s="116">
        <f>InputData!$C$82</f>
        <v>303960</v>
      </c>
      <c r="W569" s="116">
        <f>InputData!$C$84</f>
        <v>215220</v>
      </c>
      <c r="X569" s="116">
        <f>InputData!$C$85</f>
        <v>409020</v>
      </c>
      <c r="Y569" s="116">
        <f>InputData!$C$116</f>
        <v>140000</v>
      </c>
      <c r="Z569" s="160">
        <f>InputData!$E$13</f>
        <v>0</v>
      </c>
    </row>
    <row r="570" spans="1:26" x14ac:dyDescent="0.25">
      <c r="A570">
        <f>InputData!$K$1</f>
        <v>2013</v>
      </c>
      <c r="B570" t="str">
        <f>InputData!$G$1</f>
        <v>San Antonio, TX</v>
      </c>
      <c r="C570" t="s">
        <v>177</v>
      </c>
      <c r="D570" t="str">
        <f>Graph_Ortho!$F$6</f>
        <v>EXT</v>
      </c>
      <c r="E570" t="str">
        <f t="shared" si="8"/>
        <v>Orthopedics EXT</v>
      </c>
      <c r="F570">
        <f>Graph_Ortho!$A35</f>
        <v>2041</v>
      </c>
      <c r="G570">
        <f>Graph_Ortho!$B35</f>
        <v>29</v>
      </c>
      <c r="H570" s="165">
        <f>Graph_Ortho!$F35</f>
        <v>3304068.6438625641</v>
      </c>
      <c r="I570" s="160">
        <f>InputData!$C$3</f>
        <v>0.02</v>
      </c>
      <c r="J570" s="160">
        <f>InputData!$C$4</f>
        <v>0.01</v>
      </c>
      <c r="K570" s="160">
        <f>InputData!$C$5</f>
        <v>0.01</v>
      </c>
      <c r="L570" s="160">
        <f>InputData!$C$6</f>
        <v>6.2100000000000002E-2</v>
      </c>
      <c r="M570" s="160">
        <f>InputData!$C$7</f>
        <v>0.03</v>
      </c>
      <c r="N570" s="160">
        <f>InputData!$C$8</f>
        <v>0.02</v>
      </c>
      <c r="O570" s="160">
        <f>InputData!$C$9</f>
        <v>0.06</v>
      </c>
      <c r="P570" s="160">
        <f>InputData!$C$10</f>
        <v>0.02</v>
      </c>
      <c r="Q570" s="160">
        <f>InputData!$C$11</f>
        <v>0.02</v>
      </c>
      <c r="R570" s="160">
        <f>InputData!$C$12</f>
        <v>0.02</v>
      </c>
      <c r="S570" s="160">
        <f>InputData!$C$13</f>
        <v>0.9</v>
      </c>
      <c r="T570" s="116">
        <f>InputData!$C$88</f>
        <v>180000</v>
      </c>
      <c r="U570" s="116">
        <f>InputData!$C$81</f>
        <v>178500</v>
      </c>
      <c r="V570" s="116">
        <f>InputData!$C$82</f>
        <v>303960</v>
      </c>
      <c r="W570" s="116">
        <f>InputData!$C$84</f>
        <v>215220</v>
      </c>
      <c r="X570" s="116">
        <f>InputData!$C$85</f>
        <v>409020</v>
      </c>
      <c r="Y570" s="116">
        <f>InputData!$C$116</f>
        <v>140000</v>
      </c>
      <c r="Z570" s="160">
        <f>InputData!$E$13</f>
        <v>0</v>
      </c>
    </row>
    <row r="571" spans="1:26" x14ac:dyDescent="0.25">
      <c r="A571">
        <f>InputData!$K$1</f>
        <v>2013</v>
      </c>
      <c r="B571" t="str">
        <f>InputData!$G$1</f>
        <v>San Antonio, TX</v>
      </c>
      <c r="C571" t="s">
        <v>177</v>
      </c>
      <c r="D571" t="str">
        <f>Graph_Ortho!$F$6</f>
        <v>EXT</v>
      </c>
      <c r="E571" t="str">
        <f t="shared" si="8"/>
        <v>Orthopedics EXT</v>
      </c>
      <c r="F571">
        <f>Graph_Ortho!$A36</f>
        <v>2042</v>
      </c>
      <c r="G571">
        <f>Graph_Ortho!$B36</f>
        <v>30</v>
      </c>
      <c r="H571" s="165">
        <f>Graph_Ortho!$F36</f>
        <v>3437998.3100665477</v>
      </c>
      <c r="I571" s="160">
        <f>InputData!$C$3</f>
        <v>0.02</v>
      </c>
      <c r="J571" s="160">
        <f>InputData!$C$4</f>
        <v>0.01</v>
      </c>
      <c r="K571" s="160">
        <f>InputData!$C$5</f>
        <v>0.01</v>
      </c>
      <c r="L571" s="160">
        <f>InputData!$C$6</f>
        <v>6.2100000000000002E-2</v>
      </c>
      <c r="M571" s="160">
        <f>InputData!$C$7</f>
        <v>0.03</v>
      </c>
      <c r="N571" s="160">
        <f>InputData!$C$8</f>
        <v>0.02</v>
      </c>
      <c r="O571" s="160">
        <f>InputData!$C$9</f>
        <v>0.06</v>
      </c>
      <c r="P571" s="160">
        <f>InputData!$C$10</f>
        <v>0.02</v>
      </c>
      <c r="Q571" s="160">
        <f>InputData!$C$11</f>
        <v>0.02</v>
      </c>
      <c r="R571" s="160">
        <f>InputData!$C$12</f>
        <v>0.02</v>
      </c>
      <c r="S571" s="160">
        <f>InputData!$C$13</f>
        <v>0.9</v>
      </c>
      <c r="T571" s="116">
        <f>InputData!$C$88</f>
        <v>180000</v>
      </c>
      <c r="U571" s="116">
        <f>InputData!$C$81</f>
        <v>178500</v>
      </c>
      <c r="V571" s="116">
        <f>InputData!$C$82</f>
        <v>303960</v>
      </c>
      <c r="W571" s="116">
        <f>InputData!$C$84</f>
        <v>215220</v>
      </c>
      <c r="X571" s="116">
        <f>InputData!$C$85</f>
        <v>409020</v>
      </c>
      <c r="Y571" s="116">
        <f>InputData!$C$116</f>
        <v>140000</v>
      </c>
      <c r="Z571" s="160">
        <f>InputData!$E$13</f>
        <v>0</v>
      </c>
    </row>
    <row r="572" spans="1:26" x14ac:dyDescent="0.25">
      <c r="A572">
        <f>InputData!$K$1</f>
        <v>2013</v>
      </c>
      <c r="B572" t="str">
        <f>InputData!$G$1</f>
        <v>San Antonio, TX</v>
      </c>
      <c r="C572" t="s">
        <v>177</v>
      </c>
      <c r="D572" t="str">
        <f>Graph_Ortho!$G$6</f>
        <v>IBR</v>
      </c>
      <c r="E572" t="str">
        <f t="shared" si="8"/>
        <v>Orthopedics IBR</v>
      </c>
      <c r="F572">
        <f>Graph_Ortho!$A7</f>
        <v>2013</v>
      </c>
      <c r="G572">
        <f>Graph_Ortho!$B7</f>
        <v>1</v>
      </c>
      <c r="H572" s="165">
        <f>Graph_Ortho!$G7</f>
        <v>-43015.05</v>
      </c>
      <c r="I572" s="160">
        <f>InputData!$C$3</f>
        <v>0.02</v>
      </c>
      <c r="J572" s="160">
        <f>InputData!$C$4</f>
        <v>0.01</v>
      </c>
      <c r="K572" s="160">
        <f>InputData!$C$5</f>
        <v>0.01</v>
      </c>
      <c r="L572" s="160">
        <f>InputData!$C$6</f>
        <v>6.2100000000000002E-2</v>
      </c>
      <c r="M572" s="160">
        <f>InputData!$C$7</f>
        <v>0.03</v>
      </c>
      <c r="N572" s="160">
        <f>InputData!$C$8</f>
        <v>0.02</v>
      </c>
      <c r="O572" s="160">
        <f>InputData!$C$9</f>
        <v>0.06</v>
      </c>
      <c r="P572" s="160">
        <f>InputData!$C$10</f>
        <v>0.02</v>
      </c>
      <c r="Q572" s="160">
        <f>InputData!$C$11</f>
        <v>0.02</v>
      </c>
      <c r="R572" s="160">
        <f>InputData!$C$12</f>
        <v>0.02</v>
      </c>
      <c r="S572" s="160">
        <f>InputData!$C$13</f>
        <v>0.9</v>
      </c>
      <c r="T572" s="116">
        <f>InputData!$C$88</f>
        <v>180000</v>
      </c>
      <c r="U572" s="116">
        <f>InputData!$C$81</f>
        <v>178500</v>
      </c>
      <c r="V572" s="116">
        <f>InputData!$C$82</f>
        <v>303960</v>
      </c>
      <c r="W572" s="116">
        <f>InputData!$C$84</f>
        <v>215220</v>
      </c>
      <c r="X572" s="116">
        <f>InputData!$C$85</f>
        <v>409020</v>
      </c>
      <c r="Y572" s="116">
        <f>InputData!$C$116</f>
        <v>140000</v>
      </c>
      <c r="Z572" s="160">
        <f>InputData!$E$13</f>
        <v>0</v>
      </c>
    </row>
    <row r="573" spans="1:26" x14ac:dyDescent="0.25">
      <c r="A573">
        <f>InputData!$K$1</f>
        <v>2013</v>
      </c>
      <c r="B573" t="str">
        <f>InputData!$G$1</f>
        <v>San Antonio, TX</v>
      </c>
      <c r="C573" t="s">
        <v>177</v>
      </c>
      <c r="D573" t="str">
        <f>Graph_Ortho!$G$6</f>
        <v>IBR</v>
      </c>
      <c r="E573" t="str">
        <f t="shared" si="8"/>
        <v>Orthopedics IBR</v>
      </c>
      <c r="F573">
        <f>Graph_Ortho!$A8</f>
        <v>2014</v>
      </c>
      <c r="G573">
        <f>Graph_Ortho!$B8</f>
        <v>2</v>
      </c>
      <c r="H573" s="165">
        <f>Graph_Ortho!$G8</f>
        <v>-86352.285865219877</v>
      </c>
      <c r="I573" s="160">
        <f>InputData!$C$3</f>
        <v>0.02</v>
      </c>
      <c r="J573" s="160">
        <f>InputData!$C$4</f>
        <v>0.01</v>
      </c>
      <c r="K573" s="160">
        <f>InputData!$C$5</f>
        <v>0.01</v>
      </c>
      <c r="L573" s="160">
        <f>InputData!$C$6</f>
        <v>6.2100000000000002E-2</v>
      </c>
      <c r="M573" s="160">
        <f>InputData!$C$7</f>
        <v>0.03</v>
      </c>
      <c r="N573" s="160">
        <f>InputData!$C$8</f>
        <v>0.02</v>
      </c>
      <c r="O573" s="160">
        <f>InputData!$C$9</f>
        <v>0.06</v>
      </c>
      <c r="P573" s="160">
        <f>InputData!$C$10</f>
        <v>0.02</v>
      </c>
      <c r="Q573" s="160">
        <f>InputData!$C$11</f>
        <v>0.02</v>
      </c>
      <c r="R573" s="160">
        <f>InputData!$C$12</f>
        <v>0.02</v>
      </c>
      <c r="S573" s="160">
        <f>InputData!$C$13</f>
        <v>0.9</v>
      </c>
      <c r="T573" s="116">
        <f>InputData!$C$88</f>
        <v>180000</v>
      </c>
      <c r="U573" s="116">
        <f>InputData!$C$81</f>
        <v>178500</v>
      </c>
      <c r="V573" s="116">
        <f>InputData!$C$82</f>
        <v>303960</v>
      </c>
      <c r="W573" s="116">
        <f>InputData!$C$84</f>
        <v>215220</v>
      </c>
      <c r="X573" s="116">
        <f>InputData!$C$85</f>
        <v>409020</v>
      </c>
      <c r="Y573" s="116">
        <f>InputData!$C$116</f>
        <v>140000</v>
      </c>
      <c r="Z573" s="160">
        <f>InputData!$E$13</f>
        <v>0</v>
      </c>
    </row>
    <row r="574" spans="1:26" x14ac:dyDescent="0.25">
      <c r="A574">
        <f>InputData!$K$1</f>
        <v>2013</v>
      </c>
      <c r="B574" t="str">
        <f>InputData!$G$1</f>
        <v>San Antonio, TX</v>
      </c>
      <c r="C574" t="s">
        <v>177</v>
      </c>
      <c r="D574" t="str">
        <f>Graph_Ortho!$G$6</f>
        <v>IBR</v>
      </c>
      <c r="E574" t="str">
        <f t="shared" si="8"/>
        <v>Orthopedics IBR</v>
      </c>
      <c r="F574">
        <f>Graph_Ortho!$A9</f>
        <v>2015</v>
      </c>
      <c r="G574">
        <f>Graph_Ortho!$B9</f>
        <v>3</v>
      </c>
      <c r="H574" s="165">
        <f>Graph_Ortho!$G9</f>
        <v>-138541.19578403595</v>
      </c>
      <c r="I574" s="160">
        <f>InputData!$C$3</f>
        <v>0.02</v>
      </c>
      <c r="J574" s="160">
        <f>InputData!$C$4</f>
        <v>0.01</v>
      </c>
      <c r="K574" s="160">
        <f>InputData!$C$5</f>
        <v>0.01</v>
      </c>
      <c r="L574" s="160">
        <f>InputData!$C$6</f>
        <v>6.2100000000000002E-2</v>
      </c>
      <c r="M574" s="160">
        <f>InputData!$C$7</f>
        <v>0.03</v>
      </c>
      <c r="N574" s="160">
        <f>InputData!$C$8</f>
        <v>0.02</v>
      </c>
      <c r="O574" s="160">
        <f>InputData!$C$9</f>
        <v>0.06</v>
      </c>
      <c r="P574" s="160">
        <f>InputData!$C$10</f>
        <v>0.02</v>
      </c>
      <c r="Q574" s="160">
        <f>InputData!$C$11</f>
        <v>0.02</v>
      </c>
      <c r="R574" s="160">
        <f>InputData!$C$12</f>
        <v>0.02</v>
      </c>
      <c r="S574" s="160">
        <f>InputData!$C$13</f>
        <v>0.9</v>
      </c>
      <c r="T574" s="116">
        <f>InputData!$C$88</f>
        <v>180000</v>
      </c>
      <c r="U574" s="116">
        <f>InputData!$C$81</f>
        <v>178500</v>
      </c>
      <c r="V574" s="116">
        <f>InputData!$C$82</f>
        <v>303960</v>
      </c>
      <c r="W574" s="116">
        <f>InputData!$C$84</f>
        <v>215220</v>
      </c>
      <c r="X574" s="116">
        <f>InputData!$C$85</f>
        <v>409020</v>
      </c>
      <c r="Y574" s="116">
        <f>InputData!$C$116</f>
        <v>140000</v>
      </c>
      <c r="Z574" s="160">
        <f>InputData!$E$13</f>
        <v>0</v>
      </c>
    </row>
    <row r="575" spans="1:26" x14ac:dyDescent="0.25">
      <c r="A575">
        <f>InputData!$K$1</f>
        <v>2013</v>
      </c>
      <c r="B575" t="str">
        <f>InputData!$G$1</f>
        <v>San Antonio, TX</v>
      </c>
      <c r="C575" t="s">
        <v>177</v>
      </c>
      <c r="D575" t="str">
        <f>Graph_Ortho!$G$6</f>
        <v>IBR</v>
      </c>
      <c r="E575" t="str">
        <f t="shared" si="8"/>
        <v>Orthopedics IBR</v>
      </c>
      <c r="F575">
        <f>Graph_Ortho!$A10</f>
        <v>2016</v>
      </c>
      <c r="G575">
        <f>Graph_Ortho!$B10</f>
        <v>4</v>
      </c>
      <c r="H575" s="165">
        <f>Graph_Ortho!$G10</f>
        <v>-190867.38028908212</v>
      </c>
      <c r="I575" s="160">
        <f>InputData!$C$3</f>
        <v>0.02</v>
      </c>
      <c r="J575" s="160">
        <f>InputData!$C$4</f>
        <v>0.01</v>
      </c>
      <c r="K575" s="160">
        <f>InputData!$C$5</f>
        <v>0.01</v>
      </c>
      <c r="L575" s="160">
        <f>InputData!$C$6</f>
        <v>6.2100000000000002E-2</v>
      </c>
      <c r="M575" s="160">
        <f>InputData!$C$7</f>
        <v>0.03</v>
      </c>
      <c r="N575" s="160">
        <f>InputData!$C$8</f>
        <v>0.02</v>
      </c>
      <c r="O575" s="160">
        <f>InputData!$C$9</f>
        <v>0.06</v>
      </c>
      <c r="P575" s="160">
        <f>InputData!$C$10</f>
        <v>0.02</v>
      </c>
      <c r="Q575" s="160">
        <f>InputData!$C$11</f>
        <v>0.02</v>
      </c>
      <c r="R575" s="160">
        <f>InputData!$C$12</f>
        <v>0.02</v>
      </c>
      <c r="S575" s="160">
        <f>InputData!$C$13</f>
        <v>0.9</v>
      </c>
      <c r="T575" s="116">
        <f>InputData!$C$88</f>
        <v>180000</v>
      </c>
      <c r="U575" s="116">
        <f>InputData!$C$81</f>
        <v>178500</v>
      </c>
      <c r="V575" s="116">
        <f>InputData!$C$82</f>
        <v>303960</v>
      </c>
      <c r="W575" s="116">
        <f>InputData!$C$84</f>
        <v>215220</v>
      </c>
      <c r="X575" s="116">
        <f>InputData!$C$85</f>
        <v>409020</v>
      </c>
      <c r="Y575" s="116">
        <f>InputData!$C$116</f>
        <v>140000</v>
      </c>
      <c r="Z575" s="160">
        <f>InputData!$E$13</f>
        <v>0</v>
      </c>
    </row>
    <row r="576" spans="1:26" x14ac:dyDescent="0.25">
      <c r="A576">
        <f>InputData!$K$1</f>
        <v>2013</v>
      </c>
      <c r="B576" t="str">
        <f>InputData!$G$1</f>
        <v>San Antonio, TX</v>
      </c>
      <c r="C576" t="s">
        <v>177</v>
      </c>
      <c r="D576" t="str">
        <f>Graph_Ortho!$G$6</f>
        <v>IBR</v>
      </c>
      <c r="E576" t="str">
        <f t="shared" si="8"/>
        <v>Orthopedics IBR</v>
      </c>
      <c r="F576">
        <f>Graph_Ortho!$A11</f>
        <v>2017</v>
      </c>
      <c r="G576">
        <f>Graph_Ortho!$B11</f>
        <v>5</v>
      </c>
      <c r="H576" s="165">
        <f>Graph_Ortho!$G11</f>
        <v>-154981.05168717628</v>
      </c>
      <c r="I576" s="160">
        <f>InputData!$C$3</f>
        <v>0.02</v>
      </c>
      <c r="J576" s="160">
        <f>InputData!$C$4</f>
        <v>0.01</v>
      </c>
      <c r="K576" s="160">
        <f>InputData!$C$5</f>
        <v>0.01</v>
      </c>
      <c r="L576" s="160">
        <f>InputData!$C$6</f>
        <v>6.2100000000000002E-2</v>
      </c>
      <c r="M576" s="160">
        <f>InputData!$C$7</f>
        <v>0.03</v>
      </c>
      <c r="N576" s="160">
        <f>InputData!$C$8</f>
        <v>0.02</v>
      </c>
      <c r="O576" s="160">
        <f>InputData!$C$9</f>
        <v>0.06</v>
      </c>
      <c r="P576" s="160">
        <f>InputData!$C$10</f>
        <v>0.02</v>
      </c>
      <c r="Q576" s="160">
        <f>InputData!$C$11</f>
        <v>0.02</v>
      </c>
      <c r="R576" s="160">
        <f>InputData!$C$12</f>
        <v>0.02</v>
      </c>
      <c r="S576" s="160">
        <f>InputData!$C$13</f>
        <v>0.9</v>
      </c>
      <c r="T576" s="116">
        <f>InputData!$C$88</f>
        <v>180000</v>
      </c>
      <c r="U576" s="116">
        <f>InputData!$C$81</f>
        <v>178500</v>
      </c>
      <c r="V576" s="116">
        <f>InputData!$C$82</f>
        <v>303960</v>
      </c>
      <c r="W576" s="116">
        <f>InputData!$C$84</f>
        <v>215220</v>
      </c>
      <c r="X576" s="116">
        <f>InputData!$C$85</f>
        <v>409020</v>
      </c>
      <c r="Y576" s="116">
        <f>InputData!$C$116</f>
        <v>140000</v>
      </c>
      <c r="Z576" s="160">
        <f>InputData!$E$13</f>
        <v>0</v>
      </c>
    </row>
    <row r="577" spans="1:26" x14ac:dyDescent="0.25">
      <c r="A577">
        <f>InputData!$K$1</f>
        <v>2013</v>
      </c>
      <c r="B577" t="str">
        <f>InputData!$G$1</f>
        <v>San Antonio, TX</v>
      </c>
      <c r="C577" t="s">
        <v>177</v>
      </c>
      <c r="D577" t="str">
        <f>Graph_Ortho!$G$6</f>
        <v>IBR</v>
      </c>
      <c r="E577" t="str">
        <f t="shared" si="8"/>
        <v>Orthopedics IBR</v>
      </c>
      <c r="F577">
        <f>Graph_Ortho!$A12</f>
        <v>2018</v>
      </c>
      <c r="G577">
        <f>Graph_Ortho!$B12</f>
        <v>6</v>
      </c>
      <c r="H577" s="165">
        <f>Graph_Ortho!$G12</f>
        <v>-118995.92937851879</v>
      </c>
      <c r="I577" s="160">
        <f>InputData!$C$3</f>
        <v>0.02</v>
      </c>
      <c r="J577" s="160">
        <f>InputData!$C$4</f>
        <v>0.01</v>
      </c>
      <c r="K577" s="160">
        <f>InputData!$C$5</f>
        <v>0.01</v>
      </c>
      <c r="L577" s="160">
        <f>InputData!$C$6</f>
        <v>6.2100000000000002E-2</v>
      </c>
      <c r="M577" s="160">
        <f>InputData!$C$7</f>
        <v>0.03</v>
      </c>
      <c r="N577" s="160">
        <f>InputData!$C$8</f>
        <v>0.02</v>
      </c>
      <c r="O577" s="160">
        <f>InputData!$C$9</f>
        <v>0.06</v>
      </c>
      <c r="P577" s="160">
        <f>InputData!$C$10</f>
        <v>0.02</v>
      </c>
      <c r="Q577" s="160">
        <f>InputData!$C$11</f>
        <v>0.02</v>
      </c>
      <c r="R577" s="160">
        <f>InputData!$C$12</f>
        <v>0.02</v>
      </c>
      <c r="S577" s="160">
        <f>InputData!$C$13</f>
        <v>0.9</v>
      </c>
      <c r="T577" s="116">
        <f>InputData!$C$88</f>
        <v>180000</v>
      </c>
      <c r="U577" s="116">
        <f>InputData!$C$81</f>
        <v>178500</v>
      </c>
      <c r="V577" s="116">
        <f>InputData!$C$82</f>
        <v>303960</v>
      </c>
      <c r="W577" s="116">
        <f>InputData!$C$84</f>
        <v>215220</v>
      </c>
      <c r="X577" s="116">
        <f>InputData!$C$85</f>
        <v>409020</v>
      </c>
      <c r="Y577" s="116">
        <f>InputData!$C$116</f>
        <v>140000</v>
      </c>
      <c r="Z577" s="160">
        <f>InputData!$E$13</f>
        <v>0</v>
      </c>
    </row>
    <row r="578" spans="1:26" x14ac:dyDescent="0.25">
      <c r="A578">
        <f>InputData!$K$1</f>
        <v>2013</v>
      </c>
      <c r="B578" t="str">
        <f>InputData!$G$1</f>
        <v>San Antonio, TX</v>
      </c>
      <c r="C578" t="s">
        <v>177</v>
      </c>
      <c r="D578" t="str">
        <f>Graph_Ortho!$G$6</f>
        <v>IBR</v>
      </c>
      <c r="E578" t="str">
        <f t="shared" si="8"/>
        <v>Orthopedics IBR</v>
      </c>
      <c r="F578">
        <f>Graph_Ortho!$A13</f>
        <v>2019</v>
      </c>
      <c r="G578">
        <f>Graph_Ortho!$B13</f>
        <v>7</v>
      </c>
      <c r="H578" s="165">
        <f>Graph_Ortho!$G13</f>
        <v>-82904.654937055282</v>
      </c>
      <c r="I578" s="160">
        <f>InputData!$C$3</f>
        <v>0.02</v>
      </c>
      <c r="J578" s="160">
        <f>InputData!$C$4</f>
        <v>0.01</v>
      </c>
      <c r="K578" s="160">
        <f>InputData!$C$5</f>
        <v>0.01</v>
      </c>
      <c r="L578" s="160">
        <f>InputData!$C$6</f>
        <v>6.2100000000000002E-2</v>
      </c>
      <c r="M578" s="160">
        <f>InputData!$C$7</f>
        <v>0.03</v>
      </c>
      <c r="N578" s="160">
        <f>InputData!$C$8</f>
        <v>0.02</v>
      </c>
      <c r="O578" s="160">
        <f>InputData!$C$9</f>
        <v>0.06</v>
      </c>
      <c r="P578" s="160">
        <f>InputData!$C$10</f>
        <v>0.02</v>
      </c>
      <c r="Q578" s="160">
        <f>InputData!$C$11</f>
        <v>0.02</v>
      </c>
      <c r="R578" s="160">
        <f>InputData!$C$12</f>
        <v>0.02</v>
      </c>
      <c r="S578" s="160">
        <f>InputData!$C$13</f>
        <v>0.9</v>
      </c>
      <c r="T578" s="116">
        <f>InputData!$C$88</f>
        <v>180000</v>
      </c>
      <c r="U578" s="116">
        <f>InputData!$C$81</f>
        <v>178500</v>
      </c>
      <c r="V578" s="116">
        <f>InputData!$C$82</f>
        <v>303960</v>
      </c>
      <c r="W578" s="116">
        <f>InputData!$C$84</f>
        <v>215220</v>
      </c>
      <c r="X578" s="116">
        <f>InputData!$C$85</f>
        <v>409020</v>
      </c>
      <c r="Y578" s="116">
        <f>InputData!$C$116</f>
        <v>140000</v>
      </c>
      <c r="Z578" s="160">
        <f>InputData!$E$13</f>
        <v>0</v>
      </c>
    </row>
    <row r="579" spans="1:26" x14ac:dyDescent="0.25">
      <c r="A579">
        <f>InputData!$K$1</f>
        <v>2013</v>
      </c>
      <c r="B579" t="str">
        <f>InputData!$G$1</f>
        <v>San Antonio, TX</v>
      </c>
      <c r="C579" t="s">
        <v>177</v>
      </c>
      <c r="D579" t="str">
        <f>Graph_Ortho!$G$6</f>
        <v>IBR</v>
      </c>
      <c r="E579" t="str">
        <f t="shared" ref="E579:E642" si="9">C579 &amp; " " &amp; D579</f>
        <v>Orthopedics IBR</v>
      </c>
      <c r="F579">
        <f>Graph_Ortho!$A14</f>
        <v>2020</v>
      </c>
      <c r="G579">
        <f>Graph_Ortho!$B14</f>
        <v>8</v>
      </c>
      <c r="H579" s="165">
        <f>Graph_Ortho!$G14</f>
        <v>-46699.992676364229</v>
      </c>
      <c r="I579" s="160">
        <f>InputData!$C$3</f>
        <v>0.02</v>
      </c>
      <c r="J579" s="160">
        <f>InputData!$C$4</f>
        <v>0.01</v>
      </c>
      <c r="K579" s="160">
        <f>InputData!$C$5</f>
        <v>0.01</v>
      </c>
      <c r="L579" s="160">
        <f>InputData!$C$6</f>
        <v>6.2100000000000002E-2</v>
      </c>
      <c r="M579" s="160">
        <f>InputData!$C$7</f>
        <v>0.03</v>
      </c>
      <c r="N579" s="160">
        <f>InputData!$C$8</f>
        <v>0.02</v>
      </c>
      <c r="O579" s="160">
        <f>InputData!$C$9</f>
        <v>0.06</v>
      </c>
      <c r="P579" s="160">
        <f>InputData!$C$10</f>
        <v>0.02</v>
      </c>
      <c r="Q579" s="160">
        <f>InputData!$C$11</f>
        <v>0.02</v>
      </c>
      <c r="R579" s="160">
        <f>InputData!$C$12</f>
        <v>0.02</v>
      </c>
      <c r="S579" s="160">
        <f>InputData!$C$13</f>
        <v>0.9</v>
      </c>
      <c r="T579" s="116">
        <f>InputData!$C$88</f>
        <v>180000</v>
      </c>
      <c r="U579" s="116">
        <f>InputData!$C$81</f>
        <v>178500</v>
      </c>
      <c r="V579" s="116">
        <f>InputData!$C$82</f>
        <v>303960</v>
      </c>
      <c r="W579" s="116">
        <f>InputData!$C$84</f>
        <v>215220</v>
      </c>
      <c r="X579" s="116">
        <f>InputData!$C$85</f>
        <v>409020</v>
      </c>
      <c r="Y579" s="116">
        <f>InputData!$C$116</f>
        <v>140000</v>
      </c>
      <c r="Z579" s="160">
        <f>InputData!$E$13</f>
        <v>0</v>
      </c>
    </row>
    <row r="580" spans="1:26" x14ac:dyDescent="0.25">
      <c r="A580">
        <f>InputData!$K$1</f>
        <v>2013</v>
      </c>
      <c r="B580" t="str">
        <f>InputData!$G$1</f>
        <v>San Antonio, TX</v>
      </c>
      <c r="C580" t="s">
        <v>177</v>
      </c>
      <c r="D580" t="str">
        <f>Graph_Ortho!$G$6</f>
        <v>IBR</v>
      </c>
      <c r="E580" t="str">
        <f t="shared" si="9"/>
        <v>Orthopedics IBR</v>
      </c>
      <c r="F580">
        <f>Graph_Ortho!$A15</f>
        <v>2021</v>
      </c>
      <c r="G580">
        <f>Graph_Ortho!$B15</f>
        <v>9</v>
      </c>
      <c r="H580" s="165">
        <f>Graph_Ortho!$G15</f>
        <v>-10374.82525529444</v>
      </c>
      <c r="I580" s="160">
        <f>InputData!$C$3</f>
        <v>0.02</v>
      </c>
      <c r="J580" s="160">
        <f>InputData!$C$4</f>
        <v>0.01</v>
      </c>
      <c r="K580" s="160">
        <f>InputData!$C$5</f>
        <v>0.01</v>
      </c>
      <c r="L580" s="160">
        <f>InputData!$C$6</f>
        <v>6.2100000000000002E-2</v>
      </c>
      <c r="M580" s="160">
        <f>InputData!$C$7</f>
        <v>0.03</v>
      </c>
      <c r="N580" s="160">
        <f>InputData!$C$8</f>
        <v>0.02</v>
      </c>
      <c r="O580" s="160">
        <f>InputData!$C$9</f>
        <v>0.06</v>
      </c>
      <c r="P580" s="160">
        <f>InputData!$C$10</f>
        <v>0.02</v>
      </c>
      <c r="Q580" s="160">
        <f>InputData!$C$11</f>
        <v>0.02</v>
      </c>
      <c r="R580" s="160">
        <f>InputData!$C$12</f>
        <v>0.02</v>
      </c>
      <c r="S580" s="160">
        <f>InputData!$C$13</f>
        <v>0.9</v>
      </c>
      <c r="T580" s="116">
        <f>InputData!$C$88</f>
        <v>180000</v>
      </c>
      <c r="U580" s="116">
        <f>InputData!$C$81</f>
        <v>178500</v>
      </c>
      <c r="V580" s="116">
        <f>InputData!$C$82</f>
        <v>303960</v>
      </c>
      <c r="W580" s="116">
        <f>InputData!$C$84</f>
        <v>215220</v>
      </c>
      <c r="X580" s="116">
        <f>InputData!$C$85</f>
        <v>409020</v>
      </c>
      <c r="Y580" s="116">
        <f>InputData!$C$116</f>
        <v>140000</v>
      </c>
      <c r="Z580" s="160">
        <f>InputData!$E$13</f>
        <v>0</v>
      </c>
    </row>
    <row r="581" spans="1:26" x14ac:dyDescent="0.25">
      <c r="A581">
        <f>InputData!$K$1</f>
        <v>2013</v>
      </c>
      <c r="B581" t="str">
        <f>InputData!$G$1</f>
        <v>San Antonio, TX</v>
      </c>
      <c r="C581" t="s">
        <v>177</v>
      </c>
      <c r="D581" t="str">
        <f>Graph_Ortho!$G$6</f>
        <v>IBR</v>
      </c>
      <c r="E581" t="str">
        <f t="shared" si="9"/>
        <v>Orthopedics IBR</v>
      </c>
      <c r="F581">
        <f>Graph_Ortho!$A16</f>
        <v>2022</v>
      </c>
      <c r="G581">
        <f>Graph_Ortho!$B16</f>
        <v>10</v>
      </c>
      <c r="H581" s="165" t="e">
        <f>Graph_Ortho!$G16</f>
        <v>#VALUE!</v>
      </c>
      <c r="I581" s="160">
        <f>InputData!$C$3</f>
        <v>0.02</v>
      </c>
      <c r="J581" s="160">
        <f>InputData!$C$4</f>
        <v>0.01</v>
      </c>
      <c r="K581" s="160">
        <f>InputData!$C$5</f>
        <v>0.01</v>
      </c>
      <c r="L581" s="160">
        <f>InputData!$C$6</f>
        <v>6.2100000000000002E-2</v>
      </c>
      <c r="M581" s="160">
        <f>InputData!$C$7</f>
        <v>0.03</v>
      </c>
      <c r="N581" s="160">
        <f>InputData!$C$8</f>
        <v>0.02</v>
      </c>
      <c r="O581" s="160">
        <f>InputData!$C$9</f>
        <v>0.06</v>
      </c>
      <c r="P581" s="160">
        <f>InputData!$C$10</f>
        <v>0.02</v>
      </c>
      <c r="Q581" s="160">
        <f>InputData!$C$11</f>
        <v>0.02</v>
      </c>
      <c r="R581" s="160">
        <f>InputData!$C$12</f>
        <v>0.02</v>
      </c>
      <c r="S581" s="160">
        <f>InputData!$C$13</f>
        <v>0.9</v>
      </c>
      <c r="T581" s="116">
        <f>InputData!$C$88</f>
        <v>180000</v>
      </c>
      <c r="U581" s="116">
        <f>InputData!$C$81</f>
        <v>178500</v>
      </c>
      <c r="V581" s="116">
        <f>InputData!$C$82</f>
        <v>303960</v>
      </c>
      <c r="W581" s="116">
        <f>InputData!$C$84</f>
        <v>215220</v>
      </c>
      <c r="X581" s="116">
        <f>InputData!$C$85</f>
        <v>409020</v>
      </c>
      <c r="Y581" s="116">
        <f>InputData!$C$116</f>
        <v>140000</v>
      </c>
      <c r="Z581" s="160">
        <f>InputData!$E$13</f>
        <v>0</v>
      </c>
    </row>
    <row r="582" spans="1:26" x14ac:dyDescent="0.25">
      <c r="A582">
        <f>InputData!$K$1</f>
        <v>2013</v>
      </c>
      <c r="B582" t="str">
        <f>InputData!$G$1</f>
        <v>San Antonio, TX</v>
      </c>
      <c r="C582" t="s">
        <v>177</v>
      </c>
      <c r="D582" t="str">
        <f>Graph_Ortho!$G$6</f>
        <v>IBR</v>
      </c>
      <c r="E582" t="str">
        <f t="shared" si="9"/>
        <v>Orthopedics IBR</v>
      </c>
      <c r="F582">
        <f>Graph_Ortho!$A17</f>
        <v>2023</v>
      </c>
      <c r="G582">
        <f>Graph_Ortho!$B17</f>
        <v>11</v>
      </c>
      <c r="H582" s="165" t="e">
        <f>Graph_Ortho!$G17</f>
        <v>#VALUE!</v>
      </c>
      <c r="I582" s="160">
        <f>InputData!$C$3</f>
        <v>0.02</v>
      </c>
      <c r="J582" s="160">
        <f>InputData!$C$4</f>
        <v>0.01</v>
      </c>
      <c r="K582" s="160">
        <f>InputData!$C$5</f>
        <v>0.01</v>
      </c>
      <c r="L582" s="160">
        <f>InputData!$C$6</f>
        <v>6.2100000000000002E-2</v>
      </c>
      <c r="M582" s="160">
        <f>InputData!$C$7</f>
        <v>0.03</v>
      </c>
      <c r="N582" s="160">
        <f>InputData!$C$8</f>
        <v>0.02</v>
      </c>
      <c r="O582" s="160">
        <f>InputData!$C$9</f>
        <v>0.06</v>
      </c>
      <c r="P582" s="160">
        <f>InputData!$C$10</f>
        <v>0.02</v>
      </c>
      <c r="Q582" s="160">
        <f>InputData!$C$11</f>
        <v>0.02</v>
      </c>
      <c r="R582" s="160">
        <f>InputData!$C$12</f>
        <v>0.02</v>
      </c>
      <c r="S582" s="160">
        <f>InputData!$C$13</f>
        <v>0.9</v>
      </c>
      <c r="T582" s="116">
        <f>InputData!$C$88</f>
        <v>180000</v>
      </c>
      <c r="U582" s="116">
        <f>InputData!$C$81</f>
        <v>178500</v>
      </c>
      <c r="V582" s="116">
        <f>InputData!$C$82</f>
        <v>303960</v>
      </c>
      <c r="W582" s="116">
        <f>InputData!$C$84</f>
        <v>215220</v>
      </c>
      <c r="X582" s="116">
        <f>InputData!$C$85</f>
        <v>409020</v>
      </c>
      <c r="Y582" s="116">
        <f>InputData!$C$116</f>
        <v>140000</v>
      </c>
      <c r="Z582" s="160">
        <f>InputData!$E$13</f>
        <v>0</v>
      </c>
    </row>
    <row r="583" spans="1:26" x14ac:dyDescent="0.25">
      <c r="A583">
        <f>InputData!$K$1</f>
        <v>2013</v>
      </c>
      <c r="B583" t="str">
        <f>InputData!$G$1</f>
        <v>San Antonio, TX</v>
      </c>
      <c r="C583" t="s">
        <v>177</v>
      </c>
      <c r="D583" t="str">
        <f>Graph_Ortho!$G$6</f>
        <v>IBR</v>
      </c>
      <c r="E583" t="str">
        <f t="shared" si="9"/>
        <v>Orthopedics IBR</v>
      </c>
      <c r="F583">
        <f>Graph_Ortho!$A18</f>
        <v>2024</v>
      </c>
      <c r="G583">
        <f>Graph_Ortho!$B18</f>
        <v>12</v>
      </c>
      <c r="H583" s="165" t="e">
        <f>Graph_Ortho!$G18</f>
        <v>#VALUE!</v>
      </c>
      <c r="I583" s="160">
        <f>InputData!$C$3</f>
        <v>0.02</v>
      </c>
      <c r="J583" s="160">
        <f>InputData!$C$4</f>
        <v>0.01</v>
      </c>
      <c r="K583" s="160">
        <f>InputData!$C$5</f>
        <v>0.01</v>
      </c>
      <c r="L583" s="160">
        <f>InputData!$C$6</f>
        <v>6.2100000000000002E-2</v>
      </c>
      <c r="M583" s="160">
        <f>InputData!$C$7</f>
        <v>0.03</v>
      </c>
      <c r="N583" s="160">
        <f>InputData!$C$8</f>
        <v>0.02</v>
      </c>
      <c r="O583" s="160">
        <f>InputData!$C$9</f>
        <v>0.06</v>
      </c>
      <c r="P583" s="160">
        <f>InputData!$C$10</f>
        <v>0.02</v>
      </c>
      <c r="Q583" s="160">
        <f>InputData!$C$11</f>
        <v>0.02</v>
      </c>
      <c r="R583" s="160">
        <f>InputData!$C$12</f>
        <v>0.02</v>
      </c>
      <c r="S583" s="160">
        <f>InputData!$C$13</f>
        <v>0.9</v>
      </c>
      <c r="T583" s="116">
        <f>InputData!$C$88</f>
        <v>180000</v>
      </c>
      <c r="U583" s="116">
        <f>InputData!$C$81</f>
        <v>178500</v>
      </c>
      <c r="V583" s="116">
        <f>InputData!$C$82</f>
        <v>303960</v>
      </c>
      <c r="W583" s="116">
        <f>InputData!$C$84</f>
        <v>215220</v>
      </c>
      <c r="X583" s="116">
        <f>InputData!$C$85</f>
        <v>409020</v>
      </c>
      <c r="Y583" s="116">
        <f>InputData!$C$116</f>
        <v>140000</v>
      </c>
      <c r="Z583" s="160">
        <f>InputData!$E$13</f>
        <v>0</v>
      </c>
    </row>
    <row r="584" spans="1:26" x14ac:dyDescent="0.25">
      <c r="A584">
        <f>InputData!$K$1</f>
        <v>2013</v>
      </c>
      <c r="B584" t="str">
        <f>InputData!$G$1</f>
        <v>San Antonio, TX</v>
      </c>
      <c r="C584" t="s">
        <v>177</v>
      </c>
      <c r="D584" t="str">
        <f>Graph_Ortho!$G$6</f>
        <v>IBR</v>
      </c>
      <c r="E584" t="str">
        <f t="shared" si="9"/>
        <v>Orthopedics IBR</v>
      </c>
      <c r="F584">
        <f>Graph_Ortho!$A19</f>
        <v>2025</v>
      </c>
      <c r="G584">
        <f>Graph_Ortho!$B19</f>
        <v>13</v>
      </c>
      <c r="H584" s="165" t="e">
        <f>Graph_Ortho!$G19</f>
        <v>#VALUE!</v>
      </c>
      <c r="I584" s="160">
        <f>InputData!$C$3</f>
        <v>0.02</v>
      </c>
      <c r="J584" s="160">
        <f>InputData!$C$4</f>
        <v>0.01</v>
      </c>
      <c r="K584" s="160">
        <f>InputData!$C$5</f>
        <v>0.01</v>
      </c>
      <c r="L584" s="160">
        <f>InputData!$C$6</f>
        <v>6.2100000000000002E-2</v>
      </c>
      <c r="M584" s="160">
        <f>InputData!$C$7</f>
        <v>0.03</v>
      </c>
      <c r="N584" s="160">
        <f>InputData!$C$8</f>
        <v>0.02</v>
      </c>
      <c r="O584" s="160">
        <f>InputData!$C$9</f>
        <v>0.06</v>
      </c>
      <c r="P584" s="160">
        <f>InputData!$C$10</f>
        <v>0.02</v>
      </c>
      <c r="Q584" s="160">
        <f>InputData!$C$11</f>
        <v>0.02</v>
      </c>
      <c r="R584" s="160">
        <f>InputData!$C$12</f>
        <v>0.02</v>
      </c>
      <c r="S584" s="160">
        <f>InputData!$C$13</f>
        <v>0.9</v>
      </c>
      <c r="T584" s="116">
        <f>InputData!$C$88</f>
        <v>180000</v>
      </c>
      <c r="U584" s="116">
        <f>InputData!$C$81</f>
        <v>178500</v>
      </c>
      <c r="V584" s="116">
        <f>InputData!$C$82</f>
        <v>303960</v>
      </c>
      <c r="W584" s="116">
        <f>InputData!$C$84</f>
        <v>215220</v>
      </c>
      <c r="X584" s="116">
        <f>InputData!$C$85</f>
        <v>409020</v>
      </c>
      <c r="Y584" s="116">
        <f>InputData!$C$116</f>
        <v>140000</v>
      </c>
      <c r="Z584" s="160">
        <f>InputData!$E$13</f>
        <v>0</v>
      </c>
    </row>
    <row r="585" spans="1:26" x14ac:dyDescent="0.25">
      <c r="A585">
        <f>InputData!$K$1</f>
        <v>2013</v>
      </c>
      <c r="B585" t="str">
        <f>InputData!$G$1</f>
        <v>San Antonio, TX</v>
      </c>
      <c r="C585" t="s">
        <v>177</v>
      </c>
      <c r="D585" t="str">
        <f>Graph_Ortho!$G$6</f>
        <v>IBR</v>
      </c>
      <c r="E585" t="str">
        <f t="shared" si="9"/>
        <v>Orthopedics IBR</v>
      </c>
      <c r="F585">
        <f>Graph_Ortho!$A20</f>
        <v>2026</v>
      </c>
      <c r="G585">
        <f>Graph_Ortho!$B20</f>
        <v>14</v>
      </c>
      <c r="H585" s="165" t="e">
        <f>Graph_Ortho!$G20</f>
        <v>#VALUE!</v>
      </c>
      <c r="I585" s="160">
        <f>InputData!$C$3</f>
        <v>0.02</v>
      </c>
      <c r="J585" s="160">
        <f>InputData!$C$4</f>
        <v>0.01</v>
      </c>
      <c r="K585" s="160">
        <f>InputData!$C$5</f>
        <v>0.01</v>
      </c>
      <c r="L585" s="160">
        <f>InputData!$C$6</f>
        <v>6.2100000000000002E-2</v>
      </c>
      <c r="M585" s="160">
        <f>InputData!$C$7</f>
        <v>0.03</v>
      </c>
      <c r="N585" s="160">
        <f>InputData!$C$8</f>
        <v>0.02</v>
      </c>
      <c r="O585" s="160">
        <f>InputData!$C$9</f>
        <v>0.06</v>
      </c>
      <c r="P585" s="160">
        <f>InputData!$C$10</f>
        <v>0.02</v>
      </c>
      <c r="Q585" s="160">
        <f>InputData!$C$11</f>
        <v>0.02</v>
      </c>
      <c r="R585" s="160">
        <f>InputData!$C$12</f>
        <v>0.02</v>
      </c>
      <c r="S585" s="160">
        <f>InputData!$C$13</f>
        <v>0.9</v>
      </c>
      <c r="T585" s="116">
        <f>InputData!$C$88</f>
        <v>180000</v>
      </c>
      <c r="U585" s="116">
        <f>InputData!$C$81</f>
        <v>178500</v>
      </c>
      <c r="V585" s="116">
        <f>InputData!$C$82</f>
        <v>303960</v>
      </c>
      <c r="W585" s="116">
        <f>InputData!$C$84</f>
        <v>215220</v>
      </c>
      <c r="X585" s="116">
        <f>InputData!$C$85</f>
        <v>409020</v>
      </c>
      <c r="Y585" s="116">
        <f>InputData!$C$116</f>
        <v>140000</v>
      </c>
      <c r="Z585" s="160">
        <f>InputData!$E$13</f>
        <v>0</v>
      </c>
    </row>
    <row r="586" spans="1:26" x14ac:dyDescent="0.25">
      <c r="A586">
        <f>InputData!$K$1</f>
        <v>2013</v>
      </c>
      <c r="B586" t="str">
        <f>InputData!$G$1</f>
        <v>San Antonio, TX</v>
      </c>
      <c r="C586" t="s">
        <v>177</v>
      </c>
      <c r="D586" t="str">
        <f>Graph_Ortho!$G$6</f>
        <v>IBR</v>
      </c>
      <c r="E586" t="str">
        <f t="shared" si="9"/>
        <v>Orthopedics IBR</v>
      </c>
      <c r="F586">
        <f>Graph_Ortho!$A21</f>
        <v>2027</v>
      </c>
      <c r="G586">
        <f>Graph_Ortho!$B21</f>
        <v>15</v>
      </c>
      <c r="H586" s="165" t="e">
        <f>Graph_Ortho!$G21</f>
        <v>#VALUE!</v>
      </c>
      <c r="I586" s="160">
        <f>InputData!$C$3</f>
        <v>0.02</v>
      </c>
      <c r="J586" s="160">
        <f>InputData!$C$4</f>
        <v>0.01</v>
      </c>
      <c r="K586" s="160">
        <f>InputData!$C$5</f>
        <v>0.01</v>
      </c>
      <c r="L586" s="160">
        <f>InputData!$C$6</f>
        <v>6.2100000000000002E-2</v>
      </c>
      <c r="M586" s="160">
        <f>InputData!$C$7</f>
        <v>0.03</v>
      </c>
      <c r="N586" s="160">
        <f>InputData!$C$8</f>
        <v>0.02</v>
      </c>
      <c r="O586" s="160">
        <f>InputData!$C$9</f>
        <v>0.06</v>
      </c>
      <c r="P586" s="160">
        <f>InputData!$C$10</f>
        <v>0.02</v>
      </c>
      <c r="Q586" s="160">
        <f>InputData!$C$11</f>
        <v>0.02</v>
      </c>
      <c r="R586" s="160">
        <f>InputData!$C$12</f>
        <v>0.02</v>
      </c>
      <c r="S586" s="160">
        <f>InputData!$C$13</f>
        <v>0.9</v>
      </c>
      <c r="T586" s="116">
        <f>InputData!$C$88</f>
        <v>180000</v>
      </c>
      <c r="U586" s="116">
        <f>InputData!$C$81</f>
        <v>178500</v>
      </c>
      <c r="V586" s="116">
        <f>InputData!$C$82</f>
        <v>303960</v>
      </c>
      <c r="W586" s="116">
        <f>InputData!$C$84</f>
        <v>215220</v>
      </c>
      <c r="X586" s="116">
        <f>InputData!$C$85</f>
        <v>409020</v>
      </c>
      <c r="Y586" s="116">
        <f>InputData!$C$116</f>
        <v>140000</v>
      </c>
      <c r="Z586" s="160">
        <f>InputData!$E$13</f>
        <v>0</v>
      </c>
    </row>
    <row r="587" spans="1:26" x14ac:dyDescent="0.25">
      <c r="A587">
        <f>InputData!$K$1</f>
        <v>2013</v>
      </c>
      <c r="B587" t="str">
        <f>InputData!$G$1</f>
        <v>San Antonio, TX</v>
      </c>
      <c r="C587" t="s">
        <v>177</v>
      </c>
      <c r="D587" t="str">
        <f>Graph_Ortho!$G$6</f>
        <v>IBR</v>
      </c>
      <c r="E587" t="str">
        <f t="shared" si="9"/>
        <v>Orthopedics IBR</v>
      </c>
      <c r="F587">
        <f>Graph_Ortho!$A22</f>
        <v>2028</v>
      </c>
      <c r="G587">
        <f>Graph_Ortho!$B22</f>
        <v>16</v>
      </c>
      <c r="H587" s="165" t="e">
        <f>Graph_Ortho!$G22</f>
        <v>#VALUE!</v>
      </c>
      <c r="I587" s="160">
        <f>InputData!$C$3</f>
        <v>0.02</v>
      </c>
      <c r="J587" s="160">
        <f>InputData!$C$4</f>
        <v>0.01</v>
      </c>
      <c r="K587" s="160">
        <f>InputData!$C$5</f>
        <v>0.01</v>
      </c>
      <c r="L587" s="160">
        <f>InputData!$C$6</f>
        <v>6.2100000000000002E-2</v>
      </c>
      <c r="M587" s="160">
        <f>InputData!$C$7</f>
        <v>0.03</v>
      </c>
      <c r="N587" s="160">
        <f>InputData!$C$8</f>
        <v>0.02</v>
      </c>
      <c r="O587" s="160">
        <f>InputData!$C$9</f>
        <v>0.06</v>
      </c>
      <c r="P587" s="160">
        <f>InputData!$C$10</f>
        <v>0.02</v>
      </c>
      <c r="Q587" s="160">
        <f>InputData!$C$11</f>
        <v>0.02</v>
      </c>
      <c r="R587" s="160">
        <f>InputData!$C$12</f>
        <v>0.02</v>
      </c>
      <c r="S587" s="160">
        <f>InputData!$C$13</f>
        <v>0.9</v>
      </c>
      <c r="T587" s="116">
        <f>InputData!$C$88</f>
        <v>180000</v>
      </c>
      <c r="U587" s="116">
        <f>InputData!$C$81</f>
        <v>178500</v>
      </c>
      <c r="V587" s="116">
        <f>InputData!$C$82</f>
        <v>303960</v>
      </c>
      <c r="W587" s="116">
        <f>InputData!$C$84</f>
        <v>215220</v>
      </c>
      <c r="X587" s="116">
        <f>InputData!$C$85</f>
        <v>409020</v>
      </c>
      <c r="Y587" s="116">
        <f>InputData!$C$116</f>
        <v>140000</v>
      </c>
      <c r="Z587" s="160">
        <f>InputData!$E$13</f>
        <v>0</v>
      </c>
    </row>
    <row r="588" spans="1:26" x14ac:dyDescent="0.25">
      <c r="A588">
        <f>InputData!$K$1</f>
        <v>2013</v>
      </c>
      <c r="B588" t="str">
        <f>InputData!$G$1</f>
        <v>San Antonio, TX</v>
      </c>
      <c r="C588" t="s">
        <v>177</v>
      </c>
      <c r="D588" t="str">
        <f>Graph_Ortho!$G$6</f>
        <v>IBR</v>
      </c>
      <c r="E588" t="str">
        <f t="shared" si="9"/>
        <v>Orthopedics IBR</v>
      </c>
      <c r="F588">
        <f>Graph_Ortho!$A23</f>
        <v>2029</v>
      </c>
      <c r="G588">
        <f>Graph_Ortho!$B23</f>
        <v>17</v>
      </c>
      <c r="H588" s="165" t="e">
        <f>Graph_Ortho!$G23</f>
        <v>#VALUE!</v>
      </c>
      <c r="I588" s="160">
        <f>InputData!$C$3</f>
        <v>0.02</v>
      </c>
      <c r="J588" s="160">
        <f>InputData!$C$4</f>
        <v>0.01</v>
      </c>
      <c r="K588" s="160">
        <f>InputData!$C$5</f>
        <v>0.01</v>
      </c>
      <c r="L588" s="160">
        <f>InputData!$C$6</f>
        <v>6.2100000000000002E-2</v>
      </c>
      <c r="M588" s="160">
        <f>InputData!$C$7</f>
        <v>0.03</v>
      </c>
      <c r="N588" s="160">
        <f>InputData!$C$8</f>
        <v>0.02</v>
      </c>
      <c r="O588" s="160">
        <f>InputData!$C$9</f>
        <v>0.06</v>
      </c>
      <c r="P588" s="160">
        <f>InputData!$C$10</f>
        <v>0.02</v>
      </c>
      <c r="Q588" s="160">
        <f>InputData!$C$11</f>
        <v>0.02</v>
      </c>
      <c r="R588" s="160">
        <f>InputData!$C$12</f>
        <v>0.02</v>
      </c>
      <c r="S588" s="160">
        <f>InputData!$C$13</f>
        <v>0.9</v>
      </c>
      <c r="T588" s="116">
        <f>InputData!$C$88</f>
        <v>180000</v>
      </c>
      <c r="U588" s="116">
        <f>InputData!$C$81</f>
        <v>178500</v>
      </c>
      <c r="V588" s="116">
        <f>InputData!$C$82</f>
        <v>303960</v>
      </c>
      <c r="W588" s="116">
        <f>InputData!$C$84</f>
        <v>215220</v>
      </c>
      <c r="X588" s="116">
        <f>InputData!$C$85</f>
        <v>409020</v>
      </c>
      <c r="Y588" s="116">
        <f>InputData!$C$116</f>
        <v>140000</v>
      </c>
      <c r="Z588" s="160">
        <f>InputData!$E$13</f>
        <v>0</v>
      </c>
    </row>
    <row r="589" spans="1:26" x14ac:dyDescent="0.25">
      <c r="A589">
        <f>InputData!$K$1</f>
        <v>2013</v>
      </c>
      <c r="B589" t="str">
        <f>InputData!$G$1</f>
        <v>San Antonio, TX</v>
      </c>
      <c r="C589" t="s">
        <v>177</v>
      </c>
      <c r="D589" t="str">
        <f>Graph_Ortho!$G$6</f>
        <v>IBR</v>
      </c>
      <c r="E589" t="str">
        <f t="shared" si="9"/>
        <v>Orthopedics IBR</v>
      </c>
      <c r="F589">
        <f>Graph_Ortho!$A24</f>
        <v>2030</v>
      </c>
      <c r="G589">
        <f>Graph_Ortho!$B24</f>
        <v>18</v>
      </c>
      <c r="H589" s="165" t="e">
        <f>Graph_Ortho!$G24</f>
        <v>#VALUE!</v>
      </c>
      <c r="I589" s="160">
        <f>InputData!$C$3</f>
        <v>0.02</v>
      </c>
      <c r="J589" s="160">
        <f>InputData!$C$4</f>
        <v>0.01</v>
      </c>
      <c r="K589" s="160">
        <f>InputData!$C$5</f>
        <v>0.01</v>
      </c>
      <c r="L589" s="160">
        <f>InputData!$C$6</f>
        <v>6.2100000000000002E-2</v>
      </c>
      <c r="M589" s="160">
        <f>InputData!$C$7</f>
        <v>0.03</v>
      </c>
      <c r="N589" s="160">
        <f>InputData!$C$8</f>
        <v>0.02</v>
      </c>
      <c r="O589" s="160">
        <f>InputData!$C$9</f>
        <v>0.06</v>
      </c>
      <c r="P589" s="160">
        <f>InputData!$C$10</f>
        <v>0.02</v>
      </c>
      <c r="Q589" s="160">
        <f>InputData!$C$11</f>
        <v>0.02</v>
      </c>
      <c r="R589" s="160">
        <f>InputData!$C$12</f>
        <v>0.02</v>
      </c>
      <c r="S589" s="160">
        <f>InputData!$C$13</f>
        <v>0.9</v>
      </c>
      <c r="T589" s="116">
        <f>InputData!$C$88</f>
        <v>180000</v>
      </c>
      <c r="U589" s="116">
        <f>InputData!$C$81</f>
        <v>178500</v>
      </c>
      <c r="V589" s="116">
        <f>InputData!$C$82</f>
        <v>303960</v>
      </c>
      <c r="W589" s="116">
        <f>InputData!$C$84</f>
        <v>215220</v>
      </c>
      <c r="X589" s="116">
        <f>InputData!$C$85</f>
        <v>409020</v>
      </c>
      <c r="Y589" s="116">
        <f>InputData!$C$116</f>
        <v>140000</v>
      </c>
      <c r="Z589" s="160">
        <f>InputData!$E$13</f>
        <v>0</v>
      </c>
    </row>
    <row r="590" spans="1:26" x14ac:dyDescent="0.25">
      <c r="A590">
        <f>InputData!$K$1</f>
        <v>2013</v>
      </c>
      <c r="B590" t="str">
        <f>InputData!$G$1</f>
        <v>San Antonio, TX</v>
      </c>
      <c r="C590" t="s">
        <v>177</v>
      </c>
      <c r="D590" t="str">
        <f>Graph_Ortho!$G$6</f>
        <v>IBR</v>
      </c>
      <c r="E590" t="str">
        <f t="shared" si="9"/>
        <v>Orthopedics IBR</v>
      </c>
      <c r="F590">
        <f>Graph_Ortho!$A25</f>
        <v>2031</v>
      </c>
      <c r="G590">
        <f>Graph_Ortho!$B25</f>
        <v>19</v>
      </c>
      <c r="H590" s="165" t="e">
        <f>Graph_Ortho!$G25</f>
        <v>#VALUE!</v>
      </c>
      <c r="I590" s="160">
        <f>InputData!$C$3</f>
        <v>0.02</v>
      </c>
      <c r="J590" s="160">
        <f>InputData!$C$4</f>
        <v>0.01</v>
      </c>
      <c r="K590" s="160">
        <f>InputData!$C$5</f>
        <v>0.01</v>
      </c>
      <c r="L590" s="160">
        <f>InputData!$C$6</f>
        <v>6.2100000000000002E-2</v>
      </c>
      <c r="M590" s="160">
        <f>InputData!$C$7</f>
        <v>0.03</v>
      </c>
      <c r="N590" s="160">
        <f>InputData!$C$8</f>
        <v>0.02</v>
      </c>
      <c r="O590" s="160">
        <f>InputData!$C$9</f>
        <v>0.06</v>
      </c>
      <c r="P590" s="160">
        <f>InputData!$C$10</f>
        <v>0.02</v>
      </c>
      <c r="Q590" s="160">
        <f>InputData!$C$11</f>
        <v>0.02</v>
      </c>
      <c r="R590" s="160">
        <f>InputData!$C$12</f>
        <v>0.02</v>
      </c>
      <c r="S590" s="160">
        <f>InputData!$C$13</f>
        <v>0.9</v>
      </c>
      <c r="T590" s="116">
        <f>InputData!$C$88</f>
        <v>180000</v>
      </c>
      <c r="U590" s="116">
        <f>InputData!$C$81</f>
        <v>178500</v>
      </c>
      <c r="V590" s="116">
        <f>InputData!$C$82</f>
        <v>303960</v>
      </c>
      <c r="W590" s="116">
        <f>InputData!$C$84</f>
        <v>215220</v>
      </c>
      <c r="X590" s="116">
        <f>InputData!$C$85</f>
        <v>409020</v>
      </c>
      <c r="Y590" s="116">
        <f>InputData!$C$116</f>
        <v>140000</v>
      </c>
      <c r="Z590" s="160">
        <f>InputData!$E$13</f>
        <v>0</v>
      </c>
    </row>
    <row r="591" spans="1:26" x14ac:dyDescent="0.25">
      <c r="A591">
        <f>InputData!$K$1</f>
        <v>2013</v>
      </c>
      <c r="B591" t="str">
        <f>InputData!$G$1</f>
        <v>San Antonio, TX</v>
      </c>
      <c r="C591" t="s">
        <v>177</v>
      </c>
      <c r="D591" t="str">
        <f>Graph_Ortho!$G$6</f>
        <v>IBR</v>
      </c>
      <c r="E591" t="str">
        <f t="shared" si="9"/>
        <v>Orthopedics IBR</v>
      </c>
      <c r="F591">
        <f>Graph_Ortho!$A26</f>
        <v>2032</v>
      </c>
      <c r="G591">
        <f>Graph_Ortho!$B26</f>
        <v>20</v>
      </c>
      <c r="H591" s="165" t="e">
        <f>Graph_Ortho!$G26</f>
        <v>#VALUE!</v>
      </c>
      <c r="I591" s="160">
        <f>InputData!$C$3</f>
        <v>0.02</v>
      </c>
      <c r="J591" s="160">
        <f>InputData!$C$4</f>
        <v>0.01</v>
      </c>
      <c r="K591" s="160">
        <f>InputData!$C$5</f>
        <v>0.01</v>
      </c>
      <c r="L591" s="160">
        <f>InputData!$C$6</f>
        <v>6.2100000000000002E-2</v>
      </c>
      <c r="M591" s="160">
        <f>InputData!$C$7</f>
        <v>0.03</v>
      </c>
      <c r="N591" s="160">
        <f>InputData!$C$8</f>
        <v>0.02</v>
      </c>
      <c r="O591" s="160">
        <f>InputData!$C$9</f>
        <v>0.06</v>
      </c>
      <c r="P591" s="160">
        <f>InputData!$C$10</f>
        <v>0.02</v>
      </c>
      <c r="Q591" s="160">
        <f>InputData!$C$11</f>
        <v>0.02</v>
      </c>
      <c r="R591" s="160">
        <f>InputData!$C$12</f>
        <v>0.02</v>
      </c>
      <c r="S591" s="160">
        <f>InputData!$C$13</f>
        <v>0.9</v>
      </c>
      <c r="T591" s="116">
        <f>InputData!$C$88</f>
        <v>180000</v>
      </c>
      <c r="U591" s="116">
        <f>InputData!$C$81</f>
        <v>178500</v>
      </c>
      <c r="V591" s="116">
        <f>InputData!$C$82</f>
        <v>303960</v>
      </c>
      <c r="W591" s="116">
        <f>InputData!$C$84</f>
        <v>215220</v>
      </c>
      <c r="X591" s="116">
        <f>InputData!$C$85</f>
        <v>409020</v>
      </c>
      <c r="Y591" s="116">
        <f>InputData!$C$116</f>
        <v>140000</v>
      </c>
      <c r="Z591" s="160">
        <f>InputData!$E$13</f>
        <v>0</v>
      </c>
    </row>
    <row r="592" spans="1:26" x14ac:dyDescent="0.25">
      <c r="A592">
        <f>InputData!$K$1</f>
        <v>2013</v>
      </c>
      <c r="B592" t="str">
        <f>InputData!$G$1</f>
        <v>San Antonio, TX</v>
      </c>
      <c r="C592" t="s">
        <v>177</v>
      </c>
      <c r="D592" t="str">
        <f>Graph_Ortho!$G$6</f>
        <v>IBR</v>
      </c>
      <c r="E592" t="str">
        <f t="shared" si="9"/>
        <v>Orthopedics IBR</v>
      </c>
      <c r="F592">
        <f>Graph_Ortho!$A27</f>
        <v>2033</v>
      </c>
      <c r="G592">
        <f>Graph_Ortho!$B27</f>
        <v>21</v>
      </c>
      <c r="H592" s="165" t="e">
        <f>Graph_Ortho!$G27</f>
        <v>#VALUE!</v>
      </c>
      <c r="I592" s="160">
        <f>InputData!$C$3</f>
        <v>0.02</v>
      </c>
      <c r="J592" s="160">
        <f>InputData!$C$4</f>
        <v>0.01</v>
      </c>
      <c r="K592" s="160">
        <f>InputData!$C$5</f>
        <v>0.01</v>
      </c>
      <c r="L592" s="160">
        <f>InputData!$C$6</f>
        <v>6.2100000000000002E-2</v>
      </c>
      <c r="M592" s="160">
        <f>InputData!$C$7</f>
        <v>0.03</v>
      </c>
      <c r="N592" s="160">
        <f>InputData!$C$8</f>
        <v>0.02</v>
      </c>
      <c r="O592" s="160">
        <f>InputData!$C$9</f>
        <v>0.06</v>
      </c>
      <c r="P592" s="160">
        <f>InputData!$C$10</f>
        <v>0.02</v>
      </c>
      <c r="Q592" s="160">
        <f>InputData!$C$11</f>
        <v>0.02</v>
      </c>
      <c r="R592" s="160">
        <f>InputData!$C$12</f>
        <v>0.02</v>
      </c>
      <c r="S592" s="160">
        <f>InputData!$C$13</f>
        <v>0.9</v>
      </c>
      <c r="T592" s="116">
        <f>InputData!$C$88</f>
        <v>180000</v>
      </c>
      <c r="U592" s="116">
        <f>InputData!$C$81</f>
        <v>178500</v>
      </c>
      <c r="V592" s="116">
        <f>InputData!$C$82</f>
        <v>303960</v>
      </c>
      <c r="W592" s="116">
        <f>InputData!$C$84</f>
        <v>215220</v>
      </c>
      <c r="X592" s="116">
        <f>InputData!$C$85</f>
        <v>409020</v>
      </c>
      <c r="Y592" s="116">
        <f>InputData!$C$116</f>
        <v>140000</v>
      </c>
      <c r="Z592" s="160">
        <f>InputData!$E$13</f>
        <v>0</v>
      </c>
    </row>
    <row r="593" spans="1:26" x14ac:dyDescent="0.25">
      <c r="A593">
        <f>InputData!$K$1</f>
        <v>2013</v>
      </c>
      <c r="B593" t="str">
        <f>InputData!$G$1</f>
        <v>San Antonio, TX</v>
      </c>
      <c r="C593" t="s">
        <v>177</v>
      </c>
      <c r="D593" t="str">
        <f>Graph_Ortho!$G$6</f>
        <v>IBR</v>
      </c>
      <c r="E593" t="str">
        <f t="shared" si="9"/>
        <v>Orthopedics IBR</v>
      </c>
      <c r="F593">
        <f>Graph_Ortho!$A28</f>
        <v>2034</v>
      </c>
      <c r="G593">
        <f>Graph_Ortho!$B28</f>
        <v>22</v>
      </c>
      <c r="H593" s="165" t="e">
        <f>Graph_Ortho!$G28</f>
        <v>#VALUE!</v>
      </c>
      <c r="I593" s="160">
        <f>InputData!$C$3</f>
        <v>0.02</v>
      </c>
      <c r="J593" s="160">
        <f>InputData!$C$4</f>
        <v>0.01</v>
      </c>
      <c r="K593" s="160">
        <f>InputData!$C$5</f>
        <v>0.01</v>
      </c>
      <c r="L593" s="160">
        <f>InputData!$C$6</f>
        <v>6.2100000000000002E-2</v>
      </c>
      <c r="M593" s="160">
        <f>InputData!$C$7</f>
        <v>0.03</v>
      </c>
      <c r="N593" s="160">
        <f>InputData!$C$8</f>
        <v>0.02</v>
      </c>
      <c r="O593" s="160">
        <f>InputData!$C$9</f>
        <v>0.06</v>
      </c>
      <c r="P593" s="160">
        <f>InputData!$C$10</f>
        <v>0.02</v>
      </c>
      <c r="Q593" s="160">
        <f>InputData!$C$11</f>
        <v>0.02</v>
      </c>
      <c r="R593" s="160">
        <f>InputData!$C$12</f>
        <v>0.02</v>
      </c>
      <c r="S593" s="160">
        <f>InputData!$C$13</f>
        <v>0.9</v>
      </c>
      <c r="T593" s="116">
        <f>InputData!$C$88</f>
        <v>180000</v>
      </c>
      <c r="U593" s="116">
        <f>InputData!$C$81</f>
        <v>178500</v>
      </c>
      <c r="V593" s="116">
        <f>InputData!$C$82</f>
        <v>303960</v>
      </c>
      <c r="W593" s="116">
        <f>InputData!$C$84</f>
        <v>215220</v>
      </c>
      <c r="X593" s="116">
        <f>InputData!$C$85</f>
        <v>409020</v>
      </c>
      <c r="Y593" s="116">
        <f>InputData!$C$116</f>
        <v>140000</v>
      </c>
      <c r="Z593" s="160">
        <f>InputData!$E$13</f>
        <v>0</v>
      </c>
    </row>
    <row r="594" spans="1:26" x14ac:dyDescent="0.25">
      <c r="A594">
        <f>InputData!$K$1</f>
        <v>2013</v>
      </c>
      <c r="B594" t="str">
        <f>InputData!$G$1</f>
        <v>San Antonio, TX</v>
      </c>
      <c r="C594" t="s">
        <v>177</v>
      </c>
      <c r="D594" t="str">
        <f>Graph_Ortho!$G$6</f>
        <v>IBR</v>
      </c>
      <c r="E594" t="str">
        <f t="shared" si="9"/>
        <v>Orthopedics IBR</v>
      </c>
      <c r="F594">
        <f>Graph_Ortho!$A29</f>
        <v>2035</v>
      </c>
      <c r="G594">
        <f>Graph_Ortho!$B29</f>
        <v>23</v>
      </c>
      <c r="H594" s="165" t="e">
        <f>Graph_Ortho!$G29</f>
        <v>#VALUE!</v>
      </c>
      <c r="I594" s="160">
        <f>InputData!$C$3</f>
        <v>0.02</v>
      </c>
      <c r="J594" s="160">
        <f>InputData!$C$4</f>
        <v>0.01</v>
      </c>
      <c r="K594" s="160">
        <f>InputData!$C$5</f>
        <v>0.01</v>
      </c>
      <c r="L594" s="160">
        <f>InputData!$C$6</f>
        <v>6.2100000000000002E-2</v>
      </c>
      <c r="M594" s="160">
        <f>InputData!$C$7</f>
        <v>0.03</v>
      </c>
      <c r="N594" s="160">
        <f>InputData!$C$8</f>
        <v>0.02</v>
      </c>
      <c r="O594" s="160">
        <f>InputData!$C$9</f>
        <v>0.06</v>
      </c>
      <c r="P594" s="160">
        <f>InputData!$C$10</f>
        <v>0.02</v>
      </c>
      <c r="Q594" s="160">
        <f>InputData!$C$11</f>
        <v>0.02</v>
      </c>
      <c r="R594" s="160">
        <f>InputData!$C$12</f>
        <v>0.02</v>
      </c>
      <c r="S594" s="160">
        <f>InputData!$C$13</f>
        <v>0.9</v>
      </c>
      <c r="T594" s="116">
        <f>InputData!$C$88</f>
        <v>180000</v>
      </c>
      <c r="U594" s="116">
        <f>InputData!$C$81</f>
        <v>178500</v>
      </c>
      <c r="V594" s="116">
        <f>InputData!$C$82</f>
        <v>303960</v>
      </c>
      <c r="W594" s="116">
        <f>InputData!$C$84</f>
        <v>215220</v>
      </c>
      <c r="X594" s="116">
        <f>InputData!$C$85</f>
        <v>409020</v>
      </c>
      <c r="Y594" s="116">
        <f>InputData!$C$116</f>
        <v>140000</v>
      </c>
      <c r="Z594" s="160">
        <f>InputData!$E$13</f>
        <v>0</v>
      </c>
    </row>
    <row r="595" spans="1:26" x14ac:dyDescent="0.25">
      <c r="A595">
        <f>InputData!$K$1</f>
        <v>2013</v>
      </c>
      <c r="B595" t="str">
        <f>InputData!$G$1</f>
        <v>San Antonio, TX</v>
      </c>
      <c r="C595" t="s">
        <v>177</v>
      </c>
      <c r="D595" t="str">
        <f>Graph_Ortho!$G$6</f>
        <v>IBR</v>
      </c>
      <c r="E595" t="str">
        <f t="shared" si="9"/>
        <v>Orthopedics IBR</v>
      </c>
      <c r="F595">
        <f>Graph_Ortho!$A30</f>
        <v>2036</v>
      </c>
      <c r="G595">
        <f>Graph_Ortho!$B30</f>
        <v>24</v>
      </c>
      <c r="H595" s="165" t="e">
        <f>Graph_Ortho!$G30</f>
        <v>#VALUE!</v>
      </c>
      <c r="I595" s="160">
        <f>InputData!$C$3</f>
        <v>0.02</v>
      </c>
      <c r="J595" s="160">
        <f>InputData!$C$4</f>
        <v>0.01</v>
      </c>
      <c r="K595" s="160">
        <f>InputData!$C$5</f>
        <v>0.01</v>
      </c>
      <c r="L595" s="160">
        <f>InputData!$C$6</f>
        <v>6.2100000000000002E-2</v>
      </c>
      <c r="M595" s="160">
        <f>InputData!$C$7</f>
        <v>0.03</v>
      </c>
      <c r="N595" s="160">
        <f>InputData!$C$8</f>
        <v>0.02</v>
      </c>
      <c r="O595" s="160">
        <f>InputData!$C$9</f>
        <v>0.06</v>
      </c>
      <c r="P595" s="160">
        <f>InputData!$C$10</f>
        <v>0.02</v>
      </c>
      <c r="Q595" s="160">
        <f>InputData!$C$11</f>
        <v>0.02</v>
      </c>
      <c r="R595" s="160">
        <f>InputData!$C$12</f>
        <v>0.02</v>
      </c>
      <c r="S595" s="160">
        <f>InputData!$C$13</f>
        <v>0.9</v>
      </c>
      <c r="T595" s="116">
        <f>InputData!$C$88</f>
        <v>180000</v>
      </c>
      <c r="U595" s="116">
        <f>InputData!$C$81</f>
        <v>178500</v>
      </c>
      <c r="V595" s="116">
        <f>InputData!$C$82</f>
        <v>303960</v>
      </c>
      <c r="W595" s="116">
        <f>InputData!$C$84</f>
        <v>215220</v>
      </c>
      <c r="X595" s="116">
        <f>InputData!$C$85</f>
        <v>409020</v>
      </c>
      <c r="Y595" s="116">
        <f>InputData!$C$116</f>
        <v>140000</v>
      </c>
      <c r="Z595" s="160">
        <f>InputData!$E$13</f>
        <v>0</v>
      </c>
    </row>
    <row r="596" spans="1:26" x14ac:dyDescent="0.25">
      <c r="A596">
        <f>InputData!$K$1</f>
        <v>2013</v>
      </c>
      <c r="B596" t="str">
        <f>InputData!$G$1</f>
        <v>San Antonio, TX</v>
      </c>
      <c r="C596" t="s">
        <v>177</v>
      </c>
      <c r="D596" t="str">
        <f>Graph_Ortho!$G$6</f>
        <v>IBR</v>
      </c>
      <c r="E596" t="str">
        <f t="shared" si="9"/>
        <v>Orthopedics IBR</v>
      </c>
      <c r="F596">
        <f>Graph_Ortho!$A31</f>
        <v>2037</v>
      </c>
      <c r="G596">
        <f>Graph_Ortho!$B31</f>
        <v>25</v>
      </c>
      <c r="H596" s="165" t="e">
        <f>Graph_Ortho!$G31</f>
        <v>#VALUE!</v>
      </c>
      <c r="I596" s="160">
        <f>InputData!$C$3</f>
        <v>0.02</v>
      </c>
      <c r="J596" s="160">
        <f>InputData!$C$4</f>
        <v>0.01</v>
      </c>
      <c r="K596" s="160">
        <f>InputData!$C$5</f>
        <v>0.01</v>
      </c>
      <c r="L596" s="160">
        <f>InputData!$C$6</f>
        <v>6.2100000000000002E-2</v>
      </c>
      <c r="M596" s="160">
        <f>InputData!$C$7</f>
        <v>0.03</v>
      </c>
      <c r="N596" s="160">
        <f>InputData!$C$8</f>
        <v>0.02</v>
      </c>
      <c r="O596" s="160">
        <f>InputData!$C$9</f>
        <v>0.06</v>
      </c>
      <c r="P596" s="160">
        <f>InputData!$C$10</f>
        <v>0.02</v>
      </c>
      <c r="Q596" s="160">
        <f>InputData!$C$11</f>
        <v>0.02</v>
      </c>
      <c r="R596" s="160">
        <f>InputData!$C$12</f>
        <v>0.02</v>
      </c>
      <c r="S596" s="160">
        <f>InputData!$C$13</f>
        <v>0.9</v>
      </c>
      <c r="T596" s="116">
        <f>InputData!$C$88</f>
        <v>180000</v>
      </c>
      <c r="U596" s="116">
        <f>InputData!$C$81</f>
        <v>178500</v>
      </c>
      <c r="V596" s="116">
        <f>InputData!$C$82</f>
        <v>303960</v>
      </c>
      <c r="W596" s="116">
        <f>InputData!$C$84</f>
        <v>215220</v>
      </c>
      <c r="X596" s="116">
        <f>InputData!$C$85</f>
        <v>409020</v>
      </c>
      <c r="Y596" s="116">
        <f>InputData!$C$116</f>
        <v>140000</v>
      </c>
      <c r="Z596" s="160">
        <f>InputData!$E$13</f>
        <v>0</v>
      </c>
    </row>
    <row r="597" spans="1:26" x14ac:dyDescent="0.25">
      <c r="A597">
        <f>InputData!$K$1</f>
        <v>2013</v>
      </c>
      <c r="B597" t="str">
        <f>InputData!$G$1</f>
        <v>San Antonio, TX</v>
      </c>
      <c r="C597" t="s">
        <v>177</v>
      </c>
      <c r="D597" t="str">
        <f>Graph_Ortho!$G$6</f>
        <v>IBR</v>
      </c>
      <c r="E597" t="str">
        <f t="shared" si="9"/>
        <v>Orthopedics IBR</v>
      </c>
      <c r="F597">
        <f>Graph_Ortho!$A32</f>
        <v>2038</v>
      </c>
      <c r="G597">
        <f>Graph_Ortho!$B32</f>
        <v>26</v>
      </c>
      <c r="H597" s="165" t="e">
        <f>Graph_Ortho!$G32</f>
        <v>#VALUE!</v>
      </c>
      <c r="I597" s="160">
        <f>InputData!$C$3</f>
        <v>0.02</v>
      </c>
      <c r="J597" s="160">
        <f>InputData!$C$4</f>
        <v>0.01</v>
      </c>
      <c r="K597" s="160">
        <f>InputData!$C$5</f>
        <v>0.01</v>
      </c>
      <c r="L597" s="160">
        <f>InputData!$C$6</f>
        <v>6.2100000000000002E-2</v>
      </c>
      <c r="M597" s="160">
        <f>InputData!$C$7</f>
        <v>0.03</v>
      </c>
      <c r="N597" s="160">
        <f>InputData!$C$8</f>
        <v>0.02</v>
      </c>
      <c r="O597" s="160">
        <f>InputData!$C$9</f>
        <v>0.06</v>
      </c>
      <c r="P597" s="160">
        <f>InputData!$C$10</f>
        <v>0.02</v>
      </c>
      <c r="Q597" s="160">
        <f>InputData!$C$11</f>
        <v>0.02</v>
      </c>
      <c r="R597" s="160">
        <f>InputData!$C$12</f>
        <v>0.02</v>
      </c>
      <c r="S597" s="160">
        <f>InputData!$C$13</f>
        <v>0.9</v>
      </c>
      <c r="T597" s="116">
        <f>InputData!$C$88</f>
        <v>180000</v>
      </c>
      <c r="U597" s="116">
        <f>InputData!$C$81</f>
        <v>178500</v>
      </c>
      <c r="V597" s="116">
        <f>InputData!$C$82</f>
        <v>303960</v>
      </c>
      <c r="W597" s="116">
        <f>InputData!$C$84</f>
        <v>215220</v>
      </c>
      <c r="X597" s="116">
        <f>InputData!$C$85</f>
        <v>409020</v>
      </c>
      <c r="Y597" s="116">
        <f>InputData!$C$116</f>
        <v>140000</v>
      </c>
      <c r="Z597" s="160">
        <f>InputData!$E$13</f>
        <v>0</v>
      </c>
    </row>
    <row r="598" spans="1:26" x14ac:dyDescent="0.25">
      <c r="A598">
        <f>InputData!$K$1</f>
        <v>2013</v>
      </c>
      <c r="B598" t="str">
        <f>InputData!$G$1</f>
        <v>San Antonio, TX</v>
      </c>
      <c r="C598" t="s">
        <v>177</v>
      </c>
      <c r="D598" t="str">
        <f>Graph_Ortho!$G$6</f>
        <v>IBR</v>
      </c>
      <c r="E598" t="str">
        <f t="shared" si="9"/>
        <v>Orthopedics IBR</v>
      </c>
      <c r="F598">
        <f>Graph_Ortho!$A33</f>
        <v>2039</v>
      </c>
      <c r="G598">
        <f>Graph_Ortho!$B33</f>
        <v>27</v>
      </c>
      <c r="H598" s="165" t="e">
        <f>Graph_Ortho!$G33</f>
        <v>#VALUE!</v>
      </c>
      <c r="I598" s="160">
        <f>InputData!$C$3</f>
        <v>0.02</v>
      </c>
      <c r="J598" s="160">
        <f>InputData!$C$4</f>
        <v>0.01</v>
      </c>
      <c r="K598" s="160">
        <f>InputData!$C$5</f>
        <v>0.01</v>
      </c>
      <c r="L598" s="160">
        <f>InputData!$C$6</f>
        <v>6.2100000000000002E-2</v>
      </c>
      <c r="M598" s="160">
        <f>InputData!$C$7</f>
        <v>0.03</v>
      </c>
      <c r="N598" s="160">
        <f>InputData!$C$8</f>
        <v>0.02</v>
      </c>
      <c r="O598" s="160">
        <f>InputData!$C$9</f>
        <v>0.06</v>
      </c>
      <c r="P598" s="160">
        <f>InputData!$C$10</f>
        <v>0.02</v>
      </c>
      <c r="Q598" s="160">
        <f>InputData!$C$11</f>
        <v>0.02</v>
      </c>
      <c r="R598" s="160">
        <f>InputData!$C$12</f>
        <v>0.02</v>
      </c>
      <c r="S598" s="160">
        <f>InputData!$C$13</f>
        <v>0.9</v>
      </c>
      <c r="T598" s="116">
        <f>InputData!$C$88</f>
        <v>180000</v>
      </c>
      <c r="U598" s="116">
        <f>InputData!$C$81</f>
        <v>178500</v>
      </c>
      <c r="V598" s="116">
        <f>InputData!$C$82</f>
        <v>303960</v>
      </c>
      <c r="W598" s="116">
        <f>InputData!$C$84</f>
        <v>215220</v>
      </c>
      <c r="X598" s="116">
        <f>InputData!$C$85</f>
        <v>409020</v>
      </c>
      <c r="Y598" s="116">
        <f>InputData!$C$116</f>
        <v>140000</v>
      </c>
      <c r="Z598" s="160">
        <f>InputData!$E$13</f>
        <v>0</v>
      </c>
    </row>
    <row r="599" spans="1:26" x14ac:dyDescent="0.25">
      <c r="A599">
        <f>InputData!$K$1</f>
        <v>2013</v>
      </c>
      <c r="B599" t="str">
        <f>InputData!$G$1</f>
        <v>San Antonio, TX</v>
      </c>
      <c r="C599" t="s">
        <v>177</v>
      </c>
      <c r="D599" t="str">
        <f>Graph_Ortho!$G$6</f>
        <v>IBR</v>
      </c>
      <c r="E599" t="str">
        <f t="shared" si="9"/>
        <v>Orthopedics IBR</v>
      </c>
      <c r="F599">
        <f>Graph_Ortho!$A34</f>
        <v>2040</v>
      </c>
      <c r="G599">
        <f>Graph_Ortho!$B34</f>
        <v>28</v>
      </c>
      <c r="H599" s="165" t="e">
        <f>Graph_Ortho!$G34</f>
        <v>#VALUE!</v>
      </c>
      <c r="I599" s="160">
        <f>InputData!$C$3</f>
        <v>0.02</v>
      </c>
      <c r="J599" s="160">
        <f>InputData!$C$4</f>
        <v>0.01</v>
      </c>
      <c r="K599" s="160">
        <f>InputData!$C$5</f>
        <v>0.01</v>
      </c>
      <c r="L599" s="160">
        <f>InputData!$C$6</f>
        <v>6.2100000000000002E-2</v>
      </c>
      <c r="M599" s="160">
        <f>InputData!$C$7</f>
        <v>0.03</v>
      </c>
      <c r="N599" s="160">
        <f>InputData!$C$8</f>
        <v>0.02</v>
      </c>
      <c r="O599" s="160">
        <f>InputData!$C$9</f>
        <v>0.06</v>
      </c>
      <c r="P599" s="160">
        <f>InputData!$C$10</f>
        <v>0.02</v>
      </c>
      <c r="Q599" s="160">
        <f>InputData!$C$11</f>
        <v>0.02</v>
      </c>
      <c r="R599" s="160">
        <f>InputData!$C$12</f>
        <v>0.02</v>
      </c>
      <c r="S599" s="160">
        <f>InputData!$C$13</f>
        <v>0.9</v>
      </c>
      <c r="T599" s="116">
        <f>InputData!$C$88</f>
        <v>180000</v>
      </c>
      <c r="U599" s="116">
        <f>InputData!$C$81</f>
        <v>178500</v>
      </c>
      <c r="V599" s="116">
        <f>InputData!$C$82</f>
        <v>303960</v>
      </c>
      <c r="W599" s="116">
        <f>InputData!$C$84</f>
        <v>215220</v>
      </c>
      <c r="X599" s="116">
        <f>InputData!$C$85</f>
        <v>409020</v>
      </c>
      <c r="Y599" s="116">
        <f>InputData!$C$116</f>
        <v>140000</v>
      </c>
      <c r="Z599" s="160">
        <f>InputData!$E$13</f>
        <v>0</v>
      </c>
    </row>
    <row r="600" spans="1:26" x14ac:dyDescent="0.25">
      <c r="A600">
        <f>InputData!$K$1</f>
        <v>2013</v>
      </c>
      <c r="B600" t="str">
        <f>InputData!$G$1</f>
        <v>San Antonio, TX</v>
      </c>
      <c r="C600" t="s">
        <v>177</v>
      </c>
      <c r="D600" t="str">
        <f>Graph_Ortho!$G$6</f>
        <v>IBR</v>
      </c>
      <c r="E600" t="str">
        <f t="shared" si="9"/>
        <v>Orthopedics IBR</v>
      </c>
      <c r="F600">
        <f>Graph_Ortho!$A35</f>
        <v>2041</v>
      </c>
      <c r="G600">
        <f>Graph_Ortho!$B35</f>
        <v>29</v>
      </c>
      <c r="H600" s="165" t="e">
        <f>Graph_Ortho!$G35</f>
        <v>#VALUE!</v>
      </c>
      <c r="I600" s="160">
        <f>InputData!$C$3</f>
        <v>0.02</v>
      </c>
      <c r="J600" s="160">
        <f>InputData!$C$4</f>
        <v>0.01</v>
      </c>
      <c r="K600" s="160">
        <f>InputData!$C$5</f>
        <v>0.01</v>
      </c>
      <c r="L600" s="160">
        <f>InputData!$C$6</f>
        <v>6.2100000000000002E-2</v>
      </c>
      <c r="M600" s="160">
        <f>InputData!$C$7</f>
        <v>0.03</v>
      </c>
      <c r="N600" s="160">
        <f>InputData!$C$8</f>
        <v>0.02</v>
      </c>
      <c r="O600" s="160">
        <f>InputData!$C$9</f>
        <v>0.06</v>
      </c>
      <c r="P600" s="160">
        <f>InputData!$C$10</f>
        <v>0.02</v>
      </c>
      <c r="Q600" s="160">
        <f>InputData!$C$11</f>
        <v>0.02</v>
      </c>
      <c r="R600" s="160">
        <f>InputData!$C$12</f>
        <v>0.02</v>
      </c>
      <c r="S600" s="160">
        <f>InputData!$C$13</f>
        <v>0.9</v>
      </c>
      <c r="T600" s="116">
        <f>InputData!$C$88</f>
        <v>180000</v>
      </c>
      <c r="U600" s="116">
        <f>InputData!$C$81</f>
        <v>178500</v>
      </c>
      <c r="V600" s="116">
        <f>InputData!$C$82</f>
        <v>303960</v>
      </c>
      <c r="W600" s="116">
        <f>InputData!$C$84</f>
        <v>215220</v>
      </c>
      <c r="X600" s="116">
        <f>InputData!$C$85</f>
        <v>409020</v>
      </c>
      <c r="Y600" s="116">
        <f>InputData!$C$116</f>
        <v>140000</v>
      </c>
      <c r="Z600" s="160">
        <f>InputData!$E$13</f>
        <v>0</v>
      </c>
    </row>
    <row r="601" spans="1:26" x14ac:dyDescent="0.25">
      <c r="A601">
        <f>InputData!$K$1</f>
        <v>2013</v>
      </c>
      <c r="B601" t="str">
        <f>InputData!$G$1</f>
        <v>San Antonio, TX</v>
      </c>
      <c r="C601" t="s">
        <v>177</v>
      </c>
      <c r="D601" t="str">
        <f>Graph_Ortho!$G$6</f>
        <v>IBR</v>
      </c>
      <c r="E601" t="str">
        <f t="shared" si="9"/>
        <v>Orthopedics IBR</v>
      </c>
      <c r="F601">
        <f>Graph_Ortho!$A36</f>
        <v>2042</v>
      </c>
      <c r="G601">
        <f>Graph_Ortho!$B36</f>
        <v>30</v>
      </c>
      <c r="H601" s="165" t="e">
        <f>Graph_Ortho!$G36</f>
        <v>#VALUE!</v>
      </c>
      <c r="I601" s="160">
        <f>InputData!$C$3</f>
        <v>0.02</v>
      </c>
      <c r="J601" s="160">
        <f>InputData!$C$4</f>
        <v>0.01</v>
      </c>
      <c r="K601" s="160">
        <f>InputData!$C$5</f>
        <v>0.01</v>
      </c>
      <c r="L601" s="160">
        <f>InputData!$C$6</f>
        <v>6.2100000000000002E-2</v>
      </c>
      <c r="M601" s="160">
        <f>InputData!$C$7</f>
        <v>0.03</v>
      </c>
      <c r="N601" s="160">
        <f>InputData!$C$8</f>
        <v>0.02</v>
      </c>
      <c r="O601" s="160">
        <f>InputData!$C$9</f>
        <v>0.06</v>
      </c>
      <c r="P601" s="160">
        <f>InputData!$C$10</f>
        <v>0.02</v>
      </c>
      <c r="Q601" s="160">
        <f>InputData!$C$11</f>
        <v>0.02</v>
      </c>
      <c r="R601" s="160">
        <f>InputData!$C$12</f>
        <v>0.02</v>
      </c>
      <c r="S601" s="160">
        <f>InputData!$C$13</f>
        <v>0.9</v>
      </c>
      <c r="T601" s="116">
        <f>InputData!$C$88</f>
        <v>180000</v>
      </c>
      <c r="U601" s="116">
        <f>InputData!$C$81</f>
        <v>178500</v>
      </c>
      <c r="V601" s="116">
        <f>InputData!$C$82</f>
        <v>303960</v>
      </c>
      <c r="W601" s="116">
        <f>InputData!$C$84</f>
        <v>215220</v>
      </c>
      <c r="X601" s="116">
        <f>InputData!$C$85</f>
        <v>409020</v>
      </c>
      <c r="Y601" s="116">
        <f>InputData!$C$116</f>
        <v>140000</v>
      </c>
      <c r="Z601" s="160">
        <f>InputData!$E$13</f>
        <v>0</v>
      </c>
    </row>
    <row r="602" spans="1:26" x14ac:dyDescent="0.25">
      <c r="A602">
        <f>InputData!$K$1</f>
        <v>2013</v>
      </c>
      <c r="B602" t="str">
        <f>InputData!$G$1</f>
        <v>San Antonio, TX</v>
      </c>
      <c r="C602" t="s">
        <v>177</v>
      </c>
      <c r="D602" t="str">
        <f>Graph_Ortho!$H$6</f>
        <v>PAYE</v>
      </c>
      <c r="E602" t="str">
        <f t="shared" si="9"/>
        <v>Orthopedics PAYE</v>
      </c>
      <c r="F602">
        <f>Graph_Ortho!$A7</f>
        <v>2013</v>
      </c>
      <c r="G602">
        <f>Graph_Ortho!$B7</f>
        <v>1</v>
      </c>
      <c r="H602" s="165">
        <f>Graph_Ortho!$H7</f>
        <v>-43015.05</v>
      </c>
      <c r="I602" s="160">
        <f>InputData!$C$3</f>
        <v>0.02</v>
      </c>
      <c r="J602" s="160">
        <f>InputData!$C$4</f>
        <v>0.01</v>
      </c>
      <c r="K602" s="160">
        <f>InputData!$C$5</f>
        <v>0.01</v>
      </c>
      <c r="L602" s="160">
        <f>InputData!$C$6</f>
        <v>6.2100000000000002E-2</v>
      </c>
      <c r="M602" s="160">
        <f>InputData!$C$7</f>
        <v>0.03</v>
      </c>
      <c r="N602" s="160">
        <f>InputData!$C$8</f>
        <v>0.02</v>
      </c>
      <c r="O602" s="160">
        <f>InputData!$C$9</f>
        <v>0.06</v>
      </c>
      <c r="P602" s="160">
        <f>InputData!$C$10</f>
        <v>0.02</v>
      </c>
      <c r="Q602" s="160">
        <f>InputData!$C$11</f>
        <v>0.02</v>
      </c>
      <c r="R602" s="160">
        <f>InputData!$C$12</f>
        <v>0.02</v>
      </c>
      <c r="S602" s="160">
        <f>InputData!$C$13</f>
        <v>0.9</v>
      </c>
      <c r="T602" s="116">
        <f>InputData!$C$88</f>
        <v>180000</v>
      </c>
      <c r="U602" s="116">
        <f>InputData!$C$81</f>
        <v>178500</v>
      </c>
      <c r="V602" s="116">
        <f>InputData!$C$82</f>
        <v>303960</v>
      </c>
      <c r="W602" s="116">
        <f>InputData!$C$84</f>
        <v>215220</v>
      </c>
      <c r="X602" s="116">
        <f>InputData!$C$85</f>
        <v>409020</v>
      </c>
      <c r="Y602" s="116">
        <f>InputData!$C$116</f>
        <v>140000</v>
      </c>
      <c r="Z602" s="160">
        <f>InputData!$E$13</f>
        <v>0</v>
      </c>
    </row>
    <row r="603" spans="1:26" x14ac:dyDescent="0.25">
      <c r="A603">
        <f>InputData!$K$1</f>
        <v>2013</v>
      </c>
      <c r="B603" t="str">
        <f>InputData!$G$1</f>
        <v>San Antonio, TX</v>
      </c>
      <c r="C603" t="s">
        <v>177</v>
      </c>
      <c r="D603" t="str">
        <f>Graph_Ortho!$H$6</f>
        <v>PAYE</v>
      </c>
      <c r="E603" t="str">
        <f t="shared" si="9"/>
        <v>Orthopedics PAYE</v>
      </c>
      <c r="F603">
        <f>Graph_Ortho!$A8</f>
        <v>2014</v>
      </c>
      <c r="G603">
        <f>Graph_Ortho!$B8</f>
        <v>2</v>
      </c>
      <c r="H603" s="165">
        <f>Graph_Ortho!$H8</f>
        <v>-86352.285865219877</v>
      </c>
      <c r="I603" s="160">
        <f>InputData!$C$3</f>
        <v>0.02</v>
      </c>
      <c r="J603" s="160">
        <f>InputData!$C$4</f>
        <v>0.01</v>
      </c>
      <c r="K603" s="160">
        <f>InputData!$C$5</f>
        <v>0.01</v>
      </c>
      <c r="L603" s="160">
        <f>InputData!$C$6</f>
        <v>6.2100000000000002E-2</v>
      </c>
      <c r="M603" s="160">
        <f>InputData!$C$7</f>
        <v>0.03</v>
      </c>
      <c r="N603" s="160">
        <f>InputData!$C$8</f>
        <v>0.02</v>
      </c>
      <c r="O603" s="160">
        <f>InputData!$C$9</f>
        <v>0.06</v>
      </c>
      <c r="P603" s="160">
        <f>InputData!$C$10</f>
        <v>0.02</v>
      </c>
      <c r="Q603" s="160">
        <f>InputData!$C$11</f>
        <v>0.02</v>
      </c>
      <c r="R603" s="160">
        <f>InputData!$C$12</f>
        <v>0.02</v>
      </c>
      <c r="S603" s="160">
        <f>InputData!$C$13</f>
        <v>0.9</v>
      </c>
      <c r="T603" s="116">
        <f>InputData!$C$88</f>
        <v>180000</v>
      </c>
      <c r="U603" s="116">
        <f>InputData!$C$81</f>
        <v>178500</v>
      </c>
      <c r="V603" s="116">
        <f>InputData!$C$82</f>
        <v>303960</v>
      </c>
      <c r="W603" s="116">
        <f>InputData!$C$84</f>
        <v>215220</v>
      </c>
      <c r="X603" s="116">
        <f>InputData!$C$85</f>
        <v>409020</v>
      </c>
      <c r="Y603" s="116">
        <f>InputData!$C$116</f>
        <v>140000</v>
      </c>
      <c r="Z603" s="160">
        <f>InputData!$E$13</f>
        <v>0</v>
      </c>
    </row>
    <row r="604" spans="1:26" x14ac:dyDescent="0.25">
      <c r="A604">
        <f>InputData!$K$1</f>
        <v>2013</v>
      </c>
      <c r="B604" t="str">
        <f>InputData!$G$1</f>
        <v>San Antonio, TX</v>
      </c>
      <c r="C604" t="s">
        <v>177</v>
      </c>
      <c r="D604" t="str">
        <f>Graph_Ortho!$H$6</f>
        <v>PAYE</v>
      </c>
      <c r="E604" t="str">
        <f t="shared" si="9"/>
        <v>Orthopedics PAYE</v>
      </c>
      <c r="F604">
        <f>Graph_Ortho!$A9</f>
        <v>2015</v>
      </c>
      <c r="G604">
        <f>Graph_Ortho!$B9</f>
        <v>3</v>
      </c>
      <c r="H604" s="165">
        <f>Graph_Ortho!$H9</f>
        <v>-138541.19578403595</v>
      </c>
      <c r="I604" s="160">
        <f>InputData!$C$3</f>
        <v>0.02</v>
      </c>
      <c r="J604" s="160">
        <f>InputData!$C$4</f>
        <v>0.01</v>
      </c>
      <c r="K604" s="160">
        <f>InputData!$C$5</f>
        <v>0.01</v>
      </c>
      <c r="L604" s="160">
        <f>InputData!$C$6</f>
        <v>6.2100000000000002E-2</v>
      </c>
      <c r="M604" s="160">
        <f>InputData!$C$7</f>
        <v>0.03</v>
      </c>
      <c r="N604" s="160">
        <f>InputData!$C$8</f>
        <v>0.02</v>
      </c>
      <c r="O604" s="160">
        <f>InputData!$C$9</f>
        <v>0.06</v>
      </c>
      <c r="P604" s="160">
        <f>InputData!$C$10</f>
        <v>0.02</v>
      </c>
      <c r="Q604" s="160">
        <f>InputData!$C$11</f>
        <v>0.02</v>
      </c>
      <c r="R604" s="160">
        <f>InputData!$C$12</f>
        <v>0.02</v>
      </c>
      <c r="S604" s="160">
        <f>InputData!$C$13</f>
        <v>0.9</v>
      </c>
      <c r="T604" s="116">
        <f>InputData!$C$88</f>
        <v>180000</v>
      </c>
      <c r="U604" s="116">
        <f>InputData!$C$81</f>
        <v>178500</v>
      </c>
      <c r="V604" s="116">
        <f>InputData!$C$82</f>
        <v>303960</v>
      </c>
      <c r="W604" s="116">
        <f>InputData!$C$84</f>
        <v>215220</v>
      </c>
      <c r="X604" s="116">
        <f>InputData!$C$85</f>
        <v>409020</v>
      </c>
      <c r="Y604" s="116">
        <f>InputData!$C$116</f>
        <v>140000</v>
      </c>
      <c r="Z604" s="160">
        <f>InputData!$E$13</f>
        <v>0</v>
      </c>
    </row>
    <row r="605" spans="1:26" x14ac:dyDescent="0.25">
      <c r="A605">
        <f>InputData!$K$1</f>
        <v>2013</v>
      </c>
      <c r="B605" t="str">
        <f>InputData!$G$1</f>
        <v>San Antonio, TX</v>
      </c>
      <c r="C605" t="s">
        <v>177</v>
      </c>
      <c r="D605" t="str">
        <f>Graph_Ortho!$H$6</f>
        <v>PAYE</v>
      </c>
      <c r="E605" t="str">
        <f t="shared" si="9"/>
        <v>Orthopedics PAYE</v>
      </c>
      <c r="F605">
        <f>Graph_Ortho!$A10</f>
        <v>2016</v>
      </c>
      <c r="G605">
        <f>Graph_Ortho!$B10</f>
        <v>4</v>
      </c>
      <c r="H605" s="165">
        <f>Graph_Ortho!$H10</f>
        <v>-190867.38028908212</v>
      </c>
      <c r="I605" s="160">
        <f>InputData!$C$3</f>
        <v>0.02</v>
      </c>
      <c r="J605" s="160">
        <f>InputData!$C$4</f>
        <v>0.01</v>
      </c>
      <c r="K605" s="160">
        <f>InputData!$C$5</f>
        <v>0.01</v>
      </c>
      <c r="L605" s="160">
        <f>InputData!$C$6</f>
        <v>6.2100000000000002E-2</v>
      </c>
      <c r="M605" s="160">
        <f>InputData!$C$7</f>
        <v>0.03</v>
      </c>
      <c r="N605" s="160">
        <f>InputData!$C$8</f>
        <v>0.02</v>
      </c>
      <c r="O605" s="160">
        <f>InputData!$C$9</f>
        <v>0.06</v>
      </c>
      <c r="P605" s="160">
        <f>InputData!$C$10</f>
        <v>0.02</v>
      </c>
      <c r="Q605" s="160">
        <f>InputData!$C$11</f>
        <v>0.02</v>
      </c>
      <c r="R605" s="160">
        <f>InputData!$C$12</f>
        <v>0.02</v>
      </c>
      <c r="S605" s="160">
        <f>InputData!$C$13</f>
        <v>0.9</v>
      </c>
      <c r="T605" s="116">
        <f>InputData!$C$88</f>
        <v>180000</v>
      </c>
      <c r="U605" s="116">
        <f>InputData!$C$81</f>
        <v>178500</v>
      </c>
      <c r="V605" s="116">
        <f>InputData!$C$82</f>
        <v>303960</v>
      </c>
      <c r="W605" s="116">
        <f>InputData!$C$84</f>
        <v>215220</v>
      </c>
      <c r="X605" s="116">
        <f>InputData!$C$85</f>
        <v>409020</v>
      </c>
      <c r="Y605" s="116">
        <f>InputData!$C$116</f>
        <v>140000</v>
      </c>
      <c r="Z605" s="160">
        <f>InputData!$E$13</f>
        <v>0</v>
      </c>
    </row>
    <row r="606" spans="1:26" x14ac:dyDescent="0.25">
      <c r="A606">
        <f>InputData!$K$1</f>
        <v>2013</v>
      </c>
      <c r="B606" t="str">
        <f>InputData!$G$1</f>
        <v>San Antonio, TX</v>
      </c>
      <c r="C606" t="s">
        <v>177</v>
      </c>
      <c r="D606" t="str">
        <f>Graph_Ortho!$H$6</f>
        <v>PAYE</v>
      </c>
      <c r="E606" t="str">
        <f t="shared" si="9"/>
        <v>Orthopedics PAYE</v>
      </c>
      <c r="F606">
        <f>Graph_Ortho!$A11</f>
        <v>2017</v>
      </c>
      <c r="G606">
        <f>Graph_Ortho!$B11</f>
        <v>5</v>
      </c>
      <c r="H606" s="165">
        <f>Graph_Ortho!$H11</f>
        <v>-154981.05168717628</v>
      </c>
      <c r="I606" s="160">
        <f>InputData!$C$3</f>
        <v>0.02</v>
      </c>
      <c r="J606" s="160">
        <f>InputData!$C$4</f>
        <v>0.01</v>
      </c>
      <c r="K606" s="160">
        <f>InputData!$C$5</f>
        <v>0.01</v>
      </c>
      <c r="L606" s="160">
        <f>InputData!$C$6</f>
        <v>6.2100000000000002E-2</v>
      </c>
      <c r="M606" s="160">
        <f>InputData!$C$7</f>
        <v>0.03</v>
      </c>
      <c r="N606" s="160">
        <f>InputData!$C$8</f>
        <v>0.02</v>
      </c>
      <c r="O606" s="160">
        <f>InputData!$C$9</f>
        <v>0.06</v>
      </c>
      <c r="P606" s="160">
        <f>InputData!$C$10</f>
        <v>0.02</v>
      </c>
      <c r="Q606" s="160">
        <f>InputData!$C$11</f>
        <v>0.02</v>
      </c>
      <c r="R606" s="160">
        <f>InputData!$C$12</f>
        <v>0.02</v>
      </c>
      <c r="S606" s="160">
        <f>InputData!$C$13</f>
        <v>0.9</v>
      </c>
      <c r="T606" s="116">
        <f>InputData!$C$88</f>
        <v>180000</v>
      </c>
      <c r="U606" s="116">
        <f>InputData!$C$81</f>
        <v>178500</v>
      </c>
      <c r="V606" s="116">
        <f>InputData!$C$82</f>
        <v>303960</v>
      </c>
      <c r="W606" s="116">
        <f>InputData!$C$84</f>
        <v>215220</v>
      </c>
      <c r="X606" s="116">
        <f>InputData!$C$85</f>
        <v>409020</v>
      </c>
      <c r="Y606" s="116">
        <f>InputData!$C$116</f>
        <v>140000</v>
      </c>
      <c r="Z606" s="160">
        <f>InputData!$E$13</f>
        <v>0</v>
      </c>
    </row>
    <row r="607" spans="1:26" x14ac:dyDescent="0.25">
      <c r="A607">
        <f>InputData!$K$1</f>
        <v>2013</v>
      </c>
      <c r="B607" t="str">
        <f>InputData!$G$1</f>
        <v>San Antonio, TX</v>
      </c>
      <c r="C607" t="s">
        <v>177</v>
      </c>
      <c r="D607" t="str">
        <f>Graph_Ortho!$H$6</f>
        <v>PAYE</v>
      </c>
      <c r="E607" t="str">
        <f t="shared" si="9"/>
        <v>Orthopedics PAYE</v>
      </c>
      <c r="F607">
        <f>Graph_Ortho!$A12</f>
        <v>2018</v>
      </c>
      <c r="G607">
        <f>Graph_Ortho!$B12</f>
        <v>6</v>
      </c>
      <c r="H607" s="165">
        <f>Graph_Ortho!$H12</f>
        <v>-118995.92937851879</v>
      </c>
      <c r="I607" s="160">
        <f>InputData!$C$3</f>
        <v>0.02</v>
      </c>
      <c r="J607" s="160">
        <f>InputData!$C$4</f>
        <v>0.01</v>
      </c>
      <c r="K607" s="160">
        <f>InputData!$C$5</f>
        <v>0.01</v>
      </c>
      <c r="L607" s="160">
        <f>InputData!$C$6</f>
        <v>6.2100000000000002E-2</v>
      </c>
      <c r="M607" s="160">
        <f>InputData!$C$7</f>
        <v>0.03</v>
      </c>
      <c r="N607" s="160">
        <f>InputData!$C$8</f>
        <v>0.02</v>
      </c>
      <c r="O607" s="160">
        <f>InputData!$C$9</f>
        <v>0.06</v>
      </c>
      <c r="P607" s="160">
        <f>InputData!$C$10</f>
        <v>0.02</v>
      </c>
      <c r="Q607" s="160">
        <f>InputData!$C$11</f>
        <v>0.02</v>
      </c>
      <c r="R607" s="160">
        <f>InputData!$C$12</f>
        <v>0.02</v>
      </c>
      <c r="S607" s="160">
        <f>InputData!$C$13</f>
        <v>0.9</v>
      </c>
      <c r="T607" s="116">
        <f>InputData!$C$88</f>
        <v>180000</v>
      </c>
      <c r="U607" s="116">
        <f>InputData!$C$81</f>
        <v>178500</v>
      </c>
      <c r="V607" s="116">
        <f>InputData!$C$82</f>
        <v>303960</v>
      </c>
      <c r="W607" s="116">
        <f>InputData!$C$84</f>
        <v>215220</v>
      </c>
      <c r="X607" s="116">
        <f>InputData!$C$85</f>
        <v>409020</v>
      </c>
      <c r="Y607" s="116">
        <f>InputData!$C$116</f>
        <v>140000</v>
      </c>
      <c r="Z607" s="160">
        <f>InputData!$E$13</f>
        <v>0</v>
      </c>
    </row>
    <row r="608" spans="1:26" x14ac:dyDescent="0.25">
      <c r="A608">
        <f>InputData!$K$1</f>
        <v>2013</v>
      </c>
      <c r="B608" t="str">
        <f>InputData!$G$1</f>
        <v>San Antonio, TX</v>
      </c>
      <c r="C608" t="s">
        <v>177</v>
      </c>
      <c r="D608" t="str">
        <f>Graph_Ortho!$H$6</f>
        <v>PAYE</v>
      </c>
      <c r="E608" t="str">
        <f t="shared" si="9"/>
        <v>Orthopedics PAYE</v>
      </c>
      <c r="F608">
        <f>Graph_Ortho!$A13</f>
        <v>2019</v>
      </c>
      <c r="G608">
        <f>Graph_Ortho!$B13</f>
        <v>7</v>
      </c>
      <c r="H608" s="165">
        <f>Graph_Ortho!$H13</f>
        <v>-82904.654937055282</v>
      </c>
      <c r="I608" s="160">
        <f>InputData!$C$3</f>
        <v>0.02</v>
      </c>
      <c r="J608" s="160">
        <f>InputData!$C$4</f>
        <v>0.01</v>
      </c>
      <c r="K608" s="160">
        <f>InputData!$C$5</f>
        <v>0.01</v>
      </c>
      <c r="L608" s="160">
        <f>InputData!$C$6</f>
        <v>6.2100000000000002E-2</v>
      </c>
      <c r="M608" s="160">
        <f>InputData!$C$7</f>
        <v>0.03</v>
      </c>
      <c r="N608" s="160">
        <f>InputData!$C$8</f>
        <v>0.02</v>
      </c>
      <c r="O608" s="160">
        <f>InputData!$C$9</f>
        <v>0.06</v>
      </c>
      <c r="P608" s="160">
        <f>InputData!$C$10</f>
        <v>0.02</v>
      </c>
      <c r="Q608" s="160">
        <f>InputData!$C$11</f>
        <v>0.02</v>
      </c>
      <c r="R608" s="160">
        <f>InputData!$C$12</f>
        <v>0.02</v>
      </c>
      <c r="S608" s="160">
        <f>InputData!$C$13</f>
        <v>0.9</v>
      </c>
      <c r="T608" s="116">
        <f>InputData!$C$88</f>
        <v>180000</v>
      </c>
      <c r="U608" s="116">
        <f>InputData!$C$81</f>
        <v>178500</v>
      </c>
      <c r="V608" s="116">
        <f>InputData!$C$82</f>
        <v>303960</v>
      </c>
      <c r="W608" s="116">
        <f>InputData!$C$84</f>
        <v>215220</v>
      </c>
      <c r="X608" s="116">
        <f>InputData!$C$85</f>
        <v>409020</v>
      </c>
      <c r="Y608" s="116">
        <f>InputData!$C$116</f>
        <v>140000</v>
      </c>
      <c r="Z608" s="160">
        <f>InputData!$E$13</f>
        <v>0</v>
      </c>
    </row>
    <row r="609" spans="1:26" x14ac:dyDescent="0.25">
      <c r="A609">
        <f>InputData!$K$1</f>
        <v>2013</v>
      </c>
      <c r="B609" t="str">
        <f>InputData!$G$1</f>
        <v>San Antonio, TX</v>
      </c>
      <c r="C609" t="s">
        <v>177</v>
      </c>
      <c r="D609" t="str">
        <f>Graph_Ortho!$H$6</f>
        <v>PAYE</v>
      </c>
      <c r="E609" t="str">
        <f t="shared" si="9"/>
        <v>Orthopedics PAYE</v>
      </c>
      <c r="F609">
        <f>Graph_Ortho!$A14</f>
        <v>2020</v>
      </c>
      <c r="G609">
        <f>Graph_Ortho!$B14</f>
        <v>8</v>
      </c>
      <c r="H609" s="165">
        <f>Graph_Ortho!$H14</f>
        <v>-46699.992676364229</v>
      </c>
      <c r="I609" s="160">
        <f>InputData!$C$3</f>
        <v>0.02</v>
      </c>
      <c r="J609" s="160">
        <f>InputData!$C$4</f>
        <v>0.01</v>
      </c>
      <c r="K609" s="160">
        <f>InputData!$C$5</f>
        <v>0.01</v>
      </c>
      <c r="L609" s="160">
        <f>InputData!$C$6</f>
        <v>6.2100000000000002E-2</v>
      </c>
      <c r="M609" s="160">
        <f>InputData!$C$7</f>
        <v>0.03</v>
      </c>
      <c r="N609" s="160">
        <f>InputData!$C$8</f>
        <v>0.02</v>
      </c>
      <c r="O609" s="160">
        <f>InputData!$C$9</f>
        <v>0.06</v>
      </c>
      <c r="P609" s="160">
        <f>InputData!$C$10</f>
        <v>0.02</v>
      </c>
      <c r="Q609" s="160">
        <f>InputData!$C$11</f>
        <v>0.02</v>
      </c>
      <c r="R609" s="160">
        <f>InputData!$C$12</f>
        <v>0.02</v>
      </c>
      <c r="S609" s="160">
        <f>InputData!$C$13</f>
        <v>0.9</v>
      </c>
      <c r="T609" s="116">
        <f>InputData!$C$88</f>
        <v>180000</v>
      </c>
      <c r="U609" s="116">
        <f>InputData!$C$81</f>
        <v>178500</v>
      </c>
      <c r="V609" s="116">
        <f>InputData!$C$82</f>
        <v>303960</v>
      </c>
      <c r="W609" s="116">
        <f>InputData!$C$84</f>
        <v>215220</v>
      </c>
      <c r="X609" s="116">
        <f>InputData!$C$85</f>
        <v>409020</v>
      </c>
      <c r="Y609" s="116">
        <f>InputData!$C$116</f>
        <v>140000</v>
      </c>
      <c r="Z609" s="160">
        <f>InputData!$E$13</f>
        <v>0</v>
      </c>
    </row>
    <row r="610" spans="1:26" x14ac:dyDescent="0.25">
      <c r="A610">
        <f>InputData!$K$1</f>
        <v>2013</v>
      </c>
      <c r="B610" t="str">
        <f>InputData!$G$1</f>
        <v>San Antonio, TX</v>
      </c>
      <c r="C610" t="s">
        <v>177</v>
      </c>
      <c r="D610" t="str">
        <f>Graph_Ortho!$H$6</f>
        <v>PAYE</v>
      </c>
      <c r="E610" t="str">
        <f t="shared" si="9"/>
        <v>Orthopedics PAYE</v>
      </c>
      <c r="F610">
        <f>Graph_Ortho!$A15</f>
        <v>2021</v>
      </c>
      <c r="G610">
        <f>Graph_Ortho!$B15</f>
        <v>9</v>
      </c>
      <c r="H610" s="165">
        <f>Graph_Ortho!$H15</f>
        <v>-10374.82525529444</v>
      </c>
      <c r="I610" s="160">
        <f>InputData!$C$3</f>
        <v>0.02</v>
      </c>
      <c r="J610" s="160">
        <f>InputData!$C$4</f>
        <v>0.01</v>
      </c>
      <c r="K610" s="160">
        <f>InputData!$C$5</f>
        <v>0.01</v>
      </c>
      <c r="L610" s="160">
        <f>InputData!$C$6</f>
        <v>6.2100000000000002E-2</v>
      </c>
      <c r="M610" s="160">
        <f>InputData!$C$7</f>
        <v>0.03</v>
      </c>
      <c r="N610" s="160">
        <f>InputData!$C$8</f>
        <v>0.02</v>
      </c>
      <c r="O610" s="160">
        <f>InputData!$C$9</f>
        <v>0.06</v>
      </c>
      <c r="P610" s="160">
        <f>InputData!$C$10</f>
        <v>0.02</v>
      </c>
      <c r="Q610" s="160">
        <f>InputData!$C$11</f>
        <v>0.02</v>
      </c>
      <c r="R610" s="160">
        <f>InputData!$C$12</f>
        <v>0.02</v>
      </c>
      <c r="S610" s="160">
        <f>InputData!$C$13</f>
        <v>0.9</v>
      </c>
      <c r="T610" s="116">
        <f>InputData!$C$88</f>
        <v>180000</v>
      </c>
      <c r="U610" s="116">
        <f>InputData!$C$81</f>
        <v>178500</v>
      </c>
      <c r="V610" s="116">
        <f>InputData!$C$82</f>
        <v>303960</v>
      </c>
      <c r="W610" s="116">
        <f>InputData!$C$84</f>
        <v>215220</v>
      </c>
      <c r="X610" s="116">
        <f>InputData!$C$85</f>
        <v>409020</v>
      </c>
      <c r="Y610" s="116">
        <f>InputData!$C$116</f>
        <v>140000</v>
      </c>
      <c r="Z610" s="160">
        <f>InputData!$E$13</f>
        <v>0</v>
      </c>
    </row>
    <row r="611" spans="1:26" x14ac:dyDescent="0.25">
      <c r="A611">
        <f>InputData!$K$1</f>
        <v>2013</v>
      </c>
      <c r="B611" t="str">
        <f>InputData!$G$1</f>
        <v>San Antonio, TX</v>
      </c>
      <c r="C611" t="s">
        <v>177</v>
      </c>
      <c r="D611" t="str">
        <f>Graph_Ortho!$H$6</f>
        <v>PAYE</v>
      </c>
      <c r="E611" t="str">
        <f t="shared" si="9"/>
        <v>Orthopedics PAYE</v>
      </c>
      <c r="F611">
        <f>Graph_Ortho!$A16</f>
        <v>2022</v>
      </c>
      <c r="G611">
        <f>Graph_Ortho!$B16</f>
        <v>10</v>
      </c>
      <c r="H611" s="165" t="e">
        <f>Graph_Ortho!$H16</f>
        <v>#VALUE!</v>
      </c>
      <c r="I611" s="160">
        <f>InputData!$C$3</f>
        <v>0.02</v>
      </c>
      <c r="J611" s="160">
        <f>InputData!$C$4</f>
        <v>0.01</v>
      </c>
      <c r="K611" s="160">
        <f>InputData!$C$5</f>
        <v>0.01</v>
      </c>
      <c r="L611" s="160">
        <f>InputData!$C$6</f>
        <v>6.2100000000000002E-2</v>
      </c>
      <c r="M611" s="160">
        <f>InputData!$C$7</f>
        <v>0.03</v>
      </c>
      <c r="N611" s="160">
        <f>InputData!$C$8</f>
        <v>0.02</v>
      </c>
      <c r="O611" s="160">
        <f>InputData!$C$9</f>
        <v>0.06</v>
      </c>
      <c r="P611" s="160">
        <f>InputData!$C$10</f>
        <v>0.02</v>
      </c>
      <c r="Q611" s="160">
        <f>InputData!$C$11</f>
        <v>0.02</v>
      </c>
      <c r="R611" s="160">
        <f>InputData!$C$12</f>
        <v>0.02</v>
      </c>
      <c r="S611" s="160">
        <f>InputData!$C$13</f>
        <v>0.9</v>
      </c>
      <c r="T611" s="116">
        <f>InputData!$C$88</f>
        <v>180000</v>
      </c>
      <c r="U611" s="116">
        <f>InputData!$C$81</f>
        <v>178500</v>
      </c>
      <c r="V611" s="116">
        <f>InputData!$C$82</f>
        <v>303960</v>
      </c>
      <c r="W611" s="116">
        <f>InputData!$C$84</f>
        <v>215220</v>
      </c>
      <c r="X611" s="116">
        <f>InputData!$C$85</f>
        <v>409020</v>
      </c>
      <c r="Y611" s="116">
        <f>InputData!$C$116</f>
        <v>140000</v>
      </c>
      <c r="Z611" s="160">
        <f>InputData!$E$13</f>
        <v>0</v>
      </c>
    </row>
    <row r="612" spans="1:26" x14ac:dyDescent="0.25">
      <c r="A612">
        <f>InputData!$K$1</f>
        <v>2013</v>
      </c>
      <c r="B612" t="str">
        <f>InputData!$G$1</f>
        <v>San Antonio, TX</v>
      </c>
      <c r="C612" t="s">
        <v>177</v>
      </c>
      <c r="D612" t="str">
        <f>Graph_Ortho!$H$6</f>
        <v>PAYE</v>
      </c>
      <c r="E612" t="str">
        <f t="shared" si="9"/>
        <v>Orthopedics PAYE</v>
      </c>
      <c r="F612">
        <f>Graph_Ortho!$A17</f>
        <v>2023</v>
      </c>
      <c r="G612">
        <f>Graph_Ortho!$B17</f>
        <v>11</v>
      </c>
      <c r="H612" s="165" t="e">
        <f>Graph_Ortho!$H17</f>
        <v>#VALUE!</v>
      </c>
      <c r="I612" s="160">
        <f>InputData!$C$3</f>
        <v>0.02</v>
      </c>
      <c r="J612" s="160">
        <f>InputData!$C$4</f>
        <v>0.01</v>
      </c>
      <c r="K612" s="160">
        <f>InputData!$C$5</f>
        <v>0.01</v>
      </c>
      <c r="L612" s="160">
        <f>InputData!$C$6</f>
        <v>6.2100000000000002E-2</v>
      </c>
      <c r="M612" s="160">
        <f>InputData!$C$7</f>
        <v>0.03</v>
      </c>
      <c r="N612" s="160">
        <f>InputData!$C$8</f>
        <v>0.02</v>
      </c>
      <c r="O612" s="160">
        <f>InputData!$C$9</f>
        <v>0.06</v>
      </c>
      <c r="P612" s="160">
        <f>InputData!$C$10</f>
        <v>0.02</v>
      </c>
      <c r="Q612" s="160">
        <f>InputData!$C$11</f>
        <v>0.02</v>
      </c>
      <c r="R612" s="160">
        <f>InputData!$C$12</f>
        <v>0.02</v>
      </c>
      <c r="S612" s="160">
        <f>InputData!$C$13</f>
        <v>0.9</v>
      </c>
      <c r="T612" s="116">
        <f>InputData!$C$88</f>
        <v>180000</v>
      </c>
      <c r="U612" s="116">
        <f>InputData!$C$81</f>
        <v>178500</v>
      </c>
      <c r="V612" s="116">
        <f>InputData!$C$82</f>
        <v>303960</v>
      </c>
      <c r="W612" s="116">
        <f>InputData!$C$84</f>
        <v>215220</v>
      </c>
      <c r="X612" s="116">
        <f>InputData!$C$85</f>
        <v>409020</v>
      </c>
      <c r="Y612" s="116">
        <f>InputData!$C$116</f>
        <v>140000</v>
      </c>
      <c r="Z612" s="160">
        <f>InputData!$E$13</f>
        <v>0</v>
      </c>
    </row>
    <row r="613" spans="1:26" x14ac:dyDescent="0.25">
      <c r="A613">
        <f>InputData!$K$1</f>
        <v>2013</v>
      </c>
      <c r="B613" t="str">
        <f>InputData!$G$1</f>
        <v>San Antonio, TX</v>
      </c>
      <c r="C613" t="s">
        <v>177</v>
      </c>
      <c r="D613" t="str">
        <f>Graph_Ortho!$H$6</f>
        <v>PAYE</v>
      </c>
      <c r="E613" t="str">
        <f t="shared" si="9"/>
        <v>Orthopedics PAYE</v>
      </c>
      <c r="F613">
        <f>Graph_Ortho!$A18</f>
        <v>2024</v>
      </c>
      <c r="G613">
        <f>Graph_Ortho!$B18</f>
        <v>12</v>
      </c>
      <c r="H613" s="165" t="e">
        <f>Graph_Ortho!$H18</f>
        <v>#VALUE!</v>
      </c>
      <c r="I613" s="160">
        <f>InputData!$C$3</f>
        <v>0.02</v>
      </c>
      <c r="J613" s="160">
        <f>InputData!$C$4</f>
        <v>0.01</v>
      </c>
      <c r="K613" s="160">
        <f>InputData!$C$5</f>
        <v>0.01</v>
      </c>
      <c r="L613" s="160">
        <f>InputData!$C$6</f>
        <v>6.2100000000000002E-2</v>
      </c>
      <c r="M613" s="160">
        <f>InputData!$C$7</f>
        <v>0.03</v>
      </c>
      <c r="N613" s="160">
        <f>InputData!$C$8</f>
        <v>0.02</v>
      </c>
      <c r="O613" s="160">
        <f>InputData!$C$9</f>
        <v>0.06</v>
      </c>
      <c r="P613" s="160">
        <f>InputData!$C$10</f>
        <v>0.02</v>
      </c>
      <c r="Q613" s="160">
        <f>InputData!$C$11</f>
        <v>0.02</v>
      </c>
      <c r="R613" s="160">
        <f>InputData!$C$12</f>
        <v>0.02</v>
      </c>
      <c r="S613" s="160">
        <f>InputData!$C$13</f>
        <v>0.9</v>
      </c>
      <c r="T613" s="116">
        <f>InputData!$C$88</f>
        <v>180000</v>
      </c>
      <c r="U613" s="116">
        <f>InputData!$C$81</f>
        <v>178500</v>
      </c>
      <c r="V613" s="116">
        <f>InputData!$C$82</f>
        <v>303960</v>
      </c>
      <c r="W613" s="116">
        <f>InputData!$C$84</f>
        <v>215220</v>
      </c>
      <c r="X613" s="116">
        <f>InputData!$C$85</f>
        <v>409020</v>
      </c>
      <c r="Y613" s="116">
        <f>InputData!$C$116</f>
        <v>140000</v>
      </c>
      <c r="Z613" s="160">
        <f>InputData!$E$13</f>
        <v>0</v>
      </c>
    </row>
    <row r="614" spans="1:26" x14ac:dyDescent="0.25">
      <c r="A614">
        <f>InputData!$K$1</f>
        <v>2013</v>
      </c>
      <c r="B614" t="str">
        <f>InputData!$G$1</f>
        <v>San Antonio, TX</v>
      </c>
      <c r="C614" t="s">
        <v>177</v>
      </c>
      <c r="D614" t="str">
        <f>Graph_Ortho!$H$6</f>
        <v>PAYE</v>
      </c>
      <c r="E614" t="str">
        <f t="shared" si="9"/>
        <v>Orthopedics PAYE</v>
      </c>
      <c r="F614">
        <f>Graph_Ortho!$A19</f>
        <v>2025</v>
      </c>
      <c r="G614">
        <f>Graph_Ortho!$B19</f>
        <v>13</v>
      </c>
      <c r="H614" s="165" t="e">
        <f>Graph_Ortho!$H19</f>
        <v>#VALUE!</v>
      </c>
      <c r="I614" s="160">
        <f>InputData!$C$3</f>
        <v>0.02</v>
      </c>
      <c r="J614" s="160">
        <f>InputData!$C$4</f>
        <v>0.01</v>
      </c>
      <c r="K614" s="160">
        <f>InputData!$C$5</f>
        <v>0.01</v>
      </c>
      <c r="L614" s="160">
        <f>InputData!$C$6</f>
        <v>6.2100000000000002E-2</v>
      </c>
      <c r="M614" s="160">
        <f>InputData!$C$7</f>
        <v>0.03</v>
      </c>
      <c r="N614" s="160">
        <f>InputData!$C$8</f>
        <v>0.02</v>
      </c>
      <c r="O614" s="160">
        <f>InputData!$C$9</f>
        <v>0.06</v>
      </c>
      <c r="P614" s="160">
        <f>InputData!$C$10</f>
        <v>0.02</v>
      </c>
      <c r="Q614" s="160">
        <f>InputData!$C$11</f>
        <v>0.02</v>
      </c>
      <c r="R614" s="160">
        <f>InputData!$C$12</f>
        <v>0.02</v>
      </c>
      <c r="S614" s="160">
        <f>InputData!$C$13</f>
        <v>0.9</v>
      </c>
      <c r="T614" s="116">
        <f>InputData!$C$88</f>
        <v>180000</v>
      </c>
      <c r="U614" s="116">
        <f>InputData!$C$81</f>
        <v>178500</v>
      </c>
      <c r="V614" s="116">
        <f>InputData!$C$82</f>
        <v>303960</v>
      </c>
      <c r="W614" s="116">
        <f>InputData!$C$84</f>
        <v>215220</v>
      </c>
      <c r="X614" s="116">
        <f>InputData!$C$85</f>
        <v>409020</v>
      </c>
      <c r="Y614" s="116">
        <f>InputData!$C$116</f>
        <v>140000</v>
      </c>
      <c r="Z614" s="160">
        <f>InputData!$E$13</f>
        <v>0</v>
      </c>
    </row>
    <row r="615" spans="1:26" x14ac:dyDescent="0.25">
      <c r="A615">
        <f>InputData!$K$1</f>
        <v>2013</v>
      </c>
      <c r="B615" t="str">
        <f>InputData!$G$1</f>
        <v>San Antonio, TX</v>
      </c>
      <c r="C615" t="s">
        <v>177</v>
      </c>
      <c r="D615" t="str">
        <f>Graph_Ortho!$H$6</f>
        <v>PAYE</v>
      </c>
      <c r="E615" t="str">
        <f t="shared" si="9"/>
        <v>Orthopedics PAYE</v>
      </c>
      <c r="F615">
        <f>Graph_Ortho!$A20</f>
        <v>2026</v>
      </c>
      <c r="G615">
        <f>Graph_Ortho!$B20</f>
        <v>14</v>
      </c>
      <c r="H615" s="165" t="e">
        <f>Graph_Ortho!$H20</f>
        <v>#VALUE!</v>
      </c>
      <c r="I615" s="160">
        <f>InputData!$C$3</f>
        <v>0.02</v>
      </c>
      <c r="J615" s="160">
        <f>InputData!$C$4</f>
        <v>0.01</v>
      </c>
      <c r="K615" s="160">
        <f>InputData!$C$5</f>
        <v>0.01</v>
      </c>
      <c r="L615" s="160">
        <f>InputData!$C$6</f>
        <v>6.2100000000000002E-2</v>
      </c>
      <c r="M615" s="160">
        <f>InputData!$C$7</f>
        <v>0.03</v>
      </c>
      <c r="N615" s="160">
        <f>InputData!$C$8</f>
        <v>0.02</v>
      </c>
      <c r="O615" s="160">
        <f>InputData!$C$9</f>
        <v>0.06</v>
      </c>
      <c r="P615" s="160">
        <f>InputData!$C$10</f>
        <v>0.02</v>
      </c>
      <c r="Q615" s="160">
        <f>InputData!$C$11</f>
        <v>0.02</v>
      </c>
      <c r="R615" s="160">
        <f>InputData!$C$12</f>
        <v>0.02</v>
      </c>
      <c r="S615" s="160">
        <f>InputData!$C$13</f>
        <v>0.9</v>
      </c>
      <c r="T615" s="116">
        <f>InputData!$C$88</f>
        <v>180000</v>
      </c>
      <c r="U615" s="116">
        <f>InputData!$C$81</f>
        <v>178500</v>
      </c>
      <c r="V615" s="116">
        <f>InputData!$C$82</f>
        <v>303960</v>
      </c>
      <c r="W615" s="116">
        <f>InputData!$C$84</f>
        <v>215220</v>
      </c>
      <c r="X615" s="116">
        <f>InputData!$C$85</f>
        <v>409020</v>
      </c>
      <c r="Y615" s="116">
        <f>InputData!$C$116</f>
        <v>140000</v>
      </c>
      <c r="Z615" s="160">
        <f>InputData!$E$13</f>
        <v>0</v>
      </c>
    </row>
    <row r="616" spans="1:26" x14ac:dyDescent="0.25">
      <c r="A616">
        <f>InputData!$K$1</f>
        <v>2013</v>
      </c>
      <c r="B616" t="str">
        <f>InputData!$G$1</f>
        <v>San Antonio, TX</v>
      </c>
      <c r="C616" t="s">
        <v>177</v>
      </c>
      <c r="D616" t="str">
        <f>Graph_Ortho!$H$6</f>
        <v>PAYE</v>
      </c>
      <c r="E616" t="str">
        <f t="shared" si="9"/>
        <v>Orthopedics PAYE</v>
      </c>
      <c r="F616">
        <f>Graph_Ortho!$A21</f>
        <v>2027</v>
      </c>
      <c r="G616">
        <f>Graph_Ortho!$B21</f>
        <v>15</v>
      </c>
      <c r="H616" s="165" t="e">
        <f>Graph_Ortho!$H21</f>
        <v>#VALUE!</v>
      </c>
      <c r="I616" s="160">
        <f>InputData!$C$3</f>
        <v>0.02</v>
      </c>
      <c r="J616" s="160">
        <f>InputData!$C$4</f>
        <v>0.01</v>
      </c>
      <c r="K616" s="160">
        <f>InputData!$C$5</f>
        <v>0.01</v>
      </c>
      <c r="L616" s="160">
        <f>InputData!$C$6</f>
        <v>6.2100000000000002E-2</v>
      </c>
      <c r="M616" s="160">
        <f>InputData!$C$7</f>
        <v>0.03</v>
      </c>
      <c r="N616" s="160">
        <f>InputData!$C$8</f>
        <v>0.02</v>
      </c>
      <c r="O616" s="160">
        <f>InputData!$C$9</f>
        <v>0.06</v>
      </c>
      <c r="P616" s="160">
        <f>InputData!$C$10</f>
        <v>0.02</v>
      </c>
      <c r="Q616" s="160">
        <f>InputData!$C$11</f>
        <v>0.02</v>
      </c>
      <c r="R616" s="160">
        <f>InputData!$C$12</f>
        <v>0.02</v>
      </c>
      <c r="S616" s="160">
        <f>InputData!$C$13</f>
        <v>0.9</v>
      </c>
      <c r="T616" s="116">
        <f>InputData!$C$88</f>
        <v>180000</v>
      </c>
      <c r="U616" s="116">
        <f>InputData!$C$81</f>
        <v>178500</v>
      </c>
      <c r="V616" s="116">
        <f>InputData!$C$82</f>
        <v>303960</v>
      </c>
      <c r="W616" s="116">
        <f>InputData!$C$84</f>
        <v>215220</v>
      </c>
      <c r="X616" s="116">
        <f>InputData!$C$85</f>
        <v>409020</v>
      </c>
      <c r="Y616" s="116">
        <f>InputData!$C$116</f>
        <v>140000</v>
      </c>
      <c r="Z616" s="160">
        <f>InputData!$E$13</f>
        <v>0</v>
      </c>
    </row>
    <row r="617" spans="1:26" x14ac:dyDescent="0.25">
      <c r="A617">
        <f>InputData!$K$1</f>
        <v>2013</v>
      </c>
      <c r="B617" t="str">
        <f>InputData!$G$1</f>
        <v>San Antonio, TX</v>
      </c>
      <c r="C617" t="s">
        <v>177</v>
      </c>
      <c r="D617" t="str">
        <f>Graph_Ortho!$H$6</f>
        <v>PAYE</v>
      </c>
      <c r="E617" t="str">
        <f t="shared" si="9"/>
        <v>Orthopedics PAYE</v>
      </c>
      <c r="F617">
        <f>Graph_Ortho!$A22</f>
        <v>2028</v>
      </c>
      <c r="G617">
        <f>Graph_Ortho!$B22</f>
        <v>16</v>
      </c>
      <c r="H617" s="165" t="e">
        <f>Graph_Ortho!$H22</f>
        <v>#VALUE!</v>
      </c>
      <c r="I617" s="160">
        <f>InputData!$C$3</f>
        <v>0.02</v>
      </c>
      <c r="J617" s="160">
        <f>InputData!$C$4</f>
        <v>0.01</v>
      </c>
      <c r="K617" s="160">
        <f>InputData!$C$5</f>
        <v>0.01</v>
      </c>
      <c r="L617" s="160">
        <f>InputData!$C$6</f>
        <v>6.2100000000000002E-2</v>
      </c>
      <c r="M617" s="160">
        <f>InputData!$C$7</f>
        <v>0.03</v>
      </c>
      <c r="N617" s="160">
        <f>InputData!$C$8</f>
        <v>0.02</v>
      </c>
      <c r="O617" s="160">
        <f>InputData!$C$9</f>
        <v>0.06</v>
      </c>
      <c r="P617" s="160">
        <f>InputData!$C$10</f>
        <v>0.02</v>
      </c>
      <c r="Q617" s="160">
        <f>InputData!$C$11</f>
        <v>0.02</v>
      </c>
      <c r="R617" s="160">
        <f>InputData!$C$12</f>
        <v>0.02</v>
      </c>
      <c r="S617" s="160">
        <f>InputData!$C$13</f>
        <v>0.9</v>
      </c>
      <c r="T617" s="116">
        <f>InputData!$C$88</f>
        <v>180000</v>
      </c>
      <c r="U617" s="116">
        <f>InputData!$C$81</f>
        <v>178500</v>
      </c>
      <c r="V617" s="116">
        <f>InputData!$C$82</f>
        <v>303960</v>
      </c>
      <c r="W617" s="116">
        <f>InputData!$C$84</f>
        <v>215220</v>
      </c>
      <c r="X617" s="116">
        <f>InputData!$C$85</f>
        <v>409020</v>
      </c>
      <c r="Y617" s="116">
        <f>InputData!$C$116</f>
        <v>140000</v>
      </c>
      <c r="Z617" s="160">
        <f>InputData!$E$13</f>
        <v>0</v>
      </c>
    </row>
    <row r="618" spans="1:26" x14ac:dyDescent="0.25">
      <c r="A618">
        <f>InputData!$K$1</f>
        <v>2013</v>
      </c>
      <c r="B618" t="str">
        <f>InputData!$G$1</f>
        <v>San Antonio, TX</v>
      </c>
      <c r="C618" t="s">
        <v>177</v>
      </c>
      <c r="D618" t="str">
        <f>Graph_Ortho!$H$6</f>
        <v>PAYE</v>
      </c>
      <c r="E618" t="str">
        <f t="shared" si="9"/>
        <v>Orthopedics PAYE</v>
      </c>
      <c r="F618">
        <f>Graph_Ortho!$A23</f>
        <v>2029</v>
      </c>
      <c r="G618">
        <f>Graph_Ortho!$B23</f>
        <v>17</v>
      </c>
      <c r="H618" s="165" t="e">
        <f>Graph_Ortho!$H23</f>
        <v>#VALUE!</v>
      </c>
      <c r="I618" s="160">
        <f>InputData!$C$3</f>
        <v>0.02</v>
      </c>
      <c r="J618" s="160">
        <f>InputData!$C$4</f>
        <v>0.01</v>
      </c>
      <c r="K618" s="160">
        <f>InputData!$C$5</f>
        <v>0.01</v>
      </c>
      <c r="L618" s="160">
        <f>InputData!$C$6</f>
        <v>6.2100000000000002E-2</v>
      </c>
      <c r="M618" s="160">
        <f>InputData!$C$7</f>
        <v>0.03</v>
      </c>
      <c r="N618" s="160">
        <f>InputData!$C$8</f>
        <v>0.02</v>
      </c>
      <c r="O618" s="160">
        <f>InputData!$C$9</f>
        <v>0.06</v>
      </c>
      <c r="P618" s="160">
        <f>InputData!$C$10</f>
        <v>0.02</v>
      </c>
      <c r="Q618" s="160">
        <f>InputData!$C$11</f>
        <v>0.02</v>
      </c>
      <c r="R618" s="160">
        <f>InputData!$C$12</f>
        <v>0.02</v>
      </c>
      <c r="S618" s="160">
        <f>InputData!$C$13</f>
        <v>0.9</v>
      </c>
      <c r="T618" s="116">
        <f>InputData!$C$88</f>
        <v>180000</v>
      </c>
      <c r="U618" s="116">
        <f>InputData!$C$81</f>
        <v>178500</v>
      </c>
      <c r="V618" s="116">
        <f>InputData!$C$82</f>
        <v>303960</v>
      </c>
      <c r="W618" s="116">
        <f>InputData!$C$84</f>
        <v>215220</v>
      </c>
      <c r="X618" s="116">
        <f>InputData!$C$85</f>
        <v>409020</v>
      </c>
      <c r="Y618" s="116">
        <f>InputData!$C$116</f>
        <v>140000</v>
      </c>
      <c r="Z618" s="160">
        <f>InputData!$E$13</f>
        <v>0</v>
      </c>
    </row>
    <row r="619" spans="1:26" x14ac:dyDescent="0.25">
      <c r="A619">
        <f>InputData!$K$1</f>
        <v>2013</v>
      </c>
      <c r="B619" t="str">
        <f>InputData!$G$1</f>
        <v>San Antonio, TX</v>
      </c>
      <c r="C619" t="s">
        <v>177</v>
      </c>
      <c r="D619" t="str">
        <f>Graph_Ortho!$H$6</f>
        <v>PAYE</v>
      </c>
      <c r="E619" t="str">
        <f t="shared" si="9"/>
        <v>Orthopedics PAYE</v>
      </c>
      <c r="F619">
        <f>Graph_Ortho!$A24</f>
        <v>2030</v>
      </c>
      <c r="G619">
        <f>Graph_Ortho!$B24</f>
        <v>18</v>
      </c>
      <c r="H619" s="165" t="e">
        <f>Graph_Ortho!$H24</f>
        <v>#VALUE!</v>
      </c>
      <c r="I619" s="160">
        <f>InputData!$C$3</f>
        <v>0.02</v>
      </c>
      <c r="J619" s="160">
        <f>InputData!$C$4</f>
        <v>0.01</v>
      </c>
      <c r="K619" s="160">
        <f>InputData!$C$5</f>
        <v>0.01</v>
      </c>
      <c r="L619" s="160">
        <f>InputData!$C$6</f>
        <v>6.2100000000000002E-2</v>
      </c>
      <c r="M619" s="160">
        <f>InputData!$C$7</f>
        <v>0.03</v>
      </c>
      <c r="N619" s="160">
        <f>InputData!$C$8</f>
        <v>0.02</v>
      </c>
      <c r="O619" s="160">
        <f>InputData!$C$9</f>
        <v>0.06</v>
      </c>
      <c r="P619" s="160">
        <f>InputData!$C$10</f>
        <v>0.02</v>
      </c>
      <c r="Q619" s="160">
        <f>InputData!$C$11</f>
        <v>0.02</v>
      </c>
      <c r="R619" s="160">
        <f>InputData!$C$12</f>
        <v>0.02</v>
      </c>
      <c r="S619" s="160">
        <f>InputData!$C$13</f>
        <v>0.9</v>
      </c>
      <c r="T619" s="116">
        <f>InputData!$C$88</f>
        <v>180000</v>
      </c>
      <c r="U619" s="116">
        <f>InputData!$C$81</f>
        <v>178500</v>
      </c>
      <c r="V619" s="116">
        <f>InputData!$C$82</f>
        <v>303960</v>
      </c>
      <c r="W619" s="116">
        <f>InputData!$C$84</f>
        <v>215220</v>
      </c>
      <c r="X619" s="116">
        <f>InputData!$C$85</f>
        <v>409020</v>
      </c>
      <c r="Y619" s="116">
        <f>InputData!$C$116</f>
        <v>140000</v>
      </c>
      <c r="Z619" s="160">
        <f>InputData!$E$13</f>
        <v>0</v>
      </c>
    </row>
    <row r="620" spans="1:26" x14ac:dyDescent="0.25">
      <c r="A620">
        <f>InputData!$K$1</f>
        <v>2013</v>
      </c>
      <c r="B620" t="str">
        <f>InputData!$G$1</f>
        <v>San Antonio, TX</v>
      </c>
      <c r="C620" t="s">
        <v>177</v>
      </c>
      <c r="D620" t="str">
        <f>Graph_Ortho!$H$6</f>
        <v>PAYE</v>
      </c>
      <c r="E620" t="str">
        <f t="shared" si="9"/>
        <v>Orthopedics PAYE</v>
      </c>
      <c r="F620">
        <f>Graph_Ortho!$A25</f>
        <v>2031</v>
      </c>
      <c r="G620">
        <f>Graph_Ortho!$B25</f>
        <v>19</v>
      </c>
      <c r="H620" s="165" t="e">
        <f>Graph_Ortho!$H25</f>
        <v>#VALUE!</v>
      </c>
      <c r="I620" s="160">
        <f>InputData!$C$3</f>
        <v>0.02</v>
      </c>
      <c r="J620" s="160">
        <f>InputData!$C$4</f>
        <v>0.01</v>
      </c>
      <c r="K620" s="160">
        <f>InputData!$C$5</f>
        <v>0.01</v>
      </c>
      <c r="L620" s="160">
        <f>InputData!$C$6</f>
        <v>6.2100000000000002E-2</v>
      </c>
      <c r="M620" s="160">
        <f>InputData!$C$7</f>
        <v>0.03</v>
      </c>
      <c r="N620" s="160">
        <f>InputData!$C$8</f>
        <v>0.02</v>
      </c>
      <c r="O620" s="160">
        <f>InputData!$C$9</f>
        <v>0.06</v>
      </c>
      <c r="P620" s="160">
        <f>InputData!$C$10</f>
        <v>0.02</v>
      </c>
      <c r="Q620" s="160">
        <f>InputData!$C$11</f>
        <v>0.02</v>
      </c>
      <c r="R620" s="160">
        <f>InputData!$C$12</f>
        <v>0.02</v>
      </c>
      <c r="S620" s="160">
        <f>InputData!$C$13</f>
        <v>0.9</v>
      </c>
      <c r="T620" s="116">
        <f>InputData!$C$88</f>
        <v>180000</v>
      </c>
      <c r="U620" s="116">
        <f>InputData!$C$81</f>
        <v>178500</v>
      </c>
      <c r="V620" s="116">
        <f>InputData!$C$82</f>
        <v>303960</v>
      </c>
      <c r="W620" s="116">
        <f>InputData!$C$84</f>
        <v>215220</v>
      </c>
      <c r="X620" s="116">
        <f>InputData!$C$85</f>
        <v>409020</v>
      </c>
      <c r="Y620" s="116">
        <f>InputData!$C$116</f>
        <v>140000</v>
      </c>
      <c r="Z620" s="160">
        <f>InputData!$E$13</f>
        <v>0</v>
      </c>
    </row>
    <row r="621" spans="1:26" x14ac:dyDescent="0.25">
      <c r="A621">
        <f>InputData!$K$1</f>
        <v>2013</v>
      </c>
      <c r="B621" t="str">
        <f>InputData!$G$1</f>
        <v>San Antonio, TX</v>
      </c>
      <c r="C621" t="s">
        <v>177</v>
      </c>
      <c r="D621" t="str">
        <f>Graph_Ortho!$H$6</f>
        <v>PAYE</v>
      </c>
      <c r="E621" t="str">
        <f t="shared" si="9"/>
        <v>Orthopedics PAYE</v>
      </c>
      <c r="F621">
        <f>Graph_Ortho!$A26</f>
        <v>2032</v>
      </c>
      <c r="G621">
        <f>Graph_Ortho!$B26</f>
        <v>20</v>
      </c>
      <c r="H621" s="165" t="e">
        <f>Graph_Ortho!$H26</f>
        <v>#VALUE!</v>
      </c>
      <c r="I621" s="160">
        <f>InputData!$C$3</f>
        <v>0.02</v>
      </c>
      <c r="J621" s="160">
        <f>InputData!$C$4</f>
        <v>0.01</v>
      </c>
      <c r="K621" s="160">
        <f>InputData!$C$5</f>
        <v>0.01</v>
      </c>
      <c r="L621" s="160">
        <f>InputData!$C$6</f>
        <v>6.2100000000000002E-2</v>
      </c>
      <c r="M621" s="160">
        <f>InputData!$C$7</f>
        <v>0.03</v>
      </c>
      <c r="N621" s="160">
        <f>InputData!$C$8</f>
        <v>0.02</v>
      </c>
      <c r="O621" s="160">
        <f>InputData!$C$9</f>
        <v>0.06</v>
      </c>
      <c r="P621" s="160">
        <f>InputData!$C$10</f>
        <v>0.02</v>
      </c>
      <c r="Q621" s="160">
        <f>InputData!$C$11</f>
        <v>0.02</v>
      </c>
      <c r="R621" s="160">
        <f>InputData!$C$12</f>
        <v>0.02</v>
      </c>
      <c r="S621" s="160">
        <f>InputData!$C$13</f>
        <v>0.9</v>
      </c>
      <c r="T621" s="116">
        <f>InputData!$C$88</f>
        <v>180000</v>
      </c>
      <c r="U621" s="116">
        <f>InputData!$C$81</f>
        <v>178500</v>
      </c>
      <c r="V621" s="116">
        <f>InputData!$C$82</f>
        <v>303960</v>
      </c>
      <c r="W621" s="116">
        <f>InputData!$C$84</f>
        <v>215220</v>
      </c>
      <c r="X621" s="116">
        <f>InputData!$C$85</f>
        <v>409020</v>
      </c>
      <c r="Y621" s="116">
        <f>InputData!$C$116</f>
        <v>140000</v>
      </c>
      <c r="Z621" s="160">
        <f>InputData!$E$13</f>
        <v>0</v>
      </c>
    </row>
    <row r="622" spans="1:26" x14ac:dyDescent="0.25">
      <c r="A622">
        <f>InputData!$K$1</f>
        <v>2013</v>
      </c>
      <c r="B622" t="str">
        <f>InputData!$G$1</f>
        <v>San Antonio, TX</v>
      </c>
      <c r="C622" t="s">
        <v>177</v>
      </c>
      <c r="D622" t="str">
        <f>Graph_Ortho!$H$6</f>
        <v>PAYE</v>
      </c>
      <c r="E622" t="str">
        <f t="shared" si="9"/>
        <v>Orthopedics PAYE</v>
      </c>
      <c r="F622">
        <f>Graph_Ortho!$A27</f>
        <v>2033</v>
      </c>
      <c r="G622">
        <f>Graph_Ortho!$B27</f>
        <v>21</v>
      </c>
      <c r="H622" s="165" t="e">
        <f>Graph_Ortho!$H27</f>
        <v>#VALUE!</v>
      </c>
      <c r="I622" s="160">
        <f>InputData!$C$3</f>
        <v>0.02</v>
      </c>
      <c r="J622" s="160">
        <f>InputData!$C$4</f>
        <v>0.01</v>
      </c>
      <c r="K622" s="160">
        <f>InputData!$C$5</f>
        <v>0.01</v>
      </c>
      <c r="L622" s="160">
        <f>InputData!$C$6</f>
        <v>6.2100000000000002E-2</v>
      </c>
      <c r="M622" s="160">
        <f>InputData!$C$7</f>
        <v>0.03</v>
      </c>
      <c r="N622" s="160">
        <f>InputData!$C$8</f>
        <v>0.02</v>
      </c>
      <c r="O622" s="160">
        <f>InputData!$C$9</f>
        <v>0.06</v>
      </c>
      <c r="P622" s="160">
        <f>InputData!$C$10</f>
        <v>0.02</v>
      </c>
      <c r="Q622" s="160">
        <f>InputData!$C$11</f>
        <v>0.02</v>
      </c>
      <c r="R622" s="160">
        <f>InputData!$C$12</f>
        <v>0.02</v>
      </c>
      <c r="S622" s="160">
        <f>InputData!$C$13</f>
        <v>0.9</v>
      </c>
      <c r="T622" s="116">
        <f>InputData!$C$88</f>
        <v>180000</v>
      </c>
      <c r="U622" s="116">
        <f>InputData!$C$81</f>
        <v>178500</v>
      </c>
      <c r="V622" s="116">
        <f>InputData!$C$82</f>
        <v>303960</v>
      </c>
      <c r="W622" s="116">
        <f>InputData!$C$84</f>
        <v>215220</v>
      </c>
      <c r="X622" s="116">
        <f>InputData!$C$85</f>
        <v>409020</v>
      </c>
      <c r="Y622" s="116">
        <f>InputData!$C$116</f>
        <v>140000</v>
      </c>
      <c r="Z622" s="160">
        <f>InputData!$E$13</f>
        <v>0</v>
      </c>
    </row>
    <row r="623" spans="1:26" x14ac:dyDescent="0.25">
      <c r="A623">
        <f>InputData!$K$1</f>
        <v>2013</v>
      </c>
      <c r="B623" t="str">
        <f>InputData!$G$1</f>
        <v>San Antonio, TX</v>
      </c>
      <c r="C623" t="s">
        <v>177</v>
      </c>
      <c r="D623" t="str">
        <f>Graph_Ortho!$H$6</f>
        <v>PAYE</v>
      </c>
      <c r="E623" t="str">
        <f t="shared" si="9"/>
        <v>Orthopedics PAYE</v>
      </c>
      <c r="F623">
        <f>Graph_Ortho!$A28</f>
        <v>2034</v>
      </c>
      <c r="G623">
        <f>Graph_Ortho!$B28</f>
        <v>22</v>
      </c>
      <c r="H623" s="165" t="e">
        <f>Graph_Ortho!$H28</f>
        <v>#VALUE!</v>
      </c>
      <c r="I623" s="160">
        <f>InputData!$C$3</f>
        <v>0.02</v>
      </c>
      <c r="J623" s="160">
        <f>InputData!$C$4</f>
        <v>0.01</v>
      </c>
      <c r="K623" s="160">
        <f>InputData!$C$5</f>
        <v>0.01</v>
      </c>
      <c r="L623" s="160">
        <f>InputData!$C$6</f>
        <v>6.2100000000000002E-2</v>
      </c>
      <c r="M623" s="160">
        <f>InputData!$C$7</f>
        <v>0.03</v>
      </c>
      <c r="N623" s="160">
        <f>InputData!$C$8</f>
        <v>0.02</v>
      </c>
      <c r="O623" s="160">
        <f>InputData!$C$9</f>
        <v>0.06</v>
      </c>
      <c r="P623" s="160">
        <f>InputData!$C$10</f>
        <v>0.02</v>
      </c>
      <c r="Q623" s="160">
        <f>InputData!$C$11</f>
        <v>0.02</v>
      </c>
      <c r="R623" s="160">
        <f>InputData!$C$12</f>
        <v>0.02</v>
      </c>
      <c r="S623" s="160">
        <f>InputData!$C$13</f>
        <v>0.9</v>
      </c>
      <c r="T623" s="116">
        <f>InputData!$C$88</f>
        <v>180000</v>
      </c>
      <c r="U623" s="116">
        <f>InputData!$C$81</f>
        <v>178500</v>
      </c>
      <c r="V623" s="116">
        <f>InputData!$C$82</f>
        <v>303960</v>
      </c>
      <c r="W623" s="116">
        <f>InputData!$C$84</f>
        <v>215220</v>
      </c>
      <c r="X623" s="116">
        <f>InputData!$C$85</f>
        <v>409020</v>
      </c>
      <c r="Y623" s="116">
        <f>InputData!$C$116</f>
        <v>140000</v>
      </c>
      <c r="Z623" s="160">
        <f>InputData!$E$13</f>
        <v>0</v>
      </c>
    </row>
    <row r="624" spans="1:26" x14ac:dyDescent="0.25">
      <c r="A624">
        <f>InputData!$K$1</f>
        <v>2013</v>
      </c>
      <c r="B624" t="str">
        <f>InputData!$G$1</f>
        <v>San Antonio, TX</v>
      </c>
      <c r="C624" t="s">
        <v>177</v>
      </c>
      <c r="D624" t="str">
        <f>Graph_Ortho!$H$6</f>
        <v>PAYE</v>
      </c>
      <c r="E624" t="str">
        <f t="shared" si="9"/>
        <v>Orthopedics PAYE</v>
      </c>
      <c r="F624">
        <f>Graph_Ortho!$A29</f>
        <v>2035</v>
      </c>
      <c r="G624">
        <f>Graph_Ortho!$B29</f>
        <v>23</v>
      </c>
      <c r="H624" s="165" t="e">
        <f>Graph_Ortho!$H29</f>
        <v>#VALUE!</v>
      </c>
      <c r="I624" s="160">
        <f>InputData!$C$3</f>
        <v>0.02</v>
      </c>
      <c r="J624" s="160">
        <f>InputData!$C$4</f>
        <v>0.01</v>
      </c>
      <c r="K624" s="160">
        <f>InputData!$C$5</f>
        <v>0.01</v>
      </c>
      <c r="L624" s="160">
        <f>InputData!$C$6</f>
        <v>6.2100000000000002E-2</v>
      </c>
      <c r="M624" s="160">
        <f>InputData!$C$7</f>
        <v>0.03</v>
      </c>
      <c r="N624" s="160">
        <f>InputData!$C$8</f>
        <v>0.02</v>
      </c>
      <c r="O624" s="160">
        <f>InputData!$C$9</f>
        <v>0.06</v>
      </c>
      <c r="P624" s="160">
        <f>InputData!$C$10</f>
        <v>0.02</v>
      </c>
      <c r="Q624" s="160">
        <f>InputData!$C$11</f>
        <v>0.02</v>
      </c>
      <c r="R624" s="160">
        <f>InputData!$C$12</f>
        <v>0.02</v>
      </c>
      <c r="S624" s="160">
        <f>InputData!$C$13</f>
        <v>0.9</v>
      </c>
      <c r="T624" s="116">
        <f>InputData!$C$88</f>
        <v>180000</v>
      </c>
      <c r="U624" s="116">
        <f>InputData!$C$81</f>
        <v>178500</v>
      </c>
      <c r="V624" s="116">
        <f>InputData!$C$82</f>
        <v>303960</v>
      </c>
      <c r="W624" s="116">
        <f>InputData!$C$84</f>
        <v>215220</v>
      </c>
      <c r="X624" s="116">
        <f>InputData!$C$85</f>
        <v>409020</v>
      </c>
      <c r="Y624" s="116">
        <f>InputData!$C$116</f>
        <v>140000</v>
      </c>
      <c r="Z624" s="160">
        <f>InputData!$E$13</f>
        <v>0</v>
      </c>
    </row>
    <row r="625" spans="1:26" x14ac:dyDescent="0.25">
      <c r="A625">
        <f>InputData!$K$1</f>
        <v>2013</v>
      </c>
      <c r="B625" t="str">
        <f>InputData!$G$1</f>
        <v>San Antonio, TX</v>
      </c>
      <c r="C625" t="s">
        <v>177</v>
      </c>
      <c r="D625" t="str">
        <f>Graph_Ortho!$H$6</f>
        <v>PAYE</v>
      </c>
      <c r="E625" t="str">
        <f t="shared" si="9"/>
        <v>Orthopedics PAYE</v>
      </c>
      <c r="F625">
        <f>Graph_Ortho!$A30</f>
        <v>2036</v>
      </c>
      <c r="G625">
        <f>Graph_Ortho!$B30</f>
        <v>24</v>
      </c>
      <c r="H625" s="165" t="e">
        <f>Graph_Ortho!$H30</f>
        <v>#VALUE!</v>
      </c>
      <c r="I625" s="160">
        <f>InputData!$C$3</f>
        <v>0.02</v>
      </c>
      <c r="J625" s="160">
        <f>InputData!$C$4</f>
        <v>0.01</v>
      </c>
      <c r="K625" s="160">
        <f>InputData!$C$5</f>
        <v>0.01</v>
      </c>
      <c r="L625" s="160">
        <f>InputData!$C$6</f>
        <v>6.2100000000000002E-2</v>
      </c>
      <c r="M625" s="160">
        <f>InputData!$C$7</f>
        <v>0.03</v>
      </c>
      <c r="N625" s="160">
        <f>InputData!$C$8</f>
        <v>0.02</v>
      </c>
      <c r="O625" s="160">
        <f>InputData!$C$9</f>
        <v>0.06</v>
      </c>
      <c r="P625" s="160">
        <f>InputData!$C$10</f>
        <v>0.02</v>
      </c>
      <c r="Q625" s="160">
        <f>InputData!$C$11</f>
        <v>0.02</v>
      </c>
      <c r="R625" s="160">
        <f>InputData!$C$12</f>
        <v>0.02</v>
      </c>
      <c r="S625" s="160">
        <f>InputData!$C$13</f>
        <v>0.9</v>
      </c>
      <c r="T625" s="116">
        <f>InputData!$C$88</f>
        <v>180000</v>
      </c>
      <c r="U625" s="116">
        <f>InputData!$C$81</f>
        <v>178500</v>
      </c>
      <c r="V625" s="116">
        <f>InputData!$C$82</f>
        <v>303960</v>
      </c>
      <c r="W625" s="116">
        <f>InputData!$C$84</f>
        <v>215220</v>
      </c>
      <c r="X625" s="116">
        <f>InputData!$C$85</f>
        <v>409020</v>
      </c>
      <c r="Y625" s="116">
        <f>InputData!$C$116</f>
        <v>140000</v>
      </c>
      <c r="Z625" s="160">
        <f>InputData!$E$13</f>
        <v>0</v>
      </c>
    </row>
    <row r="626" spans="1:26" x14ac:dyDescent="0.25">
      <c r="A626">
        <f>InputData!$K$1</f>
        <v>2013</v>
      </c>
      <c r="B626" t="str">
        <f>InputData!$G$1</f>
        <v>San Antonio, TX</v>
      </c>
      <c r="C626" t="s">
        <v>177</v>
      </c>
      <c r="D626" t="str">
        <f>Graph_Ortho!$H$6</f>
        <v>PAYE</v>
      </c>
      <c r="E626" t="str">
        <f t="shared" si="9"/>
        <v>Orthopedics PAYE</v>
      </c>
      <c r="F626">
        <f>Graph_Ortho!$A31</f>
        <v>2037</v>
      </c>
      <c r="G626">
        <f>Graph_Ortho!$B31</f>
        <v>25</v>
      </c>
      <c r="H626" s="165" t="e">
        <f>Graph_Ortho!$H31</f>
        <v>#VALUE!</v>
      </c>
      <c r="I626" s="160">
        <f>InputData!$C$3</f>
        <v>0.02</v>
      </c>
      <c r="J626" s="160">
        <f>InputData!$C$4</f>
        <v>0.01</v>
      </c>
      <c r="K626" s="160">
        <f>InputData!$C$5</f>
        <v>0.01</v>
      </c>
      <c r="L626" s="160">
        <f>InputData!$C$6</f>
        <v>6.2100000000000002E-2</v>
      </c>
      <c r="M626" s="160">
        <f>InputData!$C$7</f>
        <v>0.03</v>
      </c>
      <c r="N626" s="160">
        <f>InputData!$C$8</f>
        <v>0.02</v>
      </c>
      <c r="O626" s="160">
        <f>InputData!$C$9</f>
        <v>0.06</v>
      </c>
      <c r="P626" s="160">
        <f>InputData!$C$10</f>
        <v>0.02</v>
      </c>
      <c r="Q626" s="160">
        <f>InputData!$C$11</f>
        <v>0.02</v>
      </c>
      <c r="R626" s="160">
        <f>InputData!$C$12</f>
        <v>0.02</v>
      </c>
      <c r="S626" s="160">
        <f>InputData!$C$13</f>
        <v>0.9</v>
      </c>
      <c r="T626" s="116">
        <f>InputData!$C$88</f>
        <v>180000</v>
      </c>
      <c r="U626" s="116">
        <f>InputData!$C$81</f>
        <v>178500</v>
      </c>
      <c r="V626" s="116">
        <f>InputData!$C$82</f>
        <v>303960</v>
      </c>
      <c r="W626" s="116">
        <f>InputData!$C$84</f>
        <v>215220</v>
      </c>
      <c r="X626" s="116">
        <f>InputData!$C$85</f>
        <v>409020</v>
      </c>
      <c r="Y626" s="116">
        <f>InputData!$C$116</f>
        <v>140000</v>
      </c>
      <c r="Z626" s="160">
        <f>InputData!$E$13</f>
        <v>0</v>
      </c>
    </row>
    <row r="627" spans="1:26" x14ac:dyDescent="0.25">
      <c r="A627">
        <f>InputData!$K$1</f>
        <v>2013</v>
      </c>
      <c r="B627" t="str">
        <f>InputData!$G$1</f>
        <v>San Antonio, TX</v>
      </c>
      <c r="C627" t="s">
        <v>177</v>
      </c>
      <c r="D627" t="str">
        <f>Graph_Ortho!$H$6</f>
        <v>PAYE</v>
      </c>
      <c r="E627" t="str">
        <f t="shared" si="9"/>
        <v>Orthopedics PAYE</v>
      </c>
      <c r="F627">
        <f>Graph_Ortho!$A32</f>
        <v>2038</v>
      </c>
      <c r="G627">
        <f>Graph_Ortho!$B32</f>
        <v>26</v>
      </c>
      <c r="H627" s="165" t="e">
        <f>Graph_Ortho!$H32</f>
        <v>#VALUE!</v>
      </c>
      <c r="I627" s="160">
        <f>InputData!$C$3</f>
        <v>0.02</v>
      </c>
      <c r="J627" s="160">
        <f>InputData!$C$4</f>
        <v>0.01</v>
      </c>
      <c r="K627" s="160">
        <f>InputData!$C$5</f>
        <v>0.01</v>
      </c>
      <c r="L627" s="160">
        <f>InputData!$C$6</f>
        <v>6.2100000000000002E-2</v>
      </c>
      <c r="M627" s="160">
        <f>InputData!$C$7</f>
        <v>0.03</v>
      </c>
      <c r="N627" s="160">
        <f>InputData!$C$8</f>
        <v>0.02</v>
      </c>
      <c r="O627" s="160">
        <f>InputData!$C$9</f>
        <v>0.06</v>
      </c>
      <c r="P627" s="160">
        <f>InputData!$C$10</f>
        <v>0.02</v>
      </c>
      <c r="Q627" s="160">
        <f>InputData!$C$11</f>
        <v>0.02</v>
      </c>
      <c r="R627" s="160">
        <f>InputData!$C$12</f>
        <v>0.02</v>
      </c>
      <c r="S627" s="160">
        <f>InputData!$C$13</f>
        <v>0.9</v>
      </c>
      <c r="T627" s="116">
        <f>InputData!$C$88</f>
        <v>180000</v>
      </c>
      <c r="U627" s="116">
        <f>InputData!$C$81</f>
        <v>178500</v>
      </c>
      <c r="V627" s="116">
        <f>InputData!$C$82</f>
        <v>303960</v>
      </c>
      <c r="W627" s="116">
        <f>InputData!$C$84</f>
        <v>215220</v>
      </c>
      <c r="X627" s="116">
        <f>InputData!$C$85</f>
        <v>409020</v>
      </c>
      <c r="Y627" s="116">
        <f>InputData!$C$116</f>
        <v>140000</v>
      </c>
      <c r="Z627" s="160">
        <f>InputData!$E$13</f>
        <v>0</v>
      </c>
    </row>
    <row r="628" spans="1:26" x14ac:dyDescent="0.25">
      <c r="A628">
        <f>InputData!$K$1</f>
        <v>2013</v>
      </c>
      <c r="B628" t="str">
        <f>InputData!$G$1</f>
        <v>San Antonio, TX</v>
      </c>
      <c r="C628" t="s">
        <v>177</v>
      </c>
      <c r="D628" t="str">
        <f>Graph_Ortho!$H$6</f>
        <v>PAYE</v>
      </c>
      <c r="E628" t="str">
        <f t="shared" si="9"/>
        <v>Orthopedics PAYE</v>
      </c>
      <c r="F628">
        <f>Graph_Ortho!$A33</f>
        <v>2039</v>
      </c>
      <c r="G628">
        <f>Graph_Ortho!$B33</f>
        <v>27</v>
      </c>
      <c r="H628" s="165" t="e">
        <f>Graph_Ortho!$H33</f>
        <v>#VALUE!</v>
      </c>
      <c r="I628" s="160">
        <f>InputData!$C$3</f>
        <v>0.02</v>
      </c>
      <c r="J628" s="160">
        <f>InputData!$C$4</f>
        <v>0.01</v>
      </c>
      <c r="K628" s="160">
        <f>InputData!$C$5</f>
        <v>0.01</v>
      </c>
      <c r="L628" s="160">
        <f>InputData!$C$6</f>
        <v>6.2100000000000002E-2</v>
      </c>
      <c r="M628" s="160">
        <f>InputData!$C$7</f>
        <v>0.03</v>
      </c>
      <c r="N628" s="160">
        <f>InputData!$C$8</f>
        <v>0.02</v>
      </c>
      <c r="O628" s="160">
        <f>InputData!$C$9</f>
        <v>0.06</v>
      </c>
      <c r="P628" s="160">
        <f>InputData!$C$10</f>
        <v>0.02</v>
      </c>
      <c r="Q628" s="160">
        <f>InputData!$C$11</f>
        <v>0.02</v>
      </c>
      <c r="R628" s="160">
        <f>InputData!$C$12</f>
        <v>0.02</v>
      </c>
      <c r="S628" s="160">
        <f>InputData!$C$13</f>
        <v>0.9</v>
      </c>
      <c r="T628" s="116">
        <f>InputData!$C$88</f>
        <v>180000</v>
      </c>
      <c r="U628" s="116">
        <f>InputData!$C$81</f>
        <v>178500</v>
      </c>
      <c r="V628" s="116">
        <f>InputData!$C$82</f>
        <v>303960</v>
      </c>
      <c r="W628" s="116">
        <f>InputData!$C$84</f>
        <v>215220</v>
      </c>
      <c r="X628" s="116">
        <f>InputData!$C$85</f>
        <v>409020</v>
      </c>
      <c r="Y628" s="116">
        <f>InputData!$C$116</f>
        <v>140000</v>
      </c>
      <c r="Z628" s="160">
        <f>InputData!$E$13</f>
        <v>0</v>
      </c>
    </row>
    <row r="629" spans="1:26" x14ac:dyDescent="0.25">
      <c r="A629">
        <f>InputData!$K$1</f>
        <v>2013</v>
      </c>
      <c r="B629" t="str">
        <f>InputData!$G$1</f>
        <v>San Antonio, TX</v>
      </c>
      <c r="C629" t="s">
        <v>177</v>
      </c>
      <c r="D629" t="str">
        <f>Graph_Ortho!$H$6</f>
        <v>PAYE</v>
      </c>
      <c r="E629" t="str">
        <f t="shared" si="9"/>
        <v>Orthopedics PAYE</v>
      </c>
      <c r="F629">
        <f>Graph_Ortho!$A34</f>
        <v>2040</v>
      </c>
      <c r="G629">
        <f>Graph_Ortho!$B34</f>
        <v>28</v>
      </c>
      <c r="H629" s="165" t="e">
        <f>Graph_Ortho!$H34</f>
        <v>#VALUE!</v>
      </c>
      <c r="I629" s="160">
        <f>InputData!$C$3</f>
        <v>0.02</v>
      </c>
      <c r="J629" s="160">
        <f>InputData!$C$4</f>
        <v>0.01</v>
      </c>
      <c r="K629" s="160">
        <f>InputData!$C$5</f>
        <v>0.01</v>
      </c>
      <c r="L629" s="160">
        <f>InputData!$C$6</f>
        <v>6.2100000000000002E-2</v>
      </c>
      <c r="M629" s="160">
        <f>InputData!$C$7</f>
        <v>0.03</v>
      </c>
      <c r="N629" s="160">
        <f>InputData!$C$8</f>
        <v>0.02</v>
      </c>
      <c r="O629" s="160">
        <f>InputData!$C$9</f>
        <v>0.06</v>
      </c>
      <c r="P629" s="160">
        <f>InputData!$C$10</f>
        <v>0.02</v>
      </c>
      <c r="Q629" s="160">
        <f>InputData!$C$11</f>
        <v>0.02</v>
      </c>
      <c r="R629" s="160">
        <f>InputData!$C$12</f>
        <v>0.02</v>
      </c>
      <c r="S629" s="160">
        <f>InputData!$C$13</f>
        <v>0.9</v>
      </c>
      <c r="T629" s="116">
        <f>InputData!$C$88</f>
        <v>180000</v>
      </c>
      <c r="U629" s="116">
        <f>InputData!$C$81</f>
        <v>178500</v>
      </c>
      <c r="V629" s="116">
        <f>InputData!$C$82</f>
        <v>303960</v>
      </c>
      <c r="W629" s="116">
        <f>InputData!$C$84</f>
        <v>215220</v>
      </c>
      <c r="X629" s="116">
        <f>InputData!$C$85</f>
        <v>409020</v>
      </c>
      <c r="Y629" s="116">
        <f>InputData!$C$116</f>
        <v>140000</v>
      </c>
      <c r="Z629" s="160">
        <f>InputData!$E$13</f>
        <v>0</v>
      </c>
    </row>
    <row r="630" spans="1:26" x14ac:dyDescent="0.25">
      <c r="A630">
        <f>InputData!$K$1</f>
        <v>2013</v>
      </c>
      <c r="B630" t="str">
        <f>InputData!$G$1</f>
        <v>San Antonio, TX</v>
      </c>
      <c r="C630" t="s">
        <v>177</v>
      </c>
      <c r="D630" t="str">
        <f>Graph_Ortho!$H$6</f>
        <v>PAYE</v>
      </c>
      <c r="E630" t="str">
        <f t="shared" si="9"/>
        <v>Orthopedics PAYE</v>
      </c>
      <c r="F630">
        <f>Graph_Ortho!$A35</f>
        <v>2041</v>
      </c>
      <c r="G630">
        <f>Graph_Ortho!$B35</f>
        <v>29</v>
      </c>
      <c r="H630" s="165" t="e">
        <f>Graph_Ortho!$H35</f>
        <v>#VALUE!</v>
      </c>
      <c r="I630" s="160">
        <f>InputData!$C$3</f>
        <v>0.02</v>
      </c>
      <c r="J630" s="160">
        <f>InputData!$C$4</f>
        <v>0.01</v>
      </c>
      <c r="K630" s="160">
        <f>InputData!$C$5</f>
        <v>0.01</v>
      </c>
      <c r="L630" s="160">
        <f>InputData!$C$6</f>
        <v>6.2100000000000002E-2</v>
      </c>
      <c r="M630" s="160">
        <f>InputData!$C$7</f>
        <v>0.03</v>
      </c>
      <c r="N630" s="160">
        <f>InputData!$C$8</f>
        <v>0.02</v>
      </c>
      <c r="O630" s="160">
        <f>InputData!$C$9</f>
        <v>0.06</v>
      </c>
      <c r="P630" s="160">
        <f>InputData!$C$10</f>
        <v>0.02</v>
      </c>
      <c r="Q630" s="160">
        <f>InputData!$C$11</f>
        <v>0.02</v>
      </c>
      <c r="R630" s="160">
        <f>InputData!$C$12</f>
        <v>0.02</v>
      </c>
      <c r="S630" s="160">
        <f>InputData!$C$13</f>
        <v>0.9</v>
      </c>
      <c r="T630" s="116">
        <f>InputData!$C$88</f>
        <v>180000</v>
      </c>
      <c r="U630" s="116">
        <f>InputData!$C$81</f>
        <v>178500</v>
      </c>
      <c r="V630" s="116">
        <f>InputData!$C$82</f>
        <v>303960</v>
      </c>
      <c r="W630" s="116">
        <f>InputData!$C$84</f>
        <v>215220</v>
      </c>
      <c r="X630" s="116">
        <f>InputData!$C$85</f>
        <v>409020</v>
      </c>
      <c r="Y630" s="116">
        <f>InputData!$C$116</f>
        <v>140000</v>
      </c>
      <c r="Z630" s="160">
        <f>InputData!$E$13</f>
        <v>0</v>
      </c>
    </row>
    <row r="631" spans="1:26" x14ac:dyDescent="0.25">
      <c r="A631">
        <f>InputData!$K$1</f>
        <v>2013</v>
      </c>
      <c r="B631" t="str">
        <f>InputData!$G$1</f>
        <v>San Antonio, TX</v>
      </c>
      <c r="C631" t="s">
        <v>177</v>
      </c>
      <c r="D631" t="str">
        <f>Graph_Ortho!$H$6</f>
        <v>PAYE</v>
      </c>
      <c r="E631" t="str">
        <f t="shared" si="9"/>
        <v>Orthopedics PAYE</v>
      </c>
      <c r="F631">
        <f>Graph_Ortho!$A36</f>
        <v>2042</v>
      </c>
      <c r="G631">
        <f>Graph_Ortho!$B36</f>
        <v>30</v>
      </c>
      <c r="H631" s="165" t="e">
        <f>Graph_Ortho!$H36</f>
        <v>#VALUE!</v>
      </c>
      <c r="I631" s="160">
        <f>InputData!$C$3</f>
        <v>0.02</v>
      </c>
      <c r="J631" s="160">
        <f>InputData!$C$4</f>
        <v>0.01</v>
      </c>
      <c r="K631" s="160">
        <f>InputData!$C$5</f>
        <v>0.01</v>
      </c>
      <c r="L631" s="160">
        <f>InputData!$C$6</f>
        <v>6.2100000000000002E-2</v>
      </c>
      <c r="M631" s="160">
        <f>InputData!$C$7</f>
        <v>0.03</v>
      </c>
      <c r="N631" s="160">
        <f>InputData!$C$8</f>
        <v>0.02</v>
      </c>
      <c r="O631" s="160">
        <f>InputData!$C$9</f>
        <v>0.06</v>
      </c>
      <c r="P631" s="160">
        <f>InputData!$C$10</f>
        <v>0.02</v>
      </c>
      <c r="Q631" s="160">
        <f>InputData!$C$11</f>
        <v>0.02</v>
      </c>
      <c r="R631" s="160">
        <f>InputData!$C$12</f>
        <v>0.02</v>
      </c>
      <c r="S631" s="160">
        <f>InputData!$C$13</f>
        <v>0.9</v>
      </c>
      <c r="T631" s="116">
        <f>InputData!$C$88</f>
        <v>180000</v>
      </c>
      <c r="U631" s="116">
        <f>InputData!$C$81</f>
        <v>178500</v>
      </c>
      <c r="V631" s="116">
        <f>InputData!$C$82</f>
        <v>303960</v>
      </c>
      <c r="W631" s="116">
        <f>InputData!$C$84</f>
        <v>215220</v>
      </c>
      <c r="X631" s="116">
        <f>InputData!$C$85</f>
        <v>409020</v>
      </c>
      <c r="Y631" s="116">
        <f>InputData!$C$116</f>
        <v>140000</v>
      </c>
      <c r="Z631" s="160">
        <f>InputData!$E$13</f>
        <v>0</v>
      </c>
    </row>
    <row r="632" spans="1:26" x14ac:dyDescent="0.25">
      <c r="A632">
        <f>InputData!$K$1</f>
        <v>2013</v>
      </c>
      <c r="B632" t="str">
        <f>InputData!$G$1</f>
        <v>San Antonio, TX</v>
      </c>
      <c r="C632" t="s">
        <v>177</v>
      </c>
      <c r="D632" t="str">
        <f>Graph_Ortho!$I$6</f>
        <v>STD10r</v>
      </c>
      <c r="E632" t="str">
        <f t="shared" si="9"/>
        <v>Orthopedics STD10r</v>
      </c>
      <c r="F632">
        <f>Graph_Ortho!$A7</f>
        <v>2013</v>
      </c>
      <c r="G632">
        <f>Graph_Ortho!$B7</f>
        <v>1</v>
      </c>
      <c r="H632" s="165">
        <f>Graph_Ortho!$I7</f>
        <v>-43015.05</v>
      </c>
      <c r="I632" s="160">
        <f>InputData!$C$3</f>
        <v>0.02</v>
      </c>
      <c r="J632" s="160">
        <f>InputData!$C$4</f>
        <v>0.01</v>
      </c>
      <c r="K632" s="160">
        <f>InputData!$C$5</f>
        <v>0.01</v>
      </c>
      <c r="L632" s="160">
        <f>InputData!$C$6</f>
        <v>6.2100000000000002E-2</v>
      </c>
      <c r="M632" s="160">
        <f>InputData!$C$7</f>
        <v>0.03</v>
      </c>
      <c r="N632" s="160">
        <f>InputData!$C$8</f>
        <v>0.02</v>
      </c>
      <c r="O632" s="160">
        <f>InputData!$C$9</f>
        <v>0.06</v>
      </c>
      <c r="P632" s="160">
        <f>InputData!$C$10</f>
        <v>0.02</v>
      </c>
      <c r="Q632" s="160">
        <f>InputData!$C$11</f>
        <v>0.02</v>
      </c>
      <c r="R632" s="160">
        <f>InputData!$C$12</f>
        <v>0.02</v>
      </c>
      <c r="S632" s="160">
        <f>InputData!$C$13</f>
        <v>0.9</v>
      </c>
      <c r="T632" s="116">
        <f>InputData!$C$88</f>
        <v>180000</v>
      </c>
      <c r="U632" s="116">
        <f>InputData!$C$81</f>
        <v>178500</v>
      </c>
      <c r="V632" s="116">
        <f>InputData!$C$82</f>
        <v>303960</v>
      </c>
      <c r="W632" s="116">
        <f>InputData!$C$84</f>
        <v>215220</v>
      </c>
      <c r="X632" s="116">
        <f>InputData!$C$85</f>
        <v>409020</v>
      </c>
      <c r="Y632" s="116">
        <f>InputData!$C$116</f>
        <v>140000</v>
      </c>
      <c r="Z632" s="160">
        <f>InputData!$E$13</f>
        <v>0</v>
      </c>
    </row>
    <row r="633" spans="1:26" x14ac:dyDescent="0.25">
      <c r="A633">
        <f>InputData!$K$1</f>
        <v>2013</v>
      </c>
      <c r="B633" t="str">
        <f>InputData!$G$1</f>
        <v>San Antonio, TX</v>
      </c>
      <c r="C633" t="s">
        <v>177</v>
      </c>
      <c r="D633" t="str">
        <f>Graph_Ortho!$I$6</f>
        <v>STD10r</v>
      </c>
      <c r="E633" t="str">
        <f t="shared" si="9"/>
        <v>Orthopedics STD10r</v>
      </c>
      <c r="F633">
        <f>Graph_Ortho!$A8</f>
        <v>2014</v>
      </c>
      <c r="G633">
        <f>Graph_Ortho!$B8</f>
        <v>2</v>
      </c>
      <c r="H633" s="165">
        <f>Graph_Ortho!$I8</f>
        <v>-86352.285865219877</v>
      </c>
      <c r="I633" s="160">
        <f>InputData!$C$3</f>
        <v>0.02</v>
      </c>
      <c r="J633" s="160">
        <f>InputData!$C$4</f>
        <v>0.01</v>
      </c>
      <c r="K633" s="160">
        <f>InputData!$C$5</f>
        <v>0.01</v>
      </c>
      <c r="L633" s="160">
        <f>InputData!$C$6</f>
        <v>6.2100000000000002E-2</v>
      </c>
      <c r="M633" s="160">
        <f>InputData!$C$7</f>
        <v>0.03</v>
      </c>
      <c r="N633" s="160">
        <f>InputData!$C$8</f>
        <v>0.02</v>
      </c>
      <c r="O633" s="160">
        <f>InputData!$C$9</f>
        <v>0.06</v>
      </c>
      <c r="P633" s="160">
        <f>InputData!$C$10</f>
        <v>0.02</v>
      </c>
      <c r="Q633" s="160">
        <f>InputData!$C$11</f>
        <v>0.02</v>
      </c>
      <c r="R633" s="160">
        <f>InputData!$C$12</f>
        <v>0.02</v>
      </c>
      <c r="S633" s="160">
        <f>InputData!$C$13</f>
        <v>0.9</v>
      </c>
      <c r="T633" s="116">
        <f>InputData!$C$88</f>
        <v>180000</v>
      </c>
      <c r="U633" s="116">
        <f>InputData!$C$81</f>
        <v>178500</v>
      </c>
      <c r="V633" s="116">
        <f>InputData!$C$82</f>
        <v>303960</v>
      </c>
      <c r="W633" s="116">
        <f>InputData!$C$84</f>
        <v>215220</v>
      </c>
      <c r="X633" s="116">
        <f>InputData!$C$85</f>
        <v>409020</v>
      </c>
      <c r="Y633" s="116">
        <f>InputData!$C$116</f>
        <v>140000</v>
      </c>
      <c r="Z633" s="160">
        <f>InputData!$E$13</f>
        <v>0</v>
      </c>
    </row>
    <row r="634" spans="1:26" x14ac:dyDescent="0.25">
      <c r="A634">
        <f>InputData!$K$1</f>
        <v>2013</v>
      </c>
      <c r="B634" t="str">
        <f>InputData!$G$1</f>
        <v>San Antonio, TX</v>
      </c>
      <c r="C634" t="s">
        <v>177</v>
      </c>
      <c r="D634" t="str">
        <f>Graph_Ortho!$I$6</f>
        <v>STD10r</v>
      </c>
      <c r="E634" t="str">
        <f t="shared" si="9"/>
        <v>Orthopedics STD10r</v>
      </c>
      <c r="F634">
        <f>Graph_Ortho!$A9</f>
        <v>2015</v>
      </c>
      <c r="G634">
        <f>Graph_Ortho!$B9</f>
        <v>3</v>
      </c>
      <c r="H634" s="165">
        <f>Graph_Ortho!$I9</f>
        <v>-138541.19578403595</v>
      </c>
      <c r="I634" s="160">
        <f>InputData!$C$3</f>
        <v>0.02</v>
      </c>
      <c r="J634" s="160">
        <f>InputData!$C$4</f>
        <v>0.01</v>
      </c>
      <c r="K634" s="160">
        <f>InputData!$C$5</f>
        <v>0.01</v>
      </c>
      <c r="L634" s="160">
        <f>InputData!$C$6</f>
        <v>6.2100000000000002E-2</v>
      </c>
      <c r="M634" s="160">
        <f>InputData!$C$7</f>
        <v>0.03</v>
      </c>
      <c r="N634" s="160">
        <f>InputData!$C$8</f>
        <v>0.02</v>
      </c>
      <c r="O634" s="160">
        <f>InputData!$C$9</f>
        <v>0.06</v>
      </c>
      <c r="P634" s="160">
        <f>InputData!$C$10</f>
        <v>0.02</v>
      </c>
      <c r="Q634" s="160">
        <f>InputData!$C$11</f>
        <v>0.02</v>
      </c>
      <c r="R634" s="160">
        <f>InputData!$C$12</f>
        <v>0.02</v>
      </c>
      <c r="S634" s="160">
        <f>InputData!$C$13</f>
        <v>0.9</v>
      </c>
      <c r="T634" s="116">
        <f>InputData!$C$88</f>
        <v>180000</v>
      </c>
      <c r="U634" s="116">
        <f>InputData!$C$81</f>
        <v>178500</v>
      </c>
      <c r="V634" s="116">
        <f>InputData!$C$82</f>
        <v>303960</v>
      </c>
      <c r="W634" s="116">
        <f>InputData!$C$84</f>
        <v>215220</v>
      </c>
      <c r="X634" s="116">
        <f>InputData!$C$85</f>
        <v>409020</v>
      </c>
      <c r="Y634" s="116">
        <f>InputData!$C$116</f>
        <v>140000</v>
      </c>
      <c r="Z634" s="160">
        <f>InputData!$E$13</f>
        <v>0</v>
      </c>
    </row>
    <row r="635" spans="1:26" x14ac:dyDescent="0.25">
      <c r="A635">
        <f>InputData!$K$1</f>
        <v>2013</v>
      </c>
      <c r="B635" t="str">
        <f>InputData!$G$1</f>
        <v>San Antonio, TX</v>
      </c>
      <c r="C635" t="s">
        <v>177</v>
      </c>
      <c r="D635" t="str">
        <f>Graph_Ortho!$I$6</f>
        <v>STD10r</v>
      </c>
      <c r="E635" t="str">
        <f t="shared" si="9"/>
        <v>Orthopedics STD10r</v>
      </c>
      <c r="F635">
        <f>Graph_Ortho!$A10</f>
        <v>2016</v>
      </c>
      <c r="G635">
        <f>Graph_Ortho!$B10</f>
        <v>4</v>
      </c>
      <c r="H635" s="165">
        <f>Graph_Ortho!$I10</f>
        <v>-190867.38028908212</v>
      </c>
      <c r="I635" s="160">
        <f>InputData!$C$3</f>
        <v>0.02</v>
      </c>
      <c r="J635" s="160">
        <f>InputData!$C$4</f>
        <v>0.01</v>
      </c>
      <c r="K635" s="160">
        <f>InputData!$C$5</f>
        <v>0.01</v>
      </c>
      <c r="L635" s="160">
        <f>InputData!$C$6</f>
        <v>6.2100000000000002E-2</v>
      </c>
      <c r="M635" s="160">
        <f>InputData!$C$7</f>
        <v>0.03</v>
      </c>
      <c r="N635" s="160">
        <f>InputData!$C$8</f>
        <v>0.02</v>
      </c>
      <c r="O635" s="160">
        <f>InputData!$C$9</f>
        <v>0.06</v>
      </c>
      <c r="P635" s="160">
        <f>InputData!$C$10</f>
        <v>0.02</v>
      </c>
      <c r="Q635" s="160">
        <f>InputData!$C$11</f>
        <v>0.02</v>
      </c>
      <c r="R635" s="160">
        <f>InputData!$C$12</f>
        <v>0.02</v>
      </c>
      <c r="S635" s="160">
        <f>InputData!$C$13</f>
        <v>0.9</v>
      </c>
      <c r="T635" s="116">
        <f>InputData!$C$88</f>
        <v>180000</v>
      </c>
      <c r="U635" s="116">
        <f>InputData!$C$81</f>
        <v>178500</v>
      </c>
      <c r="V635" s="116">
        <f>InputData!$C$82</f>
        <v>303960</v>
      </c>
      <c r="W635" s="116">
        <f>InputData!$C$84</f>
        <v>215220</v>
      </c>
      <c r="X635" s="116">
        <f>InputData!$C$85</f>
        <v>409020</v>
      </c>
      <c r="Y635" s="116">
        <f>InputData!$C$116</f>
        <v>140000</v>
      </c>
      <c r="Z635" s="160">
        <f>InputData!$E$13</f>
        <v>0</v>
      </c>
    </row>
    <row r="636" spans="1:26" x14ac:dyDescent="0.25">
      <c r="A636">
        <f>InputData!$K$1</f>
        <v>2013</v>
      </c>
      <c r="B636" t="str">
        <f>InputData!$G$1</f>
        <v>San Antonio, TX</v>
      </c>
      <c r="C636" t="s">
        <v>177</v>
      </c>
      <c r="D636" t="str">
        <f>Graph_Ortho!$I$6</f>
        <v>STD10r</v>
      </c>
      <c r="E636" t="str">
        <f t="shared" si="9"/>
        <v>Orthopedics STD10r</v>
      </c>
      <c r="F636">
        <f>Graph_Ortho!$A11</f>
        <v>2017</v>
      </c>
      <c r="G636">
        <f>Graph_Ortho!$B11</f>
        <v>5</v>
      </c>
      <c r="H636" s="165">
        <f>Graph_Ortho!$I11</f>
        <v>-166943.9067383607</v>
      </c>
      <c r="I636" s="160">
        <f>InputData!$C$3</f>
        <v>0.02</v>
      </c>
      <c r="J636" s="160">
        <f>InputData!$C$4</f>
        <v>0.01</v>
      </c>
      <c r="K636" s="160">
        <f>InputData!$C$5</f>
        <v>0.01</v>
      </c>
      <c r="L636" s="160">
        <f>InputData!$C$6</f>
        <v>6.2100000000000002E-2</v>
      </c>
      <c r="M636" s="160">
        <f>InputData!$C$7</f>
        <v>0.03</v>
      </c>
      <c r="N636" s="160">
        <f>InputData!$C$8</f>
        <v>0.02</v>
      </c>
      <c r="O636" s="160">
        <f>InputData!$C$9</f>
        <v>0.06</v>
      </c>
      <c r="P636" s="160">
        <f>InputData!$C$10</f>
        <v>0.02</v>
      </c>
      <c r="Q636" s="160">
        <f>InputData!$C$11</f>
        <v>0.02</v>
      </c>
      <c r="R636" s="160">
        <f>InputData!$C$12</f>
        <v>0.02</v>
      </c>
      <c r="S636" s="160">
        <f>InputData!$C$13</f>
        <v>0.9</v>
      </c>
      <c r="T636" s="116">
        <f>InputData!$C$88</f>
        <v>180000</v>
      </c>
      <c r="U636" s="116">
        <f>InputData!$C$81</f>
        <v>178500</v>
      </c>
      <c r="V636" s="116">
        <f>InputData!$C$82</f>
        <v>303960</v>
      </c>
      <c r="W636" s="116">
        <f>InputData!$C$84</f>
        <v>215220</v>
      </c>
      <c r="X636" s="116">
        <f>InputData!$C$85</f>
        <v>409020</v>
      </c>
      <c r="Y636" s="116">
        <f>InputData!$C$116</f>
        <v>140000</v>
      </c>
      <c r="Z636" s="160">
        <f>InputData!$E$13</f>
        <v>0</v>
      </c>
    </row>
    <row r="637" spans="1:26" x14ac:dyDescent="0.25">
      <c r="A637">
        <f>InputData!$K$1</f>
        <v>2013</v>
      </c>
      <c r="B637" t="str">
        <f>InputData!$G$1</f>
        <v>San Antonio, TX</v>
      </c>
      <c r="C637" t="s">
        <v>177</v>
      </c>
      <c r="D637" t="str">
        <f>Graph_Ortho!$I$6</f>
        <v>STD10r</v>
      </c>
      <c r="E637" t="str">
        <f t="shared" si="9"/>
        <v>Orthopedics STD10r</v>
      </c>
      <c r="F637">
        <f>Graph_Ortho!$A12</f>
        <v>2018</v>
      </c>
      <c r="G637">
        <f>Graph_Ortho!$B12</f>
        <v>6</v>
      </c>
      <c r="H637" s="165">
        <f>Graph_Ortho!$I12</f>
        <v>-153732.16164497906</v>
      </c>
      <c r="I637" s="160">
        <f>InputData!$C$3</f>
        <v>0.02</v>
      </c>
      <c r="J637" s="160">
        <f>InputData!$C$4</f>
        <v>0.01</v>
      </c>
      <c r="K637" s="160">
        <f>InputData!$C$5</f>
        <v>0.01</v>
      </c>
      <c r="L637" s="160">
        <f>InputData!$C$6</f>
        <v>6.2100000000000002E-2</v>
      </c>
      <c r="M637" s="160">
        <f>InputData!$C$7</f>
        <v>0.03</v>
      </c>
      <c r="N637" s="160">
        <f>InputData!$C$8</f>
        <v>0.02</v>
      </c>
      <c r="O637" s="160">
        <f>InputData!$C$9</f>
        <v>0.06</v>
      </c>
      <c r="P637" s="160">
        <f>InputData!$C$10</f>
        <v>0.02</v>
      </c>
      <c r="Q637" s="160">
        <f>InputData!$C$11</f>
        <v>0.02</v>
      </c>
      <c r="R637" s="160">
        <f>InputData!$C$12</f>
        <v>0.02</v>
      </c>
      <c r="S637" s="160">
        <f>InputData!$C$13</f>
        <v>0.9</v>
      </c>
      <c r="T637" s="116">
        <f>InputData!$C$88</f>
        <v>180000</v>
      </c>
      <c r="U637" s="116">
        <f>InputData!$C$81</f>
        <v>178500</v>
      </c>
      <c r="V637" s="116">
        <f>InputData!$C$82</f>
        <v>303960</v>
      </c>
      <c r="W637" s="116">
        <f>InputData!$C$84</f>
        <v>215220</v>
      </c>
      <c r="X637" s="116">
        <f>InputData!$C$85</f>
        <v>409020</v>
      </c>
      <c r="Y637" s="116">
        <f>InputData!$C$116</f>
        <v>140000</v>
      </c>
      <c r="Z637" s="160">
        <f>InputData!$E$13</f>
        <v>0</v>
      </c>
    </row>
    <row r="638" spans="1:26" x14ac:dyDescent="0.25">
      <c r="A638">
        <f>InputData!$K$1</f>
        <v>2013</v>
      </c>
      <c r="B638" t="str">
        <f>InputData!$G$1</f>
        <v>San Antonio, TX</v>
      </c>
      <c r="C638" t="s">
        <v>177</v>
      </c>
      <c r="D638" t="str">
        <f>Graph_Ortho!$I$6</f>
        <v>STD10r</v>
      </c>
      <c r="E638" t="str">
        <f t="shared" si="9"/>
        <v>Orthopedics STD10r</v>
      </c>
      <c r="F638">
        <f>Graph_Ortho!$A13</f>
        <v>2019</v>
      </c>
      <c r="G638">
        <f>Graph_Ortho!$B13</f>
        <v>7</v>
      </c>
      <c r="H638" s="165">
        <f>Graph_Ortho!$I13</f>
        <v>-139317.43128811088</v>
      </c>
      <c r="I638" s="160">
        <f>InputData!$C$3</f>
        <v>0.02</v>
      </c>
      <c r="J638" s="160">
        <f>InputData!$C$4</f>
        <v>0.01</v>
      </c>
      <c r="K638" s="160">
        <f>InputData!$C$5</f>
        <v>0.01</v>
      </c>
      <c r="L638" s="160">
        <f>InputData!$C$6</f>
        <v>6.2100000000000002E-2</v>
      </c>
      <c r="M638" s="160">
        <f>InputData!$C$7</f>
        <v>0.03</v>
      </c>
      <c r="N638" s="160">
        <f>InputData!$C$8</f>
        <v>0.02</v>
      </c>
      <c r="O638" s="160">
        <f>InputData!$C$9</f>
        <v>0.06</v>
      </c>
      <c r="P638" s="160">
        <f>InputData!$C$10</f>
        <v>0.02</v>
      </c>
      <c r="Q638" s="160">
        <f>InputData!$C$11</f>
        <v>0.02</v>
      </c>
      <c r="R638" s="160">
        <f>InputData!$C$12</f>
        <v>0.02</v>
      </c>
      <c r="S638" s="160">
        <f>InputData!$C$13</f>
        <v>0.9</v>
      </c>
      <c r="T638" s="116">
        <f>InputData!$C$88</f>
        <v>180000</v>
      </c>
      <c r="U638" s="116">
        <f>InputData!$C$81</f>
        <v>178500</v>
      </c>
      <c r="V638" s="116">
        <f>InputData!$C$82</f>
        <v>303960</v>
      </c>
      <c r="W638" s="116">
        <f>InputData!$C$84</f>
        <v>215220</v>
      </c>
      <c r="X638" s="116">
        <f>InputData!$C$85</f>
        <v>409020</v>
      </c>
      <c r="Y638" s="116">
        <f>InputData!$C$116</f>
        <v>140000</v>
      </c>
      <c r="Z638" s="160">
        <f>InputData!$E$13</f>
        <v>0</v>
      </c>
    </row>
    <row r="639" spans="1:26" x14ac:dyDescent="0.25">
      <c r="A639">
        <f>InputData!$K$1</f>
        <v>2013</v>
      </c>
      <c r="B639" t="str">
        <f>InputData!$G$1</f>
        <v>San Antonio, TX</v>
      </c>
      <c r="C639" t="s">
        <v>177</v>
      </c>
      <c r="D639" t="str">
        <f>Graph_Ortho!$I$6</f>
        <v>STD10r</v>
      </c>
      <c r="E639" t="str">
        <f t="shared" si="9"/>
        <v>Orthopedics STD10r</v>
      </c>
      <c r="F639">
        <f>Graph_Ortho!$A14</f>
        <v>2020</v>
      </c>
      <c r="G639">
        <f>Graph_Ortho!$B14</f>
        <v>8</v>
      </c>
      <c r="H639" s="165">
        <f>Graph_Ortho!$I14</f>
        <v>-123745.30670550409</v>
      </c>
      <c r="I639" s="160">
        <f>InputData!$C$3</f>
        <v>0.02</v>
      </c>
      <c r="J639" s="160">
        <f>InputData!$C$4</f>
        <v>0.01</v>
      </c>
      <c r="K639" s="160">
        <f>InputData!$C$5</f>
        <v>0.01</v>
      </c>
      <c r="L639" s="160">
        <f>InputData!$C$6</f>
        <v>6.2100000000000002E-2</v>
      </c>
      <c r="M639" s="160">
        <f>InputData!$C$7</f>
        <v>0.03</v>
      </c>
      <c r="N639" s="160">
        <f>InputData!$C$8</f>
        <v>0.02</v>
      </c>
      <c r="O639" s="160">
        <f>InputData!$C$9</f>
        <v>0.06</v>
      </c>
      <c r="P639" s="160">
        <f>InputData!$C$10</f>
        <v>0.02</v>
      </c>
      <c r="Q639" s="160">
        <f>InputData!$C$11</f>
        <v>0.02</v>
      </c>
      <c r="R639" s="160">
        <f>InputData!$C$12</f>
        <v>0.02</v>
      </c>
      <c r="S639" s="160">
        <f>InputData!$C$13</f>
        <v>0.9</v>
      </c>
      <c r="T639" s="116">
        <f>InputData!$C$88</f>
        <v>180000</v>
      </c>
      <c r="U639" s="116">
        <f>InputData!$C$81</f>
        <v>178500</v>
      </c>
      <c r="V639" s="116">
        <f>InputData!$C$82</f>
        <v>303960</v>
      </c>
      <c r="W639" s="116">
        <f>InputData!$C$84</f>
        <v>215220</v>
      </c>
      <c r="X639" s="116">
        <f>InputData!$C$85</f>
        <v>409020</v>
      </c>
      <c r="Y639" s="116">
        <f>InputData!$C$116</f>
        <v>140000</v>
      </c>
      <c r="Z639" s="160">
        <f>InputData!$E$13</f>
        <v>0</v>
      </c>
    </row>
    <row r="640" spans="1:26" x14ac:dyDescent="0.25">
      <c r="A640">
        <f>InputData!$K$1</f>
        <v>2013</v>
      </c>
      <c r="B640" t="str">
        <f>InputData!$G$1</f>
        <v>San Antonio, TX</v>
      </c>
      <c r="C640" t="s">
        <v>177</v>
      </c>
      <c r="D640" t="str">
        <f>Graph_Ortho!$I$6</f>
        <v>STD10r</v>
      </c>
      <c r="E640" t="str">
        <f t="shared" si="9"/>
        <v>Orthopedics STD10r</v>
      </c>
      <c r="F640">
        <f>Graph_Ortho!$A15</f>
        <v>2021</v>
      </c>
      <c r="G640">
        <f>Graph_Ortho!$B15</f>
        <v>9</v>
      </c>
      <c r="H640" s="165">
        <f>Graph_Ortho!$I15</f>
        <v>-107058.95298906429</v>
      </c>
      <c r="I640" s="160">
        <f>InputData!$C$3</f>
        <v>0.02</v>
      </c>
      <c r="J640" s="160">
        <f>InputData!$C$4</f>
        <v>0.01</v>
      </c>
      <c r="K640" s="160">
        <f>InputData!$C$5</f>
        <v>0.01</v>
      </c>
      <c r="L640" s="160">
        <f>InputData!$C$6</f>
        <v>6.2100000000000002E-2</v>
      </c>
      <c r="M640" s="160">
        <f>InputData!$C$7</f>
        <v>0.03</v>
      </c>
      <c r="N640" s="160">
        <f>InputData!$C$8</f>
        <v>0.02</v>
      </c>
      <c r="O640" s="160">
        <f>InputData!$C$9</f>
        <v>0.06</v>
      </c>
      <c r="P640" s="160">
        <f>InputData!$C$10</f>
        <v>0.02</v>
      </c>
      <c r="Q640" s="160">
        <f>InputData!$C$11</f>
        <v>0.02</v>
      </c>
      <c r="R640" s="160">
        <f>InputData!$C$12</f>
        <v>0.02</v>
      </c>
      <c r="S640" s="160">
        <f>InputData!$C$13</f>
        <v>0.9</v>
      </c>
      <c r="T640" s="116">
        <f>InputData!$C$88</f>
        <v>180000</v>
      </c>
      <c r="U640" s="116">
        <f>InputData!$C$81</f>
        <v>178500</v>
      </c>
      <c r="V640" s="116">
        <f>InputData!$C$82</f>
        <v>303960</v>
      </c>
      <c r="W640" s="116">
        <f>InputData!$C$84</f>
        <v>215220</v>
      </c>
      <c r="X640" s="116">
        <f>InputData!$C$85</f>
        <v>409020</v>
      </c>
      <c r="Y640" s="116">
        <f>InputData!$C$116</f>
        <v>140000</v>
      </c>
      <c r="Z640" s="160">
        <f>InputData!$E$13</f>
        <v>0</v>
      </c>
    </row>
    <row r="641" spans="1:26" x14ac:dyDescent="0.25">
      <c r="A641">
        <f>InputData!$K$1</f>
        <v>2013</v>
      </c>
      <c r="B641" t="str">
        <f>InputData!$G$1</f>
        <v>San Antonio, TX</v>
      </c>
      <c r="C641" t="s">
        <v>177</v>
      </c>
      <c r="D641" t="str">
        <f>Graph_Ortho!$I$6</f>
        <v>STD10r</v>
      </c>
      <c r="E641" t="str">
        <f t="shared" si="9"/>
        <v>Orthopedics STD10r</v>
      </c>
      <c r="F641">
        <f>Graph_Ortho!$A16</f>
        <v>2022</v>
      </c>
      <c r="G641">
        <f>Graph_Ortho!$B16</f>
        <v>10</v>
      </c>
      <c r="H641" s="165">
        <f>Graph_Ortho!$I16</f>
        <v>87863.568967704094</v>
      </c>
      <c r="I641" s="160">
        <f>InputData!$C$3</f>
        <v>0.02</v>
      </c>
      <c r="J641" s="160">
        <f>InputData!$C$4</f>
        <v>0.01</v>
      </c>
      <c r="K641" s="160">
        <f>InputData!$C$5</f>
        <v>0.01</v>
      </c>
      <c r="L641" s="160">
        <f>InputData!$C$6</f>
        <v>6.2100000000000002E-2</v>
      </c>
      <c r="M641" s="160">
        <f>InputData!$C$7</f>
        <v>0.03</v>
      </c>
      <c r="N641" s="160">
        <f>InputData!$C$8</f>
        <v>0.02</v>
      </c>
      <c r="O641" s="160">
        <f>InputData!$C$9</f>
        <v>0.06</v>
      </c>
      <c r="P641" s="160">
        <f>InputData!$C$10</f>
        <v>0.02</v>
      </c>
      <c r="Q641" s="160">
        <f>InputData!$C$11</f>
        <v>0.02</v>
      </c>
      <c r="R641" s="160">
        <f>InputData!$C$12</f>
        <v>0.02</v>
      </c>
      <c r="S641" s="160">
        <f>InputData!$C$13</f>
        <v>0.9</v>
      </c>
      <c r="T641" s="116">
        <f>InputData!$C$88</f>
        <v>180000</v>
      </c>
      <c r="U641" s="116">
        <f>InputData!$C$81</f>
        <v>178500</v>
      </c>
      <c r="V641" s="116">
        <f>InputData!$C$82</f>
        <v>303960</v>
      </c>
      <c r="W641" s="116">
        <f>InputData!$C$84</f>
        <v>215220</v>
      </c>
      <c r="X641" s="116">
        <f>InputData!$C$85</f>
        <v>409020</v>
      </c>
      <c r="Y641" s="116">
        <f>InputData!$C$116</f>
        <v>140000</v>
      </c>
      <c r="Z641" s="160">
        <f>InputData!$E$13</f>
        <v>0</v>
      </c>
    </row>
    <row r="642" spans="1:26" x14ac:dyDescent="0.25">
      <c r="A642">
        <f>InputData!$K$1</f>
        <v>2013</v>
      </c>
      <c r="B642" t="str">
        <f>InputData!$G$1</f>
        <v>San Antonio, TX</v>
      </c>
      <c r="C642" t="s">
        <v>177</v>
      </c>
      <c r="D642" t="str">
        <f>Graph_Ortho!$I$6</f>
        <v>STD10r</v>
      </c>
      <c r="E642" t="str">
        <f t="shared" si="9"/>
        <v>Orthopedics STD10r</v>
      </c>
      <c r="F642">
        <f>Graph_Ortho!$A17</f>
        <v>2023</v>
      </c>
      <c r="G642">
        <f>Graph_Ortho!$B17</f>
        <v>11</v>
      </c>
      <c r="H642" s="165">
        <f>Graph_Ortho!$I17</f>
        <v>277464.58876989112</v>
      </c>
      <c r="I642" s="160">
        <f>InputData!$C$3</f>
        <v>0.02</v>
      </c>
      <c r="J642" s="160">
        <f>InputData!$C$4</f>
        <v>0.01</v>
      </c>
      <c r="K642" s="160">
        <f>InputData!$C$5</f>
        <v>0.01</v>
      </c>
      <c r="L642" s="160">
        <f>InputData!$C$6</f>
        <v>6.2100000000000002E-2</v>
      </c>
      <c r="M642" s="160">
        <f>InputData!$C$7</f>
        <v>0.03</v>
      </c>
      <c r="N642" s="160">
        <f>InputData!$C$8</f>
        <v>0.02</v>
      </c>
      <c r="O642" s="160">
        <f>InputData!$C$9</f>
        <v>0.06</v>
      </c>
      <c r="P642" s="160">
        <f>InputData!$C$10</f>
        <v>0.02</v>
      </c>
      <c r="Q642" s="160">
        <f>InputData!$C$11</f>
        <v>0.02</v>
      </c>
      <c r="R642" s="160">
        <f>InputData!$C$12</f>
        <v>0.02</v>
      </c>
      <c r="S642" s="160">
        <f>InputData!$C$13</f>
        <v>0.9</v>
      </c>
      <c r="T642" s="116">
        <f>InputData!$C$88</f>
        <v>180000</v>
      </c>
      <c r="U642" s="116">
        <f>InputData!$C$81</f>
        <v>178500</v>
      </c>
      <c r="V642" s="116">
        <f>InputData!$C$82</f>
        <v>303960</v>
      </c>
      <c r="W642" s="116">
        <f>InputData!$C$84</f>
        <v>215220</v>
      </c>
      <c r="X642" s="116">
        <f>InputData!$C$85</f>
        <v>409020</v>
      </c>
      <c r="Y642" s="116">
        <f>InputData!$C$116</f>
        <v>140000</v>
      </c>
      <c r="Z642" s="160">
        <f>InputData!$E$13</f>
        <v>0</v>
      </c>
    </row>
    <row r="643" spans="1:26" x14ac:dyDescent="0.25">
      <c r="A643">
        <f>InputData!$K$1</f>
        <v>2013</v>
      </c>
      <c r="B643" t="str">
        <f>InputData!$G$1</f>
        <v>San Antonio, TX</v>
      </c>
      <c r="C643" t="s">
        <v>177</v>
      </c>
      <c r="D643" t="str">
        <f>Graph_Ortho!$I$6</f>
        <v>STD10r</v>
      </c>
      <c r="E643" t="str">
        <f t="shared" ref="E643:E706" si="10">C643 &amp; " " &amp; D643</f>
        <v>Orthopedics STD10r</v>
      </c>
      <c r="F643">
        <f>Graph_Ortho!$A18</f>
        <v>2024</v>
      </c>
      <c r="G643">
        <f>Graph_Ortho!$B18</f>
        <v>12</v>
      </c>
      <c r="H643" s="165">
        <f>Graph_Ortho!$I18</f>
        <v>463589.69074471772</v>
      </c>
      <c r="I643" s="160">
        <f>InputData!$C$3</f>
        <v>0.02</v>
      </c>
      <c r="J643" s="160">
        <f>InputData!$C$4</f>
        <v>0.01</v>
      </c>
      <c r="K643" s="160">
        <f>InputData!$C$5</f>
        <v>0.01</v>
      </c>
      <c r="L643" s="160">
        <f>InputData!$C$6</f>
        <v>6.2100000000000002E-2</v>
      </c>
      <c r="M643" s="160">
        <f>InputData!$C$7</f>
        <v>0.03</v>
      </c>
      <c r="N643" s="160">
        <f>InputData!$C$8</f>
        <v>0.02</v>
      </c>
      <c r="O643" s="160">
        <f>InputData!$C$9</f>
        <v>0.06</v>
      </c>
      <c r="P643" s="160">
        <f>InputData!$C$10</f>
        <v>0.02</v>
      </c>
      <c r="Q643" s="160">
        <f>InputData!$C$11</f>
        <v>0.02</v>
      </c>
      <c r="R643" s="160">
        <f>InputData!$C$12</f>
        <v>0.02</v>
      </c>
      <c r="S643" s="160">
        <f>InputData!$C$13</f>
        <v>0.9</v>
      </c>
      <c r="T643" s="116">
        <f>InputData!$C$88</f>
        <v>180000</v>
      </c>
      <c r="U643" s="116">
        <f>InputData!$C$81</f>
        <v>178500</v>
      </c>
      <c r="V643" s="116">
        <f>InputData!$C$82</f>
        <v>303960</v>
      </c>
      <c r="W643" s="116">
        <f>InputData!$C$84</f>
        <v>215220</v>
      </c>
      <c r="X643" s="116">
        <f>InputData!$C$85</f>
        <v>409020</v>
      </c>
      <c r="Y643" s="116">
        <f>InputData!$C$116</f>
        <v>140000</v>
      </c>
      <c r="Z643" s="160">
        <f>InputData!$E$13</f>
        <v>0</v>
      </c>
    </row>
    <row r="644" spans="1:26" x14ac:dyDescent="0.25">
      <c r="A644">
        <f>InputData!$K$1</f>
        <v>2013</v>
      </c>
      <c r="B644" t="str">
        <f>InputData!$G$1</f>
        <v>San Antonio, TX</v>
      </c>
      <c r="C644" t="s">
        <v>177</v>
      </c>
      <c r="D644" t="str">
        <f>Graph_Ortho!$I$6</f>
        <v>STD10r</v>
      </c>
      <c r="E644" t="str">
        <f t="shared" si="10"/>
        <v>Orthopedics STD10r</v>
      </c>
      <c r="F644">
        <f>Graph_Ortho!$A19</f>
        <v>2025</v>
      </c>
      <c r="G644">
        <f>Graph_Ortho!$B19</f>
        <v>13</v>
      </c>
      <c r="H644" s="165">
        <f>Graph_Ortho!$I19</f>
        <v>646290.31689009734</v>
      </c>
      <c r="I644" s="160">
        <f>InputData!$C$3</f>
        <v>0.02</v>
      </c>
      <c r="J644" s="160">
        <f>InputData!$C$4</f>
        <v>0.01</v>
      </c>
      <c r="K644" s="160">
        <f>InputData!$C$5</f>
        <v>0.01</v>
      </c>
      <c r="L644" s="160">
        <f>InputData!$C$6</f>
        <v>6.2100000000000002E-2</v>
      </c>
      <c r="M644" s="160">
        <f>InputData!$C$7</f>
        <v>0.03</v>
      </c>
      <c r="N644" s="160">
        <f>InputData!$C$8</f>
        <v>0.02</v>
      </c>
      <c r="O644" s="160">
        <f>InputData!$C$9</f>
        <v>0.06</v>
      </c>
      <c r="P644" s="160">
        <f>InputData!$C$10</f>
        <v>0.02</v>
      </c>
      <c r="Q644" s="160">
        <f>InputData!$C$11</f>
        <v>0.02</v>
      </c>
      <c r="R644" s="160">
        <f>InputData!$C$12</f>
        <v>0.02</v>
      </c>
      <c r="S644" s="160">
        <f>InputData!$C$13</f>
        <v>0.9</v>
      </c>
      <c r="T644" s="116">
        <f>InputData!$C$88</f>
        <v>180000</v>
      </c>
      <c r="U644" s="116">
        <f>InputData!$C$81</f>
        <v>178500</v>
      </c>
      <c r="V644" s="116">
        <f>InputData!$C$82</f>
        <v>303960</v>
      </c>
      <c r="W644" s="116">
        <f>InputData!$C$84</f>
        <v>215220</v>
      </c>
      <c r="X644" s="116">
        <f>InputData!$C$85</f>
        <v>409020</v>
      </c>
      <c r="Y644" s="116">
        <f>InputData!$C$116</f>
        <v>140000</v>
      </c>
      <c r="Z644" s="160">
        <f>InputData!$E$13</f>
        <v>0</v>
      </c>
    </row>
    <row r="645" spans="1:26" x14ac:dyDescent="0.25">
      <c r="A645">
        <f>InputData!$K$1</f>
        <v>2013</v>
      </c>
      <c r="B645" t="str">
        <f>InputData!$G$1</f>
        <v>San Antonio, TX</v>
      </c>
      <c r="C645" t="s">
        <v>177</v>
      </c>
      <c r="D645" t="str">
        <f>Graph_Ortho!$I$6</f>
        <v>STD10r</v>
      </c>
      <c r="E645" t="str">
        <f t="shared" si="10"/>
        <v>Orthopedics STD10r</v>
      </c>
      <c r="F645">
        <f>Graph_Ortho!$A20</f>
        <v>2026</v>
      </c>
      <c r="G645">
        <f>Graph_Ortho!$B20</f>
        <v>14</v>
      </c>
      <c r="H645" s="165">
        <f>Graph_Ortho!$I20</f>
        <v>825617.85316388041</v>
      </c>
      <c r="I645" s="160">
        <f>InputData!$C$3</f>
        <v>0.02</v>
      </c>
      <c r="J645" s="160">
        <f>InputData!$C$4</f>
        <v>0.01</v>
      </c>
      <c r="K645" s="160">
        <f>InputData!$C$5</f>
        <v>0.01</v>
      </c>
      <c r="L645" s="160">
        <f>InputData!$C$6</f>
        <v>6.2100000000000002E-2</v>
      </c>
      <c r="M645" s="160">
        <f>InputData!$C$7</f>
        <v>0.03</v>
      </c>
      <c r="N645" s="160">
        <f>InputData!$C$8</f>
        <v>0.02</v>
      </c>
      <c r="O645" s="160">
        <f>InputData!$C$9</f>
        <v>0.06</v>
      </c>
      <c r="P645" s="160">
        <f>InputData!$C$10</f>
        <v>0.02</v>
      </c>
      <c r="Q645" s="160">
        <f>InputData!$C$11</f>
        <v>0.02</v>
      </c>
      <c r="R645" s="160">
        <f>InputData!$C$12</f>
        <v>0.02</v>
      </c>
      <c r="S645" s="160">
        <f>InputData!$C$13</f>
        <v>0.9</v>
      </c>
      <c r="T645" s="116">
        <f>InputData!$C$88</f>
        <v>180000</v>
      </c>
      <c r="U645" s="116">
        <f>InputData!$C$81</f>
        <v>178500</v>
      </c>
      <c r="V645" s="116">
        <f>InputData!$C$82</f>
        <v>303960</v>
      </c>
      <c r="W645" s="116">
        <f>InputData!$C$84</f>
        <v>215220</v>
      </c>
      <c r="X645" s="116">
        <f>InputData!$C$85</f>
        <v>409020</v>
      </c>
      <c r="Y645" s="116">
        <f>InputData!$C$116</f>
        <v>140000</v>
      </c>
      <c r="Z645" s="160">
        <f>InputData!$E$13</f>
        <v>0</v>
      </c>
    </row>
    <row r="646" spans="1:26" x14ac:dyDescent="0.25">
      <c r="A646">
        <f>InputData!$K$1</f>
        <v>2013</v>
      </c>
      <c r="B646" t="str">
        <f>InputData!$G$1</f>
        <v>San Antonio, TX</v>
      </c>
      <c r="C646" t="s">
        <v>177</v>
      </c>
      <c r="D646" t="str">
        <f>Graph_Ortho!$I$6</f>
        <v>STD10r</v>
      </c>
      <c r="E646" t="str">
        <f t="shared" si="10"/>
        <v>Orthopedics STD10r</v>
      </c>
      <c r="F646">
        <f>Graph_Ortho!$A21</f>
        <v>2027</v>
      </c>
      <c r="G646">
        <f>Graph_Ortho!$B21</f>
        <v>15</v>
      </c>
      <c r="H646" s="165">
        <f>Graph_Ortho!$I21</f>
        <v>1008925.9006590984</v>
      </c>
      <c r="I646" s="160">
        <f>InputData!$C$3</f>
        <v>0.02</v>
      </c>
      <c r="J646" s="160">
        <f>InputData!$C$4</f>
        <v>0.01</v>
      </c>
      <c r="K646" s="160">
        <f>InputData!$C$5</f>
        <v>0.01</v>
      </c>
      <c r="L646" s="160">
        <f>InputData!$C$6</f>
        <v>6.2100000000000002E-2</v>
      </c>
      <c r="M646" s="160">
        <f>InputData!$C$7</f>
        <v>0.03</v>
      </c>
      <c r="N646" s="160">
        <f>InputData!$C$8</f>
        <v>0.02</v>
      </c>
      <c r="O646" s="160">
        <f>InputData!$C$9</f>
        <v>0.06</v>
      </c>
      <c r="P646" s="160">
        <f>InputData!$C$10</f>
        <v>0.02</v>
      </c>
      <c r="Q646" s="160">
        <f>InputData!$C$11</f>
        <v>0.02</v>
      </c>
      <c r="R646" s="160">
        <f>InputData!$C$12</f>
        <v>0.02</v>
      </c>
      <c r="S646" s="160">
        <f>InputData!$C$13</f>
        <v>0.9</v>
      </c>
      <c r="T646" s="116">
        <f>InputData!$C$88</f>
        <v>180000</v>
      </c>
      <c r="U646" s="116">
        <f>InputData!$C$81</f>
        <v>178500</v>
      </c>
      <c r="V646" s="116">
        <f>InputData!$C$82</f>
        <v>303960</v>
      </c>
      <c r="W646" s="116">
        <f>InputData!$C$84</f>
        <v>215220</v>
      </c>
      <c r="X646" s="116">
        <f>InputData!$C$85</f>
        <v>409020</v>
      </c>
      <c r="Y646" s="116">
        <f>InputData!$C$116</f>
        <v>140000</v>
      </c>
      <c r="Z646" s="160">
        <f>InputData!$E$13</f>
        <v>0</v>
      </c>
    </row>
    <row r="647" spans="1:26" x14ac:dyDescent="0.25">
      <c r="A647">
        <f>InputData!$K$1</f>
        <v>2013</v>
      </c>
      <c r="B647" t="str">
        <f>InputData!$G$1</f>
        <v>San Antonio, TX</v>
      </c>
      <c r="C647" t="s">
        <v>177</v>
      </c>
      <c r="D647" t="str">
        <f>Graph_Ortho!$I$6</f>
        <v>STD10r</v>
      </c>
      <c r="E647" t="str">
        <f t="shared" si="10"/>
        <v>Orthopedics STD10r</v>
      </c>
      <c r="F647">
        <f>Graph_Ortho!$A22</f>
        <v>2028</v>
      </c>
      <c r="G647">
        <f>Graph_Ortho!$B22</f>
        <v>16</v>
      </c>
      <c r="H647" s="165">
        <f>Graph_Ortho!$I22</f>
        <v>1195562.186870947</v>
      </c>
      <c r="I647" s="160">
        <f>InputData!$C$3</f>
        <v>0.02</v>
      </c>
      <c r="J647" s="160">
        <f>InputData!$C$4</f>
        <v>0.01</v>
      </c>
      <c r="K647" s="160">
        <f>InputData!$C$5</f>
        <v>0.01</v>
      </c>
      <c r="L647" s="160">
        <f>InputData!$C$6</f>
        <v>6.2100000000000002E-2</v>
      </c>
      <c r="M647" s="160">
        <f>InputData!$C$7</f>
        <v>0.03</v>
      </c>
      <c r="N647" s="160">
        <f>InputData!$C$8</f>
        <v>0.02</v>
      </c>
      <c r="O647" s="160">
        <f>InputData!$C$9</f>
        <v>0.06</v>
      </c>
      <c r="P647" s="160">
        <f>InputData!$C$10</f>
        <v>0.02</v>
      </c>
      <c r="Q647" s="160">
        <f>InputData!$C$11</f>
        <v>0.02</v>
      </c>
      <c r="R647" s="160">
        <f>InputData!$C$12</f>
        <v>0.02</v>
      </c>
      <c r="S647" s="160">
        <f>InputData!$C$13</f>
        <v>0.9</v>
      </c>
      <c r="T647" s="116">
        <f>InputData!$C$88</f>
        <v>180000</v>
      </c>
      <c r="U647" s="116">
        <f>InputData!$C$81</f>
        <v>178500</v>
      </c>
      <c r="V647" s="116">
        <f>InputData!$C$82</f>
        <v>303960</v>
      </c>
      <c r="W647" s="116">
        <f>InputData!$C$84</f>
        <v>215220</v>
      </c>
      <c r="X647" s="116">
        <f>InputData!$C$85</f>
        <v>409020</v>
      </c>
      <c r="Y647" s="116">
        <f>InputData!$C$116</f>
        <v>140000</v>
      </c>
      <c r="Z647" s="160">
        <f>InputData!$E$13</f>
        <v>0</v>
      </c>
    </row>
    <row r="648" spans="1:26" x14ac:dyDescent="0.25">
      <c r="A648">
        <f>InputData!$K$1</f>
        <v>2013</v>
      </c>
      <c r="B648" t="str">
        <f>InputData!$G$1</f>
        <v>San Antonio, TX</v>
      </c>
      <c r="C648" t="s">
        <v>177</v>
      </c>
      <c r="D648" t="str">
        <f>Graph_Ortho!$I$6</f>
        <v>STD10r</v>
      </c>
      <c r="E648" t="str">
        <f t="shared" si="10"/>
        <v>Orthopedics STD10r</v>
      </c>
      <c r="F648">
        <f>Graph_Ortho!$A23</f>
        <v>2029</v>
      </c>
      <c r="G648">
        <f>Graph_Ortho!$B23</f>
        <v>17</v>
      </c>
      <c r="H648" s="165">
        <f>Graph_Ortho!$I23</f>
        <v>1378309.2066504685</v>
      </c>
      <c r="I648" s="160">
        <f>InputData!$C$3</f>
        <v>0.02</v>
      </c>
      <c r="J648" s="160">
        <f>InputData!$C$4</f>
        <v>0.01</v>
      </c>
      <c r="K648" s="160">
        <f>InputData!$C$5</f>
        <v>0.01</v>
      </c>
      <c r="L648" s="160">
        <f>InputData!$C$6</f>
        <v>6.2100000000000002E-2</v>
      </c>
      <c r="M648" s="160">
        <f>InputData!$C$7</f>
        <v>0.03</v>
      </c>
      <c r="N648" s="160">
        <f>InputData!$C$8</f>
        <v>0.02</v>
      </c>
      <c r="O648" s="160">
        <f>InputData!$C$9</f>
        <v>0.06</v>
      </c>
      <c r="P648" s="160">
        <f>InputData!$C$10</f>
        <v>0.02</v>
      </c>
      <c r="Q648" s="160">
        <f>InputData!$C$11</f>
        <v>0.02</v>
      </c>
      <c r="R648" s="160">
        <f>InputData!$C$12</f>
        <v>0.02</v>
      </c>
      <c r="S648" s="160">
        <f>InputData!$C$13</f>
        <v>0.9</v>
      </c>
      <c r="T648" s="116">
        <f>InputData!$C$88</f>
        <v>180000</v>
      </c>
      <c r="U648" s="116">
        <f>InputData!$C$81</f>
        <v>178500</v>
      </c>
      <c r="V648" s="116">
        <f>InputData!$C$82</f>
        <v>303960</v>
      </c>
      <c r="W648" s="116">
        <f>InputData!$C$84</f>
        <v>215220</v>
      </c>
      <c r="X648" s="116">
        <f>InputData!$C$85</f>
        <v>409020</v>
      </c>
      <c r="Y648" s="116">
        <f>InputData!$C$116</f>
        <v>140000</v>
      </c>
      <c r="Z648" s="160">
        <f>InputData!$E$13</f>
        <v>0</v>
      </c>
    </row>
    <row r="649" spans="1:26" x14ac:dyDescent="0.25">
      <c r="A649">
        <f>InputData!$K$1</f>
        <v>2013</v>
      </c>
      <c r="B649" t="str">
        <f>InputData!$G$1</f>
        <v>San Antonio, TX</v>
      </c>
      <c r="C649" t="s">
        <v>177</v>
      </c>
      <c r="D649" t="str">
        <f>Graph_Ortho!$I$6</f>
        <v>STD10r</v>
      </c>
      <c r="E649" t="str">
        <f t="shared" si="10"/>
        <v>Orthopedics STD10r</v>
      </c>
      <c r="F649">
        <f>Graph_Ortho!$A24</f>
        <v>2030</v>
      </c>
      <c r="G649">
        <f>Graph_Ortho!$B24</f>
        <v>18</v>
      </c>
      <c r="H649" s="165">
        <f>Graph_Ortho!$I24</f>
        <v>1557249.9113298617</v>
      </c>
      <c r="I649" s="160">
        <f>InputData!$C$3</f>
        <v>0.02</v>
      </c>
      <c r="J649" s="160">
        <f>InputData!$C$4</f>
        <v>0.01</v>
      </c>
      <c r="K649" s="160">
        <f>InputData!$C$5</f>
        <v>0.01</v>
      </c>
      <c r="L649" s="160">
        <f>InputData!$C$6</f>
        <v>6.2100000000000002E-2</v>
      </c>
      <c r="M649" s="160">
        <f>InputData!$C$7</f>
        <v>0.03</v>
      </c>
      <c r="N649" s="160">
        <f>InputData!$C$8</f>
        <v>0.02</v>
      </c>
      <c r="O649" s="160">
        <f>InputData!$C$9</f>
        <v>0.06</v>
      </c>
      <c r="P649" s="160">
        <f>InputData!$C$10</f>
        <v>0.02</v>
      </c>
      <c r="Q649" s="160">
        <f>InputData!$C$11</f>
        <v>0.02</v>
      </c>
      <c r="R649" s="160">
        <f>InputData!$C$12</f>
        <v>0.02</v>
      </c>
      <c r="S649" s="160">
        <f>InputData!$C$13</f>
        <v>0.9</v>
      </c>
      <c r="T649" s="116">
        <f>InputData!$C$88</f>
        <v>180000</v>
      </c>
      <c r="U649" s="116">
        <f>InputData!$C$81</f>
        <v>178500</v>
      </c>
      <c r="V649" s="116">
        <f>InputData!$C$82</f>
        <v>303960</v>
      </c>
      <c r="W649" s="116">
        <f>InputData!$C$84</f>
        <v>215220</v>
      </c>
      <c r="X649" s="116">
        <f>InputData!$C$85</f>
        <v>409020</v>
      </c>
      <c r="Y649" s="116">
        <f>InputData!$C$116</f>
        <v>140000</v>
      </c>
      <c r="Z649" s="160">
        <f>InputData!$E$13</f>
        <v>0</v>
      </c>
    </row>
    <row r="650" spans="1:26" x14ac:dyDescent="0.25">
      <c r="A650">
        <f>InputData!$K$1</f>
        <v>2013</v>
      </c>
      <c r="B650" t="str">
        <f>InputData!$G$1</f>
        <v>San Antonio, TX</v>
      </c>
      <c r="C650" t="s">
        <v>177</v>
      </c>
      <c r="D650" t="str">
        <f>Graph_Ortho!$I$6</f>
        <v>STD10r</v>
      </c>
      <c r="E650" t="str">
        <f t="shared" si="10"/>
        <v>Orthopedics STD10r</v>
      </c>
      <c r="F650">
        <f>Graph_Ortho!$A25</f>
        <v>2031</v>
      </c>
      <c r="G650">
        <f>Graph_Ortho!$B25</f>
        <v>19</v>
      </c>
      <c r="H650" s="165">
        <f>Graph_Ortho!$I25</f>
        <v>1732465.4308551182</v>
      </c>
      <c r="I650" s="160">
        <f>InputData!$C$3</f>
        <v>0.02</v>
      </c>
      <c r="J650" s="160">
        <f>InputData!$C$4</f>
        <v>0.01</v>
      </c>
      <c r="K650" s="160">
        <f>InputData!$C$5</f>
        <v>0.01</v>
      </c>
      <c r="L650" s="160">
        <f>InputData!$C$6</f>
        <v>6.2100000000000002E-2</v>
      </c>
      <c r="M650" s="160">
        <f>InputData!$C$7</f>
        <v>0.03</v>
      </c>
      <c r="N650" s="160">
        <f>InputData!$C$8</f>
        <v>0.02</v>
      </c>
      <c r="O650" s="160">
        <f>InputData!$C$9</f>
        <v>0.06</v>
      </c>
      <c r="P650" s="160">
        <f>InputData!$C$10</f>
        <v>0.02</v>
      </c>
      <c r="Q650" s="160">
        <f>InputData!$C$11</f>
        <v>0.02</v>
      </c>
      <c r="R650" s="160">
        <f>InputData!$C$12</f>
        <v>0.02</v>
      </c>
      <c r="S650" s="160">
        <f>InputData!$C$13</f>
        <v>0.9</v>
      </c>
      <c r="T650" s="116">
        <f>InputData!$C$88</f>
        <v>180000</v>
      </c>
      <c r="U650" s="116">
        <f>InputData!$C$81</f>
        <v>178500</v>
      </c>
      <c r="V650" s="116">
        <f>InputData!$C$82</f>
        <v>303960</v>
      </c>
      <c r="W650" s="116">
        <f>InputData!$C$84</f>
        <v>215220</v>
      </c>
      <c r="X650" s="116">
        <f>InputData!$C$85</f>
        <v>409020</v>
      </c>
      <c r="Y650" s="116">
        <f>InputData!$C$116</f>
        <v>140000</v>
      </c>
      <c r="Z650" s="160">
        <f>InputData!$E$13</f>
        <v>0</v>
      </c>
    </row>
    <row r="651" spans="1:26" x14ac:dyDescent="0.25">
      <c r="A651">
        <f>InputData!$K$1</f>
        <v>2013</v>
      </c>
      <c r="B651" t="str">
        <f>InputData!$G$1</f>
        <v>San Antonio, TX</v>
      </c>
      <c r="C651" t="s">
        <v>177</v>
      </c>
      <c r="D651" t="str">
        <f>Graph_Ortho!$I$6</f>
        <v>STD10r</v>
      </c>
      <c r="E651" t="str">
        <f t="shared" si="10"/>
        <v>Orthopedics STD10r</v>
      </c>
      <c r="F651">
        <f>Graph_Ortho!$A26</f>
        <v>2032</v>
      </c>
      <c r="G651">
        <f>Graph_Ortho!$B26</f>
        <v>20</v>
      </c>
      <c r="H651" s="165">
        <f>Graph_Ortho!$I26</f>
        <v>1904035.1151758707</v>
      </c>
      <c r="I651" s="160">
        <f>InputData!$C$3</f>
        <v>0.02</v>
      </c>
      <c r="J651" s="160">
        <f>InputData!$C$4</f>
        <v>0.01</v>
      </c>
      <c r="K651" s="160">
        <f>InputData!$C$5</f>
        <v>0.01</v>
      </c>
      <c r="L651" s="160">
        <f>InputData!$C$6</f>
        <v>6.2100000000000002E-2</v>
      </c>
      <c r="M651" s="160">
        <f>InputData!$C$7</f>
        <v>0.03</v>
      </c>
      <c r="N651" s="160">
        <f>InputData!$C$8</f>
        <v>0.02</v>
      </c>
      <c r="O651" s="160">
        <f>InputData!$C$9</f>
        <v>0.06</v>
      </c>
      <c r="P651" s="160">
        <f>InputData!$C$10</f>
        <v>0.02</v>
      </c>
      <c r="Q651" s="160">
        <f>InputData!$C$11</f>
        <v>0.02</v>
      </c>
      <c r="R651" s="160">
        <f>InputData!$C$12</f>
        <v>0.02</v>
      </c>
      <c r="S651" s="160">
        <f>InputData!$C$13</f>
        <v>0.9</v>
      </c>
      <c r="T651" s="116">
        <f>InputData!$C$88</f>
        <v>180000</v>
      </c>
      <c r="U651" s="116">
        <f>InputData!$C$81</f>
        <v>178500</v>
      </c>
      <c r="V651" s="116">
        <f>InputData!$C$82</f>
        <v>303960</v>
      </c>
      <c r="W651" s="116">
        <f>InputData!$C$84</f>
        <v>215220</v>
      </c>
      <c r="X651" s="116">
        <f>InputData!$C$85</f>
        <v>409020</v>
      </c>
      <c r="Y651" s="116">
        <f>InputData!$C$116</f>
        <v>140000</v>
      </c>
      <c r="Z651" s="160">
        <f>InputData!$E$13</f>
        <v>0</v>
      </c>
    </row>
    <row r="652" spans="1:26" x14ac:dyDescent="0.25">
      <c r="A652">
        <f>InputData!$K$1</f>
        <v>2013</v>
      </c>
      <c r="B652" t="str">
        <f>InputData!$G$1</f>
        <v>San Antonio, TX</v>
      </c>
      <c r="C652" t="s">
        <v>177</v>
      </c>
      <c r="D652" t="str">
        <f>Graph_Ortho!$I$6</f>
        <v>STD10r</v>
      </c>
      <c r="E652" t="str">
        <f t="shared" si="10"/>
        <v>Orthopedics STD10r</v>
      </c>
      <c r="F652">
        <f>Graph_Ortho!$A27</f>
        <v>2033</v>
      </c>
      <c r="G652">
        <f>Graph_Ortho!$B27</f>
        <v>21</v>
      </c>
      <c r="H652" s="165">
        <f>Graph_Ortho!$I27</f>
        <v>2072036.5746583436</v>
      </c>
      <c r="I652" s="160">
        <f>InputData!$C$3</f>
        <v>0.02</v>
      </c>
      <c r="J652" s="160">
        <f>InputData!$C$4</f>
        <v>0.01</v>
      </c>
      <c r="K652" s="160">
        <f>InputData!$C$5</f>
        <v>0.01</v>
      </c>
      <c r="L652" s="160">
        <f>InputData!$C$6</f>
        <v>6.2100000000000002E-2</v>
      </c>
      <c r="M652" s="160">
        <f>InputData!$C$7</f>
        <v>0.03</v>
      </c>
      <c r="N652" s="160">
        <f>InputData!$C$8</f>
        <v>0.02</v>
      </c>
      <c r="O652" s="160">
        <f>InputData!$C$9</f>
        <v>0.06</v>
      </c>
      <c r="P652" s="160">
        <f>InputData!$C$10</f>
        <v>0.02</v>
      </c>
      <c r="Q652" s="160">
        <f>InputData!$C$11</f>
        <v>0.02</v>
      </c>
      <c r="R652" s="160">
        <f>InputData!$C$12</f>
        <v>0.02</v>
      </c>
      <c r="S652" s="160">
        <f>InputData!$C$13</f>
        <v>0.9</v>
      </c>
      <c r="T652" s="116">
        <f>InputData!$C$88</f>
        <v>180000</v>
      </c>
      <c r="U652" s="116">
        <f>InputData!$C$81</f>
        <v>178500</v>
      </c>
      <c r="V652" s="116">
        <f>InputData!$C$82</f>
        <v>303960</v>
      </c>
      <c r="W652" s="116">
        <f>InputData!$C$84</f>
        <v>215220</v>
      </c>
      <c r="X652" s="116">
        <f>InputData!$C$85</f>
        <v>409020</v>
      </c>
      <c r="Y652" s="116">
        <f>InputData!$C$116</f>
        <v>140000</v>
      </c>
      <c r="Z652" s="160">
        <f>InputData!$E$13</f>
        <v>0</v>
      </c>
    </row>
    <row r="653" spans="1:26" x14ac:dyDescent="0.25">
      <c r="A653">
        <f>InputData!$K$1</f>
        <v>2013</v>
      </c>
      <c r="B653" t="str">
        <f>InputData!$G$1</f>
        <v>San Antonio, TX</v>
      </c>
      <c r="C653" t="s">
        <v>177</v>
      </c>
      <c r="D653" t="str">
        <f>Graph_Ortho!$I$6</f>
        <v>STD10r</v>
      </c>
      <c r="E653" t="str">
        <f t="shared" si="10"/>
        <v>Orthopedics STD10r</v>
      </c>
      <c r="F653">
        <f>Graph_Ortho!$A28</f>
        <v>2034</v>
      </c>
      <c r="G653">
        <f>Graph_Ortho!$B28</f>
        <v>22</v>
      </c>
      <c r="H653" s="165">
        <f>Graph_Ortho!$I28</f>
        <v>2236545.719545377</v>
      </c>
      <c r="I653" s="160">
        <f>InputData!$C$3</f>
        <v>0.02</v>
      </c>
      <c r="J653" s="160">
        <f>InputData!$C$4</f>
        <v>0.01</v>
      </c>
      <c r="K653" s="160">
        <f>InputData!$C$5</f>
        <v>0.01</v>
      </c>
      <c r="L653" s="160">
        <f>InputData!$C$6</f>
        <v>6.2100000000000002E-2</v>
      </c>
      <c r="M653" s="160">
        <f>InputData!$C$7</f>
        <v>0.03</v>
      </c>
      <c r="N653" s="160">
        <f>InputData!$C$8</f>
        <v>0.02</v>
      </c>
      <c r="O653" s="160">
        <f>InputData!$C$9</f>
        <v>0.06</v>
      </c>
      <c r="P653" s="160">
        <f>InputData!$C$10</f>
        <v>0.02</v>
      </c>
      <c r="Q653" s="160">
        <f>InputData!$C$11</f>
        <v>0.02</v>
      </c>
      <c r="R653" s="160">
        <f>InputData!$C$12</f>
        <v>0.02</v>
      </c>
      <c r="S653" s="160">
        <f>InputData!$C$13</f>
        <v>0.9</v>
      </c>
      <c r="T653" s="116">
        <f>InputData!$C$88</f>
        <v>180000</v>
      </c>
      <c r="U653" s="116">
        <f>InputData!$C$81</f>
        <v>178500</v>
      </c>
      <c r="V653" s="116">
        <f>InputData!$C$82</f>
        <v>303960</v>
      </c>
      <c r="W653" s="116">
        <f>InputData!$C$84</f>
        <v>215220</v>
      </c>
      <c r="X653" s="116">
        <f>InputData!$C$85</f>
        <v>409020</v>
      </c>
      <c r="Y653" s="116">
        <f>InputData!$C$116</f>
        <v>140000</v>
      </c>
      <c r="Z653" s="160">
        <f>InputData!$E$13</f>
        <v>0</v>
      </c>
    </row>
    <row r="654" spans="1:26" x14ac:dyDescent="0.25">
      <c r="A654">
        <f>InputData!$K$1</f>
        <v>2013</v>
      </c>
      <c r="B654" t="str">
        <f>InputData!$G$1</f>
        <v>San Antonio, TX</v>
      </c>
      <c r="C654" t="s">
        <v>177</v>
      </c>
      <c r="D654" t="str">
        <f>Graph_Ortho!$I$6</f>
        <v>STD10r</v>
      </c>
      <c r="E654" t="str">
        <f t="shared" si="10"/>
        <v>Orthopedics STD10r</v>
      </c>
      <c r="F654">
        <f>Graph_Ortho!$A29</f>
        <v>2035</v>
      </c>
      <c r="G654">
        <f>Graph_Ortho!$B29</f>
        <v>23</v>
      </c>
      <c r="H654" s="165">
        <f>Graph_Ortho!$I29</f>
        <v>2397636.7984868819</v>
      </c>
      <c r="I654" s="160">
        <f>InputData!$C$3</f>
        <v>0.02</v>
      </c>
      <c r="J654" s="160">
        <f>InputData!$C$4</f>
        <v>0.01</v>
      </c>
      <c r="K654" s="160">
        <f>InputData!$C$5</f>
        <v>0.01</v>
      </c>
      <c r="L654" s="160">
        <f>InputData!$C$6</f>
        <v>6.2100000000000002E-2</v>
      </c>
      <c r="M654" s="160">
        <f>InputData!$C$7</f>
        <v>0.03</v>
      </c>
      <c r="N654" s="160">
        <f>InputData!$C$8</f>
        <v>0.02</v>
      </c>
      <c r="O654" s="160">
        <f>InputData!$C$9</f>
        <v>0.06</v>
      </c>
      <c r="P654" s="160">
        <f>InputData!$C$10</f>
        <v>0.02</v>
      </c>
      <c r="Q654" s="160">
        <f>InputData!$C$11</f>
        <v>0.02</v>
      </c>
      <c r="R654" s="160">
        <f>InputData!$C$12</f>
        <v>0.02</v>
      </c>
      <c r="S654" s="160">
        <f>InputData!$C$13</f>
        <v>0.9</v>
      </c>
      <c r="T654" s="116">
        <f>InputData!$C$88</f>
        <v>180000</v>
      </c>
      <c r="U654" s="116">
        <f>InputData!$C$81</f>
        <v>178500</v>
      </c>
      <c r="V654" s="116">
        <f>InputData!$C$82</f>
        <v>303960</v>
      </c>
      <c r="W654" s="116">
        <f>InputData!$C$84</f>
        <v>215220</v>
      </c>
      <c r="X654" s="116">
        <f>InputData!$C$85</f>
        <v>409020</v>
      </c>
      <c r="Y654" s="116">
        <f>InputData!$C$116</f>
        <v>140000</v>
      </c>
      <c r="Z654" s="160">
        <f>InputData!$E$13</f>
        <v>0</v>
      </c>
    </row>
    <row r="655" spans="1:26" x14ac:dyDescent="0.25">
      <c r="A655">
        <f>InputData!$K$1</f>
        <v>2013</v>
      </c>
      <c r="B655" t="str">
        <f>InputData!$G$1</f>
        <v>San Antonio, TX</v>
      </c>
      <c r="C655" t="s">
        <v>177</v>
      </c>
      <c r="D655" t="str">
        <f>Graph_Ortho!$I$6</f>
        <v>STD10r</v>
      </c>
      <c r="E655" t="str">
        <f t="shared" si="10"/>
        <v>Orthopedics STD10r</v>
      </c>
      <c r="F655">
        <f>Graph_Ortho!$A30</f>
        <v>2036</v>
      </c>
      <c r="G655">
        <f>Graph_Ortho!$B30</f>
        <v>24</v>
      </c>
      <c r="H655" s="165">
        <f>Graph_Ortho!$I30</f>
        <v>2555382.4361634972</v>
      </c>
      <c r="I655" s="160">
        <f>InputData!$C$3</f>
        <v>0.02</v>
      </c>
      <c r="J655" s="160">
        <f>InputData!$C$4</f>
        <v>0.01</v>
      </c>
      <c r="K655" s="160">
        <f>InputData!$C$5</f>
        <v>0.01</v>
      </c>
      <c r="L655" s="160">
        <f>InputData!$C$6</f>
        <v>6.2100000000000002E-2</v>
      </c>
      <c r="M655" s="160">
        <f>InputData!$C$7</f>
        <v>0.03</v>
      </c>
      <c r="N655" s="160">
        <f>InputData!$C$8</f>
        <v>0.02</v>
      </c>
      <c r="O655" s="160">
        <f>InputData!$C$9</f>
        <v>0.06</v>
      </c>
      <c r="P655" s="160">
        <f>InputData!$C$10</f>
        <v>0.02</v>
      </c>
      <c r="Q655" s="160">
        <f>InputData!$C$11</f>
        <v>0.02</v>
      </c>
      <c r="R655" s="160">
        <f>InputData!$C$12</f>
        <v>0.02</v>
      </c>
      <c r="S655" s="160">
        <f>InputData!$C$13</f>
        <v>0.9</v>
      </c>
      <c r="T655" s="116">
        <f>InputData!$C$88</f>
        <v>180000</v>
      </c>
      <c r="U655" s="116">
        <f>InputData!$C$81</f>
        <v>178500</v>
      </c>
      <c r="V655" s="116">
        <f>InputData!$C$82</f>
        <v>303960</v>
      </c>
      <c r="W655" s="116">
        <f>InputData!$C$84</f>
        <v>215220</v>
      </c>
      <c r="X655" s="116">
        <f>InputData!$C$85</f>
        <v>409020</v>
      </c>
      <c r="Y655" s="116">
        <f>InputData!$C$116</f>
        <v>140000</v>
      </c>
      <c r="Z655" s="160">
        <f>InputData!$E$13</f>
        <v>0</v>
      </c>
    </row>
    <row r="656" spans="1:26" x14ac:dyDescent="0.25">
      <c r="A656">
        <f>InputData!$K$1</f>
        <v>2013</v>
      </c>
      <c r="B656" t="str">
        <f>InputData!$G$1</f>
        <v>San Antonio, TX</v>
      </c>
      <c r="C656" t="s">
        <v>177</v>
      </c>
      <c r="D656" t="str">
        <f>Graph_Ortho!$I$6</f>
        <v>STD10r</v>
      </c>
      <c r="E656" t="str">
        <f t="shared" si="10"/>
        <v>Orthopedics STD10r</v>
      </c>
      <c r="F656">
        <f>Graph_Ortho!$A31</f>
        <v>2037</v>
      </c>
      <c r="G656">
        <f>Graph_Ortho!$B31</f>
        <v>25</v>
      </c>
      <c r="H656" s="165">
        <f>Graph_Ortho!$I31</f>
        <v>2709853.6700256295</v>
      </c>
      <c r="I656" s="160">
        <f>InputData!$C$3</f>
        <v>0.02</v>
      </c>
      <c r="J656" s="160">
        <f>InputData!$C$4</f>
        <v>0.01</v>
      </c>
      <c r="K656" s="160">
        <f>InputData!$C$5</f>
        <v>0.01</v>
      </c>
      <c r="L656" s="160">
        <f>InputData!$C$6</f>
        <v>6.2100000000000002E-2</v>
      </c>
      <c r="M656" s="160">
        <f>InputData!$C$7</f>
        <v>0.03</v>
      </c>
      <c r="N656" s="160">
        <f>InputData!$C$8</f>
        <v>0.02</v>
      </c>
      <c r="O656" s="160">
        <f>InputData!$C$9</f>
        <v>0.06</v>
      </c>
      <c r="P656" s="160">
        <f>InputData!$C$10</f>
        <v>0.02</v>
      </c>
      <c r="Q656" s="160">
        <f>InputData!$C$11</f>
        <v>0.02</v>
      </c>
      <c r="R656" s="160">
        <f>InputData!$C$12</f>
        <v>0.02</v>
      </c>
      <c r="S656" s="160">
        <f>InputData!$C$13</f>
        <v>0.9</v>
      </c>
      <c r="T656" s="116">
        <f>InputData!$C$88</f>
        <v>180000</v>
      </c>
      <c r="U656" s="116">
        <f>InputData!$C$81</f>
        <v>178500</v>
      </c>
      <c r="V656" s="116">
        <f>InputData!$C$82</f>
        <v>303960</v>
      </c>
      <c r="W656" s="116">
        <f>InputData!$C$84</f>
        <v>215220</v>
      </c>
      <c r="X656" s="116">
        <f>InputData!$C$85</f>
        <v>409020</v>
      </c>
      <c r="Y656" s="116">
        <f>InputData!$C$116</f>
        <v>140000</v>
      </c>
      <c r="Z656" s="160">
        <f>InputData!$E$13</f>
        <v>0</v>
      </c>
    </row>
    <row r="657" spans="1:26" x14ac:dyDescent="0.25">
      <c r="A657">
        <f>InputData!$K$1</f>
        <v>2013</v>
      </c>
      <c r="B657" t="str">
        <f>InputData!$G$1</f>
        <v>San Antonio, TX</v>
      </c>
      <c r="C657" t="s">
        <v>177</v>
      </c>
      <c r="D657" t="str">
        <f>Graph_Ortho!$I$6</f>
        <v>STD10r</v>
      </c>
      <c r="E657" t="str">
        <f t="shared" si="10"/>
        <v>Orthopedics STD10r</v>
      </c>
      <c r="F657">
        <f>Graph_Ortho!$A32</f>
        <v>2038</v>
      </c>
      <c r="G657">
        <f>Graph_Ortho!$B32</f>
        <v>26</v>
      </c>
      <c r="H657" s="165">
        <f>Graph_Ortho!$I32</f>
        <v>2861119.9861695054</v>
      </c>
      <c r="I657" s="160">
        <f>InputData!$C$3</f>
        <v>0.02</v>
      </c>
      <c r="J657" s="160">
        <f>InputData!$C$4</f>
        <v>0.01</v>
      </c>
      <c r="K657" s="160">
        <f>InputData!$C$5</f>
        <v>0.01</v>
      </c>
      <c r="L657" s="160">
        <f>InputData!$C$6</f>
        <v>6.2100000000000002E-2</v>
      </c>
      <c r="M657" s="160">
        <f>InputData!$C$7</f>
        <v>0.03</v>
      </c>
      <c r="N657" s="160">
        <f>InputData!$C$8</f>
        <v>0.02</v>
      </c>
      <c r="O657" s="160">
        <f>InputData!$C$9</f>
        <v>0.06</v>
      </c>
      <c r="P657" s="160">
        <f>InputData!$C$10</f>
        <v>0.02</v>
      </c>
      <c r="Q657" s="160">
        <f>InputData!$C$11</f>
        <v>0.02</v>
      </c>
      <c r="R657" s="160">
        <f>InputData!$C$12</f>
        <v>0.02</v>
      </c>
      <c r="S657" s="160">
        <f>InputData!$C$13</f>
        <v>0.9</v>
      </c>
      <c r="T657" s="116">
        <f>InputData!$C$88</f>
        <v>180000</v>
      </c>
      <c r="U657" s="116">
        <f>InputData!$C$81</f>
        <v>178500</v>
      </c>
      <c r="V657" s="116">
        <f>InputData!$C$82</f>
        <v>303960</v>
      </c>
      <c r="W657" s="116">
        <f>InputData!$C$84</f>
        <v>215220</v>
      </c>
      <c r="X657" s="116">
        <f>InputData!$C$85</f>
        <v>409020</v>
      </c>
      <c r="Y657" s="116">
        <f>InputData!$C$116</f>
        <v>140000</v>
      </c>
      <c r="Z657" s="160">
        <f>InputData!$E$13</f>
        <v>0</v>
      </c>
    </row>
    <row r="658" spans="1:26" x14ac:dyDescent="0.25">
      <c r="A658">
        <f>InputData!$K$1</f>
        <v>2013</v>
      </c>
      <c r="B658" t="str">
        <f>InputData!$G$1</f>
        <v>San Antonio, TX</v>
      </c>
      <c r="C658" t="s">
        <v>177</v>
      </c>
      <c r="D658" t="str">
        <f>Graph_Ortho!$I$6</f>
        <v>STD10r</v>
      </c>
      <c r="E658" t="str">
        <f t="shared" si="10"/>
        <v>Orthopedics STD10r</v>
      </c>
      <c r="F658">
        <f>Graph_Ortho!$A33</f>
        <v>2039</v>
      </c>
      <c r="G658">
        <f>Graph_Ortho!$B33</f>
        <v>27</v>
      </c>
      <c r="H658" s="165">
        <f>Graph_Ortho!$I33</f>
        <v>3009249.3543713079</v>
      </c>
      <c r="I658" s="160">
        <f>InputData!$C$3</f>
        <v>0.02</v>
      </c>
      <c r="J658" s="160">
        <f>InputData!$C$4</f>
        <v>0.01</v>
      </c>
      <c r="K658" s="160">
        <f>InputData!$C$5</f>
        <v>0.01</v>
      </c>
      <c r="L658" s="160">
        <f>InputData!$C$6</f>
        <v>6.2100000000000002E-2</v>
      </c>
      <c r="M658" s="160">
        <f>InputData!$C$7</f>
        <v>0.03</v>
      </c>
      <c r="N658" s="160">
        <f>InputData!$C$8</f>
        <v>0.02</v>
      </c>
      <c r="O658" s="160">
        <f>InputData!$C$9</f>
        <v>0.06</v>
      </c>
      <c r="P658" s="160">
        <f>InputData!$C$10</f>
        <v>0.02</v>
      </c>
      <c r="Q658" s="160">
        <f>InputData!$C$11</f>
        <v>0.02</v>
      </c>
      <c r="R658" s="160">
        <f>InputData!$C$12</f>
        <v>0.02</v>
      </c>
      <c r="S658" s="160">
        <f>InputData!$C$13</f>
        <v>0.9</v>
      </c>
      <c r="T658" s="116">
        <f>InputData!$C$88</f>
        <v>180000</v>
      </c>
      <c r="U658" s="116">
        <f>InputData!$C$81</f>
        <v>178500</v>
      </c>
      <c r="V658" s="116">
        <f>InputData!$C$82</f>
        <v>303960</v>
      </c>
      <c r="W658" s="116">
        <f>InputData!$C$84</f>
        <v>215220</v>
      </c>
      <c r="X658" s="116">
        <f>InputData!$C$85</f>
        <v>409020</v>
      </c>
      <c r="Y658" s="116">
        <f>InputData!$C$116</f>
        <v>140000</v>
      </c>
      <c r="Z658" s="160">
        <f>InputData!$E$13</f>
        <v>0</v>
      </c>
    </row>
    <row r="659" spans="1:26" x14ac:dyDescent="0.25">
      <c r="A659">
        <f>InputData!$K$1</f>
        <v>2013</v>
      </c>
      <c r="B659" t="str">
        <f>InputData!$G$1</f>
        <v>San Antonio, TX</v>
      </c>
      <c r="C659" t="s">
        <v>177</v>
      </c>
      <c r="D659" t="str">
        <f>Graph_Ortho!$I$6</f>
        <v>STD10r</v>
      </c>
      <c r="E659" t="str">
        <f t="shared" si="10"/>
        <v>Orthopedics STD10r</v>
      </c>
      <c r="F659">
        <f>Graph_Ortho!$A34</f>
        <v>2040</v>
      </c>
      <c r="G659">
        <f>Graph_Ortho!$B34</f>
        <v>28</v>
      </c>
      <c r="H659" s="165">
        <f>Graph_Ortho!$I34</f>
        <v>3154308.2622999381</v>
      </c>
      <c r="I659" s="160">
        <f>InputData!$C$3</f>
        <v>0.02</v>
      </c>
      <c r="J659" s="160">
        <f>InputData!$C$4</f>
        <v>0.01</v>
      </c>
      <c r="K659" s="160">
        <f>InputData!$C$5</f>
        <v>0.01</v>
      </c>
      <c r="L659" s="160">
        <f>InputData!$C$6</f>
        <v>6.2100000000000002E-2</v>
      </c>
      <c r="M659" s="160">
        <f>InputData!$C$7</f>
        <v>0.03</v>
      </c>
      <c r="N659" s="160">
        <f>InputData!$C$8</f>
        <v>0.02</v>
      </c>
      <c r="O659" s="160">
        <f>InputData!$C$9</f>
        <v>0.06</v>
      </c>
      <c r="P659" s="160">
        <f>InputData!$C$10</f>
        <v>0.02</v>
      </c>
      <c r="Q659" s="160">
        <f>InputData!$C$11</f>
        <v>0.02</v>
      </c>
      <c r="R659" s="160">
        <f>InputData!$C$12</f>
        <v>0.02</v>
      </c>
      <c r="S659" s="160">
        <f>InputData!$C$13</f>
        <v>0.9</v>
      </c>
      <c r="T659" s="116">
        <f>InputData!$C$88</f>
        <v>180000</v>
      </c>
      <c r="U659" s="116">
        <f>InputData!$C$81</f>
        <v>178500</v>
      </c>
      <c r="V659" s="116">
        <f>InputData!$C$82</f>
        <v>303960</v>
      </c>
      <c r="W659" s="116">
        <f>InputData!$C$84</f>
        <v>215220</v>
      </c>
      <c r="X659" s="116">
        <f>InputData!$C$85</f>
        <v>409020</v>
      </c>
      <c r="Y659" s="116">
        <f>InputData!$C$116</f>
        <v>140000</v>
      </c>
      <c r="Z659" s="160">
        <f>InputData!$E$13</f>
        <v>0</v>
      </c>
    </row>
    <row r="660" spans="1:26" x14ac:dyDescent="0.25">
      <c r="A660">
        <f>InputData!$K$1</f>
        <v>2013</v>
      </c>
      <c r="B660" t="str">
        <f>InputData!$G$1</f>
        <v>San Antonio, TX</v>
      </c>
      <c r="C660" t="s">
        <v>177</v>
      </c>
      <c r="D660" t="str">
        <f>Graph_Ortho!$I$6</f>
        <v>STD10r</v>
      </c>
      <c r="E660" t="str">
        <f t="shared" si="10"/>
        <v>Orthopedics STD10r</v>
      </c>
      <c r="F660">
        <f>Graph_Ortho!$A35</f>
        <v>2041</v>
      </c>
      <c r="G660">
        <f>Graph_Ortho!$B35</f>
        <v>29</v>
      </c>
      <c r="H660" s="165">
        <f>Graph_Ortho!$I35</f>
        <v>3296361.7489284258</v>
      </c>
      <c r="I660" s="160">
        <f>InputData!$C$3</f>
        <v>0.02</v>
      </c>
      <c r="J660" s="160">
        <f>InputData!$C$4</f>
        <v>0.01</v>
      </c>
      <c r="K660" s="160">
        <f>InputData!$C$5</f>
        <v>0.01</v>
      </c>
      <c r="L660" s="160">
        <f>InputData!$C$6</f>
        <v>6.2100000000000002E-2</v>
      </c>
      <c r="M660" s="160">
        <f>InputData!$C$7</f>
        <v>0.03</v>
      </c>
      <c r="N660" s="160">
        <f>InputData!$C$8</f>
        <v>0.02</v>
      </c>
      <c r="O660" s="160">
        <f>InputData!$C$9</f>
        <v>0.06</v>
      </c>
      <c r="P660" s="160">
        <f>InputData!$C$10</f>
        <v>0.02</v>
      </c>
      <c r="Q660" s="160">
        <f>InputData!$C$11</f>
        <v>0.02</v>
      </c>
      <c r="R660" s="160">
        <f>InputData!$C$12</f>
        <v>0.02</v>
      </c>
      <c r="S660" s="160">
        <f>InputData!$C$13</f>
        <v>0.9</v>
      </c>
      <c r="T660" s="116">
        <f>InputData!$C$88</f>
        <v>180000</v>
      </c>
      <c r="U660" s="116">
        <f>InputData!$C$81</f>
        <v>178500</v>
      </c>
      <c r="V660" s="116">
        <f>InputData!$C$82</f>
        <v>303960</v>
      </c>
      <c r="W660" s="116">
        <f>InputData!$C$84</f>
        <v>215220</v>
      </c>
      <c r="X660" s="116">
        <f>InputData!$C$85</f>
        <v>409020</v>
      </c>
      <c r="Y660" s="116">
        <f>InputData!$C$116</f>
        <v>140000</v>
      </c>
      <c r="Z660" s="160">
        <f>InputData!$E$13</f>
        <v>0</v>
      </c>
    </row>
    <row r="661" spans="1:26" x14ac:dyDescent="0.25">
      <c r="A661">
        <f>InputData!$K$1</f>
        <v>2013</v>
      </c>
      <c r="B661" t="str">
        <f>InputData!$G$1</f>
        <v>San Antonio, TX</v>
      </c>
      <c r="C661" t="s">
        <v>177</v>
      </c>
      <c r="D661" t="str">
        <f>Graph_Ortho!$I$6</f>
        <v>STD10r</v>
      </c>
      <c r="E661" t="str">
        <f t="shared" si="10"/>
        <v>Orthopedics STD10r</v>
      </c>
      <c r="F661">
        <f>Graph_Ortho!$A36</f>
        <v>2042</v>
      </c>
      <c r="G661">
        <f>Graph_Ortho!$B36</f>
        <v>30</v>
      </c>
      <c r="H661" s="165">
        <f>Graph_Ortho!$I36</f>
        <v>3435473.437163501</v>
      </c>
      <c r="I661" s="160">
        <f>InputData!$C$3</f>
        <v>0.02</v>
      </c>
      <c r="J661" s="160">
        <f>InputData!$C$4</f>
        <v>0.01</v>
      </c>
      <c r="K661" s="160">
        <f>InputData!$C$5</f>
        <v>0.01</v>
      </c>
      <c r="L661" s="160">
        <f>InputData!$C$6</f>
        <v>6.2100000000000002E-2</v>
      </c>
      <c r="M661" s="160">
        <f>InputData!$C$7</f>
        <v>0.03</v>
      </c>
      <c r="N661" s="160">
        <f>InputData!$C$8</f>
        <v>0.02</v>
      </c>
      <c r="O661" s="160">
        <f>InputData!$C$9</f>
        <v>0.06</v>
      </c>
      <c r="P661" s="160">
        <f>InputData!$C$10</f>
        <v>0.02</v>
      </c>
      <c r="Q661" s="160">
        <f>InputData!$C$11</f>
        <v>0.02</v>
      </c>
      <c r="R661" s="160">
        <f>InputData!$C$12</f>
        <v>0.02</v>
      </c>
      <c r="S661" s="160">
        <f>InputData!$C$13</f>
        <v>0.9</v>
      </c>
      <c r="T661" s="116">
        <f>InputData!$C$88</f>
        <v>180000</v>
      </c>
      <c r="U661" s="116">
        <f>InputData!$C$81</f>
        <v>178500</v>
      </c>
      <c r="V661" s="116">
        <f>InputData!$C$82</f>
        <v>303960</v>
      </c>
      <c r="W661" s="116">
        <f>InputData!$C$84</f>
        <v>215220</v>
      </c>
      <c r="X661" s="116">
        <f>InputData!$C$85</f>
        <v>409020</v>
      </c>
      <c r="Y661" s="116">
        <f>InputData!$C$116</f>
        <v>140000</v>
      </c>
      <c r="Z661" s="160">
        <f>InputData!$E$13</f>
        <v>0</v>
      </c>
    </row>
    <row r="662" spans="1:26" x14ac:dyDescent="0.25">
      <c r="A662">
        <f>InputData!$K$1</f>
        <v>2013</v>
      </c>
      <c r="B662" t="str">
        <f>InputData!$G$1</f>
        <v>San Antonio, TX</v>
      </c>
      <c r="C662" t="s">
        <v>177</v>
      </c>
      <c r="D662" t="str">
        <f>Graph_Ortho!$J$6</f>
        <v>IBRr</v>
      </c>
      <c r="E662" t="str">
        <f t="shared" si="10"/>
        <v>Orthopedics IBRr</v>
      </c>
      <c r="F662">
        <f>Graph_Ortho!$A7</f>
        <v>2013</v>
      </c>
      <c r="G662">
        <f>Graph_Ortho!$B7</f>
        <v>1</v>
      </c>
      <c r="H662" s="165">
        <f>Graph_Ortho!$J7</f>
        <v>-43015.05</v>
      </c>
      <c r="I662" s="160">
        <f>InputData!$C$3</f>
        <v>0.02</v>
      </c>
      <c r="J662" s="160">
        <f>InputData!$C$4</f>
        <v>0.01</v>
      </c>
      <c r="K662" s="160">
        <f>InputData!$C$5</f>
        <v>0.01</v>
      </c>
      <c r="L662" s="160">
        <f>InputData!$C$6</f>
        <v>6.2100000000000002E-2</v>
      </c>
      <c r="M662" s="160">
        <f>InputData!$C$7</f>
        <v>0.03</v>
      </c>
      <c r="N662" s="160">
        <f>InputData!$C$8</f>
        <v>0.02</v>
      </c>
      <c r="O662" s="160">
        <f>InputData!$C$9</f>
        <v>0.06</v>
      </c>
      <c r="P662" s="160">
        <f>InputData!$C$10</f>
        <v>0.02</v>
      </c>
      <c r="Q662" s="160">
        <f>InputData!$C$11</f>
        <v>0.02</v>
      </c>
      <c r="R662" s="160">
        <f>InputData!$C$12</f>
        <v>0.02</v>
      </c>
      <c r="S662" s="160">
        <f>InputData!$C$13</f>
        <v>0.9</v>
      </c>
      <c r="T662" s="116">
        <f>InputData!$C$88</f>
        <v>180000</v>
      </c>
      <c r="U662" s="116">
        <f>InputData!$C$81</f>
        <v>178500</v>
      </c>
      <c r="V662" s="116">
        <f>InputData!$C$82</f>
        <v>303960</v>
      </c>
      <c r="W662" s="116">
        <f>InputData!$C$84</f>
        <v>215220</v>
      </c>
      <c r="X662" s="116">
        <f>InputData!$C$85</f>
        <v>409020</v>
      </c>
      <c r="Y662" s="116">
        <f>InputData!$C$116</f>
        <v>140000</v>
      </c>
      <c r="Z662" s="160">
        <f>InputData!$E$13</f>
        <v>0</v>
      </c>
    </row>
    <row r="663" spans="1:26" x14ac:dyDescent="0.25">
      <c r="A663">
        <f>InputData!$K$1</f>
        <v>2013</v>
      </c>
      <c r="B663" t="str">
        <f>InputData!$G$1</f>
        <v>San Antonio, TX</v>
      </c>
      <c r="C663" t="s">
        <v>177</v>
      </c>
      <c r="D663" t="str">
        <f>Graph_Ortho!$J$6</f>
        <v>IBRr</v>
      </c>
      <c r="E663" t="str">
        <f t="shared" si="10"/>
        <v>Orthopedics IBRr</v>
      </c>
      <c r="F663">
        <f>Graph_Ortho!$A8</f>
        <v>2014</v>
      </c>
      <c r="G663">
        <f>Graph_Ortho!$B8</f>
        <v>2</v>
      </c>
      <c r="H663" s="165">
        <f>Graph_Ortho!$J8</f>
        <v>-86352.285865219877</v>
      </c>
      <c r="I663" s="160">
        <f>InputData!$C$3</f>
        <v>0.02</v>
      </c>
      <c r="J663" s="160">
        <f>InputData!$C$4</f>
        <v>0.01</v>
      </c>
      <c r="K663" s="160">
        <f>InputData!$C$5</f>
        <v>0.01</v>
      </c>
      <c r="L663" s="160">
        <f>InputData!$C$6</f>
        <v>6.2100000000000002E-2</v>
      </c>
      <c r="M663" s="160">
        <f>InputData!$C$7</f>
        <v>0.03</v>
      </c>
      <c r="N663" s="160">
        <f>InputData!$C$8</f>
        <v>0.02</v>
      </c>
      <c r="O663" s="160">
        <f>InputData!$C$9</f>
        <v>0.06</v>
      </c>
      <c r="P663" s="160">
        <f>InputData!$C$10</f>
        <v>0.02</v>
      </c>
      <c r="Q663" s="160">
        <f>InputData!$C$11</f>
        <v>0.02</v>
      </c>
      <c r="R663" s="160">
        <f>InputData!$C$12</f>
        <v>0.02</v>
      </c>
      <c r="S663" s="160">
        <f>InputData!$C$13</f>
        <v>0.9</v>
      </c>
      <c r="T663" s="116">
        <f>InputData!$C$88</f>
        <v>180000</v>
      </c>
      <c r="U663" s="116">
        <f>InputData!$C$81</f>
        <v>178500</v>
      </c>
      <c r="V663" s="116">
        <f>InputData!$C$82</f>
        <v>303960</v>
      </c>
      <c r="W663" s="116">
        <f>InputData!$C$84</f>
        <v>215220</v>
      </c>
      <c r="X663" s="116">
        <f>InputData!$C$85</f>
        <v>409020</v>
      </c>
      <c r="Y663" s="116">
        <f>InputData!$C$116</f>
        <v>140000</v>
      </c>
      <c r="Z663" s="160">
        <f>InputData!$E$13</f>
        <v>0</v>
      </c>
    </row>
    <row r="664" spans="1:26" x14ac:dyDescent="0.25">
      <c r="A664">
        <f>InputData!$K$1</f>
        <v>2013</v>
      </c>
      <c r="B664" t="str">
        <f>InputData!$G$1</f>
        <v>San Antonio, TX</v>
      </c>
      <c r="C664" t="s">
        <v>177</v>
      </c>
      <c r="D664" t="str">
        <f>Graph_Ortho!$J$6</f>
        <v>IBRr</v>
      </c>
      <c r="E664" t="str">
        <f t="shared" si="10"/>
        <v>Orthopedics IBRr</v>
      </c>
      <c r="F664">
        <f>Graph_Ortho!$A9</f>
        <v>2015</v>
      </c>
      <c r="G664">
        <f>Graph_Ortho!$B9</f>
        <v>3</v>
      </c>
      <c r="H664" s="165">
        <f>Graph_Ortho!$J9</f>
        <v>-138541.19578403595</v>
      </c>
      <c r="I664" s="160">
        <f>InputData!$C$3</f>
        <v>0.02</v>
      </c>
      <c r="J664" s="160">
        <f>InputData!$C$4</f>
        <v>0.01</v>
      </c>
      <c r="K664" s="160">
        <f>InputData!$C$5</f>
        <v>0.01</v>
      </c>
      <c r="L664" s="160">
        <f>InputData!$C$6</f>
        <v>6.2100000000000002E-2</v>
      </c>
      <c r="M664" s="160">
        <f>InputData!$C$7</f>
        <v>0.03</v>
      </c>
      <c r="N664" s="160">
        <f>InputData!$C$8</f>
        <v>0.02</v>
      </c>
      <c r="O664" s="160">
        <f>InputData!$C$9</f>
        <v>0.06</v>
      </c>
      <c r="P664" s="160">
        <f>InputData!$C$10</f>
        <v>0.02</v>
      </c>
      <c r="Q664" s="160">
        <f>InputData!$C$11</f>
        <v>0.02</v>
      </c>
      <c r="R664" s="160">
        <f>InputData!$C$12</f>
        <v>0.02</v>
      </c>
      <c r="S664" s="160">
        <f>InputData!$C$13</f>
        <v>0.9</v>
      </c>
      <c r="T664" s="116">
        <f>InputData!$C$88</f>
        <v>180000</v>
      </c>
      <c r="U664" s="116">
        <f>InputData!$C$81</f>
        <v>178500</v>
      </c>
      <c r="V664" s="116">
        <f>InputData!$C$82</f>
        <v>303960</v>
      </c>
      <c r="W664" s="116">
        <f>InputData!$C$84</f>
        <v>215220</v>
      </c>
      <c r="X664" s="116">
        <f>InputData!$C$85</f>
        <v>409020</v>
      </c>
      <c r="Y664" s="116">
        <f>InputData!$C$116</f>
        <v>140000</v>
      </c>
      <c r="Z664" s="160">
        <f>InputData!$E$13</f>
        <v>0</v>
      </c>
    </row>
    <row r="665" spans="1:26" x14ac:dyDescent="0.25">
      <c r="A665">
        <f>InputData!$K$1</f>
        <v>2013</v>
      </c>
      <c r="B665" t="str">
        <f>InputData!$G$1</f>
        <v>San Antonio, TX</v>
      </c>
      <c r="C665" t="s">
        <v>177</v>
      </c>
      <c r="D665" t="str">
        <f>Graph_Ortho!$J$6</f>
        <v>IBRr</v>
      </c>
      <c r="E665" t="str">
        <f t="shared" si="10"/>
        <v>Orthopedics IBRr</v>
      </c>
      <c r="F665">
        <f>Graph_Ortho!$A10</f>
        <v>2016</v>
      </c>
      <c r="G665">
        <f>Graph_Ortho!$B10</f>
        <v>4</v>
      </c>
      <c r="H665" s="165">
        <f>Graph_Ortho!$J10</f>
        <v>-190867.38028908212</v>
      </c>
      <c r="I665" s="160">
        <f>InputData!$C$3</f>
        <v>0.02</v>
      </c>
      <c r="J665" s="160">
        <f>InputData!$C$4</f>
        <v>0.01</v>
      </c>
      <c r="K665" s="160">
        <f>InputData!$C$5</f>
        <v>0.01</v>
      </c>
      <c r="L665" s="160">
        <f>InputData!$C$6</f>
        <v>6.2100000000000002E-2</v>
      </c>
      <c r="M665" s="160">
        <f>InputData!$C$7</f>
        <v>0.03</v>
      </c>
      <c r="N665" s="160">
        <f>InputData!$C$8</f>
        <v>0.02</v>
      </c>
      <c r="O665" s="160">
        <f>InputData!$C$9</f>
        <v>0.06</v>
      </c>
      <c r="P665" s="160">
        <f>InputData!$C$10</f>
        <v>0.02</v>
      </c>
      <c r="Q665" s="160">
        <f>InputData!$C$11</f>
        <v>0.02</v>
      </c>
      <c r="R665" s="160">
        <f>InputData!$C$12</f>
        <v>0.02</v>
      </c>
      <c r="S665" s="160">
        <f>InputData!$C$13</f>
        <v>0.9</v>
      </c>
      <c r="T665" s="116">
        <f>InputData!$C$88</f>
        <v>180000</v>
      </c>
      <c r="U665" s="116">
        <f>InputData!$C$81</f>
        <v>178500</v>
      </c>
      <c r="V665" s="116">
        <f>InputData!$C$82</f>
        <v>303960</v>
      </c>
      <c r="W665" s="116">
        <f>InputData!$C$84</f>
        <v>215220</v>
      </c>
      <c r="X665" s="116">
        <f>InputData!$C$85</f>
        <v>409020</v>
      </c>
      <c r="Y665" s="116">
        <f>InputData!$C$116</f>
        <v>140000</v>
      </c>
      <c r="Z665" s="160">
        <f>InputData!$E$13</f>
        <v>0</v>
      </c>
    </row>
    <row r="666" spans="1:26" x14ac:dyDescent="0.25">
      <c r="A666">
        <f>InputData!$K$1</f>
        <v>2013</v>
      </c>
      <c r="B666" t="str">
        <f>InputData!$G$1</f>
        <v>San Antonio, TX</v>
      </c>
      <c r="C666" t="s">
        <v>177</v>
      </c>
      <c r="D666" t="str">
        <f>Graph_Ortho!$J$6</f>
        <v>IBRr</v>
      </c>
      <c r="E666" t="str">
        <f t="shared" si="10"/>
        <v>Orthopedics IBRr</v>
      </c>
      <c r="F666">
        <f>Graph_Ortho!$A11</f>
        <v>2017</v>
      </c>
      <c r="G666">
        <f>Graph_Ortho!$B11</f>
        <v>5</v>
      </c>
      <c r="H666" s="165">
        <f>Graph_Ortho!$J11</f>
        <v>-159376.263840158</v>
      </c>
      <c r="I666" s="160">
        <f>InputData!$C$3</f>
        <v>0.02</v>
      </c>
      <c r="J666" s="160">
        <f>InputData!$C$4</f>
        <v>0.01</v>
      </c>
      <c r="K666" s="160">
        <f>InputData!$C$5</f>
        <v>0.01</v>
      </c>
      <c r="L666" s="160">
        <f>InputData!$C$6</f>
        <v>6.2100000000000002E-2</v>
      </c>
      <c r="M666" s="160">
        <f>InputData!$C$7</f>
        <v>0.03</v>
      </c>
      <c r="N666" s="160">
        <f>InputData!$C$8</f>
        <v>0.02</v>
      </c>
      <c r="O666" s="160">
        <f>InputData!$C$9</f>
        <v>0.06</v>
      </c>
      <c r="P666" s="160">
        <f>InputData!$C$10</f>
        <v>0.02</v>
      </c>
      <c r="Q666" s="160">
        <f>InputData!$C$11</f>
        <v>0.02</v>
      </c>
      <c r="R666" s="160">
        <f>InputData!$C$12</f>
        <v>0.02</v>
      </c>
      <c r="S666" s="160">
        <f>InputData!$C$13</f>
        <v>0.9</v>
      </c>
      <c r="T666" s="116">
        <f>InputData!$C$88</f>
        <v>180000</v>
      </c>
      <c r="U666" s="116">
        <f>InputData!$C$81</f>
        <v>178500</v>
      </c>
      <c r="V666" s="116">
        <f>InputData!$C$82</f>
        <v>303960</v>
      </c>
      <c r="W666" s="116">
        <f>InputData!$C$84</f>
        <v>215220</v>
      </c>
      <c r="X666" s="116">
        <f>InputData!$C$85</f>
        <v>409020</v>
      </c>
      <c r="Y666" s="116">
        <f>InputData!$C$116</f>
        <v>140000</v>
      </c>
      <c r="Z666" s="160">
        <f>InputData!$E$13</f>
        <v>0</v>
      </c>
    </row>
    <row r="667" spans="1:26" x14ac:dyDescent="0.25">
      <c r="A667">
        <f>InputData!$K$1</f>
        <v>2013</v>
      </c>
      <c r="B667" t="str">
        <f>InputData!$G$1</f>
        <v>San Antonio, TX</v>
      </c>
      <c r="C667" t="s">
        <v>177</v>
      </c>
      <c r="D667" t="str">
        <f>Graph_Ortho!$J$6</f>
        <v>IBRr</v>
      </c>
      <c r="E667" t="str">
        <f t="shared" si="10"/>
        <v>Orthopedics IBRr</v>
      </c>
      <c r="F667">
        <f>Graph_Ortho!$A12</f>
        <v>2018</v>
      </c>
      <c r="G667">
        <f>Graph_Ortho!$B12</f>
        <v>6</v>
      </c>
      <c r="H667" s="165">
        <f>Graph_Ortho!$J12</f>
        <v>-127913.13213476112</v>
      </c>
      <c r="I667" s="160">
        <f>InputData!$C$3</f>
        <v>0.02</v>
      </c>
      <c r="J667" s="160">
        <f>InputData!$C$4</f>
        <v>0.01</v>
      </c>
      <c r="K667" s="160">
        <f>InputData!$C$5</f>
        <v>0.01</v>
      </c>
      <c r="L667" s="160">
        <f>InputData!$C$6</f>
        <v>6.2100000000000002E-2</v>
      </c>
      <c r="M667" s="160">
        <f>InputData!$C$7</f>
        <v>0.03</v>
      </c>
      <c r="N667" s="160">
        <f>InputData!$C$8</f>
        <v>0.02</v>
      </c>
      <c r="O667" s="160">
        <f>InputData!$C$9</f>
        <v>0.06</v>
      </c>
      <c r="P667" s="160">
        <f>InputData!$C$10</f>
        <v>0.02</v>
      </c>
      <c r="Q667" s="160">
        <f>InputData!$C$11</f>
        <v>0.02</v>
      </c>
      <c r="R667" s="160">
        <f>InputData!$C$12</f>
        <v>0.02</v>
      </c>
      <c r="S667" s="160">
        <f>InputData!$C$13</f>
        <v>0.9</v>
      </c>
      <c r="T667" s="116">
        <f>InputData!$C$88</f>
        <v>180000</v>
      </c>
      <c r="U667" s="116">
        <f>InputData!$C$81</f>
        <v>178500</v>
      </c>
      <c r="V667" s="116">
        <f>InputData!$C$82</f>
        <v>303960</v>
      </c>
      <c r="W667" s="116">
        <f>InputData!$C$84</f>
        <v>215220</v>
      </c>
      <c r="X667" s="116">
        <f>InputData!$C$85</f>
        <v>409020</v>
      </c>
      <c r="Y667" s="116">
        <f>InputData!$C$116</f>
        <v>140000</v>
      </c>
      <c r="Z667" s="160">
        <f>InputData!$E$13</f>
        <v>0</v>
      </c>
    </row>
    <row r="668" spans="1:26" x14ac:dyDescent="0.25">
      <c r="A668">
        <f>InputData!$K$1</f>
        <v>2013</v>
      </c>
      <c r="B668" t="str">
        <f>InputData!$G$1</f>
        <v>San Antonio, TX</v>
      </c>
      <c r="C668" t="s">
        <v>177</v>
      </c>
      <c r="D668" t="str">
        <f>Graph_Ortho!$J$6</f>
        <v>IBRr</v>
      </c>
      <c r="E668" t="str">
        <f t="shared" si="10"/>
        <v>Orthopedics IBRr</v>
      </c>
      <c r="F668">
        <f>Graph_Ortho!$A13</f>
        <v>2019</v>
      </c>
      <c r="G668">
        <f>Graph_Ortho!$B13</f>
        <v>7</v>
      </c>
      <c r="H668" s="165">
        <f>Graph_Ortho!$J13</f>
        <v>-96469.213883902426</v>
      </c>
      <c r="I668" s="160">
        <f>InputData!$C$3</f>
        <v>0.02</v>
      </c>
      <c r="J668" s="160">
        <f>InputData!$C$4</f>
        <v>0.01</v>
      </c>
      <c r="K668" s="160">
        <f>InputData!$C$5</f>
        <v>0.01</v>
      </c>
      <c r="L668" s="160">
        <f>InputData!$C$6</f>
        <v>6.2100000000000002E-2</v>
      </c>
      <c r="M668" s="160">
        <f>InputData!$C$7</f>
        <v>0.03</v>
      </c>
      <c r="N668" s="160">
        <f>InputData!$C$8</f>
        <v>0.02</v>
      </c>
      <c r="O668" s="160">
        <f>InputData!$C$9</f>
        <v>0.06</v>
      </c>
      <c r="P668" s="160">
        <f>InputData!$C$10</f>
        <v>0.02</v>
      </c>
      <c r="Q668" s="160">
        <f>InputData!$C$11</f>
        <v>0.02</v>
      </c>
      <c r="R668" s="160">
        <f>InputData!$C$12</f>
        <v>0.02</v>
      </c>
      <c r="S668" s="160">
        <f>InputData!$C$13</f>
        <v>0.9</v>
      </c>
      <c r="T668" s="116">
        <f>InputData!$C$88</f>
        <v>180000</v>
      </c>
      <c r="U668" s="116">
        <f>InputData!$C$81</f>
        <v>178500</v>
      </c>
      <c r="V668" s="116">
        <f>InputData!$C$82</f>
        <v>303960</v>
      </c>
      <c r="W668" s="116">
        <f>InputData!$C$84</f>
        <v>215220</v>
      </c>
      <c r="X668" s="116">
        <f>InputData!$C$85</f>
        <v>409020</v>
      </c>
      <c r="Y668" s="116">
        <f>InputData!$C$116</f>
        <v>140000</v>
      </c>
      <c r="Z668" s="160">
        <f>InputData!$E$13</f>
        <v>0</v>
      </c>
    </row>
    <row r="669" spans="1:26" x14ac:dyDescent="0.25">
      <c r="A669">
        <f>InputData!$K$1</f>
        <v>2013</v>
      </c>
      <c r="B669" t="str">
        <f>InputData!$G$1</f>
        <v>San Antonio, TX</v>
      </c>
      <c r="C669" t="s">
        <v>177</v>
      </c>
      <c r="D669" t="str">
        <f>Graph_Ortho!$J$6</f>
        <v>IBRr</v>
      </c>
      <c r="E669" t="str">
        <f t="shared" si="10"/>
        <v>Orthopedics IBRr</v>
      </c>
      <c r="F669">
        <f>Graph_Ortho!$A14</f>
        <v>2020</v>
      </c>
      <c r="G669">
        <f>Graph_Ortho!$B14</f>
        <v>8</v>
      </c>
      <c r="H669" s="165">
        <f>Graph_Ortho!$J14</f>
        <v>-65035.922086779574</v>
      </c>
      <c r="I669" s="160">
        <f>InputData!$C$3</f>
        <v>0.02</v>
      </c>
      <c r="J669" s="160">
        <f>InputData!$C$4</f>
        <v>0.01</v>
      </c>
      <c r="K669" s="160">
        <f>InputData!$C$5</f>
        <v>0.01</v>
      </c>
      <c r="L669" s="160">
        <f>InputData!$C$6</f>
        <v>6.2100000000000002E-2</v>
      </c>
      <c r="M669" s="160">
        <f>InputData!$C$7</f>
        <v>0.03</v>
      </c>
      <c r="N669" s="160">
        <f>InputData!$C$8</f>
        <v>0.02</v>
      </c>
      <c r="O669" s="160">
        <f>InputData!$C$9</f>
        <v>0.06</v>
      </c>
      <c r="P669" s="160">
        <f>InputData!$C$10</f>
        <v>0.02</v>
      </c>
      <c r="Q669" s="160">
        <f>InputData!$C$11</f>
        <v>0.02</v>
      </c>
      <c r="R669" s="160">
        <f>InputData!$C$12</f>
        <v>0.02</v>
      </c>
      <c r="S669" s="160">
        <f>InputData!$C$13</f>
        <v>0.9</v>
      </c>
      <c r="T669" s="116">
        <f>InputData!$C$88</f>
        <v>180000</v>
      </c>
      <c r="U669" s="116">
        <f>InputData!$C$81</f>
        <v>178500</v>
      </c>
      <c r="V669" s="116">
        <f>InputData!$C$82</f>
        <v>303960</v>
      </c>
      <c r="W669" s="116">
        <f>InputData!$C$84</f>
        <v>215220</v>
      </c>
      <c r="X669" s="116">
        <f>InputData!$C$85</f>
        <v>409020</v>
      </c>
      <c r="Y669" s="116">
        <f>InputData!$C$116</f>
        <v>140000</v>
      </c>
      <c r="Z669" s="160">
        <f>InputData!$E$13</f>
        <v>0</v>
      </c>
    </row>
    <row r="670" spans="1:26" x14ac:dyDescent="0.25">
      <c r="A670">
        <f>InputData!$K$1</f>
        <v>2013</v>
      </c>
      <c r="B670" t="str">
        <f>InputData!$G$1</f>
        <v>San Antonio, TX</v>
      </c>
      <c r="C670" t="s">
        <v>177</v>
      </c>
      <c r="D670" t="str">
        <f>Graph_Ortho!$J$6</f>
        <v>IBRr</v>
      </c>
      <c r="E670" t="str">
        <f t="shared" si="10"/>
        <v>Orthopedics IBRr</v>
      </c>
      <c r="F670">
        <f>Graph_Ortho!$A15</f>
        <v>2021</v>
      </c>
      <c r="G670">
        <f>Graph_Ortho!$B15</f>
        <v>9</v>
      </c>
      <c r="H670" s="165">
        <f>Graph_Ortho!$J15</f>
        <v>-33604.8480262374</v>
      </c>
      <c r="I670" s="160">
        <f>InputData!$C$3</f>
        <v>0.02</v>
      </c>
      <c r="J670" s="160">
        <f>InputData!$C$4</f>
        <v>0.01</v>
      </c>
      <c r="K670" s="160">
        <f>InputData!$C$5</f>
        <v>0.01</v>
      </c>
      <c r="L670" s="160">
        <f>InputData!$C$6</f>
        <v>6.2100000000000002E-2</v>
      </c>
      <c r="M670" s="160">
        <f>InputData!$C$7</f>
        <v>0.03</v>
      </c>
      <c r="N670" s="160">
        <f>InputData!$C$8</f>
        <v>0.02</v>
      </c>
      <c r="O670" s="160">
        <f>InputData!$C$9</f>
        <v>0.06</v>
      </c>
      <c r="P670" s="160">
        <f>InputData!$C$10</f>
        <v>0.02</v>
      </c>
      <c r="Q670" s="160">
        <f>InputData!$C$11</f>
        <v>0.02</v>
      </c>
      <c r="R670" s="160">
        <f>InputData!$C$12</f>
        <v>0.02</v>
      </c>
      <c r="S670" s="160">
        <f>InputData!$C$13</f>
        <v>0.9</v>
      </c>
      <c r="T670" s="116">
        <f>InputData!$C$88</f>
        <v>180000</v>
      </c>
      <c r="U670" s="116">
        <f>InputData!$C$81</f>
        <v>178500</v>
      </c>
      <c r="V670" s="116">
        <f>InputData!$C$82</f>
        <v>303960</v>
      </c>
      <c r="W670" s="116">
        <f>InputData!$C$84</f>
        <v>215220</v>
      </c>
      <c r="X670" s="116">
        <f>InputData!$C$85</f>
        <v>409020</v>
      </c>
      <c r="Y670" s="116">
        <f>InputData!$C$116</f>
        <v>140000</v>
      </c>
      <c r="Z670" s="160">
        <f>InputData!$E$13</f>
        <v>0</v>
      </c>
    </row>
    <row r="671" spans="1:26" x14ac:dyDescent="0.25">
      <c r="A671">
        <f>InputData!$K$1</f>
        <v>2013</v>
      </c>
      <c r="B671" t="str">
        <f>InputData!$G$1</f>
        <v>San Antonio, TX</v>
      </c>
      <c r="C671" t="s">
        <v>177</v>
      </c>
      <c r="D671" t="str">
        <f>Graph_Ortho!$J$6</f>
        <v>IBRr</v>
      </c>
      <c r="E671" t="str">
        <f t="shared" si="10"/>
        <v>Orthopedics IBRr</v>
      </c>
      <c r="F671">
        <f>Graph_Ortho!$A16</f>
        <v>2022</v>
      </c>
      <c r="G671">
        <f>Graph_Ortho!$B16</f>
        <v>10</v>
      </c>
      <c r="H671" s="165">
        <f>Graph_Ortho!$J16</f>
        <v>161317.67393053099</v>
      </c>
      <c r="I671" s="160">
        <f>InputData!$C$3</f>
        <v>0.02</v>
      </c>
      <c r="J671" s="160">
        <f>InputData!$C$4</f>
        <v>0.01</v>
      </c>
      <c r="K671" s="160">
        <f>InputData!$C$5</f>
        <v>0.01</v>
      </c>
      <c r="L671" s="160">
        <f>InputData!$C$6</f>
        <v>6.2100000000000002E-2</v>
      </c>
      <c r="M671" s="160">
        <f>InputData!$C$7</f>
        <v>0.03</v>
      </c>
      <c r="N671" s="160">
        <f>InputData!$C$8</f>
        <v>0.02</v>
      </c>
      <c r="O671" s="160">
        <f>InputData!$C$9</f>
        <v>0.06</v>
      </c>
      <c r="P671" s="160">
        <f>InputData!$C$10</f>
        <v>0.02</v>
      </c>
      <c r="Q671" s="160">
        <f>InputData!$C$11</f>
        <v>0.02</v>
      </c>
      <c r="R671" s="160">
        <f>InputData!$C$12</f>
        <v>0.02</v>
      </c>
      <c r="S671" s="160">
        <f>InputData!$C$13</f>
        <v>0.9</v>
      </c>
      <c r="T671" s="116">
        <f>InputData!$C$88</f>
        <v>180000</v>
      </c>
      <c r="U671" s="116">
        <f>InputData!$C$81</f>
        <v>178500</v>
      </c>
      <c r="V671" s="116">
        <f>InputData!$C$82</f>
        <v>303960</v>
      </c>
      <c r="W671" s="116">
        <f>InputData!$C$84</f>
        <v>215220</v>
      </c>
      <c r="X671" s="116">
        <f>InputData!$C$85</f>
        <v>409020</v>
      </c>
      <c r="Y671" s="116">
        <f>InputData!$C$116</f>
        <v>140000</v>
      </c>
      <c r="Z671" s="160">
        <f>InputData!$E$13</f>
        <v>0</v>
      </c>
    </row>
    <row r="672" spans="1:26" x14ac:dyDescent="0.25">
      <c r="A672">
        <f>InputData!$K$1</f>
        <v>2013</v>
      </c>
      <c r="B672" t="str">
        <f>InputData!$G$1</f>
        <v>San Antonio, TX</v>
      </c>
      <c r="C672" t="s">
        <v>177</v>
      </c>
      <c r="D672" t="str">
        <f>Graph_Ortho!$J$6</f>
        <v>IBRr</v>
      </c>
      <c r="E672" t="str">
        <f t="shared" si="10"/>
        <v>Orthopedics IBRr</v>
      </c>
      <c r="F672">
        <f>Graph_Ortho!$A17</f>
        <v>2023</v>
      </c>
      <c r="G672">
        <f>Graph_Ortho!$B17</f>
        <v>11</v>
      </c>
      <c r="H672" s="165">
        <f>Graph_Ortho!$J17</f>
        <v>350918.69373271801</v>
      </c>
      <c r="I672" s="160">
        <f>InputData!$C$3</f>
        <v>0.02</v>
      </c>
      <c r="J672" s="160">
        <f>InputData!$C$4</f>
        <v>0.01</v>
      </c>
      <c r="K672" s="160">
        <f>InputData!$C$5</f>
        <v>0.01</v>
      </c>
      <c r="L672" s="160">
        <f>InputData!$C$6</f>
        <v>6.2100000000000002E-2</v>
      </c>
      <c r="M672" s="160">
        <f>InputData!$C$7</f>
        <v>0.03</v>
      </c>
      <c r="N672" s="160">
        <f>InputData!$C$8</f>
        <v>0.02</v>
      </c>
      <c r="O672" s="160">
        <f>InputData!$C$9</f>
        <v>0.06</v>
      </c>
      <c r="P672" s="160">
        <f>InputData!$C$10</f>
        <v>0.02</v>
      </c>
      <c r="Q672" s="160">
        <f>InputData!$C$11</f>
        <v>0.02</v>
      </c>
      <c r="R672" s="160">
        <f>InputData!$C$12</f>
        <v>0.02</v>
      </c>
      <c r="S672" s="160">
        <f>InputData!$C$13</f>
        <v>0.9</v>
      </c>
      <c r="T672" s="116">
        <f>InputData!$C$88</f>
        <v>180000</v>
      </c>
      <c r="U672" s="116">
        <f>InputData!$C$81</f>
        <v>178500</v>
      </c>
      <c r="V672" s="116">
        <f>InputData!$C$82</f>
        <v>303960</v>
      </c>
      <c r="W672" s="116">
        <f>InputData!$C$84</f>
        <v>215220</v>
      </c>
      <c r="X672" s="116">
        <f>InputData!$C$85</f>
        <v>409020</v>
      </c>
      <c r="Y672" s="116">
        <f>InputData!$C$116</f>
        <v>140000</v>
      </c>
      <c r="Z672" s="160">
        <f>InputData!$E$13</f>
        <v>0</v>
      </c>
    </row>
    <row r="673" spans="1:26" x14ac:dyDescent="0.25">
      <c r="A673">
        <f>InputData!$K$1</f>
        <v>2013</v>
      </c>
      <c r="B673" t="str">
        <f>InputData!$G$1</f>
        <v>San Antonio, TX</v>
      </c>
      <c r="C673" t="s">
        <v>177</v>
      </c>
      <c r="D673" t="str">
        <f>Graph_Ortho!$J$6</f>
        <v>IBRr</v>
      </c>
      <c r="E673" t="str">
        <f t="shared" si="10"/>
        <v>Orthopedics IBRr</v>
      </c>
      <c r="F673">
        <f>Graph_Ortho!$A18</f>
        <v>2024</v>
      </c>
      <c r="G673">
        <f>Graph_Ortho!$B18</f>
        <v>12</v>
      </c>
      <c r="H673" s="165">
        <f>Graph_Ortho!$J18</f>
        <v>537043.79570754466</v>
      </c>
      <c r="I673" s="160">
        <f>InputData!$C$3</f>
        <v>0.02</v>
      </c>
      <c r="J673" s="160">
        <f>InputData!$C$4</f>
        <v>0.01</v>
      </c>
      <c r="K673" s="160">
        <f>InputData!$C$5</f>
        <v>0.01</v>
      </c>
      <c r="L673" s="160">
        <f>InputData!$C$6</f>
        <v>6.2100000000000002E-2</v>
      </c>
      <c r="M673" s="160">
        <f>InputData!$C$7</f>
        <v>0.03</v>
      </c>
      <c r="N673" s="160">
        <f>InputData!$C$8</f>
        <v>0.02</v>
      </c>
      <c r="O673" s="160">
        <f>InputData!$C$9</f>
        <v>0.06</v>
      </c>
      <c r="P673" s="160">
        <f>InputData!$C$10</f>
        <v>0.02</v>
      </c>
      <c r="Q673" s="160">
        <f>InputData!$C$11</f>
        <v>0.02</v>
      </c>
      <c r="R673" s="160">
        <f>InputData!$C$12</f>
        <v>0.02</v>
      </c>
      <c r="S673" s="160">
        <f>InputData!$C$13</f>
        <v>0.9</v>
      </c>
      <c r="T673" s="116">
        <f>InputData!$C$88</f>
        <v>180000</v>
      </c>
      <c r="U673" s="116">
        <f>InputData!$C$81</f>
        <v>178500</v>
      </c>
      <c r="V673" s="116">
        <f>InputData!$C$82</f>
        <v>303960</v>
      </c>
      <c r="W673" s="116">
        <f>InputData!$C$84</f>
        <v>215220</v>
      </c>
      <c r="X673" s="116">
        <f>InputData!$C$85</f>
        <v>409020</v>
      </c>
      <c r="Y673" s="116">
        <f>InputData!$C$116</f>
        <v>140000</v>
      </c>
      <c r="Z673" s="160">
        <f>InputData!$E$13</f>
        <v>0</v>
      </c>
    </row>
    <row r="674" spans="1:26" x14ac:dyDescent="0.25">
      <c r="A674">
        <f>InputData!$K$1</f>
        <v>2013</v>
      </c>
      <c r="B674" t="str">
        <f>InputData!$G$1</f>
        <v>San Antonio, TX</v>
      </c>
      <c r="C674" t="s">
        <v>177</v>
      </c>
      <c r="D674" t="str">
        <f>Graph_Ortho!$J$6</f>
        <v>IBRr</v>
      </c>
      <c r="E674" t="str">
        <f t="shared" si="10"/>
        <v>Orthopedics IBRr</v>
      </c>
      <c r="F674">
        <f>Graph_Ortho!$A19</f>
        <v>2025</v>
      </c>
      <c r="G674">
        <f>Graph_Ortho!$B19</f>
        <v>13</v>
      </c>
      <c r="H674" s="165">
        <f>Graph_Ortho!$J19</f>
        <v>719744.42185292428</v>
      </c>
      <c r="I674" s="160">
        <f>InputData!$C$3</f>
        <v>0.02</v>
      </c>
      <c r="J674" s="160">
        <f>InputData!$C$4</f>
        <v>0.01</v>
      </c>
      <c r="K674" s="160">
        <f>InputData!$C$5</f>
        <v>0.01</v>
      </c>
      <c r="L674" s="160">
        <f>InputData!$C$6</f>
        <v>6.2100000000000002E-2</v>
      </c>
      <c r="M674" s="160">
        <f>InputData!$C$7</f>
        <v>0.03</v>
      </c>
      <c r="N674" s="160">
        <f>InputData!$C$8</f>
        <v>0.02</v>
      </c>
      <c r="O674" s="160">
        <f>InputData!$C$9</f>
        <v>0.06</v>
      </c>
      <c r="P674" s="160">
        <f>InputData!$C$10</f>
        <v>0.02</v>
      </c>
      <c r="Q674" s="160">
        <f>InputData!$C$11</f>
        <v>0.02</v>
      </c>
      <c r="R674" s="160">
        <f>InputData!$C$12</f>
        <v>0.02</v>
      </c>
      <c r="S674" s="160">
        <f>InputData!$C$13</f>
        <v>0.9</v>
      </c>
      <c r="T674" s="116">
        <f>InputData!$C$88</f>
        <v>180000</v>
      </c>
      <c r="U674" s="116">
        <f>InputData!$C$81</f>
        <v>178500</v>
      </c>
      <c r="V674" s="116">
        <f>InputData!$C$82</f>
        <v>303960</v>
      </c>
      <c r="W674" s="116">
        <f>InputData!$C$84</f>
        <v>215220</v>
      </c>
      <c r="X674" s="116">
        <f>InputData!$C$85</f>
        <v>409020</v>
      </c>
      <c r="Y674" s="116">
        <f>InputData!$C$116</f>
        <v>140000</v>
      </c>
      <c r="Z674" s="160">
        <f>InputData!$E$13</f>
        <v>0</v>
      </c>
    </row>
    <row r="675" spans="1:26" x14ac:dyDescent="0.25">
      <c r="A675">
        <f>InputData!$K$1</f>
        <v>2013</v>
      </c>
      <c r="B675" t="str">
        <f>InputData!$G$1</f>
        <v>San Antonio, TX</v>
      </c>
      <c r="C675" t="s">
        <v>177</v>
      </c>
      <c r="D675" t="str">
        <f>Graph_Ortho!$J$6</f>
        <v>IBRr</v>
      </c>
      <c r="E675" t="str">
        <f t="shared" si="10"/>
        <v>Orthopedics IBRr</v>
      </c>
      <c r="F675">
        <f>Graph_Ortho!$A20</f>
        <v>2026</v>
      </c>
      <c r="G675">
        <f>Graph_Ortho!$B20</f>
        <v>14</v>
      </c>
      <c r="H675" s="165">
        <f>Graph_Ortho!$J20</f>
        <v>899071.95812670735</v>
      </c>
      <c r="I675" s="160">
        <f>InputData!$C$3</f>
        <v>0.02</v>
      </c>
      <c r="J675" s="160">
        <f>InputData!$C$4</f>
        <v>0.01</v>
      </c>
      <c r="K675" s="160">
        <f>InputData!$C$5</f>
        <v>0.01</v>
      </c>
      <c r="L675" s="160">
        <f>InputData!$C$6</f>
        <v>6.2100000000000002E-2</v>
      </c>
      <c r="M675" s="160">
        <f>InputData!$C$7</f>
        <v>0.03</v>
      </c>
      <c r="N675" s="160">
        <f>InputData!$C$8</f>
        <v>0.02</v>
      </c>
      <c r="O675" s="160">
        <f>InputData!$C$9</f>
        <v>0.06</v>
      </c>
      <c r="P675" s="160">
        <f>InputData!$C$10</f>
        <v>0.02</v>
      </c>
      <c r="Q675" s="160">
        <f>InputData!$C$11</f>
        <v>0.02</v>
      </c>
      <c r="R675" s="160">
        <f>InputData!$C$12</f>
        <v>0.02</v>
      </c>
      <c r="S675" s="160">
        <f>InputData!$C$13</f>
        <v>0.9</v>
      </c>
      <c r="T675" s="116">
        <f>InputData!$C$88</f>
        <v>180000</v>
      </c>
      <c r="U675" s="116">
        <f>InputData!$C$81</f>
        <v>178500</v>
      </c>
      <c r="V675" s="116">
        <f>InputData!$C$82</f>
        <v>303960</v>
      </c>
      <c r="W675" s="116">
        <f>InputData!$C$84</f>
        <v>215220</v>
      </c>
      <c r="X675" s="116">
        <f>InputData!$C$85</f>
        <v>409020</v>
      </c>
      <c r="Y675" s="116">
        <f>InputData!$C$116</f>
        <v>140000</v>
      </c>
      <c r="Z675" s="160">
        <f>InputData!$E$13</f>
        <v>0</v>
      </c>
    </row>
    <row r="676" spans="1:26" x14ac:dyDescent="0.25">
      <c r="A676">
        <f>InputData!$K$1</f>
        <v>2013</v>
      </c>
      <c r="B676" t="str">
        <f>InputData!$G$1</f>
        <v>San Antonio, TX</v>
      </c>
      <c r="C676" t="s">
        <v>177</v>
      </c>
      <c r="D676" t="str">
        <f>Graph_Ortho!$J$6</f>
        <v>IBRr</v>
      </c>
      <c r="E676" t="str">
        <f t="shared" si="10"/>
        <v>Orthopedics IBRr</v>
      </c>
      <c r="F676">
        <f>Graph_Ortho!$A21</f>
        <v>2027</v>
      </c>
      <c r="G676">
        <f>Graph_Ortho!$B21</f>
        <v>15</v>
      </c>
      <c r="H676" s="165">
        <f>Graph_Ortho!$J21</f>
        <v>1075077.6853632189</v>
      </c>
      <c r="I676" s="160">
        <f>InputData!$C$3</f>
        <v>0.02</v>
      </c>
      <c r="J676" s="160">
        <f>InputData!$C$4</f>
        <v>0.01</v>
      </c>
      <c r="K676" s="160">
        <f>InputData!$C$5</f>
        <v>0.01</v>
      </c>
      <c r="L676" s="160">
        <f>InputData!$C$6</f>
        <v>6.2100000000000002E-2</v>
      </c>
      <c r="M676" s="160">
        <f>InputData!$C$7</f>
        <v>0.03</v>
      </c>
      <c r="N676" s="160">
        <f>InputData!$C$8</f>
        <v>0.02</v>
      </c>
      <c r="O676" s="160">
        <f>InputData!$C$9</f>
        <v>0.06</v>
      </c>
      <c r="P676" s="160">
        <f>InputData!$C$10</f>
        <v>0.02</v>
      </c>
      <c r="Q676" s="160">
        <f>InputData!$C$11</f>
        <v>0.02</v>
      </c>
      <c r="R676" s="160">
        <f>InputData!$C$12</f>
        <v>0.02</v>
      </c>
      <c r="S676" s="160">
        <f>InputData!$C$13</f>
        <v>0.9</v>
      </c>
      <c r="T676" s="116">
        <f>InputData!$C$88</f>
        <v>180000</v>
      </c>
      <c r="U676" s="116">
        <f>InputData!$C$81</f>
        <v>178500</v>
      </c>
      <c r="V676" s="116">
        <f>InputData!$C$82</f>
        <v>303960</v>
      </c>
      <c r="W676" s="116">
        <f>InputData!$C$84</f>
        <v>215220</v>
      </c>
      <c r="X676" s="116">
        <f>InputData!$C$85</f>
        <v>409020</v>
      </c>
      <c r="Y676" s="116">
        <f>InputData!$C$116</f>
        <v>140000</v>
      </c>
      <c r="Z676" s="160">
        <f>InputData!$E$13</f>
        <v>0</v>
      </c>
    </row>
    <row r="677" spans="1:26" x14ac:dyDescent="0.25">
      <c r="A677">
        <f>InputData!$K$1</f>
        <v>2013</v>
      </c>
      <c r="B677" t="str">
        <f>InputData!$G$1</f>
        <v>San Antonio, TX</v>
      </c>
      <c r="C677" t="s">
        <v>177</v>
      </c>
      <c r="D677" t="str">
        <f>Graph_Ortho!$J$6</f>
        <v>IBRr</v>
      </c>
      <c r="E677" t="str">
        <f t="shared" si="10"/>
        <v>Orthopedics IBRr</v>
      </c>
      <c r="F677">
        <f>Graph_Ortho!$A22</f>
        <v>2028</v>
      </c>
      <c r="G677">
        <f>Graph_Ortho!$B22</f>
        <v>16</v>
      </c>
      <c r="H677" s="165">
        <f>Graph_Ortho!$J22</f>
        <v>1247812.7336944155</v>
      </c>
      <c r="I677" s="160">
        <f>InputData!$C$3</f>
        <v>0.02</v>
      </c>
      <c r="J677" s="160">
        <f>InputData!$C$4</f>
        <v>0.01</v>
      </c>
      <c r="K677" s="160">
        <f>InputData!$C$5</f>
        <v>0.01</v>
      </c>
      <c r="L677" s="160">
        <f>InputData!$C$6</f>
        <v>6.2100000000000002E-2</v>
      </c>
      <c r="M677" s="160">
        <f>InputData!$C$7</f>
        <v>0.03</v>
      </c>
      <c r="N677" s="160">
        <f>InputData!$C$8</f>
        <v>0.02</v>
      </c>
      <c r="O677" s="160">
        <f>InputData!$C$9</f>
        <v>0.06</v>
      </c>
      <c r="P677" s="160">
        <f>InputData!$C$10</f>
        <v>0.02</v>
      </c>
      <c r="Q677" s="160">
        <f>InputData!$C$11</f>
        <v>0.02</v>
      </c>
      <c r="R677" s="160">
        <f>InputData!$C$12</f>
        <v>0.02</v>
      </c>
      <c r="S677" s="160">
        <f>InputData!$C$13</f>
        <v>0.9</v>
      </c>
      <c r="T677" s="116">
        <f>InputData!$C$88</f>
        <v>180000</v>
      </c>
      <c r="U677" s="116">
        <f>InputData!$C$81</f>
        <v>178500</v>
      </c>
      <c r="V677" s="116">
        <f>InputData!$C$82</f>
        <v>303960</v>
      </c>
      <c r="W677" s="116">
        <f>InputData!$C$84</f>
        <v>215220</v>
      </c>
      <c r="X677" s="116">
        <f>InputData!$C$85</f>
        <v>409020</v>
      </c>
      <c r="Y677" s="116">
        <f>InputData!$C$116</f>
        <v>140000</v>
      </c>
      <c r="Z677" s="160">
        <f>InputData!$E$13</f>
        <v>0</v>
      </c>
    </row>
    <row r="678" spans="1:26" x14ac:dyDescent="0.25">
      <c r="A678">
        <f>InputData!$K$1</f>
        <v>2013</v>
      </c>
      <c r="B678" t="str">
        <f>InputData!$G$1</f>
        <v>San Antonio, TX</v>
      </c>
      <c r="C678" t="s">
        <v>177</v>
      </c>
      <c r="D678" t="str">
        <f>Graph_Ortho!$J$6</f>
        <v>IBRr</v>
      </c>
      <c r="E678" t="str">
        <f t="shared" si="10"/>
        <v>Orthopedics IBRr</v>
      </c>
      <c r="F678">
        <f>Graph_Ortho!$A23</f>
        <v>2029</v>
      </c>
      <c r="G678">
        <f>Graph_Ortho!$B23</f>
        <v>17</v>
      </c>
      <c r="H678" s="165">
        <f>Graph_Ortho!$J23</f>
        <v>1417328.040280855</v>
      </c>
      <c r="I678" s="160">
        <f>InputData!$C$3</f>
        <v>0.02</v>
      </c>
      <c r="J678" s="160">
        <f>InputData!$C$4</f>
        <v>0.01</v>
      </c>
      <c r="K678" s="160">
        <f>InputData!$C$5</f>
        <v>0.01</v>
      </c>
      <c r="L678" s="160">
        <f>InputData!$C$6</f>
        <v>6.2100000000000002E-2</v>
      </c>
      <c r="M678" s="160">
        <f>InputData!$C$7</f>
        <v>0.03</v>
      </c>
      <c r="N678" s="160">
        <f>InputData!$C$8</f>
        <v>0.02</v>
      </c>
      <c r="O678" s="160">
        <f>InputData!$C$9</f>
        <v>0.06</v>
      </c>
      <c r="P678" s="160">
        <f>InputData!$C$10</f>
        <v>0.02</v>
      </c>
      <c r="Q678" s="160">
        <f>InputData!$C$11</f>
        <v>0.02</v>
      </c>
      <c r="R678" s="160">
        <f>InputData!$C$12</f>
        <v>0.02</v>
      </c>
      <c r="S678" s="160">
        <f>InputData!$C$13</f>
        <v>0.9</v>
      </c>
      <c r="T678" s="116">
        <f>InputData!$C$88</f>
        <v>180000</v>
      </c>
      <c r="U678" s="116">
        <f>InputData!$C$81</f>
        <v>178500</v>
      </c>
      <c r="V678" s="116">
        <f>InputData!$C$82</f>
        <v>303960</v>
      </c>
      <c r="W678" s="116">
        <f>InputData!$C$84</f>
        <v>215220</v>
      </c>
      <c r="X678" s="116">
        <f>InputData!$C$85</f>
        <v>409020</v>
      </c>
      <c r="Y678" s="116">
        <f>InputData!$C$116</f>
        <v>140000</v>
      </c>
      <c r="Z678" s="160">
        <f>InputData!$E$13</f>
        <v>0</v>
      </c>
    </row>
    <row r="679" spans="1:26" x14ac:dyDescent="0.25">
      <c r="A679">
        <f>InputData!$K$1</f>
        <v>2013</v>
      </c>
      <c r="B679" t="str">
        <f>InputData!$G$1</f>
        <v>San Antonio, TX</v>
      </c>
      <c r="C679" t="s">
        <v>177</v>
      </c>
      <c r="D679" t="str">
        <f>Graph_Ortho!$J$6</f>
        <v>IBRr</v>
      </c>
      <c r="E679" t="str">
        <f t="shared" si="10"/>
        <v>Orthopedics IBRr</v>
      </c>
      <c r="F679">
        <f>Graph_Ortho!$A24</f>
        <v>2030</v>
      </c>
      <c r="G679">
        <f>Graph_Ortho!$B24</f>
        <v>18</v>
      </c>
      <c r="H679" s="165">
        <f>Graph_Ortho!$J24</f>
        <v>1583674.3101676705</v>
      </c>
      <c r="I679" s="160">
        <f>InputData!$C$3</f>
        <v>0.02</v>
      </c>
      <c r="J679" s="160">
        <f>InputData!$C$4</f>
        <v>0.01</v>
      </c>
      <c r="K679" s="160">
        <f>InputData!$C$5</f>
        <v>0.01</v>
      </c>
      <c r="L679" s="160">
        <f>InputData!$C$6</f>
        <v>6.2100000000000002E-2</v>
      </c>
      <c r="M679" s="160">
        <f>InputData!$C$7</f>
        <v>0.03</v>
      </c>
      <c r="N679" s="160">
        <f>InputData!$C$8</f>
        <v>0.02</v>
      </c>
      <c r="O679" s="160">
        <f>InputData!$C$9</f>
        <v>0.06</v>
      </c>
      <c r="P679" s="160">
        <f>InputData!$C$10</f>
        <v>0.02</v>
      </c>
      <c r="Q679" s="160">
        <f>InputData!$C$11</f>
        <v>0.02</v>
      </c>
      <c r="R679" s="160">
        <f>InputData!$C$12</f>
        <v>0.02</v>
      </c>
      <c r="S679" s="160">
        <f>InputData!$C$13</f>
        <v>0.9</v>
      </c>
      <c r="T679" s="116">
        <f>InputData!$C$88</f>
        <v>180000</v>
      </c>
      <c r="U679" s="116">
        <f>InputData!$C$81</f>
        <v>178500</v>
      </c>
      <c r="V679" s="116">
        <f>InputData!$C$82</f>
        <v>303960</v>
      </c>
      <c r="W679" s="116">
        <f>InputData!$C$84</f>
        <v>215220</v>
      </c>
      <c r="X679" s="116">
        <f>InputData!$C$85</f>
        <v>409020</v>
      </c>
      <c r="Y679" s="116">
        <f>InputData!$C$116</f>
        <v>140000</v>
      </c>
      <c r="Z679" s="160">
        <f>InputData!$E$13</f>
        <v>0</v>
      </c>
    </row>
    <row r="680" spans="1:26" x14ac:dyDescent="0.25">
      <c r="A680">
        <f>InputData!$K$1</f>
        <v>2013</v>
      </c>
      <c r="B680" t="str">
        <f>InputData!$G$1</f>
        <v>San Antonio, TX</v>
      </c>
      <c r="C680" t="s">
        <v>177</v>
      </c>
      <c r="D680" t="str">
        <f>Graph_Ortho!$J$6</f>
        <v>IBRr</v>
      </c>
      <c r="E680" t="str">
        <f t="shared" si="10"/>
        <v>Orthopedics IBRr</v>
      </c>
      <c r="F680">
        <f>Graph_Ortho!$A25</f>
        <v>2031</v>
      </c>
      <c r="G680">
        <f>Graph_Ortho!$B25</f>
        <v>19</v>
      </c>
      <c r="H680" s="165">
        <f>Graph_Ortho!$J25</f>
        <v>1746901.9800902449</v>
      </c>
      <c r="I680" s="160">
        <f>InputData!$C$3</f>
        <v>0.02</v>
      </c>
      <c r="J680" s="160">
        <f>InputData!$C$4</f>
        <v>0.01</v>
      </c>
      <c r="K680" s="160">
        <f>InputData!$C$5</f>
        <v>0.01</v>
      </c>
      <c r="L680" s="160">
        <f>InputData!$C$6</f>
        <v>6.2100000000000002E-2</v>
      </c>
      <c r="M680" s="160">
        <f>InputData!$C$7</f>
        <v>0.03</v>
      </c>
      <c r="N680" s="160">
        <f>InputData!$C$8</f>
        <v>0.02</v>
      </c>
      <c r="O680" s="160">
        <f>InputData!$C$9</f>
        <v>0.06</v>
      </c>
      <c r="P680" s="160">
        <f>InputData!$C$10</f>
        <v>0.02</v>
      </c>
      <c r="Q680" s="160">
        <f>InputData!$C$11</f>
        <v>0.02</v>
      </c>
      <c r="R680" s="160">
        <f>InputData!$C$12</f>
        <v>0.02</v>
      </c>
      <c r="S680" s="160">
        <f>InputData!$C$13</f>
        <v>0.9</v>
      </c>
      <c r="T680" s="116">
        <f>InputData!$C$88</f>
        <v>180000</v>
      </c>
      <c r="U680" s="116">
        <f>InputData!$C$81</f>
        <v>178500</v>
      </c>
      <c r="V680" s="116">
        <f>InputData!$C$82</f>
        <v>303960</v>
      </c>
      <c r="W680" s="116">
        <f>InputData!$C$84</f>
        <v>215220</v>
      </c>
      <c r="X680" s="116">
        <f>InputData!$C$85</f>
        <v>409020</v>
      </c>
      <c r="Y680" s="116">
        <f>InputData!$C$116</f>
        <v>140000</v>
      </c>
      <c r="Z680" s="160">
        <f>InputData!$E$13</f>
        <v>0</v>
      </c>
    </row>
    <row r="681" spans="1:26" x14ac:dyDescent="0.25">
      <c r="A681">
        <f>InputData!$K$1</f>
        <v>2013</v>
      </c>
      <c r="B681" t="str">
        <f>InputData!$G$1</f>
        <v>San Antonio, TX</v>
      </c>
      <c r="C681" t="s">
        <v>177</v>
      </c>
      <c r="D681" t="str">
        <f>Graph_Ortho!$J$6</f>
        <v>IBRr</v>
      </c>
      <c r="E681" t="str">
        <f t="shared" si="10"/>
        <v>Orthopedics IBRr</v>
      </c>
      <c r="F681">
        <f>Graph_Ortho!$A26</f>
        <v>2032</v>
      </c>
      <c r="G681">
        <f>Graph_Ortho!$B26</f>
        <v>20</v>
      </c>
      <c r="H681" s="165">
        <f>Graph_Ortho!$J26</f>
        <v>1907061.1850633086</v>
      </c>
      <c r="I681" s="160">
        <f>InputData!$C$3</f>
        <v>0.02</v>
      </c>
      <c r="J681" s="160">
        <f>InputData!$C$4</f>
        <v>0.01</v>
      </c>
      <c r="K681" s="160">
        <f>InputData!$C$5</f>
        <v>0.01</v>
      </c>
      <c r="L681" s="160">
        <f>InputData!$C$6</f>
        <v>6.2100000000000002E-2</v>
      </c>
      <c r="M681" s="160">
        <f>InputData!$C$7</f>
        <v>0.03</v>
      </c>
      <c r="N681" s="160">
        <f>InputData!$C$8</f>
        <v>0.02</v>
      </c>
      <c r="O681" s="160">
        <f>InputData!$C$9</f>
        <v>0.06</v>
      </c>
      <c r="P681" s="160">
        <f>InputData!$C$10</f>
        <v>0.02</v>
      </c>
      <c r="Q681" s="160">
        <f>InputData!$C$11</f>
        <v>0.02</v>
      </c>
      <c r="R681" s="160">
        <f>InputData!$C$12</f>
        <v>0.02</v>
      </c>
      <c r="S681" s="160">
        <f>InputData!$C$13</f>
        <v>0.9</v>
      </c>
      <c r="T681" s="116">
        <f>InputData!$C$88</f>
        <v>180000</v>
      </c>
      <c r="U681" s="116">
        <f>InputData!$C$81</f>
        <v>178500</v>
      </c>
      <c r="V681" s="116">
        <f>InputData!$C$82</f>
        <v>303960</v>
      </c>
      <c r="W681" s="116">
        <f>InputData!$C$84</f>
        <v>215220</v>
      </c>
      <c r="X681" s="116">
        <f>InputData!$C$85</f>
        <v>409020</v>
      </c>
      <c r="Y681" s="116">
        <f>InputData!$C$116</f>
        <v>140000</v>
      </c>
      <c r="Z681" s="160">
        <f>InputData!$E$13</f>
        <v>0</v>
      </c>
    </row>
    <row r="682" spans="1:26" x14ac:dyDescent="0.25">
      <c r="A682">
        <f>InputData!$K$1</f>
        <v>2013</v>
      </c>
      <c r="B682" t="str">
        <f>InputData!$G$1</f>
        <v>San Antonio, TX</v>
      </c>
      <c r="C682" t="s">
        <v>177</v>
      </c>
      <c r="D682" t="str">
        <f>Graph_Ortho!$J$6</f>
        <v>IBRr</v>
      </c>
      <c r="E682" t="str">
        <f t="shared" si="10"/>
        <v>Orthopedics IBRr</v>
      </c>
      <c r="F682">
        <f>Graph_Ortho!$A27</f>
        <v>2033</v>
      </c>
      <c r="G682">
        <f>Graph_Ortho!$B27</f>
        <v>21</v>
      </c>
      <c r="H682" s="165">
        <f>Graph_Ortho!$J27</f>
        <v>2065128.3330121893</v>
      </c>
      <c r="I682" s="160">
        <f>InputData!$C$3</f>
        <v>0.02</v>
      </c>
      <c r="J682" s="160">
        <f>InputData!$C$4</f>
        <v>0.01</v>
      </c>
      <c r="K682" s="160">
        <f>InputData!$C$5</f>
        <v>0.01</v>
      </c>
      <c r="L682" s="160">
        <f>InputData!$C$6</f>
        <v>6.2100000000000002E-2</v>
      </c>
      <c r="M682" s="160">
        <f>InputData!$C$7</f>
        <v>0.03</v>
      </c>
      <c r="N682" s="160">
        <f>InputData!$C$8</f>
        <v>0.02</v>
      </c>
      <c r="O682" s="160">
        <f>InputData!$C$9</f>
        <v>0.06</v>
      </c>
      <c r="P682" s="160">
        <f>InputData!$C$10</f>
        <v>0.02</v>
      </c>
      <c r="Q682" s="160">
        <f>InputData!$C$11</f>
        <v>0.02</v>
      </c>
      <c r="R682" s="160">
        <f>InputData!$C$12</f>
        <v>0.02</v>
      </c>
      <c r="S682" s="160">
        <f>InputData!$C$13</f>
        <v>0.9</v>
      </c>
      <c r="T682" s="116">
        <f>InputData!$C$88</f>
        <v>180000</v>
      </c>
      <c r="U682" s="116">
        <f>InputData!$C$81</f>
        <v>178500</v>
      </c>
      <c r="V682" s="116">
        <f>InputData!$C$82</f>
        <v>303960</v>
      </c>
      <c r="W682" s="116">
        <f>InputData!$C$84</f>
        <v>215220</v>
      </c>
      <c r="X682" s="116">
        <f>InputData!$C$85</f>
        <v>409020</v>
      </c>
      <c r="Y682" s="116">
        <f>InputData!$C$116</f>
        <v>140000</v>
      </c>
      <c r="Z682" s="160">
        <f>InputData!$E$13</f>
        <v>0</v>
      </c>
    </row>
    <row r="683" spans="1:26" x14ac:dyDescent="0.25">
      <c r="A683">
        <f>InputData!$K$1</f>
        <v>2013</v>
      </c>
      <c r="B683" t="str">
        <f>InputData!$G$1</f>
        <v>San Antonio, TX</v>
      </c>
      <c r="C683" t="s">
        <v>177</v>
      </c>
      <c r="D683" t="str">
        <f>Graph_Ortho!$J$6</f>
        <v>IBRr</v>
      </c>
      <c r="E683" t="str">
        <f t="shared" si="10"/>
        <v>Orthopedics IBRr</v>
      </c>
      <c r="F683">
        <f>Graph_Ortho!$A28</f>
        <v>2034</v>
      </c>
      <c r="G683">
        <f>Graph_Ortho!$B28</f>
        <v>22</v>
      </c>
      <c r="H683" s="165">
        <f>Graph_Ortho!$J28</f>
        <v>2229637.4778992226</v>
      </c>
      <c r="I683" s="160">
        <f>InputData!$C$3</f>
        <v>0.02</v>
      </c>
      <c r="J683" s="160">
        <f>InputData!$C$4</f>
        <v>0.01</v>
      </c>
      <c r="K683" s="160">
        <f>InputData!$C$5</f>
        <v>0.01</v>
      </c>
      <c r="L683" s="160">
        <f>InputData!$C$6</f>
        <v>6.2100000000000002E-2</v>
      </c>
      <c r="M683" s="160">
        <f>InputData!$C$7</f>
        <v>0.03</v>
      </c>
      <c r="N683" s="160">
        <f>InputData!$C$8</f>
        <v>0.02</v>
      </c>
      <c r="O683" s="160">
        <f>InputData!$C$9</f>
        <v>0.06</v>
      </c>
      <c r="P683" s="160">
        <f>InputData!$C$10</f>
        <v>0.02</v>
      </c>
      <c r="Q683" s="160">
        <f>InputData!$C$11</f>
        <v>0.02</v>
      </c>
      <c r="R683" s="160">
        <f>InputData!$C$12</f>
        <v>0.02</v>
      </c>
      <c r="S683" s="160">
        <f>InputData!$C$13</f>
        <v>0.9</v>
      </c>
      <c r="T683" s="116">
        <f>InputData!$C$88</f>
        <v>180000</v>
      </c>
      <c r="U683" s="116">
        <f>InputData!$C$81</f>
        <v>178500</v>
      </c>
      <c r="V683" s="116">
        <f>InputData!$C$82</f>
        <v>303960</v>
      </c>
      <c r="W683" s="116">
        <f>InputData!$C$84</f>
        <v>215220</v>
      </c>
      <c r="X683" s="116">
        <f>InputData!$C$85</f>
        <v>409020</v>
      </c>
      <c r="Y683" s="116">
        <f>InputData!$C$116</f>
        <v>140000</v>
      </c>
      <c r="Z683" s="160">
        <f>InputData!$E$13</f>
        <v>0</v>
      </c>
    </row>
    <row r="684" spans="1:26" x14ac:dyDescent="0.25">
      <c r="A684">
        <f>InputData!$K$1</f>
        <v>2013</v>
      </c>
      <c r="B684" t="str">
        <f>InputData!$G$1</f>
        <v>San Antonio, TX</v>
      </c>
      <c r="C684" t="s">
        <v>177</v>
      </c>
      <c r="D684" t="str">
        <f>Graph_Ortho!$J$6</f>
        <v>IBRr</v>
      </c>
      <c r="E684" t="str">
        <f t="shared" si="10"/>
        <v>Orthopedics IBRr</v>
      </c>
      <c r="F684">
        <f>Graph_Ortho!$A29</f>
        <v>2035</v>
      </c>
      <c r="G684">
        <f>Graph_Ortho!$B29</f>
        <v>23</v>
      </c>
      <c r="H684" s="165">
        <f>Graph_Ortho!$J29</f>
        <v>2390728.5568407276</v>
      </c>
      <c r="I684" s="160">
        <f>InputData!$C$3</f>
        <v>0.02</v>
      </c>
      <c r="J684" s="160">
        <f>InputData!$C$4</f>
        <v>0.01</v>
      </c>
      <c r="K684" s="160">
        <f>InputData!$C$5</f>
        <v>0.01</v>
      </c>
      <c r="L684" s="160">
        <f>InputData!$C$6</f>
        <v>6.2100000000000002E-2</v>
      </c>
      <c r="M684" s="160">
        <f>InputData!$C$7</f>
        <v>0.03</v>
      </c>
      <c r="N684" s="160">
        <f>InputData!$C$8</f>
        <v>0.02</v>
      </c>
      <c r="O684" s="160">
        <f>InputData!$C$9</f>
        <v>0.06</v>
      </c>
      <c r="P684" s="160">
        <f>InputData!$C$10</f>
        <v>0.02</v>
      </c>
      <c r="Q684" s="160">
        <f>InputData!$C$11</f>
        <v>0.02</v>
      </c>
      <c r="R684" s="160">
        <f>InputData!$C$12</f>
        <v>0.02</v>
      </c>
      <c r="S684" s="160">
        <f>InputData!$C$13</f>
        <v>0.9</v>
      </c>
      <c r="T684" s="116">
        <f>InputData!$C$88</f>
        <v>180000</v>
      </c>
      <c r="U684" s="116">
        <f>InputData!$C$81</f>
        <v>178500</v>
      </c>
      <c r="V684" s="116">
        <f>InputData!$C$82</f>
        <v>303960</v>
      </c>
      <c r="W684" s="116">
        <f>InputData!$C$84</f>
        <v>215220</v>
      </c>
      <c r="X684" s="116">
        <f>InputData!$C$85</f>
        <v>409020</v>
      </c>
      <c r="Y684" s="116">
        <f>InputData!$C$116</f>
        <v>140000</v>
      </c>
      <c r="Z684" s="160">
        <f>InputData!$E$13</f>
        <v>0</v>
      </c>
    </row>
    <row r="685" spans="1:26" x14ac:dyDescent="0.25">
      <c r="A685">
        <f>InputData!$K$1</f>
        <v>2013</v>
      </c>
      <c r="B685" t="str">
        <f>InputData!$G$1</f>
        <v>San Antonio, TX</v>
      </c>
      <c r="C685" t="s">
        <v>177</v>
      </c>
      <c r="D685" t="str">
        <f>Graph_Ortho!$J$6</f>
        <v>IBRr</v>
      </c>
      <c r="E685" t="str">
        <f t="shared" si="10"/>
        <v>Orthopedics IBRr</v>
      </c>
      <c r="F685">
        <f>Graph_Ortho!$A30</f>
        <v>2036</v>
      </c>
      <c r="G685">
        <f>Graph_Ortho!$B30</f>
        <v>24</v>
      </c>
      <c r="H685" s="165">
        <f>Graph_Ortho!$J30</f>
        <v>2548474.1945173428</v>
      </c>
      <c r="I685" s="160">
        <f>InputData!$C$3</f>
        <v>0.02</v>
      </c>
      <c r="J685" s="160">
        <f>InputData!$C$4</f>
        <v>0.01</v>
      </c>
      <c r="K685" s="160">
        <f>InputData!$C$5</f>
        <v>0.01</v>
      </c>
      <c r="L685" s="160">
        <f>InputData!$C$6</f>
        <v>6.2100000000000002E-2</v>
      </c>
      <c r="M685" s="160">
        <f>InputData!$C$7</f>
        <v>0.03</v>
      </c>
      <c r="N685" s="160">
        <f>InputData!$C$8</f>
        <v>0.02</v>
      </c>
      <c r="O685" s="160">
        <f>InputData!$C$9</f>
        <v>0.06</v>
      </c>
      <c r="P685" s="160">
        <f>InputData!$C$10</f>
        <v>0.02</v>
      </c>
      <c r="Q685" s="160">
        <f>InputData!$C$11</f>
        <v>0.02</v>
      </c>
      <c r="R685" s="160">
        <f>InputData!$C$12</f>
        <v>0.02</v>
      </c>
      <c r="S685" s="160">
        <f>InputData!$C$13</f>
        <v>0.9</v>
      </c>
      <c r="T685" s="116">
        <f>InputData!$C$88</f>
        <v>180000</v>
      </c>
      <c r="U685" s="116">
        <f>InputData!$C$81</f>
        <v>178500</v>
      </c>
      <c r="V685" s="116">
        <f>InputData!$C$82</f>
        <v>303960</v>
      </c>
      <c r="W685" s="116">
        <f>InputData!$C$84</f>
        <v>215220</v>
      </c>
      <c r="X685" s="116">
        <f>InputData!$C$85</f>
        <v>409020</v>
      </c>
      <c r="Y685" s="116">
        <f>InputData!$C$116</f>
        <v>140000</v>
      </c>
      <c r="Z685" s="160">
        <f>InputData!$E$13</f>
        <v>0</v>
      </c>
    </row>
    <row r="686" spans="1:26" x14ac:dyDescent="0.25">
      <c r="A686">
        <f>InputData!$K$1</f>
        <v>2013</v>
      </c>
      <c r="B686" t="str">
        <f>InputData!$G$1</f>
        <v>San Antonio, TX</v>
      </c>
      <c r="C686" t="s">
        <v>177</v>
      </c>
      <c r="D686" t="str">
        <f>Graph_Ortho!$J$6</f>
        <v>IBRr</v>
      </c>
      <c r="E686" t="str">
        <f t="shared" si="10"/>
        <v>Orthopedics IBRr</v>
      </c>
      <c r="F686">
        <f>Graph_Ortho!$A31</f>
        <v>2037</v>
      </c>
      <c r="G686">
        <f>Graph_Ortho!$B31</f>
        <v>25</v>
      </c>
      <c r="H686" s="165">
        <f>Graph_Ortho!$J31</f>
        <v>2702945.4283794751</v>
      </c>
      <c r="I686" s="160">
        <f>InputData!$C$3</f>
        <v>0.02</v>
      </c>
      <c r="J686" s="160">
        <f>InputData!$C$4</f>
        <v>0.01</v>
      </c>
      <c r="K686" s="160">
        <f>InputData!$C$5</f>
        <v>0.01</v>
      </c>
      <c r="L686" s="160">
        <f>InputData!$C$6</f>
        <v>6.2100000000000002E-2</v>
      </c>
      <c r="M686" s="160">
        <f>InputData!$C$7</f>
        <v>0.03</v>
      </c>
      <c r="N686" s="160">
        <f>InputData!$C$8</f>
        <v>0.02</v>
      </c>
      <c r="O686" s="160">
        <f>InputData!$C$9</f>
        <v>0.06</v>
      </c>
      <c r="P686" s="160">
        <f>InputData!$C$10</f>
        <v>0.02</v>
      </c>
      <c r="Q686" s="160">
        <f>InputData!$C$11</f>
        <v>0.02</v>
      </c>
      <c r="R686" s="160">
        <f>InputData!$C$12</f>
        <v>0.02</v>
      </c>
      <c r="S686" s="160">
        <f>InputData!$C$13</f>
        <v>0.9</v>
      </c>
      <c r="T686" s="116">
        <f>InputData!$C$88</f>
        <v>180000</v>
      </c>
      <c r="U686" s="116">
        <f>InputData!$C$81</f>
        <v>178500</v>
      </c>
      <c r="V686" s="116">
        <f>InputData!$C$82</f>
        <v>303960</v>
      </c>
      <c r="W686" s="116">
        <f>InputData!$C$84</f>
        <v>215220</v>
      </c>
      <c r="X686" s="116">
        <f>InputData!$C$85</f>
        <v>409020</v>
      </c>
      <c r="Y686" s="116">
        <f>InputData!$C$116</f>
        <v>140000</v>
      </c>
      <c r="Z686" s="160">
        <f>InputData!$E$13</f>
        <v>0</v>
      </c>
    </row>
    <row r="687" spans="1:26" x14ac:dyDescent="0.25">
      <c r="A687">
        <f>InputData!$K$1</f>
        <v>2013</v>
      </c>
      <c r="B687" t="str">
        <f>InputData!$G$1</f>
        <v>San Antonio, TX</v>
      </c>
      <c r="C687" t="s">
        <v>177</v>
      </c>
      <c r="D687" t="str">
        <f>Graph_Ortho!$J$6</f>
        <v>IBRr</v>
      </c>
      <c r="E687" t="str">
        <f t="shared" si="10"/>
        <v>Orthopedics IBRr</v>
      </c>
      <c r="F687">
        <f>Graph_Ortho!$A32</f>
        <v>2038</v>
      </c>
      <c r="G687">
        <f>Graph_Ortho!$B32</f>
        <v>26</v>
      </c>
      <c r="H687" s="165">
        <f>Graph_Ortho!$J32</f>
        <v>2854211.7445233511</v>
      </c>
      <c r="I687" s="160">
        <f>InputData!$C$3</f>
        <v>0.02</v>
      </c>
      <c r="J687" s="160">
        <f>InputData!$C$4</f>
        <v>0.01</v>
      </c>
      <c r="K687" s="160">
        <f>InputData!$C$5</f>
        <v>0.01</v>
      </c>
      <c r="L687" s="160">
        <f>InputData!$C$6</f>
        <v>6.2100000000000002E-2</v>
      </c>
      <c r="M687" s="160">
        <f>InputData!$C$7</f>
        <v>0.03</v>
      </c>
      <c r="N687" s="160">
        <f>InputData!$C$8</f>
        <v>0.02</v>
      </c>
      <c r="O687" s="160">
        <f>InputData!$C$9</f>
        <v>0.06</v>
      </c>
      <c r="P687" s="160">
        <f>InputData!$C$10</f>
        <v>0.02</v>
      </c>
      <c r="Q687" s="160">
        <f>InputData!$C$11</f>
        <v>0.02</v>
      </c>
      <c r="R687" s="160">
        <f>InputData!$C$12</f>
        <v>0.02</v>
      </c>
      <c r="S687" s="160">
        <f>InputData!$C$13</f>
        <v>0.9</v>
      </c>
      <c r="T687" s="116">
        <f>InputData!$C$88</f>
        <v>180000</v>
      </c>
      <c r="U687" s="116">
        <f>InputData!$C$81</f>
        <v>178500</v>
      </c>
      <c r="V687" s="116">
        <f>InputData!$C$82</f>
        <v>303960</v>
      </c>
      <c r="W687" s="116">
        <f>InputData!$C$84</f>
        <v>215220</v>
      </c>
      <c r="X687" s="116">
        <f>InputData!$C$85</f>
        <v>409020</v>
      </c>
      <c r="Y687" s="116">
        <f>InputData!$C$116</f>
        <v>140000</v>
      </c>
      <c r="Z687" s="160">
        <f>InputData!$E$13</f>
        <v>0</v>
      </c>
    </row>
    <row r="688" spans="1:26" x14ac:dyDescent="0.25">
      <c r="A688">
        <f>InputData!$K$1</f>
        <v>2013</v>
      </c>
      <c r="B688" t="str">
        <f>InputData!$G$1</f>
        <v>San Antonio, TX</v>
      </c>
      <c r="C688" t="s">
        <v>177</v>
      </c>
      <c r="D688" t="str">
        <f>Graph_Ortho!$J$6</f>
        <v>IBRr</v>
      </c>
      <c r="E688" t="str">
        <f t="shared" si="10"/>
        <v>Orthopedics IBRr</v>
      </c>
      <c r="F688">
        <f>Graph_Ortho!$A33</f>
        <v>2039</v>
      </c>
      <c r="G688">
        <f>Graph_Ortho!$B33</f>
        <v>27</v>
      </c>
      <c r="H688" s="165">
        <f>Graph_Ortho!$J33</f>
        <v>3002341.1127251536</v>
      </c>
      <c r="I688" s="160">
        <f>InputData!$C$3</f>
        <v>0.02</v>
      </c>
      <c r="J688" s="160">
        <f>InputData!$C$4</f>
        <v>0.01</v>
      </c>
      <c r="K688" s="160">
        <f>InputData!$C$5</f>
        <v>0.01</v>
      </c>
      <c r="L688" s="160">
        <f>InputData!$C$6</f>
        <v>6.2100000000000002E-2</v>
      </c>
      <c r="M688" s="160">
        <f>InputData!$C$7</f>
        <v>0.03</v>
      </c>
      <c r="N688" s="160">
        <f>InputData!$C$8</f>
        <v>0.02</v>
      </c>
      <c r="O688" s="160">
        <f>InputData!$C$9</f>
        <v>0.06</v>
      </c>
      <c r="P688" s="160">
        <f>InputData!$C$10</f>
        <v>0.02</v>
      </c>
      <c r="Q688" s="160">
        <f>InputData!$C$11</f>
        <v>0.02</v>
      </c>
      <c r="R688" s="160">
        <f>InputData!$C$12</f>
        <v>0.02</v>
      </c>
      <c r="S688" s="160">
        <f>InputData!$C$13</f>
        <v>0.9</v>
      </c>
      <c r="T688" s="116">
        <f>InputData!$C$88</f>
        <v>180000</v>
      </c>
      <c r="U688" s="116">
        <f>InputData!$C$81</f>
        <v>178500</v>
      </c>
      <c r="V688" s="116">
        <f>InputData!$C$82</f>
        <v>303960</v>
      </c>
      <c r="W688" s="116">
        <f>InputData!$C$84</f>
        <v>215220</v>
      </c>
      <c r="X688" s="116">
        <f>InputData!$C$85</f>
        <v>409020</v>
      </c>
      <c r="Y688" s="116">
        <f>InputData!$C$116</f>
        <v>140000</v>
      </c>
      <c r="Z688" s="160">
        <f>InputData!$E$13</f>
        <v>0</v>
      </c>
    </row>
    <row r="689" spans="1:26" x14ac:dyDescent="0.25">
      <c r="A689">
        <f>InputData!$K$1</f>
        <v>2013</v>
      </c>
      <c r="B689" t="str">
        <f>InputData!$G$1</f>
        <v>San Antonio, TX</v>
      </c>
      <c r="C689" t="s">
        <v>177</v>
      </c>
      <c r="D689" t="str">
        <f>Graph_Ortho!$J$6</f>
        <v>IBRr</v>
      </c>
      <c r="E689" t="str">
        <f t="shared" si="10"/>
        <v>Orthopedics IBRr</v>
      </c>
      <c r="F689">
        <f>Graph_Ortho!$A34</f>
        <v>2040</v>
      </c>
      <c r="G689">
        <f>Graph_Ortho!$B34</f>
        <v>28</v>
      </c>
      <c r="H689" s="165">
        <f>Graph_Ortho!$J34</f>
        <v>3147400.0206537838</v>
      </c>
      <c r="I689" s="160">
        <f>InputData!$C$3</f>
        <v>0.02</v>
      </c>
      <c r="J689" s="160">
        <f>InputData!$C$4</f>
        <v>0.01</v>
      </c>
      <c r="K689" s="160">
        <f>InputData!$C$5</f>
        <v>0.01</v>
      </c>
      <c r="L689" s="160">
        <f>InputData!$C$6</f>
        <v>6.2100000000000002E-2</v>
      </c>
      <c r="M689" s="160">
        <f>InputData!$C$7</f>
        <v>0.03</v>
      </c>
      <c r="N689" s="160">
        <f>InputData!$C$8</f>
        <v>0.02</v>
      </c>
      <c r="O689" s="160">
        <f>InputData!$C$9</f>
        <v>0.06</v>
      </c>
      <c r="P689" s="160">
        <f>InputData!$C$10</f>
        <v>0.02</v>
      </c>
      <c r="Q689" s="160">
        <f>InputData!$C$11</f>
        <v>0.02</v>
      </c>
      <c r="R689" s="160">
        <f>InputData!$C$12</f>
        <v>0.02</v>
      </c>
      <c r="S689" s="160">
        <f>InputData!$C$13</f>
        <v>0.9</v>
      </c>
      <c r="T689" s="116">
        <f>InputData!$C$88</f>
        <v>180000</v>
      </c>
      <c r="U689" s="116">
        <f>InputData!$C$81</f>
        <v>178500</v>
      </c>
      <c r="V689" s="116">
        <f>InputData!$C$82</f>
        <v>303960</v>
      </c>
      <c r="W689" s="116">
        <f>InputData!$C$84</f>
        <v>215220</v>
      </c>
      <c r="X689" s="116">
        <f>InputData!$C$85</f>
        <v>409020</v>
      </c>
      <c r="Y689" s="116">
        <f>InputData!$C$116</f>
        <v>140000</v>
      </c>
      <c r="Z689" s="160">
        <f>InputData!$E$13</f>
        <v>0</v>
      </c>
    </row>
    <row r="690" spans="1:26" x14ac:dyDescent="0.25">
      <c r="A690">
        <f>InputData!$K$1</f>
        <v>2013</v>
      </c>
      <c r="B690" t="str">
        <f>InputData!$G$1</f>
        <v>San Antonio, TX</v>
      </c>
      <c r="C690" t="s">
        <v>177</v>
      </c>
      <c r="D690" t="str">
        <f>Graph_Ortho!$J$6</f>
        <v>IBRr</v>
      </c>
      <c r="E690" t="str">
        <f t="shared" si="10"/>
        <v>Orthopedics IBRr</v>
      </c>
      <c r="F690">
        <f>Graph_Ortho!$A35</f>
        <v>2041</v>
      </c>
      <c r="G690">
        <f>Graph_Ortho!$B35</f>
        <v>29</v>
      </c>
      <c r="H690" s="165">
        <f>Graph_Ortho!$J35</f>
        <v>3289453.5072822715</v>
      </c>
      <c r="I690" s="160">
        <f>InputData!$C$3</f>
        <v>0.02</v>
      </c>
      <c r="J690" s="160">
        <f>InputData!$C$4</f>
        <v>0.01</v>
      </c>
      <c r="K690" s="160">
        <f>InputData!$C$5</f>
        <v>0.01</v>
      </c>
      <c r="L690" s="160">
        <f>InputData!$C$6</f>
        <v>6.2100000000000002E-2</v>
      </c>
      <c r="M690" s="160">
        <f>InputData!$C$7</f>
        <v>0.03</v>
      </c>
      <c r="N690" s="160">
        <f>InputData!$C$8</f>
        <v>0.02</v>
      </c>
      <c r="O690" s="160">
        <f>InputData!$C$9</f>
        <v>0.06</v>
      </c>
      <c r="P690" s="160">
        <f>InputData!$C$10</f>
        <v>0.02</v>
      </c>
      <c r="Q690" s="160">
        <f>InputData!$C$11</f>
        <v>0.02</v>
      </c>
      <c r="R690" s="160">
        <f>InputData!$C$12</f>
        <v>0.02</v>
      </c>
      <c r="S690" s="160">
        <f>InputData!$C$13</f>
        <v>0.9</v>
      </c>
      <c r="T690" s="116">
        <f>InputData!$C$88</f>
        <v>180000</v>
      </c>
      <c r="U690" s="116">
        <f>InputData!$C$81</f>
        <v>178500</v>
      </c>
      <c r="V690" s="116">
        <f>InputData!$C$82</f>
        <v>303960</v>
      </c>
      <c r="W690" s="116">
        <f>InputData!$C$84</f>
        <v>215220</v>
      </c>
      <c r="X690" s="116">
        <f>InputData!$C$85</f>
        <v>409020</v>
      </c>
      <c r="Y690" s="116">
        <f>InputData!$C$116</f>
        <v>140000</v>
      </c>
      <c r="Z690" s="160">
        <f>InputData!$E$13</f>
        <v>0</v>
      </c>
    </row>
    <row r="691" spans="1:26" x14ac:dyDescent="0.25">
      <c r="A691">
        <f>InputData!$K$1</f>
        <v>2013</v>
      </c>
      <c r="B691" t="str">
        <f>InputData!$G$1</f>
        <v>San Antonio, TX</v>
      </c>
      <c r="C691" t="s">
        <v>177</v>
      </c>
      <c r="D691" t="str">
        <f>Graph_Ortho!$J$6</f>
        <v>IBRr</v>
      </c>
      <c r="E691" t="str">
        <f t="shared" si="10"/>
        <v>Orthopedics IBRr</v>
      </c>
      <c r="F691">
        <f>Graph_Ortho!$A36</f>
        <v>2042</v>
      </c>
      <c r="G691">
        <f>Graph_Ortho!$B36</f>
        <v>30</v>
      </c>
      <c r="H691" s="165">
        <f>Graph_Ortho!$J36</f>
        <v>3428565.1955173467</v>
      </c>
      <c r="I691" s="160">
        <f>InputData!$C$3</f>
        <v>0.02</v>
      </c>
      <c r="J691" s="160">
        <f>InputData!$C$4</f>
        <v>0.01</v>
      </c>
      <c r="K691" s="160">
        <f>InputData!$C$5</f>
        <v>0.01</v>
      </c>
      <c r="L691" s="160">
        <f>InputData!$C$6</f>
        <v>6.2100000000000002E-2</v>
      </c>
      <c r="M691" s="160">
        <f>InputData!$C$7</f>
        <v>0.03</v>
      </c>
      <c r="N691" s="160">
        <f>InputData!$C$8</f>
        <v>0.02</v>
      </c>
      <c r="O691" s="160">
        <f>InputData!$C$9</f>
        <v>0.06</v>
      </c>
      <c r="P691" s="160">
        <f>InputData!$C$10</f>
        <v>0.02</v>
      </c>
      <c r="Q691" s="160">
        <f>InputData!$C$11</f>
        <v>0.02</v>
      </c>
      <c r="R691" s="160">
        <f>InputData!$C$12</f>
        <v>0.02</v>
      </c>
      <c r="S691" s="160">
        <f>InputData!$C$13</f>
        <v>0.9</v>
      </c>
      <c r="T691" s="116">
        <f>InputData!$C$88</f>
        <v>180000</v>
      </c>
      <c r="U691" s="116">
        <f>InputData!$C$81</f>
        <v>178500</v>
      </c>
      <c r="V691" s="116">
        <f>InputData!$C$82</f>
        <v>303960</v>
      </c>
      <c r="W691" s="116">
        <f>InputData!$C$84</f>
        <v>215220</v>
      </c>
      <c r="X691" s="116">
        <f>InputData!$C$85</f>
        <v>409020</v>
      </c>
      <c r="Y691" s="116">
        <f>InputData!$C$116</f>
        <v>140000</v>
      </c>
      <c r="Z691" s="160">
        <f>InputData!$E$13</f>
        <v>0</v>
      </c>
    </row>
    <row r="692" spans="1:26" x14ac:dyDescent="0.25">
      <c r="A692">
        <f>InputData!$K$1</f>
        <v>2013</v>
      </c>
      <c r="B692" t="str">
        <f>InputData!$G$1</f>
        <v>San Antonio, TX</v>
      </c>
      <c r="C692" t="s">
        <v>177</v>
      </c>
      <c r="D692" t="str">
        <f>Graph_Ortho!$K$6</f>
        <v>PAYEr</v>
      </c>
      <c r="E692" t="str">
        <f t="shared" si="10"/>
        <v>Orthopedics PAYEr</v>
      </c>
      <c r="F692">
        <f>Graph_Ortho!$A7</f>
        <v>2013</v>
      </c>
      <c r="G692">
        <f>Graph_Ortho!$B7</f>
        <v>1</v>
      </c>
      <c r="H692" s="165">
        <f>Graph_Ortho!$K7</f>
        <v>-43015.05</v>
      </c>
      <c r="I692" s="160">
        <f>InputData!$C$3</f>
        <v>0.02</v>
      </c>
      <c r="J692" s="160">
        <f>InputData!$C$4</f>
        <v>0.01</v>
      </c>
      <c r="K692" s="160">
        <f>InputData!$C$5</f>
        <v>0.01</v>
      </c>
      <c r="L692" s="160">
        <f>InputData!$C$6</f>
        <v>6.2100000000000002E-2</v>
      </c>
      <c r="M692" s="160">
        <f>InputData!$C$7</f>
        <v>0.03</v>
      </c>
      <c r="N692" s="160">
        <f>InputData!$C$8</f>
        <v>0.02</v>
      </c>
      <c r="O692" s="160">
        <f>InputData!$C$9</f>
        <v>0.06</v>
      </c>
      <c r="P692" s="160">
        <f>InputData!$C$10</f>
        <v>0.02</v>
      </c>
      <c r="Q692" s="160">
        <f>InputData!$C$11</f>
        <v>0.02</v>
      </c>
      <c r="R692" s="160">
        <f>InputData!$C$12</f>
        <v>0.02</v>
      </c>
      <c r="S692" s="160">
        <f>InputData!$C$13</f>
        <v>0.9</v>
      </c>
      <c r="T692" s="116">
        <f>InputData!$C$88</f>
        <v>180000</v>
      </c>
      <c r="U692" s="116">
        <f>InputData!$C$81</f>
        <v>178500</v>
      </c>
      <c r="V692" s="116">
        <f>InputData!$C$82</f>
        <v>303960</v>
      </c>
      <c r="W692" s="116">
        <f>InputData!$C$84</f>
        <v>215220</v>
      </c>
      <c r="X692" s="116">
        <f>InputData!$C$85</f>
        <v>409020</v>
      </c>
      <c r="Y692" s="116">
        <f>InputData!$C$116</f>
        <v>140000</v>
      </c>
      <c r="Z692" s="160">
        <f>InputData!$E$13</f>
        <v>0</v>
      </c>
    </row>
    <row r="693" spans="1:26" x14ac:dyDescent="0.25">
      <c r="A693">
        <f>InputData!$K$1</f>
        <v>2013</v>
      </c>
      <c r="B693" t="str">
        <f>InputData!$G$1</f>
        <v>San Antonio, TX</v>
      </c>
      <c r="C693" t="s">
        <v>177</v>
      </c>
      <c r="D693" t="str">
        <f>Graph_Ortho!$K$6</f>
        <v>PAYEr</v>
      </c>
      <c r="E693" t="str">
        <f t="shared" si="10"/>
        <v>Orthopedics PAYEr</v>
      </c>
      <c r="F693">
        <f>Graph_Ortho!$A8</f>
        <v>2014</v>
      </c>
      <c r="G693">
        <f>Graph_Ortho!$B8</f>
        <v>2</v>
      </c>
      <c r="H693" s="165">
        <f>Graph_Ortho!$K8</f>
        <v>-86352.285865219877</v>
      </c>
      <c r="I693" s="160">
        <f>InputData!$C$3</f>
        <v>0.02</v>
      </c>
      <c r="J693" s="160">
        <f>InputData!$C$4</f>
        <v>0.01</v>
      </c>
      <c r="K693" s="160">
        <f>InputData!$C$5</f>
        <v>0.01</v>
      </c>
      <c r="L693" s="160">
        <f>InputData!$C$6</f>
        <v>6.2100000000000002E-2</v>
      </c>
      <c r="M693" s="160">
        <f>InputData!$C$7</f>
        <v>0.03</v>
      </c>
      <c r="N693" s="160">
        <f>InputData!$C$8</f>
        <v>0.02</v>
      </c>
      <c r="O693" s="160">
        <f>InputData!$C$9</f>
        <v>0.06</v>
      </c>
      <c r="P693" s="160">
        <f>InputData!$C$10</f>
        <v>0.02</v>
      </c>
      <c r="Q693" s="160">
        <f>InputData!$C$11</f>
        <v>0.02</v>
      </c>
      <c r="R693" s="160">
        <f>InputData!$C$12</f>
        <v>0.02</v>
      </c>
      <c r="S693" s="160">
        <f>InputData!$C$13</f>
        <v>0.9</v>
      </c>
      <c r="T693" s="116">
        <f>InputData!$C$88</f>
        <v>180000</v>
      </c>
      <c r="U693" s="116">
        <f>InputData!$C$81</f>
        <v>178500</v>
      </c>
      <c r="V693" s="116">
        <f>InputData!$C$82</f>
        <v>303960</v>
      </c>
      <c r="W693" s="116">
        <f>InputData!$C$84</f>
        <v>215220</v>
      </c>
      <c r="X693" s="116">
        <f>InputData!$C$85</f>
        <v>409020</v>
      </c>
      <c r="Y693" s="116">
        <f>InputData!$C$116</f>
        <v>140000</v>
      </c>
      <c r="Z693" s="160">
        <f>InputData!$E$13</f>
        <v>0</v>
      </c>
    </row>
    <row r="694" spans="1:26" x14ac:dyDescent="0.25">
      <c r="A694">
        <f>InputData!$K$1</f>
        <v>2013</v>
      </c>
      <c r="B694" t="str">
        <f>InputData!$G$1</f>
        <v>San Antonio, TX</v>
      </c>
      <c r="C694" t="s">
        <v>177</v>
      </c>
      <c r="D694" t="str">
        <f>Graph_Ortho!$K$6</f>
        <v>PAYEr</v>
      </c>
      <c r="E694" t="str">
        <f t="shared" si="10"/>
        <v>Orthopedics PAYEr</v>
      </c>
      <c r="F694">
        <f>Graph_Ortho!$A9</f>
        <v>2015</v>
      </c>
      <c r="G694">
        <f>Graph_Ortho!$B9</f>
        <v>3</v>
      </c>
      <c r="H694" s="165">
        <f>Graph_Ortho!$K9</f>
        <v>-138541.19578403595</v>
      </c>
      <c r="I694" s="160">
        <f>InputData!$C$3</f>
        <v>0.02</v>
      </c>
      <c r="J694" s="160">
        <f>InputData!$C$4</f>
        <v>0.01</v>
      </c>
      <c r="K694" s="160">
        <f>InputData!$C$5</f>
        <v>0.01</v>
      </c>
      <c r="L694" s="160">
        <f>InputData!$C$6</f>
        <v>6.2100000000000002E-2</v>
      </c>
      <c r="M694" s="160">
        <f>InputData!$C$7</f>
        <v>0.03</v>
      </c>
      <c r="N694" s="160">
        <f>InputData!$C$8</f>
        <v>0.02</v>
      </c>
      <c r="O694" s="160">
        <f>InputData!$C$9</f>
        <v>0.06</v>
      </c>
      <c r="P694" s="160">
        <f>InputData!$C$10</f>
        <v>0.02</v>
      </c>
      <c r="Q694" s="160">
        <f>InputData!$C$11</f>
        <v>0.02</v>
      </c>
      <c r="R694" s="160">
        <f>InputData!$C$12</f>
        <v>0.02</v>
      </c>
      <c r="S694" s="160">
        <f>InputData!$C$13</f>
        <v>0.9</v>
      </c>
      <c r="T694" s="116">
        <f>InputData!$C$88</f>
        <v>180000</v>
      </c>
      <c r="U694" s="116">
        <f>InputData!$C$81</f>
        <v>178500</v>
      </c>
      <c r="V694" s="116">
        <f>InputData!$C$82</f>
        <v>303960</v>
      </c>
      <c r="W694" s="116">
        <f>InputData!$C$84</f>
        <v>215220</v>
      </c>
      <c r="X694" s="116">
        <f>InputData!$C$85</f>
        <v>409020</v>
      </c>
      <c r="Y694" s="116">
        <f>InputData!$C$116</f>
        <v>140000</v>
      </c>
      <c r="Z694" s="160">
        <f>InputData!$E$13</f>
        <v>0</v>
      </c>
    </row>
    <row r="695" spans="1:26" x14ac:dyDescent="0.25">
      <c r="A695">
        <f>InputData!$K$1</f>
        <v>2013</v>
      </c>
      <c r="B695" t="str">
        <f>InputData!$G$1</f>
        <v>San Antonio, TX</v>
      </c>
      <c r="C695" t="s">
        <v>177</v>
      </c>
      <c r="D695" t="str">
        <f>Graph_Ortho!$K$6</f>
        <v>PAYEr</v>
      </c>
      <c r="E695" t="str">
        <f t="shared" si="10"/>
        <v>Orthopedics PAYEr</v>
      </c>
      <c r="F695">
        <f>Graph_Ortho!$A10</f>
        <v>2016</v>
      </c>
      <c r="G695">
        <f>Graph_Ortho!$B10</f>
        <v>4</v>
      </c>
      <c r="H695" s="165">
        <f>Graph_Ortho!$K10</f>
        <v>-190867.38028908212</v>
      </c>
      <c r="I695" s="160">
        <f>InputData!$C$3</f>
        <v>0.02</v>
      </c>
      <c r="J695" s="160">
        <f>InputData!$C$4</f>
        <v>0.01</v>
      </c>
      <c r="K695" s="160">
        <f>InputData!$C$5</f>
        <v>0.01</v>
      </c>
      <c r="L695" s="160">
        <f>InputData!$C$6</f>
        <v>6.2100000000000002E-2</v>
      </c>
      <c r="M695" s="160">
        <f>InputData!$C$7</f>
        <v>0.03</v>
      </c>
      <c r="N695" s="160">
        <f>InputData!$C$8</f>
        <v>0.02</v>
      </c>
      <c r="O695" s="160">
        <f>InputData!$C$9</f>
        <v>0.06</v>
      </c>
      <c r="P695" s="160">
        <f>InputData!$C$10</f>
        <v>0.02</v>
      </c>
      <c r="Q695" s="160">
        <f>InputData!$C$11</f>
        <v>0.02</v>
      </c>
      <c r="R695" s="160">
        <f>InputData!$C$12</f>
        <v>0.02</v>
      </c>
      <c r="S695" s="160">
        <f>InputData!$C$13</f>
        <v>0.9</v>
      </c>
      <c r="T695" s="116">
        <f>InputData!$C$88</f>
        <v>180000</v>
      </c>
      <c r="U695" s="116">
        <f>InputData!$C$81</f>
        <v>178500</v>
      </c>
      <c r="V695" s="116">
        <f>InputData!$C$82</f>
        <v>303960</v>
      </c>
      <c r="W695" s="116">
        <f>InputData!$C$84</f>
        <v>215220</v>
      </c>
      <c r="X695" s="116">
        <f>InputData!$C$85</f>
        <v>409020</v>
      </c>
      <c r="Y695" s="116">
        <f>InputData!$C$116</f>
        <v>140000</v>
      </c>
      <c r="Z695" s="160">
        <f>InputData!$E$13</f>
        <v>0</v>
      </c>
    </row>
    <row r="696" spans="1:26" x14ac:dyDescent="0.25">
      <c r="A696">
        <f>InputData!$K$1</f>
        <v>2013</v>
      </c>
      <c r="B696" t="str">
        <f>InputData!$G$1</f>
        <v>San Antonio, TX</v>
      </c>
      <c r="C696" t="s">
        <v>177</v>
      </c>
      <c r="D696" t="str">
        <f>Graph_Ortho!$K$6</f>
        <v>PAYEr</v>
      </c>
      <c r="E696" t="str">
        <f t="shared" si="10"/>
        <v>Orthopedics PAYEr</v>
      </c>
      <c r="F696">
        <f>Graph_Ortho!$A11</f>
        <v>2017</v>
      </c>
      <c r="G696">
        <f>Graph_Ortho!$B11</f>
        <v>5</v>
      </c>
      <c r="H696" s="165">
        <f>Graph_Ortho!$K11</f>
        <v>-157911.19312249744</v>
      </c>
      <c r="I696" s="160">
        <f>InputData!$C$3</f>
        <v>0.02</v>
      </c>
      <c r="J696" s="160">
        <f>InputData!$C$4</f>
        <v>0.01</v>
      </c>
      <c r="K696" s="160">
        <f>InputData!$C$5</f>
        <v>0.01</v>
      </c>
      <c r="L696" s="160">
        <f>InputData!$C$6</f>
        <v>6.2100000000000002E-2</v>
      </c>
      <c r="M696" s="160">
        <f>InputData!$C$7</f>
        <v>0.03</v>
      </c>
      <c r="N696" s="160">
        <f>InputData!$C$8</f>
        <v>0.02</v>
      </c>
      <c r="O696" s="160">
        <f>InputData!$C$9</f>
        <v>0.06</v>
      </c>
      <c r="P696" s="160">
        <f>InputData!$C$10</f>
        <v>0.02</v>
      </c>
      <c r="Q696" s="160">
        <f>InputData!$C$11</f>
        <v>0.02</v>
      </c>
      <c r="R696" s="160">
        <f>InputData!$C$12</f>
        <v>0.02</v>
      </c>
      <c r="S696" s="160">
        <f>InputData!$C$13</f>
        <v>0.9</v>
      </c>
      <c r="T696" s="116">
        <f>InputData!$C$88</f>
        <v>180000</v>
      </c>
      <c r="U696" s="116">
        <f>InputData!$C$81</f>
        <v>178500</v>
      </c>
      <c r="V696" s="116">
        <f>InputData!$C$82</f>
        <v>303960</v>
      </c>
      <c r="W696" s="116">
        <f>InputData!$C$84</f>
        <v>215220</v>
      </c>
      <c r="X696" s="116">
        <f>InputData!$C$85</f>
        <v>409020</v>
      </c>
      <c r="Y696" s="116">
        <f>InputData!$C$116</f>
        <v>140000</v>
      </c>
      <c r="Z696" s="160">
        <f>InputData!$E$13</f>
        <v>0</v>
      </c>
    </row>
    <row r="697" spans="1:26" x14ac:dyDescent="0.25">
      <c r="A697">
        <f>InputData!$K$1</f>
        <v>2013</v>
      </c>
      <c r="B697" t="str">
        <f>InputData!$G$1</f>
        <v>San Antonio, TX</v>
      </c>
      <c r="C697" t="s">
        <v>177</v>
      </c>
      <c r="D697" t="str">
        <f>Graph_Ortho!$K$6</f>
        <v>PAYEr</v>
      </c>
      <c r="E697" t="str">
        <f t="shared" si="10"/>
        <v>Orthopedics PAYEr</v>
      </c>
      <c r="F697">
        <f>Graph_Ortho!$A12</f>
        <v>2018</v>
      </c>
      <c r="G697">
        <f>Graph_Ortho!$B12</f>
        <v>6</v>
      </c>
      <c r="H697" s="165">
        <f>Graph_Ortho!$K12</f>
        <v>-124940.73121601369</v>
      </c>
      <c r="I697" s="160">
        <f>InputData!$C$3</f>
        <v>0.02</v>
      </c>
      <c r="J697" s="160">
        <f>InputData!$C$4</f>
        <v>0.01</v>
      </c>
      <c r="K697" s="160">
        <f>InputData!$C$5</f>
        <v>0.01</v>
      </c>
      <c r="L697" s="160">
        <f>InputData!$C$6</f>
        <v>6.2100000000000002E-2</v>
      </c>
      <c r="M697" s="160">
        <f>InputData!$C$7</f>
        <v>0.03</v>
      </c>
      <c r="N697" s="160">
        <f>InputData!$C$8</f>
        <v>0.02</v>
      </c>
      <c r="O697" s="160">
        <f>InputData!$C$9</f>
        <v>0.06</v>
      </c>
      <c r="P697" s="160">
        <f>InputData!$C$10</f>
        <v>0.02</v>
      </c>
      <c r="Q697" s="160">
        <f>InputData!$C$11</f>
        <v>0.02</v>
      </c>
      <c r="R697" s="160">
        <f>InputData!$C$12</f>
        <v>0.02</v>
      </c>
      <c r="S697" s="160">
        <f>InputData!$C$13</f>
        <v>0.9</v>
      </c>
      <c r="T697" s="116">
        <f>InputData!$C$88</f>
        <v>180000</v>
      </c>
      <c r="U697" s="116">
        <f>InputData!$C$81</f>
        <v>178500</v>
      </c>
      <c r="V697" s="116">
        <f>InputData!$C$82</f>
        <v>303960</v>
      </c>
      <c r="W697" s="116">
        <f>InputData!$C$84</f>
        <v>215220</v>
      </c>
      <c r="X697" s="116">
        <f>InputData!$C$85</f>
        <v>409020</v>
      </c>
      <c r="Y697" s="116">
        <f>InputData!$C$116</f>
        <v>140000</v>
      </c>
      <c r="Z697" s="160">
        <f>InputData!$E$13</f>
        <v>0</v>
      </c>
    </row>
    <row r="698" spans="1:26" x14ac:dyDescent="0.25">
      <c r="A698">
        <f>InputData!$K$1</f>
        <v>2013</v>
      </c>
      <c r="B698" t="str">
        <f>InputData!$G$1</f>
        <v>San Antonio, TX</v>
      </c>
      <c r="C698" t="s">
        <v>177</v>
      </c>
      <c r="D698" t="str">
        <f>Graph_Ortho!$K$6</f>
        <v>PAYEr</v>
      </c>
      <c r="E698" t="str">
        <f t="shared" si="10"/>
        <v>Orthopedics PAYEr</v>
      </c>
      <c r="F698">
        <f>Graph_Ortho!$A13</f>
        <v>2019</v>
      </c>
      <c r="G698">
        <f>Graph_Ortho!$B13</f>
        <v>7</v>
      </c>
      <c r="H698" s="165">
        <f>Graph_Ortho!$K13</f>
        <v>-91947.694234953393</v>
      </c>
      <c r="I698" s="160">
        <f>InputData!$C$3</f>
        <v>0.02</v>
      </c>
      <c r="J698" s="160">
        <f>InputData!$C$4</f>
        <v>0.01</v>
      </c>
      <c r="K698" s="160">
        <f>InputData!$C$5</f>
        <v>0.01</v>
      </c>
      <c r="L698" s="160">
        <f>InputData!$C$6</f>
        <v>6.2100000000000002E-2</v>
      </c>
      <c r="M698" s="160">
        <f>InputData!$C$7</f>
        <v>0.03</v>
      </c>
      <c r="N698" s="160">
        <f>InputData!$C$8</f>
        <v>0.02</v>
      </c>
      <c r="O698" s="160">
        <f>InputData!$C$9</f>
        <v>0.06</v>
      </c>
      <c r="P698" s="160">
        <f>InputData!$C$10</f>
        <v>0.02</v>
      </c>
      <c r="Q698" s="160">
        <f>InputData!$C$11</f>
        <v>0.02</v>
      </c>
      <c r="R698" s="160">
        <f>InputData!$C$12</f>
        <v>0.02</v>
      </c>
      <c r="S698" s="160">
        <f>InputData!$C$13</f>
        <v>0.9</v>
      </c>
      <c r="T698" s="116">
        <f>InputData!$C$88</f>
        <v>180000</v>
      </c>
      <c r="U698" s="116">
        <f>InputData!$C$81</f>
        <v>178500</v>
      </c>
      <c r="V698" s="116">
        <f>InputData!$C$82</f>
        <v>303960</v>
      </c>
      <c r="W698" s="116">
        <f>InputData!$C$84</f>
        <v>215220</v>
      </c>
      <c r="X698" s="116">
        <f>InputData!$C$85</f>
        <v>409020</v>
      </c>
      <c r="Y698" s="116">
        <f>InputData!$C$116</f>
        <v>140000</v>
      </c>
      <c r="Z698" s="160">
        <f>InputData!$E$13</f>
        <v>0</v>
      </c>
    </row>
    <row r="699" spans="1:26" x14ac:dyDescent="0.25">
      <c r="A699">
        <f>InputData!$K$1</f>
        <v>2013</v>
      </c>
      <c r="B699" t="str">
        <f>InputData!$G$1</f>
        <v>San Antonio, TX</v>
      </c>
      <c r="C699" t="s">
        <v>177</v>
      </c>
      <c r="D699" t="str">
        <f>Graph_Ortho!$K$6</f>
        <v>PAYEr</v>
      </c>
      <c r="E699" t="str">
        <f t="shared" si="10"/>
        <v>Orthopedics PAYEr</v>
      </c>
      <c r="F699">
        <f>Graph_Ortho!$A14</f>
        <v>2020</v>
      </c>
      <c r="G699">
        <f>Graph_Ortho!$B14</f>
        <v>8</v>
      </c>
      <c r="H699" s="165">
        <f>Graph_Ortho!$K14</f>
        <v>-58923.94561664114</v>
      </c>
      <c r="I699" s="160">
        <f>InputData!$C$3</f>
        <v>0.02</v>
      </c>
      <c r="J699" s="160">
        <f>InputData!$C$4</f>
        <v>0.01</v>
      </c>
      <c r="K699" s="160">
        <f>InputData!$C$5</f>
        <v>0.01</v>
      </c>
      <c r="L699" s="160">
        <f>InputData!$C$6</f>
        <v>6.2100000000000002E-2</v>
      </c>
      <c r="M699" s="160">
        <f>InputData!$C$7</f>
        <v>0.03</v>
      </c>
      <c r="N699" s="160">
        <f>InputData!$C$8</f>
        <v>0.02</v>
      </c>
      <c r="O699" s="160">
        <f>InputData!$C$9</f>
        <v>0.06</v>
      </c>
      <c r="P699" s="160">
        <f>InputData!$C$10</f>
        <v>0.02</v>
      </c>
      <c r="Q699" s="160">
        <f>InputData!$C$11</f>
        <v>0.02</v>
      </c>
      <c r="R699" s="160">
        <f>InputData!$C$12</f>
        <v>0.02</v>
      </c>
      <c r="S699" s="160">
        <f>InputData!$C$13</f>
        <v>0.9</v>
      </c>
      <c r="T699" s="116">
        <f>InputData!$C$88</f>
        <v>180000</v>
      </c>
      <c r="U699" s="116">
        <f>InputData!$C$81</f>
        <v>178500</v>
      </c>
      <c r="V699" s="116">
        <f>InputData!$C$82</f>
        <v>303960</v>
      </c>
      <c r="W699" s="116">
        <f>InputData!$C$84</f>
        <v>215220</v>
      </c>
      <c r="X699" s="116">
        <f>InputData!$C$85</f>
        <v>409020</v>
      </c>
      <c r="Y699" s="116">
        <f>InputData!$C$116</f>
        <v>140000</v>
      </c>
      <c r="Z699" s="160">
        <f>InputData!$E$13</f>
        <v>0</v>
      </c>
    </row>
    <row r="700" spans="1:26" x14ac:dyDescent="0.25">
      <c r="A700">
        <f>InputData!$K$1</f>
        <v>2013</v>
      </c>
      <c r="B700" t="str">
        <f>InputData!$G$1</f>
        <v>San Antonio, TX</v>
      </c>
      <c r="C700" t="s">
        <v>177</v>
      </c>
      <c r="D700" t="str">
        <f>Graph_Ortho!$K$6</f>
        <v>PAYEr</v>
      </c>
      <c r="E700" t="str">
        <f t="shared" si="10"/>
        <v>Orthopedics PAYEr</v>
      </c>
      <c r="F700">
        <f>Graph_Ortho!$A15</f>
        <v>2021</v>
      </c>
      <c r="G700">
        <f>Graph_Ortho!$B15</f>
        <v>9</v>
      </c>
      <c r="H700" s="165">
        <f>Graph_Ortho!$K15</f>
        <v>-25861.507102589763</v>
      </c>
      <c r="I700" s="160">
        <f>InputData!$C$3</f>
        <v>0.02</v>
      </c>
      <c r="J700" s="160">
        <f>InputData!$C$4</f>
        <v>0.01</v>
      </c>
      <c r="K700" s="160">
        <f>InputData!$C$5</f>
        <v>0.01</v>
      </c>
      <c r="L700" s="160">
        <f>InputData!$C$6</f>
        <v>6.2100000000000002E-2</v>
      </c>
      <c r="M700" s="160">
        <f>InputData!$C$7</f>
        <v>0.03</v>
      </c>
      <c r="N700" s="160">
        <f>InputData!$C$8</f>
        <v>0.02</v>
      </c>
      <c r="O700" s="160">
        <f>InputData!$C$9</f>
        <v>0.06</v>
      </c>
      <c r="P700" s="160">
        <f>InputData!$C$10</f>
        <v>0.02</v>
      </c>
      <c r="Q700" s="160">
        <f>InputData!$C$11</f>
        <v>0.02</v>
      </c>
      <c r="R700" s="160">
        <f>InputData!$C$12</f>
        <v>0.02</v>
      </c>
      <c r="S700" s="160">
        <f>InputData!$C$13</f>
        <v>0.9</v>
      </c>
      <c r="T700" s="116">
        <f>InputData!$C$88</f>
        <v>180000</v>
      </c>
      <c r="U700" s="116">
        <f>InputData!$C$81</f>
        <v>178500</v>
      </c>
      <c r="V700" s="116">
        <f>InputData!$C$82</f>
        <v>303960</v>
      </c>
      <c r="W700" s="116">
        <f>InputData!$C$84</f>
        <v>215220</v>
      </c>
      <c r="X700" s="116">
        <f>InputData!$C$85</f>
        <v>409020</v>
      </c>
      <c r="Y700" s="116">
        <f>InputData!$C$116</f>
        <v>140000</v>
      </c>
      <c r="Z700" s="160">
        <f>InputData!$E$13</f>
        <v>0</v>
      </c>
    </row>
    <row r="701" spans="1:26" x14ac:dyDescent="0.25">
      <c r="A701">
        <f>InputData!$K$1</f>
        <v>2013</v>
      </c>
      <c r="B701" t="str">
        <f>InputData!$G$1</f>
        <v>San Antonio, TX</v>
      </c>
      <c r="C701" t="s">
        <v>177</v>
      </c>
      <c r="D701" t="str">
        <f>Graph_Ortho!$K$6</f>
        <v>PAYEr</v>
      </c>
      <c r="E701" t="str">
        <f t="shared" si="10"/>
        <v>Orthopedics PAYEr</v>
      </c>
      <c r="F701">
        <f>Graph_Ortho!$A16</f>
        <v>2022</v>
      </c>
      <c r="G701">
        <f>Graph_Ortho!$B16</f>
        <v>10</v>
      </c>
      <c r="H701" s="165">
        <f>Graph_Ortho!$K16</f>
        <v>169061.01485417862</v>
      </c>
      <c r="I701" s="160">
        <f>InputData!$C$3</f>
        <v>0.02</v>
      </c>
      <c r="J701" s="160">
        <f>InputData!$C$4</f>
        <v>0.01</v>
      </c>
      <c r="K701" s="160">
        <f>InputData!$C$5</f>
        <v>0.01</v>
      </c>
      <c r="L701" s="160">
        <f>InputData!$C$6</f>
        <v>6.2100000000000002E-2</v>
      </c>
      <c r="M701" s="160">
        <f>InputData!$C$7</f>
        <v>0.03</v>
      </c>
      <c r="N701" s="160">
        <f>InputData!$C$8</f>
        <v>0.02</v>
      </c>
      <c r="O701" s="160">
        <f>InputData!$C$9</f>
        <v>0.06</v>
      </c>
      <c r="P701" s="160">
        <f>InputData!$C$10</f>
        <v>0.02</v>
      </c>
      <c r="Q701" s="160">
        <f>InputData!$C$11</f>
        <v>0.02</v>
      </c>
      <c r="R701" s="160">
        <f>InputData!$C$12</f>
        <v>0.02</v>
      </c>
      <c r="S701" s="160">
        <f>InputData!$C$13</f>
        <v>0.9</v>
      </c>
      <c r="T701" s="116">
        <f>InputData!$C$88</f>
        <v>180000</v>
      </c>
      <c r="U701" s="116">
        <f>InputData!$C$81</f>
        <v>178500</v>
      </c>
      <c r="V701" s="116">
        <f>InputData!$C$82</f>
        <v>303960</v>
      </c>
      <c r="W701" s="116">
        <f>InputData!$C$84</f>
        <v>215220</v>
      </c>
      <c r="X701" s="116">
        <f>InputData!$C$85</f>
        <v>409020</v>
      </c>
      <c r="Y701" s="116">
        <f>InputData!$C$116</f>
        <v>140000</v>
      </c>
      <c r="Z701" s="160">
        <f>InputData!$E$13</f>
        <v>0</v>
      </c>
    </row>
    <row r="702" spans="1:26" x14ac:dyDescent="0.25">
      <c r="A702">
        <f>InputData!$K$1</f>
        <v>2013</v>
      </c>
      <c r="B702" t="str">
        <f>InputData!$G$1</f>
        <v>San Antonio, TX</v>
      </c>
      <c r="C702" t="s">
        <v>177</v>
      </c>
      <c r="D702" t="str">
        <f>Graph_Ortho!$K$6</f>
        <v>PAYEr</v>
      </c>
      <c r="E702" t="str">
        <f t="shared" si="10"/>
        <v>Orthopedics PAYEr</v>
      </c>
      <c r="F702">
        <f>Graph_Ortho!$A17</f>
        <v>2023</v>
      </c>
      <c r="G702">
        <f>Graph_Ortho!$B17</f>
        <v>11</v>
      </c>
      <c r="H702" s="165">
        <f>Graph_Ortho!$K17</f>
        <v>358662.03465636563</v>
      </c>
      <c r="I702" s="160">
        <f>InputData!$C$3</f>
        <v>0.02</v>
      </c>
      <c r="J702" s="160">
        <f>InputData!$C$4</f>
        <v>0.01</v>
      </c>
      <c r="K702" s="160">
        <f>InputData!$C$5</f>
        <v>0.01</v>
      </c>
      <c r="L702" s="160">
        <f>InputData!$C$6</f>
        <v>6.2100000000000002E-2</v>
      </c>
      <c r="M702" s="160">
        <f>InputData!$C$7</f>
        <v>0.03</v>
      </c>
      <c r="N702" s="160">
        <f>InputData!$C$8</f>
        <v>0.02</v>
      </c>
      <c r="O702" s="160">
        <f>InputData!$C$9</f>
        <v>0.06</v>
      </c>
      <c r="P702" s="160">
        <f>InputData!$C$10</f>
        <v>0.02</v>
      </c>
      <c r="Q702" s="160">
        <f>InputData!$C$11</f>
        <v>0.02</v>
      </c>
      <c r="R702" s="160">
        <f>InputData!$C$12</f>
        <v>0.02</v>
      </c>
      <c r="S702" s="160">
        <f>InputData!$C$13</f>
        <v>0.9</v>
      </c>
      <c r="T702" s="116">
        <f>InputData!$C$88</f>
        <v>180000</v>
      </c>
      <c r="U702" s="116">
        <f>InputData!$C$81</f>
        <v>178500</v>
      </c>
      <c r="V702" s="116">
        <f>InputData!$C$82</f>
        <v>303960</v>
      </c>
      <c r="W702" s="116">
        <f>InputData!$C$84</f>
        <v>215220</v>
      </c>
      <c r="X702" s="116">
        <f>InputData!$C$85</f>
        <v>409020</v>
      </c>
      <c r="Y702" s="116">
        <f>InputData!$C$116</f>
        <v>140000</v>
      </c>
      <c r="Z702" s="160">
        <f>InputData!$E$13</f>
        <v>0</v>
      </c>
    </row>
    <row r="703" spans="1:26" x14ac:dyDescent="0.25">
      <c r="A703">
        <f>InputData!$K$1</f>
        <v>2013</v>
      </c>
      <c r="B703" t="str">
        <f>InputData!$G$1</f>
        <v>San Antonio, TX</v>
      </c>
      <c r="C703" t="s">
        <v>177</v>
      </c>
      <c r="D703" t="str">
        <f>Graph_Ortho!$K$6</f>
        <v>PAYEr</v>
      </c>
      <c r="E703" t="str">
        <f t="shared" si="10"/>
        <v>Orthopedics PAYEr</v>
      </c>
      <c r="F703">
        <f>Graph_Ortho!$A18</f>
        <v>2024</v>
      </c>
      <c r="G703">
        <f>Graph_Ortho!$B18</f>
        <v>12</v>
      </c>
      <c r="H703" s="165">
        <f>Graph_Ortho!$K18</f>
        <v>544787.13663119229</v>
      </c>
      <c r="I703" s="160">
        <f>InputData!$C$3</f>
        <v>0.02</v>
      </c>
      <c r="J703" s="160">
        <f>InputData!$C$4</f>
        <v>0.01</v>
      </c>
      <c r="K703" s="160">
        <f>InputData!$C$5</f>
        <v>0.01</v>
      </c>
      <c r="L703" s="160">
        <f>InputData!$C$6</f>
        <v>6.2100000000000002E-2</v>
      </c>
      <c r="M703" s="160">
        <f>InputData!$C$7</f>
        <v>0.03</v>
      </c>
      <c r="N703" s="160">
        <f>InputData!$C$8</f>
        <v>0.02</v>
      </c>
      <c r="O703" s="160">
        <f>InputData!$C$9</f>
        <v>0.06</v>
      </c>
      <c r="P703" s="160">
        <f>InputData!$C$10</f>
        <v>0.02</v>
      </c>
      <c r="Q703" s="160">
        <f>InputData!$C$11</f>
        <v>0.02</v>
      </c>
      <c r="R703" s="160">
        <f>InputData!$C$12</f>
        <v>0.02</v>
      </c>
      <c r="S703" s="160">
        <f>InputData!$C$13</f>
        <v>0.9</v>
      </c>
      <c r="T703" s="116">
        <f>InputData!$C$88</f>
        <v>180000</v>
      </c>
      <c r="U703" s="116">
        <f>InputData!$C$81</f>
        <v>178500</v>
      </c>
      <c r="V703" s="116">
        <f>InputData!$C$82</f>
        <v>303960</v>
      </c>
      <c r="W703" s="116">
        <f>InputData!$C$84</f>
        <v>215220</v>
      </c>
      <c r="X703" s="116">
        <f>InputData!$C$85</f>
        <v>409020</v>
      </c>
      <c r="Y703" s="116">
        <f>InputData!$C$116</f>
        <v>140000</v>
      </c>
      <c r="Z703" s="160">
        <f>InputData!$E$13</f>
        <v>0</v>
      </c>
    </row>
    <row r="704" spans="1:26" x14ac:dyDescent="0.25">
      <c r="A704">
        <f>InputData!$K$1</f>
        <v>2013</v>
      </c>
      <c r="B704" t="str">
        <f>InputData!$G$1</f>
        <v>San Antonio, TX</v>
      </c>
      <c r="C704" t="s">
        <v>177</v>
      </c>
      <c r="D704" t="str">
        <f>Graph_Ortho!$K$6</f>
        <v>PAYEr</v>
      </c>
      <c r="E704" t="str">
        <f t="shared" si="10"/>
        <v>Orthopedics PAYEr</v>
      </c>
      <c r="F704">
        <f>Graph_Ortho!$A19</f>
        <v>2025</v>
      </c>
      <c r="G704">
        <f>Graph_Ortho!$B19</f>
        <v>13</v>
      </c>
      <c r="H704" s="165">
        <f>Graph_Ortho!$K19</f>
        <v>727487.76277657191</v>
      </c>
      <c r="I704" s="160">
        <f>InputData!$C$3</f>
        <v>0.02</v>
      </c>
      <c r="J704" s="160">
        <f>InputData!$C$4</f>
        <v>0.01</v>
      </c>
      <c r="K704" s="160">
        <f>InputData!$C$5</f>
        <v>0.01</v>
      </c>
      <c r="L704" s="160">
        <f>InputData!$C$6</f>
        <v>6.2100000000000002E-2</v>
      </c>
      <c r="M704" s="160">
        <f>InputData!$C$7</f>
        <v>0.03</v>
      </c>
      <c r="N704" s="160">
        <f>InputData!$C$8</f>
        <v>0.02</v>
      </c>
      <c r="O704" s="160">
        <f>InputData!$C$9</f>
        <v>0.06</v>
      </c>
      <c r="P704" s="160">
        <f>InputData!$C$10</f>
        <v>0.02</v>
      </c>
      <c r="Q704" s="160">
        <f>InputData!$C$11</f>
        <v>0.02</v>
      </c>
      <c r="R704" s="160">
        <f>InputData!$C$12</f>
        <v>0.02</v>
      </c>
      <c r="S704" s="160">
        <f>InputData!$C$13</f>
        <v>0.9</v>
      </c>
      <c r="T704" s="116">
        <f>InputData!$C$88</f>
        <v>180000</v>
      </c>
      <c r="U704" s="116">
        <f>InputData!$C$81</f>
        <v>178500</v>
      </c>
      <c r="V704" s="116">
        <f>InputData!$C$82</f>
        <v>303960</v>
      </c>
      <c r="W704" s="116">
        <f>InputData!$C$84</f>
        <v>215220</v>
      </c>
      <c r="X704" s="116">
        <f>InputData!$C$85</f>
        <v>409020</v>
      </c>
      <c r="Y704" s="116">
        <f>InputData!$C$116</f>
        <v>140000</v>
      </c>
      <c r="Z704" s="160">
        <f>InputData!$E$13</f>
        <v>0</v>
      </c>
    </row>
    <row r="705" spans="1:26" x14ac:dyDescent="0.25">
      <c r="A705">
        <f>InputData!$K$1</f>
        <v>2013</v>
      </c>
      <c r="B705" t="str">
        <f>InputData!$G$1</f>
        <v>San Antonio, TX</v>
      </c>
      <c r="C705" t="s">
        <v>177</v>
      </c>
      <c r="D705" t="str">
        <f>Graph_Ortho!$K$6</f>
        <v>PAYEr</v>
      </c>
      <c r="E705" t="str">
        <f t="shared" si="10"/>
        <v>Orthopedics PAYEr</v>
      </c>
      <c r="F705">
        <f>Graph_Ortho!$A20</f>
        <v>2026</v>
      </c>
      <c r="G705">
        <f>Graph_Ortho!$B20</f>
        <v>14</v>
      </c>
      <c r="H705" s="165">
        <f>Graph_Ortho!$K20</f>
        <v>906815.29905035498</v>
      </c>
      <c r="I705" s="160">
        <f>InputData!$C$3</f>
        <v>0.02</v>
      </c>
      <c r="J705" s="160">
        <f>InputData!$C$4</f>
        <v>0.01</v>
      </c>
      <c r="K705" s="160">
        <f>InputData!$C$5</f>
        <v>0.01</v>
      </c>
      <c r="L705" s="160">
        <f>InputData!$C$6</f>
        <v>6.2100000000000002E-2</v>
      </c>
      <c r="M705" s="160">
        <f>InputData!$C$7</f>
        <v>0.03</v>
      </c>
      <c r="N705" s="160">
        <f>InputData!$C$8</f>
        <v>0.02</v>
      </c>
      <c r="O705" s="160">
        <f>InputData!$C$9</f>
        <v>0.06</v>
      </c>
      <c r="P705" s="160">
        <f>InputData!$C$10</f>
        <v>0.02</v>
      </c>
      <c r="Q705" s="160">
        <f>InputData!$C$11</f>
        <v>0.02</v>
      </c>
      <c r="R705" s="160">
        <f>InputData!$C$12</f>
        <v>0.02</v>
      </c>
      <c r="S705" s="160">
        <f>InputData!$C$13</f>
        <v>0.9</v>
      </c>
      <c r="T705" s="116">
        <f>InputData!$C$88</f>
        <v>180000</v>
      </c>
      <c r="U705" s="116">
        <f>InputData!$C$81</f>
        <v>178500</v>
      </c>
      <c r="V705" s="116">
        <f>InputData!$C$82</f>
        <v>303960</v>
      </c>
      <c r="W705" s="116">
        <f>InputData!$C$84</f>
        <v>215220</v>
      </c>
      <c r="X705" s="116">
        <f>InputData!$C$85</f>
        <v>409020</v>
      </c>
      <c r="Y705" s="116">
        <f>InputData!$C$116</f>
        <v>140000</v>
      </c>
      <c r="Z705" s="160">
        <f>InputData!$E$13</f>
        <v>0</v>
      </c>
    </row>
    <row r="706" spans="1:26" x14ac:dyDescent="0.25">
      <c r="A706">
        <f>InputData!$K$1</f>
        <v>2013</v>
      </c>
      <c r="B706" t="str">
        <f>InputData!$G$1</f>
        <v>San Antonio, TX</v>
      </c>
      <c r="C706" t="s">
        <v>177</v>
      </c>
      <c r="D706" t="str">
        <f>Graph_Ortho!$K$6</f>
        <v>PAYEr</v>
      </c>
      <c r="E706" t="str">
        <f t="shared" si="10"/>
        <v>Orthopedics PAYEr</v>
      </c>
      <c r="F706">
        <f>Graph_Ortho!$A21</f>
        <v>2027</v>
      </c>
      <c r="G706">
        <f>Graph_Ortho!$B21</f>
        <v>15</v>
      </c>
      <c r="H706" s="165">
        <f>Graph_Ortho!$K21</f>
        <v>1082821.0262868665</v>
      </c>
      <c r="I706" s="160">
        <f>InputData!$C$3</f>
        <v>0.02</v>
      </c>
      <c r="J706" s="160">
        <f>InputData!$C$4</f>
        <v>0.01</v>
      </c>
      <c r="K706" s="160">
        <f>InputData!$C$5</f>
        <v>0.01</v>
      </c>
      <c r="L706" s="160">
        <f>InputData!$C$6</f>
        <v>6.2100000000000002E-2</v>
      </c>
      <c r="M706" s="160">
        <f>InputData!$C$7</f>
        <v>0.03</v>
      </c>
      <c r="N706" s="160">
        <f>InputData!$C$8</f>
        <v>0.02</v>
      </c>
      <c r="O706" s="160">
        <f>InputData!$C$9</f>
        <v>0.06</v>
      </c>
      <c r="P706" s="160">
        <f>InputData!$C$10</f>
        <v>0.02</v>
      </c>
      <c r="Q706" s="160">
        <f>InputData!$C$11</f>
        <v>0.02</v>
      </c>
      <c r="R706" s="160">
        <f>InputData!$C$12</f>
        <v>0.02</v>
      </c>
      <c r="S706" s="160">
        <f>InputData!$C$13</f>
        <v>0.9</v>
      </c>
      <c r="T706" s="116">
        <f>InputData!$C$88</f>
        <v>180000</v>
      </c>
      <c r="U706" s="116">
        <f>InputData!$C$81</f>
        <v>178500</v>
      </c>
      <c r="V706" s="116">
        <f>InputData!$C$82</f>
        <v>303960</v>
      </c>
      <c r="W706" s="116">
        <f>InputData!$C$84</f>
        <v>215220</v>
      </c>
      <c r="X706" s="116">
        <f>InputData!$C$85</f>
        <v>409020</v>
      </c>
      <c r="Y706" s="116">
        <f>InputData!$C$116</f>
        <v>140000</v>
      </c>
      <c r="Z706" s="160">
        <f>InputData!$E$13</f>
        <v>0</v>
      </c>
    </row>
    <row r="707" spans="1:26" x14ac:dyDescent="0.25">
      <c r="A707">
        <f>InputData!$K$1</f>
        <v>2013</v>
      </c>
      <c r="B707" t="str">
        <f>InputData!$G$1</f>
        <v>San Antonio, TX</v>
      </c>
      <c r="C707" t="s">
        <v>177</v>
      </c>
      <c r="D707" t="str">
        <f>Graph_Ortho!$K$6</f>
        <v>PAYEr</v>
      </c>
      <c r="E707" t="str">
        <f t="shared" ref="E707:E770" si="11">C707 &amp; " " &amp; D707</f>
        <v>Orthopedics PAYEr</v>
      </c>
      <c r="F707">
        <f>Graph_Ortho!$A22</f>
        <v>2028</v>
      </c>
      <c r="G707">
        <f>Graph_Ortho!$B22</f>
        <v>16</v>
      </c>
      <c r="H707" s="165">
        <f>Graph_Ortho!$K22</f>
        <v>1255556.0746180634</v>
      </c>
      <c r="I707" s="160">
        <f>InputData!$C$3</f>
        <v>0.02</v>
      </c>
      <c r="J707" s="160">
        <f>InputData!$C$4</f>
        <v>0.01</v>
      </c>
      <c r="K707" s="160">
        <f>InputData!$C$5</f>
        <v>0.01</v>
      </c>
      <c r="L707" s="160">
        <f>InputData!$C$6</f>
        <v>6.2100000000000002E-2</v>
      </c>
      <c r="M707" s="160">
        <f>InputData!$C$7</f>
        <v>0.03</v>
      </c>
      <c r="N707" s="160">
        <f>InputData!$C$8</f>
        <v>0.02</v>
      </c>
      <c r="O707" s="160">
        <f>InputData!$C$9</f>
        <v>0.06</v>
      </c>
      <c r="P707" s="160">
        <f>InputData!$C$10</f>
        <v>0.02</v>
      </c>
      <c r="Q707" s="160">
        <f>InputData!$C$11</f>
        <v>0.02</v>
      </c>
      <c r="R707" s="160">
        <f>InputData!$C$12</f>
        <v>0.02</v>
      </c>
      <c r="S707" s="160">
        <f>InputData!$C$13</f>
        <v>0.9</v>
      </c>
      <c r="T707" s="116">
        <f>InputData!$C$88</f>
        <v>180000</v>
      </c>
      <c r="U707" s="116">
        <f>InputData!$C$81</f>
        <v>178500</v>
      </c>
      <c r="V707" s="116">
        <f>InputData!$C$82</f>
        <v>303960</v>
      </c>
      <c r="W707" s="116">
        <f>InputData!$C$84</f>
        <v>215220</v>
      </c>
      <c r="X707" s="116">
        <f>InputData!$C$85</f>
        <v>409020</v>
      </c>
      <c r="Y707" s="116">
        <f>InputData!$C$116</f>
        <v>140000</v>
      </c>
      <c r="Z707" s="160">
        <f>InputData!$E$13</f>
        <v>0</v>
      </c>
    </row>
    <row r="708" spans="1:26" x14ac:dyDescent="0.25">
      <c r="A708">
        <f>InputData!$K$1</f>
        <v>2013</v>
      </c>
      <c r="B708" t="str">
        <f>InputData!$G$1</f>
        <v>San Antonio, TX</v>
      </c>
      <c r="C708" t="s">
        <v>177</v>
      </c>
      <c r="D708" t="str">
        <f>Graph_Ortho!$K$6</f>
        <v>PAYEr</v>
      </c>
      <c r="E708" t="str">
        <f t="shared" si="11"/>
        <v>Orthopedics PAYEr</v>
      </c>
      <c r="F708">
        <f>Graph_Ortho!$A23</f>
        <v>2029</v>
      </c>
      <c r="G708">
        <f>Graph_Ortho!$B23</f>
        <v>17</v>
      </c>
      <c r="H708" s="165">
        <f>Graph_Ortho!$K23</f>
        <v>1425071.3812045029</v>
      </c>
      <c r="I708" s="160">
        <f>InputData!$C$3</f>
        <v>0.02</v>
      </c>
      <c r="J708" s="160">
        <f>InputData!$C$4</f>
        <v>0.01</v>
      </c>
      <c r="K708" s="160">
        <f>InputData!$C$5</f>
        <v>0.01</v>
      </c>
      <c r="L708" s="160">
        <f>InputData!$C$6</f>
        <v>6.2100000000000002E-2</v>
      </c>
      <c r="M708" s="160">
        <f>InputData!$C$7</f>
        <v>0.03</v>
      </c>
      <c r="N708" s="160">
        <f>InputData!$C$8</f>
        <v>0.02</v>
      </c>
      <c r="O708" s="160">
        <f>InputData!$C$9</f>
        <v>0.06</v>
      </c>
      <c r="P708" s="160">
        <f>InputData!$C$10</f>
        <v>0.02</v>
      </c>
      <c r="Q708" s="160">
        <f>InputData!$C$11</f>
        <v>0.02</v>
      </c>
      <c r="R708" s="160">
        <f>InputData!$C$12</f>
        <v>0.02</v>
      </c>
      <c r="S708" s="160">
        <f>InputData!$C$13</f>
        <v>0.9</v>
      </c>
      <c r="T708" s="116">
        <f>InputData!$C$88</f>
        <v>180000</v>
      </c>
      <c r="U708" s="116">
        <f>InputData!$C$81</f>
        <v>178500</v>
      </c>
      <c r="V708" s="116">
        <f>InputData!$C$82</f>
        <v>303960</v>
      </c>
      <c r="W708" s="116">
        <f>InputData!$C$84</f>
        <v>215220</v>
      </c>
      <c r="X708" s="116">
        <f>InputData!$C$85</f>
        <v>409020</v>
      </c>
      <c r="Y708" s="116">
        <f>InputData!$C$116</f>
        <v>140000</v>
      </c>
      <c r="Z708" s="160">
        <f>InputData!$E$13</f>
        <v>0</v>
      </c>
    </row>
    <row r="709" spans="1:26" x14ac:dyDescent="0.25">
      <c r="A709">
        <f>InputData!$K$1</f>
        <v>2013</v>
      </c>
      <c r="B709" t="str">
        <f>InputData!$G$1</f>
        <v>San Antonio, TX</v>
      </c>
      <c r="C709" t="s">
        <v>177</v>
      </c>
      <c r="D709" t="str">
        <f>Graph_Ortho!$K$6</f>
        <v>PAYEr</v>
      </c>
      <c r="E709" t="str">
        <f t="shared" si="11"/>
        <v>Orthopedics PAYEr</v>
      </c>
      <c r="F709">
        <f>Graph_Ortho!$A24</f>
        <v>2030</v>
      </c>
      <c r="G709">
        <f>Graph_Ortho!$B24</f>
        <v>18</v>
      </c>
      <c r="H709" s="165">
        <f>Graph_Ortho!$K24</f>
        <v>1591417.6510913183</v>
      </c>
      <c r="I709" s="160">
        <f>InputData!$C$3</f>
        <v>0.02</v>
      </c>
      <c r="J709" s="160">
        <f>InputData!$C$4</f>
        <v>0.01</v>
      </c>
      <c r="K709" s="160">
        <f>InputData!$C$5</f>
        <v>0.01</v>
      </c>
      <c r="L709" s="160">
        <f>InputData!$C$6</f>
        <v>6.2100000000000002E-2</v>
      </c>
      <c r="M709" s="160">
        <f>InputData!$C$7</f>
        <v>0.03</v>
      </c>
      <c r="N709" s="160">
        <f>InputData!$C$8</f>
        <v>0.02</v>
      </c>
      <c r="O709" s="160">
        <f>InputData!$C$9</f>
        <v>0.06</v>
      </c>
      <c r="P709" s="160">
        <f>InputData!$C$10</f>
        <v>0.02</v>
      </c>
      <c r="Q709" s="160">
        <f>InputData!$C$11</f>
        <v>0.02</v>
      </c>
      <c r="R709" s="160">
        <f>InputData!$C$12</f>
        <v>0.02</v>
      </c>
      <c r="S709" s="160">
        <f>InputData!$C$13</f>
        <v>0.9</v>
      </c>
      <c r="T709" s="116">
        <f>InputData!$C$88</f>
        <v>180000</v>
      </c>
      <c r="U709" s="116">
        <f>InputData!$C$81</f>
        <v>178500</v>
      </c>
      <c r="V709" s="116">
        <f>InputData!$C$82</f>
        <v>303960</v>
      </c>
      <c r="W709" s="116">
        <f>InputData!$C$84</f>
        <v>215220</v>
      </c>
      <c r="X709" s="116">
        <f>InputData!$C$85</f>
        <v>409020</v>
      </c>
      <c r="Y709" s="116">
        <f>InputData!$C$116</f>
        <v>140000</v>
      </c>
      <c r="Z709" s="160">
        <f>InputData!$E$13</f>
        <v>0</v>
      </c>
    </row>
    <row r="710" spans="1:26" x14ac:dyDescent="0.25">
      <c r="A710">
        <f>InputData!$K$1</f>
        <v>2013</v>
      </c>
      <c r="B710" t="str">
        <f>InputData!$G$1</f>
        <v>San Antonio, TX</v>
      </c>
      <c r="C710" t="s">
        <v>177</v>
      </c>
      <c r="D710" t="str">
        <f>Graph_Ortho!$K$6</f>
        <v>PAYEr</v>
      </c>
      <c r="E710" t="str">
        <f t="shared" si="11"/>
        <v>Orthopedics PAYEr</v>
      </c>
      <c r="F710">
        <f>Graph_Ortho!$A25</f>
        <v>2031</v>
      </c>
      <c r="G710">
        <f>Graph_Ortho!$B25</f>
        <v>19</v>
      </c>
      <c r="H710" s="165">
        <f>Graph_Ortho!$K25</f>
        <v>1754645.3210138928</v>
      </c>
      <c r="I710" s="160">
        <f>InputData!$C$3</f>
        <v>0.02</v>
      </c>
      <c r="J710" s="160">
        <f>InputData!$C$4</f>
        <v>0.01</v>
      </c>
      <c r="K710" s="160">
        <f>InputData!$C$5</f>
        <v>0.01</v>
      </c>
      <c r="L710" s="160">
        <f>InputData!$C$6</f>
        <v>6.2100000000000002E-2</v>
      </c>
      <c r="M710" s="160">
        <f>InputData!$C$7</f>
        <v>0.03</v>
      </c>
      <c r="N710" s="160">
        <f>InputData!$C$8</f>
        <v>0.02</v>
      </c>
      <c r="O710" s="160">
        <f>InputData!$C$9</f>
        <v>0.06</v>
      </c>
      <c r="P710" s="160">
        <f>InputData!$C$10</f>
        <v>0.02</v>
      </c>
      <c r="Q710" s="160">
        <f>InputData!$C$11</f>
        <v>0.02</v>
      </c>
      <c r="R710" s="160">
        <f>InputData!$C$12</f>
        <v>0.02</v>
      </c>
      <c r="S710" s="160">
        <f>InputData!$C$13</f>
        <v>0.9</v>
      </c>
      <c r="T710" s="116">
        <f>InputData!$C$88</f>
        <v>180000</v>
      </c>
      <c r="U710" s="116">
        <f>InputData!$C$81</f>
        <v>178500</v>
      </c>
      <c r="V710" s="116">
        <f>InputData!$C$82</f>
        <v>303960</v>
      </c>
      <c r="W710" s="116">
        <f>InputData!$C$84</f>
        <v>215220</v>
      </c>
      <c r="X710" s="116">
        <f>InputData!$C$85</f>
        <v>409020</v>
      </c>
      <c r="Y710" s="116">
        <f>InputData!$C$116</f>
        <v>140000</v>
      </c>
      <c r="Z710" s="160">
        <f>InputData!$E$13</f>
        <v>0</v>
      </c>
    </row>
    <row r="711" spans="1:26" x14ac:dyDescent="0.25">
      <c r="A711">
        <f>InputData!$K$1</f>
        <v>2013</v>
      </c>
      <c r="B711" t="str">
        <f>InputData!$G$1</f>
        <v>San Antonio, TX</v>
      </c>
      <c r="C711" t="s">
        <v>177</v>
      </c>
      <c r="D711" t="str">
        <f>Graph_Ortho!$K$6</f>
        <v>PAYEr</v>
      </c>
      <c r="E711" t="str">
        <f t="shared" si="11"/>
        <v>Orthopedics PAYEr</v>
      </c>
      <c r="F711">
        <f>Graph_Ortho!$A26</f>
        <v>2032</v>
      </c>
      <c r="G711">
        <f>Graph_Ortho!$B26</f>
        <v>20</v>
      </c>
      <c r="H711" s="165">
        <f>Graph_Ortho!$K26</f>
        <v>1914804.5259869564</v>
      </c>
      <c r="I711" s="160">
        <f>InputData!$C$3</f>
        <v>0.02</v>
      </c>
      <c r="J711" s="160">
        <f>InputData!$C$4</f>
        <v>0.01</v>
      </c>
      <c r="K711" s="160">
        <f>InputData!$C$5</f>
        <v>0.01</v>
      </c>
      <c r="L711" s="160">
        <f>InputData!$C$6</f>
        <v>6.2100000000000002E-2</v>
      </c>
      <c r="M711" s="160">
        <f>InputData!$C$7</f>
        <v>0.03</v>
      </c>
      <c r="N711" s="160">
        <f>InputData!$C$8</f>
        <v>0.02</v>
      </c>
      <c r="O711" s="160">
        <f>InputData!$C$9</f>
        <v>0.06</v>
      </c>
      <c r="P711" s="160">
        <f>InputData!$C$10</f>
        <v>0.02</v>
      </c>
      <c r="Q711" s="160">
        <f>InputData!$C$11</f>
        <v>0.02</v>
      </c>
      <c r="R711" s="160">
        <f>InputData!$C$12</f>
        <v>0.02</v>
      </c>
      <c r="S711" s="160">
        <f>InputData!$C$13</f>
        <v>0.9</v>
      </c>
      <c r="T711" s="116">
        <f>InputData!$C$88</f>
        <v>180000</v>
      </c>
      <c r="U711" s="116">
        <f>InputData!$C$81</f>
        <v>178500</v>
      </c>
      <c r="V711" s="116">
        <f>InputData!$C$82</f>
        <v>303960</v>
      </c>
      <c r="W711" s="116">
        <f>InputData!$C$84</f>
        <v>215220</v>
      </c>
      <c r="X711" s="116">
        <f>InputData!$C$85</f>
        <v>409020</v>
      </c>
      <c r="Y711" s="116">
        <f>InputData!$C$116</f>
        <v>140000</v>
      </c>
      <c r="Z711" s="160">
        <f>InputData!$E$13</f>
        <v>0</v>
      </c>
    </row>
    <row r="712" spans="1:26" x14ac:dyDescent="0.25">
      <c r="A712">
        <f>InputData!$K$1</f>
        <v>2013</v>
      </c>
      <c r="B712" t="str">
        <f>InputData!$G$1</f>
        <v>San Antonio, TX</v>
      </c>
      <c r="C712" t="s">
        <v>177</v>
      </c>
      <c r="D712" t="str">
        <f>Graph_Ortho!$K$6</f>
        <v>PAYEr</v>
      </c>
      <c r="E712" t="str">
        <f t="shared" si="11"/>
        <v>Orthopedics PAYEr</v>
      </c>
      <c r="F712">
        <f>Graph_Ortho!$A27</f>
        <v>2033</v>
      </c>
      <c r="G712">
        <f>Graph_Ortho!$B27</f>
        <v>21</v>
      </c>
      <c r="H712" s="165">
        <f>Graph_Ortho!$K27</f>
        <v>2071945.0685194114</v>
      </c>
      <c r="I712" s="160">
        <f>InputData!$C$3</f>
        <v>0.02</v>
      </c>
      <c r="J712" s="160">
        <f>InputData!$C$4</f>
        <v>0.01</v>
      </c>
      <c r="K712" s="160">
        <f>InputData!$C$5</f>
        <v>0.01</v>
      </c>
      <c r="L712" s="160">
        <f>InputData!$C$6</f>
        <v>6.2100000000000002E-2</v>
      </c>
      <c r="M712" s="160">
        <f>InputData!$C$7</f>
        <v>0.03</v>
      </c>
      <c r="N712" s="160">
        <f>InputData!$C$8</f>
        <v>0.02</v>
      </c>
      <c r="O712" s="160">
        <f>InputData!$C$9</f>
        <v>0.06</v>
      </c>
      <c r="P712" s="160">
        <f>InputData!$C$10</f>
        <v>0.02</v>
      </c>
      <c r="Q712" s="160">
        <f>InputData!$C$11</f>
        <v>0.02</v>
      </c>
      <c r="R712" s="160">
        <f>InputData!$C$12</f>
        <v>0.02</v>
      </c>
      <c r="S712" s="160">
        <f>InputData!$C$13</f>
        <v>0.9</v>
      </c>
      <c r="T712" s="116">
        <f>InputData!$C$88</f>
        <v>180000</v>
      </c>
      <c r="U712" s="116">
        <f>InputData!$C$81</f>
        <v>178500</v>
      </c>
      <c r="V712" s="116">
        <f>InputData!$C$82</f>
        <v>303960</v>
      </c>
      <c r="W712" s="116">
        <f>InputData!$C$84</f>
        <v>215220</v>
      </c>
      <c r="X712" s="116">
        <f>InputData!$C$85</f>
        <v>409020</v>
      </c>
      <c r="Y712" s="116">
        <f>InputData!$C$116</f>
        <v>140000</v>
      </c>
      <c r="Z712" s="160">
        <f>InputData!$E$13</f>
        <v>0</v>
      </c>
    </row>
    <row r="713" spans="1:26" x14ac:dyDescent="0.25">
      <c r="A713">
        <f>InputData!$K$1</f>
        <v>2013</v>
      </c>
      <c r="B713" t="str">
        <f>InputData!$G$1</f>
        <v>San Antonio, TX</v>
      </c>
      <c r="C713" t="s">
        <v>177</v>
      </c>
      <c r="D713" t="str">
        <f>Graph_Ortho!$K$6</f>
        <v>PAYEr</v>
      </c>
      <c r="E713" t="str">
        <f t="shared" si="11"/>
        <v>Orthopedics PAYEr</v>
      </c>
      <c r="F713">
        <f>Graph_Ortho!$A28</f>
        <v>2034</v>
      </c>
      <c r="G713">
        <f>Graph_Ortho!$B28</f>
        <v>22</v>
      </c>
      <c r="H713" s="165">
        <f>Graph_Ortho!$K28</f>
        <v>2230156.7488444285</v>
      </c>
      <c r="I713" s="160">
        <f>InputData!$C$3</f>
        <v>0.02</v>
      </c>
      <c r="J713" s="160">
        <f>InputData!$C$4</f>
        <v>0.01</v>
      </c>
      <c r="K713" s="160">
        <f>InputData!$C$5</f>
        <v>0.01</v>
      </c>
      <c r="L713" s="160">
        <f>InputData!$C$6</f>
        <v>6.2100000000000002E-2</v>
      </c>
      <c r="M713" s="160">
        <f>InputData!$C$7</f>
        <v>0.03</v>
      </c>
      <c r="N713" s="160">
        <f>InputData!$C$8</f>
        <v>0.02</v>
      </c>
      <c r="O713" s="160">
        <f>InputData!$C$9</f>
        <v>0.06</v>
      </c>
      <c r="P713" s="160">
        <f>InputData!$C$10</f>
        <v>0.02</v>
      </c>
      <c r="Q713" s="160">
        <f>InputData!$C$11</f>
        <v>0.02</v>
      </c>
      <c r="R713" s="160">
        <f>InputData!$C$12</f>
        <v>0.02</v>
      </c>
      <c r="S713" s="160">
        <f>InputData!$C$13</f>
        <v>0.9</v>
      </c>
      <c r="T713" s="116">
        <f>InputData!$C$88</f>
        <v>180000</v>
      </c>
      <c r="U713" s="116">
        <f>InputData!$C$81</f>
        <v>178500</v>
      </c>
      <c r="V713" s="116">
        <f>InputData!$C$82</f>
        <v>303960</v>
      </c>
      <c r="W713" s="116">
        <f>InputData!$C$84</f>
        <v>215220</v>
      </c>
      <c r="X713" s="116">
        <f>InputData!$C$85</f>
        <v>409020</v>
      </c>
      <c r="Y713" s="116">
        <f>InputData!$C$116</f>
        <v>140000</v>
      </c>
      <c r="Z713" s="160">
        <f>InputData!$E$13</f>
        <v>0</v>
      </c>
    </row>
    <row r="714" spans="1:26" x14ac:dyDescent="0.25">
      <c r="A714">
        <f>InputData!$K$1</f>
        <v>2013</v>
      </c>
      <c r="B714" t="str">
        <f>InputData!$G$1</f>
        <v>San Antonio, TX</v>
      </c>
      <c r="C714" t="s">
        <v>177</v>
      </c>
      <c r="D714" t="str">
        <f>Graph_Ortho!$K$6</f>
        <v>PAYEr</v>
      </c>
      <c r="E714" t="str">
        <f t="shared" si="11"/>
        <v>Orthopedics PAYEr</v>
      </c>
      <c r="F714">
        <f>Graph_Ortho!$A29</f>
        <v>2035</v>
      </c>
      <c r="G714">
        <f>Graph_Ortho!$B29</f>
        <v>23</v>
      </c>
      <c r="H714" s="165">
        <f>Graph_Ortho!$K29</f>
        <v>2391247.8277859334</v>
      </c>
      <c r="I714" s="160">
        <f>InputData!$C$3</f>
        <v>0.02</v>
      </c>
      <c r="J714" s="160">
        <f>InputData!$C$4</f>
        <v>0.01</v>
      </c>
      <c r="K714" s="160">
        <f>InputData!$C$5</f>
        <v>0.01</v>
      </c>
      <c r="L714" s="160">
        <f>InputData!$C$6</f>
        <v>6.2100000000000002E-2</v>
      </c>
      <c r="M714" s="160">
        <f>InputData!$C$7</f>
        <v>0.03</v>
      </c>
      <c r="N714" s="160">
        <f>InputData!$C$8</f>
        <v>0.02</v>
      </c>
      <c r="O714" s="160">
        <f>InputData!$C$9</f>
        <v>0.06</v>
      </c>
      <c r="P714" s="160">
        <f>InputData!$C$10</f>
        <v>0.02</v>
      </c>
      <c r="Q714" s="160">
        <f>InputData!$C$11</f>
        <v>0.02</v>
      </c>
      <c r="R714" s="160">
        <f>InputData!$C$12</f>
        <v>0.02</v>
      </c>
      <c r="S714" s="160">
        <f>InputData!$C$13</f>
        <v>0.9</v>
      </c>
      <c r="T714" s="116">
        <f>InputData!$C$88</f>
        <v>180000</v>
      </c>
      <c r="U714" s="116">
        <f>InputData!$C$81</f>
        <v>178500</v>
      </c>
      <c r="V714" s="116">
        <f>InputData!$C$82</f>
        <v>303960</v>
      </c>
      <c r="W714" s="116">
        <f>InputData!$C$84</f>
        <v>215220</v>
      </c>
      <c r="X714" s="116">
        <f>InputData!$C$85</f>
        <v>409020</v>
      </c>
      <c r="Y714" s="116">
        <f>InputData!$C$116</f>
        <v>140000</v>
      </c>
      <c r="Z714" s="160">
        <f>InputData!$E$13</f>
        <v>0</v>
      </c>
    </row>
    <row r="715" spans="1:26" x14ac:dyDescent="0.25">
      <c r="A715">
        <f>InputData!$K$1</f>
        <v>2013</v>
      </c>
      <c r="B715" t="str">
        <f>InputData!$G$1</f>
        <v>San Antonio, TX</v>
      </c>
      <c r="C715" t="s">
        <v>177</v>
      </c>
      <c r="D715" t="str">
        <f>Graph_Ortho!$K$6</f>
        <v>PAYEr</v>
      </c>
      <c r="E715" t="str">
        <f t="shared" si="11"/>
        <v>Orthopedics PAYEr</v>
      </c>
      <c r="F715">
        <f>Graph_Ortho!$A30</f>
        <v>2036</v>
      </c>
      <c r="G715">
        <f>Graph_Ortho!$B30</f>
        <v>24</v>
      </c>
      <c r="H715" s="165">
        <f>Graph_Ortho!$K30</f>
        <v>2548993.4654625487</v>
      </c>
      <c r="I715" s="160">
        <f>InputData!$C$3</f>
        <v>0.02</v>
      </c>
      <c r="J715" s="160">
        <f>InputData!$C$4</f>
        <v>0.01</v>
      </c>
      <c r="K715" s="160">
        <f>InputData!$C$5</f>
        <v>0.01</v>
      </c>
      <c r="L715" s="160">
        <f>InputData!$C$6</f>
        <v>6.2100000000000002E-2</v>
      </c>
      <c r="M715" s="160">
        <f>InputData!$C$7</f>
        <v>0.03</v>
      </c>
      <c r="N715" s="160">
        <f>InputData!$C$8</f>
        <v>0.02</v>
      </c>
      <c r="O715" s="160">
        <f>InputData!$C$9</f>
        <v>0.06</v>
      </c>
      <c r="P715" s="160">
        <f>InputData!$C$10</f>
        <v>0.02</v>
      </c>
      <c r="Q715" s="160">
        <f>InputData!$C$11</f>
        <v>0.02</v>
      </c>
      <c r="R715" s="160">
        <f>InputData!$C$12</f>
        <v>0.02</v>
      </c>
      <c r="S715" s="160">
        <f>InputData!$C$13</f>
        <v>0.9</v>
      </c>
      <c r="T715" s="116">
        <f>InputData!$C$88</f>
        <v>180000</v>
      </c>
      <c r="U715" s="116">
        <f>InputData!$C$81</f>
        <v>178500</v>
      </c>
      <c r="V715" s="116">
        <f>InputData!$C$82</f>
        <v>303960</v>
      </c>
      <c r="W715" s="116">
        <f>InputData!$C$84</f>
        <v>215220</v>
      </c>
      <c r="X715" s="116">
        <f>InputData!$C$85</f>
        <v>409020</v>
      </c>
      <c r="Y715" s="116">
        <f>InputData!$C$116</f>
        <v>140000</v>
      </c>
      <c r="Z715" s="160">
        <f>InputData!$E$13</f>
        <v>0</v>
      </c>
    </row>
    <row r="716" spans="1:26" x14ac:dyDescent="0.25">
      <c r="A716">
        <f>InputData!$K$1</f>
        <v>2013</v>
      </c>
      <c r="B716" t="str">
        <f>InputData!$G$1</f>
        <v>San Antonio, TX</v>
      </c>
      <c r="C716" t="s">
        <v>177</v>
      </c>
      <c r="D716" t="str">
        <f>Graph_Ortho!$K$6</f>
        <v>PAYEr</v>
      </c>
      <c r="E716" t="str">
        <f t="shared" si="11"/>
        <v>Orthopedics PAYEr</v>
      </c>
      <c r="F716">
        <f>Graph_Ortho!$A31</f>
        <v>2037</v>
      </c>
      <c r="G716">
        <f>Graph_Ortho!$B31</f>
        <v>25</v>
      </c>
      <c r="H716" s="165">
        <f>Graph_Ortho!$K31</f>
        <v>2703464.699324681</v>
      </c>
      <c r="I716" s="160">
        <f>InputData!$C$3</f>
        <v>0.02</v>
      </c>
      <c r="J716" s="160">
        <f>InputData!$C$4</f>
        <v>0.01</v>
      </c>
      <c r="K716" s="160">
        <f>InputData!$C$5</f>
        <v>0.01</v>
      </c>
      <c r="L716" s="160">
        <f>InputData!$C$6</f>
        <v>6.2100000000000002E-2</v>
      </c>
      <c r="M716" s="160">
        <f>InputData!$C$7</f>
        <v>0.03</v>
      </c>
      <c r="N716" s="160">
        <f>InputData!$C$8</f>
        <v>0.02</v>
      </c>
      <c r="O716" s="160">
        <f>InputData!$C$9</f>
        <v>0.06</v>
      </c>
      <c r="P716" s="160">
        <f>InputData!$C$10</f>
        <v>0.02</v>
      </c>
      <c r="Q716" s="160">
        <f>InputData!$C$11</f>
        <v>0.02</v>
      </c>
      <c r="R716" s="160">
        <f>InputData!$C$12</f>
        <v>0.02</v>
      </c>
      <c r="S716" s="160">
        <f>InputData!$C$13</f>
        <v>0.9</v>
      </c>
      <c r="T716" s="116">
        <f>InputData!$C$88</f>
        <v>180000</v>
      </c>
      <c r="U716" s="116">
        <f>InputData!$C$81</f>
        <v>178500</v>
      </c>
      <c r="V716" s="116">
        <f>InputData!$C$82</f>
        <v>303960</v>
      </c>
      <c r="W716" s="116">
        <f>InputData!$C$84</f>
        <v>215220</v>
      </c>
      <c r="X716" s="116">
        <f>InputData!$C$85</f>
        <v>409020</v>
      </c>
      <c r="Y716" s="116">
        <f>InputData!$C$116</f>
        <v>140000</v>
      </c>
      <c r="Z716" s="160">
        <f>InputData!$E$13</f>
        <v>0</v>
      </c>
    </row>
    <row r="717" spans="1:26" x14ac:dyDescent="0.25">
      <c r="A717">
        <f>InputData!$K$1</f>
        <v>2013</v>
      </c>
      <c r="B717" t="str">
        <f>InputData!$G$1</f>
        <v>San Antonio, TX</v>
      </c>
      <c r="C717" t="s">
        <v>177</v>
      </c>
      <c r="D717" t="str">
        <f>Graph_Ortho!$K$6</f>
        <v>PAYEr</v>
      </c>
      <c r="E717" t="str">
        <f t="shared" si="11"/>
        <v>Orthopedics PAYEr</v>
      </c>
      <c r="F717">
        <f>Graph_Ortho!$A32</f>
        <v>2038</v>
      </c>
      <c r="G717">
        <f>Graph_Ortho!$B32</f>
        <v>26</v>
      </c>
      <c r="H717" s="165">
        <f>Graph_Ortho!$K32</f>
        <v>2854731.0154685569</v>
      </c>
      <c r="I717" s="160">
        <f>InputData!$C$3</f>
        <v>0.02</v>
      </c>
      <c r="J717" s="160">
        <f>InputData!$C$4</f>
        <v>0.01</v>
      </c>
      <c r="K717" s="160">
        <f>InputData!$C$5</f>
        <v>0.01</v>
      </c>
      <c r="L717" s="160">
        <f>InputData!$C$6</f>
        <v>6.2100000000000002E-2</v>
      </c>
      <c r="M717" s="160">
        <f>InputData!$C$7</f>
        <v>0.03</v>
      </c>
      <c r="N717" s="160">
        <f>InputData!$C$8</f>
        <v>0.02</v>
      </c>
      <c r="O717" s="160">
        <f>InputData!$C$9</f>
        <v>0.06</v>
      </c>
      <c r="P717" s="160">
        <f>InputData!$C$10</f>
        <v>0.02</v>
      </c>
      <c r="Q717" s="160">
        <f>InputData!$C$11</f>
        <v>0.02</v>
      </c>
      <c r="R717" s="160">
        <f>InputData!$C$12</f>
        <v>0.02</v>
      </c>
      <c r="S717" s="160">
        <f>InputData!$C$13</f>
        <v>0.9</v>
      </c>
      <c r="T717" s="116">
        <f>InputData!$C$88</f>
        <v>180000</v>
      </c>
      <c r="U717" s="116">
        <f>InputData!$C$81</f>
        <v>178500</v>
      </c>
      <c r="V717" s="116">
        <f>InputData!$C$82</f>
        <v>303960</v>
      </c>
      <c r="W717" s="116">
        <f>InputData!$C$84</f>
        <v>215220</v>
      </c>
      <c r="X717" s="116">
        <f>InputData!$C$85</f>
        <v>409020</v>
      </c>
      <c r="Y717" s="116">
        <f>InputData!$C$116</f>
        <v>140000</v>
      </c>
      <c r="Z717" s="160">
        <f>InputData!$E$13</f>
        <v>0</v>
      </c>
    </row>
    <row r="718" spans="1:26" x14ac:dyDescent="0.25">
      <c r="A718">
        <f>InputData!$K$1</f>
        <v>2013</v>
      </c>
      <c r="B718" t="str">
        <f>InputData!$G$1</f>
        <v>San Antonio, TX</v>
      </c>
      <c r="C718" t="s">
        <v>177</v>
      </c>
      <c r="D718" t="str">
        <f>Graph_Ortho!$K$6</f>
        <v>PAYEr</v>
      </c>
      <c r="E718" t="str">
        <f t="shared" si="11"/>
        <v>Orthopedics PAYEr</v>
      </c>
      <c r="F718">
        <f>Graph_Ortho!$A33</f>
        <v>2039</v>
      </c>
      <c r="G718">
        <f>Graph_Ortho!$B33</f>
        <v>27</v>
      </c>
      <c r="H718" s="165">
        <f>Graph_Ortho!$K33</f>
        <v>3002860.3836703594</v>
      </c>
      <c r="I718" s="160">
        <f>InputData!$C$3</f>
        <v>0.02</v>
      </c>
      <c r="J718" s="160">
        <f>InputData!$C$4</f>
        <v>0.01</v>
      </c>
      <c r="K718" s="160">
        <f>InputData!$C$5</f>
        <v>0.01</v>
      </c>
      <c r="L718" s="160">
        <f>InputData!$C$6</f>
        <v>6.2100000000000002E-2</v>
      </c>
      <c r="M718" s="160">
        <f>InputData!$C$7</f>
        <v>0.03</v>
      </c>
      <c r="N718" s="160">
        <f>InputData!$C$8</f>
        <v>0.02</v>
      </c>
      <c r="O718" s="160">
        <f>InputData!$C$9</f>
        <v>0.06</v>
      </c>
      <c r="P718" s="160">
        <f>InputData!$C$10</f>
        <v>0.02</v>
      </c>
      <c r="Q718" s="160">
        <f>InputData!$C$11</f>
        <v>0.02</v>
      </c>
      <c r="R718" s="160">
        <f>InputData!$C$12</f>
        <v>0.02</v>
      </c>
      <c r="S718" s="160">
        <f>InputData!$C$13</f>
        <v>0.9</v>
      </c>
      <c r="T718" s="116">
        <f>InputData!$C$88</f>
        <v>180000</v>
      </c>
      <c r="U718" s="116">
        <f>InputData!$C$81</f>
        <v>178500</v>
      </c>
      <c r="V718" s="116">
        <f>InputData!$C$82</f>
        <v>303960</v>
      </c>
      <c r="W718" s="116">
        <f>InputData!$C$84</f>
        <v>215220</v>
      </c>
      <c r="X718" s="116">
        <f>InputData!$C$85</f>
        <v>409020</v>
      </c>
      <c r="Y718" s="116">
        <f>InputData!$C$116</f>
        <v>140000</v>
      </c>
      <c r="Z718" s="160">
        <f>InputData!$E$13</f>
        <v>0</v>
      </c>
    </row>
    <row r="719" spans="1:26" x14ac:dyDescent="0.25">
      <c r="A719">
        <f>InputData!$K$1</f>
        <v>2013</v>
      </c>
      <c r="B719" t="str">
        <f>InputData!$G$1</f>
        <v>San Antonio, TX</v>
      </c>
      <c r="C719" t="s">
        <v>177</v>
      </c>
      <c r="D719" t="str">
        <f>Graph_Ortho!$K$6</f>
        <v>PAYEr</v>
      </c>
      <c r="E719" t="str">
        <f t="shared" si="11"/>
        <v>Orthopedics PAYEr</v>
      </c>
      <c r="F719">
        <f>Graph_Ortho!$A34</f>
        <v>2040</v>
      </c>
      <c r="G719">
        <f>Graph_Ortho!$B34</f>
        <v>28</v>
      </c>
      <c r="H719" s="165">
        <f>Graph_Ortho!$K34</f>
        <v>3147919.2915989896</v>
      </c>
      <c r="I719" s="160">
        <f>InputData!$C$3</f>
        <v>0.02</v>
      </c>
      <c r="J719" s="160">
        <f>InputData!$C$4</f>
        <v>0.01</v>
      </c>
      <c r="K719" s="160">
        <f>InputData!$C$5</f>
        <v>0.01</v>
      </c>
      <c r="L719" s="160">
        <f>InputData!$C$6</f>
        <v>6.2100000000000002E-2</v>
      </c>
      <c r="M719" s="160">
        <f>InputData!$C$7</f>
        <v>0.03</v>
      </c>
      <c r="N719" s="160">
        <f>InputData!$C$8</f>
        <v>0.02</v>
      </c>
      <c r="O719" s="160">
        <f>InputData!$C$9</f>
        <v>0.06</v>
      </c>
      <c r="P719" s="160">
        <f>InputData!$C$10</f>
        <v>0.02</v>
      </c>
      <c r="Q719" s="160">
        <f>InputData!$C$11</f>
        <v>0.02</v>
      </c>
      <c r="R719" s="160">
        <f>InputData!$C$12</f>
        <v>0.02</v>
      </c>
      <c r="S719" s="160">
        <f>InputData!$C$13</f>
        <v>0.9</v>
      </c>
      <c r="T719" s="116">
        <f>InputData!$C$88</f>
        <v>180000</v>
      </c>
      <c r="U719" s="116">
        <f>InputData!$C$81</f>
        <v>178500</v>
      </c>
      <c r="V719" s="116">
        <f>InputData!$C$82</f>
        <v>303960</v>
      </c>
      <c r="W719" s="116">
        <f>InputData!$C$84</f>
        <v>215220</v>
      </c>
      <c r="X719" s="116">
        <f>InputData!$C$85</f>
        <v>409020</v>
      </c>
      <c r="Y719" s="116">
        <f>InputData!$C$116</f>
        <v>140000</v>
      </c>
      <c r="Z719" s="160">
        <f>InputData!$E$13</f>
        <v>0</v>
      </c>
    </row>
    <row r="720" spans="1:26" x14ac:dyDescent="0.25">
      <c r="A720">
        <f>InputData!$K$1</f>
        <v>2013</v>
      </c>
      <c r="B720" t="str">
        <f>InputData!$G$1</f>
        <v>San Antonio, TX</v>
      </c>
      <c r="C720" t="s">
        <v>177</v>
      </c>
      <c r="D720" t="str">
        <f>Graph_Ortho!$K$6</f>
        <v>PAYEr</v>
      </c>
      <c r="E720" t="str">
        <f t="shared" si="11"/>
        <v>Orthopedics PAYEr</v>
      </c>
      <c r="F720">
        <f>Graph_Ortho!$A35</f>
        <v>2041</v>
      </c>
      <c r="G720">
        <f>Graph_Ortho!$B35</f>
        <v>29</v>
      </c>
      <c r="H720" s="165">
        <f>Graph_Ortho!$K35</f>
        <v>3289972.7782274773</v>
      </c>
      <c r="I720" s="160">
        <f>InputData!$C$3</f>
        <v>0.02</v>
      </c>
      <c r="J720" s="160">
        <f>InputData!$C$4</f>
        <v>0.01</v>
      </c>
      <c r="K720" s="160">
        <f>InputData!$C$5</f>
        <v>0.01</v>
      </c>
      <c r="L720" s="160">
        <f>InputData!$C$6</f>
        <v>6.2100000000000002E-2</v>
      </c>
      <c r="M720" s="160">
        <f>InputData!$C$7</f>
        <v>0.03</v>
      </c>
      <c r="N720" s="160">
        <f>InputData!$C$8</f>
        <v>0.02</v>
      </c>
      <c r="O720" s="160">
        <f>InputData!$C$9</f>
        <v>0.06</v>
      </c>
      <c r="P720" s="160">
        <f>InputData!$C$10</f>
        <v>0.02</v>
      </c>
      <c r="Q720" s="160">
        <f>InputData!$C$11</f>
        <v>0.02</v>
      </c>
      <c r="R720" s="160">
        <f>InputData!$C$12</f>
        <v>0.02</v>
      </c>
      <c r="S720" s="160">
        <f>InputData!$C$13</f>
        <v>0.9</v>
      </c>
      <c r="T720" s="116">
        <f>InputData!$C$88</f>
        <v>180000</v>
      </c>
      <c r="U720" s="116">
        <f>InputData!$C$81</f>
        <v>178500</v>
      </c>
      <c r="V720" s="116">
        <f>InputData!$C$82</f>
        <v>303960</v>
      </c>
      <c r="W720" s="116">
        <f>InputData!$C$84</f>
        <v>215220</v>
      </c>
      <c r="X720" s="116">
        <f>InputData!$C$85</f>
        <v>409020</v>
      </c>
      <c r="Y720" s="116">
        <f>InputData!$C$116</f>
        <v>140000</v>
      </c>
      <c r="Z720" s="160">
        <f>InputData!$E$13</f>
        <v>0</v>
      </c>
    </row>
    <row r="721" spans="1:26" x14ac:dyDescent="0.25">
      <c r="A721">
        <f>InputData!$K$1</f>
        <v>2013</v>
      </c>
      <c r="B721" t="str">
        <f>InputData!$G$1</f>
        <v>San Antonio, TX</v>
      </c>
      <c r="C721" t="s">
        <v>177</v>
      </c>
      <c r="D721" t="str">
        <f>Graph_Ortho!$K$6</f>
        <v>PAYEr</v>
      </c>
      <c r="E721" t="str">
        <f t="shared" si="11"/>
        <v>Orthopedics PAYEr</v>
      </c>
      <c r="F721">
        <f>Graph_Ortho!$A36</f>
        <v>2042</v>
      </c>
      <c r="G721">
        <f>Graph_Ortho!$B36</f>
        <v>30</v>
      </c>
      <c r="H721" s="165">
        <f>Graph_Ortho!$K36</f>
        <v>3429084.4664625525</v>
      </c>
      <c r="I721" s="160">
        <f>InputData!$C$3</f>
        <v>0.02</v>
      </c>
      <c r="J721" s="160">
        <f>InputData!$C$4</f>
        <v>0.01</v>
      </c>
      <c r="K721" s="160">
        <f>InputData!$C$5</f>
        <v>0.01</v>
      </c>
      <c r="L721" s="160">
        <f>InputData!$C$6</f>
        <v>6.2100000000000002E-2</v>
      </c>
      <c r="M721" s="160">
        <f>InputData!$C$7</f>
        <v>0.03</v>
      </c>
      <c r="N721" s="160">
        <f>InputData!$C$8</f>
        <v>0.02</v>
      </c>
      <c r="O721" s="160">
        <f>InputData!$C$9</f>
        <v>0.06</v>
      </c>
      <c r="P721" s="160">
        <f>InputData!$C$10</f>
        <v>0.02</v>
      </c>
      <c r="Q721" s="160">
        <f>InputData!$C$11</f>
        <v>0.02</v>
      </c>
      <c r="R721" s="160">
        <f>InputData!$C$12</f>
        <v>0.02</v>
      </c>
      <c r="S721" s="160">
        <f>InputData!$C$13</f>
        <v>0.9</v>
      </c>
      <c r="T721" s="116">
        <f>InputData!$C$88</f>
        <v>180000</v>
      </c>
      <c r="U721" s="116">
        <f>InputData!$C$81</f>
        <v>178500</v>
      </c>
      <c r="V721" s="116">
        <f>InputData!$C$82</f>
        <v>303960</v>
      </c>
      <c r="W721" s="116">
        <f>InputData!$C$84</f>
        <v>215220</v>
      </c>
      <c r="X721" s="116">
        <f>InputData!$C$85</f>
        <v>409020</v>
      </c>
      <c r="Y721" s="116">
        <f>InputData!$C$116</f>
        <v>140000</v>
      </c>
      <c r="Z721" s="160">
        <f>InputData!$E$13</f>
        <v>0</v>
      </c>
    </row>
    <row r="722" spans="1:26" x14ac:dyDescent="0.25">
      <c r="A722">
        <f>InputData!$K$1</f>
        <v>2013</v>
      </c>
      <c r="B722" t="str">
        <f>InputData!$G$1</f>
        <v>San Antonio, TX</v>
      </c>
      <c r="C722" t="s">
        <v>177</v>
      </c>
      <c r="D722" t="str">
        <f>Graph_Ortho!$L$6</f>
        <v>USU20</v>
      </c>
      <c r="E722" t="str">
        <f t="shared" si="11"/>
        <v>Orthopedics USU20</v>
      </c>
      <c r="F722">
        <f>Graph_Ortho!$A7</f>
        <v>2013</v>
      </c>
      <c r="G722">
        <f>Graph_Ortho!$B7</f>
        <v>1</v>
      </c>
      <c r="H722" s="165">
        <f>Graph_Ortho!$L7</f>
        <v>54056.194799999997</v>
      </c>
      <c r="I722" s="160">
        <f>InputData!$C$3</f>
        <v>0.02</v>
      </c>
      <c r="J722" s="160">
        <f>InputData!$C$4</f>
        <v>0.01</v>
      </c>
      <c r="K722" s="160">
        <f>InputData!$C$5</f>
        <v>0.01</v>
      </c>
      <c r="L722" s="160">
        <f>InputData!$C$6</f>
        <v>6.2100000000000002E-2</v>
      </c>
      <c r="M722" s="160">
        <f>InputData!$C$7</f>
        <v>0.03</v>
      </c>
      <c r="N722" s="160">
        <f>InputData!$C$8</f>
        <v>0.02</v>
      </c>
      <c r="O722" s="160">
        <f>InputData!$C$9</f>
        <v>0.06</v>
      </c>
      <c r="P722" s="160">
        <f>InputData!$C$10</f>
        <v>0.02</v>
      </c>
      <c r="Q722" s="160">
        <f>InputData!$C$11</f>
        <v>0.02</v>
      </c>
      <c r="R722" s="160">
        <f>InputData!$C$12</f>
        <v>0.02</v>
      </c>
      <c r="S722" s="160">
        <f>InputData!$C$13</f>
        <v>0.9</v>
      </c>
      <c r="T722" s="116">
        <f>InputData!$C$88</f>
        <v>180000</v>
      </c>
      <c r="U722" s="116">
        <f>InputData!$C$81</f>
        <v>178500</v>
      </c>
      <c r="V722" s="116">
        <f>InputData!$C$82</f>
        <v>303960</v>
      </c>
      <c r="W722" s="116">
        <f>InputData!$C$84</f>
        <v>215220</v>
      </c>
      <c r="X722" s="116">
        <f>InputData!$C$85</f>
        <v>409020</v>
      </c>
      <c r="Y722" s="116">
        <f>InputData!$C$116</f>
        <v>140000</v>
      </c>
      <c r="Z722" s="160">
        <f>InputData!$E$13</f>
        <v>0</v>
      </c>
    </row>
    <row r="723" spans="1:26" x14ac:dyDescent="0.25">
      <c r="A723">
        <f>InputData!$K$1</f>
        <v>2013</v>
      </c>
      <c r="B723" t="str">
        <f>InputData!$G$1</f>
        <v>San Antonio, TX</v>
      </c>
      <c r="C723" t="s">
        <v>177</v>
      </c>
      <c r="D723" t="str">
        <f>Graph_Ortho!$L$6</f>
        <v>USU20</v>
      </c>
      <c r="E723" t="str">
        <f t="shared" si="11"/>
        <v>Orthopedics USU20</v>
      </c>
      <c r="F723">
        <f>Graph_Ortho!$A8</f>
        <v>2014</v>
      </c>
      <c r="G723">
        <f>Graph_Ortho!$B8</f>
        <v>2</v>
      </c>
      <c r="H723" s="165">
        <f>Graph_Ortho!$L8</f>
        <v>106041.93556527697</v>
      </c>
      <c r="I723" s="160">
        <f>InputData!$C$3</f>
        <v>0.02</v>
      </c>
      <c r="J723" s="160">
        <f>InputData!$C$4</f>
        <v>0.01</v>
      </c>
      <c r="K723" s="160">
        <f>InputData!$C$5</f>
        <v>0.01</v>
      </c>
      <c r="L723" s="160">
        <f>InputData!$C$6</f>
        <v>6.2100000000000002E-2</v>
      </c>
      <c r="M723" s="160">
        <f>InputData!$C$7</f>
        <v>0.03</v>
      </c>
      <c r="N723" s="160">
        <f>InputData!$C$8</f>
        <v>0.02</v>
      </c>
      <c r="O723" s="160">
        <f>InputData!$C$9</f>
        <v>0.06</v>
      </c>
      <c r="P723" s="160">
        <f>InputData!$C$10</f>
        <v>0.02</v>
      </c>
      <c r="Q723" s="160">
        <f>InputData!$C$11</f>
        <v>0.02</v>
      </c>
      <c r="R723" s="160">
        <f>InputData!$C$12</f>
        <v>0.02</v>
      </c>
      <c r="S723" s="160">
        <f>InputData!$C$13</f>
        <v>0.9</v>
      </c>
      <c r="T723" s="116">
        <f>InputData!$C$88</f>
        <v>180000</v>
      </c>
      <c r="U723" s="116">
        <f>InputData!$C$81</f>
        <v>178500</v>
      </c>
      <c r="V723" s="116">
        <f>InputData!$C$82</f>
        <v>303960</v>
      </c>
      <c r="W723" s="116">
        <f>InputData!$C$84</f>
        <v>215220</v>
      </c>
      <c r="X723" s="116">
        <f>InputData!$C$85</f>
        <v>409020</v>
      </c>
      <c r="Y723" s="116">
        <f>InputData!$C$116</f>
        <v>140000</v>
      </c>
      <c r="Z723" s="160">
        <f>InputData!$E$13</f>
        <v>0</v>
      </c>
    </row>
    <row r="724" spans="1:26" x14ac:dyDescent="0.25">
      <c r="A724">
        <f>InputData!$K$1</f>
        <v>2013</v>
      </c>
      <c r="B724" t="str">
        <f>InputData!$G$1</f>
        <v>San Antonio, TX</v>
      </c>
      <c r="C724" t="s">
        <v>177</v>
      </c>
      <c r="D724" t="str">
        <f>Graph_Ortho!$L$6</f>
        <v>USU20</v>
      </c>
      <c r="E724" t="str">
        <f t="shared" si="11"/>
        <v>Orthopedics USU20</v>
      </c>
      <c r="F724">
        <f>Graph_Ortho!$A9</f>
        <v>2015</v>
      </c>
      <c r="G724">
        <f>Graph_Ortho!$B9</f>
        <v>3</v>
      </c>
      <c r="H724" s="165">
        <f>Graph_Ortho!$L9</f>
        <v>157045.52189700573</v>
      </c>
      <c r="I724" s="160">
        <f>InputData!$C$3</f>
        <v>0.02</v>
      </c>
      <c r="J724" s="160">
        <f>InputData!$C$4</f>
        <v>0.01</v>
      </c>
      <c r="K724" s="160">
        <f>InputData!$C$5</f>
        <v>0.01</v>
      </c>
      <c r="L724" s="160">
        <f>InputData!$C$6</f>
        <v>6.2100000000000002E-2</v>
      </c>
      <c r="M724" s="160">
        <f>InputData!$C$7</f>
        <v>0.03</v>
      </c>
      <c r="N724" s="160">
        <f>InputData!$C$8</f>
        <v>0.02</v>
      </c>
      <c r="O724" s="160">
        <f>InputData!$C$9</f>
        <v>0.06</v>
      </c>
      <c r="P724" s="160">
        <f>InputData!$C$10</f>
        <v>0.02</v>
      </c>
      <c r="Q724" s="160">
        <f>InputData!$C$11</f>
        <v>0.02</v>
      </c>
      <c r="R724" s="160">
        <f>InputData!$C$12</f>
        <v>0.02</v>
      </c>
      <c r="S724" s="160">
        <f>InputData!$C$13</f>
        <v>0.9</v>
      </c>
      <c r="T724" s="116">
        <f>InputData!$C$88</f>
        <v>180000</v>
      </c>
      <c r="U724" s="116">
        <f>InputData!$C$81</f>
        <v>178500</v>
      </c>
      <c r="V724" s="116">
        <f>InputData!$C$82</f>
        <v>303960</v>
      </c>
      <c r="W724" s="116">
        <f>InputData!$C$84</f>
        <v>215220</v>
      </c>
      <c r="X724" s="116">
        <f>InputData!$C$85</f>
        <v>409020</v>
      </c>
      <c r="Y724" s="116">
        <f>InputData!$C$116</f>
        <v>140000</v>
      </c>
      <c r="Z724" s="160">
        <f>InputData!$E$13</f>
        <v>0</v>
      </c>
    </row>
    <row r="725" spans="1:26" x14ac:dyDescent="0.25">
      <c r="A725">
        <f>InputData!$K$1</f>
        <v>2013</v>
      </c>
      <c r="B725" t="str">
        <f>InputData!$G$1</f>
        <v>San Antonio, TX</v>
      </c>
      <c r="C725" t="s">
        <v>177</v>
      </c>
      <c r="D725" t="str">
        <f>Graph_Ortho!$L$6</f>
        <v>USU20</v>
      </c>
      <c r="E725" t="str">
        <f t="shared" si="11"/>
        <v>Orthopedics USU20</v>
      </c>
      <c r="F725">
        <f>Graph_Ortho!$A10</f>
        <v>2016</v>
      </c>
      <c r="G725">
        <f>Graph_Ortho!$B10</f>
        <v>4</v>
      </c>
      <c r="H725" s="165">
        <f>Graph_Ortho!$L10</f>
        <v>211251.55229740124</v>
      </c>
      <c r="I725" s="160">
        <f>InputData!$C$3</f>
        <v>0.02</v>
      </c>
      <c r="J725" s="160">
        <f>InputData!$C$4</f>
        <v>0.01</v>
      </c>
      <c r="K725" s="160">
        <f>InputData!$C$5</f>
        <v>0.01</v>
      </c>
      <c r="L725" s="160">
        <f>InputData!$C$6</f>
        <v>6.2100000000000002E-2</v>
      </c>
      <c r="M725" s="160">
        <f>InputData!$C$7</f>
        <v>0.03</v>
      </c>
      <c r="N725" s="160">
        <f>InputData!$C$8</f>
        <v>0.02</v>
      </c>
      <c r="O725" s="160">
        <f>InputData!$C$9</f>
        <v>0.06</v>
      </c>
      <c r="P725" s="160">
        <f>InputData!$C$10</f>
        <v>0.02</v>
      </c>
      <c r="Q725" s="160">
        <f>InputData!$C$11</f>
        <v>0.02</v>
      </c>
      <c r="R725" s="160">
        <f>InputData!$C$12</f>
        <v>0.02</v>
      </c>
      <c r="S725" s="160">
        <f>InputData!$C$13</f>
        <v>0.9</v>
      </c>
      <c r="T725" s="116">
        <f>InputData!$C$88</f>
        <v>180000</v>
      </c>
      <c r="U725" s="116">
        <f>InputData!$C$81</f>
        <v>178500</v>
      </c>
      <c r="V725" s="116">
        <f>InputData!$C$82</f>
        <v>303960</v>
      </c>
      <c r="W725" s="116">
        <f>InputData!$C$84</f>
        <v>215220</v>
      </c>
      <c r="X725" s="116">
        <f>InputData!$C$85</f>
        <v>409020</v>
      </c>
      <c r="Y725" s="116">
        <f>InputData!$C$116</f>
        <v>140000</v>
      </c>
      <c r="Z725" s="160">
        <f>InputData!$E$13</f>
        <v>0</v>
      </c>
    </row>
    <row r="726" spans="1:26" x14ac:dyDescent="0.25">
      <c r="A726">
        <f>InputData!$K$1</f>
        <v>2013</v>
      </c>
      <c r="B726" t="str">
        <f>InputData!$G$1</f>
        <v>San Antonio, TX</v>
      </c>
      <c r="C726" t="s">
        <v>177</v>
      </c>
      <c r="D726" t="str">
        <f>Graph_Ortho!$L$6</f>
        <v>USU20</v>
      </c>
      <c r="E726" t="str">
        <f t="shared" si="11"/>
        <v>Orthopedics USU20</v>
      </c>
      <c r="F726">
        <f>Graph_Ortho!$A11</f>
        <v>2017</v>
      </c>
      <c r="G726">
        <f>Graph_Ortho!$B11</f>
        <v>5</v>
      </c>
      <c r="H726" s="165">
        <f>Graph_Ortho!$L11</f>
        <v>261213.54479899554</v>
      </c>
      <c r="I726" s="160">
        <f>InputData!$C$3</f>
        <v>0.02</v>
      </c>
      <c r="J726" s="160">
        <f>InputData!$C$4</f>
        <v>0.01</v>
      </c>
      <c r="K726" s="160">
        <f>InputData!$C$5</f>
        <v>0.01</v>
      </c>
      <c r="L726" s="160">
        <f>InputData!$C$6</f>
        <v>6.2100000000000002E-2</v>
      </c>
      <c r="M726" s="160">
        <f>InputData!$C$7</f>
        <v>0.03</v>
      </c>
      <c r="N726" s="160">
        <f>InputData!$C$8</f>
        <v>0.02</v>
      </c>
      <c r="O726" s="160">
        <f>InputData!$C$9</f>
        <v>0.06</v>
      </c>
      <c r="P726" s="160">
        <f>InputData!$C$10</f>
        <v>0.02</v>
      </c>
      <c r="Q726" s="160">
        <f>InputData!$C$11</f>
        <v>0.02</v>
      </c>
      <c r="R726" s="160">
        <f>InputData!$C$12</f>
        <v>0.02</v>
      </c>
      <c r="S726" s="160">
        <f>InputData!$C$13</f>
        <v>0.9</v>
      </c>
      <c r="T726" s="116">
        <f>InputData!$C$88</f>
        <v>180000</v>
      </c>
      <c r="U726" s="116">
        <f>InputData!$C$81</f>
        <v>178500</v>
      </c>
      <c r="V726" s="116">
        <f>InputData!$C$82</f>
        <v>303960</v>
      </c>
      <c r="W726" s="116">
        <f>InputData!$C$84</f>
        <v>215220</v>
      </c>
      <c r="X726" s="116">
        <f>InputData!$C$85</f>
        <v>409020</v>
      </c>
      <c r="Y726" s="116">
        <f>InputData!$C$116</f>
        <v>140000</v>
      </c>
      <c r="Z726" s="160">
        <f>InputData!$E$13</f>
        <v>0</v>
      </c>
    </row>
    <row r="727" spans="1:26" x14ac:dyDescent="0.25">
      <c r="A727">
        <f>InputData!$K$1</f>
        <v>2013</v>
      </c>
      <c r="B727" t="str">
        <f>InputData!$G$1</f>
        <v>San Antonio, TX</v>
      </c>
      <c r="C727" t="s">
        <v>177</v>
      </c>
      <c r="D727" t="str">
        <f>Graph_Ortho!$L$6</f>
        <v>USU20</v>
      </c>
      <c r="E727" t="str">
        <f t="shared" si="11"/>
        <v>Orthopedics USU20</v>
      </c>
      <c r="F727">
        <f>Graph_Ortho!$A12</f>
        <v>2018</v>
      </c>
      <c r="G727">
        <f>Graph_Ortho!$B12</f>
        <v>6</v>
      </c>
      <c r="H727" s="165">
        <f>Graph_Ortho!$L12</f>
        <v>311474.37448667729</v>
      </c>
      <c r="I727" s="160">
        <f>InputData!$C$3</f>
        <v>0.02</v>
      </c>
      <c r="J727" s="160">
        <f>InputData!$C$4</f>
        <v>0.01</v>
      </c>
      <c r="K727" s="160">
        <f>InputData!$C$5</f>
        <v>0.01</v>
      </c>
      <c r="L727" s="160">
        <f>InputData!$C$6</f>
        <v>6.2100000000000002E-2</v>
      </c>
      <c r="M727" s="160">
        <f>InputData!$C$7</f>
        <v>0.03</v>
      </c>
      <c r="N727" s="160">
        <f>InputData!$C$8</f>
        <v>0.02</v>
      </c>
      <c r="O727" s="160">
        <f>InputData!$C$9</f>
        <v>0.06</v>
      </c>
      <c r="P727" s="160">
        <f>InputData!$C$10</f>
        <v>0.02</v>
      </c>
      <c r="Q727" s="160">
        <f>InputData!$C$11</f>
        <v>0.02</v>
      </c>
      <c r="R727" s="160">
        <f>InputData!$C$12</f>
        <v>0.02</v>
      </c>
      <c r="S727" s="160">
        <f>InputData!$C$13</f>
        <v>0.9</v>
      </c>
      <c r="T727" s="116">
        <f>InputData!$C$88</f>
        <v>180000</v>
      </c>
      <c r="U727" s="116">
        <f>InputData!$C$81</f>
        <v>178500</v>
      </c>
      <c r="V727" s="116">
        <f>InputData!$C$82</f>
        <v>303960</v>
      </c>
      <c r="W727" s="116">
        <f>InputData!$C$84</f>
        <v>215220</v>
      </c>
      <c r="X727" s="116">
        <f>InputData!$C$85</f>
        <v>409020</v>
      </c>
      <c r="Y727" s="116">
        <f>InputData!$C$116</f>
        <v>140000</v>
      </c>
      <c r="Z727" s="160">
        <f>InputData!$E$13</f>
        <v>0</v>
      </c>
    </row>
    <row r="728" spans="1:26" x14ac:dyDescent="0.25">
      <c r="A728">
        <f>InputData!$K$1</f>
        <v>2013</v>
      </c>
      <c r="B728" t="str">
        <f>InputData!$G$1</f>
        <v>San Antonio, TX</v>
      </c>
      <c r="C728" t="s">
        <v>177</v>
      </c>
      <c r="D728" t="str">
        <f>Graph_Ortho!$L$6</f>
        <v>USU20</v>
      </c>
      <c r="E728" t="str">
        <f t="shared" si="11"/>
        <v>Orthopedics USU20</v>
      </c>
      <c r="F728">
        <f>Graph_Ortho!$A13</f>
        <v>2019</v>
      </c>
      <c r="G728">
        <f>Graph_Ortho!$B13</f>
        <v>7</v>
      </c>
      <c r="H728" s="165">
        <f>Graph_Ortho!$L13</f>
        <v>363115.97670968575</v>
      </c>
      <c r="I728" s="160">
        <f>InputData!$C$3</f>
        <v>0.02</v>
      </c>
      <c r="J728" s="160">
        <f>InputData!$C$4</f>
        <v>0.01</v>
      </c>
      <c r="K728" s="160">
        <f>InputData!$C$5</f>
        <v>0.01</v>
      </c>
      <c r="L728" s="160">
        <f>InputData!$C$6</f>
        <v>6.2100000000000002E-2</v>
      </c>
      <c r="M728" s="160">
        <f>InputData!$C$7</f>
        <v>0.03</v>
      </c>
      <c r="N728" s="160">
        <f>InputData!$C$8</f>
        <v>0.02</v>
      </c>
      <c r="O728" s="160">
        <f>InputData!$C$9</f>
        <v>0.06</v>
      </c>
      <c r="P728" s="160">
        <f>InputData!$C$10</f>
        <v>0.02</v>
      </c>
      <c r="Q728" s="160">
        <f>InputData!$C$11</f>
        <v>0.02</v>
      </c>
      <c r="R728" s="160">
        <f>InputData!$C$12</f>
        <v>0.02</v>
      </c>
      <c r="S728" s="160">
        <f>InputData!$C$13</f>
        <v>0.9</v>
      </c>
      <c r="T728" s="116">
        <f>InputData!$C$88</f>
        <v>180000</v>
      </c>
      <c r="U728" s="116">
        <f>InputData!$C$81</f>
        <v>178500</v>
      </c>
      <c r="V728" s="116">
        <f>InputData!$C$82</f>
        <v>303960</v>
      </c>
      <c r="W728" s="116">
        <f>InputData!$C$84</f>
        <v>215220</v>
      </c>
      <c r="X728" s="116">
        <f>InputData!$C$85</f>
        <v>409020</v>
      </c>
      <c r="Y728" s="116">
        <f>InputData!$C$116</f>
        <v>140000</v>
      </c>
      <c r="Z728" s="160">
        <f>InputData!$E$13</f>
        <v>0</v>
      </c>
    </row>
    <row r="729" spans="1:26" x14ac:dyDescent="0.25">
      <c r="A729">
        <f>InputData!$K$1</f>
        <v>2013</v>
      </c>
      <c r="B729" t="str">
        <f>InputData!$G$1</f>
        <v>San Antonio, TX</v>
      </c>
      <c r="C729" t="s">
        <v>177</v>
      </c>
      <c r="D729" t="str">
        <f>Graph_Ortho!$L$6</f>
        <v>USU20</v>
      </c>
      <c r="E729" t="str">
        <f t="shared" si="11"/>
        <v>Orthopedics USU20</v>
      </c>
      <c r="F729">
        <f>Graph_Ortho!$A14</f>
        <v>2020</v>
      </c>
      <c r="G729">
        <f>Graph_Ortho!$B14</f>
        <v>8</v>
      </c>
      <c r="H729" s="165">
        <f>Graph_Ortho!$L14</f>
        <v>414930.34262192424</v>
      </c>
      <c r="I729" s="160">
        <f>InputData!$C$3</f>
        <v>0.02</v>
      </c>
      <c r="J729" s="160">
        <f>InputData!$C$4</f>
        <v>0.01</v>
      </c>
      <c r="K729" s="160">
        <f>InputData!$C$5</f>
        <v>0.01</v>
      </c>
      <c r="L729" s="160">
        <f>InputData!$C$6</f>
        <v>6.2100000000000002E-2</v>
      </c>
      <c r="M729" s="160">
        <f>InputData!$C$7</f>
        <v>0.03</v>
      </c>
      <c r="N729" s="160">
        <f>InputData!$C$8</f>
        <v>0.02</v>
      </c>
      <c r="O729" s="160">
        <f>InputData!$C$9</f>
        <v>0.06</v>
      </c>
      <c r="P729" s="160">
        <f>InputData!$C$10</f>
        <v>0.02</v>
      </c>
      <c r="Q729" s="160">
        <f>InputData!$C$11</f>
        <v>0.02</v>
      </c>
      <c r="R729" s="160">
        <f>InputData!$C$12</f>
        <v>0.02</v>
      </c>
      <c r="S729" s="160">
        <f>InputData!$C$13</f>
        <v>0.9</v>
      </c>
      <c r="T729" s="116">
        <f>InputData!$C$88</f>
        <v>180000</v>
      </c>
      <c r="U729" s="116">
        <f>InputData!$C$81</f>
        <v>178500</v>
      </c>
      <c r="V729" s="116">
        <f>InputData!$C$82</f>
        <v>303960</v>
      </c>
      <c r="W729" s="116">
        <f>InputData!$C$84</f>
        <v>215220</v>
      </c>
      <c r="X729" s="116">
        <f>InputData!$C$85</f>
        <v>409020</v>
      </c>
      <c r="Y729" s="116">
        <f>InputData!$C$116</f>
        <v>140000</v>
      </c>
      <c r="Z729" s="160">
        <f>InputData!$E$13</f>
        <v>0</v>
      </c>
    </row>
    <row r="730" spans="1:26" x14ac:dyDescent="0.25">
      <c r="A730">
        <f>InputData!$K$1</f>
        <v>2013</v>
      </c>
      <c r="B730" t="str">
        <f>InputData!$G$1</f>
        <v>San Antonio, TX</v>
      </c>
      <c r="C730" t="s">
        <v>177</v>
      </c>
      <c r="D730" t="str">
        <f>Graph_Ortho!$L$6</f>
        <v>USU20</v>
      </c>
      <c r="E730" t="str">
        <f t="shared" si="11"/>
        <v>Orthopedics USU20</v>
      </c>
      <c r="F730">
        <f>Graph_Ortho!$A15</f>
        <v>2021</v>
      </c>
      <c r="G730">
        <f>Graph_Ortho!$B15</f>
        <v>9</v>
      </c>
      <c r="H730" s="165">
        <f>Graph_Ortho!$L15</f>
        <v>467290.95730725891</v>
      </c>
      <c r="I730" s="160">
        <f>InputData!$C$3</f>
        <v>0.02</v>
      </c>
      <c r="J730" s="160">
        <f>InputData!$C$4</f>
        <v>0.01</v>
      </c>
      <c r="K730" s="160">
        <f>InputData!$C$5</f>
        <v>0.01</v>
      </c>
      <c r="L730" s="160">
        <f>InputData!$C$6</f>
        <v>6.2100000000000002E-2</v>
      </c>
      <c r="M730" s="160">
        <f>InputData!$C$7</f>
        <v>0.03</v>
      </c>
      <c r="N730" s="160">
        <f>InputData!$C$8</f>
        <v>0.02</v>
      </c>
      <c r="O730" s="160">
        <f>InputData!$C$9</f>
        <v>0.06</v>
      </c>
      <c r="P730" s="160">
        <f>InputData!$C$10</f>
        <v>0.02</v>
      </c>
      <c r="Q730" s="160">
        <f>InputData!$C$11</f>
        <v>0.02</v>
      </c>
      <c r="R730" s="160">
        <f>InputData!$C$12</f>
        <v>0.02</v>
      </c>
      <c r="S730" s="160">
        <f>InputData!$C$13</f>
        <v>0.9</v>
      </c>
      <c r="T730" s="116">
        <f>InputData!$C$88</f>
        <v>180000</v>
      </c>
      <c r="U730" s="116">
        <f>InputData!$C$81</f>
        <v>178500</v>
      </c>
      <c r="V730" s="116">
        <f>InputData!$C$82</f>
        <v>303960</v>
      </c>
      <c r="W730" s="116">
        <f>InputData!$C$84</f>
        <v>215220</v>
      </c>
      <c r="X730" s="116">
        <f>InputData!$C$85</f>
        <v>409020</v>
      </c>
      <c r="Y730" s="116">
        <f>InputData!$C$116</f>
        <v>140000</v>
      </c>
      <c r="Z730" s="160">
        <f>InputData!$E$13</f>
        <v>0</v>
      </c>
    </row>
    <row r="731" spans="1:26" x14ac:dyDescent="0.25">
      <c r="A731">
        <f>InputData!$K$1</f>
        <v>2013</v>
      </c>
      <c r="B731" t="str">
        <f>InputData!$G$1</f>
        <v>San Antonio, TX</v>
      </c>
      <c r="C731" t="s">
        <v>177</v>
      </c>
      <c r="D731" t="str">
        <f>Graph_Ortho!$L$6</f>
        <v>USU20</v>
      </c>
      <c r="E731" t="str">
        <f t="shared" si="11"/>
        <v>Orthopedics USU20</v>
      </c>
      <c r="F731">
        <f>Graph_Ortho!$A16</f>
        <v>2022</v>
      </c>
      <c r="G731">
        <f>Graph_Ortho!$B16</f>
        <v>10</v>
      </c>
      <c r="H731" s="165">
        <f>Graph_Ortho!$L16</f>
        <v>524763.22436689748</v>
      </c>
      <c r="I731" s="160">
        <f>InputData!$C$3</f>
        <v>0.02</v>
      </c>
      <c r="J731" s="160">
        <f>InputData!$C$4</f>
        <v>0.01</v>
      </c>
      <c r="K731" s="160">
        <f>InputData!$C$5</f>
        <v>0.01</v>
      </c>
      <c r="L731" s="160">
        <f>InputData!$C$6</f>
        <v>6.2100000000000002E-2</v>
      </c>
      <c r="M731" s="160">
        <f>InputData!$C$7</f>
        <v>0.03</v>
      </c>
      <c r="N731" s="160">
        <f>InputData!$C$8</f>
        <v>0.02</v>
      </c>
      <c r="O731" s="160">
        <f>InputData!$C$9</f>
        <v>0.06</v>
      </c>
      <c r="P731" s="160">
        <f>InputData!$C$10</f>
        <v>0.02</v>
      </c>
      <c r="Q731" s="160">
        <f>InputData!$C$11</f>
        <v>0.02</v>
      </c>
      <c r="R731" s="160">
        <f>InputData!$C$12</f>
        <v>0.02</v>
      </c>
      <c r="S731" s="160">
        <f>InputData!$C$13</f>
        <v>0.9</v>
      </c>
      <c r="T731" s="116">
        <f>InputData!$C$88</f>
        <v>180000</v>
      </c>
      <c r="U731" s="116">
        <f>InputData!$C$81</f>
        <v>178500</v>
      </c>
      <c r="V731" s="116">
        <f>InputData!$C$82</f>
        <v>303960</v>
      </c>
      <c r="W731" s="116">
        <f>InputData!$C$84</f>
        <v>215220</v>
      </c>
      <c r="X731" s="116">
        <f>InputData!$C$85</f>
        <v>409020</v>
      </c>
      <c r="Y731" s="116">
        <f>InputData!$C$116</f>
        <v>140000</v>
      </c>
      <c r="Z731" s="160">
        <f>InputData!$E$13</f>
        <v>0</v>
      </c>
    </row>
    <row r="732" spans="1:26" x14ac:dyDescent="0.25">
      <c r="A732">
        <f>InputData!$K$1</f>
        <v>2013</v>
      </c>
      <c r="B732" t="str">
        <f>InputData!$G$1</f>
        <v>San Antonio, TX</v>
      </c>
      <c r="C732" t="s">
        <v>177</v>
      </c>
      <c r="D732" t="str">
        <f>Graph_Ortho!$L$6</f>
        <v>USU20</v>
      </c>
      <c r="E732" t="str">
        <f t="shared" si="11"/>
        <v>Orthopedics USU20</v>
      </c>
      <c r="F732">
        <f>Graph_Ortho!$A17</f>
        <v>2023</v>
      </c>
      <c r="G732">
        <f>Graph_Ortho!$B17</f>
        <v>11</v>
      </c>
      <c r="H732" s="165">
        <f>Graph_Ortho!$L17</f>
        <v>588449.02039398521</v>
      </c>
      <c r="I732" s="160">
        <f>InputData!$C$3</f>
        <v>0.02</v>
      </c>
      <c r="J732" s="160">
        <f>InputData!$C$4</f>
        <v>0.01</v>
      </c>
      <c r="K732" s="160">
        <f>InputData!$C$5</f>
        <v>0.01</v>
      </c>
      <c r="L732" s="160">
        <f>InputData!$C$6</f>
        <v>6.2100000000000002E-2</v>
      </c>
      <c r="M732" s="160">
        <f>InputData!$C$7</f>
        <v>0.03</v>
      </c>
      <c r="N732" s="160">
        <f>InputData!$C$8</f>
        <v>0.02</v>
      </c>
      <c r="O732" s="160">
        <f>InputData!$C$9</f>
        <v>0.06</v>
      </c>
      <c r="P732" s="160">
        <f>InputData!$C$10</f>
        <v>0.02</v>
      </c>
      <c r="Q732" s="160">
        <f>InputData!$C$11</f>
        <v>0.02</v>
      </c>
      <c r="R732" s="160">
        <f>InputData!$C$12</f>
        <v>0.02</v>
      </c>
      <c r="S732" s="160">
        <f>InputData!$C$13</f>
        <v>0.9</v>
      </c>
      <c r="T732" s="116">
        <f>InputData!$C$88</f>
        <v>180000</v>
      </c>
      <c r="U732" s="116">
        <f>InputData!$C$81</f>
        <v>178500</v>
      </c>
      <c r="V732" s="116">
        <f>InputData!$C$82</f>
        <v>303960</v>
      </c>
      <c r="W732" s="116">
        <f>InputData!$C$84</f>
        <v>215220</v>
      </c>
      <c r="X732" s="116">
        <f>InputData!$C$85</f>
        <v>409020</v>
      </c>
      <c r="Y732" s="116">
        <f>InputData!$C$116</f>
        <v>140000</v>
      </c>
      <c r="Z732" s="160">
        <f>InputData!$E$13</f>
        <v>0</v>
      </c>
    </row>
    <row r="733" spans="1:26" x14ac:dyDescent="0.25">
      <c r="A733">
        <f>InputData!$K$1</f>
        <v>2013</v>
      </c>
      <c r="B733" t="str">
        <f>InputData!$G$1</f>
        <v>San Antonio, TX</v>
      </c>
      <c r="C733" t="s">
        <v>177</v>
      </c>
      <c r="D733" t="str">
        <f>Graph_Ortho!$L$6</f>
        <v>USU20</v>
      </c>
      <c r="E733" t="str">
        <f t="shared" si="11"/>
        <v>Orthopedics USU20</v>
      </c>
      <c r="F733">
        <f>Graph_Ortho!$A18</f>
        <v>2024</v>
      </c>
      <c r="G733">
        <f>Graph_Ortho!$B18</f>
        <v>12</v>
      </c>
      <c r="H733" s="165">
        <f>Graph_Ortho!$L18</f>
        <v>649720.24660637928</v>
      </c>
      <c r="I733" s="160">
        <f>InputData!$C$3</f>
        <v>0.02</v>
      </c>
      <c r="J733" s="160">
        <f>InputData!$C$4</f>
        <v>0.01</v>
      </c>
      <c r="K733" s="160">
        <f>InputData!$C$5</f>
        <v>0.01</v>
      </c>
      <c r="L733" s="160">
        <f>InputData!$C$6</f>
        <v>6.2100000000000002E-2</v>
      </c>
      <c r="M733" s="160">
        <f>InputData!$C$7</f>
        <v>0.03</v>
      </c>
      <c r="N733" s="160">
        <f>InputData!$C$8</f>
        <v>0.02</v>
      </c>
      <c r="O733" s="160">
        <f>InputData!$C$9</f>
        <v>0.06</v>
      </c>
      <c r="P733" s="160">
        <f>InputData!$C$10</f>
        <v>0.02</v>
      </c>
      <c r="Q733" s="160">
        <f>InputData!$C$11</f>
        <v>0.02</v>
      </c>
      <c r="R733" s="160">
        <f>InputData!$C$12</f>
        <v>0.02</v>
      </c>
      <c r="S733" s="160">
        <f>InputData!$C$13</f>
        <v>0.9</v>
      </c>
      <c r="T733" s="116">
        <f>InputData!$C$88</f>
        <v>180000</v>
      </c>
      <c r="U733" s="116">
        <f>InputData!$C$81</f>
        <v>178500</v>
      </c>
      <c r="V733" s="116">
        <f>InputData!$C$82</f>
        <v>303960</v>
      </c>
      <c r="W733" s="116">
        <f>InputData!$C$84</f>
        <v>215220</v>
      </c>
      <c r="X733" s="116">
        <f>InputData!$C$85</f>
        <v>409020</v>
      </c>
      <c r="Y733" s="116">
        <f>InputData!$C$116</f>
        <v>140000</v>
      </c>
      <c r="Z733" s="160">
        <f>InputData!$E$13</f>
        <v>0</v>
      </c>
    </row>
    <row r="734" spans="1:26" x14ac:dyDescent="0.25">
      <c r="A734">
        <f>InputData!$K$1</f>
        <v>2013</v>
      </c>
      <c r="B734" t="str">
        <f>InputData!$G$1</f>
        <v>San Antonio, TX</v>
      </c>
      <c r="C734" t="s">
        <v>177</v>
      </c>
      <c r="D734" t="str">
        <f>Graph_Ortho!$L$6</f>
        <v>USU20</v>
      </c>
      <c r="E734" t="str">
        <f t="shared" si="11"/>
        <v>Orthopedics USU20</v>
      </c>
      <c r="F734">
        <f>Graph_Ortho!$A19</f>
        <v>2025</v>
      </c>
      <c r="G734">
        <f>Graph_Ortho!$B19</f>
        <v>13</v>
      </c>
      <c r="H734" s="165">
        <f>Graph_Ortho!$L19</f>
        <v>710146.70996840461</v>
      </c>
      <c r="I734" s="160">
        <f>InputData!$C$3</f>
        <v>0.02</v>
      </c>
      <c r="J734" s="160">
        <f>InputData!$C$4</f>
        <v>0.01</v>
      </c>
      <c r="K734" s="160">
        <f>InputData!$C$5</f>
        <v>0.01</v>
      </c>
      <c r="L734" s="160">
        <f>InputData!$C$6</f>
        <v>6.2100000000000002E-2</v>
      </c>
      <c r="M734" s="160">
        <f>InputData!$C$7</f>
        <v>0.03</v>
      </c>
      <c r="N734" s="160">
        <f>InputData!$C$8</f>
        <v>0.02</v>
      </c>
      <c r="O734" s="160">
        <f>InputData!$C$9</f>
        <v>0.06</v>
      </c>
      <c r="P734" s="160">
        <f>InputData!$C$10</f>
        <v>0.02</v>
      </c>
      <c r="Q734" s="160">
        <f>InputData!$C$11</f>
        <v>0.02</v>
      </c>
      <c r="R734" s="160">
        <f>InputData!$C$12</f>
        <v>0.02</v>
      </c>
      <c r="S734" s="160">
        <f>InputData!$C$13</f>
        <v>0.9</v>
      </c>
      <c r="T734" s="116">
        <f>InputData!$C$88</f>
        <v>180000</v>
      </c>
      <c r="U734" s="116">
        <f>InputData!$C$81</f>
        <v>178500</v>
      </c>
      <c r="V734" s="116">
        <f>InputData!$C$82</f>
        <v>303960</v>
      </c>
      <c r="W734" s="116">
        <f>InputData!$C$84</f>
        <v>215220</v>
      </c>
      <c r="X734" s="116">
        <f>InputData!$C$85</f>
        <v>409020</v>
      </c>
      <c r="Y734" s="116">
        <f>InputData!$C$116</f>
        <v>140000</v>
      </c>
      <c r="Z734" s="160">
        <f>InputData!$E$13</f>
        <v>0</v>
      </c>
    </row>
    <row r="735" spans="1:26" x14ac:dyDescent="0.25">
      <c r="A735">
        <f>InputData!$K$1</f>
        <v>2013</v>
      </c>
      <c r="B735" t="str">
        <f>InputData!$G$1</f>
        <v>San Antonio, TX</v>
      </c>
      <c r="C735" t="s">
        <v>177</v>
      </c>
      <c r="D735" t="str">
        <f>Graph_Ortho!$L$6</f>
        <v>USU20</v>
      </c>
      <c r="E735" t="str">
        <f t="shared" si="11"/>
        <v>Orthopedics USU20</v>
      </c>
      <c r="F735">
        <f>Graph_Ortho!$A20</f>
        <v>2026</v>
      </c>
      <c r="G735">
        <f>Graph_Ortho!$B20</f>
        <v>14</v>
      </c>
      <c r="H735" s="165">
        <f>Graph_Ortho!$L20</f>
        <v>768281.88741084014</v>
      </c>
      <c r="I735" s="160">
        <f>InputData!$C$3</f>
        <v>0.02</v>
      </c>
      <c r="J735" s="160">
        <f>InputData!$C$4</f>
        <v>0.01</v>
      </c>
      <c r="K735" s="160">
        <f>InputData!$C$5</f>
        <v>0.01</v>
      </c>
      <c r="L735" s="160">
        <f>InputData!$C$6</f>
        <v>6.2100000000000002E-2</v>
      </c>
      <c r="M735" s="160">
        <f>InputData!$C$7</f>
        <v>0.03</v>
      </c>
      <c r="N735" s="160">
        <f>InputData!$C$8</f>
        <v>0.02</v>
      </c>
      <c r="O735" s="160">
        <f>InputData!$C$9</f>
        <v>0.06</v>
      </c>
      <c r="P735" s="160">
        <f>InputData!$C$10</f>
        <v>0.02</v>
      </c>
      <c r="Q735" s="160">
        <f>InputData!$C$11</f>
        <v>0.02</v>
      </c>
      <c r="R735" s="160">
        <f>InputData!$C$12</f>
        <v>0.02</v>
      </c>
      <c r="S735" s="160">
        <f>InputData!$C$13</f>
        <v>0.9</v>
      </c>
      <c r="T735" s="116">
        <f>InputData!$C$88</f>
        <v>180000</v>
      </c>
      <c r="U735" s="116">
        <f>InputData!$C$81</f>
        <v>178500</v>
      </c>
      <c r="V735" s="116">
        <f>InputData!$C$82</f>
        <v>303960</v>
      </c>
      <c r="W735" s="116">
        <f>InputData!$C$84</f>
        <v>215220</v>
      </c>
      <c r="X735" s="116">
        <f>InputData!$C$85</f>
        <v>409020</v>
      </c>
      <c r="Y735" s="116">
        <f>InputData!$C$116</f>
        <v>140000</v>
      </c>
      <c r="Z735" s="160">
        <f>InputData!$E$13</f>
        <v>0</v>
      </c>
    </row>
    <row r="736" spans="1:26" x14ac:dyDescent="0.25">
      <c r="A736">
        <f>InputData!$K$1</f>
        <v>2013</v>
      </c>
      <c r="B736" t="str">
        <f>InputData!$G$1</f>
        <v>San Antonio, TX</v>
      </c>
      <c r="C736" t="s">
        <v>177</v>
      </c>
      <c r="D736" t="str">
        <f>Graph_Ortho!$L$6</f>
        <v>USU20</v>
      </c>
      <c r="E736" t="str">
        <f t="shared" si="11"/>
        <v>Orthopedics USU20</v>
      </c>
      <c r="F736">
        <f>Graph_Ortho!$A21</f>
        <v>2027</v>
      </c>
      <c r="G736">
        <f>Graph_Ortho!$B21</f>
        <v>15</v>
      </c>
      <c r="H736" s="165">
        <f>Graph_Ortho!$L21</f>
        <v>826352.17485501105</v>
      </c>
      <c r="I736" s="160">
        <f>InputData!$C$3</f>
        <v>0.02</v>
      </c>
      <c r="J736" s="160">
        <f>InputData!$C$4</f>
        <v>0.01</v>
      </c>
      <c r="K736" s="160">
        <f>InputData!$C$5</f>
        <v>0.01</v>
      </c>
      <c r="L736" s="160">
        <f>InputData!$C$6</f>
        <v>6.2100000000000002E-2</v>
      </c>
      <c r="M736" s="160">
        <f>InputData!$C$7</f>
        <v>0.03</v>
      </c>
      <c r="N736" s="160">
        <f>InputData!$C$8</f>
        <v>0.02</v>
      </c>
      <c r="O736" s="160">
        <f>InputData!$C$9</f>
        <v>0.06</v>
      </c>
      <c r="P736" s="160">
        <f>InputData!$C$10</f>
        <v>0.02</v>
      </c>
      <c r="Q736" s="160">
        <f>InputData!$C$11</f>
        <v>0.02</v>
      </c>
      <c r="R736" s="160">
        <f>InputData!$C$12</f>
        <v>0.02</v>
      </c>
      <c r="S736" s="160">
        <f>InputData!$C$13</f>
        <v>0.9</v>
      </c>
      <c r="T736" s="116">
        <f>InputData!$C$88</f>
        <v>180000</v>
      </c>
      <c r="U736" s="116">
        <f>InputData!$C$81</f>
        <v>178500</v>
      </c>
      <c r="V736" s="116">
        <f>InputData!$C$82</f>
        <v>303960</v>
      </c>
      <c r="W736" s="116">
        <f>InputData!$C$84</f>
        <v>215220</v>
      </c>
      <c r="X736" s="116">
        <f>InputData!$C$85</f>
        <v>409020</v>
      </c>
      <c r="Y736" s="116">
        <f>InputData!$C$116</f>
        <v>140000</v>
      </c>
      <c r="Z736" s="160">
        <f>InputData!$E$13</f>
        <v>0</v>
      </c>
    </row>
    <row r="737" spans="1:26" x14ac:dyDescent="0.25">
      <c r="A737">
        <f>InputData!$K$1</f>
        <v>2013</v>
      </c>
      <c r="B737" t="str">
        <f>InputData!$G$1</f>
        <v>San Antonio, TX</v>
      </c>
      <c r="C737" t="s">
        <v>177</v>
      </c>
      <c r="D737" t="str">
        <f>Graph_Ortho!$L$6</f>
        <v>USU20</v>
      </c>
      <c r="E737" t="str">
        <f t="shared" si="11"/>
        <v>Orthopedics USU20</v>
      </c>
      <c r="F737">
        <f>Graph_Ortho!$A22</f>
        <v>2028</v>
      </c>
      <c r="G737">
        <f>Graph_Ortho!$B22</f>
        <v>16</v>
      </c>
      <c r="H737" s="165">
        <f>Graph_Ortho!$L22</f>
        <v>882219.71152208454</v>
      </c>
      <c r="I737" s="160">
        <f>InputData!$C$3</f>
        <v>0.02</v>
      </c>
      <c r="J737" s="160">
        <f>InputData!$C$4</f>
        <v>0.01</v>
      </c>
      <c r="K737" s="160">
        <f>InputData!$C$5</f>
        <v>0.01</v>
      </c>
      <c r="L737" s="160">
        <f>InputData!$C$6</f>
        <v>6.2100000000000002E-2</v>
      </c>
      <c r="M737" s="160">
        <f>InputData!$C$7</f>
        <v>0.03</v>
      </c>
      <c r="N737" s="160">
        <f>InputData!$C$8</f>
        <v>0.02</v>
      </c>
      <c r="O737" s="160">
        <f>InputData!$C$9</f>
        <v>0.06</v>
      </c>
      <c r="P737" s="160">
        <f>InputData!$C$10</f>
        <v>0.02</v>
      </c>
      <c r="Q737" s="160">
        <f>InputData!$C$11</f>
        <v>0.02</v>
      </c>
      <c r="R737" s="160">
        <f>InputData!$C$12</f>
        <v>0.02</v>
      </c>
      <c r="S737" s="160">
        <f>InputData!$C$13</f>
        <v>0.9</v>
      </c>
      <c r="T737" s="116">
        <f>InputData!$C$88</f>
        <v>180000</v>
      </c>
      <c r="U737" s="116">
        <f>InputData!$C$81</f>
        <v>178500</v>
      </c>
      <c r="V737" s="116">
        <f>InputData!$C$82</f>
        <v>303960</v>
      </c>
      <c r="W737" s="116">
        <f>InputData!$C$84</f>
        <v>215220</v>
      </c>
      <c r="X737" s="116">
        <f>InputData!$C$85</f>
        <v>409020</v>
      </c>
      <c r="Y737" s="116">
        <f>InputData!$C$116</f>
        <v>140000</v>
      </c>
      <c r="Z737" s="160">
        <f>InputData!$E$13</f>
        <v>0</v>
      </c>
    </row>
    <row r="738" spans="1:26" x14ac:dyDescent="0.25">
      <c r="A738">
        <f>InputData!$K$1</f>
        <v>2013</v>
      </c>
      <c r="B738" t="str">
        <f>InputData!$G$1</f>
        <v>San Antonio, TX</v>
      </c>
      <c r="C738" t="s">
        <v>177</v>
      </c>
      <c r="D738" t="str">
        <f>Graph_Ortho!$L$6</f>
        <v>USU20</v>
      </c>
      <c r="E738" t="str">
        <f t="shared" si="11"/>
        <v>Orthopedics USU20</v>
      </c>
      <c r="F738">
        <f>Graph_Ortho!$A23</f>
        <v>2029</v>
      </c>
      <c r="G738">
        <f>Graph_Ortho!$B23</f>
        <v>17</v>
      </c>
      <c r="H738" s="165">
        <f>Graph_Ortho!$L23</f>
        <v>974779.41682908288</v>
      </c>
      <c r="I738" s="160">
        <f>InputData!$C$3</f>
        <v>0.02</v>
      </c>
      <c r="J738" s="160">
        <f>InputData!$C$4</f>
        <v>0.01</v>
      </c>
      <c r="K738" s="160">
        <f>InputData!$C$5</f>
        <v>0.01</v>
      </c>
      <c r="L738" s="160">
        <f>InputData!$C$6</f>
        <v>6.2100000000000002E-2</v>
      </c>
      <c r="M738" s="160">
        <f>InputData!$C$7</f>
        <v>0.03</v>
      </c>
      <c r="N738" s="160">
        <f>InputData!$C$8</f>
        <v>0.02</v>
      </c>
      <c r="O738" s="160">
        <f>InputData!$C$9</f>
        <v>0.06</v>
      </c>
      <c r="P738" s="160">
        <f>InputData!$C$10</f>
        <v>0.02</v>
      </c>
      <c r="Q738" s="160">
        <f>InputData!$C$11</f>
        <v>0.02</v>
      </c>
      <c r="R738" s="160">
        <f>InputData!$C$12</f>
        <v>0.02</v>
      </c>
      <c r="S738" s="160">
        <f>InputData!$C$13</f>
        <v>0.9</v>
      </c>
      <c r="T738" s="116">
        <f>InputData!$C$88</f>
        <v>180000</v>
      </c>
      <c r="U738" s="116">
        <f>InputData!$C$81</f>
        <v>178500</v>
      </c>
      <c r="V738" s="116">
        <f>InputData!$C$82</f>
        <v>303960</v>
      </c>
      <c r="W738" s="116">
        <f>InputData!$C$84</f>
        <v>215220</v>
      </c>
      <c r="X738" s="116">
        <f>InputData!$C$85</f>
        <v>409020</v>
      </c>
      <c r="Y738" s="116">
        <f>InputData!$C$116</f>
        <v>140000</v>
      </c>
      <c r="Z738" s="160">
        <f>InputData!$E$13</f>
        <v>0</v>
      </c>
    </row>
    <row r="739" spans="1:26" x14ac:dyDescent="0.25">
      <c r="A739">
        <f>InputData!$K$1</f>
        <v>2013</v>
      </c>
      <c r="B739" t="str">
        <f>InputData!$G$1</f>
        <v>San Antonio, TX</v>
      </c>
      <c r="C739" t="s">
        <v>177</v>
      </c>
      <c r="D739" t="str">
        <f>Graph_Ortho!$L$6</f>
        <v>USU20</v>
      </c>
      <c r="E739" t="str">
        <f t="shared" si="11"/>
        <v>Orthopedics USU20</v>
      </c>
      <c r="F739">
        <f>Graph_Ortho!$A24</f>
        <v>2030</v>
      </c>
      <c r="G739">
        <f>Graph_Ortho!$B24</f>
        <v>18</v>
      </c>
      <c r="H739" s="165">
        <f>Graph_Ortho!$L24</f>
        <v>1063770.2894446102</v>
      </c>
      <c r="I739" s="160">
        <f>InputData!$C$3</f>
        <v>0.02</v>
      </c>
      <c r="J739" s="160">
        <f>InputData!$C$4</f>
        <v>0.01</v>
      </c>
      <c r="K739" s="160">
        <f>InputData!$C$5</f>
        <v>0.01</v>
      </c>
      <c r="L739" s="160">
        <f>InputData!$C$6</f>
        <v>6.2100000000000002E-2</v>
      </c>
      <c r="M739" s="160">
        <f>InputData!$C$7</f>
        <v>0.03</v>
      </c>
      <c r="N739" s="160">
        <f>InputData!$C$8</f>
        <v>0.02</v>
      </c>
      <c r="O739" s="160">
        <f>InputData!$C$9</f>
        <v>0.06</v>
      </c>
      <c r="P739" s="160">
        <f>InputData!$C$10</f>
        <v>0.02</v>
      </c>
      <c r="Q739" s="160">
        <f>InputData!$C$11</f>
        <v>0.02</v>
      </c>
      <c r="R739" s="160">
        <f>InputData!$C$12</f>
        <v>0.02</v>
      </c>
      <c r="S739" s="160">
        <f>InputData!$C$13</f>
        <v>0.9</v>
      </c>
      <c r="T739" s="116">
        <f>InputData!$C$88</f>
        <v>180000</v>
      </c>
      <c r="U739" s="116">
        <f>InputData!$C$81</f>
        <v>178500</v>
      </c>
      <c r="V739" s="116">
        <f>InputData!$C$82</f>
        <v>303960</v>
      </c>
      <c r="W739" s="116">
        <f>InputData!$C$84</f>
        <v>215220</v>
      </c>
      <c r="X739" s="116">
        <f>InputData!$C$85</f>
        <v>409020</v>
      </c>
      <c r="Y739" s="116">
        <f>InputData!$C$116</f>
        <v>140000</v>
      </c>
      <c r="Z739" s="160">
        <f>InputData!$E$13</f>
        <v>0</v>
      </c>
    </row>
    <row r="740" spans="1:26" x14ac:dyDescent="0.25">
      <c r="A740">
        <f>InputData!$K$1</f>
        <v>2013</v>
      </c>
      <c r="B740" t="str">
        <f>InputData!$G$1</f>
        <v>San Antonio, TX</v>
      </c>
      <c r="C740" t="s">
        <v>177</v>
      </c>
      <c r="D740" t="str">
        <f>Graph_Ortho!$L$6</f>
        <v>USU20</v>
      </c>
      <c r="E740" t="str">
        <f t="shared" si="11"/>
        <v>Orthopedics USU20</v>
      </c>
      <c r="F740">
        <f>Graph_Ortho!$A25</f>
        <v>2031</v>
      </c>
      <c r="G740">
        <f>Graph_Ortho!$B25</f>
        <v>19</v>
      </c>
      <c r="H740" s="165">
        <f>Graph_Ortho!$L25</f>
        <v>1150608.1740209903</v>
      </c>
      <c r="I740" s="160">
        <f>InputData!$C$3</f>
        <v>0.02</v>
      </c>
      <c r="J740" s="160">
        <f>InputData!$C$4</f>
        <v>0.01</v>
      </c>
      <c r="K740" s="160">
        <f>InputData!$C$5</f>
        <v>0.01</v>
      </c>
      <c r="L740" s="160">
        <f>InputData!$C$6</f>
        <v>6.2100000000000002E-2</v>
      </c>
      <c r="M740" s="160">
        <f>InputData!$C$7</f>
        <v>0.03</v>
      </c>
      <c r="N740" s="160">
        <f>InputData!$C$8</f>
        <v>0.02</v>
      </c>
      <c r="O740" s="160">
        <f>InputData!$C$9</f>
        <v>0.06</v>
      </c>
      <c r="P740" s="160">
        <f>InputData!$C$10</f>
        <v>0.02</v>
      </c>
      <c r="Q740" s="160">
        <f>InputData!$C$11</f>
        <v>0.02</v>
      </c>
      <c r="R740" s="160">
        <f>InputData!$C$12</f>
        <v>0.02</v>
      </c>
      <c r="S740" s="160">
        <f>InputData!$C$13</f>
        <v>0.9</v>
      </c>
      <c r="T740" s="116">
        <f>InputData!$C$88</f>
        <v>180000</v>
      </c>
      <c r="U740" s="116">
        <f>InputData!$C$81</f>
        <v>178500</v>
      </c>
      <c r="V740" s="116">
        <f>InputData!$C$82</f>
        <v>303960</v>
      </c>
      <c r="W740" s="116">
        <f>InputData!$C$84</f>
        <v>215220</v>
      </c>
      <c r="X740" s="116">
        <f>InputData!$C$85</f>
        <v>409020</v>
      </c>
      <c r="Y740" s="116">
        <f>InputData!$C$116</f>
        <v>140000</v>
      </c>
      <c r="Z740" s="160">
        <f>InputData!$E$13</f>
        <v>0</v>
      </c>
    </row>
    <row r="741" spans="1:26" x14ac:dyDescent="0.25">
      <c r="A741">
        <f>InputData!$K$1</f>
        <v>2013</v>
      </c>
      <c r="B741" t="str">
        <f>InputData!$G$1</f>
        <v>San Antonio, TX</v>
      </c>
      <c r="C741" t="s">
        <v>177</v>
      </c>
      <c r="D741" t="str">
        <f>Graph_Ortho!$L$6</f>
        <v>USU20</v>
      </c>
      <c r="E741" t="str">
        <f t="shared" si="11"/>
        <v>Orthopedics USU20</v>
      </c>
      <c r="F741">
        <f>Graph_Ortho!$A26</f>
        <v>2032</v>
      </c>
      <c r="G741">
        <f>Graph_Ortho!$B26</f>
        <v>20</v>
      </c>
      <c r="H741" s="165">
        <f>Graph_Ortho!$L26</f>
        <v>1234097.8783941285</v>
      </c>
      <c r="I741" s="160">
        <f>InputData!$C$3</f>
        <v>0.02</v>
      </c>
      <c r="J741" s="160">
        <f>InputData!$C$4</f>
        <v>0.01</v>
      </c>
      <c r="K741" s="160">
        <f>InputData!$C$5</f>
        <v>0.01</v>
      </c>
      <c r="L741" s="160">
        <f>InputData!$C$6</f>
        <v>6.2100000000000002E-2</v>
      </c>
      <c r="M741" s="160">
        <f>InputData!$C$7</f>
        <v>0.03</v>
      </c>
      <c r="N741" s="160">
        <f>InputData!$C$8</f>
        <v>0.02</v>
      </c>
      <c r="O741" s="160">
        <f>InputData!$C$9</f>
        <v>0.06</v>
      </c>
      <c r="P741" s="160">
        <f>InputData!$C$10</f>
        <v>0.02</v>
      </c>
      <c r="Q741" s="160">
        <f>InputData!$C$11</f>
        <v>0.02</v>
      </c>
      <c r="R741" s="160">
        <f>InputData!$C$12</f>
        <v>0.02</v>
      </c>
      <c r="S741" s="160">
        <f>InputData!$C$13</f>
        <v>0.9</v>
      </c>
      <c r="T741" s="116">
        <f>InputData!$C$88</f>
        <v>180000</v>
      </c>
      <c r="U741" s="116">
        <f>InputData!$C$81</f>
        <v>178500</v>
      </c>
      <c r="V741" s="116">
        <f>InputData!$C$82</f>
        <v>303960</v>
      </c>
      <c r="W741" s="116">
        <f>InputData!$C$84</f>
        <v>215220</v>
      </c>
      <c r="X741" s="116">
        <f>InputData!$C$85</f>
        <v>409020</v>
      </c>
      <c r="Y741" s="116">
        <f>InputData!$C$116</f>
        <v>140000</v>
      </c>
      <c r="Z741" s="160">
        <f>InputData!$E$13</f>
        <v>0</v>
      </c>
    </row>
    <row r="742" spans="1:26" x14ac:dyDescent="0.25">
      <c r="A742">
        <f>InputData!$K$1</f>
        <v>2013</v>
      </c>
      <c r="B742" t="str">
        <f>InputData!$G$1</f>
        <v>San Antonio, TX</v>
      </c>
      <c r="C742" t="s">
        <v>177</v>
      </c>
      <c r="D742" t="str">
        <f>Graph_Ortho!$L$6</f>
        <v>USU20</v>
      </c>
      <c r="E742" t="str">
        <f t="shared" si="11"/>
        <v>Orthopedics USU20</v>
      </c>
      <c r="F742">
        <f>Graph_Ortho!$A27</f>
        <v>2033</v>
      </c>
      <c r="G742">
        <f>Graph_Ortho!$B27</f>
        <v>21</v>
      </c>
      <c r="H742" s="165">
        <f>Graph_Ortho!$L27</f>
        <v>1316176.8706719119</v>
      </c>
      <c r="I742" s="160">
        <f>InputData!$C$3</f>
        <v>0.02</v>
      </c>
      <c r="J742" s="160">
        <f>InputData!$C$4</f>
        <v>0.01</v>
      </c>
      <c r="K742" s="160">
        <f>InputData!$C$5</f>
        <v>0.01</v>
      </c>
      <c r="L742" s="160">
        <f>InputData!$C$6</f>
        <v>6.2100000000000002E-2</v>
      </c>
      <c r="M742" s="160">
        <f>InputData!$C$7</f>
        <v>0.03</v>
      </c>
      <c r="N742" s="160">
        <f>InputData!$C$8</f>
        <v>0.02</v>
      </c>
      <c r="O742" s="160">
        <f>InputData!$C$9</f>
        <v>0.06</v>
      </c>
      <c r="P742" s="160">
        <f>InputData!$C$10</f>
        <v>0.02</v>
      </c>
      <c r="Q742" s="160">
        <f>InputData!$C$11</f>
        <v>0.02</v>
      </c>
      <c r="R742" s="160">
        <f>InputData!$C$12</f>
        <v>0.02</v>
      </c>
      <c r="S742" s="160">
        <f>InputData!$C$13</f>
        <v>0.9</v>
      </c>
      <c r="T742" s="116">
        <f>InputData!$C$88</f>
        <v>180000</v>
      </c>
      <c r="U742" s="116">
        <f>InputData!$C$81</f>
        <v>178500</v>
      </c>
      <c r="V742" s="116">
        <f>InputData!$C$82</f>
        <v>303960</v>
      </c>
      <c r="W742" s="116">
        <f>InputData!$C$84</f>
        <v>215220</v>
      </c>
      <c r="X742" s="116">
        <f>InputData!$C$85</f>
        <v>409020</v>
      </c>
      <c r="Y742" s="116">
        <f>InputData!$C$116</f>
        <v>140000</v>
      </c>
      <c r="Z742" s="160">
        <f>InputData!$E$13</f>
        <v>0</v>
      </c>
    </row>
    <row r="743" spans="1:26" x14ac:dyDescent="0.25">
      <c r="A743">
        <f>InputData!$K$1</f>
        <v>2013</v>
      </c>
      <c r="B743" t="str">
        <f>InputData!$G$1</f>
        <v>San Antonio, TX</v>
      </c>
      <c r="C743" t="s">
        <v>177</v>
      </c>
      <c r="D743" t="str">
        <f>Graph_Ortho!$L$6</f>
        <v>USU20</v>
      </c>
      <c r="E743" t="str">
        <f t="shared" si="11"/>
        <v>Orthopedics USU20</v>
      </c>
      <c r="F743">
        <f>Graph_Ortho!$A28</f>
        <v>2034</v>
      </c>
      <c r="G743">
        <f>Graph_Ortho!$B28</f>
        <v>22</v>
      </c>
      <c r="H743" s="165">
        <f>Graph_Ortho!$L28</f>
        <v>1395091.1499527714</v>
      </c>
      <c r="I743" s="160">
        <f>InputData!$C$3</f>
        <v>0.02</v>
      </c>
      <c r="J743" s="160">
        <f>InputData!$C$4</f>
        <v>0.01</v>
      </c>
      <c r="K743" s="160">
        <f>InputData!$C$5</f>
        <v>0.01</v>
      </c>
      <c r="L743" s="160">
        <f>InputData!$C$6</f>
        <v>6.2100000000000002E-2</v>
      </c>
      <c r="M743" s="160">
        <f>InputData!$C$7</f>
        <v>0.03</v>
      </c>
      <c r="N743" s="160">
        <f>InputData!$C$8</f>
        <v>0.02</v>
      </c>
      <c r="O743" s="160">
        <f>InputData!$C$9</f>
        <v>0.06</v>
      </c>
      <c r="P743" s="160">
        <f>InputData!$C$10</f>
        <v>0.02</v>
      </c>
      <c r="Q743" s="160">
        <f>InputData!$C$11</f>
        <v>0.02</v>
      </c>
      <c r="R743" s="160">
        <f>InputData!$C$12</f>
        <v>0.02</v>
      </c>
      <c r="S743" s="160">
        <f>InputData!$C$13</f>
        <v>0.9</v>
      </c>
      <c r="T743" s="116">
        <f>InputData!$C$88</f>
        <v>180000</v>
      </c>
      <c r="U743" s="116">
        <f>InputData!$C$81</f>
        <v>178500</v>
      </c>
      <c r="V743" s="116">
        <f>InputData!$C$82</f>
        <v>303960</v>
      </c>
      <c r="W743" s="116">
        <f>InputData!$C$84</f>
        <v>215220</v>
      </c>
      <c r="X743" s="116">
        <f>InputData!$C$85</f>
        <v>409020</v>
      </c>
      <c r="Y743" s="116">
        <f>InputData!$C$116</f>
        <v>140000</v>
      </c>
      <c r="Z743" s="160">
        <f>InputData!$E$13</f>
        <v>0</v>
      </c>
    </row>
    <row r="744" spans="1:26" x14ac:dyDescent="0.25">
      <c r="A744">
        <f>InputData!$K$1</f>
        <v>2013</v>
      </c>
      <c r="B744" t="str">
        <f>InputData!$G$1</f>
        <v>San Antonio, TX</v>
      </c>
      <c r="C744" t="s">
        <v>177</v>
      </c>
      <c r="D744" t="str">
        <f>Graph_Ortho!$L$6</f>
        <v>USU20</v>
      </c>
      <c r="E744" t="str">
        <f t="shared" si="11"/>
        <v>Orthopedics USU20</v>
      </c>
      <c r="F744">
        <f>Graph_Ortho!$A29</f>
        <v>2035</v>
      </c>
      <c r="G744">
        <f>Graph_Ortho!$B29</f>
        <v>23</v>
      </c>
      <c r="H744" s="165">
        <f>Graph_Ortho!$L29</f>
        <v>1475405.5243788979</v>
      </c>
      <c r="I744" s="160">
        <f>InputData!$C$3</f>
        <v>0.02</v>
      </c>
      <c r="J744" s="160">
        <f>InputData!$C$4</f>
        <v>0.01</v>
      </c>
      <c r="K744" s="160">
        <f>InputData!$C$5</f>
        <v>0.01</v>
      </c>
      <c r="L744" s="160">
        <f>InputData!$C$6</f>
        <v>6.2100000000000002E-2</v>
      </c>
      <c r="M744" s="160">
        <f>InputData!$C$7</f>
        <v>0.03</v>
      </c>
      <c r="N744" s="160">
        <f>InputData!$C$8</f>
        <v>0.02</v>
      </c>
      <c r="O744" s="160">
        <f>InputData!$C$9</f>
        <v>0.06</v>
      </c>
      <c r="P744" s="160">
        <f>InputData!$C$10</f>
        <v>0.02</v>
      </c>
      <c r="Q744" s="160">
        <f>InputData!$C$11</f>
        <v>0.02</v>
      </c>
      <c r="R744" s="160">
        <f>InputData!$C$12</f>
        <v>0.02</v>
      </c>
      <c r="S744" s="160">
        <f>InputData!$C$13</f>
        <v>0.9</v>
      </c>
      <c r="T744" s="116">
        <f>InputData!$C$88</f>
        <v>180000</v>
      </c>
      <c r="U744" s="116">
        <f>InputData!$C$81</f>
        <v>178500</v>
      </c>
      <c r="V744" s="116">
        <f>InputData!$C$82</f>
        <v>303960</v>
      </c>
      <c r="W744" s="116">
        <f>InputData!$C$84</f>
        <v>215220</v>
      </c>
      <c r="X744" s="116">
        <f>InputData!$C$85</f>
        <v>409020</v>
      </c>
      <c r="Y744" s="116">
        <f>InputData!$C$116</f>
        <v>140000</v>
      </c>
      <c r="Z744" s="160">
        <f>InputData!$E$13</f>
        <v>0</v>
      </c>
    </row>
    <row r="745" spans="1:26" x14ac:dyDescent="0.25">
      <c r="A745">
        <f>InputData!$K$1</f>
        <v>2013</v>
      </c>
      <c r="B745" t="str">
        <f>InputData!$G$1</f>
        <v>San Antonio, TX</v>
      </c>
      <c r="C745" t="s">
        <v>177</v>
      </c>
      <c r="D745" t="str">
        <f>Graph_Ortho!$L$6</f>
        <v>USU20</v>
      </c>
      <c r="E745" t="str">
        <f t="shared" si="11"/>
        <v>Orthopedics USU20</v>
      </c>
      <c r="F745">
        <f>Graph_Ortho!$A30</f>
        <v>2036</v>
      </c>
      <c r="G745">
        <f>Graph_Ortho!$B30</f>
        <v>24</v>
      </c>
      <c r="H745" s="165">
        <f>Graph_Ortho!$L30</f>
        <v>1552669.9961114028</v>
      </c>
      <c r="I745" s="160">
        <f>InputData!$C$3</f>
        <v>0.02</v>
      </c>
      <c r="J745" s="160">
        <f>InputData!$C$4</f>
        <v>0.01</v>
      </c>
      <c r="K745" s="160">
        <f>InputData!$C$5</f>
        <v>0.01</v>
      </c>
      <c r="L745" s="160">
        <f>InputData!$C$6</f>
        <v>6.2100000000000002E-2</v>
      </c>
      <c r="M745" s="160">
        <f>InputData!$C$7</f>
        <v>0.03</v>
      </c>
      <c r="N745" s="160">
        <f>InputData!$C$8</f>
        <v>0.02</v>
      </c>
      <c r="O745" s="160">
        <f>InputData!$C$9</f>
        <v>0.06</v>
      </c>
      <c r="P745" s="160">
        <f>InputData!$C$10</f>
        <v>0.02</v>
      </c>
      <c r="Q745" s="160">
        <f>InputData!$C$11</f>
        <v>0.02</v>
      </c>
      <c r="R745" s="160">
        <f>InputData!$C$12</f>
        <v>0.02</v>
      </c>
      <c r="S745" s="160">
        <f>InputData!$C$13</f>
        <v>0.9</v>
      </c>
      <c r="T745" s="116">
        <f>InputData!$C$88</f>
        <v>180000</v>
      </c>
      <c r="U745" s="116">
        <f>InputData!$C$81</f>
        <v>178500</v>
      </c>
      <c r="V745" s="116">
        <f>InputData!$C$82</f>
        <v>303960</v>
      </c>
      <c r="W745" s="116">
        <f>InputData!$C$84</f>
        <v>215220</v>
      </c>
      <c r="X745" s="116">
        <f>InputData!$C$85</f>
        <v>409020</v>
      </c>
      <c r="Y745" s="116">
        <f>InputData!$C$116</f>
        <v>140000</v>
      </c>
      <c r="Z745" s="160">
        <f>InputData!$E$13</f>
        <v>0</v>
      </c>
    </row>
    <row r="746" spans="1:26" x14ac:dyDescent="0.25">
      <c r="A746">
        <f>InputData!$K$1</f>
        <v>2013</v>
      </c>
      <c r="B746" t="str">
        <f>InputData!$G$1</f>
        <v>San Antonio, TX</v>
      </c>
      <c r="C746" t="s">
        <v>177</v>
      </c>
      <c r="D746" t="str">
        <f>Graph_Ortho!$L$6</f>
        <v>USU20</v>
      </c>
      <c r="E746" t="str">
        <f t="shared" si="11"/>
        <v>Orthopedics USU20</v>
      </c>
      <c r="F746">
        <f>Graph_Ortho!$A31</f>
        <v>2037</v>
      </c>
      <c r="G746">
        <f>Graph_Ortho!$B31</f>
        <v>25</v>
      </c>
      <c r="H746" s="165">
        <f>Graph_Ortho!$L31</f>
        <v>1705481.9991630497</v>
      </c>
      <c r="I746" s="160">
        <f>InputData!$C$3</f>
        <v>0.02</v>
      </c>
      <c r="J746" s="160">
        <f>InputData!$C$4</f>
        <v>0.01</v>
      </c>
      <c r="K746" s="160">
        <f>InputData!$C$5</f>
        <v>0.01</v>
      </c>
      <c r="L746" s="160">
        <f>InputData!$C$6</f>
        <v>6.2100000000000002E-2</v>
      </c>
      <c r="M746" s="160">
        <f>InputData!$C$7</f>
        <v>0.03</v>
      </c>
      <c r="N746" s="160">
        <f>InputData!$C$8</f>
        <v>0.02</v>
      </c>
      <c r="O746" s="160">
        <f>InputData!$C$9</f>
        <v>0.06</v>
      </c>
      <c r="P746" s="160">
        <f>InputData!$C$10</f>
        <v>0.02</v>
      </c>
      <c r="Q746" s="160">
        <f>InputData!$C$11</f>
        <v>0.02</v>
      </c>
      <c r="R746" s="160">
        <f>InputData!$C$12</f>
        <v>0.02</v>
      </c>
      <c r="S746" s="160">
        <f>InputData!$C$13</f>
        <v>0.9</v>
      </c>
      <c r="T746" s="116">
        <f>InputData!$C$88</f>
        <v>180000</v>
      </c>
      <c r="U746" s="116">
        <f>InputData!$C$81</f>
        <v>178500</v>
      </c>
      <c r="V746" s="116">
        <f>InputData!$C$82</f>
        <v>303960</v>
      </c>
      <c r="W746" s="116">
        <f>InputData!$C$84</f>
        <v>215220</v>
      </c>
      <c r="X746" s="116">
        <f>InputData!$C$85</f>
        <v>409020</v>
      </c>
      <c r="Y746" s="116">
        <f>InputData!$C$116</f>
        <v>140000</v>
      </c>
      <c r="Z746" s="160">
        <f>InputData!$E$13</f>
        <v>0</v>
      </c>
    </row>
    <row r="747" spans="1:26" x14ac:dyDescent="0.25">
      <c r="A747">
        <f>InputData!$K$1</f>
        <v>2013</v>
      </c>
      <c r="B747" t="str">
        <f>InputData!$G$1</f>
        <v>San Antonio, TX</v>
      </c>
      <c r="C747" t="s">
        <v>177</v>
      </c>
      <c r="D747" t="str">
        <f>Graph_Ortho!$L$6</f>
        <v>USU20</v>
      </c>
      <c r="E747" t="str">
        <f t="shared" si="11"/>
        <v>Orthopedics USU20</v>
      </c>
      <c r="F747">
        <f>Graph_Ortho!$A32</f>
        <v>2038</v>
      </c>
      <c r="G747">
        <f>Graph_Ortho!$B32</f>
        <v>26</v>
      </c>
      <c r="H747" s="165">
        <f>Graph_Ortho!$L32</f>
        <v>1854894.3558943362</v>
      </c>
      <c r="I747" s="160">
        <f>InputData!$C$3</f>
        <v>0.02</v>
      </c>
      <c r="J747" s="160">
        <f>InputData!$C$4</f>
        <v>0.01</v>
      </c>
      <c r="K747" s="160">
        <f>InputData!$C$5</f>
        <v>0.01</v>
      </c>
      <c r="L747" s="160">
        <f>InputData!$C$6</f>
        <v>6.2100000000000002E-2</v>
      </c>
      <c r="M747" s="160">
        <f>InputData!$C$7</f>
        <v>0.03</v>
      </c>
      <c r="N747" s="160">
        <f>InputData!$C$8</f>
        <v>0.02</v>
      </c>
      <c r="O747" s="160">
        <f>InputData!$C$9</f>
        <v>0.06</v>
      </c>
      <c r="P747" s="160">
        <f>InputData!$C$10</f>
        <v>0.02</v>
      </c>
      <c r="Q747" s="160">
        <f>InputData!$C$11</f>
        <v>0.02</v>
      </c>
      <c r="R747" s="160">
        <f>InputData!$C$12</f>
        <v>0.02</v>
      </c>
      <c r="S747" s="160">
        <f>InputData!$C$13</f>
        <v>0.9</v>
      </c>
      <c r="T747" s="116">
        <f>InputData!$C$88</f>
        <v>180000</v>
      </c>
      <c r="U747" s="116">
        <f>InputData!$C$81</f>
        <v>178500</v>
      </c>
      <c r="V747" s="116">
        <f>InputData!$C$82</f>
        <v>303960</v>
      </c>
      <c r="W747" s="116">
        <f>InputData!$C$84</f>
        <v>215220</v>
      </c>
      <c r="X747" s="116">
        <f>InputData!$C$85</f>
        <v>409020</v>
      </c>
      <c r="Y747" s="116">
        <f>InputData!$C$116</f>
        <v>140000</v>
      </c>
      <c r="Z747" s="160">
        <f>InputData!$E$13</f>
        <v>0</v>
      </c>
    </row>
    <row r="748" spans="1:26" x14ac:dyDescent="0.25">
      <c r="A748">
        <f>InputData!$K$1</f>
        <v>2013</v>
      </c>
      <c r="B748" t="str">
        <f>InputData!$G$1</f>
        <v>San Antonio, TX</v>
      </c>
      <c r="C748" t="s">
        <v>177</v>
      </c>
      <c r="D748" t="str">
        <f>Graph_Ortho!$L$6</f>
        <v>USU20</v>
      </c>
      <c r="E748" t="str">
        <f t="shared" si="11"/>
        <v>Orthopedics USU20</v>
      </c>
      <c r="F748">
        <f>Graph_Ortho!$A33</f>
        <v>2039</v>
      </c>
      <c r="G748">
        <f>Graph_Ortho!$B33</f>
        <v>27</v>
      </c>
      <c r="H748" s="165">
        <f>Graph_Ortho!$L33</f>
        <v>2000987.6367556402</v>
      </c>
      <c r="I748" s="160">
        <f>InputData!$C$3</f>
        <v>0.02</v>
      </c>
      <c r="J748" s="160">
        <f>InputData!$C$4</f>
        <v>0.01</v>
      </c>
      <c r="K748" s="160">
        <f>InputData!$C$5</f>
        <v>0.01</v>
      </c>
      <c r="L748" s="160">
        <f>InputData!$C$6</f>
        <v>6.2100000000000002E-2</v>
      </c>
      <c r="M748" s="160">
        <f>InputData!$C$7</f>
        <v>0.03</v>
      </c>
      <c r="N748" s="160">
        <f>InputData!$C$8</f>
        <v>0.02</v>
      </c>
      <c r="O748" s="160">
        <f>InputData!$C$9</f>
        <v>0.06</v>
      </c>
      <c r="P748" s="160">
        <f>InputData!$C$10</f>
        <v>0.02</v>
      </c>
      <c r="Q748" s="160">
        <f>InputData!$C$11</f>
        <v>0.02</v>
      </c>
      <c r="R748" s="160">
        <f>InputData!$C$12</f>
        <v>0.02</v>
      </c>
      <c r="S748" s="160">
        <f>InputData!$C$13</f>
        <v>0.9</v>
      </c>
      <c r="T748" s="116">
        <f>InputData!$C$88</f>
        <v>180000</v>
      </c>
      <c r="U748" s="116">
        <f>InputData!$C$81</f>
        <v>178500</v>
      </c>
      <c r="V748" s="116">
        <f>InputData!$C$82</f>
        <v>303960</v>
      </c>
      <c r="W748" s="116">
        <f>InputData!$C$84</f>
        <v>215220</v>
      </c>
      <c r="X748" s="116">
        <f>InputData!$C$85</f>
        <v>409020</v>
      </c>
      <c r="Y748" s="116">
        <f>InputData!$C$116</f>
        <v>140000</v>
      </c>
      <c r="Z748" s="160">
        <f>InputData!$E$13</f>
        <v>0</v>
      </c>
    </row>
    <row r="749" spans="1:26" x14ac:dyDescent="0.25">
      <c r="A749">
        <f>InputData!$K$1</f>
        <v>2013</v>
      </c>
      <c r="B749" t="str">
        <f>InputData!$G$1</f>
        <v>San Antonio, TX</v>
      </c>
      <c r="C749" t="s">
        <v>177</v>
      </c>
      <c r="D749" t="str">
        <f>Graph_Ortho!$L$6</f>
        <v>USU20</v>
      </c>
      <c r="E749" t="str">
        <f t="shared" si="11"/>
        <v>Orthopedics USU20</v>
      </c>
      <c r="F749">
        <f>Graph_Ortho!$A34</f>
        <v>2040</v>
      </c>
      <c r="G749">
        <f>Graph_Ortho!$B34</f>
        <v>28</v>
      </c>
      <c r="H749" s="165">
        <f>Graph_Ortho!$L34</f>
        <v>2143840.3436232582</v>
      </c>
      <c r="I749" s="160">
        <f>InputData!$C$3</f>
        <v>0.02</v>
      </c>
      <c r="J749" s="160">
        <f>InputData!$C$4</f>
        <v>0.01</v>
      </c>
      <c r="K749" s="160">
        <f>InputData!$C$5</f>
        <v>0.01</v>
      </c>
      <c r="L749" s="160">
        <f>InputData!$C$6</f>
        <v>6.2100000000000002E-2</v>
      </c>
      <c r="M749" s="160">
        <f>InputData!$C$7</f>
        <v>0.03</v>
      </c>
      <c r="N749" s="160">
        <f>InputData!$C$8</f>
        <v>0.02</v>
      </c>
      <c r="O749" s="160">
        <f>InputData!$C$9</f>
        <v>0.06</v>
      </c>
      <c r="P749" s="160">
        <f>InputData!$C$10</f>
        <v>0.02</v>
      </c>
      <c r="Q749" s="160">
        <f>InputData!$C$11</f>
        <v>0.02</v>
      </c>
      <c r="R749" s="160">
        <f>InputData!$C$12</f>
        <v>0.02</v>
      </c>
      <c r="S749" s="160">
        <f>InputData!$C$13</f>
        <v>0.9</v>
      </c>
      <c r="T749" s="116">
        <f>InputData!$C$88</f>
        <v>180000</v>
      </c>
      <c r="U749" s="116">
        <f>InputData!$C$81</f>
        <v>178500</v>
      </c>
      <c r="V749" s="116">
        <f>InputData!$C$82</f>
        <v>303960</v>
      </c>
      <c r="W749" s="116">
        <f>InputData!$C$84</f>
        <v>215220</v>
      </c>
      <c r="X749" s="116">
        <f>InputData!$C$85</f>
        <v>409020</v>
      </c>
      <c r="Y749" s="116">
        <f>InputData!$C$116</f>
        <v>140000</v>
      </c>
      <c r="Z749" s="160">
        <f>InputData!$E$13</f>
        <v>0</v>
      </c>
    </row>
    <row r="750" spans="1:26" x14ac:dyDescent="0.25">
      <c r="A750">
        <f>InputData!$K$1</f>
        <v>2013</v>
      </c>
      <c r="B750" t="str">
        <f>InputData!$G$1</f>
        <v>San Antonio, TX</v>
      </c>
      <c r="C750" t="s">
        <v>177</v>
      </c>
      <c r="D750" t="str">
        <f>Graph_Ortho!$L$6</f>
        <v>USU20</v>
      </c>
      <c r="E750" t="str">
        <f t="shared" si="11"/>
        <v>Orthopedics USU20</v>
      </c>
      <c r="F750">
        <f>Graph_Ortho!$A35</f>
        <v>2041</v>
      </c>
      <c r="G750">
        <f>Graph_Ortho!$B35</f>
        <v>29</v>
      </c>
      <c r="H750" s="165">
        <f>Graph_Ortho!$L35</f>
        <v>2283528.9678259324</v>
      </c>
      <c r="I750" s="160">
        <f>InputData!$C$3</f>
        <v>0.02</v>
      </c>
      <c r="J750" s="160">
        <f>InputData!$C$4</f>
        <v>0.01</v>
      </c>
      <c r="K750" s="160">
        <f>InputData!$C$5</f>
        <v>0.01</v>
      </c>
      <c r="L750" s="160">
        <f>InputData!$C$6</f>
        <v>6.2100000000000002E-2</v>
      </c>
      <c r="M750" s="160">
        <f>InputData!$C$7</f>
        <v>0.03</v>
      </c>
      <c r="N750" s="160">
        <f>InputData!$C$8</f>
        <v>0.02</v>
      </c>
      <c r="O750" s="160">
        <f>InputData!$C$9</f>
        <v>0.06</v>
      </c>
      <c r="P750" s="160">
        <f>InputData!$C$10</f>
        <v>0.02</v>
      </c>
      <c r="Q750" s="160">
        <f>InputData!$C$11</f>
        <v>0.02</v>
      </c>
      <c r="R750" s="160">
        <f>InputData!$C$12</f>
        <v>0.02</v>
      </c>
      <c r="S750" s="160">
        <f>InputData!$C$13</f>
        <v>0.9</v>
      </c>
      <c r="T750" s="116">
        <f>InputData!$C$88</f>
        <v>180000</v>
      </c>
      <c r="U750" s="116">
        <f>InputData!$C$81</f>
        <v>178500</v>
      </c>
      <c r="V750" s="116">
        <f>InputData!$C$82</f>
        <v>303960</v>
      </c>
      <c r="W750" s="116">
        <f>InputData!$C$84</f>
        <v>215220</v>
      </c>
      <c r="X750" s="116">
        <f>InputData!$C$85</f>
        <v>409020</v>
      </c>
      <c r="Y750" s="116">
        <f>InputData!$C$116</f>
        <v>140000</v>
      </c>
      <c r="Z750" s="160">
        <f>InputData!$E$13</f>
        <v>0</v>
      </c>
    </row>
    <row r="751" spans="1:26" x14ac:dyDescent="0.25">
      <c r="A751">
        <f>InputData!$K$1</f>
        <v>2013</v>
      </c>
      <c r="B751" t="str">
        <f>InputData!$G$1</f>
        <v>San Antonio, TX</v>
      </c>
      <c r="C751" t="s">
        <v>177</v>
      </c>
      <c r="D751" t="str">
        <f>Graph_Ortho!$L$6</f>
        <v>USU20</v>
      </c>
      <c r="E751" t="str">
        <f t="shared" si="11"/>
        <v>Orthopedics USU20</v>
      </c>
      <c r="F751">
        <f>Graph_Ortho!$A36</f>
        <v>2042</v>
      </c>
      <c r="G751">
        <f>Graph_Ortho!$B36</f>
        <v>30</v>
      </c>
      <c r="H751" s="165">
        <f>Graph_Ortho!$L36</f>
        <v>2420128.0464000385</v>
      </c>
      <c r="I751" s="160">
        <f>InputData!$C$3</f>
        <v>0.02</v>
      </c>
      <c r="J751" s="160">
        <f>InputData!$C$4</f>
        <v>0.01</v>
      </c>
      <c r="K751" s="160">
        <f>InputData!$C$5</f>
        <v>0.01</v>
      </c>
      <c r="L751" s="160">
        <f>InputData!$C$6</f>
        <v>6.2100000000000002E-2</v>
      </c>
      <c r="M751" s="160">
        <f>InputData!$C$7</f>
        <v>0.03</v>
      </c>
      <c r="N751" s="160">
        <f>InputData!$C$8</f>
        <v>0.02</v>
      </c>
      <c r="O751" s="160">
        <f>InputData!$C$9</f>
        <v>0.06</v>
      </c>
      <c r="P751" s="160">
        <f>InputData!$C$10</f>
        <v>0.02</v>
      </c>
      <c r="Q751" s="160">
        <f>InputData!$C$11</f>
        <v>0.02</v>
      </c>
      <c r="R751" s="160">
        <f>InputData!$C$12</f>
        <v>0.02</v>
      </c>
      <c r="S751" s="160">
        <f>InputData!$C$13</f>
        <v>0.9</v>
      </c>
      <c r="T751" s="116">
        <f>InputData!$C$88</f>
        <v>180000</v>
      </c>
      <c r="U751" s="116">
        <f>InputData!$C$81</f>
        <v>178500</v>
      </c>
      <c r="V751" s="116">
        <f>InputData!$C$82</f>
        <v>303960</v>
      </c>
      <c r="W751" s="116">
        <f>InputData!$C$84</f>
        <v>215220</v>
      </c>
      <c r="X751" s="116">
        <f>InputData!$C$85</f>
        <v>409020</v>
      </c>
      <c r="Y751" s="116">
        <f>InputData!$C$116</f>
        <v>140000</v>
      </c>
      <c r="Z751" s="160">
        <f>InputData!$E$13</f>
        <v>0</v>
      </c>
    </row>
    <row r="752" spans="1:26" x14ac:dyDescent="0.25">
      <c r="A752">
        <f>InputData!$K$1</f>
        <v>2013</v>
      </c>
      <c r="B752" t="str">
        <f>InputData!$G$1</f>
        <v>San Antonio, TX</v>
      </c>
      <c r="C752" t="s">
        <v>177</v>
      </c>
      <c r="D752" t="str">
        <f>Graph_Ortho!$M$6</f>
        <v>HPSP20</v>
      </c>
      <c r="E752" t="str">
        <f t="shared" si="11"/>
        <v>Orthopedics HPSP20</v>
      </c>
      <c r="F752">
        <f>Graph_Ortho!$A7</f>
        <v>2013</v>
      </c>
      <c r="G752">
        <f>Graph_Ortho!$B7</f>
        <v>1</v>
      </c>
      <c r="H752" s="165">
        <f>Graph_Ortho!$M7</f>
        <v>43551.744866529771</v>
      </c>
      <c r="I752" s="160">
        <f>InputData!$C$3</f>
        <v>0.02</v>
      </c>
      <c r="J752" s="160">
        <f>InputData!$C$4</f>
        <v>0.01</v>
      </c>
      <c r="K752" s="160">
        <f>InputData!$C$5</f>
        <v>0.01</v>
      </c>
      <c r="L752" s="160">
        <f>InputData!$C$6</f>
        <v>6.2100000000000002E-2</v>
      </c>
      <c r="M752" s="160">
        <f>InputData!$C$7</f>
        <v>0.03</v>
      </c>
      <c r="N752" s="160">
        <f>InputData!$C$8</f>
        <v>0.02</v>
      </c>
      <c r="O752" s="160">
        <f>InputData!$C$9</f>
        <v>0.06</v>
      </c>
      <c r="P752" s="160">
        <f>InputData!$C$10</f>
        <v>0.02</v>
      </c>
      <c r="Q752" s="160">
        <f>InputData!$C$11</f>
        <v>0.02</v>
      </c>
      <c r="R752" s="160">
        <f>InputData!$C$12</f>
        <v>0.02</v>
      </c>
      <c r="S752" s="160">
        <f>InputData!$C$13</f>
        <v>0.9</v>
      </c>
      <c r="T752" s="116">
        <f>InputData!$C$88</f>
        <v>180000</v>
      </c>
      <c r="U752" s="116">
        <f>InputData!$C$81</f>
        <v>178500</v>
      </c>
      <c r="V752" s="116">
        <f>InputData!$C$82</f>
        <v>303960</v>
      </c>
      <c r="W752" s="116">
        <f>InputData!$C$84</f>
        <v>215220</v>
      </c>
      <c r="X752" s="116">
        <f>InputData!$C$85</f>
        <v>409020</v>
      </c>
      <c r="Y752" s="116">
        <f>InputData!$C$116</f>
        <v>140000</v>
      </c>
      <c r="Z752" s="160">
        <f>InputData!$E$13</f>
        <v>0</v>
      </c>
    </row>
    <row r="753" spans="1:26" x14ac:dyDescent="0.25">
      <c r="A753">
        <f>InputData!$K$1</f>
        <v>2013</v>
      </c>
      <c r="B753" t="str">
        <f>InputData!$G$1</f>
        <v>San Antonio, TX</v>
      </c>
      <c r="C753" t="s">
        <v>177</v>
      </c>
      <c r="D753" t="str">
        <f>Graph_Ortho!$M$6</f>
        <v>HPSP20</v>
      </c>
      <c r="E753" t="str">
        <f t="shared" si="11"/>
        <v>Orthopedics HPSP20</v>
      </c>
      <c r="F753">
        <f>Graph_Ortho!$A8</f>
        <v>2014</v>
      </c>
      <c r="G753">
        <f>Graph_Ortho!$B8</f>
        <v>2</v>
      </c>
      <c r="H753" s="165">
        <f>Graph_Ortho!$M8</f>
        <v>69389.851463288214</v>
      </c>
      <c r="I753" s="160">
        <f>InputData!$C$3</f>
        <v>0.02</v>
      </c>
      <c r="J753" s="160">
        <f>InputData!$C$4</f>
        <v>0.01</v>
      </c>
      <c r="K753" s="160">
        <f>InputData!$C$5</f>
        <v>0.01</v>
      </c>
      <c r="L753" s="160">
        <f>InputData!$C$6</f>
        <v>6.2100000000000002E-2</v>
      </c>
      <c r="M753" s="160">
        <f>InputData!$C$7</f>
        <v>0.03</v>
      </c>
      <c r="N753" s="160">
        <f>InputData!$C$8</f>
        <v>0.02</v>
      </c>
      <c r="O753" s="160">
        <f>InputData!$C$9</f>
        <v>0.06</v>
      </c>
      <c r="P753" s="160">
        <f>InputData!$C$10</f>
        <v>0.02</v>
      </c>
      <c r="Q753" s="160">
        <f>InputData!$C$11</f>
        <v>0.02</v>
      </c>
      <c r="R753" s="160">
        <f>InputData!$C$12</f>
        <v>0.02</v>
      </c>
      <c r="S753" s="160">
        <f>InputData!$C$13</f>
        <v>0.9</v>
      </c>
      <c r="T753" s="116">
        <f>InputData!$C$88</f>
        <v>180000</v>
      </c>
      <c r="U753" s="116">
        <f>InputData!$C$81</f>
        <v>178500</v>
      </c>
      <c r="V753" s="116">
        <f>InputData!$C$82</f>
        <v>303960</v>
      </c>
      <c r="W753" s="116">
        <f>InputData!$C$84</f>
        <v>215220</v>
      </c>
      <c r="X753" s="116">
        <f>InputData!$C$85</f>
        <v>409020</v>
      </c>
      <c r="Y753" s="116">
        <f>InputData!$C$116</f>
        <v>140000</v>
      </c>
      <c r="Z753" s="160">
        <f>InputData!$E$13</f>
        <v>0</v>
      </c>
    </row>
    <row r="754" spans="1:26" x14ac:dyDescent="0.25">
      <c r="A754">
        <f>InputData!$K$1</f>
        <v>2013</v>
      </c>
      <c r="B754" t="str">
        <f>InputData!$G$1</f>
        <v>San Antonio, TX</v>
      </c>
      <c r="C754" t="s">
        <v>177</v>
      </c>
      <c r="D754" t="str">
        <f>Graph_Ortho!$M$6</f>
        <v>HPSP20</v>
      </c>
      <c r="E754" t="str">
        <f t="shared" si="11"/>
        <v>Orthopedics HPSP20</v>
      </c>
      <c r="F754">
        <f>Graph_Ortho!$A9</f>
        <v>2015</v>
      </c>
      <c r="G754">
        <f>Graph_Ortho!$B9</f>
        <v>3</v>
      </c>
      <c r="H754" s="165">
        <f>Graph_Ortho!$M9</f>
        <v>94384.024082394724</v>
      </c>
      <c r="I754" s="160">
        <f>InputData!$C$3</f>
        <v>0.02</v>
      </c>
      <c r="J754" s="160">
        <f>InputData!$C$4</f>
        <v>0.01</v>
      </c>
      <c r="K754" s="160">
        <f>InputData!$C$5</f>
        <v>0.01</v>
      </c>
      <c r="L754" s="160">
        <f>InputData!$C$6</f>
        <v>6.2100000000000002E-2</v>
      </c>
      <c r="M754" s="160">
        <f>InputData!$C$7</f>
        <v>0.03</v>
      </c>
      <c r="N754" s="160">
        <f>InputData!$C$8</f>
        <v>0.02</v>
      </c>
      <c r="O754" s="160">
        <f>InputData!$C$9</f>
        <v>0.06</v>
      </c>
      <c r="P754" s="160">
        <f>InputData!$C$10</f>
        <v>0.02</v>
      </c>
      <c r="Q754" s="160">
        <f>InputData!$C$11</f>
        <v>0.02</v>
      </c>
      <c r="R754" s="160">
        <f>InputData!$C$12</f>
        <v>0.02</v>
      </c>
      <c r="S754" s="160">
        <f>InputData!$C$13</f>
        <v>0.9</v>
      </c>
      <c r="T754" s="116">
        <f>InputData!$C$88</f>
        <v>180000</v>
      </c>
      <c r="U754" s="116">
        <f>InputData!$C$81</f>
        <v>178500</v>
      </c>
      <c r="V754" s="116">
        <f>InputData!$C$82</f>
        <v>303960</v>
      </c>
      <c r="W754" s="116">
        <f>InputData!$C$84</f>
        <v>215220</v>
      </c>
      <c r="X754" s="116">
        <f>InputData!$C$85</f>
        <v>409020</v>
      </c>
      <c r="Y754" s="116">
        <f>InputData!$C$116</f>
        <v>140000</v>
      </c>
      <c r="Z754" s="160">
        <f>InputData!$E$13</f>
        <v>0</v>
      </c>
    </row>
    <row r="755" spans="1:26" x14ac:dyDescent="0.25">
      <c r="A755">
        <f>InputData!$K$1</f>
        <v>2013</v>
      </c>
      <c r="B755" t="str">
        <f>InputData!$G$1</f>
        <v>San Antonio, TX</v>
      </c>
      <c r="C755" t="s">
        <v>177</v>
      </c>
      <c r="D755" t="str">
        <f>Graph_Ortho!$M$6</f>
        <v>HPSP20</v>
      </c>
      <c r="E755" t="str">
        <f t="shared" si="11"/>
        <v>Orthopedics HPSP20</v>
      </c>
      <c r="F755">
        <f>Graph_Ortho!$A10</f>
        <v>2016</v>
      </c>
      <c r="G755">
        <f>Graph_Ortho!$B10</f>
        <v>4</v>
      </c>
      <c r="H755" s="165">
        <f>Graph_Ortho!$M10</f>
        <v>119127.82998672797</v>
      </c>
      <c r="I755" s="160">
        <f>InputData!$C$3</f>
        <v>0.02</v>
      </c>
      <c r="J755" s="160">
        <f>InputData!$C$4</f>
        <v>0.01</v>
      </c>
      <c r="K755" s="160">
        <f>InputData!$C$5</f>
        <v>0.01</v>
      </c>
      <c r="L755" s="160">
        <f>InputData!$C$6</f>
        <v>6.2100000000000002E-2</v>
      </c>
      <c r="M755" s="160">
        <f>InputData!$C$7</f>
        <v>0.03</v>
      </c>
      <c r="N755" s="160">
        <f>InputData!$C$8</f>
        <v>0.02</v>
      </c>
      <c r="O755" s="160">
        <f>InputData!$C$9</f>
        <v>0.06</v>
      </c>
      <c r="P755" s="160">
        <f>InputData!$C$10</f>
        <v>0.02</v>
      </c>
      <c r="Q755" s="160">
        <f>InputData!$C$11</f>
        <v>0.02</v>
      </c>
      <c r="R755" s="160">
        <f>InputData!$C$12</f>
        <v>0.02</v>
      </c>
      <c r="S755" s="160">
        <f>InputData!$C$13</f>
        <v>0.9</v>
      </c>
      <c r="T755" s="116">
        <f>InputData!$C$88</f>
        <v>180000</v>
      </c>
      <c r="U755" s="116">
        <f>InputData!$C$81</f>
        <v>178500</v>
      </c>
      <c r="V755" s="116">
        <f>InputData!$C$82</f>
        <v>303960</v>
      </c>
      <c r="W755" s="116">
        <f>InputData!$C$84</f>
        <v>215220</v>
      </c>
      <c r="X755" s="116">
        <f>InputData!$C$85</f>
        <v>409020</v>
      </c>
      <c r="Y755" s="116">
        <f>InputData!$C$116</f>
        <v>140000</v>
      </c>
      <c r="Z755" s="160">
        <f>InputData!$E$13</f>
        <v>0</v>
      </c>
    </row>
    <row r="756" spans="1:26" x14ac:dyDescent="0.25">
      <c r="A756">
        <f>InputData!$K$1</f>
        <v>2013</v>
      </c>
      <c r="B756" t="str">
        <f>InputData!$G$1</f>
        <v>San Antonio, TX</v>
      </c>
      <c r="C756" t="s">
        <v>177</v>
      </c>
      <c r="D756" t="str">
        <f>Graph_Ortho!$M$6</f>
        <v>HPSP20</v>
      </c>
      <c r="E756" t="str">
        <f t="shared" si="11"/>
        <v>Orthopedics HPSP20</v>
      </c>
      <c r="F756">
        <f>Graph_Ortho!$A11</f>
        <v>2017</v>
      </c>
      <c r="G756">
        <f>Graph_Ortho!$B11</f>
        <v>5</v>
      </c>
      <c r="H756" s="165">
        <f>Graph_Ortho!$M11</f>
        <v>169089.82248832227</v>
      </c>
      <c r="I756" s="160">
        <f>InputData!$C$3</f>
        <v>0.02</v>
      </c>
      <c r="J756" s="160">
        <f>InputData!$C$4</f>
        <v>0.01</v>
      </c>
      <c r="K756" s="160">
        <f>InputData!$C$5</f>
        <v>0.01</v>
      </c>
      <c r="L756" s="160">
        <f>InputData!$C$6</f>
        <v>6.2100000000000002E-2</v>
      </c>
      <c r="M756" s="160">
        <f>InputData!$C$7</f>
        <v>0.03</v>
      </c>
      <c r="N756" s="160">
        <f>InputData!$C$8</f>
        <v>0.02</v>
      </c>
      <c r="O756" s="160">
        <f>InputData!$C$9</f>
        <v>0.06</v>
      </c>
      <c r="P756" s="160">
        <f>InputData!$C$10</f>
        <v>0.02</v>
      </c>
      <c r="Q756" s="160">
        <f>InputData!$C$11</f>
        <v>0.02</v>
      </c>
      <c r="R756" s="160">
        <f>InputData!$C$12</f>
        <v>0.02</v>
      </c>
      <c r="S756" s="160">
        <f>InputData!$C$13</f>
        <v>0.9</v>
      </c>
      <c r="T756" s="116">
        <f>InputData!$C$88</f>
        <v>180000</v>
      </c>
      <c r="U756" s="116">
        <f>InputData!$C$81</f>
        <v>178500</v>
      </c>
      <c r="V756" s="116">
        <f>InputData!$C$82</f>
        <v>303960</v>
      </c>
      <c r="W756" s="116">
        <f>InputData!$C$84</f>
        <v>215220</v>
      </c>
      <c r="X756" s="116">
        <f>InputData!$C$85</f>
        <v>409020</v>
      </c>
      <c r="Y756" s="116">
        <f>InputData!$C$116</f>
        <v>140000</v>
      </c>
      <c r="Z756" s="160">
        <f>InputData!$E$13</f>
        <v>0</v>
      </c>
    </row>
    <row r="757" spans="1:26" x14ac:dyDescent="0.25">
      <c r="A757">
        <f>InputData!$K$1</f>
        <v>2013</v>
      </c>
      <c r="B757" t="str">
        <f>InputData!$G$1</f>
        <v>San Antonio, TX</v>
      </c>
      <c r="C757" t="s">
        <v>177</v>
      </c>
      <c r="D757" t="str">
        <f>Graph_Ortho!$M$6</f>
        <v>HPSP20</v>
      </c>
      <c r="E757" t="str">
        <f t="shared" si="11"/>
        <v>Orthopedics HPSP20</v>
      </c>
      <c r="F757">
        <f>Graph_Ortho!$A12</f>
        <v>2018</v>
      </c>
      <c r="G757">
        <f>Graph_Ortho!$B12</f>
        <v>6</v>
      </c>
      <c r="H757" s="165">
        <f>Graph_Ortho!$M12</f>
        <v>219350.65217600405</v>
      </c>
      <c r="I757" s="160">
        <f>InputData!$C$3</f>
        <v>0.02</v>
      </c>
      <c r="J757" s="160">
        <f>InputData!$C$4</f>
        <v>0.01</v>
      </c>
      <c r="K757" s="160">
        <f>InputData!$C$5</f>
        <v>0.01</v>
      </c>
      <c r="L757" s="160">
        <f>InputData!$C$6</f>
        <v>6.2100000000000002E-2</v>
      </c>
      <c r="M757" s="160">
        <f>InputData!$C$7</f>
        <v>0.03</v>
      </c>
      <c r="N757" s="160">
        <f>InputData!$C$8</f>
        <v>0.02</v>
      </c>
      <c r="O757" s="160">
        <f>InputData!$C$9</f>
        <v>0.06</v>
      </c>
      <c r="P757" s="160">
        <f>InputData!$C$10</f>
        <v>0.02</v>
      </c>
      <c r="Q757" s="160">
        <f>InputData!$C$11</f>
        <v>0.02</v>
      </c>
      <c r="R757" s="160">
        <f>InputData!$C$12</f>
        <v>0.02</v>
      </c>
      <c r="S757" s="160">
        <f>InputData!$C$13</f>
        <v>0.9</v>
      </c>
      <c r="T757" s="116">
        <f>InputData!$C$88</f>
        <v>180000</v>
      </c>
      <c r="U757" s="116">
        <f>InputData!$C$81</f>
        <v>178500</v>
      </c>
      <c r="V757" s="116">
        <f>InputData!$C$82</f>
        <v>303960</v>
      </c>
      <c r="W757" s="116">
        <f>InputData!$C$84</f>
        <v>215220</v>
      </c>
      <c r="X757" s="116">
        <f>InputData!$C$85</f>
        <v>409020</v>
      </c>
      <c r="Y757" s="116">
        <f>InputData!$C$116</f>
        <v>140000</v>
      </c>
      <c r="Z757" s="160">
        <f>InputData!$E$13</f>
        <v>0</v>
      </c>
    </row>
    <row r="758" spans="1:26" x14ac:dyDescent="0.25">
      <c r="A758">
        <f>InputData!$K$1</f>
        <v>2013</v>
      </c>
      <c r="B758" t="str">
        <f>InputData!$G$1</f>
        <v>San Antonio, TX</v>
      </c>
      <c r="C758" t="s">
        <v>177</v>
      </c>
      <c r="D758" t="str">
        <f>Graph_Ortho!$M$6</f>
        <v>HPSP20</v>
      </c>
      <c r="E758" t="str">
        <f t="shared" si="11"/>
        <v>Orthopedics HPSP20</v>
      </c>
      <c r="F758">
        <f>Graph_Ortho!$A13</f>
        <v>2019</v>
      </c>
      <c r="G758">
        <f>Graph_Ortho!$B13</f>
        <v>7</v>
      </c>
      <c r="H758" s="165">
        <f>Graph_Ortho!$M13</f>
        <v>270992.25439901254</v>
      </c>
      <c r="I758" s="160">
        <f>InputData!$C$3</f>
        <v>0.02</v>
      </c>
      <c r="J758" s="160">
        <f>InputData!$C$4</f>
        <v>0.01</v>
      </c>
      <c r="K758" s="160">
        <f>InputData!$C$5</f>
        <v>0.01</v>
      </c>
      <c r="L758" s="160">
        <f>InputData!$C$6</f>
        <v>6.2100000000000002E-2</v>
      </c>
      <c r="M758" s="160">
        <f>InputData!$C$7</f>
        <v>0.03</v>
      </c>
      <c r="N758" s="160">
        <f>InputData!$C$8</f>
        <v>0.02</v>
      </c>
      <c r="O758" s="160">
        <f>InputData!$C$9</f>
        <v>0.06</v>
      </c>
      <c r="P758" s="160">
        <f>InputData!$C$10</f>
        <v>0.02</v>
      </c>
      <c r="Q758" s="160">
        <f>InputData!$C$11</f>
        <v>0.02</v>
      </c>
      <c r="R758" s="160">
        <f>InputData!$C$12</f>
        <v>0.02</v>
      </c>
      <c r="S758" s="160">
        <f>InputData!$C$13</f>
        <v>0.9</v>
      </c>
      <c r="T758" s="116">
        <f>InputData!$C$88</f>
        <v>180000</v>
      </c>
      <c r="U758" s="116">
        <f>InputData!$C$81</f>
        <v>178500</v>
      </c>
      <c r="V758" s="116">
        <f>InputData!$C$82</f>
        <v>303960</v>
      </c>
      <c r="W758" s="116">
        <f>InputData!$C$84</f>
        <v>215220</v>
      </c>
      <c r="X758" s="116">
        <f>InputData!$C$85</f>
        <v>409020</v>
      </c>
      <c r="Y758" s="116">
        <f>InputData!$C$116</f>
        <v>140000</v>
      </c>
      <c r="Z758" s="160">
        <f>InputData!$E$13</f>
        <v>0</v>
      </c>
    </row>
    <row r="759" spans="1:26" x14ac:dyDescent="0.25">
      <c r="A759">
        <f>InputData!$K$1</f>
        <v>2013</v>
      </c>
      <c r="B759" t="str">
        <f>InputData!$G$1</f>
        <v>San Antonio, TX</v>
      </c>
      <c r="C759" t="s">
        <v>177</v>
      </c>
      <c r="D759" t="str">
        <f>Graph_Ortho!$M$6</f>
        <v>HPSP20</v>
      </c>
      <c r="E759" t="str">
        <f t="shared" si="11"/>
        <v>Orthopedics HPSP20</v>
      </c>
      <c r="F759">
        <f>Graph_Ortho!$A14</f>
        <v>2020</v>
      </c>
      <c r="G759">
        <f>Graph_Ortho!$B14</f>
        <v>8</v>
      </c>
      <c r="H759" s="165">
        <f>Graph_Ortho!$M14</f>
        <v>322806.62031125103</v>
      </c>
      <c r="I759" s="160">
        <f>InputData!$C$3</f>
        <v>0.02</v>
      </c>
      <c r="J759" s="160">
        <f>InputData!$C$4</f>
        <v>0.01</v>
      </c>
      <c r="K759" s="160">
        <f>InputData!$C$5</f>
        <v>0.01</v>
      </c>
      <c r="L759" s="160">
        <f>InputData!$C$6</f>
        <v>6.2100000000000002E-2</v>
      </c>
      <c r="M759" s="160">
        <f>InputData!$C$7</f>
        <v>0.03</v>
      </c>
      <c r="N759" s="160">
        <f>InputData!$C$8</f>
        <v>0.02</v>
      </c>
      <c r="O759" s="160">
        <f>InputData!$C$9</f>
        <v>0.06</v>
      </c>
      <c r="P759" s="160">
        <f>InputData!$C$10</f>
        <v>0.02</v>
      </c>
      <c r="Q759" s="160">
        <f>InputData!$C$11</f>
        <v>0.02</v>
      </c>
      <c r="R759" s="160">
        <f>InputData!$C$12</f>
        <v>0.02</v>
      </c>
      <c r="S759" s="160">
        <f>InputData!$C$13</f>
        <v>0.9</v>
      </c>
      <c r="T759" s="116">
        <f>InputData!$C$88</f>
        <v>180000</v>
      </c>
      <c r="U759" s="116">
        <f>InputData!$C$81</f>
        <v>178500</v>
      </c>
      <c r="V759" s="116">
        <f>InputData!$C$82</f>
        <v>303960</v>
      </c>
      <c r="W759" s="116">
        <f>InputData!$C$84</f>
        <v>215220</v>
      </c>
      <c r="X759" s="116">
        <f>InputData!$C$85</f>
        <v>409020</v>
      </c>
      <c r="Y759" s="116">
        <f>InputData!$C$116</f>
        <v>140000</v>
      </c>
      <c r="Z759" s="160">
        <f>InputData!$E$13</f>
        <v>0</v>
      </c>
    </row>
    <row r="760" spans="1:26" x14ac:dyDescent="0.25">
      <c r="A760">
        <f>InputData!$K$1</f>
        <v>2013</v>
      </c>
      <c r="B760" t="str">
        <f>InputData!$G$1</f>
        <v>San Antonio, TX</v>
      </c>
      <c r="C760" t="s">
        <v>177</v>
      </c>
      <c r="D760" t="str">
        <f>Graph_Ortho!$M$6</f>
        <v>HPSP20</v>
      </c>
      <c r="E760" t="str">
        <f t="shared" si="11"/>
        <v>Orthopedics HPSP20</v>
      </c>
      <c r="F760">
        <f>Graph_Ortho!$A15</f>
        <v>2021</v>
      </c>
      <c r="G760">
        <f>Graph_Ortho!$B15</f>
        <v>9</v>
      </c>
      <c r="H760" s="165">
        <f>Graph_Ortho!$M15</f>
        <v>375167.2349965857</v>
      </c>
      <c r="I760" s="160">
        <f>InputData!$C$3</f>
        <v>0.02</v>
      </c>
      <c r="J760" s="160">
        <f>InputData!$C$4</f>
        <v>0.01</v>
      </c>
      <c r="K760" s="160">
        <f>InputData!$C$5</f>
        <v>0.01</v>
      </c>
      <c r="L760" s="160">
        <f>InputData!$C$6</f>
        <v>6.2100000000000002E-2</v>
      </c>
      <c r="M760" s="160">
        <f>InputData!$C$7</f>
        <v>0.03</v>
      </c>
      <c r="N760" s="160">
        <f>InputData!$C$8</f>
        <v>0.02</v>
      </c>
      <c r="O760" s="160">
        <f>InputData!$C$9</f>
        <v>0.06</v>
      </c>
      <c r="P760" s="160">
        <f>InputData!$C$10</f>
        <v>0.02</v>
      </c>
      <c r="Q760" s="160">
        <f>InputData!$C$11</f>
        <v>0.02</v>
      </c>
      <c r="R760" s="160">
        <f>InputData!$C$12</f>
        <v>0.02</v>
      </c>
      <c r="S760" s="160">
        <f>InputData!$C$13</f>
        <v>0.9</v>
      </c>
      <c r="T760" s="116">
        <f>InputData!$C$88</f>
        <v>180000</v>
      </c>
      <c r="U760" s="116">
        <f>InputData!$C$81</f>
        <v>178500</v>
      </c>
      <c r="V760" s="116">
        <f>InputData!$C$82</f>
        <v>303960</v>
      </c>
      <c r="W760" s="116">
        <f>InputData!$C$84</f>
        <v>215220</v>
      </c>
      <c r="X760" s="116">
        <f>InputData!$C$85</f>
        <v>409020</v>
      </c>
      <c r="Y760" s="116">
        <f>InputData!$C$116</f>
        <v>140000</v>
      </c>
      <c r="Z760" s="160">
        <f>InputData!$E$13</f>
        <v>0</v>
      </c>
    </row>
    <row r="761" spans="1:26" x14ac:dyDescent="0.25">
      <c r="A761">
        <f>InputData!$K$1</f>
        <v>2013</v>
      </c>
      <c r="B761" t="str">
        <f>InputData!$G$1</f>
        <v>San Antonio, TX</v>
      </c>
      <c r="C761" t="s">
        <v>177</v>
      </c>
      <c r="D761" t="str">
        <f>Graph_Ortho!$M$6</f>
        <v>HPSP20</v>
      </c>
      <c r="E761" t="str">
        <f t="shared" si="11"/>
        <v>Orthopedics HPSP20</v>
      </c>
      <c r="F761">
        <f>Graph_Ortho!$A16</f>
        <v>2022</v>
      </c>
      <c r="G761">
        <f>Graph_Ortho!$B16</f>
        <v>10</v>
      </c>
      <c r="H761" s="165">
        <f>Graph_Ortho!$M16</f>
        <v>432639.50205622433</v>
      </c>
      <c r="I761" s="160">
        <f>InputData!$C$3</f>
        <v>0.02</v>
      </c>
      <c r="J761" s="160">
        <f>InputData!$C$4</f>
        <v>0.01</v>
      </c>
      <c r="K761" s="160">
        <f>InputData!$C$5</f>
        <v>0.01</v>
      </c>
      <c r="L761" s="160">
        <f>InputData!$C$6</f>
        <v>6.2100000000000002E-2</v>
      </c>
      <c r="M761" s="160">
        <f>InputData!$C$7</f>
        <v>0.03</v>
      </c>
      <c r="N761" s="160">
        <f>InputData!$C$8</f>
        <v>0.02</v>
      </c>
      <c r="O761" s="160">
        <f>InputData!$C$9</f>
        <v>0.06</v>
      </c>
      <c r="P761" s="160">
        <f>InputData!$C$10</f>
        <v>0.02</v>
      </c>
      <c r="Q761" s="160">
        <f>InputData!$C$11</f>
        <v>0.02</v>
      </c>
      <c r="R761" s="160">
        <f>InputData!$C$12</f>
        <v>0.02</v>
      </c>
      <c r="S761" s="160">
        <f>InputData!$C$13</f>
        <v>0.9</v>
      </c>
      <c r="T761" s="116">
        <f>InputData!$C$88</f>
        <v>180000</v>
      </c>
      <c r="U761" s="116">
        <f>InputData!$C$81</f>
        <v>178500</v>
      </c>
      <c r="V761" s="116">
        <f>InputData!$C$82</f>
        <v>303960</v>
      </c>
      <c r="W761" s="116">
        <f>InputData!$C$84</f>
        <v>215220</v>
      </c>
      <c r="X761" s="116">
        <f>InputData!$C$85</f>
        <v>409020</v>
      </c>
      <c r="Y761" s="116">
        <f>InputData!$C$116</f>
        <v>140000</v>
      </c>
      <c r="Z761" s="160">
        <f>InputData!$E$13</f>
        <v>0</v>
      </c>
    </row>
    <row r="762" spans="1:26" x14ac:dyDescent="0.25">
      <c r="A762">
        <f>InputData!$K$1</f>
        <v>2013</v>
      </c>
      <c r="B762" t="str">
        <f>InputData!$G$1</f>
        <v>San Antonio, TX</v>
      </c>
      <c r="C762" t="s">
        <v>177</v>
      </c>
      <c r="D762" t="str">
        <f>Graph_Ortho!$M$6</f>
        <v>HPSP20</v>
      </c>
      <c r="E762" t="str">
        <f t="shared" si="11"/>
        <v>Orthopedics HPSP20</v>
      </c>
      <c r="F762">
        <f>Graph_Ortho!$A17</f>
        <v>2023</v>
      </c>
      <c r="G762">
        <f>Graph_Ortho!$B17</f>
        <v>11</v>
      </c>
      <c r="H762" s="165">
        <f>Graph_Ortho!$M17</f>
        <v>496325.29808331205</v>
      </c>
      <c r="I762" s="160">
        <f>InputData!$C$3</f>
        <v>0.02</v>
      </c>
      <c r="J762" s="160">
        <f>InputData!$C$4</f>
        <v>0.01</v>
      </c>
      <c r="K762" s="160">
        <f>InputData!$C$5</f>
        <v>0.01</v>
      </c>
      <c r="L762" s="160">
        <f>InputData!$C$6</f>
        <v>6.2100000000000002E-2</v>
      </c>
      <c r="M762" s="160">
        <f>InputData!$C$7</f>
        <v>0.03</v>
      </c>
      <c r="N762" s="160">
        <f>InputData!$C$8</f>
        <v>0.02</v>
      </c>
      <c r="O762" s="160">
        <f>InputData!$C$9</f>
        <v>0.06</v>
      </c>
      <c r="P762" s="160">
        <f>InputData!$C$10</f>
        <v>0.02</v>
      </c>
      <c r="Q762" s="160">
        <f>InputData!$C$11</f>
        <v>0.02</v>
      </c>
      <c r="R762" s="160">
        <f>InputData!$C$12</f>
        <v>0.02</v>
      </c>
      <c r="S762" s="160">
        <f>InputData!$C$13</f>
        <v>0.9</v>
      </c>
      <c r="T762" s="116">
        <f>InputData!$C$88</f>
        <v>180000</v>
      </c>
      <c r="U762" s="116">
        <f>InputData!$C$81</f>
        <v>178500</v>
      </c>
      <c r="V762" s="116">
        <f>InputData!$C$82</f>
        <v>303960</v>
      </c>
      <c r="W762" s="116">
        <f>InputData!$C$84</f>
        <v>215220</v>
      </c>
      <c r="X762" s="116">
        <f>InputData!$C$85</f>
        <v>409020</v>
      </c>
      <c r="Y762" s="116">
        <f>InputData!$C$116</f>
        <v>140000</v>
      </c>
      <c r="Z762" s="160">
        <f>InputData!$E$13</f>
        <v>0</v>
      </c>
    </row>
    <row r="763" spans="1:26" x14ac:dyDescent="0.25">
      <c r="A763">
        <f>InputData!$K$1</f>
        <v>2013</v>
      </c>
      <c r="B763" t="str">
        <f>InputData!$G$1</f>
        <v>San Antonio, TX</v>
      </c>
      <c r="C763" t="s">
        <v>177</v>
      </c>
      <c r="D763" t="str">
        <f>Graph_Ortho!$M$6</f>
        <v>HPSP20</v>
      </c>
      <c r="E763" t="str">
        <f t="shared" si="11"/>
        <v>Orthopedics HPSP20</v>
      </c>
      <c r="F763">
        <f>Graph_Ortho!$A18</f>
        <v>2024</v>
      </c>
      <c r="G763">
        <f>Graph_Ortho!$B18</f>
        <v>12</v>
      </c>
      <c r="H763" s="165">
        <f>Graph_Ortho!$M18</f>
        <v>557596.52429570619</v>
      </c>
      <c r="I763" s="160">
        <f>InputData!$C$3</f>
        <v>0.02</v>
      </c>
      <c r="J763" s="160">
        <f>InputData!$C$4</f>
        <v>0.01</v>
      </c>
      <c r="K763" s="160">
        <f>InputData!$C$5</f>
        <v>0.01</v>
      </c>
      <c r="L763" s="160">
        <f>InputData!$C$6</f>
        <v>6.2100000000000002E-2</v>
      </c>
      <c r="M763" s="160">
        <f>InputData!$C$7</f>
        <v>0.03</v>
      </c>
      <c r="N763" s="160">
        <f>InputData!$C$8</f>
        <v>0.02</v>
      </c>
      <c r="O763" s="160">
        <f>InputData!$C$9</f>
        <v>0.06</v>
      </c>
      <c r="P763" s="160">
        <f>InputData!$C$10</f>
        <v>0.02</v>
      </c>
      <c r="Q763" s="160">
        <f>InputData!$C$11</f>
        <v>0.02</v>
      </c>
      <c r="R763" s="160">
        <f>InputData!$C$12</f>
        <v>0.02</v>
      </c>
      <c r="S763" s="160">
        <f>InputData!$C$13</f>
        <v>0.9</v>
      </c>
      <c r="T763" s="116">
        <f>InputData!$C$88</f>
        <v>180000</v>
      </c>
      <c r="U763" s="116">
        <f>InputData!$C$81</f>
        <v>178500</v>
      </c>
      <c r="V763" s="116">
        <f>InputData!$C$82</f>
        <v>303960</v>
      </c>
      <c r="W763" s="116">
        <f>InputData!$C$84</f>
        <v>215220</v>
      </c>
      <c r="X763" s="116">
        <f>InputData!$C$85</f>
        <v>409020</v>
      </c>
      <c r="Y763" s="116">
        <f>InputData!$C$116</f>
        <v>140000</v>
      </c>
      <c r="Z763" s="160">
        <f>InputData!$E$13</f>
        <v>0</v>
      </c>
    </row>
    <row r="764" spans="1:26" x14ac:dyDescent="0.25">
      <c r="A764">
        <f>InputData!$K$1</f>
        <v>2013</v>
      </c>
      <c r="B764" t="str">
        <f>InputData!$G$1</f>
        <v>San Antonio, TX</v>
      </c>
      <c r="C764" t="s">
        <v>177</v>
      </c>
      <c r="D764" t="str">
        <f>Graph_Ortho!$M$6</f>
        <v>HPSP20</v>
      </c>
      <c r="E764" t="str">
        <f t="shared" si="11"/>
        <v>Orthopedics HPSP20</v>
      </c>
      <c r="F764">
        <f>Graph_Ortho!$A19</f>
        <v>2025</v>
      </c>
      <c r="G764">
        <f>Graph_Ortho!$B19</f>
        <v>13</v>
      </c>
      <c r="H764" s="165">
        <f>Graph_Ortho!$M19</f>
        <v>618022.98765773152</v>
      </c>
      <c r="I764" s="160">
        <f>InputData!$C$3</f>
        <v>0.02</v>
      </c>
      <c r="J764" s="160">
        <f>InputData!$C$4</f>
        <v>0.01</v>
      </c>
      <c r="K764" s="160">
        <f>InputData!$C$5</f>
        <v>0.01</v>
      </c>
      <c r="L764" s="160">
        <f>InputData!$C$6</f>
        <v>6.2100000000000002E-2</v>
      </c>
      <c r="M764" s="160">
        <f>InputData!$C$7</f>
        <v>0.03</v>
      </c>
      <c r="N764" s="160">
        <f>InputData!$C$8</f>
        <v>0.02</v>
      </c>
      <c r="O764" s="160">
        <f>InputData!$C$9</f>
        <v>0.06</v>
      </c>
      <c r="P764" s="160">
        <f>InputData!$C$10</f>
        <v>0.02</v>
      </c>
      <c r="Q764" s="160">
        <f>InputData!$C$11</f>
        <v>0.02</v>
      </c>
      <c r="R764" s="160">
        <f>InputData!$C$12</f>
        <v>0.02</v>
      </c>
      <c r="S764" s="160">
        <f>InputData!$C$13</f>
        <v>0.9</v>
      </c>
      <c r="T764" s="116">
        <f>InputData!$C$88</f>
        <v>180000</v>
      </c>
      <c r="U764" s="116">
        <f>InputData!$C$81</f>
        <v>178500</v>
      </c>
      <c r="V764" s="116">
        <f>InputData!$C$82</f>
        <v>303960</v>
      </c>
      <c r="W764" s="116">
        <f>InputData!$C$84</f>
        <v>215220</v>
      </c>
      <c r="X764" s="116">
        <f>InputData!$C$85</f>
        <v>409020</v>
      </c>
      <c r="Y764" s="116">
        <f>InputData!$C$116</f>
        <v>140000</v>
      </c>
      <c r="Z764" s="160">
        <f>InputData!$E$13</f>
        <v>0</v>
      </c>
    </row>
    <row r="765" spans="1:26" x14ac:dyDescent="0.25">
      <c r="A765">
        <f>InputData!$K$1</f>
        <v>2013</v>
      </c>
      <c r="B765" t="str">
        <f>InputData!$G$1</f>
        <v>San Antonio, TX</v>
      </c>
      <c r="C765" t="s">
        <v>177</v>
      </c>
      <c r="D765" t="str">
        <f>Graph_Ortho!$M$6</f>
        <v>HPSP20</v>
      </c>
      <c r="E765" t="str">
        <f t="shared" si="11"/>
        <v>Orthopedics HPSP20</v>
      </c>
      <c r="F765">
        <f>Graph_Ortho!$A20</f>
        <v>2026</v>
      </c>
      <c r="G765">
        <f>Graph_Ortho!$B20</f>
        <v>14</v>
      </c>
      <c r="H765" s="165">
        <f>Graph_Ortho!$M20</f>
        <v>716840.47971472831</v>
      </c>
      <c r="I765" s="160">
        <f>InputData!$C$3</f>
        <v>0.02</v>
      </c>
      <c r="J765" s="160">
        <f>InputData!$C$4</f>
        <v>0.01</v>
      </c>
      <c r="K765" s="160">
        <f>InputData!$C$5</f>
        <v>0.01</v>
      </c>
      <c r="L765" s="160">
        <f>InputData!$C$6</f>
        <v>6.2100000000000002E-2</v>
      </c>
      <c r="M765" s="160">
        <f>InputData!$C$7</f>
        <v>0.03</v>
      </c>
      <c r="N765" s="160">
        <f>InputData!$C$8</f>
        <v>0.02</v>
      </c>
      <c r="O765" s="160">
        <f>InputData!$C$9</f>
        <v>0.06</v>
      </c>
      <c r="P765" s="160">
        <f>InputData!$C$10</f>
        <v>0.02</v>
      </c>
      <c r="Q765" s="160">
        <f>InputData!$C$11</f>
        <v>0.02</v>
      </c>
      <c r="R765" s="160">
        <f>InputData!$C$12</f>
        <v>0.02</v>
      </c>
      <c r="S765" s="160">
        <f>InputData!$C$13</f>
        <v>0.9</v>
      </c>
      <c r="T765" s="116">
        <f>InputData!$C$88</f>
        <v>180000</v>
      </c>
      <c r="U765" s="116">
        <f>InputData!$C$81</f>
        <v>178500</v>
      </c>
      <c r="V765" s="116">
        <f>InputData!$C$82</f>
        <v>303960</v>
      </c>
      <c r="W765" s="116">
        <f>InputData!$C$84</f>
        <v>215220</v>
      </c>
      <c r="X765" s="116">
        <f>InputData!$C$85</f>
        <v>409020</v>
      </c>
      <c r="Y765" s="116">
        <f>InputData!$C$116</f>
        <v>140000</v>
      </c>
      <c r="Z765" s="160">
        <f>InputData!$E$13</f>
        <v>0</v>
      </c>
    </row>
    <row r="766" spans="1:26" x14ac:dyDescent="0.25">
      <c r="A766">
        <f>InputData!$K$1</f>
        <v>2013</v>
      </c>
      <c r="B766" t="str">
        <f>InputData!$G$1</f>
        <v>San Antonio, TX</v>
      </c>
      <c r="C766" t="s">
        <v>177</v>
      </c>
      <c r="D766" t="str">
        <f>Graph_Ortho!$M$6</f>
        <v>HPSP20</v>
      </c>
      <c r="E766" t="str">
        <f t="shared" si="11"/>
        <v>Orthopedics HPSP20</v>
      </c>
      <c r="F766">
        <f>Graph_Ortho!$A21</f>
        <v>2027</v>
      </c>
      <c r="G766">
        <f>Graph_Ortho!$B21</f>
        <v>15</v>
      </c>
      <c r="H766" s="165">
        <f>Graph_Ortho!$M21</f>
        <v>814088.82472675224</v>
      </c>
      <c r="I766" s="160">
        <f>InputData!$C$3</f>
        <v>0.02</v>
      </c>
      <c r="J766" s="160">
        <f>InputData!$C$4</f>
        <v>0.01</v>
      </c>
      <c r="K766" s="160">
        <f>InputData!$C$5</f>
        <v>0.01</v>
      </c>
      <c r="L766" s="160">
        <f>InputData!$C$6</f>
        <v>6.2100000000000002E-2</v>
      </c>
      <c r="M766" s="160">
        <f>InputData!$C$7</f>
        <v>0.03</v>
      </c>
      <c r="N766" s="160">
        <f>InputData!$C$8</f>
        <v>0.02</v>
      </c>
      <c r="O766" s="160">
        <f>InputData!$C$9</f>
        <v>0.06</v>
      </c>
      <c r="P766" s="160">
        <f>InputData!$C$10</f>
        <v>0.02</v>
      </c>
      <c r="Q766" s="160">
        <f>InputData!$C$11</f>
        <v>0.02</v>
      </c>
      <c r="R766" s="160">
        <f>InputData!$C$12</f>
        <v>0.02</v>
      </c>
      <c r="S766" s="160">
        <f>InputData!$C$13</f>
        <v>0.9</v>
      </c>
      <c r="T766" s="116">
        <f>InputData!$C$88</f>
        <v>180000</v>
      </c>
      <c r="U766" s="116">
        <f>InputData!$C$81</f>
        <v>178500</v>
      </c>
      <c r="V766" s="116">
        <f>InputData!$C$82</f>
        <v>303960</v>
      </c>
      <c r="W766" s="116">
        <f>InputData!$C$84</f>
        <v>215220</v>
      </c>
      <c r="X766" s="116">
        <f>InputData!$C$85</f>
        <v>409020</v>
      </c>
      <c r="Y766" s="116">
        <f>InputData!$C$116</f>
        <v>140000</v>
      </c>
      <c r="Z766" s="160">
        <f>InputData!$E$13</f>
        <v>0</v>
      </c>
    </row>
    <row r="767" spans="1:26" x14ac:dyDescent="0.25">
      <c r="A767">
        <f>InputData!$K$1</f>
        <v>2013</v>
      </c>
      <c r="B767" t="str">
        <f>InputData!$G$1</f>
        <v>San Antonio, TX</v>
      </c>
      <c r="C767" t="s">
        <v>177</v>
      </c>
      <c r="D767" t="str">
        <f>Graph_Ortho!$M$6</f>
        <v>HPSP20</v>
      </c>
      <c r="E767" t="str">
        <f t="shared" si="11"/>
        <v>Orthopedics HPSP20</v>
      </c>
      <c r="F767">
        <f>Graph_Ortho!$A22</f>
        <v>2028</v>
      </c>
      <c r="G767">
        <f>Graph_Ortho!$B22</f>
        <v>16</v>
      </c>
      <c r="H767" s="165">
        <f>Graph_Ortho!$M22</f>
        <v>907587.63972209394</v>
      </c>
      <c r="I767" s="160">
        <f>InputData!$C$3</f>
        <v>0.02</v>
      </c>
      <c r="J767" s="160">
        <f>InputData!$C$4</f>
        <v>0.01</v>
      </c>
      <c r="K767" s="160">
        <f>InputData!$C$5</f>
        <v>0.01</v>
      </c>
      <c r="L767" s="160">
        <f>InputData!$C$6</f>
        <v>6.2100000000000002E-2</v>
      </c>
      <c r="M767" s="160">
        <f>InputData!$C$7</f>
        <v>0.03</v>
      </c>
      <c r="N767" s="160">
        <f>InputData!$C$8</f>
        <v>0.02</v>
      </c>
      <c r="O767" s="160">
        <f>InputData!$C$9</f>
        <v>0.06</v>
      </c>
      <c r="P767" s="160">
        <f>InputData!$C$10</f>
        <v>0.02</v>
      </c>
      <c r="Q767" s="160">
        <f>InputData!$C$11</f>
        <v>0.02</v>
      </c>
      <c r="R767" s="160">
        <f>InputData!$C$12</f>
        <v>0.02</v>
      </c>
      <c r="S767" s="160">
        <f>InputData!$C$13</f>
        <v>0.9</v>
      </c>
      <c r="T767" s="116">
        <f>InputData!$C$88</f>
        <v>180000</v>
      </c>
      <c r="U767" s="116">
        <f>InputData!$C$81</f>
        <v>178500</v>
      </c>
      <c r="V767" s="116">
        <f>InputData!$C$82</f>
        <v>303960</v>
      </c>
      <c r="W767" s="116">
        <f>InputData!$C$84</f>
        <v>215220</v>
      </c>
      <c r="X767" s="116">
        <f>InputData!$C$85</f>
        <v>409020</v>
      </c>
      <c r="Y767" s="116">
        <f>InputData!$C$116</f>
        <v>140000</v>
      </c>
      <c r="Z767" s="160">
        <f>InputData!$E$13</f>
        <v>0</v>
      </c>
    </row>
    <row r="768" spans="1:26" x14ac:dyDescent="0.25">
      <c r="A768">
        <f>InputData!$K$1</f>
        <v>2013</v>
      </c>
      <c r="B768" t="str">
        <f>InputData!$G$1</f>
        <v>San Antonio, TX</v>
      </c>
      <c r="C768" t="s">
        <v>177</v>
      </c>
      <c r="D768" t="str">
        <f>Graph_Ortho!$M$6</f>
        <v>HPSP20</v>
      </c>
      <c r="E768" t="str">
        <f t="shared" si="11"/>
        <v>Orthopedics HPSP20</v>
      </c>
      <c r="F768">
        <f>Graph_Ortho!$A23</f>
        <v>2029</v>
      </c>
      <c r="G768">
        <f>Graph_Ortho!$B23</f>
        <v>17</v>
      </c>
      <c r="H768" s="165">
        <f>Graph_Ortho!$M23</f>
        <v>1000147.3450290923</v>
      </c>
      <c r="I768" s="160">
        <f>InputData!$C$3</f>
        <v>0.02</v>
      </c>
      <c r="J768" s="160">
        <f>InputData!$C$4</f>
        <v>0.01</v>
      </c>
      <c r="K768" s="160">
        <f>InputData!$C$5</f>
        <v>0.01</v>
      </c>
      <c r="L768" s="160">
        <f>InputData!$C$6</f>
        <v>6.2100000000000002E-2</v>
      </c>
      <c r="M768" s="160">
        <f>InputData!$C$7</f>
        <v>0.03</v>
      </c>
      <c r="N768" s="160">
        <f>InputData!$C$8</f>
        <v>0.02</v>
      </c>
      <c r="O768" s="160">
        <f>InputData!$C$9</f>
        <v>0.06</v>
      </c>
      <c r="P768" s="160">
        <f>InputData!$C$10</f>
        <v>0.02</v>
      </c>
      <c r="Q768" s="160">
        <f>InputData!$C$11</f>
        <v>0.02</v>
      </c>
      <c r="R768" s="160">
        <f>InputData!$C$12</f>
        <v>0.02</v>
      </c>
      <c r="S768" s="160">
        <f>InputData!$C$13</f>
        <v>0.9</v>
      </c>
      <c r="T768" s="116">
        <f>InputData!$C$88</f>
        <v>180000</v>
      </c>
      <c r="U768" s="116">
        <f>InputData!$C$81</f>
        <v>178500</v>
      </c>
      <c r="V768" s="116">
        <f>InputData!$C$82</f>
        <v>303960</v>
      </c>
      <c r="W768" s="116">
        <f>InputData!$C$84</f>
        <v>215220</v>
      </c>
      <c r="X768" s="116">
        <f>InputData!$C$85</f>
        <v>409020</v>
      </c>
      <c r="Y768" s="116">
        <f>InputData!$C$116</f>
        <v>140000</v>
      </c>
      <c r="Z768" s="160">
        <f>InputData!$E$13</f>
        <v>0</v>
      </c>
    </row>
    <row r="769" spans="1:26" x14ac:dyDescent="0.25">
      <c r="A769">
        <f>InputData!$K$1</f>
        <v>2013</v>
      </c>
      <c r="B769" t="str">
        <f>InputData!$G$1</f>
        <v>San Antonio, TX</v>
      </c>
      <c r="C769" t="s">
        <v>177</v>
      </c>
      <c r="D769" t="str">
        <f>Graph_Ortho!$M$6</f>
        <v>HPSP20</v>
      </c>
      <c r="E769" t="str">
        <f t="shared" si="11"/>
        <v>Orthopedics HPSP20</v>
      </c>
      <c r="F769">
        <f>Graph_Ortho!$A24</f>
        <v>2030</v>
      </c>
      <c r="G769">
        <f>Graph_Ortho!$B24</f>
        <v>18</v>
      </c>
      <c r="H769" s="165">
        <f>Graph_Ortho!$M24</f>
        <v>1089138.2176446195</v>
      </c>
      <c r="I769" s="160">
        <f>InputData!$C$3</f>
        <v>0.02</v>
      </c>
      <c r="J769" s="160">
        <f>InputData!$C$4</f>
        <v>0.01</v>
      </c>
      <c r="K769" s="160">
        <f>InputData!$C$5</f>
        <v>0.01</v>
      </c>
      <c r="L769" s="160">
        <f>InputData!$C$6</f>
        <v>6.2100000000000002E-2</v>
      </c>
      <c r="M769" s="160">
        <f>InputData!$C$7</f>
        <v>0.03</v>
      </c>
      <c r="N769" s="160">
        <f>InputData!$C$8</f>
        <v>0.02</v>
      </c>
      <c r="O769" s="160">
        <f>InputData!$C$9</f>
        <v>0.06</v>
      </c>
      <c r="P769" s="160">
        <f>InputData!$C$10</f>
        <v>0.02</v>
      </c>
      <c r="Q769" s="160">
        <f>InputData!$C$11</f>
        <v>0.02</v>
      </c>
      <c r="R769" s="160">
        <f>InputData!$C$12</f>
        <v>0.02</v>
      </c>
      <c r="S769" s="160">
        <f>InputData!$C$13</f>
        <v>0.9</v>
      </c>
      <c r="T769" s="116">
        <f>InputData!$C$88</f>
        <v>180000</v>
      </c>
      <c r="U769" s="116">
        <f>InputData!$C$81</f>
        <v>178500</v>
      </c>
      <c r="V769" s="116">
        <f>InputData!$C$82</f>
        <v>303960</v>
      </c>
      <c r="W769" s="116">
        <f>InputData!$C$84</f>
        <v>215220</v>
      </c>
      <c r="X769" s="116">
        <f>InputData!$C$85</f>
        <v>409020</v>
      </c>
      <c r="Y769" s="116">
        <f>InputData!$C$116</f>
        <v>140000</v>
      </c>
      <c r="Z769" s="160">
        <f>InputData!$E$13</f>
        <v>0</v>
      </c>
    </row>
    <row r="770" spans="1:26" x14ac:dyDescent="0.25">
      <c r="A770">
        <f>InputData!$K$1</f>
        <v>2013</v>
      </c>
      <c r="B770" t="str">
        <f>InputData!$G$1</f>
        <v>San Antonio, TX</v>
      </c>
      <c r="C770" t="s">
        <v>177</v>
      </c>
      <c r="D770" t="str">
        <f>Graph_Ortho!$M$6</f>
        <v>HPSP20</v>
      </c>
      <c r="E770" t="str">
        <f t="shared" si="11"/>
        <v>Orthopedics HPSP20</v>
      </c>
      <c r="F770">
        <f>Graph_Ortho!$A25</f>
        <v>2031</v>
      </c>
      <c r="G770">
        <f>Graph_Ortho!$B25</f>
        <v>19</v>
      </c>
      <c r="H770" s="165">
        <f>Graph_Ortho!$M25</f>
        <v>1175976.1022209995</v>
      </c>
      <c r="I770" s="160">
        <f>InputData!$C$3</f>
        <v>0.02</v>
      </c>
      <c r="J770" s="160">
        <f>InputData!$C$4</f>
        <v>0.01</v>
      </c>
      <c r="K770" s="160">
        <f>InputData!$C$5</f>
        <v>0.01</v>
      </c>
      <c r="L770" s="160">
        <f>InputData!$C$6</f>
        <v>6.2100000000000002E-2</v>
      </c>
      <c r="M770" s="160">
        <f>InputData!$C$7</f>
        <v>0.03</v>
      </c>
      <c r="N770" s="160">
        <f>InputData!$C$8</f>
        <v>0.02</v>
      </c>
      <c r="O770" s="160">
        <f>InputData!$C$9</f>
        <v>0.06</v>
      </c>
      <c r="P770" s="160">
        <f>InputData!$C$10</f>
        <v>0.02</v>
      </c>
      <c r="Q770" s="160">
        <f>InputData!$C$11</f>
        <v>0.02</v>
      </c>
      <c r="R770" s="160">
        <f>InputData!$C$12</f>
        <v>0.02</v>
      </c>
      <c r="S770" s="160">
        <f>InputData!$C$13</f>
        <v>0.9</v>
      </c>
      <c r="T770" s="116">
        <f>InputData!$C$88</f>
        <v>180000</v>
      </c>
      <c r="U770" s="116">
        <f>InputData!$C$81</f>
        <v>178500</v>
      </c>
      <c r="V770" s="116">
        <f>InputData!$C$82</f>
        <v>303960</v>
      </c>
      <c r="W770" s="116">
        <f>InputData!$C$84</f>
        <v>215220</v>
      </c>
      <c r="X770" s="116">
        <f>InputData!$C$85</f>
        <v>409020</v>
      </c>
      <c r="Y770" s="116">
        <f>InputData!$C$116</f>
        <v>140000</v>
      </c>
      <c r="Z770" s="160">
        <f>InputData!$E$13</f>
        <v>0</v>
      </c>
    </row>
    <row r="771" spans="1:26" x14ac:dyDescent="0.25">
      <c r="A771">
        <f>InputData!$K$1</f>
        <v>2013</v>
      </c>
      <c r="B771" t="str">
        <f>InputData!$G$1</f>
        <v>San Antonio, TX</v>
      </c>
      <c r="C771" t="s">
        <v>177</v>
      </c>
      <c r="D771" t="str">
        <f>Graph_Ortho!$M$6</f>
        <v>HPSP20</v>
      </c>
      <c r="E771" t="str">
        <f t="shared" ref="E771:E834" si="12">C771 &amp; " " &amp; D771</f>
        <v>Orthopedics HPSP20</v>
      </c>
      <c r="F771">
        <f>Graph_Ortho!$A26</f>
        <v>2032</v>
      </c>
      <c r="G771">
        <f>Graph_Ortho!$B26</f>
        <v>20</v>
      </c>
      <c r="H771" s="165">
        <f>Graph_Ortho!$M26</f>
        <v>1259465.8065941378</v>
      </c>
      <c r="I771" s="160">
        <f>InputData!$C$3</f>
        <v>0.02</v>
      </c>
      <c r="J771" s="160">
        <f>InputData!$C$4</f>
        <v>0.01</v>
      </c>
      <c r="K771" s="160">
        <f>InputData!$C$5</f>
        <v>0.01</v>
      </c>
      <c r="L771" s="160">
        <f>InputData!$C$6</f>
        <v>6.2100000000000002E-2</v>
      </c>
      <c r="M771" s="160">
        <f>InputData!$C$7</f>
        <v>0.03</v>
      </c>
      <c r="N771" s="160">
        <f>InputData!$C$8</f>
        <v>0.02</v>
      </c>
      <c r="O771" s="160">
        <f>InputData!$C$9</f>
        <v>0.06</v>
      </c>
      <c r="P771" s="160">
        <f>InputData!$C$10</f>
        <v>0.02</v>
      </c>
      <c r="Q771" s="160">
        <f>InputData!$C$11</f>
        <v>0.02</v>
      </c>
      <c r="R771" s="160">
        <f>InputData!$C$12</f>
        <v>0.02</v>
      </c>
      <c r="S771" s="160">
        <f>InputData!$C$13</f>
        <v>0.9</v>
      </c>
      <c r="T771" s="116">
        <f>InputData!$C$88</f>
        <v>180000</v>
      </c>
      <c r="U771" s="116">
        <f>InputData!$C$81</f>
        <v>178500</v>
      </c>
      <c r="V771" s="116">
        <f>InputData!$C$82</f>
        <v>303960</v>
      </c>
      <c r="W771" s="116">
        <f>InputData!$C$84</f>
        <v>215220</v>
      </c>
      <c r="X771" s="116">
        <f>InputData!$C$85</f>
        <v>409020</v>
      </c>
      <c r="Y771" s="116">
        <f>InputData!$C$116</f>
        <v>140000</v>
      </c>
      <c r="Z771" s="160">
        <f>InputData!$E$13</f>
        <v>0</v>
      </c>
    </row>
    <row r="772" spans="1:26" x14ac:dyDescent="0.25">
      <c r="A772">
        <f>InputData!$K$1</f>
        <v>2013</v>
      </c>
      <c r="B772" t="str">
        <f>InputData!$G$1</f>
        <v>San Antonio, TX</v>
      </c>
      <c r="C772" t="s">
        <v>177</v>
      </c>
      <c r="D772" t="str">
        <f>Graph_Ortho!$M$6</f>
        <v>HPSP20</v>
      </c>
      <c r="E772" t="str">
        <f t="shared" si="12"/>
        <v>Orthopedics HPSP20</v>
      </c>
      <c r="F772">
        <f>Graph_Ortho!$A27</f>
        <v>2033</v>
      </c>
      <c r="G772">
        <f>Graph_Ortho!$B27</f>
        <v>21</v>
      </c>
      <c r="H772" s="165">
        <f>Graph_Ortho!$M27</f>
        <v>1341544.7988719211</v>
      </c>
      <c r="I772" s="160">
        <f>InputData!$C$3</f>
        <v>0.02</v>
      </c>
      <c r="J772" s="160">
        <f>InputData!$C$4</f>
        <v>0.01</v>
      </c>
      <c r="K772" s="160">
        <f>InputData!$C$5</f>
        <v>0.01</v>
      </c>
      <c r="L772" s="160">
        <f>InputData!$C$6</f>
        <v>6.2100000000000002E-2</v>
      </c>
      <c r="M772" s="160">
        <f>InputData!$C$7</f>
        <v>0.03</v>
      </c>
      <c r="N772" s="160">
        <f>InputData!$C$8</f>
        <v>0.02</v>
      </c>
      <c r="O772" s="160">
        <f>InputData!$C$9</f>
        <v>0.06</v>
      </c>
      <c r="P772" s="160">
        <f>InputData!$C$10</f>
        <v>0.02</v>
      </c>
      <c r="Q772" s="160">
        <f>InputData!$C$11</f>
        <v>0.02</v>
      </c>
      <c r="R772" s="160">
        <f>InputData!$C$12</f>
        <v>0.02</v>
      </c>
      <c r="S772" s="160">
        <f>InputData!$C$13</f>
        <v>0.9</v>
      </c>
      <c r="T772" s="116">
        <f>InputData!$C$88</f>
        <v>180000</v>
      </c>
      <c r="U772" s="116">
        <f>InputData!$C$81</f>
        <v>178500</v>
      </c>
      <c r="V772" s="116">
        <f>InputData!$C$82</f>
        <v>303960</v>
      </c>
      <c r="W772" s="116">
        <f>InputData!$C$84</f>
        <v>215220</v>
      </c>
      <c r="X772" s="116">
        <f>InputData!$C$85</f>
        <v>409020</v>
      </c>
      <c r="Y772" s="116">
        <f>InputData!$C$116</f>
        <v>140000</v>
      </c>
      <c r="Z772" s="160">
        <f>InputData!$E$13</f>
        <v>0</v>
      </c>
    </row>
    <row r="773" spans="1:26" x14ac:dyDescent="0.25">
      <c r="A773">
        <f>InputData!$K$1</f>
        <v>2013</v>
      </c>
      <c r="B773" t="str">
        <f>InputData!$G$1</f>
        <v>San Antonio, TX</v>
      </c>
      <c r="C773" t="s">
        <v>177</v>
      </c>
      <c r="D773" t="str">
        <f>Graph_Ortho!$M$6</f>
        <v>HPSP20</v>
      </c>
      <c r="E773" t="str">
        <f t="shared" si="12"/>
        <v>Orthopedics HPSP20</v>
      </c>
      <c r="F773">
        <f>Graph_Ortho!$A28</f>
        <v>2034</v>
      </c>
      <c r="G773">
        <f>Graph_Ortho!$B28</f>
        <v>22</v>
      </c>
      <c r="H773" s="165">
        <f>Graph_Ortho!$M28</f>
        <v>1420459.0781527807</v>
      </c>
      <c r="I773" s="160">
        <f>InputData!$C$3</f>
        <v>0.02</v>
      </c>
      <c r="J773" s="160">
        <f>InputData!$C$4</f>
        <v>0.01</v>
      </c>
      <c r="K773" s="160">
        <f>InputData!$C$5</f>
        <v>0.01</v>
      </c>
      <c r="L773" s="160">
        <f>InputData!$C$6</f>
        <v>6.2100000000000002E-2</v>
      </c>
      <c r="M773" s="160">
        <f>InputData!$C$7</f>
        <v>0.03</v>
      </c>
      <c r="N773" s="160">
        <f>InputData!$C$8</f>
        <v>0.02</v>
      </c>
      <c r="O773" s="160">
        <f>InputData!$C$9</f>
        <v>0.06</v>
      </c>
      <c r="P773" s="160">
        <f>InputData!$C$10</f>
        <v>0.02</v>
      </c>
      <c r="Q773" s="160">
        <f>InputData!$C$11</f>
        <v>0.02</v>
      </c>
      <c r="R773" s="160">
        <f>InputData!$C$12</f>
        <v>0.02</v>
      </c>
      <c r="S773" s="160">
        <f>InputData!$C$13</f>
        <v>0.9</v>
      </c>
      <c r="T773" s="116">
        <f>InputData!$C$88</f>
        <v>180000</v>
      </c>
      <c r="U773" s="116">
        <f>InputData!$C$81</f>
        <v>178500</v>
      </c>
      <c r="V773" s="116">
        <f>InputData!$C$82</f>
        <v>303960</v>
      </c>
      <c r="W773" s="116">
        <f>InputData!$C$84</f>
        <v>215220</v>
      </c>
      <c r="X773" s="116">
        <f>InputData!$C$85</f>
        <v>409020</v>
      </c>
      <c r="Y773" s="116">
        <f>InputData!$C$116</f>
        <v>140000</v>
      </c>
      <c r="Z773" s="160">
        <f>InputData!$E$13</f>
        <v>0</v>
      </c>
    </row>
    <row r="774" spans="1:26" x14ac:dyDescent="0.25">
      <c r="A774">
        <f>InputData!$K$1</f>
        <v>2013</v>
      </c>
      <c r="B774" t="str">
        <f>InputData!$G$1</f>
        <v>San Antonio, TX</v>
      </c>
      <c r="C774" t="s">
        <v>177</v>
      </c>
      <c r="D774" t="str">
        <f>Graph_Ortho!$M$6</f>
        <v>HPSP20</v>
      </c>
      <c r="E774" t="str">
        <f t="shared" si="12"/>
        <v>Orthopedics HPSP20</v>
      </c>
      <c r="F774">
        <f>Graph_Ortho!$A29</f>
        <v>2035</v>
      </c>
      <c r="G774">
        <f>Graph_Ortho!$B29</f>
        <v>23</v>
      </c>
      <c r="H774" s="165">
        <f>Graph_Ortho!$M29</f>
        <v>1500773.4525789071</v>
      </c>
      <c r="I774" s="160">
        <f>InputData!$C$3</f>
        <v>0.02</v>
      </c>
      <c r="J774" s="160">
        <f>InputData!$C$4</f>
        <v>0.01</v>
      </c>
      <c r="K774" s="160">
        <f>InputData!$C$5</f>
        <v>0.01</v>
      </c>
      <c r="L774" s="160">
        <f>InputData!$C$6</f>
        <v>6.2100000000000002E-2</v>
      </c>
      <c r="M774" s="160">
        <f>InputData!$C$7</f>
        <v>0.03</v>
      </c>
      <c r="N774" s="160">
        <f>InputData!$C$8</f>
        <v>0.02</v>
      </c>
      <c r="O774" s="160">
        <f>InputData!$C$9</f>
        <v>0.06</v>
      </c>
      <c r="P774" s="160">
        <f>InputData!$C$10</f>
        <v>0.02</v>
      </c>
      <c r="Q774" s="160">
        <f>InputData!$C$11</f>
        <v>0.02</v>
      </c>
      <c r="R774" s="160">
        <f>InputData!$C$12</f>
        <v>0.02</v>
      </c>
      <c r="S774" s="160">
        <f>InputData!$C$13</f>
        <v>0.9</v>
      </c>
      <c r="T774" s="116">
        <f>InputData!$C$88</f>
        <v>180000</v>
      </c>
      <c r="U774" s="116">
        <f>InputData!$C$81</f>
        <v>178500</v>
      </c>
      <c r="V774" s="116">
        <f>InputData!$C$82</f>
        <v>303960</v>
      </c>
      <c r="W774" s="116">
        <f>InputData!$C$84</f>
        <v>215220</v>
      </c>
      <c r="X774" s="116">
        <f>InputData!$C$85</f>
        <v>409020</v>
      </c>
      <c r="Y774" s="116">
        <f>InputData!$C$116</f>
        <v>140000</v>
      </c>
      <c r="Z774" s="160">
        <f>InputData!$E$13</f>
        <v>0</v>
      </c>
    </row>
    <row r="775" spans="1:26" x14ac:dyDescent="0.25">
      <c r="A775">
        <f>InputData!$K$1</f>
        <v>2013</v>
      </c>
      <c r="B775" t="str">
        <f>InputData!$G$1</f>
        <v>San Antonio, TX</v>
      </c>
      <c r="C775" t="s">
        <v>177</v>
      </c>
      <c r="D775" t="str">
        <f>Graph_Ortho!$M$6</f>
        <v>HPSP20</v>
      </c>
      <c r="E775" t="str">
        <f t="shared" si="12"/>
        <v>Orthopedics HPSP20</v>
      </c>
      <c r="F775">
        <f>Graph_Ortho!$A30</f>
        <v>2036</v>
      </c>
      <c r="G775">
        <f>Graph_Ortho!$B30</f>
        <v>24</v>
      </c>
      <c r="H775" s="165">
        <f>Graph_Ortho!$M30</f>
        <v>1578037.924311412</v>
      </c>
      <c r="I775" s="160">
        <f>InputData!$C$3</f>
        <v>0.02</v>
      </c>
      <c r="J775" s="160">
        <f>InputData!$C$4</f>
        <v>0.01</v>
      </c>
      <c r="K775" s="160">
        <f>InputData!$C$5</f>
        <v>0.01</v>
      </c>
      <c r="L775" s="160">
        <f>InputData!$C$6</f>
        <v>6.2100000000000002E-2</v>
      </c>
      <c r="M775" s="160">
        <f>InputData!$C$7</f>
        <v>0.03</v>
      </c>
      <c r="N775" s="160">
        <f>InputData!$C$8</f>
        <v>0.02</v>
      </c>
      <c r="O775" s="160">
        <f>InputData!$C$9</f>
        <v>0.06</v>
      </c>
      <c r="P775" s="160">
        <f>InputData!$C$10</f>
        <v>0.02</v>
      </c>
      <c r="Q775" s="160">
        <f>InputData!$C$11</f>
        <v>0.02</v>
      </c>
      <c r="R775" s="160">
        <f>InputData!$C$12</f>
        <v>0.02</v>
      </c>
      <c r="S775" s="160">
        <f>InputData!$C$13</f>
        <v>0.9</v>
      </c>
      <c r="T775" s="116">
        <f>InputData!$C$88</f>
        <v>180000</v>
      </c>
      <c r="U775" s="116">
        <f>InputData!$C$81</f>
        <v>178500</v>
      </c>
      <c r="V775" s="116">
        <f>InputData!$C$82</f>
        <v>303960</v>
      </c>
      <c r="W775" s="116">
        <f>InputData!$C$84</f>
        <v>215220</v>
      </c>
      <c r="X775" s="116">
        <f>InputData!$C$85</f>
        <v>409020</v>
      </c>
      <c r="Y775" s="116">
        <f>InputData!$C$116</f>
        <v>140000</v>
      </c>
      <c r="Z775" s="160">
        <f>InputData!$E$13</f>
        <v>0</v>
      </c>
    </row>
    <row r="776" spans="1:26" x14ac:dyDescent="0.25">
      <c r="A776">
        <f>InputData!$K$1</f>
        <v>2013</v>
      </c>
      <c r="B776" t="str">
        <f>InputData!$G$1</f>
        <v>San Antonio, TX</v>
      </c>
      <c r="C776" t="s">
        <v>177</v>
      </c>
      <c r="D776" t="str">
        <f>Graph_Ortho!$M$6</f>
        <v>HPSP20</v>
      </c>
      <c r="E776" t="str">
        <f t="shared" si="12"/>
        <v>Orthopedics HPSP20</v>
      </c>
      <c r="F776">
        <f>Graph_Ortho!$A31</f>
        <v>2037</v>
      </c>
      <c r="G776">
        <f>Graph_Ortho!$B31</f>
        <v>25</v>
      </c>
      <c r="H776" s="165">
        <f>Graph_Ortho!$M31</f>
        <v>1645313.7560602841</v>
      </c>
      <c r="I776" s="160">
        <f>InputData!$C$3</f>
        <v>0.02</v>
      </c>
      <c r="J776" s="160">
        <f>InputData!$C$4</f>
        <v>0.01</v>
      </c>
      <c r="K776" s="160">
        <f>InputData!$C$5</f>
        <v>0.01</v>
      </c>
      <c r="L776" s="160">
        <f>InputData!$C$6</f>
        <v>6.2100000000000002E-2</v>
      </c>
      <c r="M776" s="160">
        <f>InputData!$C$7</f>
        <v>0.03</v>
      </c>
      <c r="N776" s="160">
        <f>InputData!$C$8</f>
        <v>0.02</v>
      </c>
      <c r="O776" s="160">
        <f>InputData!$C$9</f>
        <v>0.06</v>
      </c>
      <c r="P776" s="160">
        <f>InputData!$C$10</f>
        <v>0.02</v>
      </c>
      <c r="Q776" s="160">
        <f>InputData!$C$11</f>
        <v>0.02</v>
      </c>
      <c r="R776" s="160">
        <f>InputData!$C$12</f>
        <v>0.02</v>
      </c>
      <c r="S776" s="160">
        <f>InputData!$C$13</f>
        <v>0.9</v>
      </c>
      <c r="T776" s="116">
        <f>InputData!$C$88</f>
        <v>180000</v>
      </c>
      <c r="U776" s="116">
        <f>InputData!$C$81</f>
        <v>178500</v>
      </c>
      <c r="V776" s="116">
        <f>InputData!$C$82</f>
        <v>303960</v>
      </c>
      <c r="W776" s="116">
        <f>InputData!$C$84</f>
        <v>215220</v>
      </c>
      <c r="X776" s="116">
        <f>InputData!$C$85</f>
        <v>409020</v>
      </c>
      <c r="Y776" s="116">
        <f>InputData!$C$116</f>
        <v>140000</v>
      </c>
      <c r="Z776" s="160">
        <f>InputData!$E$13</f>
        <v>0</v>
      </c>
    </row>
    <row r="777" spans="1:26" x14ac:dyDescent="0.25">
      <c r="A777">
        <f>InputData!$K$1</f>
        <v>2013</v>
      </c>
      <c r="B777" t="str">
        <f>InputData!$G$1</f>
        <v>San Antonio, TX</v>
      </c>
      <c r="C777" t="s">
        <v>177</v>
      </c>
      <c r="D777" t="str">
        <f>Graph_Ortho!$M$6</f>
        <v>HPSP20</v>
      </c>
      <c r="E777" t="str">
        <f t="shared" si="12"/>
        <v>Orthopedics HPSP20</v>
      </c>
      <c r="F777">
        <f>Graph_Ortho!$A32</f>
        <v>2038</v>
      </c>
      <c r="G777">
        <f>Graph_Ortho!$B32</f>
        <v>26</v>
      </c>
      <c r="H777" s="165">
        <f>Graph_Ortho!$M32</f>
        <v>1796055.4613695571</v>
      </c>
      <c r="I777" s="160">
        <f>InputData!$C$3</f>
        <v>0.02</v>
      </c>
      <c r="J777" s="160">
        <f>InputData!$C$4</f>
        <v>0.01</v>
      </c>
      <c r="K777" s="160">
        <f>InputData!$C$5</f>
        <v>0.01</v>
      </c>
      <c r="L777" s="160">
        <f>InputData!$C$6</f>
        <v>6.2100000000000002E-2</v>
      </c>
      <c r="M777" s="160">
        <f>InputData!$C$7</f>
        <v>0.03</v>
      </c>
      <c r="N777" s="160">
        <f>InputData!$C$8</f>
        <v>0.02</v>
      </c>
      <c r="O777" s="160">
        <f>InputData!$C$9</f>
        <v>0.06</v>
      </c>
      <c r="P777" s="160">
        <f>InputData!$C$10</f>
        <v>0.02</v>
      </c>
      <c r="Q777" s="160">
        <f>InputData!$C$11</f>
        <v>0.02</v>
      </c>
      <c r="R777" s="160">
        <f>InputData!$C$12</f>
        <v>0.02</v>
      </c>
      <c r="S777" s="160">
        <f>InputData!$C$13</f>
        <v>0.9</v>
      </c>
      <c r="T777" s="116">
        <f>InputData!$C$88</f>
        <v>180000</v>
      </c>
      <c r="U777" s="116">
        <f>InputData!$C$81</f>
        <v>178500</v>
      </c>
      <c r="V777" s="116">
        <f>InputData!$C$82</f>
        <v>303960</v>
      </c>
      <c r="W777" s="116">
        <f>InputData!$C$84</f>
        <v>215220</v>
      </c>
      <c r="X777" s="116">
        <f>InputData!$C$85</f>
        <v>409020</v>
      </c>
      <c r="Y777" s="116">
        <f>InputData!$C$116</f>
        <v>140000</v>
      </c>
      <c r="Z777" s="160">
        <f>InputData!$E$13</f>
        <v>0</v>
      </c>
    </row>
    <row r="778" spans="1:26" x14ac:dyDescent="0.25">
      <c r="A778">
        <f>InputData!$K$1</f>
        <v>2013</v>
      </c>
      <c r="B778" t="str">
        <f>InputData!$G$1</f>
        <v>San Antonio, TX</v>
      </c>
      <c r="C778" t="s">
        <v>177</v>
      </c>
      <c r="D778" t="str">
        <f>Graph_Ortho!$M$6</f>
        <v>HPSP20</v>
      </c>
      <c r="E778" t="str">
        <f t="shared" si="12"/>
        <v>Orthopedics HPSP20</v>
      </c>
      <c r="F778">
        <f>Graph_Ortho!$A33</f>
        <v>2039</v>
      </c>
      <c r="G778">
        <f>Graph_Ortho!$B33</f>
        <v>27</v>
      </c>
      <c r="H778" s="165">
        <f>Graph_Ortho!$M33</f>
        <v>1943426.7186859977</v>
      </c>
      <c r="I778" s="160">
        <f>InputData!$C$3</f>
        <v>0.02</v>
      </c>
      <c r="J778" s="160">
        <f>InputData!$C$4</f>
        <v>0.01</v>
      </c>
      <c r="K778" s="160">
        <f>InputData!$C$5</f>
        <v>0.01</v>
      </c>
      <c r="L778" s="160">
        <f>InputData!$C$6</f>
        <v>6.2100000000000002E-2</v>
      </c>
      <c r="M778" s="160">
        <f>InputData!$C$7</f>
        <v>0.03</v>
      </c>
      <c r="N778" s="160">
        <f>InputData!$C$8</f>
        <v>0.02</v>
      </c>
      <c r="O778" s="160">
        <f>InputData!$C$9</f>
        <v>0.06</v>
      </c>
      <c r="P778" s="160">
        <f>InputData!$C$10</f>
        <v>0.02</v>
      </c>
      <c r="Q778" s="160">
        <f>InputData!$C$11</f>
        <v>0.02</v>
      </c>
      <c r="R778" s="160">
        <f>InputData!$C$12</f>
        <v>0.02</v>
      </c>
      <c r="S778" s="160">
        <f>InputData!$C$13</f>
        <v>0.9</v>
      </c>
      <c r="T778" s="116">
        <f>InputData!$C$88</f>
        <v>180000</v>
      </c>
      <c r="U778" s="116">
        <f>InputData!$C$81</f>
        <v>178500</v>
      </c>
      <c r="V778" s="116">
        <f>InputData!$C$82</f>
        <v>303960</v>
      </c>
      <c r="W778" s="116">
        <f>InputData!$C$84</f>
        <v>215220</v>
      </c>
      <c r="X778" s="116">
        <f>InputData!$C$85</f>
        <v>409020</v>
      </c>
      <c r="Y778" s="116">
        <f>InputData!$C$116</f>
        <v>140000</v>
      </c>
      <c r="Z778" s="160">
        <f>InputData!$E$13</f>
        <v>0</v>
      </c>
    </row>
    <row r="779" spans="1:26" x14ac:dyDescent="0.25">
      <c r="A779">
        <f>InputData!$K$1</f>
        <v>2013</v>
      </c>
      <c r="B779" t="str">
        <f>InputData!$G$1</f>
        <v>San Antonio, TX</v>
      </c>
      <c r="C779" t="s">
        <v>177</v>
      </c>
      <c r="D779" t="str">
        <f>Graph_Ortho!$M$6</f>
        <v>HPSP20</v>
      </c>
      <c r="E779" t="str">
        <f t="shared" si="12"/>
        <v>Orthopedics HPSP20</v>
      </c>
      <c r="F779">
        <f>Graph_Ortho!$A34</f>
        <v>2040</v>
      </c>
      <c r="G779">
        <f>Graph_Ortho!$B34</f>
        <v>28</v>
      </c>
      <c r="H779" s="165">
        <f>Graph_Ortho!$M34</f>
        <v>2087508.015140221</v>
      </c>
      <c r="I779" s="160">
        <f>InputData!$C$3</f>
        <v>0.02</v>
      </c>
      <c r="J779" s="160">
        <f>InputData!$C$4</f>
        <v>0.01</v>
      </c>
      <c r="K779" s="160">
        <f>InputData!$C$5</f>
        <v>0.01</v>
      </c>
      <c r="L779" s="160">
        <f>InputData!$C$6</f>
        <v>6.2100000000000002E-2</v>
      </c>
      <c r="M779" s="160">
        <f>InputData!$C$7</f>
        <v>0.03</v>
      </c>
      <c r="N779" s="160">
        <f>InputData!$C$8</f>
        <v>0.02</v>
      </c>
      <c r="O779" s="160">
        <f>InputData!$C$9</f>
        <v>0.06</v>
      </c>
      <c r="P779" s="160">
        <f>InputData!$C$10</f>
        <v>0.02</v>
      </c>
      <c r="Q779" s="160">
        <f>InputData!$C$11</f>
        <v>0.02</v>
      </c>
      <c r="R779" s="160">
        <f>InputData!$C$12</f>
        <v>0.02</v>
      </c>
      <c r="S779" s="160">
        <f>InputData!$C$13</f>
        <v>0.9</v>
      </c>
      <c r="T779" s="116">
        <f>InputData!$C$88</f>
        <v>180000</v>
      </c>
      <c r="U779" s="116">
        <f>InputData!$C$81</f>
        <v>178500</v>
      </c>
      <c r="V779" s="116">
        <f>InputData!$C$82</f>
        <v>303960</v>
      </c>
      <c r="W779" s="116">
        <f>InputData!$C$84</f>
        <v>215220</v>
      </c>
      <c r="X779" s="116">
        <f>InputData!$C$85</f>
        <v>409020</v>
      </c>
      <c r="Y779" s="116">
        <f>InputData!$C$116</f>
        <v>140000</v>
      </c>
      <c r="Z779" s="160">
        <f>InputData!$E$13</f>
        <v>0</v>
      </c>
    </row>
    <row r="780" spans="1:26" x14ac:dyDescent="0.25">
      <c r="A780">
        <f>InputData!$K$1</f>
        <v>2013</v>
      </c>
      <c r="B780" t="str">
        <f>InputData!$G$1</f>
        <v>San Antonio, TX</v>
      </c>
      <c r="C780" t="s">
        <v>177</v>
      </c>
      <c r="D780" t="str">
        <f>Graph_Ortho!$M$6</f>
        <v>HPSP20</v>
      </c>
      <c r="E780" t="str">
        <f t="shared" si="12"/>
        <v>Orthopedics HPSP20</v>
      </c>
      <c r="F780">
        <f>Graph_Ortho!$A35</f>
        <v>2041</v>
      </c>
      <c r="G780">
        <f>Graph_Ortho!$B35</f>
        <v>29</v>
      </c>
      <c r="H780" s="165">
        <f>Graph_Ortho!$M35</f>
        <v>2228377.7505959617</v>
      </c>
      <c r="I780" s="160">
        <f>InputData!$C$3</f>
        <v>0.02</v>
      </c>
      <c r="J780" s="160">
        <f>InputData!$C$4</f>
        <v>0.01</v>
      </c>
      <c r="K780" s="160">
        <f>InputData!$C$5</f>
        <v>0.01</v>
      </c>
      <c r="L780" s="160">
        <f>InputData!$C$6</f>
        <v>6.2100000000000002E-2</v>
      </c>
      <c r="M780" s="160">
        <f>InputData!$C$7</f>
        <v>0.03</v>
      </c>
      <c r="N780" s="160">
        <f>InputData!$C$8</f>
        <v>0.02</v>
      </c>
      <c r="O780" s="160">
        <f>InputData!$C$9</f>
        <v>0.06</v>
      </c>
      <c r="P780" s="160">
        <f>InputData!$C$10</f>
        <v>0.02</v>
      </c>
      <c r="Q780" s="160">
        <f>InputData!$C$11</f>
        <v>0.02</v>
      </c>
      <c r="R780" s="160">
        <f>InputData!$C$12</f>
        <v>0.02</v>
      </c>
      <c r="S780" s="160">
        <f>InputData!$C$13</f>
        <v>0.9</v>
      </c>
      <c r="T780" s="116">
        <f>InputData!$C$88</f>
        <v>180000</v>
      </c>
      <c r="U780" s="116">
        <f>InputData!$C$81</f>
        <v>178500</v>
      </c>
      <c r="V780" s="116">
        <f>InputData!$C$82</f>
        <v>303960</v>
      </c>
      <c r="W780" s="116">
        <f>InputData!$C$84</f>
        <v>215220</v>
      </c>
      <c r="X780" s="116">
        <f>InputData!$C$85</f>
        <v>409020</v>
      </c>
      <c r="Y780" s="116">
        <f>InputData!$C$116</f>
        <v>140000</v>
      </c>
      <c r="Z780" s="160">
        <f>InputData!$E$13</f>
        <v>0</v>
      </c>
    </row>
    <row r="781" spans="1:26" x14ac:dyDescent="0.25">
      <c r="A781">
        <f>InputData!$K$1</f>
        <v>2013</v>
      </c>
      <c r="B781" t="str">
        <f>InputData!$G$1</f>
        <v>San Antonio, TX</v>
      </c>
      <c r="C781" t="s">
        <v>177</v>
      </c>
      <c r="D781" t="str">
        <f>Graph_Ortho!$M$6</f>
        <v>HPSP20</v>
      </c>
      <c r="E781" t="str">
        <f t="shared" si="12"/>
        <v>Orthopedics HPSP20</v>
      </c>
      <c r="F781">
        <f>Graph_Ortho!$A36</f>
        <v>2042</v>
      </c>
      <c r="G781">
        <f>Graph_Ortho!$B36</f>
        <v>30</v>
      </c>
      <c r="H781" s="165">
        <f>Graph_Ortho!$M36</f>
        <v>2366112.2968700458</v>
      </c>
      <c r="I781" s="160">
        <f>InputData!$C$3</f>
        <v>0.02</v>
      </c>
      <c r="J781" s="160">
        <f>InputData!$C$4</f>
        <v>0.01</v>
      </c>
      <c r="K781" s="160">
        <f>InputData!$C$5</f>
        <v>0.01</v>
      </c>
      <c r="L781" s="160">
        <f>InputData!$C$6</f>
        <v>6.2100000000000002E-2</v>
      </c>
      <c r="M781" s="160">
        <f>InputData!$C$7</f>
        <v>0.03</v>
      </c>
      <c r="N781" s="160">
        <f>InputData!$C$8</f>
        <v>0.02</v>
      </c>
      <c r="O781" s="160">
        <f>InputData!$C$9</f>
        <v>0.06</v>
      </c>
      <c r="P781" s="160">
        <f>InputData!$C$10</f>
        <v>0.02</v>
      </c>
      <c r="Q781" s="160">
        <f>InputData!$C$11</f>
        <v>0.02</v>
      </c>
      <c r="R781" s="160">
        <f>InputData!$C$12</f>
        <v>0.02</v>
      </c>
      <c r="S781" s="160">
        <f>InputData!$C$13</f>
        <v>0.9</v>
      </c>
      <c r="T781" s="116">
        <f>InputData!$C$88</f>
        <v>180000</v>
      </c>
      <c r="U781" s="116">
        <f>InputData!$C$81</f>
        <v>178500</v>
      </c>
      <c r="V781" s="116">
        <f>InputData!$C$82</f>
        <v>303960</v>
      </c>
      <c r="W781" s="116">
        <f>InputData!$C$84</f>
        <v>215220</v>
      </c>
      <c r="X781" s="116">
        <f>InputData!$C$85</f>
        <v>409020</v>
      </c>
      <c r="Y781" s="116">
        <f>InputData!$C$116</f>
        <v>140000</v>
      </c>
      <c r="Z781" s="160">
        <f>InputData!$E$13</f>
        <v>0</v>
      </c>
    </row>
    <row r="782" spans="1:26" x14ac:dyDescent="0.25">
      <c r="A782">
        <f>InputData!$K$1</f>
        <v>2013</v>
      </c>
      <c r="B782" t="str">
        <f>InputData!$G$1</f>
        <v>San Antonio, TX</v>
      </c>
      <c r="C782" t="s">
        <v>177</v>
      </c>
      <c r="D782" t="str">
        <f>Graph_Ortho!$N$6</f>
        <v>USUim</v>
      </c>
      <c r="E782" t="str">
        <f t="shared" si="12"/>
        <v>Orthopedics USUim</v>
      </c>
      <c r="F782">
        <f>Graph_Ortho!$A7</f>
        <v>2013</v>
      </c>
      <c r="G782">
        <f>Graph_Ortho!$B7</f>
        <v>1</v>
      </c>
      <c r="H782" s="165">
        <f>Graph_Ortho!$N7</f>
        <v>54056.194799999997</v>
      </c>
      <c r="I782" s="160">
        <f>InputData!$C$3</f>
        <v>0.02</v>
      </c>
      <c r="J782" s="160">
        <f>InputData!$C$4</f>
        <v>0.01</v>
      </c>
      <c r="K782" s="160">
        <f>InputData!$C$5</f>
        <v>0.01</v>
      </c>
      <c r="L782" s="160">
        <f>InputData!$C$6</f>
        <v>6.2100000000000002E-2</v>
      </c>
      <c r="M782" s="160">
        <f>InputData!$C$7</f>
        <v>0.03</v>
      </c>
      <c r="N782" s="160">
        <f>InputData!$C$8</f>
        <v>0.02</v>
      </c>
      <c r="O782" s="160">
        <f>InputData!$C$9</f>
        <v>0.06</v>
      </c>
      <c r="P782" s="160">
        <f>InputData!$C$10</f>
        <v>0.02</v>
      </c>
      <c r="Q782" s="160">
        <f>InputData!$C$11</f>
        <v>0.02</v>
      </c>
      <c r="R782" s="160">
        <f>InputData!$C$12</f>
        <v>0.02</v>
      </c>
      <c r="S782" s="160">
        <f>InputData!$C$13</f>
        <v>0.9</v>
      </c>
      <c r="T782" s="116">
        <f>InputData!$C$88</f>
        <v>180000</v>
      </c>
      <c r="U782" s="116">
        <f>InputData!$C$81</f>
        <v>178500</v>
      </c>
      <c r="V782" s="116">
        <f>InputData!$C$82</f>
        <v>303960</v>
      </c>
      <c r="W782" s="116">
        <f>InputData!$C$84</f>
        <v>215220</v>
      </c>
      <c r="X782" s="116">
        <f>InputData!$C$85</f>
        <v>409020</v>
      </c>
      <c r="Y782" s="116">
        <f>InputData!$C$116</f>
        <v>140000</v>
      </c>
      <c r="Z782" s="160">
        <f>InputData!$E$13</f>
        <v>0</v>
      </c>
    </row>
    <row r="783" spans="1:26" x14ac:dyDescent="0.25">
      <c r="A783">
        <f>InputData!$K$1</f>
        <v>2013</v>
      </c>
      <c r="B783" t="str">
        <f>InputData!$G$1</f>
        <v>San Antonio, TX</v>
      </c>
      <c r="C783" t="s">
        <v>177</v>
      </c>
      <c r="D783" t="str">
        <f>Graph_Ortho!$N$6</f>
        <v>USUim</v>
      </c>
      <c r="E783" t="str">
        <f t="shared" si="12"/>
        <v>Orthopedics USUim</v>
      </c>
      <c r="F783">
        <f>Graph_Ortho!$A8</f>
        <v>2014</v>
      </c>
      <c r="G783">
        <f>Graph_Ortho!$B8</f>
        <v>2</v>
      </c>
      <c r="H783" s="165">
        <f>Graph_Ortho!$N8</f>
        <v>106041.93556527697</v>
      </c>
      <c r="I783" s="160">
        <f>InputData!$C$3</f>
        <v>0.02</v>
      </c>
      <c r="J783" s="160">
        <f>InputData!$C$4</f>
        <v>0.01</v>
      </c>
      <c r="K783" s="160">
        <f>InputData!$C$5</f>
        <v>0.01</v>
      </c>
      <c r="L783" s="160">
        <f>InputData!$C$6</f>
        <v>6.2100000000000002E-2</v>
      </c>
      <c r="M783" s="160">
        <f>InputData!$C$7</f>
        <v>0.03</v>
      </c>
      <c r="N783" s="160">
        <f>InputData!$C$8</f>
        <v>0.02</v>
      </c>
      <c r="O783" s="160">
        <f>InputData!$C$9</f>
        <v>0.06</v>
      </c>
      <c r="P783" s="160">
        <f>InputData!$C$10</f>
        <v>0.02</v>
      </c>
      <c r="Q783" s="160">
        <f>InputData!$C$11</f>
        <v>0.02</v>
      </c>
      <c r="R783" s="160">
        <f>InputData!$C$12</f>
        <v>0.02</v>
      </c>
      <c r="S783" s="160">
        <f>InputData!$C$13</f>
        <v>0.9</v>
      </c>
      <c r="T783" s="116">
        <f>InputData!$C$88</f>
        <v>180000</v>
      </c>
      <c r="U783" s="116">
        <f>InputData!$C$81</f>
        <v>178500</v>
      </c>
      <c r="V783" s="116">
        <f>InputData!$C$82</f>
        <v>303960</v>
      </c>
      <c r="W783" s="116">
        <f>InputData!$C$84</f>
        <v>215220</v>
      </c>
      <c r="X783" s="116">
        <f>InputData!$C$85</f>
        <v>409020</v>
      </c>
      <c r="Y783" s="116">
        <f>InputData!$C$116</f>
        <v>140000</v>
      </c>
      <c r="Z783" s="160">
        <f>InputData!$E$13</f>
        <v>0</v>
      </c>
    </row>
    <row r="784" spans="1:26" x14ac:dyDescent="0.25">
      <c r="A784">
        <f>InputData!$K$1</f>
        <v>2013</v>
      </c>
      <c r="B784" t="str">
        <f>InputData!$G$1</f>
        <v>San Antonio, TX</v>
      </c>
      <c r="C784" t="s">
        <v>177</v>
      </c>
      <c r="D784" t="str">
        <f>Graph_Ortho!$N$6</f>
        <v>USUim</v>
      </c>
      <c r="E784" t="str">
        <f t="shared" si="12"/>
        <v>Orthopedics USUim</v>
      </c>
      <c r="F784">
        <f>Graph_Ortho!$A9</f>
        <v>2015</v>
      </c>
      <c r="G784">
        <f>Graph_Ortho!$B9</f>
        <v>3</v>
      </c>
      <c r="H784" s="165">
        <f>Graph_Ortho!$N9</f>
        <v>157045.52189700573</v>
      </c>
      <c r="I784" s="160">
        <f>InputData!$C$3</f>
        <v>0.02</v>
      </c>
      <c r="J784" s="160">
        <f>InputData!$C$4</f>
        <v>0.01</v>
      </c>
      <c r="K784" s="160">
        <f>InputData!$C$5</f>
        <v>0.01</v>
      </c>
      <c r="L784" s="160">
        <f>InputData!$C$6</f>
        <v>6.2100000000000002E-2</v>
      </c>
      <c r="M784" s="160">
        <f>InputData!$C$7</f>
        <v>0.03</v>
      </c>
      <c r="N784" s="160">
        <f>InputData!$C$8</f>
        <v>0.02</v>
      </c>
      <c r="O784" s="160">
        <f>InputData!$C$9</f>
        <v>0.06</v>
      </c>
      <c r="P784" s="160">
        <f>InputData!$C$10</f>
        <v>0.02</v>
      </c>
      <c r="Q784" s="160">
        <f>InputData!$C$11</f>
        <v>0.02</v>
      </c>
      <c r="R784" s="160">
        <f>InputData!$C$12</f>
        <v>0.02</v>
      </c>
      <c r="S784" s="160">
        <f>InputData!$C$13</f>
        <v>0.9</v>
      </c>
      <c r="T784" s="116">
        <f>InputData!$C$88</f>
        <v>180000</v>
      </c>
      <c r="U784" s="116">
        <f>InputData!$C$81</f>
        <v>178500</v>
      </c>
      <c r="V784" s="116">
        <f>InputData!$C$82</f>
        <v>303960</v>
      </c>
      <c r="W784" s="116">
        <f>InputData!$C$84</f>
        <v>215220</v>
      </c>
      <c r="X784" s="116">
        <f>InputData!$C$85</f>
        <v>409020</v>
      </c>
      <c r="Y784" s="116">
        <f>InputData!$C$116</f>
        <v>140000</v>
      </c>
      <c r="Z784" s="160">
        <f>InputData!$E$13</f>
        <v>0</v>
      </c>
    </row>
    <row r="785" spans="1:26" x14ac:dyDescent="0.25">
      <c r="A785">
        <f>InputData!$K$1</f>
        <v>2013</v>
      </c>
      <c r="B785" t="str">
        <f>InputData!$G$1</f>
        <v>San Antonio, TX</v>
      </c>
      <c r="C785" t="s">
        <v>177</v>
      </c>
      <c r="D785" t="str">
        <f>Graph_Ortho!$N$6</f>
        <v>USUim</v>
      </c>
      <c r="E785" t="str">
        <f t="shared" si="12"/>
        <v>Orthopedics USUim</v>
      </c>
      <c r="F785">
        <f>Graph_Ortho!$A10</f>
        <v>2016</v>
      </c>
      <c r="G785">
        <f>Graph_Ortho!$B10</f>
        <v>4</v>
      </c>
      <c r="H785" s="165">
        <f>Graph_Ortho!$N10</f>
        <v>211251.55229740124</v>
      </c>
      <c r="I785" s="160">
        <f>InputData!$C$3</f>
        <v>0.02</v>
      </c>
      <c r="J785" s="160">
        <f>InputData!$C$4</f>
        <v>0.01</v>
      </c>
      <c r="K785" s="160">
        <f>InputData!$C$5</f>
        <v>0.01</v>
      </c>
      <c r="L785" s="160">
        <f>InputData!$C$6</f>
        <v>6.2100000000000002E-2</v>
      </c>
      <c r="M785" s="160">
        <f>InputData!$C$7</f>
        <v>0.03</v>
      </c>
      <c r="N785" s="160">
        <f>InputData!$C$8</f>
        <v>0.02</v>
      </c>
      <c r="O785" s="160">
        <f>InputData!$C$9</f>
        <v>0.06</v>
      </c>
      <c r="P785" s="160">
        <f>InputData!$C$10</f>
        <v>0.02</v>
      </c>
      <c r="Q785" s="160">
        <f>InputData!$C$11</f>
        <v>0.02</v>
      </c>
      <c r="R785" s="160">
        <f>InputData!$C$12</f>
        <v>0.02</v>
      </c>
      <c r="S785" s="160">
        <f>InputData!$C$13</f>
        <v>0.9</v>
      </c>
      <c r="T785" s="116">
        <f>InputData!$C$88</f>
        <v>180000</v>
      </c>
      <c r="U785" s="116">
        <f>InputData!$C$81</f>
        <v>178500</v>
      </c>
      <c r="V785" s="116">
        <f>InputData!$C$82</f>
        <v>303960</v>
      </c>
      <c r="W785" s="116">
        <f>InputData!$C$84</f>
        <v>215220</v>
      </c>
      <c r="X785" s="116">
        <f>InputData!$C$85</f>
        <v>409020</v>
      </c>
      <c r="Y785" s="116">
        <f>InputData!$C$116</f>
        <v>140000</v>
      </c>
      <c r="Z785" s="160">
        <f>InputData!$E$13</f>
        <v>0</v>
      </c>
    </row>
    <row r="786" spans="1:26" x14ac:dyDescent="0.25">
      <c r="A786">
        <f>InputData!$K$1</f>
        <v>2013</v>
      </c>
      <c r="B786" t="str">
        <f>InputData!$G$1</f>
        <v>San Antonio, TX</v>
      </c>
      <c r="C786" t="s">
        <v>177</v>
      </c>
      <c r="D786" t="str">
        <f>Graph_Ortho!$N$6</f>
        <v>USUim</v>
      </c>
      <c r="E786" t="str">
        <f t="shared" si="12"/>
        <v>Orthopedics USUim</v>
      </c>
      <c r="F786">
        <f>Graph_Ortho!$A11</f>
        <v>2017</v>
      </c>
      <c r="G786">
        <f>Graph_Ortho!$B11</f>
        <v>5</v>
      </c>
      <c r="H786" s="165">
        <f>Graph_Ortho!$N11</f>
        <v>261213.54479899554</v>
      </c>
      <c r="I786" s="160">
        <f>InputData!$C$3</f>
        <v>0.02</v>
      </c>
      <c r="J786" s="160">
        <f>InputData!$C$4</f>
        <v>0.01</v>
      </c>
      <c r="K786" s="160">
        <f>InputData!$C$5</f>
        <v>0.01</v>
      </c>
      <c r="L786" s="160">
        <f>InputData!$C$6</f>
        <v>6.2100000000000002E-2</v>
      </c>
      <c r="M786" s="160">
        <f>InputData!$C$7</f>
        <v>0.03</v>
      </c>
      <c r="N786" s="160">
        <f>InputData!$C$8</f>
        <v>0.02</v>
      </c>
      <c r="O786" s="160">
        <f>InputData!$C$9</f>
        <v>0.06</v>
      </c>
      <c r="P786" s="160">
        <f>InputData!$C$10</f>
        <v>0.02</v>
      </c>
      <c r="Q786" s="160">
        <f>InputData!$C$11</f>
        <v>0.02</v>
      </c>
      <c r="R786" s="160">
        <f>InputData!$C$12</f>
        <v>0.02</v>
      </c>
      <c r="S786" s="160">
        <f>InputData!$C$13</f>
        <v>0.9</v>
      </c>
      <c r="T786" s="116">
        <f>InputData!$C$88</f>
        <v>180000</v>
      </c>
      <c r="U786" s="116">
        <f>InputData!$C$81</f>
        <v>178500</v>
      </c>
      <c r="V786" s="116">
        <f>InputData!$C$82</f>
        <v>303960</v>
      </c>
      <c r="W786" s="116">
        <f>InputData!$C$84</f>
        <v>215220</v>
      </c>
      <c r="X786" s="116">
        <f>InputData!$C$85</f>
        <v>409020</v>
      </c>
      <c r="Y786" s="116">
        <f>InputData!$C$116</f>
        <v>140000</v>
      </c>
      <c r="Z786" s="160">
        <f>InputData!$E$13</f>
        <v>0</v>
      </c>
    </row>
    <row r="787" spans="1:26" x14ac:dyDescent="0.25">
      <c r="A787">
        <f>InputData!$K$1</f>
        <v>2013</v>
      </c>
      <c r="B787" t="str">
        <f>InputData!$G$1</f>
        <v>San Antonio, TX</v>
      </c>
      <c r="C787" t="s">
        <v>177</v>
      </c>
      <c r="D787" t="str">
        <f>Graph_Ortho!$N$6</f>
        <v>USUim</v>
      </c>
      <c r="E787" t="str">
        <f t="shared" si="12"/>
        <v>Orthopedics USUim</v>
      </c>
      <c r="F787">
        <f>Graph_Ortho!$A12</f>
        <v>2018</v>
      </c>
      <c r="G787">
        <f>Graph_Ortho!$B12</f>
        <v>6</v>
      </c>
      <c r="H787" s="165">
        <f>Graph_Ortho!$N12</f>
        <v>311474.37448667729</v>
      </c>
      <c r="I787" s="160">
        <f>InputData!$C$3</f>
        <v>0.02</v>
      </c>
      <c r="J787" s="160">
        <f>InputData!$C$4</f>
        <v>0.01</v>
      </c>
      <c r="K787" s="160">
        <f>InputData!$C$5</f>
        <v>0.01</v>
      </c>
      <c r="L787" s="160">
        <f>InputData!$C$6</f>
        <v>6.2100000000000002E-2</v>
      </c>
      <c r="M787" s="160">
        <f>InputData!$C$7</f>
        <v>0.03</v>
      </c>
      <c r="N787" s="160">
        <f>InputData!$C$8</f>
        <v>0.02</v>
      </c>
      <c r="O787" s="160">
        <f>InputData!$C$9</f>
        <v>0.06</v>
      </c>
      <c r="P787" s="160">
        <f>InputData!$C$10</f>
        <v>0.02</v>
      </c>
      <c r="Q787" s="160">
        <f>InputData!$C$11</f>
        <v>0.02</v>
      </c>
      <c r="R787" s="160">
        <f>InputData!$C$12</f>
        <v>0.02</v>
      </c>
      <c r="S787" s="160">
        <f>InputData!$C$13</f>
        <v>0.9</v>
      </c>
      <c r="T787" s="116">
        <f>InputData!$C$88</f>
        <v>180000</v>
      </c>
      <c r="U787" s="116">
        <f>InputData!$C$81</f>
        <v>178500</v>
      </c>
      <c r="V787" s="116">
        <f>InputData!$C$82</f>
        <v>303960</v>
      </c>
      <c r="W787" s="116">
        <f>InputData!$C$84</f>
        <v>215220</v>
      </c>
      <c r="X787" s="116">
        <f>InputData!$C$85</f>
        <v>409020</v>
      </c>
      <c r="Y787" s="116">
        <f>InputData!$C$116</f>
        <v>140000</v>
      </c>
      <c r="Z787" s="160">
        <f>InputData!$E$13</f>
        <v>0</v>
      </c>
    </row>
    <row r="788" spans="1:26" x14ac:dyDescent="0.25">
      <c r="A788">
        <f>InputData!$K$1</f>
        <v>2013</v>
      </c>
      <c r="B788" t="str">
        <f>InputData!$G$1</f>
        <v>San Antonio, TX</v>
      </c>
      <c r="C788" t="s">
        <v>177</v>
      </c>
      <c r="D788" t="str">
        <f>Graph_Ortho!$N$6</f>
        <v>USUim</v>
      </c>
      <c r="E788" t="str">
        <f t="shared" si="12"/>
        <v>Orthopedics USUim</v>
      </c>
      <c r="F788">
        <f>Graph_Ortho!$A13</f>
        <v>2019</v>
      </c>
      <c r="G788">
        <f>Graph_Ortho!$B13</f>
        <v>7</v>
      </c>
      <c r="H788" s="165">
        <f>Graph_Ortho!$N13</f>
        <v>363115.97670968575</v>
      </c>
      <c r="I788" s="160">
        <f>InputData!$C$3</f>
        <v>0.02</v>
      </c>
      <c r="J788" s="160">
        <f>InputData!$C$4</f>
        <v>0.01</v>
      </c>
      <c r="K788" s="160">
        <f>InputData!$C$5</f>
        <v>0.01</v>
      </c>
      <c r="L788" s="160">
        <f>InputData!$C$6</f>
        <v>6.2100000000000002E-2</v>
      </c>
      <c r="M788" s="160">
        <f>InputData!$C$7</f>
        <v>0.03</v>
      </c>
      <c r="N788" s="160">
        <f>InputData!$C$8</f>
        <v>0.02</v>
      </c>
      <c r="O788" s="160">
        <f>InputData!$C$9</f>
        <v>0.06</v>
      </c>
      <c r="P788" s="160">
        <f>InputData!$C$10</f>
        <v>0.02</v>
      </c>
      <c r="Q788" s="160">
        <f>InputData!$C$11</f>
        <v>0.02</v>
      </c>
      <c r="R788" s="160">
        <f>InputData!$C$12</f>
        <v>0.02</v>
      </c>
      <c r="S788" s="160">
        <f>InputData!$C$13</f>
        <v>0.9</v>
      </c>
      <c r="T788" s="116">
        <f>InputData!$C$88</f>
        <v>180000</v>
      </c>
      <c r="U788" s="116">
        <f>InputData!$C$81</f>
        <v>178500</v>
      </c>
      <c r="V788" s="116">
        <f>InputData!$C$82</f>
        <v>303960</v>
      </c>
      <c r="W788" s="116">
        <f>InputData!$C$84</f>
        <v>215220</v>
      </c>
      <c r="X788" s="116">
        <f>InputData!$C$85</f>
        <v>409020</v>
      </c>
      <c r="Y788" s="116">
        <f>InputData!$C$116</f>
        <v>140000</v>
      </c>
      <c r="Z788" s="160">
        <f>InputData!$E$13</f>
        <v>0</v>
      </c>
    </row>
    <row r="789" spans="1:26" x14ac:dyDescent="0.25">
      <c r="A789">
        <f>InputData!$K$1</f>
        <v>2013</v>
      </c>
      <c r="B789" t="str">
        <f>InputData!$G$1</f>
        <v>San Antonio, TX</v>
      </c>
      <c r="C789" t="s">
        <v>177</v>
      </c>
      <c r="D789" t="str">
        <f>Graph_Ortho!$N$6</f>
        <v>USUim</v>
      </c>
      <c r="E789" t="str">
        <f t="shared" si="12"/>
        <v>Orthopedics USUim</v>
      </c>
      <c r="F789">
        <f>Graph_Ortho!$A14</f>
        <v>2020</v>
      </c>
      <c r="G789">
        <f>Graph_Ortho!$B14</f>
        <v>8</v>
      </c>
      <c r="H789" s="165">
        <f>Graph_Ortho!$N14</f>
        <v>414930.34262192424</v>
      </c>
      <c r="I789" s="160">
        <f>InputData!$C$3</f>
        <v>0.02</v>
      </c>
      <c r="J789" s="160">
        <f>InputData!$C$4</f>
        <v>0.01</v>
      </c>
      <c r="K789" s="160">
        <f>InputData!$C$5</f>
        <v>0.01</v>
      </c>
      <c r="L789" s="160">
        <f>InputData!$C$6</f>
        <v>6.2100000000000002E-2</v>
      </c>
      <c r="M789" s="160">
        <f>InputData!$C$7</f>
        <v>0.03</v>
      </c>
      <c r="N789" s="160">
        <f>InputData!$C$8</f>
        <v>0.02</v>
      </c>
      <c r="O789" s="160">
        <f>InputData!$C$9</f>
        <v>0.06</v>
      </c>
      <c r="P789" s="160">
        <f>InputData!$C$10</f>
        <v>0.02</v>
      </c>
      <c r="Q789" s="160">
        <f>InputData!$C$11</f>
        <v>0.02</v>
      </c>
      <c r="R789" s="160">
        <f>InputData!$C$12</f>
        <v>0.02</v>
      </c>
      <c r="S789" s="160">
        <f>InputData!$C$13</f>
        <v>0.9</v>
      </c>
      <c r="T789" s="116">
        <f>InputData!$C$88</f>
        <v>180000</v>
      </c>
      <c r="U789" s="116">
        <f>InputData!$C$81</f>
        <v>178500</v>
      </c>
      <c r="V789" s="116">
        <f>InputData!$C$82</f>
        <v>303960</v>
      </c>
      <c r="W789" s="116">
        <f>InputData!$C$84</f>
        <v>215220</v>
      </c>
      <c r="X789" s="116">
        <f>InputData!$C$85</f>
        <v>409020</v>
      </c>
      <c r="Y789" s="116">
        <f>InputData!$C$116</f>
        <v>140000</v>
      </c>
      <c r="Z789" s="160">
        <f>InputData!$E$13</f>
        <v>0</v>
      </c>
    </row>
    <row r="790" spans="1:26" x14ac:dyDescent="0.25">
      <c r="A790">
        <f>InputData!$K$1</f>
        <v>2013</v>
      </c>
      <c r="B790" t="str">
        <f>InputData!$G$1</f>
        <v>San Antonio, TX</v>
      </c>
      <c r="C790" t="s">
        <v>177</v>
      </c>
      <c r="D790" t="str">
        <f>Graph_Ortho!$N$6</f>
        <v>USUim</v>
      </c>
      <c r="E790" t="str">
        <f t="shared" si="12"/>
        <v>Orthopedics USUim</v>
      </c>
      <c r="F790">
        <f>Graph_Ortho!$A15</f>
        <v>2021</v>
      </c>
      <c r="G790">
        <f>Graph_Ortho!$B15</f>
        <v>9</v>
      </c>
      <c r="H790" s="165">
        <f>Graph_Ortho!$N15</f>
        <v>467290.95730725891</v>
      </c>
      <c r="I790" s="160">
        <f>InputData!$C$3</f>
        <v>0.02</v>
      </c>
      <c r="J790" s="160">
        <f>InputData!$C$4</f>
        <v>0.01</v>
      </c>
      <c r="K790" s="160">
        <f>InputData!$C$5</f>
        <v>0.01</v>
      </c>
      <c r="L790" s="160">
        <f>InputData!$C$6</f>
        <v>6.2100000000000002E-2</v>
      </c>
      <c r="M790" s="160">
        <f>InputData!$C$7</f>
        <v>0.03</v>
      </c>
      <c r="N790" s="160">
        <f>InputData!$C$8</f>
        <v>0.02</v>
      </c>
      <c r="O790" s="160">
        <f>InputData!$C$9</f>
        <v>0.06</v>
      </c>
      <c r="P790" s="160">
        <f>InputData!$C$10</f>
        <v>0.02</v>
      </c>
      <c r="Q790" s="160">
        <f>InputData!$C$11</f>
        <v>0.02</v>
      </c>
      <c r="R790" s="160">
        <f>InputData!$C$12</f>
        <v>0.02</v>
      </c>
      <c r="S790" s="160">
        <f>InputData!$C$13</f>
        <v>0.9</v>
      </c>
      <c r="T790" s="116">
        <f>InputData!$C$88</f>
        <v>180000</v>
      </c>
      <c r="U790" s="116">
        <f>InputData!$C$81</f>
        <v>178500</v>
      </c>
      <c r="V790" s="116">
        <f>InputData!$C$82</f>
        <v>303960</v>
      </c>
      <c r="W790" s="116">
        <f>InputData!$C$84</f>
        <v>215220</v>
      </c>
      <c r="X790" s="116">
        <f>InputData!$C$85</f>
        <v>409020</v>
      </c>
      <c r="Y790" s="116">
        <f>InputData!$C$116</f>
        <v>140000</v>
      </c>
      <c r="Z790" s="160">
        <f>InputData!$E$13</f>
        <v>0</v>
      </c>
    </row>
    <row r="791" spans="1:26" x14ac:dyDescent="0.25">
      <c r="A791">
        <f>InputData!$K$1</f>
        <v>2013</v>
      </c>
      <c r="B791" t="str">
        <f>InputData!$G$1</f>
        <v>San Antonio, TX</v>
      </c>
      <c r="C791" t="s">
        <v>177</v>
      </c>
      <c r="D791" t="str">
        <f>Graph_Ortho!$N$6</f>
        <v>USUim</v>
      </c>
      <c r="E791" t="str">
        <f t="shared" si="12"/>
        <v>Orthopedics USUim</v>
      </c>
      <c r="F791">
        <f>Graph_Ortho!$A16</f>
        <v>2022</v>
      </c>
      <c r="G791">
        <f>Graph_Ortho!$B16</f>
        <v>10</v>
      </c>
      <c r="H791" s="165">
        <f>Graph_Ortho!$N16</f>
        <v>524763.22436689748</v>
      </c>
      <c r="I791" s="160">
        <f>InputData!$C$3</f>
        <v>0.02</v>
      </c>
      <c r="J791" s="160">
        <f>InputData!$C$4</f>
        <v>0.01</v>
      </c>
      <c r="K791" s="160">
        <f>InputData!$C$5</f>
        <v>0.01</v>
      </c>
      <c r="L791" s="160">
        <f>InputData!$C$6</f>
        <v>6.2100000000000002E-2</v>
      </c>
      <c r="M791" s="160">
        <f>InputData!$C$7</f>
        <v>0.03</v>
      </c>
      <c r="N791" s="160">
        <f>InputData!$C$8</f>
        <v>0.02</v>
      </c>
      <c r="O791" s="160">
        <f>InputData!$C$9</f>
        <v>0.06</v>
      </c>
      <c r="P791" s="160">
        <f>InputData!$C$10</f>
        <v>0.02</v>
      </c>
      <c r="Q791" s="160">
        <f>InputData!$C$11</f>
        <v>0.02</v>
      </c>
      <c r="R791" s="160">
        <f>InputData!$C$12</f>
        <v>0.02</v>
      </c>
      <c r="S791" s="160">
        <f>InputData!$C$13</f>
        <v>0.9</v>
      </c>
      <c r="T791" s="116">
        <f>InputData!$C$88</f>
        <v>180000</v>
      </c>
      <c r="U791" s="116">
        <f>InputData!$C$81</f>
        <v>178500</v>
      </c>
      <c r="V791" s="116">
        <f>InputData!$C$82</f>
        <v>303960</v>
      </c>
      <c r="W791" s="116">
        <f>InputData!$C$84</f>
        <v>215220</v>
      </c>
      <c r="X791" s="116">
        <f>InputData!$C$85</f>
        <v>409020</v>
      </c>
      <c r="Y791" s="116">
        <f>InputData!$C$116</f>
        <v>140000</v>
      </c>
      <c r="Z791" s="160">
        <f>InputData!$E$13</f>
        <v>0</v>
      </c>
    </row>
    <row r="792" spans="1:26" x14ac:dyDescent="0.25">
      <c r="A792">
        <f>InputData!$K$1</f>
        <v>2013</v>
      </c>
      <c r="B792" t="str">
        <f>InputData!$G$1</f>
        <v>San Antonio, TX</v>
      </c>
      <c r="C792" t="s">
        <v>177</v>
      </c>
      <c r="D792" t="str">
        <f>Graph_Ortho!$N$6</f>
        <v>USUim</v>
      </c>
      <c r="E792" t="str">
        <f t="shared" si="12"/>
        <v>Orthopedics USUim</v>
      </c>
      <c r="F792">
        <f>Graph_Ortho!$A17</f>
        <v>2023</v>
      </c>
      <c r="G792">
        <f>Graph_Ortho!$B17</f>
        <v>11</v>
      </c>
      <c r="H792" s="165">
        <f>Graph_Ortho!$N17</f>
        <v>588449.02039398521</v>
      </c>
      <c r="I792" s="160">
        <f>InputData!$C$3</f>
        <v>0.02</v>
      </c>
      <c r="J792" s="160">
        <f>InputData!$C$4</f>
        <v>0.01</v>
      </c>
      <c r="K792" s="160">
        <f>InputData!$C$5</f>
        <v>0.01</v>
      </c>
      <c r="L792" s="160">
        <f>InputData!$C$6</f>
        <v>6.2100000000000002E-2</v>
      </c>
      <c r="M792" s="160">
        <f>InputData!$C$7</f>
        <v>0.03</v>
      </c>
      <c r="N792" s="160">
        <f>InputData!$C$8</f>
        <v>0.02</v>
      </c>
      <c r="O792" s="160">
        <f>InputData!$C$9</f>
        <v>0.06</v>
      </c>
      <c r="P792" s="160">
        <f>InputData!$C$10</f>
        <v>0.02</v>
      </c>
      <c r="Q792" s="160">
        <f>InputData!$C$11</f>
        <v>0.02</v>
      </c>
      <c r="R792" s="160">
        <f>InputData!$C$12</f>
        <v>0.02</v>
      </c>
      <c r="S792" s="160">
        <f>InputData!$C$13</f>
        <v>0.9</v>
      </c>
      <c r="T792" s="116">
        <f>InputData!$C$88</f>
        <v>180000</v>
      </c>
      <c r="U792" s="116">
        <f>InputData!$C$81</f>
        <v>178500</v>
      </c>
      <c r="V792" s="116">
        <f>InputData!$C$82</f>
        <v>303960</v>
      </c>
      <c r="W792" s="116">
        <f>InputData!$C$84</f>
        <v>215220</v>
      </c>
      <c r="X792" s="116">
        <f>InputData!$C$85</f>
        <v>409020</v>
      </c>
      <c r="Y792" s="116">
        <f>InputData!$C$116</f>
        <v>140000</v>
      </c>
      <c r="Z792" s="160">
        <f>InputData!$E$13</f>
        <v>0</v>
      </c>
    </row>
    <row r="793" spans="1:26" x14ac:dyDescent="0.25">
      <c r="A793">
        <f>InputData!$K$1</f>
        <v>2013</v>
      </c>
      <c r="B793" t="str">
        <f>InputData!$G$1</f>
        <v>San Antonio, TX</v>
      </c>
      <c r="C793" t="s">
        <v>177</v>
      </c>
      <c r="D793" t="str">
        <f>Graph_Ortho!$N$6</f>
        <v>USUim</v>
      </c>
      <c r="E793" t="str">
        <f t="shared" si="12"/>
        <v>Orthopedics USUim</v>
      </c>
      <c r="F793">
        <f>Graph_Ortho!$A18</f>
        <v>2024</v>
      </c>
      <c r="G793">
        <f>Graph_Ortho!$B18</f>
        <v>12</v>
      </c>
      <c r="H793" s="165">
        <f>Graph_Ortho!$N18</f>
        <v>649720.24660637928</v>
      </c>
      <c r="I793" s="160">
        <f>InputData!$C$3</f>
        <v>0.02</v>
      </c>
      <c r="J793" s="160">
        <f>InputData!$C$4</f>
        <v>0.01</v>
      </c>
      <c r="K793" s="160">
        <f>InputData!$C$5</f>
        <v>0.01</v>
      </c>
      <c r="L793" s="160">
        <f>InputData!$C$6</f>
        <v>6.2100000000000002E-2</v>
      </c>
      <c r="M793" s="160">
        <f>InputData!$C$7</f>
        <v>0.03</v>
      </c>
      <c r="N793" s="160">
        <f>InputData!$C$8</f>
        <v>0.02</v>
      </c>
      <c r="O793" s="160">
        <f>InputData!$C$9</f>
        <v>0.06</v>
      </c>
      <c r="P793" s="160">
        <f>InputData!$C$10</f>
        <v>0.02</v>
      </c>
      <c r="Q793" s="160">
        <f>InputData!$C$11</f>
        <v>0.02</v>
      </c>
      <c r="R793" s="160">
        <f>InputData!$C$12</f>
        <v>0.02</v>
      </c>
      <c r="S793" s="160">
        <f>InputData!$C$13</f>
        <v>0.9</v>
      </c>
      <c r="T793" s="116">
        <f>InputData!$C$88</f>
        <v>180000</v>
      </c>
      <c r="U793" s="116">
        <f>InputData!$C$81</f>
        <v>178500</v>
      </c>
      <c r="V793" s="116">
        <f>InputData!$C$82</f>
        <v>303960</v>
      </c>
      <c r="W793" s="116">
        <f>InputData!$C$84</f>
        <v>215220</v>
      </c>
      <c r="X793" s="116">
        <f>InputData!$C$85</f>
        <v>409020</v>
      </c>
      <c r="Y793" s="116">
        <f>InputData!$C$116</f>
        <v>140000</v>
      </c>
      <c r="Z793" s="160">
        <f>InputData!$E$13</f>
        <v>0</v>
      </c>
    </row>
    <row r="794" spans="1:26" x14ac:dyDescent="0.25">
      <c r="A794">
        <f>InputData!$K$1</f>
        <v>2013</v>
      </c>
      <c r="B794" t="str">
        <f>InputData!$G$1</f>
        <v>San Antonio, TX</v>
      </c>
      <c r="C794" t="s">
        <v>177</v>
      </c>
      <c r="D794" t="str">
        <f>Graph_Ortho!$N$6</f>
        <v>USUim</v>
      </c>
      <c r="E794" t="str">
        <f t="shared" si="12"/>
        <v>Orthopedics USUim</v>
      </c>
      <c r="F794">
        <f>Graph_Ortho!$A19</f>
        <v>2025</v>
      </c>
      <c r="G794">
        <f>Graph_Ortho!$B19</f>
        <v>13</v>
      </c>
      <c r="H794" s="165">
        <f>Graph_Ortho!$N19</f>
        <v>710146.70996840461</v>
      </c>
      <c r="I794" s="160">
        <f>InputData!$C$3</f>
        <v>0.02</v>
      </c>
      <c r="J794" s="160">
        <f>InputData!$C$4</f>
        <v>0.01</v>
      </c>
      <c r="K794" s="160">
        <f>InputData!$C$5</f>
        <v>0.01</v>
      </c>
      <c r="L794" s="160">
        <f>InputData!$C$6</f>
        <v>6.2100000000000002E-2</v>
      </c>
      <c r="M794" s="160">
        <f>InputData!$C$7</f>
        <v>0.03</v>
      </c>
      <c r="N794" s="160">
        <f>InputData!$C$8</f>
        <v>0.02</v>
      </c>
      <c r="O794" s="160">
        <f>InputData!$C$9</f>
        <v>0.06</v>
      </c>
      <c r="P794" s="160">
        <f>InputData!$C$10</f>
        <v>0.02</v>
      </c>
      <c r="Q794" s="160">
        <f>InputData!$C$11</f>
        <v>0.02</v>
      </c>
      <c r="R794" s="160">
        <f>InputData!$C$12</f>
        <v>0.02</v>
      </c>
      <c r="S794" s="160">
        <f>InputData!$C$13</f>
        <v>0.9</v>
      </c>
      <c r="T794" s="116">
        <f>InputData!$C$88</f>
        <v>180000</v>
      </c>
      <c r="U794" s="116">
        <f>InputData!$C$81</f>
        <v>178500</v>
      </c>
      <c r="V794" s="116">
        <f>InputData!$C$82</f>
        <v>303960</v>
      </c>
      <c r="W794" s="116">
        <f>InputData!$C$84</f>
        <v>215220</v>
      </c>
      <c r="X794" s="116">
        <f>InputData!$C$85</f>
        <v>409020</v>
      </c>
      <c r="Y794" s="116">
        <f>InputData!$C$116</f>
        <v>140000</v>
      </c>
      <c r="Z794" s="160">
        <f>InputData!$E$13</f>
        <v>0</v>
      </c>
    </row>
    <row r="795" spans="1:26" x14ac:dyDescent="0.25">
      <c r="A795">
        <f>InputData!$K$1</f>
        <v>2013</v>
      </c>
      <c r="B795" t="str">
        <f>InputData!$G$1</f>
        <v>San Antonio, TX</v>
      </c>
      <c r="C795" t="s">
        <v>177</v>
      </c>
      <c r="D795" t="str">
        <f>Graph_Ortho!$N$6</f>
        <v>USUim</v>
      </c>
      <c r="E795" t="str">
        <f t="shared" si="12"/>
        <v>Orthopedics USUim</v>
      </c>
      <c r="F795">
        <f>Graph_Ortho!$A20</f>
        <v>2026</v>
      </c>
      <c r="G795">
        <f>Graph_Ortho!$B20</f>
        <v>14</v>
      </c>
      <c r="H795" s="165">
        <f>Graph_Ortho!$N20</f>
        <v>768281.88741084014</v>
      </c>
      <c r="I795" s="160">
        <f>InputData!$C$3</f>
        <v>0.02</v>
      </c>
      <c r="J795" s="160">
        <f>InputData!$C$4</f>
        <v>0.01</v>
      </c>
      <c r="K795" s="160">
        <f>InputData!$C$5</f>
        <v>0.01</v>
      </c>
      <c r="L795" s="160">
        <f>InputData!$C$6</f>
        <v>6.2100000000000002E-2</v>
      </c>
      <c r="M795" s="160">
        <f>InputData!$C$7</f>
        <v>0.03</v>
      </c>
      <c r="N795" s="160">
        <f>InputData!$C$8</f>
        <v>0.02</v>
      </c>
      <c r="O795" s="160">
        <f>InputData!$C$9</f>
        <v>0.06</v>
      </c>
      <c r="P795" s="160">
        <f>InputData!$C$10</f>
        <v>0.02</v>
      </c>
      <c r="Q795" s="160">
        <f>InputData!$C$11</f>
        <v>0.02</v>
      </c>
      <c r="R795" s="160">
        <f>InputData!$C$12</f>
        <v>0.02</v>
      </c>
      <c r="S795" s="160">
        <f>InputData!$C$13</f>
        <v>0.9</v>
      </c>
      <c r="T795" s="116">
        <f>InputData!$C$88</f>
        <v>180000</v>
      </c>
      <c r="U795" s="116">
        <f>InputData!$C$81</f>
        <v>178500</v>
      </c>
      <c r="V795" s="116">
        <f>InputData!$C$82</f>
        <v>303960</v>
      </c>
      <c r="W795" s="116">
        <f>InputData!$C$84</f>
        <v>215220</v>
      </c>
      <c r="X795" s="116">
        <f>InputData!$C$85</f>
        <v>409020</v>
      </c>
      <c r="Y795" s="116">
        <f>InputData!$C$116</f>
        <v>140000</v>
      </c>
      <c r="Z795" s="160">
        <f>InputData!$E$13</f>
        <v>0</v>
      </c>
    </row>
    <row r="796" spans="1:26" x14ac:dyDescent="0.25">
      <c r="A796">
        <f>InputData!$K$1</f>
        <v>2013</v>
      </c>
      <c r="B796" t="str">
        <f>InputData!$G$1</f>
        <v>San Antonio, TX</v>
      </c>
      <c r="C796" t="s">
        <v>177</v>
      </c>
      <c r="D796" t="str">
        <f>Graph_Ortho!$N$6</f>
        <v>USUim</v>
      </c>
      <c r="E796" t="str">
        <f t="shared" si="12"/>
        <v>Orthopedics USUim</v>
      </c>
      <c r="F796">
        <f>Graph_Ortho!$A21</f>
        <v>2027</v>
      </c>
      <c r="G796">
        <f>Graph_Ortho!$B21</f>
        <v>15</v>
      </c>
      <c r="H796" s="165">
        <f>Graph_Ortho!$N21</f>
        <v>826352.17485501105</v>
      </c>
      <c r="I796" s="160">
        <f>InputData!$C$3</f>
        <v>0.02</v>
      </c>
      <c r="J796" s="160">
        <f>InputData!$C$4</f>
        <v>0.01</v>
      </c>
      <c r="K796" s="160">
        <f>InputData!$C$5</f>
        <v>0.01</v>
      </c>
      <c r="L796" s="160">
        <f>InputData!$C$6</f>
        <v>6.2100000000000002E-2</v>
      </c>
      <c r="M796" s="160">
        <f>InputData!$C$7</f>
        <v>0.03</v>
      </c>
      <c r="N796" s="160">
        <f>InputData!$C$8</f>
        <v>0.02</v>
      </c>
      <c r="O796" s="160">
        <f>InputData!$C$9</f>
        <v>0.06</v>
      </c>
      <c r="P796" s="160">
        <f>InputData!$C$10</f>
        <v>0.02</v>
      </c>
      <c r="Q796" s="160">
        <f>InputData!$C$11</f>
        <v>0.02</v>
      </c>
      <c r="R796" s="160">
        <f>InputData!$C$12</f>
        <v>0.02</v>
      </c>
      <c r="S796" s="160">
        <f>InputData!$C$13</f>
        <v>0.9</v>
      </c>
      <c r="T796" s="116">
        <f>InputData!$C$88</f>
        <v>180000</v>
      </c>
      <c r="U796" s="116">
        <f>InputData!$C$81</f>
        <v>178500</v>
      </c>
      <c r="V796" s="116">
        <f>InputData!$C$82</f>
        <v>303960</v>
      </c>
      <c r="W796" s="116">
        <f>InputData!$C$84</f>
        <v>215220</v>
      </c>
      <c r="X796" s="116">
        <f>InputData!$C$85</f>
        <v>409020</v>
      </c>
      <c r="Y796" s="116">
        <f>InputData!$C$116</f>
        <v>140000</v>
      </c>
      <c r="Z796" s="160">
        <f>InputData!$E$13</f>
        <v>0</v>
      </c>
    </row>
    <row r="797" spans="1:26" x14ac:dyDescent="0.25">
      <c r="A797">
        <f>InputData!$K$1</f>
        <v>2013</v>
      </c>
      <c r="B797" t="str">
        <f>InputData!$G$1</f>
        <v>San Antonio, TX</v>
      </c>
      <c r="C797" t="s">
        <v>177</v>
      </c>
      <c r="D797" t="str">
        <f>Graph_Ortho!$N$6</f>
        <v>USUim</v>
      </c>
      <c r="E797" t="str">
        <f t="shared" si="12"/>
        <v>Orthopedics USUim</v>
      </c>
      <c r="F797">
        <f>Graph_Ortho!$A22</f>
        <v>2028</v>
      </c>
      <c r="G797">
        <f>Graph_Ortho!$B22</f>
        <v>16</v>
      </c>
      <c r="H797" s="165">
        <f>Graph_Ortho!$N22</f>
        <v>882219.71152208454</v>
      </c>
      <c r="I797" s="160">
        <f>InputData!$C$3</f>
        <v>0.02</v>
      </c>
      <c r="J797" s="160">
        <f>InputData!$C$4</f>
        <v>0.01</v>
      </c>
      <c r="K797" s="160">
        <f>InputData!$C$5</f>
        <v>0.01</v>
      </c>
      <c r="L797" s="160">
        <f>InputData!$C$6</f>
        <v>6.2100000000000002E-2</v>
      </c>
      <c r="M797" s="160">
        <f>InputData!$C$7</f>
        <v>0.03</v>
      </c>
      <c r="N797" s="160">
        <f>InputData!$C$8</f>
        <v>0.02</v>
      </c>
      <c r="O797" s="160">
        <f>InputData!$C$9</f>
        <v>0.06</v>
      </c>
      <c r="P797" s="160">
        <f>InputData!$C$10</f>
        <v>0.02</v>
      </c>
      <c r="Q797" s="160">
        <f>InputData!$C$11</f>
        <v>0.02</v>
      </c>
      <c r="R797" s="160">
        <f>InputData!$C$12</f>
        <v>0.02</v>
      </c>
      <c r="S797" s="160">
        <f>InputData!$C$13</f>
        <v>0.9</v>
      </c>
      <c r="T797" s="116">
        <f>InputData!$C$88</f>
        <v>180000</v>
      </c>
      <c r="U797" s="116">
        <f>InputData!$C$81</f>
        <v>178500</v>
      </c>
      <c r="V797" s="116">
        <f>InputData!$C$82</f>
        <v>303960</v>
      </c>
      <c r="W797" s="116">
        <f>InputData!$C$84</f>
        <v>215220</v>
      </c>
      <c r="X797" s="116">
        <f>InputData!$C$85</f>
        <v>409020</v>
      </c>
      <c r="Y797" s="116">
        <f>InputData!$C$116</f>
        <v>140000</v>
      </c>
      <c r="Z797" s="160">
        <f>InputData!$E$13</f>
        <v>0</v>
      </c>
    </row>
    <row r="798" spans="1:26" x14ac:dyDescent="0.25">
      <c r="A798">
        <f>InputData!$K$1</f>
        <v>2013</v>
      </c>
      <c r="B798" t="str">
        <f>InputData!$G$1</f>
        <v>San Antonio, TX</v>
      </c>
      <c r="C798" t="s">
        <v>177</v>
      </c>
      <c r="D798" t="str">
        <f>Graph_Ortho!$N$6</f>
        <v>USUim</v>
      </c>
      <c r="E798" t="str">
        <f t="shared" si="12"/>
        <v>Orthopedics USUim</v>
      </c>
      <c r="F798">
        <f>Graph_Ortho!$A23</f>
        <v>2029</v>
      </c>
      <c r="G798">
        <f>Graph_Ortho!$B23</f>
        <v>17</v>
      </c>
      <c r="H798" s="165">
        <f>Graph_Ortho!$N23</f>
        <v>1048406.4156635554</v>
      </c>
      <c r="I798" s="160">
        <f>InputData!$C$3</f>
        <v>0.02</v>
      </c>
      <c r="J798" s="160">
        <f>InputData!$C$4</f>
        <v>0.01</v>
      </c>
      <c r="K798" s="160">
        <f>InputData!$C$5</f>
        <v>0.01</v>
      </c>
      <c r="L798" s="160">
        <f>InputData!$C$6</f>
        <v>6.2100000000000002E-2</v>
      </c>
      <c r="M798" s="160">
        <f>InputData!$C$7</f>
        <v>0.03</v>
      </c>
      <c r="N798" s="160">
        <f>InputData!$C$8</f>
        <v>0.02</v>
      </c>
      <c r="O798" s="160">
        <f>InputData!$C$9</f>
        <v>0.06</v>
      </c>
      <c r="P798" s="160">
        <f>InputData!$C$10</f>
        <v>0.02</v>
      </c>
      <c r="Q798" s="160">
        <f>InputData!$C$11</f>
        <v>0.02</v>
      </c>
      <c r="R798" s="160">
        <f>InputData!$C$12</f>
        <v>0.02</v>
      </c>
      <c r="S798" s="160">
        <f>InputData!$C$13</f>
        <v>0.9</v>
      </c>
      <c r="T798" s="116">
        <f>InputData!$C$88</f>
        <v>180000</v>
      </c>
      <c r="U798" s="116">
        <f>InputData!$C$81</f>
        <v>178500</v>
      </c>
      <c r="V798" s="116">
        <f>InputData!$C$82</f>
        <v>303960</v>
      </c>
      <c r="W798" s="116">
        <f>InputData!$C$84</f>
        <v>215220</v>
      </c>
      <c r="X798" s="116">
        <f>InputData!$C$85</f>
        <v>409020</v>
      </c>
      <c r="Y798" s="116">
        <f>InputData!$C$116</f>
        <v>140000</v>
      </c>
      <c r="Z798" s="160">
        <f>InputData!$E$13</f>
        <v>0</v>
      </c>
    </row>
    <row r="799" spans="1:26" x14ac:dyDescent="0.25">
      <c r="A799">
        <f>InputData!$K$1</f>
        <v>2013</v>
      </c>
      <c r="B799" t="str">
        <f>InputData!$G$1</f>
        <v>San Antonio, TX</v>
      </c>
      <c r="C799" t="s">
        <v>177</v>
      </c>
      <c r="D799" t="str">
        <f>Graph_Ortho!$N$6</f>
        <v>USUim</v>
      </c>
      <c r="E799" t="str">
        <f t="shared" si="12"/>
        <v>Orthopedics USUim</v>
      </c>
      <c r="F799">
        <f>Graph_Ortho!$A24</f>
        <v>2030</v>
      </c>
      <c r="G799">
        <f>Graph_Ortho!$B24</f>
        <v>18</v>
      </c>
      <c r="H799" s="165">
        <f>Graph_Ortho!$N24</f>
        <v>1211270.301562984</v>
      </c>
      <c r="I799" s="160">
        <f>InputData!$C$3</f>
        <v>0.02</v>
      </c>
      <c r="J799" s="160">
        <f>InputData!$C$4</f>
        <v>0.01</v>
      </c>
      <c r="K799" s="160">
        <f>InputData!$C$5</f>
        <v>0.01</v>
      </c>
      <c r="L799" s="160">
        <f>InputData!$C$6</f>
        <v>6.2100000000000002E-2</v>
      </c>
      <c r="M799" s="160">
        <f>InputData!$C$7</f>
        <v>0.03</v>
      </c>
      <c r="N799" s="160">
        <f>InputData!$C$8</f>
        <v>0.02</v>
      </c>
      <c r="O799" s="160">
        <f>InputData!$C$9</f>
        <v>0.06</v>
      </c>
      <c r="P799" s="160">
        <f>InputData!$C$10</f>
        <v>0.02</v>
      </c>
      <c r="Q799" s="160">
        <f>InputData!$C$11</f>
        <v>0.02</v>
      </c>
      <c r="R799" s="160">
        <f>InputData!$C$12</f>
        <v>0.02</v>
      </c>
      <c r="S799" s="160">
        <f>InputData!$C$13</f>
        <v>0.9</v>
      </c>
      <c r="T799" s="116">
        <f>InputData!$C$88</f>
        <v>180000</v>
      </c>
      <c r="U799" s="116">
        <f>InputData!$C$81</f>
        <v>178500</v>
      </c>
      <c r="V799" s="116">
        <f>InputData!$C$82</f>
        <v>303960</v>
      </c>
      <c r="W799" s="116">
        <f>InputData!$C$84</f>
        <v>215220</v>
      </c>
      <c r="X799" s="116">
        <f>InputData!$C$85</f>
        <v>409020</v>
      </c>
      <c r="Y799" s="116">
        <f>InputData!$C$116</f>
        <v>140000</v>
      </c>
      <c r="Z799" s="160">
        <f>InputData!$E$13</f>
        <v>0</v>
      </c>
    </row>
    <row r="800" spans="1:26" x14ac:dyDescent="0.25">
      <c r="A800">
        <f>InputData!$K$1</f>
        <v>2013</v>
      </c>
      <c r="B800" t="str">
        <f>InputData!$G$1</f>
        <v>San Antonio, TX</v>
      </c>
      <c r="C800" t="s">
        <v>177</v>
      </c>
      <c r="D800" t="str">
        <f>Graph_Ortho!$N$6</f>
        <v>USUim</v>
      </c>
      <c r="E800" t="str">
        <f t="shared" si="12"/>
        <v>Orthopedics USUim</v>
      </c>
      <c r="F800">
        <f>Graph_Ortho!$A25</f>
        <v>2031</v>
      </c>
      <c r="G800">
        <f>Graph_Ortho!$B25</f>
        <v>19</v>
      </c>
      <c r="H800" s="165">
        <f>Graph_Ortho!$N25</f>
        <v>1370878.3940361971</v>
      </c>
      <c r="I800" s="160">
        <f>InputData!$C$3</f>
        <v>0.02</v>
      </c>
      <c r="J800" s="160">
        <f>InputData!$C$4</f>
        <v>0.01</v>
      </c>
      <c r="K800" s="160">
        <f>InputData!$C$5</f>
        <v>0.01</v>
      </c>
      <c r="L800" s="160">
        <f>InputData!$C$6</f>
        <v>6.2100000000000002E-2</v>
      </c>
      <c r="M800" s="160">
        <f>InputData!$C$7</f>
        <v>0.03</v>
      </c>
      <c r="N800" s="160">
        <f>InputData!$C$8</f>
        <v>0.02</v>
      </c>
      <c r="O800" s="160">
        <f>InputData!$C$9</f>
        <v>0.06</v>
      </c>
      <c r="P800" s="160">
        <f>InputData!$C$10</f>
        <v>0.02</v>
      </c>
      <c r="Q800" s="160">
        <f>InputData!$C$11</f>
        <v>0.02</v>
      </c>
      <c r="R800" s="160">
        <f>InputData!$C$12</f>
        <v>0.02</v>
      </c>
      <c r="S800" s="160">
        <f>InputData!$C$13</f>
        <v>0.9</v>
      </c>
      <c r="T800" s="116">
        <f>InputData!$C$88</f>
        <v>180000</v>
      </c>
      <c r="U800" s="116">
        <f>InputData!$C$81</f>
        <v>178500</v>
      </c>
      <c r="V800" s="116">
        <f>InputData!$C$82</f>
        <v>303960</v>
      </c>
      <c r="W800" s="116">
        <f>InputData!$C$84</f>
        <v>215220</v>
      </c>
      <c r="X800" s="116">
        <f>InputData!$C$85</f>
        <v>409020</v>
      </c>
      <c r="Y800" s="116">
        <f>InputData!$C$116</f>
        <v>140000</v>
      </c>
      <c r="Z800" s="160">
        <f>InputData!$E$13</f>
        <v>0</v>
      </c>
    </row>
    <row r="801" spans="1:26" x14ac:dyDescent="0.25">
      <c r="A801">
        <f>InputData!$K$1</f>
        <v>2013</v>
      </c>
      <c r="B801" t="str">
        <f>InputData!$G$1</f>
        <v>San Antonio, TX</v>
      </c>
      <c r="C801" t="s">
        <v>177</v>
      </c>
      <c r="D801" t="str">
        <f>Graph_Ortho!$N$6</f>
        <v>USUim</v>
      </c>
      <c r="E801" t="str">
        <f t="shared" si="12"/>
        <v>Orthopedics USUim</v>
      </c>
      <c r="F801">
        <f>Graph_Ortho!$A26</f>
        <v>2032</v>
      </c>
      <c r="G801">
        <f>Graph_Ortho!$B26</f>
        <v>20</v>
      </c>
      <c r="H801" s="165">
        <f>Graph_Ortho!$N26</f>
        <v>1527296.3491767438</v>
      </c>
      <c r="I801" s="160">
        <f>InputData!$C$3</f>
        <v>0.02</v>
      </c>
      <c r="J801" s="160">
        <f>InputData!$C$4</f>
        <v>0.01</v>
      </c>
      <c r="K801" s="160">
        <f>InputData!$C$5</f>
        <v>0.01</v>
      </c>
      <c r="L801" s="160">
        <f>InputData!$C$6</f>
        <v>6.2100000000000002E-2</v>
      </c>
      <c r="M801" s="160">
        <f>InputData!$C$7</f>
        <v>0.03</v>
      </c>
      <c r="N801" s="160">
        <f>InputData!$C$8</f>
        <v>0.02</v>
      </c>
      <c r="O801" s="160">
        <f>InputData!$C$9</f>
        <v>0.06</v>
      </c>
      <c r="P801" s="160">
        <f>InputData!$C$10</f>
        <v>0.02</v>
      </c>
      <c r="Q801" s="160">
        <f>InputData!$C$11</f>
        <v>0.02</v>
      </c>
      <c r="R801" s="160">
        <f>InputData!$C$12</f>
        <v>0.02</v>
      </c>
      <c r="S801" s="160">
        <f>InputData!$C$13</f>
        <v>0.9</v>
      </c>
      <c r="T801" s="116">
        <f>InputData!$C$88</f>
        <v>180000</v>
      </c>
      <c r="U801" s="116">
        <f>InputData!$C$81</f>
        <v>178500</v>
      </c>
      <c r="V801" s="116">
        <f>InputData!$C$82</f>
        <v>303960</v>
      </c>
      <c r="W801" s="116">
        <f>InputData!$C$84</f>
        <v>215220</v>
      </c>
      <c r="X801" s="116">
        <f>InputData!$C$85</f>
        <v>409020</v>
      </c>
      <c r="Y801" s="116">
        <f>InputData!$C$116</f>
        <v>140000</v>
      </c>
      <c r="Z801" s="160">
        <f>InputData!$E$13</f>
        <v>0</v>
      </c>
    </row>
    <row r="802" spans="1:26" x14ac:dyDescent="0.25">
      <c r="A802">
        <f>InputData!$K$1</f>
        <v>2013</v>
      </c>
      <c r="B802" t="str">
        <f>InputData!$G$1</f>
        <v>San Antonio, TX</v>
      </c>
      <c r="C802" t="s">
        <v>177</v>
      </c>
      <c r="D802" t="str">
        <f>Graph_Ortho!$N$6</f>
        <v>USUim</v>
      </c>
      <c r="E802" t="str">
        <f t="shared" si="12"/>
        <v>Orthopedics USUim</v>
      </c>
      <c r="F802">
        <f>Graph_Ortho!$A27</f>
        <v>2033</v>
      </c>
      <c r="G802">
        <f>Graph_Ortho!$B27</f>
        <v>21</v>
      </c>
      <c r="H802" s="165">
        <f>Graph_Ortho!$N27</f>
        <v>1680573.0623043731</v>
      </c>
      <c r="I802" s="160">
        <f>InputData!$C$3</f>
        <v>0.02</v>
      </c>
      <c r="J802" s="160">
        <f>InputData!$C$4</f>
        <v>0.01</v>
      </c>
      <c r="K802" s="160">
        <f>InputData!$C$5</f>
        <v>0.01</v>
      </c>
      <c r="L802" s="160">
        <f>InputData!$C$6</f>
        <v>6.2100000000000002E-2</v>
      </c>
      <c r="M802" s="160">
        <f>InputData!$C$7</f>
        <v>0.03</v>
      </c>
      <c r="N802" s="160">
        <f>InputData!$C$8</f>
        <v>0.02</v>
      </c>
      <c r="O802" s="160">
        <f>InputData!$C$9</f>
        <v>0.06</v>
      </c>
      <c r="P802" s="160">
        <f>InputData!$C$10</f>
        <v>0.02</v>
      </c>
      <c r="Q802" s="160">
        <f>InputData!$C$11</f>
        <v>0.02</v>
      </c>
      <c r="R802" s="160">
        <f>InputData!$C$12</f>
        <v>0.02</v>
      </c>
      <c r="S802" s="160">
        <f>InputData!$C$13</f>
        <v>0.9</v>
      </c>
      <c r="T802" s="116">
        <f>InputData!$C$88</f>
        <v>180000</v>
      </c>
      <c r="U802" s="116">
        <f>InputData!$C$81</f>
        <v>178500</v>
      </c>
      <c r="V802" s="116">
        <f>InputData!$C$82</f>
        <v>303960</v>
      </c>
      <c r="W802" s="116">
        <f>InputData!$C$84</f>
        <v>215220</v>
      </c>
      <c r="X802" s="116">
        <f>InputData!$C$85</f>
        <v>409020</v>
      </c>
      <c r="Y802" s="116">
        <f>InputData!$C$116</f>
        <v>140000</v>
      </c>
      <c r="Z802" s="160">
        <f>InputData!$E$13</f>
        <v>0</v>
      </c>
    </row>
    <row r="803" spans="1:26" x14ac:dyDescent="0.25">
      <c r="A803">
        <f>InputData!$K$1</f>
        <v>2013</v>
      </c>
      <c r="B803" t="str">
        <f>InputData!$G$1</f>
        <v>San Antonio, TX</v>
      </c>
      <c r="C803" t="s">
        <v>177</v>
      </c>
      <c r="D803" t="str">
        <f>Graph_Ortho!$N$6</f>
        <v>USUim</v>
      </c>
      <c r="E803" t="str">
        <f t="shared" si="12"/>
        <v>Orthopedics USUim</v>
      </c>
      <c r="F803">
        <f>Graph_Ortho!$A28</f>
        <v>2034</v>
      </c>
      <c r="G803">
        <f>Graph_Ortho!$B28</f>
        <v>22</v>
      </c>
      <c r="H803" s="165">
        <f>Graph_Ortho!$N28</f>
        <v>1830652.6096796938</v>
      </c>
      <c r="I803" s="160">
        <f>InputData!$C$3</f>
        <v>0.02</v>
      </c>
      <c r="J803" s="160">
        <f>InputData!$C$4</f>
        <v>0.01</v>
      </c>
      <c r="K803" s="160">
        <f>InputData!$C$5</f>
        <v>0.01</v>
      </c>
      <c r="L803" s="160">
        <f>InputData!$C$6</f>
        <v>6.2100000000000002E-2</v>
      </c>
      <c r="M803" s="160">
        <f>InputData!$C$7</f>
        <v>0.03</v>
      </c>
      <c r="N803" s="160">
        <f>InputData!$C$8</f>
        <v>0.02</v>
      </c>
      <c r="O803" s="160">
        <f>InputData!$C$9</f>
        <v>0.06</v>
      </c>
      <c r="P803" s="160">
        <f>InputData!$C$10</f>
        <v>0.02</v>
      </c>
      <c r="Q803" s="160">
        <f>InputData!$C$11</f>
        <v>0.02</v>
      </c>
      <c r="R803" s="160">
        <f>InputData!$C$12</f>
        <v>0.02</v>
      </c>
      <c r="S803" s="160">
        <f>InputData!$C$13</f>
        <v>0.9</v>
      </c>
      <c r="T803" s="116">
        <f>InputData!$C$88</f>
        <v>180000</v>
      </c>
      <c r="U803" s="116">
        <f>InputData!$C$81</f>
        <v>178500</v>
      </c>
      <c r="V803" s="116">
        <f>InputData!$C$82</f>
        <v>303960</v>
      </c>
      <c r="W803" s="116">
        <f>InputData!$C$84</f>
        <v>215220</v>
      </c>
      <c r="X803" s="116">
        <f>InputData!$C$85</f>
        <v>409020</v>
      </c>
      <c r="Y803" s="116">
        <f>InputData!$C$116</f>
        <v>140000</v>
      </c>
      <c r="Z803" s="160">
        <f>InputData!$E$13</f>
        <v>0</v>
      </c>
    </row>
    <row r="804" spans="1:26" x14ac:dyDescent="0.25">
      <c r="A804">
        <f>InputData!$K$1</f>
        <v>2013</v>
      </c>
      <c r="B804" t="str">
        <f>InputData!$G$1</f>
        <v>San Antonio, TX</v>
      </c>
      <c r="C804" t="s">
        <v>177</v>
      </c>
      <c r="D804" t="str">
        <f>Graph_Ortho!$N$6</f>
        <v>USUim</v>
      </c>
      <c r="E804" t="str">
        <f t="shared" si="12"/>
        <v>Orthopedics USUim</v>
      </c>
      <c r="F804">
        <f>Graph_Ortho!$A29</f>
        <v>2035</v>
      </c>
      <c r="G804">
        <f>Graph_Ortho!$B29</f>
        <v>23</v>
      </c>
      <c r="H804" s="165">
        <f>Graph_Ortho!$N29</f>
        <v>1977597.0243940295</v>
      </c>
      <c r="I804" s="160">
        <f>InputData!$C$3</f>
        <v>0.02</v>
      </c>
      <c r="J804" s="160">
        <f>InputData!$C$4</f>
        <v>0.01</v>
      </c>
      <c r="K804" s="160">
        <f>InputData!$C$5</f>
        <v>0.01</v>
      </c>
      <c r="L804" s="160">
        <f>InputData!$C$6</f>
        <v>6.2100000000000002E-2</v>
      </c>
      <c r="M804" s="160">
        <f>InputData!$C$7</f>
        <v>0.03</v>
      </c>
      <c r="N804" s="160">
        <f>InputData!$C$8</f>
        <v>0.02</v>
      </c>
      <c r="O804" s="160">
        <f>InputData!$C$9</f>
        <v>0.06</v>
      </c>
      <c r="P804" s="160">
        <f>InputData!$C$10</f>
        <v>0.02</v>
      </c>
      <c r="Q804" s="160">
        <f>InputData!$C$11</f>
        <v>0.02</v>
      </c>
      <c r="R804" s="160">
        <f>InputData!$C$12</f>
        <v>0.02</v>
      </c>
      <c r="S804" s="160">
        <f>InputData!$C$13</f>
        <v>0.9</v>
      </c>
      <c r="T804" s="116">
        <f>InputData!$C$88</f>
        <v>180000</v>
      </c>
      <c r="U804" s="116">
        <f>InputData!$C$81</f>
        <v>178500</v>
      </c>
      <c r="V804" s="116">
        <f>InputData!$C$82</f>
        <v>303960</v>
      </c>
      <c r="W804" s="116">
        <f>InputData!$C$84</f>
        <v>215220</v>
      </c>
      <c r="X804" s="116">
        <f>InputData!$C$85</f>
        <v>409020</v>
      </c>
      <c r="Y804" s="116">
        <f>InputData!$C$116</f>
        <v>140000</v>
      </c>
      <c r="Z804" s="160">
        <f>InputData!$E$13</f>
        <v>0</v>
      </c>
    </row>
    <row r="805" spans="1:26" x14ac:dyDescent="0.25">
      <c r="A805">
        <f>InputData!$K$1</f>
        <v>2013</v>
      </c>
      <c r="B805" t="str">
        <f>InputData!$G$1</f>
        <v>San Antonio, TX</v>
      </c>
      <c r="C805" t="s">
        <v>177</v>
      </c>
      <c r="D805" t="str">
        <f>Graph_Ortho!$N$6</f>
        <v>USUim</v>
      </c>
      <c r="E805" t="str">
        <f t="shared" si="12"/>
        <v>Orthopedics USUim</v>
      </c>
      <c r="F805">
        <f>Graph_Ortho!$A30</f>
        <v>2036</v>
      </c>
      <c r="G805">
        <f>Graph_Ortho!$B30</f>
        <v>24</v>
      </c>
      <c r="H805" s="165">
        <f>Graph_Ortho!$N30</f>
        <v>2121473.3834165572</v>
      </c>
      <c r="I805" s="160">
        <f>InputData!$C$3</f>
        <v>0.02</v>
      </c>
      <c r="J805" s="160">
        <f>InputData!$C$4</f>
        <v>0.01</v>
      </c>
      <c r="K805" s="160">
        <f>InputData!$C$5</f>
        <v>0.01</v>
      </c>
      <c r="L805" s="160">
        <f>InputData!$C$6</f>
        <v>6.2100000000000002E-2</v>
      </c>
      <c r="M805" s="160">
        <f>InputData!$C$7</f>
        <v>0.03</v>
      </c>
      <c r="N805" s="160">
        <f>InputData!$C$8</f>
        <v>0.02</v>
      </c>
      <c r="O805" s="160">
        <f>InputData!$C$9</f>
        <v>0.06</v>
      </c>
      <c r="P805" s="160">
        <f>InputData!$C$10</f>
        <v>0.02</v>
      </c>
      <c r="Q805" s="160">
        <f>InputData!$C$11</f>
        <v>0.02</v>
      </c>
      <c r="R805" s="160">
        <f>InputData!$C$12</f>
        <v>0.02</v>
      </c>
      <c r="S805" s="160">
        <f>InputData!$C$13</f>
        <v>0.9</v>
      </c>
      <c r="T805" s="116">
        <f>InputData!$C$88</f>
        <v>180000</v>
      </c>
      <c r="U805" s="116">
        <f>InputData!$C$81</f>
        <v>178500</v>
      </c>
      <c r="V805" s="116">
        <f>InputData!$C$82</f>
        <v>303960</v>
      </c>
      <c r="W805" s="116">
        <f>InputData!$C$84</f>
        <v>215220</v>
      </c>
      <c r="X805" s="116">
        <f>InputData!$C$85</f>
        <v>409020</v>
      </c>
      <c r="Y805" s="116">
        <f>InputData!$C$116</f>
        <v>140000</v>
      </c>
      <c r="Z805" s="160">
        <f>InputData!$E$13</f>
        <v>0</v>
      </c>
    </row>
    <row r="806" spans="1:26" x14ac:dyDescent="0.25">
      <c r="A806">
        <f>InputData!$K$1</f>
        <v>2013</v>
      </c>
      <c r="B806" t="str">
        <f>InputData!$G$1</f>
        <v>San Antonio, TX</v>
      </c>
      <c r="C806" t="s">
        <v>177</v>
      </c>
      <c r="D806" t="str">
        <f>Graph_Ortho!$N$6</f>
        <v>USUim</v>
      </c>
      <c r="E806" t="str">
        <f t="shared" si="12"/>
        <v>Orthopedics USUim</v>
      </c>
      <c r="F806">
        <f>Graph_Ortho!$A31</f>
        <v>2037</v>
      </c>
      <c r="G806">
        <f>Graph_Ortho!$B31</f>
        <v>25</v>
      </c>
      <c r="H806" s="165">
        <f>Graph_Ortho!$N31</f>
        <v>2262347.2852648785</v>
      </c>
      <c r="I806" s="160">
        <f>InputData!$C$3</f>
        <v>0.02</v>
      </c>
      <c r="J806" s="160">
        <f>InputData!$C$4</f>
        <v>0.01</v>
      </c>
      <c r="K806" s="160">
        <f>InputData!$C$5</f>
        <v>0.01</v>
      </c>
      <c r="L806" s="160">
        <f>InputData!$C$6</f>
        <v>6.2100000000000002E-2</v>
      </c>
      <c r="M806" s="160">
        <f>InputData!$C$7</f>
        <v>0.03</v>
      </c>
      <c r="N806" s="160">
        <f>InputData!$C$8</f>
        <v>0.02</v>
      </c>
      <c r="O806" s="160">
        <f>InputData!$C$9</f>
        <v>0.06</v>
      </c>
      <c r="P806" s="160">
        <f>InputData!$C$10</f>
        <v>0.02</v>
      </c>
      <c r="Q806" s="160">
        <f>InputData!$C$11</f>
        <v>0.02</v>
      </c>
      <c r="R806" s="160">
        <f>InputData!$C$12</f>
        <v>0.02</v>
      </c>
      <c r="S806" s="160">
        <f>InputData!$C$13</f>
        <v>0.9</v>
      </c>
      <c r="T806" s="116">
        <f>InputData!$C$88</f>
        <v>180000</v>
      </c>
      <c r="U806" s="116">
        <f>InputData!$C$81</f>
        <v>178500</v>
      </c>
      <c r="V806" s="116">
        <f>InputData!$C$82</f>
        <v>303960</v>
      </c>
      <c r="W806" s="116">
        <f>InputData!$C$84</f>
        <v>215220</v>
      </c>
      <c r="X806" s="116">
        <f>InputData!$C$85</f>
        <v>409020</v>
      </c>
      <c r="Y806" s="116">
        <f>InputData!$C$116</f>
        <v>140000</v>
      </c>
      <c r="Z806" s="160">
        <f>InputData!$E$13</f>
        <v>0</v>
      </c>
    </row>
    <row r="807" spans="1:26" x14ac:dyDescent="0.25">
      <c r="A807">
        <f>InputData!$K$1</f>
        <v>2013</v>
      </c>
      <c r="B807" t="str">
        <f>InputData!$G$1</f>
        <v>San Antonio, TX</v>
      </c>
      <c r="C807" t="s">
        <v>177</v>
      </c>
      <c r="D807" t="str">
        <f>Graph_Ortho!$N$6</f>
        <v>USUim</v>
      </c>
      <c r="E807" t="str">
        <f t="shared" si="12"/>
        <v>Orthopedics USUim</v>
      </c>
      <c r="F807">
        <f>Graph_Ortho!$A32</f>
        <v>2038</v>
      </c>
      <c r="G807">
        <f>Graph_Ortho!$B32</f>
        <v>26</v>
      </c>
      <c r="H807" s="165">
        <f>Graph_Ortho!$N32</f>
        <v>2400282.8837481551</v>
      </c>
      <c r="I807" s="160">
        <f>InputData!$C$3</f>
        <v>0.02</v>
      </c>
      <c r="J807" s="160">
        <f>InputData!$C$4</f>
        <v>0.01</v>
      </c>
      <c r="K807" s="160">
        <f>InputData!$C$5</f>
        <v>0.01</v>
      </c>
      <c r="L807" s="160">
        <f>InputData!$C$6</f>
        <v>6.2100000000000002E-2</v>
      </c>
      <c r="M807" s="160">
        <f>InputData!$C$7</f>
        <v>0.03</v>
      </c>
      <c r="N807" s="160">
        <f>InputData!$C$8</f>
        <v>0.02</v>
      </c>
      <c r="O807" s="160">
        <f>InputData!$C$9</f>
        <v>0.06</v>
      </c>
      <c r="P807" s="160">
        <f>InputData!$C$10</f>
        <v>0.02</v>
      </c>
      <c r="Q807" s="160">
        <f>InputData!$C$11</f>
        <v>0.02</v>
      </c>
      <c r="R807" s="160">
        <f>InputData!$C$12</f>
        <v>0.02</v>
      </c>
      <c r="S807" s="160">
        <f>InputData!$C$13</f>
        <v>0.9</v>
      </c>
      <c r="T807" s="116">
        <f>InputData!$C$88</f>
        <v>180000</v>
      </c>
      <c r="U807" s="116">
        <f>InputData!$C$81</f>
        <v>178500</v>
      </c>
      <c r="V807" s="116">
        <f>InputData!$C$82</f>
        <v>303960</v>
      </c>
      <c r="W807" s="116">
        <f>InputData!$C$84</f>
        <v>215220</v>
      </c>
      <c r="X807" s="116">
        <f>InputData!$C$85</f>
        <v>409020</v>
      </c>
      <c r="Y807" s="116">
        <f>InputData!$C$116</f>
        <v>140000</v>
      </c>
      <c r="Z807" s="160">
        <f>InputData!$E$13</f>
        <v>0</v>
      </c>
    </row>
    <row r="808" spans="1:26" x14ac:dyDescent="0.25">
      <c r="A808">
        <f>InputData!$K$1</f>
        <v>2013</v>
      </c>
      <c r="B808" t="str">
        <f>InputData!$G$1</f>
        <v>San Antonio, TX</v>
      </c>
      <c r="C808" t="s">
        <v>177</v>
      </c>
      <c r="D808" t="str">
        <f>Graph_Ortho!$N$6</f>
        <v>USUim</v>
      </c>
      <c r="E808" t="str">
        <f t="shared" si="12"/>
        <v>Orthopedics USUim</v>
      </c>
      <c r="F808">
        <f>Graph_Ortho!$A33</f>
        <v>2039</v>
      </c>
      <c r="G808">
        <f>Graph_Ortho!$B33</f>
        <v>27</v>
      </c>
      <c r="H808" s="165">
        <f>Graph_Ortho!$N33</f>
        <v>2535342.920910154</v>
      </c>
      <c r="I808" s="160">
        <f>InputData!$C$3</f>
        <v>0.02</v>
      </c>
      <c r="J808" s="160">
        <f>InputData!$C$4</f>
        <v>0.01</v>
      </c>
      <c r="K808" s="160">
        <f>InputData!$C$5</f>
        <v>0.01</v>
      </c>
      <c r="L808" s="160">
        <f>InputData!$C$6</f>
        <v>6.2100000000000002E-2</v>
      </c>
      <c r="M808" s="160">
        <f>InputData!$C$7</f>
        <v>0.03</v>
      </c>
      <c r="N808" s="160">
        <f>InputData!$C$8</f>
        <v>0.02</v>
      </c>
      <c r="O808" s="160">
        <f>InputData!$C$9</f>
        <v>0.06</v>
      </c>
      <c r="P808" s="160">
        <f>InputData!$C$10</f>
        <v>0.02</v>
      </c>
      <c r="Q808" s="160">
        <f>InputData!$C$11</f>
        <v>0.02</v>
      </c>
      <c r="R808" s="160">
        <f>InputData!$C$12</f>
        <v>0.02</v>
      </c>
      <c r="S808" s="160">
        <f>InputData!$C$13</f>
        <v>0.9</v>
      </c>
      <c r="T808" s="116">
        <f>InputData!$C$88</f>
        <v>180000</v>
      </c>
      <c r="U808" s="116">
        <f>InputData!$C$81</f>
        <v>178500</v>
      </c>
      <c r="V808" s="116">
        <f>InputData!$C$82</f>
        <v>303960</v>
      </c>
      <c r="W808" s="116">
        <f>InputData!$C$84</f>
        <v>215220</v>
      </c>
      <c r="X808" s="116">
        <f>InputData!$C$85</f>
        <v>409020</v>
      </c>
      <c r="Y808" s="116">
        <f>InputData!$C$116</f>
        <v>140000</v>
      </c>
      <c r="Z808" s="160">
        <f>InputData!$E$13</f>
        <v>0</v>
      </c>
    </row>
    <row r="809" spans="1:26" x14ac:dyDescent="0.25">
      <c r="A809">
        <f>InputData!$K$1</f>
        <v>2013</v>
      </c>
      <c r="B809" t="str">
        <f>InputData!$G$1</f>
        <v>San Antonio, TX</v>
      </c>
      <c r="C809" t="s">
        <v>177</v>
      </c>
      <c r="D809" t="str">
        <f>Graph_Ortho!$N$6</f>
        <v>USUim</v>
      </c>
      <c r="E809" t="str">
        <f t="shared" si="12"/>
        <v>Orthopedics USUim</v>
      </c>
      <c r="F809">
        <f>Graph_Ortho!$A34</f>
        <v>2040</v>
      </c>
      <c r="G809">
        <f>Graph_Ortho!$B34</f>
        <v>28</v>
      </c>
      <c r="H809" s="165">
        <f>Graph_Ortho!$N34</f>
        <v>2667588.7591919182</v>
      </c>
      <c r="I809" s="160">
        <f>InputData!$C$3</f>
        <v>0.02</v>
      </c>
      <c r="J809" s="160">
        <f>InputData!$C$4</f>
        <v>0.01</v>
      </c>
      <c r="K809" s="160">
        <f>InputData!$C$5</f>
        <v>0.01</v>
      </c>
      <c r="L809" s="160">
        <f>InputData!$C$6</f>
        <v>6.2100000000000002E-2</v>
      </c>
      <c r="M809" s="160">
        <f>InputData!$C$7</f>
        <v>0.03</v>
      </c>
      <c r="N809" s="160">
        <f>InputData!$C$8</f>
        <v>0.02</v>
      </c>
      <c r="O809" s="160">
        <f>InputData!$C$9</f>
        <v>0.06</v>
      </c>
      <c r="P809" s="160">
        <f>InputData!$C$10</f>
        <v>0.02</v>
      </c>
      <c r="Q809" s="160">
        <f>InputData!$C$11</f>
        <v>0.02</v>
      </c>
      <c r="R809" s="160">
        <f>InputData!$C$12</f>
        <v>0.02</v>
      </c>
      <c r="S809" s="160">
        <f>InputData!$C$13</f>
        <v>0.9</v>
      </c>
      <c r="T809" s="116">
        <f>InputData!$C$88</f>
        <v>180000</v>
      </c>
      <c r="U809" s="116">
        <f>InputData!$C$81</f>
        <v>178500</v>
      </c>
      <c r="V809" s="116">
        <f>InputData!$C$82</f>
        <v>303960</v>
      </c>
      <c r="W809" s="116">
        <f>InputData!$C$84</f>
        <v>215220</v>
      </c>
      <c r="X809" s="116">
        <f>InputData!$C$85</f>
        <v>409020</v>
      </c>
      <c r="Y809" s="116">
        <f>InputData!$C$116</f>
        <v>140000</v>
      </c>
      <c r="Z809" s="160">
        <f>InputData!$E$13</f>
        <v>0</v>
      </c>
    </row>
    <row r="810" spans="1:26" x14ac:dyDescent="0.25">
      <c r="A810">
        <f>InputData!$K$1</f>
        <v>2013</v>
      </c>
      <c r="B810" t="str">
        <f>InputData!$G$1</f>
        <v>San Antonio, TX</v>
      </c>
      <c r="C810" t="s">
        <v>177</v>
      </c>
      <c r="D810" t="str">
        <f>Graph_Ortho!$N$6</f>
        <v>USUim</v>
      </c>
      <c r="E810" t="str">
        <f t="shared" si="12"/>
        <v>Orthopedics USUim</v>
      </c>
      <c r="F810">
        <f>Graph_Ortho!$A35</f>
        <v>2041</v>
      </c>
      <c r="G810">
        <f>Graph_Ortho!$B35</f>
        <v>29</v>
      </c>
      <c r="H810" s="165">
        <f>Graph_Ortho!$N35</f>
        <v>2797080.4128332823</v>
      </c>
      <c r="I810" s="160">
        <f>InputData!$C$3</f>
        <v>0.02</v>
      </c>
      <c r="J810" s="160">
        <f>InputData!$C$4</f>
        <v>0.01</v>
      </c>
      <c r="K810" s="160">
        <f>InputData!$C$5</f>
        <v>0.01</v>
      </c>
      <c r="L810" s="160">
        <f>InputData!$C$6</f>
        <v>6.2100000000000002E-2</v>
      </c>
      <c r="M810" s="160">
        <f>InputData!$C$7</f>
        <v>0.03</v>
      </c>
      <c r="N810" s="160">
        <f>InputData!$C$8</f>
        <v>0.02</v>
      </c>
      <c r="O810" s="160">
        <f>InputData!$C$9</f>
        <v>0.06</v>
      </c>
      <c r="P810" s="160">
        <f>InputData!$C$10</f>
        <v>0.02</v>
      </c>
      <c r="Q810" s="160">
        <f>InputData!$C$11</f>
        <v>0.02</v>
      </c>
      <c r="R810" s="160">
        <f>InputData!$C$12</f>
        <v>0.02</v>
      </c>
      <c r="S810" s="160">
        <f>InputData!$C$13</f>
        <v>0.9</v>
      </c>
      <c r="T810" s="116">
        <f>InputData!$C$88</f>
        <v>180000</v>
      </c>
      <c r="U810" s="116">
        <f>InputData!$C$81</f>
        <v>178500</v>
      </c>
      <c r="V810" s="116">
        <f>InputData!$C$82</f>
        <v>303960</v>
      </c>
      <c r="W810" s="116">
        <f>InputData!$C$84</f>
        <v>215220</v>
      </c>
      <c r="X810" s="116">
        <f>InputData!$C$85</f>
        <v>409020</v>
      </c>
      <c r="Y810" s="116">
        <f>InputData!$C$116</f>
        <v>140000</v>
      </c>
      <c r="Z810" s="160">
        <f>InputData!$E$13</f>
        <v>0</v>
      </c>
    </row>
    <row r="811" spans="1:26" x14ac:dyDescent="0.25">
      <c r="A811">
        <f>InputData!$K$1</f>
        <v>2013</v>
      </c>
      <c r="B811" t="str">
        <f>InputData!$G$1</f>
        <v>San Antonio, TX</v>
      </c>
      <c r="C811" t="s">
        <v>177</v>
      </c>
      <c r="D811" t="str">
        <f>Graph_Ortho!$N$6</f>
        <v>USUim</v>
      </c>
      <c r="E811" t="str">
        <f t="shared" si="12"/>
        <v>Orthopedics USUim</v>
      </c>
      <c r="F811">
        <f>Graph_Ortho!$A36</f>
        <v>2042</v>
      </c>
      <c r="G811">
        <f>Graph_Ortho!$B36</f>
        <v>30</v>
      </c>
      <c r="H811" s="165">
        <f>Graph_Ortho!$N36</f>
        <v>2923876.5785319619</v>
      </c>
      <c r="I811" s="160">
        <f>InputData!$C$3</f>
        <v>0.02</v>
      </c>
      <c r="J811" s="160">
        <f>InputData!$C$4</f>
        <v>0.01</v>
      </c>
      <c r="K811" s="160">
        <f>InputData!$C$5</f>
        <v>0.01</v>
      </c>
      <c r="L811" s="160">
        <f>InputData!$C$6</f>
        <v>6.2100000000000002E-2</v>
      </c>
      <c r="M811" s="160">
        <f>InputData!$C$7</f>
        <v>0.03</v>
      </c>
      <c r="N811" s="160">
        <f>InputData!$C$8</f>
        <v>0.02</v>
      </c>
      <c r="O811" s="160">
        <f>InputData!$C$9</f>
        <v>0.06</v>
      </c>
      <c r="P811" s="160">
        <f>InputData!$C$10</f>
        <v>0.02</v>
      </c>
      <c r="Q811" s="160">
        <f>InputData!$C$11</f>
        <v>0.02</v>
      </c>
      <c r="R811" s="160">
        <f>InputData!$C$12</f>
        <v>0.02</v>
      </c>
      <c r="S811" s="160">
        <f>InputData!$C$13</f>
        <v>0.9</v>
      </c>
      <c r="T811" s="116">
        <f>InputData!$C$88</f>
        <v>180000</v>
      </c>
      <c r="U811" s="116">
        <f>InputData!$C$81</f>
        <v>178500</v>
      </c>
      <c r="V811" s="116">
        <f>InputData!$C$82</f>
        <v>303960</v>
      </c>
      <c r="W811" s="116">
        <f>InputData!$C$84</f>
        <v>215220</v>
      </c>
      <c r="X811" s="116">
        <f>InputData!$C$85</f>
        <v>409020</v>
      </c>
      <c r="Y811" s="116">
        <f>InputData!$C$116</f>
        <v>140000</v>
      </c>
      <c r="Z811" s="160">
        <f>InputData!$E$13</f>
        <v>0</v>
      </c>
    </row>
    <row r="812" spans="1:26" x14ac:dyDescent="0.25">
      <c r="A812">
        <f>InputData!$K$1</f>
        <v>2013</v>
      </c>
      <c r="B812" t="str">
        <f>InputData!$G$1</f>
        <v>San Antonio, TX</v>
      </c>
      <c r="C812" t="s">
        <v>177</v>
      </c>
      <c r="D812" t="str">
        <f>Graph_Ortho!$O$6</f>
        <v>HPSPim</v>
      </c>
      <c r="E812" t="str">
        <f t="shared" si="12"/>
        <v>Orthopedics HPSPim</v>
      </c>
      <c r="F812">
        <f>Graph_Ortho!$A7</f>
        <v>2013</v>
      </c>
      <c r="G812">
        <f>Graph_Ortho!$B7</f>
        <v>1</v>
      </c>
      <c r="H812" s="165">
        <f>Graph_Ortho!$O7</f>
        <v>43551.744866529771</v>
      </c>
      <c r="I812" s="160">
        <f>InputData!$C$3</f>
        <v>0.02</v>
      </c>
      <c r="J812" s="160">
        <f>InputData!$C$4</f>
        <v>0.01</v>
      </c>
      <c r="K812" s="160">
        <f>InputData!$C$5</f>
        <v>0.01</v>
      </c>
      <c r="L812" s="160">
        <f>InputData!$C$6</f>
        <v>6.2100000000000002E-2</v>
      </c>
      <c r="M812" s="160">
        <f>InputData!$C$7</f>
        <v>0.03</v>
      </c>
      <c r="N812" s="160">
        <f>InputData!$C$8</f>
        <v>0.02</v>
      </c>
      <c r="O812" s="160">
        <f>InputData!$C$9</f>
        <v>0.06</v>
      </c>
      <c r="P812" s="160">
        <f>InputData!$C$10</f>
        <v>0.02</v>
      </c>
      <c r="Q812" s="160">
        <f>InputData!$C$11</f>
        <v>0.02</v>
      </c>
      <c r="R812" s="160">
        <f>InputData!$C$12</f>
        <v>0.02</v>
      </c>
      <c r="S812" s="160">
        <f>InputData!$C$13</f>
        <v>0.9</v>
      </c>
      <c r="T812" s="116">
        <f>InputData!$C$88</f>
        <v>180000</v>
      </c>
      <c r="U812" s="116">
        <f>InputData!$C$81</f>
        <v>178500</v>
      </c>
      <c r="V812" s="116">
        <f>InputData!$C$82</f>
        <v>303960</v>
      </c>
      <c r="W812" s="116">
        <f>InputData!$C$84</f>
        <v>215220</v>
      </c>
      <c r="X812" s="116">
        <f>InputData!$C$85</f>
        <v>409020</v>
      </c>
      <c r="Y812" s="116">
        <f>InputData!$C$116</f>
        <v>140000</v>
      </c>
      <c r="Z812" s="160">
        <f>InputData!$E$13</f>
        <v>0</v>
      </c>
    </row>
    <row r="813" spans="1:26" x14ac:dyDescent="0.25">
      <c r="A813">
        <f>InputData!$K$1</f>
        <v>2013</v>
      </c>
      <c r="B813" t="str">
        <f>InputData!$G$1</f>
        <v>San Antonio, TX</v>
      </c>
      <c r="C813" t="s">
        <v>177</v>
      </c>
      <c r="D813" t="str">
        <f>Graph_Ortho!$O$6</f>
        <v>HPSPim</v>
      </c>
      <c r="E813" t="str">
        <f t="shared" si="12"/>
        <v>Orthopedics HPSPim</v>
      </c>
      <c r="F813">
        <f>Graph_Ortho!$A8</f>
        <v>2014</v>
      </c>
      <c r="G813">
        <f>Graph_Ortho!$B8</f>
        <v>2</v>
      </c>
      <c r="H813" s="165">
        <f>Graph_Ortho!$O8</f>
        <v>69389.851463288214</v>
      </c>
      <c r="I813" s="160">
        <f>InputData!$C$3</f>
        <v>0.02</v>
      </c>
      <c r="J813" s="160">
        <f>InputData!$C$4</f>
        <v>0.01</v>
      </c>
      <c r="K813" s="160">
        <f>InputData!$C$5</f>
        <v>0.01</v>
      </c>
      <c r="L813" s="160">
        <f>InputData!$C$6</f>
        <v>6.2100000000000002E-2</v>
      </c>
      <c r="M813" s="160">
        <f>InputData!$C$7</f>
        <v>0.03</v>
      </c>
      <c r="N813" s="160">
        <f>InputData!$C$8</f>
        <v>0.02</v>
      </c>
      <c r="O813" s="160">
        <f>InputData!$C$9</f>
        <v>0.06</v>
      </c>
      <c r="P813" s="160">
        <f>InputData!$C$10</f>
        <v>0.02</v>
      </c>
      <c r="Q813" s="160">
        <f>InputData!$C$11</f>
        <v>0.02</v>
      </c>
      <c r="R813" s="160">
        <f>InputData!$C$12</f>
        <v>0.02</v>
      </c>
      <c r="S813" s="160">
        <f>InputData!$C$13</f>
        <v>0.9</v>
      </c>
      <c r="T813" s="116">
        <f>InputData!$C$88</f>
        <v>180000</v>
      </c>
      <c r="U813" s="116">
        <f>InputData!$C$81</f>
        <v>178500</v>
      </c>
      <c r="V813" s="116">
        <f>InputData!$C$82</f>
        <v>303960</v>
      </c>
      <c r="W813" s="116">
        <f>InputData!$C$84</f>
        <v>215220</v>
      </c>
      <c r="X813" s="116">
        <f>InputData!$C$85</f>
        <v>409020</v>
      </c>
      <c r="Y813" s="116">
        <f>InputData!$C$116</f>
        <v>140000</v>
      </c>
      <c r="Z813" s="160">
        <f>InputData!$E$13</f>
        <v>0</v>
      </c>
    </row>
    <row r="814" spans="1:26" x14ac:dyDescent="0.25">
      <c r="A814">
        <f>InputData!$K$1</f>
        <v>2013</v>
      </c>
      <c r="B814" t="str">
        <f>InputData!$G$1</f>
        <v>San Antonio, TX</v>
      </c>
      <c r="C814" t="s">
        <v>177</v>
      </c>
      <c r="D814" t="str">
        <f>Graph_Ortho!$O$6</f>
        <v>HPSPim</v>
      </c>
      <c r="E814" t="str">
        <f t="shared" si="12"/>
        <v>Orthopedics HPSPim</v>
      </c>
      <c r="F814">
        <f>Graph_Ortho!$A9</f>
        <v>2015</v>
      </c>
      <c r="G814">
        <f>Graph_Ortho!$B9</f>
        <v>3</v>
      </c>
      <c r="H814" s="165">
        <f>Graph_Ortho!$O9</f>
        <v>94384.024082394724</v>
      </c>
      <c r="I814" s="160">
        <f>InputData!$C$3</f>
        <v>0.02</v>
      </c>
      <c r="J814" s="160">
        <f>InputData!$C$4</f>
        <v>0.01</v>
      </c>
      <c r="K814" s="160">
        <f>InputData!$C$5</f>
        <v>0.01</v>
      </c>
      <c r="L814" s="160">
        <f>InputData!$C$6</f>
        <v>6.2100000000000002E-2</v>
      </c>
      <c r="M814" s="160">
        <f>InputData!$C$7</f>
        <v>0.03</v>
      </c>
      <c r="N814" s="160">
        <f>InputData!$C$8</f>
        <v>0.02</v>
      </c>
      <c r="O814" s="160">
        <f>InputData!$C$9</f>
        <v>0.06</v>
      </c>
      <c r="P814" s="160">
        <f>InputData!$C$10</f>
        <v>0.02</v>
      </c>
      <c r="Q814" s="160">
        <f>InputData!$C$11</f>
        <v>0.02</v>
      </c>
      <c r="R814" s="160">
        <f>InputData!$C$12</f>
        <v>0.02</v>
      </c>
      <c r="S814" s="160">
        <f>InputData!$C$13</f>
        <v>0.9</v>
      </c>
      <c r="T814" s="116">
        <f>InputData!$C$88</f>
        <v>180000</v>
      </c>
      <c r="U814" s="116">
        <f>InputData!$C$81</f>
        <v>178500</v>
      </c>
      <c r="V814" s="116">
        <f>InputData!$C$82</f>
        <v>303960</v>
      </c>
      <c r="W814" s="116">
        <f>InputData!$C$84</f>
        <v>215220</v>
      </c>
      <c r="X814" s="116">
        <f>InputData!$C$85</f>
        <v>409020</v>
      </c>
      <c r="Y814" s="116">
        <f>InputData!$C$116</f>
        <v>140000</v>
      </c>
      <c r="Z814" s="160">
        <f>InputData!$E$13</f>
        <v>0</v>
      </c>
    </row>
    <row r="815" spans="1:26" x14ac:dyDescent="0.25">
      <c r="A815">
        <f>InputData!$K$1</f>
        <v>2013</v>
      </c>
      <c r="B815" t="str">
        <f>InputData!$G$1</f>
        <v>San Antonio, TX</v>
      </c>
      <c r="C815" t="s">
        <v>177</v>
      </c>
      <c r="D815" t="str">
        <f>Graph_Ortho!$O$6</f>
        <v>HPSPim</v>
      </c>
      <c r="E815" t="str">
        <f t="shared" si="12"/>
        <v>Orthopedics HPSPim</v>
      </c>
      <c r="F815">
        <f>Graph_Ortho!$A10</f>
        <v>2016</v>
      </c>
      <c r="G815">
        <f>Graph_Ortho!$B10</f>
        <v>4</v>
      </c>
      <c r="H815" s="165">
        <f>Graph_Ortho!$O10</f>
        <v>119127.82998672797</v>
      </c>
      <c r="I815" s="160">
        <f>InputData!$C$3</f>
        <v>0.02</v>
      </c>
      <c r="J815" s="160">
        <f>InputData!$C$4</f>
        <v>0.01</v>
      </c>
      <c r="K815" s="160">
        <f>InputData!$C$5</f>
        <v>0.01</v>
      </c>
      <c r="L815" s="160">
        <f>InputData!$C$6</f>
        <v>6.2100000000000002E-2</v>
      </c>
      <c r="M815" s="160">
        <f>InputData!$C$7</f>
        <v>0.03</v>
      </c>
      <c r="N815" s="160">
        <f>InputData!$C$8</f>
        <v>0.02</v>
      </c>
      <c r="O815" s="160">
        <f>InputData!$C$9</f>
        <v>0.06</v>
      </c>
      <c r="P815" s="160">
        <f>InputData!$C$10</f>
        <v>0.02</v>
      </c>
      <c r="Q815" s="160">
        <f>InputData!$C$11</f>
        <v>0.02</v>
      </c>
      <c r="R815" s="160">
        <f>InputData!$C$12</f>
        <v>0.02</v>
      </c>
      <c r="S815" s="160">
        <f>InputData!$C$13</f>
        <v>0.9</v>
      </c>
      <c r="T815" s="116">
        <f>InputData!$C$88</f>
        <v>180000</v>
      </c>
      <c r="U815" s="116">
        <f>InputData!$C$81</f>
        <v>178500</v>
      </c>
      <c r="V815" s="116">
        <f>InputData!$C$82</f>
        <v>303960</v>
      </c>
      <c r="W815" s="116">
        <f>InputData!$C$84</f>
        <v>215220</v>
      </c>
      <c r="X815" s="116">
        <f>InputData!$C$85</f>
        <v>409020</v>
      </c>
      <c r="Y815" s="116">
        <f>InputData!$C$116</f>
        <v>140000</v>
      </c>
      <c r="Z815" s="160">
        <f>InputData!$E$13</f>
        <v>0</v>
      </c>
    </row>
    <row r="816" spans="1:26" x14ac:dyDescent="0.25">
      <c r="A816">
        <f>InputData!$K$1</f>
        <v>2013</v>
      </c>
      <c r="B816" t="str">
        <f>InputData!$G$1</f>
        <v>San Antonio, TX</v>
      </c>
      <c r="C816" t="s">
        <v>177</v>
      </c>
      <c r="D816" t="str">
        <f>Graph_Ortho!$O$6</f>
        <v>HPSPim</v>
      </c>
      <c r="E816" t="str">
        <f t="shared" si="12"/>
        <v>Orthopedics HPSPim</v>
      </c>
      <c r="F816">
        <f>Graph_Ortho!$A11</f>
        <v>2017</v>
      </c>
      <c r="G816">
        <f>Graph_Ortho!$B11</f>
        <v>5</v>
      </c>
      <c r="H816" s="165">
        <f>Graph_Ortho!$O11</f>
        <v>169089.82248832227</v>
      </c>
      <c r="I816" s="160">
        <f>InputData!$C$3</f>
        <v>0.02</v>
      </c>
      <c r="J816" s="160">
        <f>InputData!$C$4</f>
        <v>0.01</v>
      </c>
      <c r="K816" s="160">
        <f>InputData!$C$5</f>
        <v>0.01</v>
      </c>
      <c r="L816" s="160">
        <f>InputData!$C$6</f>
        <v>6.2100000000000002E-2</v>
      </c>
      <c r="M816" s="160">
        <f>InputData!$C$7</f>
        <v>0.03</v>
      </c>
      <c r="N816" s="160">
        <f>InputData!$C$8</f>
        <v>0.02</v>
      </c>
      <c r="O816" s="160">
        <f>InputData!$C$9</f>
        <v>0.06</v>
      </c>
      <c r="P816" s="160">
        <f>InputData!$C$10</f>
        <v>0.02</v>
      </c>
      <c r="Q816" s="160">
        <f>InputData!$C$11</f>
        <v>0.02</v>
      </c>
      <c r="R816" s="160">
        <f>InputData!$C$12</f>
        <v>0.02</v>
      </c>
      <c r="S816" s="160">
        <f>InputData!$C$13</f>
        <v>0.9</v>
      </c>
      <c r="T816" s="116">
        <f>InputData!$C$88</f>
        <v>180000</v>
      </c>
      <c r="U816" s="116">
        <f>InputData!$C$81</f>
        <v>178500</v>
      </c>
      <c r="V816" s="116">
        <f>InputData!$C$82</f>
        <v>303960</v>
      </c>
      <c r="W816" s="116">
        <f>InputData!$C$84</f>
        <v>215220</v>
      </c>
      <c r="X816" s="116">
        <f>InputData!$C$85</f>
        <v>409020</v>
      </c>
      <c r="Y816" s="116">
        <f>InputData!$C$116</f>
        <v>140000</v>
      </c>
      <c r="Z816" s="160">
        <f>InputData!$E$13</f>
        <v>0</v>
      </c>
    </row>
    <row r="817" spans="1:26" x14ac:dyDescent="0.25">
      <c r="A817">
        <f>InputData!$K$1</f>
        <v>2013</v>
      </c>
      <c r="B817" t="str">
        <f>InputData!$G$1</f>
        <v>San Antonio, TX</v>
      </c>
      <c r="C817" t="s">
        <v>177</v>
      </c>
      <c r="D817" t="str">
        <f>Graph_Ortho!$O$6</f>
        <v>HPSPim</v>
      </c>
      <c r="E817" t="str">
        <f t="shared" si="12"/>
        <v>Orthopedics HPSPim</v>
      </c>
      <c r="F817">
        <f>Graph_Ortho!$A12</f>
        <v>2018</v>
      </c>
      <c r="G817">
        <f>Graph_Ortho!$B12</f>
        <v>6</v>
      </c>
      <c r="H817" s="165">
        <f>Graph_Ortho!$O12</f>
        <v>219350.65217600405</v>
      </c>
      <c r="I817" s="160">
        <f>InputData!$C$3</f>
        <v>0.02</v>
      </c>
      <c r="J817" s="160">
        <f>InputData!$C$4</f>
        <v>0.01</v>
      </c>
      <c r="K817" s="160">
        <f>InputData!$C$5</f>
        <v>0.01</v>
      </c>
      <c r="L817" s="160">
        <f>InputData!$C$6</f>
        <v>6.2100000000000002E-2</v>
      </c>
      <c r="M817" s="160">
        <f>InputData!$C$7</f>
        <v>0.03</v>
      </c>
      <c r="N817" s="160">
        <f>InputData!$C$8</f>
        <v>0.02</v>
      </c>
      <c r="O817" s="160">
        <f>InputData!$C$9</f>
        <v>0.06</v>
      </c>
      <c r="P817" s="160">
        <f>InputData!$C$10</f>
        <v>0.02</v>
      </c>
      <c r="Q817" s="160">
        <f>InputData!$C$11</f>
        <v>0.02</v>
      </c>
      <c r="R817" s="160">
        <f>InputData!$C$12</f>
        <v>0.02</v>
      </c>
      <c r="S817" s="160">
        <f>InputData!$C$13</f>
        <v>0.9</v>
      </c>
      <c r="T817" s="116">
        <f>InputData!$C$88</f>
        <v>180000</v>
      </c>
      <c r="U817" s="116">
        <f>InputData!$C$81</f>
        <v>178500</v>
      </c>
      <c r="V817" s="116">
        <f>InputData!$C$82</f>
        <v>303960</v>
      </c>
      <c r="W817" s="116">
        <f>InputData!$C$84</f>
        <v>215220</v>
      </c>
      <c r="X817" s="116">
        <f>InputData!$C$85</f>
        <v>409020</v>
      </c>
      <c r="Y817" s="116">
        <f>InputData!$C$116</f>
        <v>140000</v>
      </c>
      <c r="Z817" s="160">
        <f>InputData!$E$13</f>
        <v>0</v>
      </c>
    </row>
    <row r="818" spans="1:26" x14ac:dyDescent="0.25">
      <c r="A818">
        <f>InputData!$K$1</f>
        <v>2013</v>
      </c>
      <c r="B818" t="str">
        <f>InputData!$G$1</f>
        <v>San Antonio, TX</v>
      </c>
      <c r="C818" t="s">
        <v>177</v>
      </c>
      <c r="D818" t="str">
        <f>Graph_Ortho!$O$6</f>
        <v>HPSPim</v>
      </c>
      <c r="E818" t="str">
        <f t="shared" si="12"/>
        <v>Orthopedics HPSPim</v>
      </c>
      <c r="F818">
        <f>Graph_Ortho!$A13</f>
        <v>2019</v>
      </c>
      <c r="G818">
        <f>Graph_Ortho!$B13</f>
        <v>7</v>
      </c>
      <c r="H818" s="165">
        <f>Graph_Ortho!$O13</f>
        <v>270992.25439901254</v>
      </c>
      <c r="I818" s="160">
        <f>InputData!$C$3</f>
        <v>0.02</v>
      </c>
      <c r="J818" s="160">
        <f>InputData!$C$4</f>
        <v>0.01</v>
      </c>
      <c r="K818" s="160">
        <f>InputData!$C$5</f>
        <v>0.01</v>
      </c>
      <c r="L818" s="160">
        <f>InputData!$C$6</f>
        <v>6.2100000000000002E-2</v>
      </c>
      <c r="M818" s="160">
        <f>InputData!$C$7</f>
        <v>0.03</v>
      </c>
      <c r="N818" s="160">
        <f>InputData!$C$8</f>
        <v>0.02</v>
      </c>
      <c r="O818" s="160">
        <f>InputData!$C$9</f>
        <v>0.06</v>
      </c>
      <c r="P818" s="160">
        <f>InputData!$C$10</f>
        <v>0.02</v>
      </c>
      <c r="Q818" s="160">
        <f>InputData!$C$11</f>
        <v>0.02</v>
      </c>
      <c r="R818" s="160">
        <f>InputData!$C$12</f>
        <v>0.02</v>
      </c>
      <c r="S818" s="160">
        <f>InputData!$C$13</f>
        <v>0.9</v>
      </c>
      <c r="T818" s="116">
        <f>InputData!$C$88</f>
        <v>180000</v>
      </c>
      <c r="U818" s="116">
        <f>InputData!$C$81</f>
        <v>178500</v>
      </c>
      <c r="V818" s="116">
        <f>InputData!$C$82</f>
        <v>303960</v>
      </c>
      <c r="W818" s="116">
        <f>InputData!$C$84</f>
        <v>215220</v>
      </c>
      <c r="X818" s="116">
        <f>InputData!$C$85</f>
        <v>409020</v>
      </c>
      <c r="Y818" s="116">
        <f>InputData!$C$116</f>
        <v>140000</v>
      </c>
      <c r="Z818" s="160">
        <f>InputData!$E$13</f>
        <v>0</v>
      </c>
    </row>
    <row r="819" spans="1:26" x14ac:dyDescent="0.25">
      <c r="A819">
        <f>InputData!$K$1</f>
        <v>2013</v>
      </c>
      <c r="B819" t="str">
        <f>InputData!$G$1</f>
        <v>San Antonio, TX</v>
      </c>
      <c r="C819" t="s">
        <v>177</v>
      </c>
      <c r="D819" t="str">
        <f>Graph_Ortho!$O$6</f>
        <v>HPSPim</v>
      </c>
      <c r="E819" t="str">
        <f t="shared" si="12"/>
        <v>Orthopedics HPSPim</v>
      </c>
      <c r="F819">
        <f>Graph_Ortho!$A14</f>
        <v>2020</v>
      </c>
      <c r="G819">
        <f>Graph_Ortho!$B14</f>
        <v>8</v>
      </c>
      <c r="H819" s="165">
        <f>Graph_Ortho!$O14</f>
        <v>322806.62031125103</v>
      </c>
      <c r="I819" s="160">
        <f>InputData!$C$3</f>
        <v>0.02</v>
      </c>
      <c r="J819" s="160">
        <f>InputData!$C$4</f>
        <v>0.01</v>
      </c>
      <c r="K819" s="160">
        <f>InputData!$C$5</f>
        <v>0.01</v>
      </c>
      <c r="L819" s="160">
        <f>InputData!$C$6</f>
        <v>6.2100000000000002E-2</v>
      </c>
      <c r="M819" s="160">
        <f>InputData!$C$7</f>
        <v>0.03</v>
      </c>
      <c r="N819" s="160">
        <f>InputData!$C$8</f>
        <v>0.02</v>
      </c>
      <c r="O819" s="160">
        <f>InputData!$C$9</f>
        <v>0.06</v>
      </c>
      <c r="P819" s="160">
        <f>InputData!$C$10</f>
        <v>0.02</v>
      </c>
      <c r="Q819" s="160">
        <f>InputData!$C$11</f>
        <v>0.02</v>
      </c>
      <c r="R819" s="160">
        <f>InputData!$C$12</f>
        <v>0.02</v>
      </c>
      <c r="S819" s="160">
        <f>InputData!$C$13</f>
        <v>0.9</v>
      </c>
      <c r="T819" s="116">
        <f>InputData!$C$88</f>
        <v>180000</v>
      </c>
      <c r="U819" s="116">
        <f>InputData!$C$81</f>
        <v>178500</v>
      </c>
      <c r="V819" s="116">
        <f>InputData!$C$82</f>
        <v>303960</v>
      </c>
      <c r="W819" s="116">
        <f>InputData!$C$84</f>
        <v>215220</v>
      </c>
      <c r="X819" s="116">
        <f>InputData!$C$85</f>
        <v>409020</v>
      </c>
      <c r="Y819" s="116">
        <f>InputData!$C$116</f>
        <v>140000</v>
      </c>
      <c r="Z819" s="160">
        <f>InputData!$E$13</f>
        <v>0</v>
      </c>
    </row>
    <row r="820" spans="1:26" x14ac:dyDescent="0.25">
      <c r="A820">
        <f>InputData!$K$1</f>
        <v>2013</v>
      </c>
      <c r="B820" t="str">
        <f>InputData!$G$1</f>
        <v>San Antonio, TX</v>
      </c>
      <c r="C820" t="s">
        <v>177</v>
      </c>
      <c r="D820" t="str">
        <f>Graph_Ortho!$O$6</f>
        <v>HPSPim</v>
      </c>
      <c r="E820" t="str">
        <f t="shared" si="12"/>
        <v>Orthopedics HPSPim</v>
      </c>
      <c r="F820">
        <f>Graph_Ortho!$A15</f>
        <v>2021</v>
      </c>
      <c r="G820">
        <f>Graph_Ortho!$B15</f>
        <v>9</v>
      </c>
      <c r="H820" s="165">
        <f>Graph_Ortho!$O15</f>
        <v>375167.2349965857</v>
      </c>
      <c r="I820" s="160">
        <f>InputData!$C$3</f>
        <v>0.02</v>
      </c>
      <c r="J820" s="160">
        <f>InputData!$C$4</f>
        <v>0.01</v>
      </c>
      <c r="K820" s="160">
        <f>InputData!$C$5</f>
        <v>0.01</v>
      </c>
      <c r="L820" s="160">
        <f>InputData!$C$6</f>
        <v>6.2100000000000002E-2</v>
      </c>
      <c r="M820" s="160">
        <f>InputData!$C$7</f>
        <v>0.03</v>
      </c>
      <c r="N820" s="160">
        <f>InputData!$C$8</f>
        <v>0.02</v>
      </c>
      <c r="O820" s="160">
        <f>InputData!$C$9</f>
        <v>0.06</v>
      </c>
      <c r="P820" s="160">
        <f>InputData!$C$10</f>
        <v>0.02</v>
      </c>
      <c r="Q820" s="160">
        <f>InputData!$C$11</f>
        <v>0.02</v>
      </c>
      <c r="R820" s="160">
        <f>InputData!$C$12</f>
        <v>0.02</v>
      </c>
      <c r="S820" s="160">
        <f>InputData!$C$13</f>
        <v>0.9</v>
      </c>
      <c r="T820" s="116">
        <f>InputData!$C$88</f>
        <v>180000</v>
      </c>
      <c r="U820" s="116">
        <f>InputData!$C$81</f>
        <v>178500</v>
      </c>
      <c r="V820" s="116">
        <f>InputData!$C$82</f>
        <v>303960</v>
      </c>
      <c r="W820" s="116">
        <f>InputData!$C$84</f>
        <v>215220</v>
      </c>
      <c r="X820" s="116">
        <f>InputData!$C$85</f>
        <v>409020</v>
      </c>
      <c r="Y820" s="116">
        <f>InputData!$C$116</f>
        <v>140000</v>
      </c>
      <c r="Z820" s="160">
        <f>InputData!$E$13</f>
        <v>0</v>
      </c>
    </row>
    <row r="821" spans="1:26" x14ac:dyDescent="0.25">
      <c r="A821">
        <f>InputData!$K$1</f>
        <v>2013</v>
      </c>
      <c r="B821" t="str">
        <f>InputData!$G$1</f>
        <v>San Antonio, TX</v>
      </c>
      <c r="C821" t="s">
        <v>177</v>
      </c>
      <c r="D821" t="str">
        <f>Graph_Ortho!$O$6</f>
        <v>HPSPim</v>
      </c>
      <c r="E821" t="str">
        <f t="shared" si="12"/>
        <v>Orthopedics HPSPim</v>
      </c>
      <c r="F821">
        <f>Graph_Ortho!$A16</f>
        <v>2022</v>
      </c>
      <c r="G821">
        <f>Graph_Ortho!$B16</f>
        <v>10</v>
      </c>
      <c r="H821" s="165">
        <f>Graph_Ortho!$O16</f>
        <v>432639.50205622433</v>
      </c>
      <c r="I821" s="160">
        <f>InputData!$C$3</f>
        <v>0.02</v>
      </c>
      <c r="J821" s="160">
        <f>InputData!$C$4</f>
        <v>0.01</v>
      </c>
      <c r="K821" s="160">
        <f>InputData!$C$5</f>
        <v>0.01</v>
      </c>
      <c r="L821" s="160">
        <f>InputData!$C$6</f>
        <v>6.2100000000000002E-2</v>
      </c>
      <c r="M821" s="160">
        <f>InputData!$C$7</f>
        <v>0.03</v>
      </c>
      <c r="N821" s="160">
        <f>InputData!$C$8</f>
        <v>0.02</v>
      </c>
      <c r="O821" s="160">
        <f>InputData!$C$9</f>
        <v>0.06</v>
      </c>
      <c r="P821" s="160">
        <f>InputData!$C$10</f>
        <v>0.02</v>
      </c>
      <c r="Q821" s="160">
        <f>InputData!$C$11</f>
        <v>0.02</v>
      </c>
      <c r="R821" s="160">
        <f>InputData!$C$12</f>
        <v>0.02</v>
      </c>
      <c r="S821" s="160">
        <f>InputData!$C$13</f>
        <v>0.9</v>
      </c>
      <c r="T821" s="116">
        <f>InputData!$C$88</f>
        <v>180000</v>
      </c>
      <c r="U821" s="116">
        <f>InputData!$C$81</f>
        <v>178500</v>
      </c>
      <c r="V821" s="116">
        <f>InputData!$C$82</f>
        <v>303960</v>
      </c>
      <c r="W821" s="116">
        <f>InputData!$C$84</f>
        <v>215220</v>
      </c>
      <c r="X821" s="116">
        <f>InputData!$C$85</f>
        <v>409020</v>
      </c>
      <c r="Y821" s="116">
        <f>InputData!$C$116</f>
        <v>140000</v>
      </c>
      <c r="Z821" s="160">
        <f>InputData!$E$13</f>
        <v>0</v>
      </c>
    </row>
    <row r="822" spans="1:26" x14ac:dyDescent="0.25">
      <c r="A822">
        <f>InputData!$K$1</f>
        <v>2013</v>
      </c>
      <c r="B822" t="str">
        <f>InputData!$G$1</f>
        <v>San Antonio, TX</v>
      </c>
      <c r="C822" t="s">
        <v>177</v>
      </c>
      <c r="D822" t="str">
        <f>Graph_Ortho!$O$6</f>
        <v>HPSPim</v>
      </c>
      <c r="E822" t="str">
        <f t="shared" si="12"/>
        <v>Orthopedics HPSPim</v>
      </c>
      <c r="F822">
        <f>Graph_Ortho!$A17</f>
        <v>2023</v>
      </c>
      <c r="G822">
        <f>Graph_Ortho!$B17</f>
        <v>11</v>
      </c>
      <c r="H822" s="165">
        <f>Graph_Ortho!$O17</f>
        <v>496325.29808331205</v>
      </c>
      <c r="I822" s="160">
        <f>InputData!$C$3</f>
        <v>0.02</v>
      </c>
      <c r="J822" s="160">
        <f>InputData!$C$4</f>
        <v>0.01</v>
      </c>
      <c r="K822" s="160">
        <f>InputData!$C$5</f>
        <v>0.01</v>
      </c>
      <c r="L822" s="160">
        <f>InputData!$C$6</f>
        <v>6.2100000000000002E-2</v>
      </c>
      <c r="M822" s="160">
        <f>InputData!$C$7</f>
        <v>0.03</v>
      </c>
      <c r="N822" s="160">
        <f>InputData!$C$8</f>
        <v>0.02</v>
      </c>
      <c r="O822" s="160">
        <f>InputData!$C$9</f>
        <v>0.06</v>
      </c>
      <c r="P822" s="160">
        <f>InputData!$C$10</f>
        <v>0.02</v>
      </c>
      <c r="Q822" s="160">
        <f>InputData!$C$11</f>
        <v>0.02</v>
      </c>
      <c r="R822" s="160">
        <f>InputData!$C$12</f>
        <v>0.02</v>
      </c>
      <c r="S822" s="160">
        <f>InputData!$C$13</f>
        <v>0.9</v>
      </c>
      <c r="T822" s="116">
        <f>InputData!$C$88</f>
        <v>180000</v>
      </c>
      <c r="U822" s="116">
        <f>InputData!$C$81</f>
        <v>178500</v>
      </c>
      <c r="V822" s="116">
        <f>InputData!$C$82</f>
        <v>303960</v>
      </c>
      <c r="W822" s="116">
        <f>InputData!$C$84</f>
        <v>215220</v>
      </c>
      <c r="X822" s="116">
        <f>InputData!$C$85</f>
        <v>409020</v>
      </c>
      <c r="Y822" s="116">
        <f>InputData!$C$116</f>
        <v>140000</v>
      </c>
      <c r="Z822" s="160">
        <f>InputData!$E$13</f>
        <v>0</v>
      </c>
    </row>
    <row r="823" spans="1:26" x14ac:dyDescent="0.25">
      <c r="A823">
        <f>InputData!$K$1</f>
        <v>2013</v>
      </c>
      <c r="B823" t="str">
        <f>InputData!$G$1</f>
        <v>San Antonio, TX</v>
      </c>
      <c r="C823" t="s">
        <v>177</v>
      </c>
      <c r="D823" t="str">
        <f>Graph_Ortho!$O$6</f>
        <v>HPSPim</v>
      </c>
      <c r="E823" t="str">
        <f t="shared" si="12"/>
        <v>Orthopedics HPSPim</v>
      </c>
      <c r="F823">
        <f>Graph_Ortho!$A18</f>
        <v>2024</v>
      </c>
      <c r="G823">
        <f>Graph_Ortho!$B18</f>
        <v>12</v>
      </c>
      <c r="H823" s="165">
        <f>Graph_Ortho!$O18</f>
        <v>557596.52429570619</v>
      </c>
      <c r="I823" s="160">
        <f>InputData!$C$3</f>
        <v>0.02</v>
      </c>
      <c r="J823" s="160">
        <f>InputData!$C$4</f>
        <v>0.01</v>
      </c>
      <c r="K823" s="160">
        <f>InputData!$C$5</f>
        <v>0.01</v>
      </c>
      <c r="L823" s="160">
        <f>InputData!$C$6</f>
        <v>6.2100000000000002E-2</v>
      </c>
      <c r="M823" s="160">
        <f>InputData!$C$7</f>
        <v>0.03</v>
      </c>
      <c r="N823" s="160">
        <f>InputData!$C$8</f>
        <v>0.02</v>
      </c>
      <c r="O823" s="160">
        <f>InputData!$C$9</f>
        <v>0.06</v>
      </c>
      <c r="P823" s="160">
        <f>InputData!$C$10</f>
        <v>0.02</v>
      </c>
      <c r="Q823" s="160">
        <f>InputData!$C$11</f>
        <v>0.02</v>
      </c>
      <c r="R823" s="160">
        <f>InputData!$C$12</f>
        <v>0.02</v>
      </c>
      <c r="S823" s="160">
        <f>InputData!$C$13</f>
        <v>0.9</v>
      </c>
      <c r="T823" s="116">
        <f>InputData!$C$88</f>
        <v>180000</v>
      </c>
      <c r="U823" s="116">
        <f>InputData!$C$81</f>
        <v>178500</v>
      </c>
      <c r="V823" s="116">
        <f>InputData!$C$82</f>
        <v>303960</v>
      </c>
      <c r="W823" s="116">
        <f>InputData!$C$84</f>
        <v>215220</v>
      </c>
      <c r="X823" s="116">
        <f>InputData!$C$85</f>
        <v>409020</v>
      </c>
      <c r="Y823" s="116">
        <f>InputData!$C$116</f>
        <v>140000</v>
      </c>
      <c r="Z823" s="160">
        <f>InputData!$E$13</f>
        <v>0</v>
      </c>
    </row>
    <row r="824" spans="1:26" x14ac:dyDescent="0.25">
      <c r="A824">
        <f>InputData!$K$1</f>
        <v>2013</v>
      </c>
      <c r="B824" t="str">
        <f>InputData!$G$1</f>
        <v>San Antonio, TX</v>
      </c>
      <c r="C824" t="s">
        <v>177</v>
      </c>
      <c r="D824" t="str">
        <f>Graph_Ortho!$O$6</f>
        <v>HPSPim</v>
      </c>
      <c r="E824" t="str">
        <f t="shared" si="12"/>
        <v>Orthopedics HPSPim</v>
      </c>
      <c r="F824">
        <f>Graph_Ortho!$A19</f>
        <v>2025</v>
      </c>
      <c r="G824">
        <f>Graph_Ortho!$B19</f>
        <v>13</v>
      </c>
      <c r="H824" s="165">
        <f>Graph_Ortho!$O19</f>
        <v>618022.98765773152</v>
      </c>
      <c r="I824" s="160">
        <f>InputData!$C$3</f>
        <v>0.02</v>
      </c>
      <c r="J824" s="160">
        <f>InputData!$C$4</f>
        <v>0.01</v>
      </c>
      <c r="K824" s="160">
        <f>InputData!$C$5</f>
        <v>0.01</v>
      </c>
      <c r="L824" s="160">
        <f>InputData!$C$6</f>
        <v>6.2100000000000002E-2</v>
      </c>
      <c r="M824" s="160">
        <f>InputData!$C$7</f>
        <v>0.03</v>
      </c>
      <c r="N824" s="160">
        <f>InputData!$C$8</f>
        <v>0.02</v>
      </c>
      <c r="O824" s="160">
        <f>InputData!$C$9</f>
        <v>0.06</v>
      </c>
      <c r="P824" s="160">
        <f>InputData!$C$10</f>
        <v>0.02</v>
      </c>
      <c r="Q824" s="160">
        <f>InputData!$C$11</f>
        <v>0.02</v>
      </c>
      <c r="R824" s="160">
        <f>InputData!$C$12</f>
        <v>0.02</v>
      </c>
      <c r="S824" s="160">
        <f>InputData!$C$13</f>
        <v>0.9</v>
      </c>
      <c r="T824" s="116">
        <f>InputData!$C$88</f>
        <v>180000</v>
      </c>
      <c r="U824" s="116">
        <f>InputData!$C$81</f>
        <v>178500</v>
      </c>
      <c r="V824" s="116">
        <f>InputData!$C$82</f>
        <v>303960</v>
      </c>
      <c r="W824" s="116">
        <f>InputData!$C$84</f>
        <v>215220</v>
      </c>
      <c r="X824" s="116">
        <f>InputData!$C$85</f>
        <v>409020</v>
      </c>
      <c r="Y824" s="116">
        <f>InputData!$C$116</f>
        <v>140000</v>
      </c>
      <c r="Z824" s="160">
        <f>InputData!$E$13</f>
        <v>0</v>
      </c>
    </row>
    <row r="825" spans="1:26" x14ac:dyDescent="0.25">
      <c r="A825">
        <f>InputData!$K$1</f>
        <v>2013</v>
      </c>
      <c r="B825" t="str">
        <f>InputData!$G$1</f>
        <v>San Antonio, TX</v>
      </c>
      <c r="C825" t="s">
        <v>177</v>
      </c>
      <c r="D825" t="str">
        <f>Graph_Ortho!$O$6</f>
        <v>HPSPim</v>
      </c>
      <c r="E825" t="str">
        <f t="shared" si="12"/>
        <v>Orthopedics HPSPim</v>
      </c>
      <c r="F825">
        <f>Graph_Ortho!$A20</f>
        <v>2026</v>
      </c>
      <c r="G825">
        <f>Graph_Ortho!$B20</f>
        <v>14</v>
      </c>
      <c r="H825" s="165">
        <f>Graph_Ortho!$O20</f>
        <v>794594.42207939131</v>
      </c>
      <c r="I825" s="160">
        <f>InputData!$C$3</f>
        <v>0.02</v>
      </c>
      <c r="J825" s="160">
        <f>InputData!$C$4</f>
        <v>0.01</v>
      </c>
      <c r="K825" s="160">
        <f>InputData!$C$5</f>
        <v>0.01</v>
      </c>
      <c r="L825" s="160">
        <f>InputData!$C$6</f>
        <v>6.2100000000000002E-2</v>
      </c>
      <c r="M825" s="160">
        <f>InputData!$C$7</f>
        <v>0.03</v>
      </c>
      <c r="N825" s="160">
        <f>InputData!$C$8</f>
        <v>0.02</v>
      </c>
      <c r="O825" s="160">
        <f>InputData!$C$9</f>
        <v>0.06</v>
      </c>
      <c r="P825" s="160">
        <f>InputData!$C$10</f>
        <v>0.02</v>
      </c>
      <c r="Q825" s="160">
        <f>InputData!$C$11</f>
        <v>0.02</v>
      </c>
      <c r="R825" s="160">
        <f>InputData!$C$12</f>
        <v>0.02</v>
      </c>
      <c r="S825" s="160">
        <f>InputData!$C$13</f>
        <v>0.9</v>
      </c>
      <c r="T825" s="116">
        <f>InputData!$C$88</f>
        <v>180000</v>
      </c>
      <c r="U825" s="116">
        <f>InputData!$C$81</f>
        <v>178500</v>
      </c>
      <c r="V825" s="116">
        <f>InputData!$C$82</f>
        <v>303960</v>
      </c>
      <c r="W825" s="116">
        <f>InputData!$C$84</f>
        <v>215220</v>
      </c>
      <c r="X825" s="116">
        <f>InputData!$C$85</f>
        <v>409020</v>
      </c>
      <c r="Y825" s="116">
        <f>InputData!$C$116</f>
        <v>140000</v>
      </c>
      <c r="Z825" s="160">
        <f>InputData!$E$13</f>
        <v>0</v>
      </c>
    </row>
    <row r="826" spans="1:26" x14ac:dyDescent="0.25">
      <c r="A826">
        <f>InputData!$K$1</f>
        <v>2013</v>
      </c>
      <c r="B826" t="str">
        <f>InputData!$G$1</f>
        <v>San Antonio, TX</v>
      </c>
      <c r="C826" t="s">
        <v>177</v>
      </c>
      <c r="D826" t="str">
        <f>Graph_Ortho!$O$6</f>
        <v>HPSPim</v>
      </c>
      <c r="E826" t="str">
        <f t="shared" si="12"/>
        <v>Orthopedics HPSPim</v>
      </c>
      <c r="F826">
        <f>Graph_Ortho!$A21</f>
        <v>2027</v>
      </c>
      <c r="G826">
        <f>Graph_Ortho!$B21</f>
        <v>15</v>
      </c>
      <c r="H826" s="165">
        <f>Graph_Ortho!$O21</f>
        <v>967633.45788471692</v>
      </c>
      <c r="I826" s="160">
        <f>InputData!$C$3</f>
        <v>0.02</v>
      </c>
      <c r="J826" s="160">
        <f>InputData!$C$4</f>
        <v>0.01</v>
      </c>
      <c r="K826" s="160">
        <f>InputData!$C$5</f>
        <v>0.01</v>
      </c>
      <c r="L826" s="160">
        <f>InputData!$C$6</f>
        <v>6.2100000000000002E-2</v>
      </c>
      <c r="M826" s="160">
        <f>InputData!$C$7</f>
        <v>0.03</v>
      </c>
      <c r="N826" s="160">
        <f>InputData!$C$8</f>
        <v>0.02</v>
      </c>
      <c r="O826" s="160">
        <f>InputData!$C$9</f>
        <v>0.06</v>
      </c>
      <c r="P826" s="160">
        <f>InputData!$C$10</f>
        <v>0.02</v>
      </c>
      <c r="Q826" s="160">
        <f>InputData!$C$11</f>
        <v>0.02</v>
      </c>
      <c r="R826" s="160">
        <f>InputData!$C$12</f>
        <v>0.02</v>
      </c>
      <c r="S826" s="160">
        <f>InputData!$C$13</f>
        <v>0.9</v>
      </c>
      <c r="T826" s="116">
        <f>InputData!$C$88</f>
        <v>180000</v>
      </c>
      <c r="U826" s="116">
        <f>InputData!$C$81</f>
        <v>178500</v>
      </c>
      <c r="V826" s="116">
        <f>InputData!$C$82</f>
        <v>303960</v>
      </c>
      <c r="W826" s="116">
        <f>InputData!$C$84</f>
        <v>215220</v>
      </c>
      <c r="X826" s="116">
        <f>InputData!$C$85</f>
        <v>409020</v>
      </c>
      <c r="Y826" s="116">
        <f>InputData!$C$116</f>
        <v>140000</v>
      </c>
      <c r="Z826" s="160">
        <f>InputData!$E$13</f>
        <v>0</v>
      </c>
    </row>
    <row r="827" spans="1:26" x14ac:dyDescent="0.25">
      <c r="A827">
        <f>InputData!$K$1</f>
        <v>2013</v>
      </c>
      <c r="B827" t="str">
        <f>InputData!$G$1</f>
        <v>San Antonio, TX</v>
      </c>
      <c r="C827" t="s">
        <v>177</v>
      </c>
      <c r="D827" t="str">
        <f>Graph_Ortho!$O$6</f>
        <v>HPSPim</v>
      </c>
      <c r="E827" t="str">
        <f t="shared" si="12"/>
        <v>Orthopedics HPSPim</v>
      </c>
      <c r="F827">
        <f>Graph_Ortho!$A22</f>
        <v>2028</v>
      </c>
      <c r="G827">
        <f>Graph_Ortho!$B22</f>
        <v>16</v>
      </c>
      <c r="H827" s="165">
        <f>Graph_Ortho!$O22</f>
        <v>1137211.4028487925</v>
      </c>
      <c r="I827" s="160">
        <f>InputData!$C$3</f>
        <v>0.02</v>
      </c>
      <c r="J827" s="160">
        <f>InputData!$C$4</f>
        <v>0.01</v>
      </c>
      <c r="K827" s="160">
        <f>InputData!$C$5</f>
        <v>0.01</v>
      </c>
      <c r="L827" s="160">
        <f>InputData!$C$6</f>
        <v>6.2100000000000002E-2</v>
      </c>
      <c r="M827" s="160">
        <f>InputData!$C$7</f>
        <v>0.03</v>
      </c>
      <c r="N827" s="160">
        <f>InputData!$C$8</f>
        <v>0.02</v>
      </c>
      <c r="O827" s="160">
        <f>InputData!$C$9</f>
        <v>0.06</v>
      </c>
      <c r="P827" s="160">
        <f>InputData!$C$10</f>
        <v>0.02</v>
      </c>
      <c r="Q827" s="160">
        <f>InputData!$C$11</f>
        <v>0.02</v>
      </c>
      <c r="R827" s="160">
        <f>InputData!$C$12</f>
        <v>0.02</v>
      </c>
      <c r="S827" s="160">
        <f>InputData!$C$13</f>
        <v>0.9</v>
      </c>
      <c r="T827" s="116">
        <f>InputData!$C$88</f>
        <v>180000</v>
      </c>
      <c r="U827" s="116">
        <f>InputData!$C$81</f>
        <v>178500</v>
      </c>
      <c r="V827" s="116">
        <f>InputData!$C$82</f>
        <v>303960</v>
      </c>
      <c r="W827" s="116">
        <f>InputData!$C$84</f>
        <v>215220</v>
      </c>
      <c r="X827" s="116">
        <f>InputData!$C$85</f>
        <v>409020</v>
      </c>
      <c r="Y827" s="116">
        <f>InputData!$C$116</f>
        <v>140000</v>
      </c>
      <c r="Z827" s="160">
        <f>InputData!$E$13</f>
        <v>0</v>
      </c>
    </row>
    <row r="828" spans="1:26" x14ac:dyDescent="0.25">
      <c r="A828">
        <f>InputData!$K$1</f>
        <v>2013</v>
      </c>
      <c r="B828" t="str">
        <f>InputData!$G$1</f>
        <v>San Antonio, TX</v>
      </c>
      <c r="C828" t="s">
        <v>177</v>
      </c>
      <c r="D828" t="str">
        <f>Graph_Ortho!$O$6</f>
        <v>HPSPim</v>
      </c>
      <c r="E828" t="str">
        <f t="shared" si="12"/>
        <v>Orthopedics HPSPim</v>
      </c>
      <c r="F828">
        <f>Graph_Ortho!$A23</f>
        <v>2029</v>
      </c>
      <c r="G828">
        <f>Graph_Ortho!$B23</f>
        <v>17</v>
      </c>
      <c r="H828" s="165">
        <f>Graph_Ortho!$O23</f>
        <v>1303398.1069902633</v>
      </c>
      <c r="I828" s="160">
        <f>InputData!$C$3</f>
        <v>0.02</v>
      </c>
      <c r="J828" s="160">
        <f>InputData!$C$4</f>
        <v>0.01</v>
      </c>
      <c r="K828" s="160">
        <f>InputData!$C$5</f>
        <v>0.01</v>
      </c>
      <c r="L828" s="160">
        <f>InputData!$C$6</f>
        <v>6.2100000000000002E-2</v>
      </c>
      <c r="M828" s="160">
        <f>InputData!$C$7</f>
        <v>0.03</v>
      </c>
      <c r="N828" s="160">
        <f>InputData!$C$8</f>
        <v>0.02</v>
      </c>
      <c r="O828" s="160">
        <f>InputData!$C$9</f>
        <v>0.06</v>
      </c>
      <c r="P828" s="160">
        <f>InputData!$C$10</f>
        <v>0.02</v>
      </c>
      <c r="Q828" s="160">
        <f>InputData!$C$11</f>
        <v>0.02</v>
      </c>
      <c r="R828" s="160">
        <f>InputData!$C$12</f>
        <v>0.02</v>
      </c>
      <c r="S828" s="160">
        <f>InputData!$C$13</f>
        <v>0.9</v>
      </c>
      <c r="T828" s="116">
        <f>InputData!$C$88</f>
        <v>180000</v>
      </c>
      <c r="U828" s="116">
        <f>InputData!$C$81</f>
        <v>178500</v>
      </c>
      <c r="V828" s="116">
        <f>InputData!$C$82</f>
        <v>303960</v>
      </c>
      <c r="W828" s="116">
        <f>InputData!$C$84</f>
        <v>215220</v>
      </c>
      <c r="X828" s="116">
        <f>InputData!$C$85</f>
        <v>409020</v>
      </c>
      <c r="Y828" s="116">
        <f>InputData!$C$116</f>
        <v>140000</v>
      </c>
      <c r="Z828" s="160">
        <f>InputData!$E$13</f>
        <v>0</v>
      </c>
    </row>
    <row r="829" spans="1:26" x14ac:dyDescent="0.25">
      <c r="A829">
        <f>InputData!$K$1</f>
        <v>2013</v>
      </c>
      <c r="B829" t="str">
        <f>InputData!$G$1</f>
        <v>San Antonio, TX</v>
      </c>
      <c r="C829" t="s">
        <v>177</v>
      </c>
      <c r="D829" t="str">
        <f>Graph_Ortho!$O$6</f>
        <v>HPSPim</v>
      </c>
      <c r="E829" t="str">
        <f t="shared" si="12"/>
        <v>Orthopedics HPSPim</v>
      </c>
      <c r="F829">
        <f>Graph_Ortho!$A24</f>
        <v>2030</v>
      </c>
      <c r="G829">
        <f>Graph_Ortho!$B24</f>
        <v>18</v>
      </c>
      <c r="H829" s="165">
        <f>Graph_Ortho!$O24</f>
        <v>1466261.9928896918</v>
      </c>
      <c r="I829" s="160">
        <f>InputData!$C$3</f>
        <v>0.02</v>
      </c>
      <c r="J829" s="160">
        <f>InputData!$C$4</f>
        <v>0.01</v>
      </c>
      <c r="K829" s="160">
        <f>InputData!$C$5</f>
        <v>0.01</v>
      </c>
      <c r="L829" s="160">
        <f>InputData!$C$6</f>
        <v>6.2100000000000002E-2</v>
      </c>
      <c r="M829" s="160">
        <f>InputData!$C$7</f>
        <v>0.03</v>
      </c>
      <c r="N829" s="160">
        <f>InputData!$C$8</f>
        <v>0.02</v>
      </c>
      <c r="O829" s="160">
        <f>InputData!$C$9</f>
        <v>0.06</v>
      </c>
      <c r="P829" s="160">
        <f>InputData!$C$10</f>
        <v>0.02</v>
      </c>
      <c r="Q829" s="160">
        <f>InputData!$C$11</f>
        <v>0.02</v>
      </c>
      <c r="R829" s="160">
        <f>InputData!$C$12</f>
        <v>0.02</v>
      </c>
      <c r="S829" s="160">
        <f>InputData!$C$13</f>
        <v>0.9</v>
      </c>
      <c r="T829" s="116">
        <f>InputData!$C$88</f>
        <v>180000</v>
      </c>
      <c r="U829" s="116">
        <f>InputData!$C$81</f>
        <v>178500</v>
      </c>
      <c r="V829" s="116">
        <f>InputData!$C$82</f>
        <v>303960</v>
      </c>
      <c r="W829" s="116">
        <f>InputData!$C$84</f>
        <v>215220</v>
      </c>
      <c r="X829" s="116">
        <f>InputData!$C$85</f>
        <v>409020</v>
      </c>
      <c r="Y829" s="116">
        <f>InputData!$C$116</f>
        <v>140000</v>
      </c>
      <c r="Z829" s="160">
        <f>InputData!$E$13</f>
        <v>0</v>
      </c>
    </row>
    <row r="830" spans="1:26" x14ac:dyDescent="0.25">
      <c r="A830">
        <f>InputData!$K$1</f>
        <v>2013</v>
      </c>
      <c r="B830" t="str">
        <f>InputData!$G$1</f>
        <v>San Antonio, TX</v>
      </c>
      <c r="C830" t="s">
        <v>177</v>
      </c>
      <c r="D830" t="str">
        <f>Graph_Ortho!$O$6</f>
        <v>HPSPim</v>
      </c>
      <c r="E830" t="str">
        <f t="shared" si="12"/>
        <v>Orthopedics HPSPim</v>
      </c>
      <c r="F830">
        <f>Graph_Ortho!$A25</f>
        <v>2031</v>
      </c>
      <c r="G830">
        <f>Graph_Ortho!$B25</f>
        <v>19</v>
      </c>
      <c r="H830" s="165">
        <f>Graph_Ortho!$O25</f>
        <v>1625870.0853629049</v>
      </c>
      <c r="I830" s="160">
        <f>InputData!$C$3</f>
        <v>0.02</v>
      </c>
      <c r="J830" s="160">
        <f>InputData!$C$4</f>
        <v>0.01</v>
      </c>
      <c r="K830" s="160">
        <f>InputData!$C$5</f>
        <v>0.01</v>
      </c>
      <c r="L830" s="160">
        <f>InputData!$C$6</f>
        <v>6.2100000000000002E-2</v>
      </c>
      <c r="M830" s="160">
        <f>InputData!$C$7</f>
        <v>0.03</v>
      </c>
      <c r="N830" s="160">
        <f>InputData!$C$8</f>
        <v>0.02</v>
      </c>
      <c r="O830" s="160">
        <f>InputData!$C$9</f>
        <v>0.06</v>
      </c>
      <c r="P830" s="160">
        <f>InputData!$C$10</f>
        <v>0.02</v>
      </c>
      <c r="Q830" s="160">
        <f>InputData!$C$11</f>
        <v>0.02</v>
      </c>
      <c r="R830" s="160">
        <f>InputData!$C$12</f>
        <v>0.02</v>
      </c>
      <c r="S830" s="160">
        <f>InputData!$C$13</f>
        <v>0.9</v>
      </c>
      <c r="T830" s="116">
        <f>InputData!$C$88</f>
        <v>180000</v>
      </c>
      <c r="U830" s="116">
        <f>InputData!$C$81</f>
        <v>178500</v>
      </c>
      <c r="V830" s="116">
        <f>InputData!$C$82</f>
        <v>303960</v>
      </c>
      <c r="W830" s="116">
        <f>InputData!$C$84</f>
        <v>215220</v>
      </c>
      <c r="X830" s="116">
        <f>InputData!$C$85</f>
        <v>409020</v>
      </c>
      <c r="Y830" s="116">
        <f>InputData!$C$116</f>
        <v>140000</v>
      </c>
      <c r="Z830" s="160">
        <f>InputData!$E$13</f>
        <v>0</v>
      </c>
    </row>
    <row r="831" spans="1:26" x14ac:dyDescent="0.25">
      <c r="A831">
        <f>InputData!$K$1</f>
        <v>2013</v>
      </c>
      <c r="B831" t="str">
        <f>InputData!$G$1</f>
        <v>San Antonio, TX</v>
      </c>
      <c r="C831" t="s">
        <v>177</v>
      </c>
      <c r="D831" t="str">
        <f>Graph_Ortho!$O$6</f>
        <v>HPSPim</v>
      </c>
      <c r="E831" t="str">
        <f t="shared" si="12"/>
        <v>Orthopedics HPSPim</v>
      </c>
      <c r="F831">
        <f>Graph_Ortho!$A26</f>
        <v>2032</v>
      </c>
      <c r="G831">
        <f>Graph_Ortho!$B26</f>
        <v>20</v>
      </c>
      <c r="H831" s="165">
        <f>Graph_Ortho!$O26</f>
        <v>1782288.0405034516</v>
      </c>
      <c r="I831" s="160">
        <f>InputData!$C$3</f>
        <v>0.02</v>
      </c>
      <c r="J831" s="160">
        <f>InputData!$C$4</f>
        <v>0.01</v>
      </c>
      <c r="K831" s="160">
        <f>InputData!$C$5</f>
        <v>0.01</v>
      </c>
      <c r="L831" s="160">
        <f>InputData!$C$6</f>
        <v>6.2100000000000002E-2</v>
      </c>
      <c r="M831" s="160">
        <f>InputData!$C$7</f>
        <v>0.03</v>
      </c>
      <c r="N831" s="160">
        <f>InputData!$C$8</f>
        <v>0.02</v>
      </c>
      <c r="O831" s="160">
        <f>InputData!$C$9</f>
        <v>0.06</v>
      </c>
      <c r="P831" s="160">
        <f>InputData!$C$10</f>
        <v>0.02</v>
      </c>
      <c r="Q831" s="160">
        <f>InputData!$C$11</f>
        <v>0.02</v>
      </c>
      <c r="R831" s="160">
        <f>InputData!$C$12</f>
        <v>0.02</v>
      </c>
      <c r="S831" s="160">
        <f>InputData!$C$13</f>
        <v>0.9</v>
      </c>
      <c r="T831" s="116">
        <f>InputData!$C$88</f>
        <v>180000</v>
      </c>
      <c r="U831" s="116">
        <f>InputData!$C$81</f>
        <v>178500</v>
      </c>
      <c r="V831" s="116">
        <f>InputData!$C$82</f>
        <v>303960</v>
      </c>
      <c r="W831" s="116">
        <f>InputData!$C$84</f>
        <v>215220</v>
      </c>
      <c r="X831" s="116">
        <f>InputData!$C$85</f>
        <v>409020</v>
      </c>
      <c r="Y831" s="116">
        <f>InputData!$C$116</f>
        <v>140000</v>
      </c>
      <c r="Z831" s="160">
        <f>InputData!$E$13</f>
        <v>0</v>
      </c>
    </row>
    <row r="832" spans="1:26" x14ac:dyDescent="0.25">
      <c r="A832">
        <f>InputData!$K$1</f>
        <v>2013</v>
      </c>
      <c r="B832" t="str">
        <f>InputData!$G$1</f>
        <v>San Antonio, TX</v>
      </c>
      <c r="C832" t="s">
        <v>177</v>
      </c>
      <c r="D832" t="str">
        <f>Graph_Ortho!$O$6</f>
        <v>HPSPim</v>
      </c>
      <c r="E832" t="str">
        <f t="shared" si="12"/>
        <v>Orthopedics HPSPim</v>
      </c>
      <c r="F832">
        <f>Graph_Ortho!$A27</f>
        <v>2033</v>
      </c>
      <c r="G832">
        <f>Graph_Ortho!$B27</f>
        <v>21</v>
      </c>
      <c r="H832" s="165">
        <f>Graph_Ortho!$O27</f>
        <v>1935564.753631081</v>
      </c>
      <c r="I832" s="160">
        <f>InputData!$C$3</f>
        <v>0.02</v>
      </c>
      <c r="J832" s="160">
        <f>InputData!$C$4</f>
        <v>0.01</v>
      </c>
      <c r="K832" s="160">
        <f>InputData!$C$5</f>
        <v>0.01</v>
      </c>
      <c r="L832" s="160">
        <f>InputData!$C$6</f>
        <v>6.2100000000000002E-2</v>
      </c>
      <c r="M832" s="160">
        <f>InputData!$C$7</f>
        <v>0.03</v>
      </c>
      <c r="N832" s="160">
        <f>InputData!$C$8</f>
        <v>0.02</v>
      </c>
      <c r="O832" s="160">
        <f>InputData!$C$9</f>
        <v>0.06</v>
      </c>
      <c r="P832" s="160">
        <f>InputData!$C$10</f>
        <v>0.02</v>
      </c>
      <c r="Q832" s="160">
        <f>InputData!$C$11</f>
        <v>0.02</v>
      </c>
      <c r="R832" s="160">
        <f>InputData!$C$12</f>
        <v>0.02</v>
      </c>
      <c r="S832" s="160">
        <f>InputData!$C$13</f>
        <v>0.9</v>
      </c>
      <c r="T832" s="116">
        <f>InputData!$C$88</f>
        <v>180000</v>
      </c>
      <c r="U832" s="116">
        <f>InputData!$C$81</f>
        <v>178500</v>
      </c>
      <c r="V832" s="116">
        <f>InputData!$C$82</f>
        <v>303960</v>
      </c>
      <c r="W832" s="116">
        <f>InputData!$C$84</f>
        <v>215220</v>
      </c>
      <c r="X832" s="116">
        <f>InputData!$C$85</f>
        <v>409020</v>
      </c>
      <c r="Y832" s="116">
        <f>InputData!$C$116</f>
        <v>140000</v>
      </c>
      <c r="Z832" s="160">
        <f>InputData!$E$13</f>
        <v>0</v>
      </c>
    </row>
    <row r="833" spans="1:26" x14ac:dyDescent="0.25">
      <c r="A833">
        <f>InputData!$K$1</f>
        <v>2013</v>
      </c>
      <c r="B833" t="str">
        <f>InputData!$G$1</f>
        <v>San Antonio, TX</v>
      </c>
      <c r="C833" t="s">
        <v>177</v>
      </c>
      <c r="D833" t="str">
        <f>Graph_Ortho!$O$6</f>
        <v>HPSPim</v>
      </c>
      <c r="E833" t="str">
        <f t="shared" si="12"/>
        <v>Orthopedics HPSPim</v>
      </c>
      <c r="F833">
        <f>Graph_Ortho!$A28</f>
        <v>2034</v>
      </c>
      <c r="G833">
        <f>Graph_Ortho!$B28</f>
        <v>22</v>
      </c>
      <c r="H833" s="165">
        <f>Graph_Ortho!$O28</f>
        <v>2085644.3010064017</v>
      </c>
      <c r="I833" s="160">
        <f>InputData!$C$3</f>
        <v>0.02</v>
      </c>
      <c r="J833" s="160">
        <f>InputData!$C$4</f>
        <v>0.01</v>
      </c>
      <c r="K833" s="160">
        <f>InputData!$C$5</f>
        <v>0.01</v>
      </c>
      <c r="L833" s="160">
        <f>InputData!$C$6</f>
        <v>6.2100000000000002E-2</v>
      </c>
      <c r="M833" s="160">
        <f>InputData!$C$7</f>
        <v>0.03</v>
      </c>
      <c r="N833" s="160">
        <f>InputData!$C$8</f>
        <v>0.02</v>
      </c>
      <c r="O833" s="160">
        <f>InputData!$C$9</f>
        <v>0.06</v>
      </c>
      <c r="P833" s="160">
        <f>InputData!$C$10</f>
        <v>0.02</v>
      </c>
      <c r="Q833" s="160">
        <f>InputData!$C$11</f>
        <v>0.02</v>
      </c>
      <c r="R833" s="160">
        <f>InputData!$C$12</f>
        <v>0.02</v>
      </c>
      <c r="S833" s="160">
        <f>InputData!$C$13</f>
        <v>0.9</v>
      </c>
      <c r="T833" s="116">
        <f>InputData!$C$88</f>
        <v>180000</v>
      </c>
      <c r="U833" s="116">
        <f>InputData!$C$81</f>
        <v>178500</v>
      </c>
      <c r="V833" s="116">
        <f>InputData!$C$82</f>
        <v>303960</v>
      </c>
      <c r="W833" s="116">
        <f>InputData!$C$84</f>
        <v>215220</v>
      </c>
      <c r="X833" s="116">
        <f>InputData!$C$85</f>
        <v>409020</v>
      </c>
      <c r="Y833" s="116">
        <f>InputData!$C$116</f>
        <v>140000</v>
      </c>
      <c r="Z833" s="160">
        <f>InputData!$E$13</f>
        <v>0</v>
      </c>
    </row>
    <row r="834" spans="1:26" x14ac:dyDescent="0.25">
      <c r="A834">
        <f>InputData!$K$1</f>
        <v>2013</v>
      </c>
      <c r="B834" t="str">
        <f>InputData!$G$1</f>
        <v>San Antonio, TX</v>
      </c>
      <c r="C834" t="s">
        <v>177</v>
      </c>
      <c r="D834" t="str">
        <f>Graph_Ortho!$O$6</f>
        <v>HPSPim</v>
      </c>
      <c r="E834" t="str">
        <f t="shared" si="12"/>
        <v>Orthopedics HPSPim</v>
      </c>
      <c r="F834">
        <f>Graph_Ortho!$A29</f>
        <v>2035</v>
      </c>
      <c r="G834">
        <f>Graph_Ortho!$B29</f>
        <v>23</v>
      </c>
      <c r="H834" s="165">
        <f>Graph_Ortho!$O29</f>
        <v>2232588.7157207374</v>
      </c>
      <c r="I834" s="160">
        <f>InputData!$C$3</f>
        <v>0.02</v>
      </c>
      <c r="J834" s="160">
        <f>InputData!$C$4</f>
        <v>0.01</v>
      </c>
      <c r="K834" s="160">
        <f>InputData!$C$5</f>
        <v>0.01</v>
      </c>
      <c r="L834" s="160">
        <f>InputData!$C$6</f>
        <v>6.2100000000000002E-2</v>
      </c>
      <c r="M834" s="160">
        <f>InputData!$C$7</f>
        <v>0.03</v>
      </c>
      <c r="N834" s="160">
        <f>InputData!$C$8</f>
        <v>0.02</v>
      </c>
      <c r="O834" s="160">
        <f>InputData!$C$9</f>
        <v>0.06</v>
      </c>
      <c r="P834" s="160">
        <f>InputData!$C$10</f>
        <v>0.02</v>
      </c>
      <c r="Q834" s="160">
        <f>InputData!$C$11</f>
        <v>0.02</v>
      </c>
      <c r="R834" s="160">
        <f>InputData!$C$12</f>
        <v>0.02</v>
      </c>
      <c r="S834" s="160">
        <f>InputData!$C$13</f>
        <v>0.9</v>
      </c>
      <c r="T834" s="116">
        <f>InputData!$C$88</f>
        <v>180000</v>
      </c>
      <c r="U834" s="116">
        <f>InputData!$C$81</f>
        <v>178500</v>
      </c>
      <c r="V834" s="116">
        <f>InputData!$C$82</f>
        <v>303960</v>
      </c>
      <c r="W834" s="116">
        <f>InputData!$C$84</f>
        <v>215220</v>
      </c>
      <c r="X834" s="116">
        <f>InputData!$C$85</f>
        <v>409020</v>
      </c>
      <c r="Y834" s="116">
        <f>InputData!$C$116</f>
        <v>140000</v>
      </c>
      <c r="Z834" s="160">
        <f>InputData!$E$13</f>
        <v>0</v>
      </c>
    </row>
    <row r="835" spans="1:26" x14ac:dyDescent="0.25">
      <c r="A835">
        <f>InputData!$K$1</f>
        <v>2013</v>
      </c>
      <c r="B835" t="str">
        <f>InputData!$G$1</f>
        <v>San Antonio, TX</v>
      </c>
      <c r="C835" t="s">
        <v>177</v>
      </c>
      <c r="D835" t="str">
        <f>Graph_Ortho!$O$6</f>
        <v>HPSPim</v>
      </c>
      <c r="E835" t="str">
        <f t="shared" ref="E835:E898" si="13">C835 &amp; " " &amp; D835</f>
        <v>Orthopedics HPSPim</v>
      </c>
      <c r="F835">
        <f>Graph_Ortho!$A30</f>
        <v>2036</v>
      </c>
      <c r="G835">
        <f>Graph_Ortho!$B30</f>
        <v>24</v>
      </c>
      <c r="H835" s="165">
        <f>Graph_Ortho!$O30</f>
        <v>2376465.0747432653</v>
      </c>
      <c r="I835" s="160">
        <f>InputData!$C$3</f>
        <v>0.02</v>
      </c>
      <c r="J835" s="160">
        <f>InputData!$C$4</f>
        <v>0.01</v>
      </c>
      <c r="K835" s="160">
        <f>InputData!$C$5</f>
        <v>0.01</v>
      </c>
      <c r="L835" s="160">
        <f>InputData!$C$6</f>
        <v>6.2100000000000002E-2</v>
      </c>
      <c r="M835" s="160">
        <f>InputData!$C$7</f>
        <v>0.03</v>
      </c>
      <c r="N835" s="160">
        <f>InputData!$C$8</f>
        <v>0.02</v>
      </c>
      <c r="O835" s="160">
        <f>InputData!$C$9</f>
        <v>0.06</v>
      </c>
      <c r="P835" s="160">
        <f>InputData!$C$10</f>
        <v>0.02</v>
      </c>
      <c r="Q835" s="160">
        <f>InputData!$C$11</f>
        <v>0.02</v>
      </c>
      <c r="R835" s="160">
        <f>InputData!$C$12</f>
        <v>0.02</v>
      </c>
      <c r="S835" s="160">
        <f>InputData!$C$13</f>
        <v>0.9</v>
      </c>
      <c r="T835" s="116">
        <f>InputData!$C$88</f>
        <v>180000</v>
      </c>
      <c r="U835" s="116">
        <f>InputData!$C$81</f>
        <v>178500</v>
      </c>
      <c r="V835" s="116">
        <f>InputData!$C$82</f>
        <v>303960</v>
      </c>
      <c r="W835" s="116">
        <f>InputData!$C$84</f>
        <v>215220</v>
      </c>
      <c r="X835" s="116">
        <f>InputData!$C$85</f>
        <v>409020</v>
      </c>
      <c r="Y835" s="116">
        <f>InputData!$C$116</f>
        <v>140000</v>
      </c>
      <c r="Z835" s="160">
        <f>InputData!$E$13</f>
        <v>0</v>
      </c>
    </row>
    <row r="836" spans="1:26" x14ac:dyDescent="0.25">
      <c r="A836">
        <f>InputData!$K$1</f>
        <v>2013</v>
      </c>
      <c r="B836" t="str">
        <f>InputData!$G$1</f>
        <v>San Antonio, TX</v>
      </c>
      <c r="C836" t="s">
        <v>177</v>
      </c>
      <c r="D836" t="str">
        <f>Graph_Ortho!$O$6</f>
        <v>HPSPim</v>
      </c>
      <c r="E836" t="str">
        <f t="shared" si="13"/>
        <v>Orthopedics HPSPim</v>
      </c>
      <c r="F836">
        <f>Graph_Ortho!$A31</f>
        <v>2037</v>
      </c>
      <c r="G836">
        <f>Graph_Ortho!$B31</f>
        <v>25</v>
      </c>
      <c r="H836" s="165">
        <f>Graph_Ortho!$O31</f>
        <v>2517338.9765915866</v>
      </c>
      <c r="I836" s="160">
        <f>InputData!$C$3</f>
        <v>0.02</v>
      </c>
      <c r="J836" s="160">
        <f>InputData!$C$4</f>
        <v>0.01</v>
      </c>
      <c r="K836" s="160">
        <f>InputData!$C$5</f>
        <v>0.01</v>
      </c>
      <c r="L836" s="160">
        <f>InputData!$C$6</f>
        <v>6.2100000000000002E-2</v>
      </c>
      <c r="M836" s="160">
        <f>InputData!$C$7</f>
        <v>0.03</v>
      </c>
      <c r="N836" s="160">
        <f>InputData!$C$8</f>
        <v>0.02</v>
      </c>
      <c r="O836" s="160">
        <f>InputData!$C$9</f>
        <v>0.06</v>
      </c>
      <c r="P836" s="160">
        <f>InputData!$C$10</f>
        <v>0.02</v>
      </c>
      <c r="Q836" s="160">
        <f>InputData!$C$11</f>
        <v>0.02</v>
      </c>
      <c r="R836" s="160">
        <f>InputData!$C$12</f>
        <v>0.02</v>
      </c>
      <c r="S836" s="160">
        <f>InputData!$C$13</f>
        <v>0.9</v>
      </c>
      <c r="T836" s="116">
        <f>InputData!$C$88</f>
        <v>180000</v>
      </c>
      <c r="U836" s="116">
        <f>InputData!$C$81</f>
        <v>178500</v>
      </c>
      <c r="V836" s="116">
        <f>InputData!$C$82</f>
        <v>303960</v>
      </c>
      <c r="W836" s="116">
        <f>InputData!$C$84</f>
        <v>215220</v>
      </c>
      <c r="X836" s="116">
        <f>InputData!$C$85</f>
        <v>409020</v>
      </c>
      <c r="Y836" s="116">
        <f>InputData!$C$116</f>
        <v>140000</v>
      </c>
      <c r="Z836" s="160">
        <f>InputData!$E$13</f>
        <v>0</v>
      </c>
    </row>
    <row r="837" spans="1:26" x14ac:dyDescent="0.25">
      <c r="A837">
        <f>InputData!$K$1</f>
        <v>2013</v>
      </c>
      <c r="B837" t="str">
        <f>InputData!$G$1</f>
        <v>San Antonio, TX</v>
      </c>
      <c r="C837" t="s">
        <v>177</v>
      </c>
      <c r="D837" t="str">
        <f>Graph_Ortho!$O$6</f>
        <v>HPSPim</v>
      </c>
      <c r="E837" t="str">
        <f t="shared" si="13"/>
        <v>Orthopedics HPSPim</v>
      </c>
      <c r="F837">
        <f>Graph_Ortho!$A32</f>
        <v>2038</v>
      </c>
      <c r="G837">
        <f>Graph_Ortho!$B32</f>
        <v>26</v>
      </c>
      <c r="H837" s="165">
        <f>Graph_Ortho!$O32</f>
        <v>2655274.5750748636</v>
      </c>
      <c r="I837" s="160">
        <f>InputData!$C$3</f>
        <v>0.02</v>
      </c>
      <c r="J837" s="160">
        <f>InputData!$C$4</f>
        <v>0.01</v>
      </c>
      <c r="K837" s="160">
        <f>InputData!$C$5</f>
        <v>0.01</v>
      </c>
      <c r="L837" s="160">
        <f>InputData!$C$6</f>
        <v>6.2100000000000002E-2</v>
      </c>
      <c r="M837" s="160">
        <f>InputData!$C$7</f>
        <v>0.03</v>
      </c>
      <c r="N837" s="160">
        <f>InputData!$C$8</f>
        <v>0.02</v>
      </c>
      <c r="O837" s="160">
        <f>InputData!$C$9</f>
        <v>0.06</v>
      </c>
      <c r="P837" s="160">
        <f>InputData!$C$10</f>
        <v>0.02</v>
      </c>
      <c r="Q837" s="160">
        <f>InputData!$C$11</f>
        <v>0.02</v>
      </c>
      <c r="R837" s="160">
        <f>InputData!$C$12</f>
        <v>0.02</v>
      </c>
      <c r="S837" s="160">
        <f>InputData!$C$13</f>
        <v>0.9</v>
      </c>
      <c r="T837" s="116">
        <f>InputData!$C$88</f>
        <v>180000</v>
      </c>
      <c r="U837" s="116">
        <f>InputData!$C$81</f>
        <v>178500</v>
      </c>
      <c r="V837" s="116">
        <f>InputData!$C$82</f>
        <v>303960</v>
      </c>
      <c r="W837" s="116">
        <f>InputData!$C$84</f>
        <v>215220</v>
      </c>
      <c r="X837" s="116">
        <f>InputData!$C$85</f>
        <v>409020</v>
      </c>
      <c r="Y837" s="116">
        <f>InputData!$C$116</f>
        <v>140000</v>
      </c>
      <c r="Z837" s="160">
        <f>InputData!$E$13</f>
        <v>0</v>
      </c>
    </row>
    <row r="838" spans="1:26" x14ac:dyDescent="0.25">
      <c r="A838">
        <f>InputData!$K$1</f>
        <v>2013</v>
      </c>
      <c r="B838" t="str">
        <f>InputData!$G$1</f>
        <v>San Antonio, TX</v>
      </c>
      <c r="C838" t="s">
        <v>177</v>
      </c>
      <c r="D838" t="str">
        <f>Graph_Ortho!$O$6</f>
        <v>HPSPim</v>
      </c>
      <c r="E838" t="str">
        <f t="shared" si="13"/>
        <v>Orthopedics HPSPim</v>
      </c>
      <c r="F838">
        <f>Graph_Ortho!$A33</f>
        <v>2039</v>
      </c>
      <c r="G838">
        <f>Graph_Ortho!$B33</f>
        <v>27</v>
      </c>
      <c r="H838" s="165">
        <f>Graph_Ortho!$O33</f>
        <v>2790334.6122368625</v>
      </c>
      <c r="I838" s="160">
        <f>InputData!$C$3</f>
        <v>0.02</v>
      </c>
      <c r="J838" s="160">
        <f>InputData!$C$4</f>
        <v>0.01</v>
      </c>
      <c r="K838" s="160">
        <f>InputData!$C$5</f>
        <v>0.01</v>
      </c>
      <c r="L838" s="160">
        <f>InputData!$C$6</f>
        <v>6.2100000000000002E-2</v>
      </c>
      <c r="M838" s="160">
        <f>InputData!$C$7</f>
        <v>0.03</v>
      </c>
      <c r="N838" s="160">
        <f>InputData!$C$8</f>
        <v>0.02</v>
      </c>
      <c r="O838" s="160">
        <f>InputData!$C$9</f>
        <v>0.06</v>
      </c>
      <c r="P838" s="160">
        <f>InputData!$C$10</f>
        <v>0.02</v>
      </c>
      <c r="Q838" s="160">
        <f>InputData!$C$11</f>
        <v>0.02</v>
      </c>
      <c r="R838" s="160">
        <f>InputData!$C$12</f>
        <v>0.02</v>
      </c>
      <c r="S838" s="160">
        <f>InputData!$C$13</f>
        <v>0.9</v>
      </c>
      <c r="T838" s="116">
        <f>InputData!$C$88</f>
        <v>180000</v>
      </c>
      <c r="U838" s="116">
        <f>InputData!$C$81</f>
        <v>178500</v>
      </c>
      <c r="V838" s="116">
        <f>InputData!$C$82</f>
        <v>303960</v>
      </c>
      <c r="W838" s="116">
        <f>InputData!$C$84</f>
        <v>215220</v>
      </c>
      <c r="X838" s="116">
        <f>InputData!$C$85</f>
        <v>409020</v>
      </c>
      <c r="Y838" s="116">
        <f>InputData!$C$116</f>
        <v>140000</v>
      </c>
      <c r="Z838" s="160">
        <f>InputData!$E$13</f>
        <v>0</v>
      </c>
    </row>
    <row r="839" spans="1:26" x14ac:dyDescent="0.25">
      <c r="A839">
        <f>InputData!$K$1</f>
        <v>2013</v>
      </c>
      <c r="B839" t="str">
        <f>InputData!$G$1</f>
        <v>San Antonio, TX</v>
      </c>
      <c r="C839" t="s">
        <v>177</v>
      </c>
      <c r="D839" t="str">
        <f>Graph_Ortho!$O$6</f>
        <v>HPSPim</v>
      </c>
      <c r="E839" t="str">
        <f t="shared" si="13"/>
        <v>Orthopedics HPSPim</v>
      </c>
      <c r="F839">
        <f>Graph_Ortho!$A34</f>
        <v>2040</v>
      </c>
      <c r="G839">
        <f>Graph_Ortho!$B34</f>
        <v>28</v>
      </c>
      <c r="H839" s="165">
        <f>Graph_Ortho!$O34</f>
        <v>2922580.4505186267</v>
      </c>
      <c r="I839" s="160">
        <f>InputData!$C$3</f>
        <v>0.02</v>
      </c>
      <c r="J839" s="160">
        <f>InputData!$C$4</f>
        <v>0.01</v>
      </c>
      <c r="K839" s="160">
        <f>InputData!$C$5</f>
        <v>0.01</v>
      </c>
      <c r="L839" s="160">
        <f>InputData!$C$6</f>
        <v>6.2100000000000002E-2</v>
      </c>
      <c r="M839" s="160">
        <f>InputData!$C$7</f>
        <v>0.03</v>
      </c>
      <c r="N839" s="160">
        <f>InputData!$C$8</f>
        <v>0.02</v>
      </c>
      <c r="O839" s="160">
        <f>InputData!$C$9</f>
        <v>0.06</v>
      </c>
      <c r="P839" s="160">
        <f>InputData!$C$10</f>
        <v>0.02</v>
      </c>
      <c r="Q839" s="160">
        <f>InputData!$C$11</f>
        <v>0.02</v>
      </c>
      <c r="R839" s="160">
        <f>InputData!$C$12</f>
        <v>0.02</v>
      </c>
      <c r="S839" s="160">
        <f>InputData!$C$13</f>
        <v>0.9</v>
      </c>
      <c r="T839" s="116">
        <f>InputData!$C$88</f>
        <v>180000</v>
      </c>
      <c r="U839" s="116">
        <f>InputData!$C$81</f>
        <v>178500</v>
      </c>
      <c r="V839" s="116">
        <f>InputData!$C$82</f>
        <v>303960</v>
      </c>
      <c r="W839" s="116">
        <f>InputData!$C$84</f>
        <v>215220</v>
      </c>
      <c r="X839" s="116">
        <f>InputData!$C$85</f>
        <v>409020</v>
      </c>
      <c r="Y839" s="116">
        <f>InputData!$C$116</f>
        <v>140000</v>
      </c>
      <c r="Z839" s="160">
        <f>InputData!$E$13</f>
        <v>0</v>
      </c>
    </row>
    <row r="840" spans="1:26" x14ac:dyDescent="0.25">
      <c r="A840">
        <f>InputData!$K$1</f>
        <v>2013</v>
      </c>
      <c r="B840" t="str">
        <f>InputData!$G$1</f>
        <v>San Antonio, TX</v>
      </c>
      <c r="C840" t="s">
        <v>177</v>
      </c>
      <c r="D840" t="str">
        <f>Graph_Ortho!$O$6</f>
        <v>HPSPim</v>
      </c>
      <c r="E840" t="str">
        <f t="shared" si="13"/>
        <v>Orthopedics HPSPim</v>
      </c>
      <c r="F840">
        <f>Graph_Ortho!$A35</f>
        <v>2041</v>
      </c>
      <c r="G840">
        <f>Graph_Ortho!$B35</f>
        <v>29</v>
      </c>
      <c r="H840" s="165">
        <f>Graph_Ortho!$O35</f>
        <v>3052072.1041599908</v>
      </c>
      <c r="I840" s="160">
        <f>InputData!$C$3</f>
        <v>0.02</v>
      </c>
      <c r="J840" s="160">
        <f>InputData!$C$4</f>
        <v>0.01</v>
      </c>
      <c r="K840" s="160">
        <f>InputData!$C$5</f>
        <v>0.01</v>
      </c>
      <c r="L840" s="160">
        <f>InputData!$C$6</f>
        <v>6.2100000000000002E-2</v>
      </c>
      <c r="M840" s="160">
        <f>InputData!$C$7</f>
        <v>0.03</v>
      </c>
      <c r="N840" s="160">
        <f>InputData!$C$8</f>
        <v>0.02</v>
      </c>
      <c r="O840" s="160">
        <f>InputData!$C$9</f>
        <v>0.06</v>
      </c>
      <c r="P840" s="160">
        <f>InputData!$C$10</f>
        <v>0.02</v>
      </c>
      <c r="Q840" s="160">
        <f>InputData!$C$11</f>
        <v>0.02</v>
      </c>
      <c r="R840" s="160">
        <f>InputData!$C$12</f>
        <v>0.02</v>
      </c>
      <c r="S840" s="160">
        <f>InputData!$C$13</f>
        <v>0.9</v>
      </c>
      <c r="T840" s="116">
        <f>InputData!$C$88</f>
        <v>180000</v>
      </c>
      <c r="U840" s="116">
        <f>InputData!$C$81</f>
        <v>178500</v>
      </c>
      <c r="V840" s="116">
        <f>InputData!$C$82</f>
        <v>303960</v>
      </c>
      <c r="W840" s="116">
        <f>InputData!$C$84</f>
        <v>215220</v>
      </c>
      <c r="X840" s="116">
        <f>InputData!$C$85</f>
        <v>409020</v>
      </c>
      <c r="Y840" s="116">
        <f>InputData!$C$116</f>
        <v>140000</v>
      </c>
      <c r="Z840" s="160">
        <f>InputData!$E$13</f>
        <v>0</v>
      </c>
    </row>
    <row r="841" spans="1:26" x14ac:dyDescent="0.25">
      <c r="A841">
        <f>InputData!$K$1</f>
        <v>2013</v>
      </c>
      <c r="B841" t="str">
        <f>InputData!$G$1</f>
        <v>San Antonio, TX</v>
      </c>
      <c r="C841" t="s">
        <v>177</v>
      </c>
      <c r="D841" t="str">
        <f>Graph_Ortho!$O$6</f>
        <v>HPSPim</v>
      </c>
      <c r="E841" t="str">
        <f t="shared" si="13"/>
        <v>Orthopedics HPSPim</v>
      </c>
      <c r="F841">
        <f>Graph_Ortho!$A36</f>
        <v>2042</v>
      </c>
      <c r="G841">
        <f>Graph_Ortho!$B36</f>
        <v>30</v>
      </c>
      <c r="H841" s="165">
        <f>Graph_Ortho!$O36</f>
        <v>3178868.2698586704</v>
      </c>
      <c r="I841" s="160">
        <f>InputData!$C$3</f>
        <v>0.02</v>
      </c>
      <c r="J841" s="160">
        <f>InputData!$C$4</f>
        <v>0.01</v>
      </c>
      <c r="K841" s="160">
        <f>InputData!$C$5</f>
        <v>0.01</v>
      </c>
      <c r="L841" s="160">
        <f>InputData!$C$6</f>
        <v>6.2100000000000002E-2</v>
      </c>
      <c r="M841" s="160">
        <f>InputData!$C$7</f>
        <v>0.03</v>
      </c>
      <c r="N841" s="160">
        <f>InputData!$C$8</f>
        <v>0.02</v>
      </c>
      <c r="O841" s="160">
        <f>InputData!$C$9</f>
        <v>0.06</v>
      </c>
      <c r="P841" s="160">
        <f>InputData!$C$10</f>
        <v>0.02</v>
      </c>
      <c r="Q841" s="160">
        <f>InputData!$C$11</f>
        <v>0.02</v>
      </c>
      <c r="R841" s="160">
        <f>InputData!$C$12</f>
        <v>0.02</v>
      </c>
      <c r="S841" s="160">
        <f>InputData!$C$13</f>
        <v>0.9</v>
      </c>
      <c r="T841" s="116">
        <f>InputData!$C$88</f>
        <v>180000</v>
      </c>
      <c r="U841" s="116">
        <f>InputData!$C$81</f>
        <v>178500</v>
      </c>
      <c r="V841" s="116">
        <f>InputData!$C$82</f>
        <v>303960</v>
      </c>
      <c r="W841" s="116">
        <f>InputData!$C$84</f>
        <v>215220</v>
      </c>
      <c r="X841" s="116">
        <f>InputData!$C$85</f>
        <v>409020</v>
      </c>
      <c r="Y841" s="116">
        <f>InputData!$C$116</f>
        <v>140000</v>
      </c>
      <c r="Z841" s="160">
        <f>InputData!$E$13</f>
        <v>0</v>
      </c>
    </row>
    <row r="842" spans="1:26" x14ac:dyDescent="0.25">
      <c r="A842">
        <f>InputData!$K$1</f>
        <v>2013</v>
      </c>
      <c r="B842" t="str">
        <f>InputData!$G$1</f>
        <v>San Antonio, TX</v>
      </c>
      <c r="C842" t="s">
        <v>5</v>
      </c>
      <c r="D842" t="str">
        <f>Graph_GenSurg!$C$6</f>
        <v>USU30</v>
      </c>
      <c r="E842" t="str">
        <f t="shared" si="13"/>
        <v>General Surgery USU30</v>
      </c>
      <c r="F842">
        <f>Graph_GenSurg!$A7</f>
        <v>2013</v>
      </c>
      <c r="G842">
        <f>Graph_GenSurg!$B7</f>
        <v>1</v>
      </c>
      <c r="H842" s="165">
        <f>Graph_GenSurg!$C7</f>
        <v>54056.194799999997</v>
      </c>
      <c r="I842" s="160">
        <f>InputData!$C$3</f>
        <v>0.02</v>
      </c>
      <c r="J842" s="160">
        <f>InputData!$C$4</f>
        <v>0.01</v>
      </c>
      <c r="K842" s="160">
        <f>InputData!$C$5</f>
        <v>0.01</v>
      </c>
      <c r="L842" s="160">
        <f>InputData!$C$6</f>
        <v>6.2100000000000002E-2</v>
      </c>
      <c r="M842" s="160">
        <f>InputData!$C$7</f>
        <v>0.03</v>
      </c>
      <c r="N842" s="160">
        <f>InputData!$C$8</f>
        <v>0.02</v>
      </c>
      <c r="O842" s="160">
        <f>InputData!$C$9</f>
        <v>0.06</v>
      </c>
      <c r="P842" s="160">
        <f>InputData!$C$10</f>
        <v>0.02</v>
      </c>
      <c r="Q842" s="160">
        <f>InputData!$C$11</f>
        <v>0.02</v>
      </c>
      <c r="R842" s="160">
        <f>InputData!$C$12</f>
        <v>0.02</v>
      </c>
      <c r="S842" s="160">
        <f>InputData!$C$13</f>
        <v>0.9</v>
      </c>
      <c r="T842" s="116">
        <f>InputData!$C$88</f>
        <v>180000</v>
      </c>
      <c r="U842" s="116">
        <f>InputData!$C$81</f>
        <v>178500</v>
      </c>
      <c r="V842" s="116">
        <f>InputData!$C$82</f>
        <v>303960</v>
      </c>
      <c r="W842" s="116">
        <f>InputData!$C$84</f>
        <v>215220</v>
      </c>
      <c r="X842" s="116">
        <f>InputData!$C$85</f>
        <v>409020</v>
      </c>
      <c r="Y842" s="116">
        <f>InputData!$C$116</f>
        <v>140000</v>
      </c>
      <c r="Z842" s="160">
        <f>InputData!$E$13</f>
        <v>0</v>
      </c>
    </row>
    <row r="843" spans="1:26" x14ac:dyDescent="0.25">
      <c r="A843">
        <f>InputData!$K$1</f>
        <v>2013</v>
      </c>
      <c r="B843" t="str">
        <f>InputData!$G$1</f>
        <v>San Antonio, TX</v>
      </c>
      <c r="C843" t="s">
        <v>5</v>
      </c>
      <c r="D843" t="str">
        <f>Graph_GenSurg!$C$6</f>
        <v>USU30</v>
      </c>
      <c r="E843" t="str">
        <f t="shared" si="13"/>
        <v>General Surgery USU30</v>
      </c>
      <c r="F843">
        <f>Graph_GenSurg!$A8</f>
        <v>2014</v>
      </c>
      <c r="G843">
        <f>Graph_GenSurg!$B8</f>
        <v>2</v>
      </c>
      <c r="H843" s="165">
        <f>Graph_GenSurg!$C8</f>
        <v>106041.93556527697</v>
      </c>
      <c r="I843" s="160">
        <f>InputData!$C$3</f>
        <v>0.02</v>
      </c>
      <c r="J843" s="160">
        <f>InputData!$C$4</f>
        <v>0.01</v>
      </c>
      <c r="K843" s="160">
        <f>InputData!$C$5</f>
        <v>0.01</v>
      </c>
      <c r="L843" s="160">
        <f>InputData!$C$6</f>
        <v>6.2100000000000002E-2</v>
      </c>
      <c r="M843" s="160">
        <f>InputData!$C$7</f>
        <v>0.03</v>
      </c>
      <c r="N843" s="160">
        <f>InputData!$C$8</f>
        <v>0.02</v>
      </c>
      <c r="O843" s="160">
        <f>InputData!$C$9</f>
        <v>0.06</v>
      </c>
      <c r="P843" s="160">
        <f>InputData!$C$10</f>
        <v>0.02</v>
      </c>
      <c r="Q843" s="160">
        <f>InputData!$C$11</f>
        <v>0.02</v>
      </c>
      <c r="R843" s="160">
        <f>InputData!$C$12</f>
        <v>0.02</v>
      </c>
      <c r="S843" s="160">
        <f>InputData!$C$13</f>
        <v>0.9</v>
      </c>
      <c r="T843" s="116">
        <f>InputData!$C$88</f>
        <v>180000</v>
      </c>
      <c r="U843" s="116">
        <f>InputData!$C$81</f>
        <v>178500</v>
      </c>
      <c r="V843" s="116">
        <f>InputData!$C$82</f>
        <v>303960</v>
      </c>
      <c r="W843" s="116">
        <f>InputData!$C$84</f>
        <v>215220</v>
      </c>
      <c r="X843" s="116">
        <f>InputData!$C$85</f>
        <v>409020</v>
      </c>
      <c r="Y843" s="116">
        <f>InputData!$C$116</f>
        <v>140000</v>
      </c>
      <c r="Z843" s="160">
        <f>InputData!$E$13</f>
        <v>0</v>
      </c>
    </row>
    <row r="844" spans="1:26" x14ac:dyDescent="0.25">
      <c r="A844">
        <f>InputData!$K$1</f>
        <v>2013</v>
      </c>
      <c r="B844" t="str">
        <f>InputData!$G$1</f>
        <v>San Antonio, TX</v>
      </c>
      <c r="C844" t="s">
        <v>5</v>
      </c>
      <c r="D844" t="str">
        <f>Graph_GenSurg!$C$6</f>
        <v>USU30</v>
      </c>
      <c r="E844" t="str">
        <f t="shared" si="13"/>
        <v>General Surgery USU30</v>
      </c>
      <c r="F844">
        <f>Graph_GenSurg!$A9</f>
        <v>2015</v>
      </c>
      <c r="G844">
        <f>Graph_GenSurg!$B9</f>
        <v>3</v>
      </c>
      <c r="H844" s="165">
        <f>Graph_GenSurg!$C9</f>
        <v>157045.52189700573</v>
      </c>
      <c r="I844" s="160">
        <f>InputData!$C$3</f>
        <v>0.02</v>
      </c>
      <c r="J844" s="160">
        <f>InputData!$C$4</f>
        <v>0.01</v>
      </c>
      <c r="K844" s="160">
        <f>InputData!$C$5</f>
        <v>0.01</v>
      </c>
      <c r="L844" s="160">
        <f>InputData!$C$6</f>
        <v>6.2100000000000002E-2</v>
      </c>
      <c r="M844" s="160">
        <f>InputData!$C$7</f>
        <v>0.03</v>
      </c>
      <c r="N844" s="160">
        <f>InputData!$C$8</f>
        <v>0.02</v>
      </c>
      <c r="O844" s="160">
        <f>InputData!$C$9</f>
        <v>0.06</v>
      </c>
      <c r="P844" s="160">
        <f>InputData!$C$10</f>
        <v>0.02</v>
      </c>
      <c r="Q844" s="160">
        <f>InputData!$C$11</f>
        <v>0.02</v>
      </c>
      <c r="R844" s="160">
        <f>InputData!$C$12</f>
        <v>0.02</v>
      </c>
      <c r="S844" s="160">
        <f>InputData!$C$13</f>
        <v>0.9</v>
      </c>
      <c r="T844" s="116">
        <f>InputData!$C$88</f>
        <v>180000</v>
      </c>
      <c r="U844" s="116">
        <f>InputData!$C$81</f>
        <v>178500</v>
      </c>
      <c r="V844" s="116">
        <f>InputData!$C$82</f>
        <v>303960</v>
      </c>
      <c r="W844" s="116">
        <f>InputData!$C$84</f>
        <v>215220</v>
      </c>
      <c r="X844" s="116">
        <f>InputData!$C$85</f>
        <v>409020</v>
      </c>
      <c r="Y844" s="116">
        <f>InputData!$C$116</f>
        <v>140000</v>
      </c>
      <c r="Z844" s="160">
        <f>InputData!$E$13</f>
        <v>0</v>
      </c>
    </row>
    <row r="845" spans="1:26" x14ac:dyDescent="0.25">
      <c r="A845">
        <f>InputData!$K$1</f>
        <v>2013</v>
      </c>
      <c r="B845" t="str">
        <f>InputData!$G$1</f>
        <v>San Antonio, TX</v>
      </c>
      <c r="C845" t="s">
        <v>5</v>
      </c>
      <c r="D845" t="str">
        <f>Graph_GenSurg!$C$6</f>
        <v>USU30</v>
      </c>
      <c r="E845" t="str">
        <f t="shared" si="13"/>
        <v>General Surgery USU30</v>
      </c>
      <c r="F845">
        <f>Graph_GenSurg!$A10</f>
        <v>2016</v>
      </c>
      <c r="G845">
        <f>Graph_GenSurg!$B10</f>
        <v>4</v>
      </c>
      <c r="H845" s="165">
        <f>Graph_GenSurg!$C10</f>
        <v>211251.55229740124</v>
      </c>
      <c r="I845" s="160">
        <f>InputData!$C$3</f>
        <v>0.02</v>
      </c>
      <c r="J845" s="160">
        <f>InputData!$C$4</f>
        <v>0.01</v>
      </c>
      <c r="K845" s="160">
        <f>InputData!$C$5</f>
        <v>0.01</v>
      </c>
      <c r="L845" s="160">
        <f>InputData!$C$6</f>
        <v>6.2100000000000002E-2</v>
      </c>
      <c r="M845" s="160">
        <f>InputData!$C$7</f>
        <v>0.03</v>
      </c>
      <c r="N845" s="160">
        <f>InputData!$C$8</f>
        <v>0.02</v>
      </c>
      <c r="O845" s="160">
        <f>InputData!$C$9</f>
        <v>0.06</v>
      </c>
      <c r="P845" s="160">
        <f>InputData!$C$10</f>
        <v>0.02</v>
      </c>
      <c r="Q845" s="160">
        <f>InputData!$C$11</f>
        <v>0.02</v>
      </c>
      <c r="R845" s="160">
        <f>InputData!$C$12</f>
        <v>0.02</v>
      </c>
      <c r="S845" s="160">
        <f>InputData!$C$13</f>
        <v>0.9</v>
      </c>
      <c r="T845" s="116">
        <f>InputData!$C$88</f>
        <v>180000</v>
      </c>
      <c r="U845" s="116">
        <f>InputData!$C$81</f>
        <v>178500</v>
      </c>
      <c r="V845" s="116">
        <f>InputData!$C$82</f>
        <v>303960</v>
      </c>
      <c r="W845" s="116">
        <f>InputData!$C$84</f>
        <v>215220</v>
      </c>
      <c r="X845" s="116">
        <f>InputData!$C$85</f>
        <v>409020</v>
      </c>
      <c r="Y845" s="116">
        <f>InputData!$C$116</f>
        <v>140000</v>
      </c>
      <c r="Z845" s="160">
        <f>InputData!$E$13</f>
        <v>0</v>
      </c>
    </row>
    <row r="846" spans="1:26" x14ac:dyDescent="0.25">
      <c r="A846">
        <f>InputData!$K$1</f>
        <v>2013</v>
      </c>
      <c r="B846" t="str">
        <f>InputData!$G$1</f>
        <v>San Antonio, TX</v>
      </c>
      <c r="C846" t="s">
        <v>5</v>
      </c>
      <c r="D846" t="str">
        <f>Graph_GenSurg!$C$6</f>
        <v>USU30</v>
      </c>
      <c r="E846" t="str">
        <f t="shared" si="13"/>
        <v>General Surgery USU30</v>
      </c>
      <c r="F846">
        <f>Graph_GenSurg!$A11</f>
        <v>2017</v>
      </c>
      <c r="G846">
        <f>Graph_GenSurg!$B11</f>
        <v>5</v>
      </c>
      <c r="H846" s="165">
        <f>Graph_GenSurg!$C11</f>
        <v>261213.54479899554</v>
      </c>
      <c r="I846" s="160">
        <f>InputData!$C$3</f>
        <v>0.02</v>
      </c>
      <c r="J846" s="160">
        <f>InputData!$C$4</f>
        <v>0.01</v>
      </c>
      <c r="K846" s="160">
        <f>InputData!$C$5</f>
        <v>0.01</v>
      </c>
      <c r="L846" s="160">
        <f>InputData!$C$6</f>
        <v>6.2100000000000002E-2</v>
      </c>
      <c r="M846" s="160">
        <f>InputData!$C$7</f>
        <v>0.03</v>
      </c>
      <c r="N846" s="160">
        <f>InputData!$C$8</f>
        <v>0.02</v>
      </c>
      <c r="O846" s="160">
        <f>InputData!$C$9</f>
        <v>0.06</v>
      </c>
      <c r="P846" s="160">
        <f>InputData!$C$10</f>
        <v>0.02</v>
      </c>
      <c r="Q846" s="160">
        <f>InputData!$C$11</f>
        <v>0.02</v>
      </c>
      <c r="R846" s="160">
        <f>InputData!$C$12</f>
        <v>0.02</v>
      </c>
      <c r="S846" s="160">
        <f>InputData!$C$13</f>
        <v>0.9</v>
      </c>
      <c r="T846" s="116">
        <f>InputData!$C$88</f>
        <v>180000</v>
      </c>
      <c r="U846" s="116">
        <f>InputData!$C$81</f>
        <v>178500</v>
      </c>
      <c r="V846" s="116">
        <f>InputData!$C$82</f>
        <v>303960</v>
      </c>
      <c r="W846" s="116">
        <f>InputData!$C$84</f>
        <v>215220</v>
      </c>
      <c r="X846" s="116">
        <f>InputData!$C$85</f>
        <v>409020</v>
      </c>
      <c r="Y846" s="116">
        <f>InputData!$C$116</f>
        <v>140000</v>
      </c>
      <c r="Z846" s="160">
        <f>InputData!$E$13</f>
        <v>0</v>
      </c>
    </row>
    <row r="847" spans="1:26" x14ac:dyDescent="0.25">
      <c r="A847">
        <f>InputData!$K$1</f>
        <v>2013</v>
      </c>
      <c r="B847" t="str">
        <f>InputData!$G$1</f>
        <v>San Antonio, TX</v>
      </c>
      <c r="C847" t="s">
        <v>5</v>
      </c>
      <c r="D847" t="str">
        <f>Graph_GenSurg!$C$6</f>
        <v>USU30</v>
      </c>
      <c r="E847" t="str">
        <f t="shared" si="13"/>
        <v>General Surgery USU30</v>
      </c>
      <c r="F847">
        <f>Graph_GenSurg!$A12</f>
        <v>2018</v>
      </c>
      <c r="G847">
        <f>Graph_GenSurg!$B12</f>
        <v>6</v>
      </c>
      <c r="H847" s="165">
        <f>Graph_GenSurg!$C12</f>
        <v>311474.37448667729</v>
      </c>
      <c r="I847" s="160">
        <f>InputData!$C$3</f>
        <v>0.02</v>
      </c>
      <c r="J847" s="160">
        <f>InputData!$C$4</f>
        <v>0.01</v>
      </c>
      <c r="K847" s="160">
        <f>InputData!$C$5</f>
        <v>0.01</v>
      </c>
      <c r="L847" s="160">
        <f>InputData!$C$6</f>
        <v>6.2100000000000002E-2</v>
      </c>
      <c r="M847" s="160">
        <f>InputData!$C$7</f>
        <v>0.03</v>
      </c>
      <c r="N847" s="160">
        <f>InputData!$C$8</f>
        <v>0.02</v>
      </c>
      <c r="O847" s="160">
        <f>InputData!$C$9</f>
        <v>0.06</v>
      </c>
      <c r="P847" s="160">
        <f>InputData!$C$10</f>
        <v>0.02</v>
      </c>
      <c r="Q847" s="160">
        <f>InputData!$C$11</f>
        <v>0.02</v>
      </c>
      <c r="R847" s="160">
        <f>InputData!$C$12</f>
        <v>0.02</v>
      </c>
      <c r="S847" s="160">
        <f>InputData!$C$13</f>
        <v>0.9</v>
      </c>
      <c r="T847" s="116">
        <f>InputData!$C$88</f>
        <v>180000</v>
      </c>
      <c r="U847" s="116">
        <f>InputData!$C$81</f>
        <v>178500</v>
      </c>
      <c r="V847" s="116">
        <f>InputData!$C$82</f>
        <v>303960</v>
      </c>
      <c r="W847" s="116">
        <f>InputData!$C$84</f>
        <v>215220</v>
      </c>
      <c r="X847" s="116">
        <f>InputData!$C$85</f>
        <v>409020</v>
      </c>
      <c r="Y847" s="116">
        <f>InputData!$C$116</f>
        <v>140000</v>
      </c>
      <c r="Z847" s="160">
        <f>InputData!$E$13</f>
        <v>0</v>
      </c>
    </row>
    <row r="848" spans="1:26" x14ac:dyDescent="0.25">
      <c r="A848">
        <f>InputData!$K$1</f>
        <v>2013</v>
      </c>
      <c r="B848" t="str">
        <f>InputData!$G$1</f>
        <v>San Antonio, TX</v>
      </c>
      <c r="C848" t="s">
        <v>5</v>
      </c>
      <c r="D848" t="str">
        <f>Graph_GenSurg!$C$6</f>
        <v>USU30</v>
      </c>
      <c r="E848" t="str">
        <f t="shared" si="13"/>
        <v>General Surgery USU30</v>
      </c>
      <c r="F848">
        <f>Graph_GenSurg!$A13</f>
        <v>2019</v>
      </c>
      <c r="G848">
        <f>Graph_GenSurg!$B13</f>
        <v>7</v>
      </c>
      <c r="H848" s="165">
        <f>Graph_GenSurg!$C13</f>
        <v>363115.97670968575</v>
      </c>
      <c r="I848" s="160">
        <f>InputData!$C$3</f>
        <v>0.02</v>
      </c>
      <c r="J848" s="160">
        <f>InputData!$C$4</f>
        <v>0.01</v>
      </c>
      <c r="K848" s="160">
        <f>InputData!$C$5</f>
        <v>0.01</v>
      </c>
      <c r="L848" s="160">
        <f>InputData!$C$6</f>
        <v>6.2100000000000002E-2</v>
      </c>
      <c r="M848" s="160">
        <f>InputData!$C$7</f>
        <v>0.03</v>
      </c>
      <c r="N848" s="160">
        <f>InputData!$C$8</f>
        <v>0.02</v>
      </c>
      <c r="O848" s="160">
        <f>InputData!$C$9</f>
        <v>0.06</v>
      </c>
      <c r="P848" s="160">
        <f>InputData!$C$10</f>
        <v>0.02</v>
      </c>
      <c r="Q848" s="160">
        <f>InputData!$C$11</f>
        <v>0.02</v>
      </c>
      <c r="R848" s="160">
        <f>InputData!$C$12</f>
        <v>0.02</v>
      </c>
      <c r="S848" s="160">
        <f>InputData!$C$13</f>
        <v>0.9</v>
      </c>
      <c r="T848" s="116">
        <f>InputData!$C$88</f>
        <v>180000</v>
      </c>
      <c r="U848" s="116">
        <f>InputData!$C$81</f>
        <v>178500</v>
      </c>
      <c r="V848" s="116">
        <f>InputData!$C$82</f>
        <v>303960</v>
      </c>
      <c r="W848" s="116">
        <f>InputData!$C$84</f>
        <v>215220</v>
      </c>
      <c r="X848" s="116">
        <f>InputData!$C$85</f>
        <v>409020</v>
      </c>
      <c r="Y848" s="116">
        <f>InputData!$C$116</f>
        <v>140000</v>
      </c>
      <c r="Z848" s="160">
        <f>InputData!$E$13</f>
        <v>0</v>
      </c>
    </row>
    <row r="849" spans="1:26" x14ac:dyDescent="0.25">
      <c r="A849">
        <f>InputData!$K$1</f>
        <v>2013</v>
      </c>
      <c r="B849" t="str">
        <f>InputData!$G$1</f>
        <v>San Antonio, TX</v>
      </c>
      <c r="C849" t="s">
        <v>5</v>
      </c>
      <c r="D849" t="str">
        <f>Graph_GenSurg!$C$6</f>
        <v>USU30</v>
      </c>
      <c r="E849" t="str">
        <f t="shared" si="13"/>
        <v>General Surgery USU30</v>
      </c>
      <c r="F849">
        <f>Graph_GenSurg!$A14</f>
        <v>2020</v>
      </c>
      <c r="G849">
        <f>Graph_GenSurg!$B14</f>
        <v>8</v>
      </c>
      <c r="H849" s="165">
        <f>Graph_GenSurg!$C14</f>
        <v>414930.34262192424</v>
      </c>
      <c r="I849" s="160">
        <f>InputData!$C$3</f>
        <v>0.02</v>
      </c>
      <c r="J849" s="160">
        <f>InputData!$C$4</f>
        <v>0.01</v>
      </c>
      <c r="K849" s="160">
        <f>InputData!$C$5</f>
        <v>0.01</v>
      </c>
      <c r="L849" s="160">
        <f>InputData!$C$6</f>
        <v>6.2100000000000002E-2</v>
      </c>
      <c r="M849" s="160">
        <f>InputData!$C$7</f>
        <v>0.03</v>
      </c>
      <c r="N849" s="160">
        <f>InputData!$C$8</f>
        <v>0.02</v>
      </c>
      <c r="O849" s="160">
        <f>InputData!$C$9</f>
        <v>0.06</v>
      </c>
      <c r="P849" s="160">
        <f>InputData!$C$10</f>
        <v>0.02</v>
      </c>
      <c r="Q849" s="160">
        <f>InputData!$C$11</f>
        <v>0.02</v>
      </c>
      <c r="R849" s="160">
        <f>InputData!$C$12</f>
        <v>0.02</v>
      </c>
      <c r="S849" s="160">
        <f>InputData!$C$13</f>
        <v>0.9</v>
      </c>
      <c r="T849" s="116">
        <f>InputData!$C$88</f>
        <v>180000</v>
      </c>
      <c r="U849" s="116">
        <f>InputData!$C$81</f>
        <v>178500</v>
      </c>
      <c r="V849" s="116">
        <f>InputData!$C$82</f>
        <v>303960</v>
      </c>
      <c r="W849" s="116">
        <f>InputData!$C$84</f>
        <v>215220</v>
      </c>
      <c r="X849" s="116">
        <f>InputData!$C$85</f>
        <v>409020</v>
      </c>
      <c r="Y849" s="116">
        <f>InputData!$C$116</f>
        <v>140000</v>
      </c>
      <c r="Z849" s="160">
        <f>InputData!$E$13</f>
        <v>0</v>
      </c>
    </row>
    <row r="850" spans="1:26" x14ac:dyDescent="0.25">
      <c r="A850">
        <f>InputData!$K$1</f>
        <v>2013</v>
      </c>
      <c r="B850" t="str">
        <f>InputData!$G$1</f>
        <v>San Antonio, TX</v>
      </c>
      <c r="C850" t="s">
        <v>5</v>
      </c>
      <c r="D850" t="str">
        <f>Graph_GenSurg!$C$6</f>
        <v>USU30</v>
      </c>
      <c r="E850" t="str">
        <f t="shared" si="13"/>
        <v>General Surgery USU30</v>
      </c>
      <c r="F850">
        <f>Graph_GenSurg!$A15</f>
        <v>2021</v>
      </c>
      <c r="G850">
        <f>Graph_GenSurg!$B15</f>
        <v>9</v>
      </c>
      <c r="H850" s="165">
        <f>Graph_GenSurg!$C15</f>
        <v>467290.95730725891</v>
      </c>
      <c r="I850" s="160">
        <f>InputData!$C$3</f>
        <v>0.02</v>
      </c>
      <c r="J850" s="160">
        <f>InputData!$C$4</f>
        <v>0.01</v>
      </c>
      <c r="K850" s="160">
        <f>InputData!$C$5</f>
        <v>0.01</v>
      </c>
      <c r="L850" s="160">
        <f>InputData!$C$6</f>
        <v>6.2100000000000002E-2</v>
      </c>
      <c r="M850" s="160">
        <f>InputData!$C$7</f>
        <v>0.03</v>
      </c>
      <c r="N850" s="160">
        <f>InputData!$C$8</f>
        <v>0.02</v>
      </c>
      <c r="O850" s="160">
        <f>InputData!$C$9</f>
        <v>0.06</v>
      </c>
      <c r="P850" s="160">
        <f>InputData!$C$10</f>
        <v>0.02</v>
      </c>
      <c r="Q850" s="160">
        <f>InputData!$C$11</f>
        <v>0.02</v>
      </c>
      <c r="R850" s="160">
        <f>InputData!$C$12</f>
        <v>0.02</v>
      </c>
      <c r="S850" s="160">
        <f>InputData!$C$13</f>
        <v>0.9</v>
      </c>
      <c r="T850" s="116">
        <f>InputData!$C$88</f>
        <v>180000</v>
      </c>
      <c r="U850" s="116">
        <f>InputData!$C$81</f>
        <v>178500</v>
      </c>
      <c r="V850" s="116">
        <f>InputData!$C$82</f>
        <v>303960</v>
      </c>
      <c r="W850" s="116">
        <f>InputData!$C$84</f>
        <v>215220</v>
      </c>
      <c r="X850" s="116">
        <f>InputData!$C$85</f>
        <v>409020</v>
      </c>
      <c r="Y850" s="116">
        <f>InputData!$C$116</f>
        <v>140000</v>
      </c>
      <c r="Z850" s="160">
        <f>InputData!$E$13</f>
        <v>0</v>
      </c>
    </row>
    <row r="851" spans="1:26" x14ac:dyDescent="0.25">
      <c r="A851">
        <f>InputData!$K$1</f>
        <v>2013</v>
      </c>
      <c r="B851" t="str">
        <f>InputData!$G$1</f>
        <v>San Antonio, TX</v>
      </c>
      <c r="C851" t="s">
        <v>5</v>
      </c>
      <c r="D851" t="str">
        <f>Graph_GenSurg!$C$6</f>
        <v>USU30</v>
      </c>
      <c r="E851" t="str">
        <f t="shared" si="13"/>
        <v>General Surgery USU30</v>
      </c>
      <c r="F851">
        <f>Graph_GenSurg!$A16</f>
        <v>2022</v>
      </c>
      <c r="G851">
        <f>Graph_GenSurg!$B16</f>
        <v>10</v>
      </c>
      <c r="H851" s="165">
        <f>Graph_GenSurg!$C16</f>
        <v>524763.22436689748</v>
      </c>
      <c r="I851" s="160">
        <f>InputData!$C$3</f>
        <v>0.02</v>
      </c>
      <c r="J851" s="160">
        <f>InputData!$C$4</f>
        <v>0.01</v>
      </c>
      <c r="K851" s="160">
        <f>InputData!$C$5</f>
        <v>0.01</v>
      </c>
      <c r="L851" s="160">
        <f>InputData!$C$6</f>
        <v>6.2100000000000002E-2</v>
      </c>
      <c r="M851" s="160">
        <f>InputData!$C$7</f>
        <v>0.03</v>
      </c>
      <c r="N851" s="160">
        <f>InputData!$C$8</f>
        <v>0.02</v>
      </c>
      <c r="O851" s="160">
        <f>InputData!$C$9</f>
        <v>0.06</v>
      </c>
      <c r="P851" s="160">
        <f>InputData!$C$10</f>
        <v>0.02</v>
      </c>
      <c r="Q851" s="160">
        <f>InputData!$C$11</f>
        <v>0.02</v>
      </c>
      <c r="R851" s="160">
        <f>InputData!$C$12</f>
        <v>0.02</v>
      </c>
      <c r="S851" s="160">
        <f>InputData!$C$13</f>
        <v>0.9</v>
      </c>
      <c r="T851" s="116">
        <f>InputData!$C$88</f>
        <v>180000</v>
      </c>
      <c r="U851" s="116">
        <f>InputData!$C$81</f>
        <v>178500</v>
      </c>
      <c r="V851" s="116">
        <f>InputData!$C$82</f>
        <v>303960</v>
      </c>
      <c r="W851" s="116">
        <f>InputData!$C$84</f>
        <v>215220</v>
      </c>
      <c r="X851" s="116">
        <f>InputData!$C$85</f>
        <v>409020</v>
      </c>
      <c r="Y851" s="116">
        <f>InputData!$C$116</f>
        <v>140000</v>
      </c>
      <c r="Z851" s="160">
        <f>InputData!$E$13</f>
        <v>0</v>
      </c>
    </row>
    <row r="852" spans="1:26" x14ac:dyDescent="0.25">
      <c r="A852">
        <f>InputData!$K$1</f>
        <v>2013</v>
      </c>
      <c r="B852" t="str">
        <f>InputData!$G$1</f>
        <v>San Antonio, TX</v>
      </c>
      <c r="C852" t="s">
        <v>5</v>
      </c>
      <c r="D852" t="str">
        <f>Graph_GenSurg!$C$6</f>
        <v>USU30</v>
      </c>
      <c r="E852" t="str">
        <f t="shared" si="13"/>
        <v>General Surgery USU30</v>
      </c>
      <c r="F852">
        <f>Graph_GenSurg!$A17</f>
        <v>2023</v>
      </c>
      <c r="G852">
        <f>Graph_GenSurg!$B17</f>
        <v>11</v>
      </c>
      <c r="H852" s="165">
        <f>Graph_GenSurg!$C17</f>
        <v>588449.02039398521</v>
      </c>
      <c r="I852" s="160">
        <f>InputData!$C$3</f>
        <v>0.02</v>
      </c>
      <c r="J852" s="160">
        <f>InputData!$C$4</f>
        <v>0.01</v>
      </c>
      <c r="K852" s="160">
        <f>InputData!$C$5</f>
        <v>0.01</v>
      </c>
      <c r="L852" s="160">
        <f>InputData!$C$6</f>
        <v>6.2100000000000002E-2</v>
      </c>
      <c r="M852" s="160">
        <f>InputData!$C$7</f>
        <v>0.03</v>
      </c>
      <c r="N852" s="160">
        <f>InputData!$C$8</f>
        <v>0.02</v>
      </c>
      <c r="O852" s="160">
        <f>InputData!$C$9</f>
        <v>0.06</v>
      </c>
      <c r="P852" s="160">
        <f>InputData!$C$10</f>
        <v>0.02</v>
      </c>
      <c r="Q852" s="160">
        <f>InputData!$C$11</f>
        <v>0.02</v>
      </c>
      <c r="R852" s="160">
        <f>InputData!$C$12</f>
        <v>0.02</v>
      </c>
      <c r="S852" s="160">
        <f>InputData!$C$13</f>
        <v>0.9</v>
      </c>
      <c r="T852" s="116">
        <f>InputData!$C$88</f>
        <v>180000</v>
      </c>
      <c r="U852" s="116">
        <f>InputData!$C$81</f>
        <v>178500</v>
      </c>
      <c r="V852" s="116">
        <f>InputData!$C$82</f>
        <v>303960</v>
      </c>
      <c r="W852" s="116">
        <f>InputData!$C$84</f>
        <v>215220</v>
      </c>
      <c r="X852" s="116">
        <f>InputData!$C$85</f>
        <v>409020</v>
      </c>
      <c r="Y852" s="116">
        <f>InputData!$C$116</f>
        <v>140000</v>
      </c>
      <c r="Z852" s="160">
        <f>InputData!$E$13</f>
        <v>0</v>
      </c>
    </row>
    <row r="853" spans="1:26" x14ac:dyDescent="0.25">
      <c r="A853">
        <f>InputData!$K$1</f>
        <v>2013</v>
      </c>
      <c r="B853" t="str">
        <f>InputData!$G$1</f>
        <v>San Antonio, TX</v>
      </c>
      <c r="C853" t="s">
        <v>5</v>
      </c>
      <c r="D853" t="str">
        <f>Graph_GenSurg!$C$6</f>
        <v>USU30</v>
      </c>
      <c r="E853" t="str">
        <f t="shared" si="13"/>
        <v>General Surgery USU30</v>
      </c>
      <c r="F853">
        <f>Graph_GenSurg!$A18</f>
        <v>2024</v>
      </c>
      <c r="G853">
        <f>Graph_GenSurg!$B18</f>
        <v>12</v>
      </c>
      <c r="H853" s="165">
        <f>Graph_GenSurg!$C18</f>
        <v>649720.24660637928</v>
      </c>
      <c r="I853" s="160">
        <f>InputData!$C$3</f>
        <v>0.02</v>
      </c>
      <c r="J853" s="160">
        <f>InputData!$C$4</f>
        <v>0.01</v>
      </c>
      <c r="K853" s="160">
        <f>InputData!$C$5</f>
        <v>0.01</v>
      </c>
      <c r="L853" s="160">
        <f>InputData!$C$6</f>
        <v>6.2100000000000002E-2</v>
      </c>
      <c r="M853" s="160">
        <f>InputData!$C$7</f>
        <v>0.03</v>
      </c>
      <c r="N853" s="160">
        <f>InputData!$C$8</f>
        <v>0.02</v>
      </c>
      <c r="O853" s="160">
        <f>InputData!$C$9</f>
        <v>0.06</v>
      </c>
      <c r="P853" s="160">
        <f>InputData!$C$10</f>
        <v>0.02</v>
      </c>
      <c r="Q853" s="160">
        <f>InputData!$C$11</f>
        <v>0.02</v>
      </c>
      <c r="R853" s="160">
        <f>InputData!$C$12</f>
        <v>0.02</v>
      </c>
      <c r="S853" s="160">
        <f>InputData!$C$13</f>
        <v>0.9</v>
      </c>
      <c r="T853" s="116">
        <f>InputData!$C$88</f>
        <v>180000</v>
      </c>
      <c r="U853" s="116">
        <f>InputData!$C$81</f>
        <v>178500</v>
      </c>
      <c r="V853" s="116">
        <f>InputData!$C$82</f>
        <v>303960</v>
      </c>
      <c r="W853" s="116">
        <f>InputData!$C$84</f>
        <v>215220</v>
      </c>
      <c r="X853" s="116">
        <f>InputData!$C$85</f>
        <v>409020</v>
      </c>
      <c r="Y853" s="116">
        <f>InputData!$C$116</f>
        <v>140000</v>
      </c>
      <c r="Z853" s="160">
        <f>InputData!$E$13</f>
        <v>0</v>
      </c>
    </row>
    <row r="854" spans="1:26" x14ac:dyDescent="0.25">
      <c r="A854">
        <f>InputData!$K$1</f>
        <v>2013</v>
      </c>
      <c r="B854" t="str">
        <f>InputData!$G$1</f>
        <v>San Antonio, TX</v>
      </c>
      <c r="C854" t="s">
        <v>5</v>
      </c>
      <c r="D854" t="str">
        <f>Graph_GenSurg!$C$6</f>
        <v>USU30</v>
      </c>
      <c r="E854" t="str">
        <f t="shared" si="13"/>
        <v>General Surgery USU30</v>
      </c>
      <c r="F854">
        <f>Graph_GenSurg!$A19</f>
        <v>2025</v>
      </c>
      <c r="G854">
        <f>Graph_GenSurg!$B19</f>
        <v>13</v>
      </c>
      <c r="H854" s="165">
        <f>Graph_GenSurg!$C19</f>
        <v>710146.70996840461</v>
      </c>
      <c r="I854" s="160">
        <f>InputData!$C$3</f>
        <v>0.02</v>
      </c>
      <c r="J854" s="160">
        <f>InputData!$C$4</f>
        <v>0.01</v>
      </c>
      <c r="K854" s="160">
        <f>InputData!$C$5</f>
        <v>0.01</v>
      </c>
      <c r="L854" s="160">
        <f>InputData!$C$6</f>
        <v>6.2100000000000002E-2</v>
      </c>
      <c r="M854" s="160">
        <f>InputData!$C$7</f>
        <v>0.03</v>
      </c>
      <c r="N854" s="160">
        <f>InputData!$C$8</f>
        <v>0.02</v>
      </c>
      <c r="O854" s="160">
        <f>InputData!$C$9</f>
        <v>0.06</v>
      </c>
      <c r="P854" s="160">
        <f>InputData!$C$10</f>
        <v>0.02</v>
      </c>
      <c r="Q854" s="160">
        <f>InputData!$C$11</f>
        <v>0.02</v>
      </c>
      <c r="R854" s="160">
        <f>InputData!$C$12</f>
        <v>0.02</v>
      </c>
      <c r="S854" s="160">
        <f>InputData!$C$13</f>
        <v>0.9</v>
      </c>
      <c r="T854" s="116">
        <f>InputData!$C$88</f>
        <v>180000</v>
      </c>
      <c r="U854" s="116">
        <f>InputData!$C$81</f>
        <v>178500</v>
      </c>
      <c r="V854" s="116">
        <f>InputData!$C$82</f>
        <v>303960</v>
      </c>
      <c r="W854" s="116">
        <f>InputData!$C$84</f>
        <v>215220</v>
      </c>
      <c r="X854" s="116">
        <f>InputData!$C$85</f>
        <v>409020</v>
      </c>
      <c r="Y854" s="116">
        <f>InputData!$C$116</f>
        <v>140000</v>
      </c>
      <c r="Z854" s="160">
        <f>InputData!$E$13</f>
        <v>0</v>
      </c>
    </row>
    <row r="855" spans="1:26" x14ac:dyDescent="0.25">
      <c r="A855">
        <f>InputData!$K$1</f>
        <v>2013</v>
      </c>
      <c r="B855" t="str">
        <f>InputData!$G$1</f>
        <v>San Antonio, TX</v>
      </c>
      <c r="C855" t="s">
        <v>5</v>
      </c>
      <c r="D855" t="str">
        <f>Graph_GenSurg!$C$6</f>
        <v>USU30</v>
      </c>
      <c r="E855" t="str">
        <f t="shared" si="13"/>
        <v>General Surgery USU30</v>
      </c>
      <c r="F855">
        <f>Graph_GenSurg!$A20</f>
        <v>2026</v>
      </c>
      <c r="G855">
        <f>Graph_GenSurg!$B20</f>
        <v>14</v>
      </c>
      <c r="H855" s="165">
        <f>Graph_GenSurg!$C20</f>
        <v>768281.88741084014</v>
      </c>
      <c r="I855" s="160">
        <f>InputData!$C$3</f>
        <v>0.02</v>
      </c>
      <c r="J855" s="160">
        <f>InputData!$C$4</f>
        <v>0.01</v>
      </c>
      <c r="K855" s="160">
        <f>InputData!$C$5</f>
        <v>0.01</v>
      </c>
      <c r="L855" s="160">
        <f>InputData!$C$6</f>
        <v>6.2100000000000002E-2</v>
      </c>
      <c r="M855" s="160">
        <f>InputData!$C$7</f>
        <v>0.03</v>
      </c>
      <c r="N855" s="160">
        <f>InputData!$C$8</f>
        <v>0.02</v>
      </c>
      <c r="O855" s="160">
        <f>InputData!$C$9</f>
        <v>0.06</v>
      </c>
      <c r="P855" s="160">
        <f>InputData!$C$10</f>
        <v>0.02</v>
      </c>
      <c r="Q855" s="160">
        <f>InputData!$C$11</f>
        <v>0.02</v>
      </c>
      <c r="R855" s="160">
        <f>InputData!$C$12</f>
        <v>0.02</v>
      </c>
      <c r="S855" s="160">
        <f>InputData!$C$13</f>
        <v>0.9</v>
      </c>
      <c r="T855" s="116">
        <f>InputData!$C$88</f>
        <v>180000</v>
      </c>
      <c r="U855" s="116">
        <f>InputData!$C$81</f>
        <v>178500</v>
      </c>
      <c r="V855" s="116">
        <f>InputData!$C$82</f>
        <v>303960</v>
      </c>
      <c r="W855" s="116">
        <f>InputData!$C$84</f>
        <v>215220</v>
      </c>
      <c r="X855" s="116">
        <f>InputData!$C$85</f>
        <v>409020</v>
      </c>
      <c r="Y855" s="116">
        <f>InputData!$C$116</f>
        <v>140000</v>
      </c>
      <c r="Z855" s="160">
        <f>InputData!$E$13</f>
        <v>0</v>
      </c>
    </row>
    <row r="856" spans="1:26" x14ac:dyDescent="0.25">
      <c r="A856">
        <f>InputData!$K$1</f>
        <v>2013</v>
      </c>
      <c r="B856" t="str">
        <f>InputData!$G$1</f>
        <v>San Antonio, TX</v>
      </c>
      <c r="C856" t="s">
        <v>5</v>
      </c>
      <c r="D856" t="str">
        <f>Graph_GenSurg!$C$6</f>
        <v>USU30</v>
      </c>
      <c r="E856" t="str">
        <f t="shared" si="13"/>
        <v>General Surgery USU30</v>
      </c>
      <c r="F856">
        <f>Graph_GenSurg!$A21</f>
        <v>2027</v>
      </c>
      <c r="G856">
        <f>Graph_GenSurg!$B21</f>
        <v>15</v>
      </c>
      <c r="H856" s="165">
        <f>Graph_GenSurg!$C21</f>
        <v>826352.17485501105</v>
      </c>
      <c r="I856" s="160">
        <f>InputData!$C$3</f>
        <v>0.02</v>
      </c>
      <c r="J856" s="160">
        <f>InputData!$C$4</f>
        <v>0.01</v>
      </c>
      <c r="K856" s="160">
        <f>InputData!$C$5</f>
        <v>0.01</v>
      </c>
      <c r="L856" s="160">
        <f>InputData!$C$6</f>
        <v>6.2100000000000002E-2</v>
      </c>
      <c r="M856" s="160">
        <f>InputData!$C$7</f>
        <v>0.03</v>
      </c>
      <c r="N856" s="160">
        <f>InputData!$C$8</f>
        <v>0.02</v>
      </c>
      <c r="O856" s="160">
        <f>InputData!$C$9</f>
        <v>0.06</v>
      </c>
      <c r="P856" s="160">
        <f>InputData!$C$10</f>
        <v>0.02</v>
      </c>
      <c r="Q856" s="160">
        <f>InputData!$C$11</f>
        <v>0.02</v>
      </c>
      <c r="R856" s="160">
        <f>InputData!$C$12</f>
        <v>0.02</v>
      </c>
      <c r="S856" s="160">
        <f>InputData!$C$13</f>
        <v>0.9</v>
      </c>
      <c r="T856" s="116">
        <f>InputData!$C$88</f>
        <v>180000</v>
      </c>
      <c r="U856" s="116">
        <f>InputData!$C$81</f>
        <v>178500</v>
      </c>
      <c r="V856" s="116">
        <f>InputData!$C$82</f>
        <v>303960</v>
      </c>
      <c r="W856" s="116">
        <f>InputData!$C$84</f>
        <v>215220</v>
      </c>
      <c r="X856" s="116">
        <f>InputData!$C$85</f>
        <v>409020</v>
      </c>
      <c r="Y856" s="116">
        <f>InputData!$C$116</f>
        <v>140000</v>
      </c>
      <c r="Z856" s="160">
        <f>InputData!$E$13</f>
        <v>0</v>
      </c>
    </row>
    <row r="857" spans="1:26" x14ac:dyDescent="0.25">
      <c r="A857">
        <f>InputData!$K$1</f>
        <v>2013</v>
      </c>
      <c r="B857" t="str">
        <f>InputData!$G$1</f>
        <v>San Antonio, TX</v>
      </c>
      <c r="C857" t="s">
        <v>5</v>
      </c>
      <c r="D857" t="str">
        <f>Graph_GenSurg!$C$6</f>
        <v>USU30</v>
      </c>
      <c r="E857" t="str">
        <f t="shared" si="13"/>
        <v>General Surgery USU30</v>
      </c>
      <c r="F857">
        <f>Graph_GenSurg!$A22</f>
        <v>2028</v>
      </c>
      <c r="G857">
        <f>Graph_GenSurg!$B22</f>
        <v>16</v>
      </c>
      <c r="H857" s="165">
        <f>Graph_GenSurg!$C22</f>
        <v>882219.71152208454</v>
      </c>
      <c r="I857" s="160">
        <f>InputData!$C$3</f>
        <v>0.02</v>
      </c>
      <c r="J857" s="160">
        <f>InputData!$C$4</f>
        <v>0.01</v>
      </c>
      <c r="K857" s="160">
        <f>InputData!$C$5</f>
        <v>0.01</v>
      </c>
      <c r="L857" s="160">
        <f>InputData!$C$6</f>
        <v>6.2100000000000002E-2</v>
      </c>
      <c r="M857" s="160">
        <f>InputData!$C$7</f>
        <v>0.03</v>
      </c>
      <c r="N857" s="160">
        <f>InputData!$C$8</f>
        <v>0.02</v>
      </c>
      <c r="O857" s="160">
        <f>InputData!$C$9</f>
        <v>0.06</v>
      </c>
      <c r="P857" s="160">
        <f>InputData!$C$10</f>
        <v>0.02</v>
      </c>
      <c r="Q857" s="160">
        <f>InputData!$C$11</f>
        <v>0.02</v>
      </c>
      <c r="R857" s="160">
        <f>InputData!$C$12</f>
        <v>0.02</v>
      </c>
      <c r="S857" s="160">
        <f>InputData!$C$13</f>
        <v>0.9</v>
      </c>
      <c r="T857" s="116">
        <f>InputData!$C$88</f>
        <v>180000</v>
      </c>
      <c r="U857" s="116">
        <f>InputData!$C$81</f>
        <v>178500</v>
      </c>
      <c r="V857" s="116">
        <f>InputData!$C$82</f>
        <v>303960</v>
      </c>
      <c r="W857" s="116">
        <f>InputData!$C$84</f>
        <v>215220</v>
      </c>
      <c r="X857" s="116">
        <f>InputData!$C$85</f>
        <v>409020</v>
      </c>
      <c r="Y857" s="116">
        <f>InputData!$C$116</f>
        <v>140000</v>
      </c>
      <c r="Z857" s="160">
        <f>InputData!$E$13</f>
        <v>0</v>
      </c>
    </row>
    <row r="858" spans="1:26" x14ac:dyDescent="0.25">
      <c r="A858">
        <f>InputData!$K$1</f>
        <v>2013</v>
      </c>
      <c r="B858" t="str">
        <f>InputData!$G$1</f>
        <v>San Antonio, TX</v>
      </c>
      <c r="C858" t="s">
        <v>5</v>
      </c>
      <c r="D858" t="str">
        <f>Graph_GenSurg!$C$6</f>
        <v>USU30</v>
      </c>
      <c r="E858" t="str">
        <f t="shared" si="13"/>
        <v>General Surgery USU30</v>
      </c>
      <c r="F858">
        <f>Graph_GenSurg!$A23</f>
        <v>2029</v>
      </c>
      <c r="G858">
        <f>Graph_GenSurg!$B23</f>
        <v>17</v>
      </c>
      <c r="H858" s="165">
        <f>Graph_GenSurg!$C23</f>
        <v>978461.73437005491</v>
      </c>
      <c r="I858" s="160">
        <f>InputData!$C$3</f>
        <v>0.02</v>
      </c>
      <c r="J858" s="160">
        <f>InputData!$C$4</f>
        <v>0.01</v>
      </c>
      <c r="K858" s="160">
        <f>InputData!$C$5</f>
        <v>0.01</v>
      </c>
      <c r="L858" s="160">
        <f>InputData!$C$6</f>
        <v>6.2100000000000002E-2</v>
      </c>
      <c r="M858" s="160">
        <f>InputData!$C$7</f>
        <v>0.03</v>
      </c>
      <c r="N858" s="160">
        <f>InputData!$C$8</f>
        <v>0.02</v>
      </c>
      <c r="O858" s="160">
        <f>InputData!$C$9</f>
        <v>0.06</v>
      </c>
      <c r="P858" s="160">
        <f>InputData!$C$10</f>
        <v>0.02</v>
      </c>
      <c r="Q858" s="160">
        <f>InputData!$C$11</f>
        <v>0.02</v>
      </c>
      <c r="R858" s="160">
        <f>InputData!$C$12</f>
        <v>0.02</v>
      </c>
      <c r="S858" s="160">
        <f>InputData!$C$13</f>
        <v>0.9</v>
      </c>
      <c r="T858" s="116">
        <f>InputData!$C$88</f>
        <v>180000</v>
      </c>
      <c r="U858" s="116">
        <f>InputData!$C$81</f>
        <v>178500</v>
      </c>
      <c r="V858" s="116">
        <f>InputData!$C$82</f>
        <v>303960</v>
      </c>
      <c r="W858" s="116">
        <f>InputData!$C$84</f>
        <v>215220</v>
      </c>
      <c r="X858" s="116">
        <f>InputData!$C$85</f>
        <v>409020</v>
      </c>
      <c r="Y858" s="116">
        <f>InputData!$C$116</f>
        <v>140000</v>
      </c>
      <c r="Z858" s="160">
        <f>InputData!$E$13</f>
        <v>0</v>
      </c>
    </row>
    <row r="859" spans="1:26" x14ac:dyDescent="0.25">
      <c r="A859">
        <f>InputData!$K$1</f>
        <v>2013</v>
      </c>
      <c r="B859" t="str">
        <f>InputData!$G$1</f>
        <v>San Antonio, TX</v>
      </c>
      <c r="C859" t="s">
        <v>5</v>
      </c>
      <c r="D859" t="str">
        <f>Graph_GenSurg!$C$6</f>
        <v>USU30</v>
      </c>
      <c r="E859" t="str">
        <f t="shared" si="13"/>
        <v>General Surgery USU30</v>
      </c>
      <c r="F859">
        <f>Graph_GenSurg!$A24</f>
        <v>2030</v>
      </c>
      <c r="G859">
        <f>Graph_GenSurg!$B24</f>
        <v>18</v>
      </c>
      <c r="H859" s="165">
        <f>Graph_GenSurg!$C24</f>
        <v>1071048.7796929423</v>
      </c>
      <c r="I859" s="160">
        <f>InputData!$C$3</f>
        <v>0.02</v>
      </c>
      <c r="J859" s="160">
        <f>InputData!$C$4</f>
        <v>0.01</v>
      </c>
      <c r="K859" s="160">
        <f>InputData!$C$5</f>
        <v>0.01</v>
      </c>
      <c r="L859" s="160">
        <f>InputData!$C$6</f>
        <v>6.2100000000000002E-2</v>
      </c>
      <c r="M859" s="160">
        <f>InputData!$C$7</f>
        <v>0.03</v>
      </c>
      <c r="N859" s="160">
        <f>InputData!$C$8</f>
        <v>0.02</v>
      </c>
      <c r="O859" s="160">
        <f>InputData!$C$9</f>
        <v>0.06</v>
      </c>
      <c r="P859" s="160">
        <f>InputData!$C$10</f>
        <v>0.02</v>
      </c>
      <c r="Q859" s="160">
        <f>InputData!$C$11</f>
        <v>0.02</v>
      </c>
      <c r="R859" s="160">
        <f>InputData!$C$12</f>
        <v>0.02</v>
      </c>
      <c r="S859" s="160">
        <f>InputData!$C$13</f>
        <v>0.9</v>
      </c>
      <c r="T859" s="116">
        <f>InputData!$C$88</f>
        <v>180000</v>
      </c>
      <c r="U859" s="116">
        <f>InputData!$C$81</f>
        <v>178500</v>
      </c>
      <c r="V859" s="116">
        <f>InputData!$C$82</f>
        <v>303960</v>
      </c>
      <c r="W859" s="116">
        <f>InputData!$C$84</f>
        <v>215220</v>
      </c>
      <c r="X859" s="116">
        <f>InputData!$C$85</f>
        <v>409020</v>
      </c>
      <c r="Y859" s="116">
        <f>InputData!$C$116</f>
        <v>140000</v>
      </c>
      <c r="Z859" s="160">
        <f>InputData!$E$13</f>
        <v>0</v>
      </c>
    </row>
    <row r="860" spans="1:26" x14ac:dyDescent="0.25">
      <c r="A860">
        <f>InputData!$K$1</f>
        <v>2013</v>
      </c>
      <c r="B860" t="str">
        <f>InputData!$G$1</f>
        <v>San Antonio, TX</v>
      </c>
      <c r="C860" t="s">
        <v>5</v>
      </c>
      <c r="D860" t="str">
        <f>Graph_GenSurg!$C$6</f>
        <v>USU30</v>
      </c>
      <c r="E860" t="str">
        <f t="shared" si="13"/>
        <v>General Surgery USU30</v>
      </c>
      <c r="F860">
        <f>Graph_GenSurg!$A25</f>
        <v>2031</v>
      </c>
      <c r="G860">
        <f>Graph_GenSurg!$B25</f>
        <v>19</v>
      </c>
      <c r="H860" s="165">
        <f>Graph_GenSurg!$C25</f>
        <v>1161307.7998215966</v>
      </c>
      <c r="I860" s="160">
        <f>InputData!$C$3</f>
        <v>0.02</v>
      </c>
      <c r="J860" s="160">
        <f>InputData!$C$4</f>
        <v>0.01</v>
      </c>
      <c r="K860" s="160">
        <f>InputData!$C$5</f>
        <v>0.01</v>
      </c>
      <c r="L860" s="160">
        <f>InputData!$C$6</f>
        <v>6.2100000000000002E-2</v>
      </c>
      <c r="M860" s="160">
        <f>InputData!$C$7</f>
        <v>0.03</v>
      </c>
      <c r="N860" s="160">
        <f>InputData!$C$8</f>
        <v>0.02</v>
      </c>
      <c r="O860" s="160">
        <f>InputData!$C$9</f>
        <v>0.06</v>
      </c>
      <c r="P860" s="160">
        <f>InputData!$C$10</f>
        <v>0.02</v>
      </c>
      <c r="Q860" s="160">
        <f>InputData!$C$11</f>
        <v>0.02</v>
      </c>
      <c r="R860" s="160">
        <f>InputData!$C$12</f>
        <v>0.02</v>
      </c>
      <c r="S860" s="160">
        <f>InputData!$C$13</f>
        <v>0.9</v>
      </c>
      <c r="T860" s="116">
        <f>InputData!$C$88</f>
        <v>180000</v>
      </c>
      <c r="U860" s="116">
        <f>InputData!$C$81</f>
        <v>178500</v>
      </c>
      <c r="V860" s="116">
        <f>InputData!$C$82</f>
        <v>303960</v>
      </c>
      <c r="W860" s="116">
        <f>InputData!$C$84</f>
        <v>215220</v>
      </c>
      <c r="X860" s="116">
        <f>InputData!$C$85</f>
        <v>409020</v>
      </c>
      <c r="Y860" s="116">
        <f>InputData!$C$116</f>
        <v>140000</v>
      </c>
      <c r="Z860" s="160">
        <f>InputData!$E$13</f>
        <v>0</v>
      </c>
    </row>
    <row r="861" spans="1:26" x14ac:dyDescent="0.25">
      <c r="A861">
        <f>InputData!$K$1</f>
        <v>2013</v>
      </c>
      <c r="B861" t="str">
        <f>InputData!$G$1</f>
        <v>San Antonio, TX</v>
      </c>
      <c r="C861" t="s">
        <v>5</v>
      </c>
      <c r="D861" t="str">
        <f>Graph_GenSurg!$C$6</f>
        <v>USU30</v>
      </c>
      <c r="E861" t="str">
        <f t="shared" si="13"/>
        <v>General Surgery USU30</v>
      </c>
      <c r="F861">
        <f>Graph_GenSurg!$A26</f>
        <v>2032</v>
      </c>
      <c r="G861">
        <f>Graph_GenSurg!$B26</f>
        <v>20</v>
      </c>
      <c r="H861" s="165">
        <f>Graph_GenSurg!$C26</f>
        <v>1248134.0153951729</v>
      </c>
      <c r="I861" s="160">
        <f>InputData!$C$3</f>
        <v>0.02</v>
      </c>
      <c r="J861" s="160">
        <f>InputData!$C$4</f>
        <v>0.01</v>
      </c>
      <c r="K861" s="160">
        <f>InputData!$C$5</f>
        <v>0.01</v>
      </c>
      <c r="L861" s="160">
        <f>InputData!$C$6</f>
        <v>6.2100000000000002E-2</v>
      </c>
      <c r="M861" s="160">
        <f>InputData!$C$7</f>
        <v>0.03</v>
      </c>
      <c r="N861" s="160">
        <f>InputData!$C$8</f>
        <v>0.02</v>
      </c>
      <c r="O861" s="160">
        <f>InputData!$C$9</f>
        <v>0.06</v>
      </c>
      <c r="P861" s="160">
        <f>InputData!$C$10</f>
        <v>0.02</v>
      </c>
      <c r="Q861" s="160">
        <f>InputData!$C$11</f>
        <v>0.02</v>
      </c>
      <c r="R861" s="160">
        <f>InputData!$C$12</f>
        <v>0.02</v>
      </c>
      <c r="S861" s="160">
        <f>InputData!$C$13</f>
        <v>0.9</v>
      </c>
      <c r="T861" s="116">
        <f>InputData!$C$88</f>
        <v>180000</v>
      </c>
      <c r="U861" s="116">
        <f>InputData!$C$81</f>
        <v>178500</v>
      </c>
      <c r="V861" s="116">
        <f>InputData!$C$82</f>
        <v>303960</v>
      </c>
      <c r="W861" s="116">
        <f>InputData!$C$84</f>
        <v>215220</v>
      </c>
      <c r="X861" s="116">
        <f>InputData!$C$85</f>
        <v>409020</v>
      </c>
      <c r="Y861" s="116">
        <f>InputData!$C$116</f>
        <v>140000</v>
      </c>
      <c r="Z861" s="160">
        <f>InputData!$E$13</f>
        <v>0</v>
      </c>
    </row>
    <row r="862" spans="1:26" x14ac:dyDescent="0.25">
      <c r="A862">
        <f>InputData!$K$1</f>
        <v>2013</v>
      </c>
      <c r="B862" t="str">
        <f>InputData!$G$1</f>
        <v>San Antonio, TX</v>
      </c>
      <c r="C862" t="s">
        <v>5</v>
      </c>
      <c r="D862" t="str">
        <f>Graph_GenSurg!$C$6</f>
        <v>USU30</v>
      </c>
      <c r="E862" t="str">
        <f t="shared" si="13"/>
        <v>General Surgery USU30</v>
      </c>
      <c r="F862">
        <f>Graph_GenSurg!$A27</f>
        <v>2033</v>
      </c>
      <c r="G862">
        <f>Graph_GenSurg!$B27</f>
        <v>21</v>
      </c>
      <c r="H862" s="165">
        <f>Graph_GenSurg!$C27</f>
        <v>1333348.9572154491</v>
      </c>
      <c r="I862" s="160">
        <f>InputData!$C$3</f>
        <v>0.02</v>
      </c>
      <c r="J862" s="160">
        <f>InputData!$C$4</f>
        <v>0.01</v>
      </c>
      <c r="K862" s="160">
        <f>InputData!$C$5</f>
        <v>0.01</v>
      </c>
      <c r="L862" s="160">
        <f>InputData!$C$6</f>
        <v>6.2100000000000002E-2</v>
      </c>
      <c r="M862" s="160">
        <f>InputData!$C$7</f>
        <v>0.03</v>
      </c>
      <c r="N862" s="160">
        <f>InputData!$C$8</f>
        <v>0.02</v>
      </c>
      <c r="O862" s="160">
        <f>InputData!$C$9</f>
        <v>0.06</v>
      </c>
      <c r="P862" s="160">
        <f>InputData!$C$10</f>
        <v>0.02</v>
      </c>
      <c r="Q862" s="160">
        <f>InputData!$C$11</f>
        <v>0.02</v>
      </c>
      <c r="R862" s="160">
        <f>InputData!$C$12</f>
        <v>0.02</v>
      </c>
      <c r="S862" s="160">
        <f>InputData!$C$13</f>
        <v>0.9</v>
      </c>
      <c r="T862" s="116">
        <f>InputData!$C$88</f>
        <v>180000</v>
      </c>
      <c r="U862" s="116">
        <f>InputData!$C$81</f>
        <v>178500</v>
      </c>
      <c r="V862" s="116">
        <f>InputData!$C$82</f>
        <v>303960</v>
      </c>
      <c r="W862" s="116">
        <f>InputData!$C$84</f>
        <v>215220</v>
      </c>
      <c r="X862" s="116">
        <f>InputData!$C$85</f>
        <v>409020</v>
      </c>
      <c r="Y862" s="116">
        <f>InputData!$C$116</f>
        <v>140000</v>
      </c>
      <c r="Z862" s="160">
        <f>InputData!$E$13</f>
        <v>0</v>
      </c>
    </row>
    <row r="863" spans="1:26" x14ac:dyDescent="0.25">
      <c r="A863">
        <f>InputData!$K$1</f>
        <v>2013</v>
      </c>
      <c r="B863" t="str">
        <f>InputData!$G$1</f>
        <v>San Antonio, TX</v>
      </c>
      <c r="C863" t="s">
        <v>5</v>
      </c>
      <c r="D863" t="str">
        <f>Graph_GenSurg!$C$6</f>
        <v>USU30</v>
      </c>
      <c r="E863" t="str">
        <f t="shared" si="13"/>
        <v>General Surgery USU30</v>
      </c>
      <c r="F863">
        <f>Graph_GenSurg!$A28</f>
        <v>2034</v>
      </c>
      <c r="G863">
        <f>Graph_GenSurg!$B28</f>
        <v>22</v>
      </c>
      <c r="H863" s="165">
        <f>Graph_GenSurg!$C28</f>
        <v>1415327.8931591159</v>
      </c>
      <c r="I863" s="160">
        <f>InputData!$C$3</f>
        <v>0.02</v>
      </c>
      <c r="J863" s="160">
        <f>InputData!$C$4</f>
        <v>0.01</v>
      </c>
      <c r="K863" s="160">
        <f>InputData!$C$5</f>
        <v>0.01</v>
      </c>
      <c r="L863" s="160">
        <f>InputData!$C$6</f>
        <v>6.2100000000000002E-2</v>
      </c>
      <c r="M863" s="160">
        <f>InputData!$C$7</f>
        <v>0.03</v>
      </c>
      <c r="N863" s="160">
        <f>InputData!$C$8</f>
        <v>0.02</v>
      </c>
      <c r="O863" s="160">
        <f>InputData!$C$9</f>
        <v>0.06</v>
      </c>
      <c r="P863" s="160">
        <f>InputData!$C$10</f>
        <v>0.02</v>
      </c>
      <c r="Q863" s="160">
        <f>InputData!$C$11</f>
        <v>0.02</v>
      </c>
      <c r="R863" s="160">
        <f>InputData!$C$12</f>
        <v>0.02</v>
      </c>
      <c r="S863" s="160">
        <f>InputData!$C$13</f>
        <v>0.9</v>
      </c>
      <c r="T863" s="116">
        <f>InputData!$C$88</f>
        <v>180000</v>
      </c>
      <c r="U863" s="116">
        <f>InputData!$C$81</f>
        <v>178500</v>
      </c>
      <c r="V863" s="116">
        <f>InputData!$C$82</f>
        <v>303960</v>
      </c>
      <c r="W863" s="116">
        <f>InputData!$C$84</f>
        <v>215220</v>
      </c>
      <c r="X863" s="116">
        <f>InputData!$C$85</f>
        <v>409020</v>
      </c>
      <c r="Y863" s="116">
        <f>InputData!$C$116</f>
        <v>140000</v>
      </c>
      <c r="Z863" s="160">
        <f>InputData!$E$13</f>
        <v>0</v>
      </c>
    </row>
    <row r="864" spans="1:26" x14ac:dyDescent="0.25">
      <c r="A864">
        <f>InputData!$K$1</f>
        <v>2013</v>
      </c>
      <c r="B864" t="str">
        <f>InputData!$G$1</f>
        <v>San Antonio, TX</v>
      </c>
      <c r="C864" t="s">
        <v>5</v>
      </c>
      <c r="D864" t="str">
        <f>Graph_GenSurg!$C$6</f>
        <v>USU30</v>
      </c>
      <c r="E864" t="str">
        <f t="shared" si="13"/>
        <v>General Surgery USU30</v>
      </c>
      <c r="F864">
        <f>Graph_GenSurg!$A29</f>
        <v>2035</v>
      </c>
      <c r="G864">
        <f>Graph_GenSurg!$B29</f>
        <v>23</v>
      </c>
      <c r="H864" s="165">
        <f>Graph_GenSurg!$C29</f>
        <v>1498396.6243776204</v>
      </c>
      <c r="I864" s="160">
        <f>InputData!$C$3</f>
        <v>0.02</v>
      </c>
      <c r="J864" s="160">
        <f>InputData!$C$4</f>
        <v>0.01</v>
      </c>
      <c r="K864" s="160">
        <f>InputData!$C$5</f>
        <v>0.01</v>
      </c>
      <c r="L864" s="160">
        <f>InputData!$C$6</f>
        <v>6.2100000000000002E-2</v>
      </c>
      <c r="M864" s="160">
        <f>InputData!$C$7</f>
        <v>0.03</v>
      </c>
      <c r="N864" s="160">
        <f>InputData!$C$8</f>
        <v>0.02</v>
      </c>
      <c r="O864" s="160">
        <f>InputData!$C$9</f>
        <v>0.06</v>
      </c>
      <c r="P864" s="160">
        <f>InputData!$C$10</f>
        <v>0.02</v>
      </c>
      <c r="Q864" s="160">
        <f>InputData!$C$11</f>
        <v>0.02</v>
      </c>
      <c r="R864" s="160">
        <f>InputData!$C$12</f>
        <v>0.02</v>
      </c>
      <c r="S864" s="160">
        <f>InputData!$C$13</f>
        <v>0.9</v>
      </c>
      <c r="T864" s="116">
        <f>InputData!$C$88</f>
        <v>180000</v>
      </c>
      <c r="U864" s="116">
        <f>InputData!$C$81</f>
        <v>178500</v>
      </c>
      <c r="V864" s="116">
        <f>InputData!$C$82</f>
        <v>303960</v>
      </c>
      <c r="W864" s="116">
        <f>InputData!$C$84</f>
        <v>215220</v>
      </c>
      <c r="X864" s="116">
        <f>InputData!$C$85</f>
        <v>409020</v>
      </c>
      <c r="Y864" s="116">
        <f>InputData!$C$116</f>
        <v>140000</v>
      </c>
      <c r="Z864" s="160">
        <f>InputData!$E$13</f>
        <v>0</v>
      </c>
    </row>
    <row r="865" spans="1:26" x14ac:dyDescent="0.25">
      <c r="A865">
        <f>InputData!$K$1</f>
        <v>2013</v>
      </c>
      <c r="B865" t="str">
        <f>InputData!$G$1</f>
        <v>San Antonio, TX</v>
      </c>
      <c r="C865" t="s">
        <v>5</v>
      </c>
      <c r="D865" t="str">
        <f>Graph_GenSurg!$C$6</f>
        <v>USU30</v>
      </c>
      <c r="E865" t="str">
        <f t="shared" si="13"/>
        <v>General Surgery USU30</v>
      </c>
      <c r="F865">
        <f>Graph_GenSurg!$A30</f>
        <v>2036</v>
      </c>
      <c r="G865">
        <f>Graph_GenSurg!$B30</f>
        <v>24</v>
      </c>
      <c r="H865" s="165">
        <f>Graph_GenSurg!$C30</f>
        <v>1578309.0119299442</v>
      </c>
      <c r="I865" s="160">
        <f>InputData!$C$3</f>
        <v>0.02</v>
      </c>
      <c r="J865" s="160">
        <f>InputData!$C$4</f>
        <v>0.01</v>
      </c>
      <c r="K865" s="160">
        <f>InputData!$C$5</f>
        <v>0.01</v>
      </c>
      <c r="L865" s="160">
        <f>InputData!$C$6</f>
        <v>6.2100000000000002E-2</v>
      </c>
      <c r="M865" s="160">
        <f>InputData!$C$7</f>
        <v>0.03</v>
      </c>
      <c r="N865" s="160">
        <f>InputData!$C$8</f>
        <v>0.02</v>
      </c>
      <c r="O865" s="160">
        <f>InputData!$C$9</f>
        <v>0.06</v>
      </c>
      <c r="P865" s="160">
        <f>InputData!$C$10</f>
        <v>0.02</v>
      </c>
      <c r="Q865" s="160">
        <f>InputData!$C$11</f>
        <v>0.02</v>
      </c>
      <c r="R865" s="160">
        <f>InputData!$C$12</f>
        <v>0.02</v>
      </c>
      <c r="S865" s="160">
        <f>InputData!$C$13</f>
        <v>0.9</v>
      </c>
      <c r="T865" s="116">
        <f>InputData!$C$88</f>
        <v>180000</v>
      </c>
      <c r="U865" s="116">
        <f>InputData!$C$81</f>
        <v>178500</v>
      </c>
      <c r="V865" s="116">
        <f>InputData!$C$82</f>
        <v>303960</v>
      </c>
      <c r="W865" s="116">
        <f>InputData!$C$84</f>
        <v>215220</v>
      </c>
      <c r="X865" s="116">
        <f>InputData!$C$85</f>
        <v>409020</v>
      </c>
      <c r="Y865" s="116">
        <f>InputData!$C$116</f>
        <v>140000</v>
      </c>
      <c r="Z865" s="160">
        <f>InputData!$E$13</f>
        <v>0</v>
      </c>
    </row>
    <row r="866" spans="1:26" x14ac:dyDescent="0.25">
      <c r="A866">
        <f>InputData!$K$1</f>
        <v>2013</v>
      </c>
      <c r="B866" t="str">
        <f>InputData!$G$1</f>
        <v>San Antonio, TX</v>
      </c>
      <c r="C866" t="s">
        <v>5</v>
      </c>
      <c r="D866" t="str">
        <f>Graph_GenSurg!$C$6</f>
        <v>USU30</v>
      </c>
      <c r="E866" t="str">
        <f t="shared" si="13"/>
        <v>General Surgery USU30</v>
      </c>
      <c r="F866">
        <f>Graph_GenSurg!$A31</f>
        <v>2037</v>
      </c>
      <c r="G866">
        <f>Graph_GenSurg!$B31</f>
        <v>25</v>
      </c>
      <c r="H866" s="165">
        <f>Graph_GenSurg!$C31</f>
        <v>1657819.6285400614</v>
      </c>
      <c r="I866" s="160">
        <f>InputData!$C$3</f>
        <v>0.02</v>
      </c>
      <c r="J866" s="160">
        <f>InputData!$C$4</f>
        <v>0.01</v>
      </c>
      <c r="K866" s="160">
        <f>InputData!$C$5</f>
        <v>0.01</v>
      </c>
      <c r="L866" s="160">
        <f>InputData!$C$6</f>
        <v>6.2100000000000002E-2</v>
      </c>
      <c r="M866" s="160">
        <f>InputData!$C$7</f>
        <v>0.03</v>
      </c>
      <c r="N866" s="160">
        <f>InputData!$C$8</f>
        <v>0.02</v>
      </c>
      <c r="O866" s="160">
        <f>InputData!$C$9</f>
        <v>0.06</v>
      </c>
      <c r="P866" s="160">
        <f>InputData!$C$10</f>
        <v>0.02</v>
      </c>
      <c r="Q866" s="160">
        <f>InputData!$C$11</f>
        <v>0.02</v>
      </c>
      <c r="R866" s="160">
        <f>InputData!$C$12</f>
        <v>0.02</v>
      </c>
      <c r="S866" s="160">
        <f>InputData!$C$13</f>
        <v>0.9</v>
      </c>
      <c r="T866" s="116">
        <f>InputData!$C$88</f>
        <v>180000</v>
      </c>
      <c r="U866" s="116">
        <f>InputData!$C$81</f>
        <v>178500</v>
      </c>
      <c r="V866" s="116">
        <f>InputData!$C$82</f>
        <v>303960</v>
      </c>
      <c r="W866" s="116">
        <f>InputData!$C$84</f>
        <v>215220</v>
      </c>
      <c r="X866" s="116">
        <f>InputData!$C$85</f>
        <v>409020</v>
      </c>
      <c r="Y866" s="116">
        <f>InputData!$C$116</f>
        <v>140000</v>
      </c>
      <c r="Z866" s="160">
        <f>InputData!$E$13</f>
        <v>0</v>
      </c>
    </row>
    <row r="867" spans="1:26" x14ac:dyDescent="0.25">
      <c r="A867">
        <f>InputData!$K$1</f>
        <v>2013</v>
      </c>
      <c r="B867" t="str">
        <f>InputData!$G$1</f>
        <v>San Antonio, TX</v>
      </c>
      <c r="C867" t="s">
        <v>5</v>
      </c>
      <c r="D867" t="str">
        <f>Graph_GenSurg!$C$6</f>
        <v>USU30</v>
      </c>
      <c r="E867" t="str">
        <f t="shared" si="13"/>
        <v>General Surgery USU30</v>
      </c>
      <c r="F867">
        <f>Graph_GenSurg!$A32</f>
        <v>2038</v>
      </c>
      <c r="G867">
        <f>Graph_GenSurg!$B32</f>
        <v>26</v>
      </c>
      <c r="H867" s="165">
        <f>Graph_GenSurg!$C32</f>
        <v>1734308.3142624823</v>
      </c>
      <c r="I867" s="160">
        <f>InputData!$C$3</f>
        <v>0.02</v>
      </c>
      <c r="J867" s="160">
        <f>InputData!$C$4</f>
        <v>0.01</v>
      </c>
      <c r="K867" s="160">
        <f>InputData!$C$5</f>
        <v>0.01</v>
      </c>
      <c r="L867" s="160">
        <f>InputData!$C$6</f>
        <v>6.2100000000000002E-2</v>
      </c>
      <c r="M867" s="160">
        <f>InputData!$C$7</f>
        <v>0.03</v>
      </c>
      <c r="N867" s="160">
        <f>InputData!$C$8</f>
        <v>0.02</v>
      </c>
      <c r="O867" s="160">
        <f>InputData!$C$9</f>
        <v>0.06</v>
      </c>
      <c r="P867" s="160">
        <f>InputData!$C$10</f>
        <v>0.02</v>
      </c>
      <c r="Q867" s="160">
        <f>InputData!$C$11</f>
        <v>0.02</v>
      </c>
      <c r="R867" s="160">
        <f>InputData!$C$12</f>
        <v>0.02</v>
      </c>
      <c r="S867" s="160">
        <f>InputData!$C$13</f>
        <v>0.9</v>
      </c>
      <c r="T867" s="116">
        <f>InputData!$C$88</f>
        <v>180000</v>
      </c>
      <c r="U867" s="116">
        <f>InputData!$C$81</f>
        <v>178500</v>
      </c>
      <c r="V867" s="116">
        <f>InputData!$C$82</f>
        <v>303960</v>
      </c>
      <c r="W867" s="116">
        <f>InputData!$C$84</f>
        <v>215220</v>
      </c>
      <c r="X867" s="116">
        <f>InputData!$C$85</f>
        <v>409020</v>
      </c>
      <c r="Y867" s="116">
        <f>InputData!$C$116</f>
        <v>140000</v>
      </c>
      <c r="Z867" s="160">
        <f>InputData!$E$13</f>
        <v>0</v>
      </c>
    </row>
    <row r="868" spans="1:26" x14ac:dyDescent="0.25">
      <c r="A868">
        <f>InputData!$K$1</f>
        <v>2013</v>
      </c>
      <c r="B868" t="str">
        <f>InputData!$G$1</f>
        <v>San Antonio, TX</v>
      </c>
      <c r="C868" t="s">
        <v>5</v>
      </c>
      <c r="D868" t="str">
        <f>Graph_GenSurg!$C$6</f>
        <v>USU30</v>
      </c>
      <c r="E868" t="str">
        <f t="shared" si="13"/>
        <v>General Surgery USU30</v>
      </c>
      <c r="F868">
        <f>Graph_GenSurg!$A33</f>
        <v>2039</v>
      </c>
      <c r="G868">
        <f>Graph_GenSurg!$B33</f>
        <v>27</v>
      </c>
      <c r="H868" s="165">
        <f>Graph_GenSurg!$C33</f>
        <v>1809280.2205876636</v>
      </c>
      <c r="I868" s="160">
        <f>InputData!$C$3</f>
        <v>0.02</v>
      </c>
      <c r="J868" s="160">
        <f>InputData!$C$4</f>
        <v>0.01</v>
      </c>
      <c r="K868" s="160">
        <f>InputData!$C$5</f>
        <v>0.01</v>
      </c>
      <c r="L868" s="160">
        <f>InputData!$C$6</f>
        <v>6.2100000000000002E-2</v>
      </c>
      <c r="M868" s="160">
        <f>InputData!$C$7</f>
        <v>0.03</v>
      </c>
      <c r="N868" s="160">
        <f>InputData!$C$8</f>
        <v>0.02</v>
      </c>
      <c r="O868" s="160">
        <f>InputData!$C$9</f>
        <v>0.06</v>
      </c>
      <c r="P868" s="160">
        <f>InputData!$C$10</f>
        <v>0.02</v>
      </c>
      <c r="Q868" s="160">
        <f>InputData!$C$11</f>
        <v>0.02</v>
      </c>
      <c r="R868" s="160">
        <f>InputData!$C$12</f>
        <v>0.02</v>
      </c>
      <c r="S868" s="160">
        <f>InputData!$C$13</f>
        <v>0.9</v>
      </c>
      <c r="T868" s="116">
        <f>InputData!$C$88</f>
        <v>180000</v>
      </c>
      <c r="U868" s="116">
        <f>InputData!$C$81</f>
        <v>178500</v>
      </c>
      <c r="V868" s="116">
        <f>InputData!$C$82</f>
        <v>303960</v>
      </c>
      <c r="W868" s="116">
        <f>InputData!$C$84</f>
        <v>215220</v>
      </c>
      <c r="X868" s="116">
        <f>InputData!$C$85</f>
        <v>409020</v>
      </c>
      <c r="Y868" s="116">
        <f>InputData!$C$116</f>
        <v>140000</v>
      </c>
      <c r="Z868" s="160">
        <f>InputData!$E$13</f>
        <v>0</v>
      </c>
    </row>
    <row r="869" spans="1:26" x14ac:dyDescent="0.25">
      <c r="A869">
        <f>InputData!$K$1</f>
        <v>2013</v>
      </c>
      <c r="B869" t="str">
        <f>InputData!$G$1</f>
        <v>San Antonio, TX</v>
      </c>
      <c r="C869" t="s">
        <v>5</v>
      </c>
      <c r="D869" t="str">
        <f>Graph_GenSurg!$C$6</f>
        <v>USU30</v>
      </c>
      <c r="E869" t="str">
        <f t="shared" si="13"/>
        <v>General Surgery USU30</v>
      </c>
      <c r="F869">
        <f>Graph_GenSurg!$A34</f>
        <v>2040</v>
      </c>
      <c r="G869">
        <f>Graph_GenSurg!$B34</f>
        <v>28</v>
      </c>
      <c r="H869" s="165">
        <f>Graph_GenSurg!$C34</f>
        <v>1881402.6808415323</v>
      </c>
      <c r="I869" s="160">
        <f>InputData!$C$3</f>
        <v>0.02</v>
      </c>
      <c r="J869" s="160">
        <f>InputData!$C$4</f>
        <v>0.01</v>
      </c>
      <c r="K869" s="160">
        <f>InputData!$C$5</f>
        <v>0.01</v>
      </c>
      <c r="L869" s="160">
        <f>InputData!$C$6</f>
        <v>6.2100000000000002E-2</v>
      </c>
      <c r="M869" s="160">
        <f>InputData!$C$7</f>
        <v>0.03</v>
      </c>
      <c r="N869" s="160">
        <f>InputData!$C$8</f>
        <v>0.02</v>
      </c>
      <c r="O869" s="160">
        <f>InputData!$C$9</f>
        <v>0.06</v>
      </c>
      <c r="P869" s="160">
        <f>InputData!$C$10</f>
        <v>0.02</v>
      </c>
      <c r="Q869" s="160">
        <f>InputData!$C$11</f>
        <v>0.02</v>
      </c>
      <c r="R869" s="160">
        <f>InputData!$C$12</f>
        <v>0.02</v>
      </c>
      <c r="S869" s="160">
        <f>InputData!$C$13</f>
        <v>0.9</v>
      </c>
      <c r="T869" s="116">
        <f>InputData!$C$88</f>
        <v>180000</v>
      </c>
      <c r="U869" s="116">
        <f>InputData!$C$81</f>
        <v>178500</v>
      </c>
      <c r="V869" s="116">
        <f>InputData!$C$82</f>
        <v>303960</v>
      </c>
      <c r="W869" s="116">
        <f>InputData!$C$84</f>
        <v>215220</v>
      </c>
      <c r="X869" s="116">
        <f>InputData!$C$85</f>
        <v>409020</v>
      </c>
      <c r="Y869" s="116">
        <f>InputData!$C$116</f>
        <v>140000</v>
      </c>
      <c r="Z869" s="160">
        <f>InputData!$E$13</f>
        <v>0</v>
      </c>
    </row>
    <row r="870" spans="1:26" x14ac:dyDescent="0.25">
      <c r="A870">
        <f>InputData!$K$1</f>
        <v>2013</v>
      </c>
      <c r="B870" t="str">
        <f>InputData!$G$1</f>
        <v>San Antonio, TX</v>
      </c>
      <c r="C870" t="s">
        <v>5</v>
      </c>
      <c r="D870" t="str">
        <f>Graph_GenSurg!$C$6</f>
        <v>USU30</v>
      </c>
      <c r="E870" t="str">
        <f t="shared" si="13"/>
        <v>General Surgery USU30</v>
      </c>
      <c r="F870">
        <f>Graph_GenSurg!$A35</f>
        <v>2041</v>
      </c>
      <c r="G870">
        <f>Graph_GenSurg!$B35</f>
        <v>29</v>
      </c>
      <c r="H870" s="165">
        <f>Graph_GenSurg!$C35</f>
        <v>1950784.4180978953</v>
      </c>
      <c r="I870" s="160">
        <f>InputData!$C$3</f>
        <v>0.02</v>
      </c>
      <c r="J870" s="160">
        <f>InputData!$C$4</f>
        <v>0.01</v>
      </c>
      <c r="K870" s="160">
        <f>InputData!$C$5</f>
        <v>0.01</v>
      </c>
      <c r="L870" s="160">
        <f>InputData!$C$6</f>
        <v>6.2100000000000002E-2</v>
      </c>
      <c r="M870" s="160">
        <f>InputData!$C$7</f>
        <v>0.03</v>
      </c>
      <c r="N870" s="160">
        <f>InputData!$C$8</f>
        <v>0.02</v>
      </c>
      <c r="O870" s="160">
        <f>InputData!$C$9</f>
        <v>0.06</v>
      </c>
      <c r="P870" s="160">
        <f>InputData!$C$10</f>
        <v>0.02</v>
      </c>
      <c r="Q870" s="160">
        <f>InputData!$C$11</f>
        <v>0.02</v>
      </c>
      <c r="R870" s="160">
        <f>InputData!$C$12</f>
        <v>0.02</v>
      </c>
      <c r="S870" s="160">
        <f>InputData!$C$13</f>
        <v>0.9</v>
      </c>
      <c r="T870" s="116">
        <f>InputData!$C$88</f>
        <v>180000</v>
      </c>
      <c r="U870" s="116">
        <f>InputData!$C$81</f>
        <v>178500</v>
      </c>
      <c r="V870" s="116">
        <f>InputData!$C$82</f>
        <v>303960</v>
      </c>
      <c r="W870" s="116">
        <f>InputData!$C$84</f>
        <v>215220</v>
      </c>
      <c r="X870" s="116">
        <f>InputData!$C$85</f>
        <v>409020</v>
      </c>
      <c r="Y870" s="116">
        <f>InputData!$C$116</f>
        <v>140000</v>
      </c>
      <c r="Z870" s="160">
        <f>InputData!$E$13</f>
        <v>0</v>
      </c>
    </row>
    <row r="871" spans="1:26" x14ac:dyDescent="0.25">
      <c r="A871">
        <f>InputData!$K$1</f>
        <v>2013</v>
      </c>
      <c r="B871" t="str">
        <f>InputData!$G$1</f>
        <v>San Antonio, TX</v>
      </c>
      <c r="C871" t="s">
        <v>5</v>
      </c>
      <c r="D871" t="str">
        <f>Graph_GenSurg!$C$6</f>
        <v>USU30</v>
      </c>
      <c r="E871" t="str">
        <f t="shared" si="13"/>
        <v>General Surgery USU30</v>
      </c>
      <c r="F871">
        <f>Graph_GenSurg!$A36</f>
        <v>2042</v>
      </c>
      <c r="G871">
        <f>Graph_GenSurg!$B36</f>
        <v>30</v>
      </c>
      <c r="H871" s="165">
        <f>Graph_GenSurg!$C36</f>
        <v>2017529.9944333059</v>
      </c>
      <c r="I871" s="160">
        <f>InputData!$C$3</f>
        <v>0.02</v>
      </c>
      <c r="J871" s="160">
        <f>InputData!$C$4</f>
        <v>0.01</v>
      </c>
      <c r="K871" s="160">
        <f>InputData!$C$5</f>
        <v>0.01</v>
      </c>
      <c r="L871" s="160">
        <f>InputData!$C$6</f>
        <v>6.2100000000000002E-2</v>
      </c>
      <c r="M871" s="160">
        <f>InputData!$C$7</f>
        <v>0.03</v>
      </c>
      <c r="N871" s="160">
        <f>InputData!$C$8</f>
        <v>0.02</v>
      </c>
      <c r="O871" s="160">
        <f>InputData!$C$9</f>
        <v>0.06</v>
      </c>
      <c r="P871" s="160">
        <f>InputData!$C$10</f>
        <v>0.02</v>
      </c>
      <c r="Q871" s="160">
        <f>InputData!$C$11</f>
        <v>0.02</v>
      </c>
      <c r="R871" s="160">
        <f>InputData!$C$12</f>
        <v>0.02</v>
      </c>
      <c r="S871" s="160">
        <f>InputData!$C$13</f>
        <v>0.9</v>
      </c>
      <c r="T871" s="116">
        <f>InputData!$C$88</f>
        <v>180000</v>
      </c>
      <c r="U871" s="116">
        <f>InputData!$C$81</f>
        <v>178500</v>
      </c>
      <c r="V871" s="116">
        <f>InputData!$C$82</f>
        <v>303960</v>
      </c>
      <c r="W871" s="116">
        <f>InputData!$C$84</f>
        <v>215220</v>
      </c>
      <c r="X871" s="116">
        <f>InputData!$C$85</f>
        <v>409020</v>
      </c>
      <c r="Y871" s="116">
        <f>InputData!$C$116</f>
        <v>140000</v>
      </c>
      <c r="Z871" s="160">
        <f>InputData!$E$13</f>
        <v>0</v>
      </c>
    </row>
    <row r="872" spans="1:26" x14ac:dyDescent="0.25">
      <c r="A872">
        <f>InputData!$K$1</f>
        <v>2013</v>
      </c>
      <c r="B872" t="str">
        <f>InputData!$G$1</f>
        <v>San Antonio, TX</v>
      </c>
      <c r="C872" t="s">
        <v>5</v>
      </c>
      <c r="D872" t="str">
        <f>Graph_GenSurg!$D$6</f>
        <v>HPSP30</v>
      </c>
      <c r="E872" t="str">
        <f t="shared" si="13"/>
        <v>General Surgery HPSP30</v>
      </c>
      <c r="F872">
        <f>Graph_GenSurg!$A7</f>
        <v>2013</v>
      </c>
      <c r="G872">
        <f>Graph_GenSurg!$B7</f>
        <v>1</v>
      </c>
      <c r="H872" s="165">
        <f>Graph_GenSurg!$D7</f>
        <v>43551.744866529771</v>
      </c>
      <c r="I872" s="160">
        <f>InputData!$C$3</f>
        <v>0.02</v>
      </c>
      <c r="J872" s="160">
        <f>InputData!$C$4</f>
        <v>0.01</v>
      </c>
      <c r="K872" s="160">
        <f>InputData!$C$5</f>
        <v>0.01</v>
      </c>
      <c r="L872" s="160">
        <f>InputData!$C$6</f>
        <v>6.2100000000000002E-2</v>
      </c>
      <c r="M872" s="160">
        <f>InputData!$C$7</f>
        <v>0.03</v>
      </c>
      <c r="N872" s="160">
        <f>InputData!$C$8</f>
        <v>0.02</v>
      </c>
      <c r="O872" s="160">
        <f>InputData!$C$9</f>
        <v>0.06</v>
      </c>
      <c r="P872" s="160">
        <f>InputData!$C$10</f>
        <v>0.02</v>
      </c>
      <c r="Q872" s="160">
        <f>InputData!$C$11</f>
        <v>0.02</v>
      </c>
      <c r="R872" s="160">
        <f>InputData!$C$12</f>
        <v>0.02</v>
      </c>
      <c r="S872" s="160">
        <f>InputData!$C$13</f>
        <v>0.9</v>
      </c>
      <c r="T872" s="116">
        <f>InputData!$C$88</f>
        <v>180000</v>
      </c>
      <c r="U872" s="116">
        <f>InputData!$C$81</f>
        <v>178500</v>
      </c>
      <c r="V872" s="116">
        <f>InputData!$C$82</f>
        <v>303960</v>
      </c>
      <c r="W872" s="116">
        <f>InputData!$C$84</f>
        <v>215220</v>
      </c>
      <c r="X872" s="116">
        <f>InputData!$C$85</f>
        <v>409020</v>
      </c>
      <c r="Y872" s="116">
        <f>InputData!$C$116</f>
        <v>140000</v>
      </c>
      <c r="Z872" s="160">
        <f>InputData!$E$13</f>
        <v>0</v>
      </c>
    </row>
    <row r="873" spans="1:26" x14ac:dyDescent="0.25">
      <c r="A873">
        <f>InputData!$K$1</f>
        <v>2013</v>
      </c>
      <c r="B873" t="str">
        <f>InputData!$G$1</f>
        <v>San Antonio, TX</v>
      </c>
      <c r="C873" t="s">
        <v>5</v>
      </c>
      <c r="D873" t="str">
        <f>Graph_GenSurg!$D$6</f>
        <v>HPSP30</v>
      </c>
      <c r="E873" t="str">
        <f t="shared" si="13"/>
        <v>General Surgery HPSP30</v>
      </c>
      <c r="F873">
        <f>Graph_GenSurg!$A8</f>
        <v>2014</v>
      </c>
      <c r="G873">
        <f>Graph_GenSurg!$B8</f>
        <v>2</v>
      </c>
      <c r="H873" s="165">
        <f>Graph_GenSurg!$D8</f>
        <v>69389.851463288214</v>
      </c>
      <c r="I873" s="160">
        <f>InputData!$C$3</f>
        <v>0.02</v>
      </c>
      <c r="J873" s="160">
        <f>InputData!$C$4</f>
        <v>0.01</v>
      </c>
      <c r="K873" s="160">
        <f>InputData!$C$5</f>
        <v>0.01</v>
      </c>
      <c r="L873" s="160">
        <f>InputData!$C$6</f>
        <v>6.2100000000000002E-2</v>
      </c>
      <c r="M873" s="160">
        <f>InputData!$C$7</f>
        <v>0.03</v>
      </c>
      <c r="N873" s="160">
        <f>InputData!$C$8</f>
        <v>0.02</v>
      </c>
      <c r="O873" s="160">
        <f>InputData!$C$9</f>
        <v>0.06</v>
      </c>
      <c r="P873" s="160">
        <f>InputData!$C$10</f>
        <v>0.02</v>
      </c>
      <c r="Q873" s="160">
        <f>InputData!$C$11</f>
        <v>0.02</v>
      </c>
      <c r="R873" s="160">
        <f>InputData!$C$12</f>
        <v>0.02</v>
      </c>
      <c r="S873" s="160">
        <f>InputData!$C$13</f>
        <v>0.9</v>
      </c>
      <c r="T873" s="116">
        <f>InputData!$C$88</f>
        <v>180000</v>
      </c>
      <c r="U873" s="116">
        <f>InputData!$C$81</f>
        <v>178500</v>
      </c>
      <c r="V873" s="116">
        <f>InputData!$C$82</f>
        <v>303960</v>
      </c>
      <c r="W873" s="116">
        <f>InputData!$C$84</f>
        <v>215220</v>
      </c>
      <c r="X873" s="116">
        <f>InputData!$C$85</f>
        <v>409020</v>
      </c>
      <c r="Y873" s="116">
        <f>InputData!$C$116</f>
        <v>140000</v>
      </c>
      <c r="Z873" s="160">
        <f>InputData!$E$13</f>
        <v>0</v>
      </c>
    </row>
    <row r="874" spans="1:26" x14ac:dyDescent="0.25">
      <c r="A874">
        <f>InputData!$K$1</f>
        <v>2013</v>
      </c>
      <c r="B874" t="str">
        <f>InputData!$G$1</f>
        <v>San Antonio, TX</v>
      </c>
      <c r="C874" t="s">
        <v>5</v>
      </c>
      <c r="D874" t="str">
        <f>Graph_GenSurg!$D$6</f>
        <v>HPSP30</v>
      </c>
      <c r="E874" t="str">
        <f t="shared" si="13"/>
        <v>General Surgery HPSP30</v>
      </c>
      <c r="F874">
        <f>Graph_GenSurg!$A9</f>
        <v>2015</v>
      </c>
      <c r="G874">
        <f>Graph_GenSurg!$B9</f>
        <v>3</v>
      </c>
      <c r="H874" s="165">
        <f>Graph_GenSurg!$D9</f>
        <v>94384.024082394724</v>
      </c>
      <c r="I874" s="160">
        <f>InputData!$C$3</f>
        <v>0.02</v>
      </c>
      <c r="J874" s="160">
        <f>InputData!$C$4</f>
        <v>0.01</v>
      </c>
      <c r="K874" s="160">
        <f>InputData!$C$5</f>
        <v>0.01</v>
      </c>
      <c r="L874" s="160">
        <f>InputData!$C$6</f>
        <v>6.2100000000000002E-2</v>
      </c>
      <c r="M874" s="160">
        <f>InputData!$C$7</f>
        <v>0.03</v>
      </c>
      <c r="N874" s="160">
        <f>InputData!$C$8</f>
        <v>0.02</v>
      </c>
      <c r="O874" s="160">
        <f>InputData!$C$9</f>
        <v>0.06</v>
      </c>
      <c r="P874" s="160">
        <f>InputData!$C$10</f>
        <v>0.02</v>
      </c>
      <c r="Q874" s="160">
        <f>InputData!$C$11</f>
        <v>0.02</v>
      </c>
      <c r="R874" s="160">
        <f>InputData!$C$12</f>
        <v>0.02</v>
      </c>
      <c r="S874" s="160">
        <f>InputData!$C$13</f>
        <v>0.9</v>
      </c>
      <c r="T874" s="116">
        <f>InputData!$C$88</f>
        <v>180000</v>
      </c>
      <c r="U874" s="116">
        <f>InputData!$C$81</f>
        <v>178500</v>
      </c>
      <c r="V874" s="116">
        <f>InputData!$C$82</f>
        <v>303960</v>
      </c>
      <c r="W874" s="116">
        <f>InputData!$C$84</f>
        <v>215220</v>
      </c>
      <c r="X874" s="116">
        <f>InputData!$C$85</f>
        <v>409020</v>
      </c>
      <c r="Y874" s="116">
        <f>InputData!$C$116</f>
        <v>140000</v>
      </c>
      <c r="Z874" s="160">
        <f>InputData!$E$13</f>
        <v>0</v>
      </c>
    </row>
    <row r="875" spans="1:26" x14ac:dyDescent="0.25">
      <c r="A875">
        <f>InputData!$K$1</f>
        <v>2013</v>
      </c>
      <c r="B875" t="str">
        <f>InputData!$G$1</f>
        <v>San Antonio, TX</v>
      </c>
      <c r="C875" t="s">
        <v>5</v>
      </c>
      <c r="D875" t="str">
        <f>Graph_GenSurg!$D$6</f>
        <v>HPSP30</v>
      </c>
      <c r="E875" t="str">
        <f t="shared" si="13"/>
        <v>General Surgery HPSP30</v>
      </c>
      <c r="F875">
        <f>Graph_GenSurg!$A10</f>
        <v>2016</v>
      </c>
      <c r="G875">
        <f>Graph_GenSurg!$B10</f>
        <v>4</v>
      </c>
      <c r="H875" s="165">
        <f>Graph_GenSurg!$D10</f>
        <v>119127.82998672797</v>
      </c>
      <c r="I875" s="160">
        <f>InputData!$C$3</f>
        <v>0.02</v>
      </c>
      <c r="J875" s="160">
        <f>InputData!$C$4</f>
        <v>0.01</v>
      </c>
      <c r="K875" s="160">
        <f>InputData!$C$5</f>
        <v>0.01</v>
      </c>
      <c r="L875" s="160">
        <f>InputData!$C$6</f>
        <v>6.2100000000000002E-2</v>
      </c>
      <c r="M875" s="160">
        <f>InputData!$C$7</f>
        <v>0.03</v>
      </c>
      <c r="N875" s="160">
        <f>InputData!$C$8</f>
        <v>0.02</v>
      </c>
      <c r="O875" s="160">
        <f>InputData!$C$9</f>
        <v>0.06</v>
      </c>
      <c r="P875" s="160">
        <f>InputData!$C$10</f>
        <v>0.02</v>
      </c>
      <c r="Q875" s="160">
        <f>InputData!$C$11</f>
        <v>0.02</v>
      </c>
      <c r="R875" s="160">
        <f>InputData!$C$12</f>
        <v>0.02</v>
      </c>
      <c r="S875" s="160">
        <f>InputData!$C$13</f>
        <v>0.9</v>
      </c>
      <c r="T875" s="116">
        <f>InputData!$C$88</f>
        <v>180000</v>
      </c>
      <c r="U875" s="116">
        <f>InputData!$C$81</f>
        <v>178500</v>
      </c>
      <c r="V875" s="116">
        <f>InputData!$C$82</f>
        <v>303960</v>
      </c>
      <c r="W875" s="116">
        <f>InputData!$C$84</f>
        <v>215220</v>
      </c>
      <c r="X875" s="116">
        <f>InputData!$C$85</f>
        <v>409020</v>
      </c>
      <c r="Y875" s="116">
        <f>InputData!$C$116</f>
        <v>140000</v>
      </c>
      <c r="Z875" s="160">
        <f>InputData!$E$13</f>
        <v>0</v>
      </c>
    </row>
    <row r="876" spans="1:26" x14ac:dyDescent="0.25">
      <c r="A876">
        <f>InputData!$K$1</f>
        <v>2013</v>
      </c>
      <c r="B876" t="str">
        <f>InputData!$G$1</f>
        <v>San Antonio, TX</v>
      </c>
      <c r="C876" t="s">
        <v>5</v>
      </c>
      <c r="D876" t="str">
        <f>Graph_GenSurg!$D$6</f>
        <v>HPSP30</v>
      </c>
      <c r="E876" t="str">
        <f t="shared" si="13"/>
        <v>General Surgery HPSP30</v>
      </c>
      <c r="F876">
        <f>Graph_GenSurg!$A11</f>
        <v>2017</v>
      </c>
      <c r="G876">
        <f>Graph_GenSurg!$B11</f>
        <v>5</v>
      </c>
      <c r="H876" s="165">
        <f>Graph_GenSurg!$D11</f>
        <v>169089.82248832227</v>
      </c>
      <c r="I876" s="160">
        <f>InputData!$C$3</f>
        <v>0.02</v>
      </c>
      <c r="J876" s="160">
        <f>InputData!$C$4</f>
        <v>0.01</v>
      </c>
      <c r="K876" s="160">
        <f>InputData!$C$5</f>
        <v>0.01</v>
      </c>
      <c r="L876" s="160">
        <f>InputData!$C$6</f>
        <v>6.2100000000000002E-2</v>
      </c>
      <c r="M876" s="160">
        <f>InputData!$C$7</f>
        <v>0.03</v>
      </c>
      <c r="N876" s="160">
        <f>InputData!$C$8</f>
        <v>0.02</v>
      </c>
      <c r="O876" s="160">
        <f>InputData!$C$9</f>
        <v>0.06</v>
      </c>
      <c r="P876" s="160">
        <f>InputData!$C$10</f>
        <v>0.02</v>
      </c>
      <c r="Q876" s="160">
        <f>InputData!$C$11</f>
        <v>0.02</v>
      </c>
      <c r="R876" s="160">
        <f>InputData!$C$12</f>
        <v>0.02</v>
      </c>
      <c r="S876" s="160">
        <f>InputData!$C$13</f>
        <v>0.9</v>
      </c>
      <c r="T876" s="116">
        <f>InputData!$C$88</f>
        <v>180000</v>
      </c>
      <c r="U876" s="116">
        <f>InputData!$C$81</f>
        <v>178500</v>
      </c>
      <c r="V876" s="116">
        <f>InputData!$C$82</f>
        <v>303960</v>
      </c>
      <c r="W876" s="116">
        <f>InputData!$C$84</f>
        <v>215220</v>
      </c>
      <c r="X876" s="116">
        <f>InputData!$C$85</f>
        <v>409020</v>
      </c>
      <c r="Y876" s="116">
        <f>InputData!$C$116</f>
        <v>140000</v>
      </c>
      <c r="Z876" s="160">
        <f>InputData!$E$13</f>
        <v>0</v>
      </c>
    </row>
    <row r="877" spans="1:26" x14ac:dyDescent="0.25">
      <c r="A877">
        <f>InputData!$K$1</f>
        <v>2013</v>
      </c>
      <c r="B877" t="str">
        <f>InputData!$G$1</f>
        <v>San Antonio, TX</v>
      </c>
      <c r="C877" t="s">
        <v>5</v>
      </c>
      <c r="D877" t="str">
        <f>Graph_GenSurg!$D$6</f>
        <v>HPSP30</v>
      </c>
      <c r="E877" t="str">
        <f t="shared" si="13"/>
        <v>General Surgery HPSP30</v>
      </c>
      <c r="F877">
        <f>Graph_GenSurg!$A12</f>
        <v>2018</v>
      </c>
      <c r="G877">
        <f>Graph_GenSurg!$B12</f>
        <v>6</v>
      </c>
      <c r="H877" s="165">
        <f>Graph_GenSurg!$D12</f>
        <v>219350.65217600405</v>
      </c>
      <c r="I877" s="160">
        <f>InputData!$C$3</f>
        <v>0.02</v>
      </c>
      <c r="J877" s="160">
        <f>InputData!$C$4</f>
        <v>0.01</v>
      </c>
      <c r="K877" s="160">
        <f>InputData!$C$5</f>
        <v>0.01</v>
      </c>
      <c r="L877" s="160">
        <f>InputData!$C$6</f>
        <v>6.2100000000000002E-2</v>
      </c>
      <c r="M877" s="160">
        <f>InputData!$C$7</f>
        <v>0.03</v>
      </c>
      <c r="N877" s="160">
        <f>InputData!$C$8</f>
        <v>0.02</v>
      </c>
      <c r="O877" s="160">
        <f>InputData!$C$9</f>
        <v>0.06</v>
      </c>
      <c r="P877" s="160">
        <f>InputData!$C$10</f>
        <v>0.02</v>
      </c>
      <c r="Q877" s="160">
        <f>InputData!$C$11</f>
        <v>0.02</v>
      </c>
      <c r="R877" s="160">
        <f>InputData!$C$12</f>
        <v>0.02</v>
      </c>
      <c r="S877" s="160">
        <f>InputData!$C$13</f>
        <v>0.9</v>
      </c>
      <c r="T877" s="116">
        <f>InputData!$C$88</f>
        <v>180000</v>
      </c>
      <c r="U877" s="116">
        <f>InputData!$C$81</f>
        <v>178500</v>
      </c>
      <c r="V877" s="116">
        <f>InputData!$C$82</f>
        <v>303960</v>
      </c>
      <c r="W877" s="116">
        <f>InputData!$C$84</f>
        <v>215220</v>
      </c>
      <c r="X877" s="116">
        <f>InputData!$C$85</f>
        <v>409020</v>
      </c>
      <c r="Y877" s="116">
        <f>InputData!$C$116</f>
        <v>140000</v>
      </c>
      <c r="Z877" s="160">
        <f>InputData!$E$13</f>
        <v>0</v>
      </c>
    </row>
    <row r="878" spans="1:26" x14ac:dyDescent="0.25">
      <c r="A878">
        <f>InputData!$K$1</f>
        <v>2013</v>
      </c>
      <c r="B878" t="str">
        <f>InputData!$G$1</f>
        <v>San Antonio, TX</v>
      </c>
      <c r="C878" t="s">
        <v>5</v>
      </c>
      <c r="D878" t="str">
        <f>Graph_GenSurg!$D$6</f>
        <v>HPSP30</v>
      </c>
      <c r="E878" t="str">
        <f t="shared" si="13"/>
        <v>General Surgery HPSP30</v>
      </c>
      <c r="F878">
        <f>Graph_GenSurg!$A13</f>
        <v>2019</v>
      </c>
      <c r="G878">
        <f>Graph_GenSurg!$B13</f>
        <v>7</v>
      </c>
      <c r="H878" s="165">
        <f>Graph_GenSurg!$D13</f>
        <v>270992.25439901254</v>
      </c>
      <c r="I878" s="160">
        <f>InputData!$C$3</f>
        <v>0.02</v>
      </c>
      <c r="J878" s="160">
        <f>InputData!$C$4</f>
        <v>0.01</v>
      </c>
      <c r="K878" s="160">
        <f>InputData!$C$5</f>
        <v>0.01</v>
      </c>
      <c r="L878" s="160">
        <f>InputData!$C$6</f>
        <v>6.2100000000000002E-2</v>
      </c>
      <c r="M878" s="160">
        <f>InputData!$C$7</f>
        <v>0.03</v>
      </c>
      <c r="N878" s="160">
        <f>InputData!$C$8</f>
        <v>0.02</v>
      </c>
      <c r="O878" s="160">
        <f>InputData!$C$9</f>
        <v>0.06</v>
      </c>
      <c r="P878" s="160">
        <f>InputData!$C$10</f>
        <v>0.02</v>
      </c>
      <c r="Q878" s="160">
        <f>InputData!$C$11</f>
        <v>0.02</v>
      </c>
      <c r="R878" s="160">
        <f>InputData!$C$12</f>
        <v>0.02</v>
      </c>
      <c r="S878" s="160">
        <f>InputData!$C$13</f>
        <v>0.9</v>
      </c>
      <c r="T878" s="116">
        <f>InputData!$C$88</f>
        <v>180000</v>
      </c>
      <c r="U878" s="116">
        <f>InputData!$C$81</f>
        <v>178500</v>
      </c>
      <c r="V878" s="116">
        <f>InputData!$C$82</f>
        <v>303960</v>
      </c>
      <c r="W878" s="116">
        <f>InputData!$C$84</f>
        <v>215220</v>
      </c>
      <c r="X878" s="116">
        <f>InputData!$C$85</f>
        <v>409020</v>
      </c>
      <c r="Y878" s="116">
        <f>InputData!$C$116</f>
        <v>140000</v>
      </c>
      <c r="Z878" s="160">
        <f>InputData!$E$13</f>
        <v>0</v>
      </c>
    </row>
    <row r="879" spans="1:26" x14ac:dyDescent="0.25">
      <c r="A879">
        <f>InputData!$K$1</f>
        <v>2013</v>
      </c>
      <c r="B879" t="str">
        <f>InputData!$G$1</f>
        <v>San Antonio, TX</v>
      </c>
      <c r="C879" t="s">
        <v>5</v>
      </c>
      <c r="D879" t="str">
        <f>Graph_GenSurg!$D$6</f>
        <v>HPSP30</v>
      </c>
      <c r="E879" t="str">
        <f t="shared" si="13"/>
        <v>General Surgery HPSP30</v>
      </c>
      <c r="F879">
        <f>Graph_GenSurg!$A14</f>
        <v>2020</v>
      </c>
      <c r="G879">
        <f>Graph_GenSurg!$B14</f>
        <v>8</v>
      </c>
      <c r="H879" s="165">
        <f>Graph_GenSurg!$D14</f>
        <v>322806.62031125103</v>
      </c>
      <c r="I879" s="160">
        <f>InputData!$C$3</f>
        <v>0.02</v>
      </c>
      <c r="J879" s="160">
        <f>InputData!$C$4</f>
        <v>0.01</v>
      </c>
      <c r="K879" s="160">
        <f>InputData!$C$5</f>
        <v>0.01</v>
      </c>
      <c r="L879" s="160">
        <f>InputData!$C$6</f>
        <v>6.2100000000000002E-2</v>
      </c>
      <c r="M879" s="160">
        <f>InputData!$C$7</f>
        <v>0.03</v>
      </c>
      <c r="N879" s="160">
        <f>InputData!$C$8</f>
        <v>0.02</v>
      </c>
      <c r="O879" s="160">
        <f>InputData!$C$9</f>
        <v>0.06</v>
      </c>
      <c r="P879" s="160">
        <f>InputData!$C$10</f>
        <v>0.02</v>
      </c>
      <c r="Q879" s="160">
        <f>InputData!$C$11</f>
        <v>0.02</v>
      </c>
      <c r="R879" s="160">
        <f>InputData!$C$12</f>
        <v>0.02</v>
      </c>
      <c r="S879" s="160">
        <f>InputData!$C$13</f>
        <v>0.9</v>
      </c>
      <c r="T879" s="116">
        <f>InputData!$C$88</f>
        <v>180000</v>
      </c>
      <c r="U879" s="116">
        <f>InputData!$C$81</f>
        <v>178500</v>
      </c>
      <c r="V879" s="116">
        <f>InputData!$C$82</f>
        <v>303960</v>
      </c>
      <c r="W879" s="116">
        <f>InputData!$C$84</f>
        <v>215220</v>
      </c>
      <c r="X879" s="116">
        <f>InputData!$C$85</f>
        <v>409020</v>
      </c>
      <c r="Y879" s="116">
        <f>InputData!$C$116</f>
        <v>140000</v>
      </c>
      <c r="Z879" s="160">
        <f>InputData!$E$13</f>
        <v>0</v>
      </c>
    </row>
    <row r="880" spans="1:26" x14ac:dyDescent="0.25">
      <c r="A880">
        <f>InputData!$K$1</f>
        <v>2013</v>
      </c>
      <c r="B880" t="str">
        <f>InputData!$G$1</f>
        <v>San Antonio, TX</v>
      </c>
      <c r="C880" t="s">
        <v>5</v>
      </c>
      <c r="D880" t="str">
        <f>Graph_GenSurg!$D$6</f>
        <v>HPSP30</v>
      </c>
      <c r="E880" t="str">
        <f t="shared" si="13"/>
        <v>General Surgery HPSP30</v>
      </c>
      <c r="F880">
        <f>Graph_GenSurg!$A15</f>
        <v>2021</v>
      </c>
      <c r="G880">
        <f>Graph_GenSurg!$B15</f>
        <v>9</v>
      </c>
      <c r="H880" s="165">
        <f>Graph_GenSurg!$D15</f>
        <v>375167.2349965857</v>
      </c>
      <c r="I880" s="160">
        <f>InputData!$C$3</f>
        <v>0.02</v>
      </c>
      <c r="J880" s="160">
        <f>InputData!$C$4</f>
        <v>0.01</v>
      </c>
      <c r="K880" s="160">
        <f>InputData!$C$5</f>
        <v>0.01</v>
      </c>
      <c r="L880" s="160">
        <f>InputData!$C$6</f>
        <v>6.2100000000000002E-2</v>
      </c>
      <c r="M880" s="160">
        <f>InputData!$C$7</f>
        <v>0.03</v>
      </c>
      <c r="N880" s="160">
        <f>InputData!$C$8</f>
        <v>0.02</v>
      </c>
      <c r="O880" s="160">
        <f>InputData!$C$9</f>
        <v>0.06</v>
      </c>
      <c r="P880" s="160">
        <f>InputData!$C$10</f>
        <v>0.02</v>
      </c>
      <c r="Q880" s="160">
        <f>InputData!$C$11</f>
        <v>0.02</v>
      </c>
      <c r="R880" s="160">
        <f>InputData!$C$12</f>
        <v>0.02</v>
      </c>
      <c r="S880" s="160">
        <f>InputData!$C$13</f>
        <v>0.9</v>
      </c>
      <c r="T880" s="116">
        <f>InputData!$C$88</f>
        <v>180000</v>
      </c>
      <c r="U880" s="116">
        <f>InputData!$C$81</f>
        <v>178500</v>
      </c>
      <c r="V880" s="116">
        <f>InputData!$C$82</f>
        <v>303960</v>
      </c>
      <c r="W880" s="116">
        <f>InputData!$C$84</f>
        <v>215220</v>
      </c>
      <c r="X880" s="116">
        <f>InputData!$C$85</f>
        <v>409020</v>
      </c>
      <c r="Y880" s="116">
        <f>InputData!$C$116</f>
        <v>140000</v>
      </c>
      <c r="Z880" s="160">
        <f>InputData!$E$13</f>
        <v>0</v>
      </c>
    </row>
    <row r="881" spans="1:26" x14ac:dyDescent="0.25">
      <c r="A881">
        <f>InputData!$K$1</f>
        <v>2013</v>
      </c>
      <c r="B881" t="str">
        <f>InputData!$G$1</f>
        <v>San Antonio, TX</v>
      </c>
      <c r="C881" t="s">
        <v>5</v>
      </c>
      <c r="D881" t="str">
        <f>Graph_GenSurg!$D$6</f>
        <v>HPSP30</v>
      </c>
      <c r="E881" t="str">
        <f t="shared" si="13"/>
        <v>General Surgery HPSP30</v>
      </c>
      <c r="F881">
        <f>Graph_GenSurg!$A16</f>
        <v>2022</v>
      </c>
      <c r="G881">
        <f>Graph_GenSurg!$B16</f>
        <v>10</v>
      </c>
      <c r="H881" s="165">
        <f>Graph_GenSurg!$D16</f>
        <v>432639.50205622433</v>
      </c>
      <c r="I881" s="160">
        <f>InputData!$C$3</f>
        <v>0.02</v>
      </c>
      <c r="J881" s="160">
        <f>InputData!$C$4</f>
        <v>0.01</v>
      </c>
      <c r="K881" s="160">
        <f>InputData!$C$5</f>
        <v>0.01</v>
      </c>
      <c r="L881" s="160">
        <f>InputData!$C$6</f>
        <v>6.2100000000000002E-2</v>
      </c>
      <c r="M881" s="160">
        <f>InputData!$C$7</f>
        <v>0.03</v>
      </c>
      <c r="N881" s="160">
        <f>InputData!$C$8</f>
        <v>0.02</v>
      </c>
      <c r="O881" s="160">
        <f>InputData!$C$9</f>
        <v>0.06</v>
      </c>
      <c r="P881" s="160">
        <f>InputData!$C$10</f>
        <v>0.02</v>
      </c>
      <c r="Q881" s="160">
        <f>InputData!$C$11</f>
        <v>0.02</v>
      </c>
      <c r="R881" s="160">
        <f>InputData!$C$12</f>
        <v>0.02</v>
      </c>
      <c r="S881" s="160">
        <f>InputData!$C$13</f>
        <v>0.9</v>
      </c>
      <c r="T881" s="116">
        <f>InputData!$C$88</f>
        <v>180000</v>
      </c>
      <c r="U881" s="116">
        <f>InputData!$C$81</f>
        <v>178500</v>
      </c>
      <c r="V881" s="116">
        <f>InputData!$C$82</f>
        <v>303960</v>
      </c>
      <c r="W881" s="116">
        <f>InputData!$C$84</f>
        <v>215220</v>
      </c>
      <c r="X881" s="116">
        <f>InputData!$C$85</f>
        <v>409020</v>
      </c>
      <c r="Y881" s="116">
        <f>InputData!$C$116</f>
        <v>140000</v>
      </c>
      <c r="Z881" s="160">
        <f>InputData!$E$13</f>
        <v>0</v>
      </c>
    </row>
    <row r="882" spans="1:26" x14ac:dyDescent="0.25">
      <c r="A882">
        <f>InputData!$K$1</f>
        <v>2013</v>
      </c>
      <c r="B882" t="str">
        <f>InputData!$G$1</f>
        <v>San Antonio, TX</v>
      </c>
      <c r="C882" t="s">
        <v>5</v>
      </c>
      <c r="D882" t="str">
        <f>Graph_GenSurg!$D$6</f>
        <v>HPSP30</v>
      </c>
      <c r="E882" t="str">
        <f t="shared" si="13"/>
        <v>General Surgery HPSP30</v>
      </c>
      <c r="F882">
        <f>Graph_GenSurg!$A17</f>
        <v>2023</v>
      </c>
      <c r="G882">
        <f>Graph_GenSurg!$B17</f>
        <v>11</v>
      </c>
      <c r="H882" s="165">
        <f>Graph_GenSurg!$D17</f>
        <v>496325.29808331205</v>
      </c>
      <c r="I882" s="160">
        <f>InputData!$C$3</f>
        <v>0.02</v>
      </c>
      <c r="J882" s="160">
        <f>InputData!$C$4</f>
        <v>0.01</v>
      </c>
      <c r="K882" s="160">
        <f>InputData!$C$5</f>
        <v>0.01</v>
      </c>
      <c r="L882" s="160">
        <f>InputData!$C$6</f>
        <v>6.2100000000000002E-2</v>
      </c>
      <c r="M882" s="160">
        <f>InputData!$C$7</f>
        <v>0.03</v>
      </c>
      <c r="N882" s="160">
        <f>InputData!$C$8</f>
        <v>0.02</v>
      </c>
      <c r="O882" s="160">
        <f>InputData!$C$9</f>
        <v>0.06</v>
      </c>
      <c r="P882" s="160">
        <f>InputData!$C$10</f>
        <v>0.02</v>
      </c>
      <c r="Q882" s="160">
        <f>InputData!$C$11</f>
        <v>0.02</v>
      </c>
      <c r="R882" s="160">
        <f>InputData!$C$12</f>
        <v>0.02</v>
      </c>
      <c r="S882" s="160">
        <f>InputData!$C$13</f>
        <v>0.9</v>
      </c>
      <c r="T882" s="116">
        <f>InputData!$C$88</f>
        <v>180000</v>
      </c>
      <c r="U882" s="116">
        <f>InputData!$C$81</f>
        <v>178500</v>
      </c>
      <c r="V882" s="116">
        <f>InputData!$C$82</f>
        <v>303960</v>
      </c>
      <c r="W882" s="116">
        <f>InputData!$C$84</f>
        <v>215220</v>
      </c>
      <c r="X882" s="116">
        <f>InputData!$C$85</f>
        <v>409020</v>
      </c>
      <c r="Y882" s="116">
        <f>InputData!$C$116</f>
        <v>140000</v>
      </c>
      <c r="Z882" s="160">
        <f>InputData!$E$13</f>
        <v>0</v>
      </c>
    </row>
    <row r="883" spans="1:26" x14ac:dyDescent="0.25">
      <c r="A883">
        <f>InputData!$K$1</f>
        <v>2013</v>
      </c>
      <c r="B883" t="str">
        <f>InputData!$G$1</f>
        <v>San Antonio, TX</v>
      </c>
      <c r="C883" t="s">
        <v>5</v>
      </c>
      <c r="D883" t="str">
        <f>Graph_GenSurg!$D$6</f>
        <v>HPSP30</v>
      </c>
      <c r="E883" t="str">
        <f t="shared" si="13"/>
        <v>General Surgery HPSP30</v>
      </c>
      <c r="F883">
        <f>Graph_GenSurg!$A18</f>
        <v>2024</v>
      </c>
      <c r="G883">
        <f>Graph_GenSurg!$B18</f>
        <v>12</v>
      </c>
      <c r="H883" s="165">
        <f>Graph_GenSurg!$D18</f>
        <v>557596.52429570619</v>
      </c>
      <c r="I883" s="160">
        <f>InputData!$C$3</f>
        <v>0.02</v>
      </c>
      <c r="J883" s="160">
        <f>InputData!$C$4</f>
        <v>0.01</v>
      </c>
      <c r="K883" s="160">
        <f>InputData!$C$5</f>
        <v>0.01</v>
      </c>
      <c r="L883" s="160">
        <f>InputData!$C$6</f>
        <v>6.2100000000000002E-2</v>
      </c>
      <c r="M883" s="160">
        <f>InputData!$C$7</f>
        <v>0.03</v>
      </c>
      <c r="N883" s="160">
        <f>InputData!$C$8</f>
        <v>0.02</v>
      </c>
      <c r="O883" s="160">
        <f>InputData!$C$9</f>
        <v>0.06</v>
      </c>
      <c r="P883" s="160">
        <f>InputData!$C$10</f>
        <v>0.02</v>
      </c>
      <c r="Q883" s="160">
        <f>InputData!$C$11</f>
        <v>0.02</v>
      </c>
      <c r="R883" s="160">
        <f>InputData!$C$12</f>
        <v>0.02</v>
      </c>
      <c r="S883" s="160">
        <f>InputData!$C$13</f>
        <v>0.9</v>
      </c>
      <c r="T883" s="116">
        <f>InputData!$C$88</f>
        <v>180000</v>
      </c>
      <c r="U883" s="116">
        <f>InputData!$C$81</f>
        <v>178500</v>
      </c>
      <c r="V883" s="116">
        <f>InputData!$C$82</f>
        <v>303960</v>
      </c>
      <c r="W883" s="116">
        <f>InputData!$C$84</f>
        <v>215220</v>
      </c>
      <c r="X883" s="116">
        <f>InputData!$C$85</f>
        <v>409020</v>
      </c>
      <c r="Y883" s="116">
        <f>InputData!$C$116</f>
        <v>140000</v>
      </c>
      <c r="Z883" s="160">
        <f>InputData!$E$13</f>
        <v>0</v>
      </c>
    </row>
    <row r="884" spans="1:26" x14ac:dyDescent="0.25">
      <c r="A884">
        <f>InputData!$K$1</f>
        <v>2013</v>
      </c>
      <c r="B884" t="str">
        <f>InputData!$G$1</f>
        <v>San Antonio, TX</v>
      </c>
      <c r="C884" t="s">
        <v>5</v>
      </c>
      <c r="D884" t="str">
        <f>Graph_GenSurg!$D$6</f>
        <v>HPSP30</v>
      </c>
      <c r="E884" t="str">
        <f t="shared" si="13"/>
        <v>General Surgery HPSP30</v>
      </c>
      <c r="F884">
        <f>Graph_GenSurg!$A19</f>
        <v>2025</v>
      </c>
      <c r="G884">
        <f>Graph_GenSurg!$B19</f>
        <v>13</v>
      </c>
      <c r="H884" s="165">
        <f>Graph_GenSurg!$D19</f>
        <v>618022.98765773152</v>
      </c>
      <c r="I884" s="160">
        <f>InputData!$C$3</f>
        <v>0.02</v>
      </c>
      <c r="J884" s="160">
        <f>InputData!$C$4</f>
        <v>0.01</v>
      </c>
      <c r="K884" s="160">
        <f>InputData!$C$5</f>
        <v>0.01</v>
      </c>
      <c r="L884" s="160">
        <f>InputData!$C$6</f>
        <v>6.2100000000000002E-2</v>
      </c>
      <c r="M884" s="160">
        <f>InputData!$C$7</f>
        <v>0.03</v>
      </c>
      <c r="N884" s="160">
        <f>InputData!$C$8</f>
        <v>0.02</v>
      </c>
      <c r="O884" s="160">
        <f>InputData!$C$9</f>
        <v>0.06</v>
      </c>
      <c r="P884" s="160">
        <f>InputData!$C$10</f>
        <v>0.02</v>
      </c>
      <c r="Q884" s="160">
        <f>InputData!$C$11</f>
        <v>0.02</v>
      </c>
      <c r="R884" s="160">
        <f>InputData!$C$12</f>
        <v>0.02</v>
      </c>
      <c r="S884" s="160">
        <f>InputData!$C$13</f>
        <v>0.9</v>
      </c>
      <c r="T884" s="116">
        <f>InputData!$C$88</f>
        <v>180000</v>
      </c>
      <c r="U884" s="116">
        <f>InputData!$C$81</f>
        <v>178500</v>
      </c>
      <c r="V884" s="116">
        <f>InputData!$C$82</f>
        <v>303960</v>
      </c>
      <c r="W884" s="116">
        <f>InputData!$C$84</f>
        <v>215220</v>
      </c>
      <c r="X884" s="116">
        <f>InputData!$C$85</f>
        <v>409020</v>
      </c>
      <c r="Y884" s="116">
        <f>InputData!$C$116</f>
        <v>140000</v>
      </c>
      <c r="Z884" s="160">
        <f>InputData!$E$13</f>
        <v>0</v>
      </c>
    </row>
    <row r="885" spans="1:26" x14ac:dyDescent="0.25">
      <c r="A885">
        <f>InputData!$K$1</f>
        <v>2013</v>
      </c>
      <c r="B885" t="str">
        <f>InputData!$G$1</f>
        <v>San Antonio, TX</v>
      </c>
      <c r="C885" t="s">
        <v>5</v>
      </c>
      <c r="D885" t="str">
        <f>Graph_GenSurg!$D$6</f>
        <v>HPSP30</v>
      </c>
      <c r="E885" t="str">
        <f t="shared" si="13"/>
        <v>General Surgery HPSP30</v>
      </c>
      <c r="F885">
        <f>Graph_GenSurg!$A20</f>
        <v>2026</v>
      </c>
      <c r="G885">
        <f>Graph_GenSurg!$B20</f>
        <v>14</v>
      </c>
      <c r="H885" s="165">
        <f>Graph_GenSurg!$D20</f>
        <v>721067.05610948522</v>
      </c>
      <c r="I885" s="160">
        <f>InputData!$C$3</f>
        <v>0.02</v>
      </c>
      <c r="J885" s="160">
        <f>InputData!$C$4</f>
        <v>0.01</v>
      </c>
      <c r="K885" s="160">
        <f>InputData!$C$5</f>
        <v>0.01</v>
      </c>
      <c r="L885" s="160">
        <f>InputData!$C$6</f>
        <v>6.2100000000000002E-2</v>
      </c>
      <c r="M885" s="160">
        <f>InputData!$C$7</f>
        <v>0.03</v>
      </c>
      <c r="N885" s="160">
        <f>InputData!$C$8</f>
        <v>0.02</v>
      </c>
      <c r="O885" s="160">
        <f>InputData!$C$9</f>
        <v>0.06</v>
      </c>
      <c r="P885" s="160">
        <f>InputData!$C$10</f>
        <v>0.02</v>
      </c>
      <c r="Q885" s="160">
        <f>InputData!$C$11</f>
        <v>0.02</v>
      </c>
      <c r="R885" s="160">
        <f>InputData!$C$12</f>
        <v>0.02</v>
      </c>
      <c r="S885" s="160">
        <f>InputData!$C$13</f>
        <v>0.9</v>
      </c>
      <c r="T885" s="116">
        <f>InputData!$C$88</f>
        <v>180000</v>
      </c>
      <c r="U885" s="116">
        <f>InputData!$C$81</f>
        <v>178500</v>
      </c>
      <c r="V885" s="116">
        <f>InputData!$C$82</f>
        <v>303960</v>
      </c>
      <c r="W885" s="116">
        <f>InputData!$C$84</f>
        <v>215220</v>
      </c>
      <c r="X885" s="116">
        <f>InputData!$C$85</f>
        <v>409020</v>
      </c>
      <c r="Y885" s="116">
        <f>InputData!$C$116</f>
        <v>140000</v>
      </c>
      <c r="Z885" s="160">
        <f>InputData!$E$13</f>
        <v>0</v>
      </c>
    </row>
    <row r="886" spans="1:26" x14ac:dyDescent="0.25">
      <c r="A886">
        <f>InputData!$K$1</f>
        <v>2013</v>
      </c>
      <c r="B886" t="str">
        <f>InputData!$G$1</f>
        <v>San Antonio, TX</v>
      </c>
      <c r="C886" t="s">
        <v>5</v>
      </c>
      <c r="D886" t="str">
        <f>Graph_GenSurg!$D$6</f>
        <v>HPSP30</v>
      </c>
      <c r="E886" t="str">
        <f t="shared" si="13"/>
        <v>General Surgery HPSP30</v>
      </c>
      <c r="F886">
        <f>Graph_GenSurg!$A21</f>
        <v>2027</v>
      </c>
      <c r="G886">
        <f>Graph_GenSurg!$B21</f>
        <v>15</v>
      </c>
      <c r="H886" s="165">
        <f>Graph_GenSurg!$D21</f>
        <v>822364.88356813905</v>
      </c>
      <c r="I886" s="160">
        <f>InputData!$C$3</f>
        <v>0.02</v>
      </c>
      <c r="J886" s="160">
        <f>InputData!$C$4</f>
        <v>0.01</v>
      </c>
      <c r="K886" s="160">
        <f>InputData!$C$5</f>
        <v>0.01</v>
      </c>
      <c r="L886" s="160">
        <f>InputData!$C$6</f>
        <v>6.2100000000000002E-2</v>
      </c>
      <c r="M886" s="160">
        <f>InputData!$C$7</f>
        <v>0.03</v>
      </c>
      <c r="N886" s="160">
        <f>InputData!$C$8</f>
        <v>0.02</v>
      </c>
      <c r="O886" s="160">
        <f>InputData!$C$9</f>
        <v>0.06</v>
      </c>
      <c r="P886" s="160">
        <f>InputData!$C$10</f>
        <v>0.02</v>
      </c>
      <c r="Q886" s="160">
        <f>InputData!$C$11</f>
        <v>0.02</v>
      </c>
      <c r="R886" s="160">
        <f>InputData!$C$12</f>
        <v>0.02</v>
      </c>
      <c r="S886" s="160">
        <f>InputData!$C$13</f>
        <v>0.9</v>
      </c>
      <c r="T886" s="116">
        <f>InputData!$C$88</f>
        <v>180000</v>
      </c>
      <c r="U886" s="116">
        <f>InputData!$C$81</f>
        <v>178500</v>
      </c>
      <c r="V886" s="116">
        <f>InputData!$C$82</f>
        <v>303960</v>
      </c>
      <c r="W886" s="116">
        <f>InputData!$C$84</f>
        <v>215220</v>
      </c>
      <c r="X886" s="116">
        <f>InputData!$C$85</f>
        <v>409020</v>
      </c>
      <c r="Y886" s="116">
        <f>InputData!$C$116</f>
        <v>140000</v>
      </c>
      <c r="Z886" s="160">
        <f>InputData!$E$13</f>
        <v>0</v>
      </c>
    </row>
    <row r="887" spans="1:26" x14ac:dyDescent="0.25">
      <c r="A887">
        <f>InputData!$K$1</f>
        <v>2013</v>
      </c>
      <c r="B887" t="str">
        <f>InputData!$G$1</f>
        <v>San Antonio, TX</v>
      </c>
      <c r="C887" t="s">
        <v>5</v>
      </c>
      <c r="D887" t="str">
        <f>Graph_GenSurg!$D$6</f>
        <v>HPSP30</v>
      </c>
      <c r="E887" t="str">
        <f t="shared" si="13"/>
        <v>General Surgery HPSP30</v>
      </c>
      <c r="F887">
        <f>Graph_GenSurg!$A22</f>
        <v>2028</v>
      </c>
      <c r="G887">
        <f>Graph_GenSurg!$B22</f>
        <v>16</v>
      </c>
      <c r="H887" s="165">
        <f>Graph_GenSurg!$D22</f>
        <v>919769.91837037029</v>
      </c>
      <c r="I887" s="160">
        <f>InputData!$C$3</f>
        <v>0.02</v>
      </c>
      <c r="J887" s="160">
        <f>InputData!$C$4</f>
        <v>0.01</v>
      </c>
      <c r="K887" s="160">
        <f>InputData!$C$5</f>
        <v>0.01</v>
      </c>
      <c r="L887" s="160">
        <f>InputData!$C$6</f>
        <v>6.2100000000000002E-2</v>
      </c>
      <c r="M887" s="160">
        <f>InputData!$C$7</f>
        <v>0.03</v>
      </c>
      <c r="N887" s="160">
        <f>InputData!$C$8</f>
        <v>0.02</v>
      </c>
      <c r="O887" s="160">
        <f>InputData!$C$9</f>
        <v>0.06</v>
      </c>
      <c r="P887" s="160">
        <f>InputData!$C$10</f>
        <v>0.02</v>
      </c>
      <c r="Q887" s="160">
        <f>InputData!$C$11</f>
        <v>0.02</v>
      </c>
      <c r="R887" s="160">
        <f>InputData!$C$12</f>
        <v>0.02</v>
      </c>
      <c r="S887" s="160">
        <f>InputData!$C$13</f>
        <v>0.9</v>
      </c>
      <c r="T887" s="116">
        <f>InputData!$C$88</f>
        <v>180000</v>
      </c>
      <c r="U887" s="116">
        <f>InputData!$C$81</f>
        <v>178500</v>
      </c>
      <c r="V887" s="116">
        <f>InputData!$C$82</f>
        <v>303960</v>
      </c>
      <c r="W887" s="116">
        <f>InputData!$C$84</f>
        <v>215220</v>
      </c>
      <c r="X887" s="116">
        <f>InputData!$C$85</f>
        <v>409020</v>
      </c>
      <c r="Y887" s="116">
        <f>InputData!$C$116</f>
        <v>140000</v>
      </c>
      <c r="Z887" s="160">
        <f>InputData!$E$13</f>
        <v>0</v>
      </c>
    </row>
    <row r="888" spans="1:26" x14ac:dyDescent="0.25">
      <c r="A888">
        <f>InputData!$K$1</f>
        <v>2013</v>
      </c>
      <c r="B888" t="str">
        <f>InputData!$G$1</f>
        <v>San Antonio, TX</v>
      </c>
      <c r="C888" t="s">
        <v>5</v>
      </c>
      <c r="D888" t="str">
        <f>Graph_GenSurg!$D$6</f>
        <v>HPSP30</v>
      </c>
      <c r="E888" t="str">
        <f t="shared" si="13"/>
        <v>General Surgery HPSP30</v>
      </c>
      <c r="F888">
        <f>Graph_GenSurg!$A23</f>
        <v>2029</v>
      </c>
      <c r="G888">
        <f>Graph_GenSurg!$B23</f>
        <v>17</v>
      </c>
      <c r="H888" s="165">
        <f>Graph_GenSurg!$D23</f>
        <v>1016011.9412183407</v>
      </c>
      <c r="I888" s="160">
        <f>InputData!$C$3</f>
        <v>0.02</v>
      </c>
      <c r="J888" s="160">
        <f>InputData!$C$4</f>
        <v>0.01</v>
      </c>
      <c r="K888" s="160">
        <f>InputData!$C$5</f>
        <v>0.01</v>
      </c>
      <c r="L888" s="160">
        <f>InputData!$C$6</f>
        <v>6.2100000000000002E-2</v>
      </c>
      <c r="M888" s="160">
        <f>InputData!$C$7</f>
        <v>0.03</v>
      </c>
      <c r="N888" s="160">
        <f>InputData!$C$8</f>
        <v>0.02</v>
      </c>
      <c r="O888" s="160">
        <f>InputData!$C$9</f>
        <v>0.06</v>
      </c>
      <c r="P888" s="160">
        <f>InputData!$C$10</f>
        <v>0.02</v>
      </c>
      <c r="Q888" s="160">
        <f>InputData!$C$11</f>
        <v>0.02</v>
      </c>
      <c r="R888" s="160">
        <f>InputData!$C$12</f>
        <v>0.02</v>
      </c>
      <c r="S888" s="160">
        <f>InputData!$C$13</f>
        <v>0.9</v>
      </c>
      <c r="T888" s="116">
        <f>InputData!$C$88</f>
        <v>180000</v>
      </c>
      <c r="U888" s="116">
        <f>InputData!$C$81</f>
        <v>178500</v>
      </c>
      <c r="V888" s="116">
        <f>InputData!$C$82</f>
        <v>303960</v>
      </c>
      <c r="W888" s="116">
        <f>InputData!$C$84</f>
        <v>215220</v>
      </c>
      <c r="X888" s="116">
        <f>InputData!$C$85</f>
        <v>409020</v>
      </c>
      <c r="Y888" s="116">
        <f>InputData!$C$116</f>
        <v>140000</v>
      </c>
      <c r="Z888" s="160">
        <f>InputData!$E$13</f>
        <v>0</v>
      </c>
    </row>
    <row r="889" spans="1:26" x14ac:dyDescent="0.25">
      <c r="A889">
        <f>InputData!$K$1</f>
        <v>2013</v>
      </c>
      <c r="B889" t="str">
        <f>InputData!$G$1</f>
        <v>San Antonio, TX</v>
      </c>
      <c r="C889" t="s">
        <v>5</v>
      </c>
      <c r="D889" t="str">
        <f>Graph_GenSurg!$D$6</f>
        <v>HPSP30</v>
      </c>
      <c r="E889" t="str">
        <f t="shared" si="13"/>
        <v>General Surgery HPSP30</v>
      </c>
      <c r="F889">
        <f>Graph_GenSurg!$A24</f>
        <v>2030</v>
      </c>
      <c r="G889">
        <f>Graph_GenSurg!$B24</f>
        <v>18</v>
      </c>
      <c r="H889" s="165">
        <f>Graph_GenSurg!$D24</f>
        <v>1108598.9865412279</v>
      </c>
      <c r="I889" s="160">
        <f>InputData!$C$3</f>
        <v>0.02</v>
      </c>
      <c r="J889" s="160">
        <f>InputData!$C$4</f>
        <v>0.01</v>
      </c>
      <c r="K889" s="160">
        <f>InputData!$C$5</f>
        <v>0.01</v>
      </c>
      <c r="L889" s="160">
        <f>InputData!$C$6</f>
        <v>6.2100000000000002E-2</v>
      </c>
      <c r="M889" s="160">
        <f>InputData!$C$7</f>
        <v>0.03</v>
      </c>
      <c r="N889" s="160">
        <f>InputData!$C$8</f>
        <v>0.02</v>
      </c>
      <c r="O889" s="160">
        <f>InputData!$C$9</f>
        <v>0.06</v>
      </c>
      <c r="P889" s="160">
        <f>InputData!$C$10</f>
        <v>0.02</v>
      </c>
      <c r="Q889" s="160">
        <f>InputData!$C$11</f>
        <v>0.02</v>
      </c>
      <c r="R889" s="160">
        <f>InputData!$C$12</f>
        <v>0.02</v>
      </c>
      <c r="S889" s="160">
        <f>InputData!$C$13</f>
        <v>0.9</v>
      </c>
      <c r="T889" s="116">
        <f>InputData!$C$88</f>
        <v>180000</v>
      </c>
      <c r="U889" s="116">
        <f>InputData!$C$81</f>
        <v>178500</v>
      </c>
      <c r="V889" s="116">
        <f>InputData!$C$82</f>
        <v>303960</v>
      </c>
      <c r="W889" s="116">
        <f>InputData!$C$84</f>
        <v>215220</v>
      </c>
      <c r="X889" s="116">
        <f>InputData!$C$85</f>
        <v>409020</v>
      </c>
      <c r="Y889" s="116">
        <f>InputData!$C$116</f>
        <v>140000</v>
      </c>
      <c r="Z889" s="160">
        <f>InputData!$E$13</f>
        <v>0</v>
      </c>
    </row>
    <row r="890" spans="1:26" x14ac:dyDescent="0.25">
      <c r="A890">
        <f>InputData!$K$1</f>
        <v>2013</v>
      </c>
      <c r="B890" t="str">
        <f>InputData!$G$1</f>
        <v>San Antonio, TX</v>
      </c>
      <c r="C890" t="s">
        <v>5</v>
      </c>
      <c r="D890" t="str">
        <f>Graph_GenSurg!$D$6</f>
        <v>HPSP30</v>
      </c>
      <c r="E890" t="str">
        <f t="shared" si="13"/>
        <v>General Surgery HPSP30</v>
      </c>
      <c r="F890">
        <f>Graph_GenSurg!$A25</f>
        <v>2031</v>
      </c>
      <c r="G890">
        <f>Graph_GenSurg!$B25</f>
        <v>19</v>
      </c>
      <c r="H890" s="165">
        <f>Graph_GenSurg!$D25</f>
        <v>1198858.0066698822</v>
      </c>
      <c r="I890" s="160">
        <f>InputData!$C$3</f>
        <v>0.02</v>
      </c>
      <c r="J890" s="160">
        <f>InputData!$C$4</f>
        <v>0.01</v>
      </c>
      <c r="K890" s="160">
        <f>InputData!$C$5</f>
        <v>0.01</v>
      </c>
      <c r="L890" s="160">
        <f>InputData!$C$6</f>
        <v>6.2100000000000002E-2</v>
      </c>
      <c r="M890" s="160">
        <f>InputData!$C$7</f>
        <v>0.03</v>
      </c>
      <c r="N890" s="160">
        <f>InputData!$C$8</f>
        <v>0.02</v>
      </c>
      <c r="O890" s="160">
        <f>InputData!$C$9</f>
        <v>0.06</v>
      </c>
      <c r="P890" s="160">
        <f>InputData!$C$10</f>
        <v>0.02</v>
      </c>
      <c r="Q890" s="160">
        <f>InputData!$C$11</f>
        <v>0.02</v>
      </c>
      <c r="R890" s="160">
        <f>InputData!$C$12</f>
        <v>0.02</v>
      </c>
      <c r="S890" s="160">
        <f>InputData!$C$13</f>
        <v>0.9</v>
      </c>
      <c r="T890" s="116">
        <f>InputData!$C$88</f>
        <v>180000</v>
      </c>
      <c r="U890" s="116">
        <f>InputData!$C$81</f>
        <v>178500</v>
      </c>
      <c r="V890" s="116">
        <f>InputData!$C$82</f>
        <v>303960</v>
      </c>
      <c r="W890" s="116">
        <f>InputData!$C$84</f>
        <v>215220</v>
      </c>
      <c r="X890" s="116">
        <f>InputData!$C$85</f>
        <v>409020</v>
      </c>
      <c r="Y890" s="116">
        <f>InputData!$C$116</f>
        <v>140000</v>
      </c>
      <c r="Z890" s="160">
        <f>InputData!$E$13</f>
        <v>0</v>
      </c>
    </row>
    <row r="891" spans="1:26" x14ac:dyDescent="0.25">
      <c r="A891">
        <f>InputData!$K$1</f>
        <v>2013</v>
      </c>
      <c r="B891" t="str">
        <f>InputData!$G$1</f>
        <v>San Antonio, TX</v>
      </c>
      <c r="C891" t="s">
        <v>5</v>
      </c>
      <c r="D891" t="str">
        <f>Graph_GenSurg!$D$6</f>
        <v>HPSP30</v>
      </c>
      <c r="E891" t="str">
        <f t="shared" si="13"/>
        <v>General Surgery HPSP30</v>
      </c>
      <c r="F891">
        <f>Graph_GenSurg!$A26</f>
        <v>2032</v>
      </c>
      <c r="G891">
        <f>Graph_GenSurg!$B26</f>
        <v>20</v>
      </c>
      <c r="H891" s="165">
        <f>Graph_GenSurg!$D26</f>
        <v>1285684.2222434585</v>
      </c>
      <c r="I891" s="160">
        <f>InputData!$C$3</f>
        <v>0.02</v>
      </c>
      <c r="J891" s="160">
        <f>InputData!$C$4</f>
        <v>0.01</v>
      </c>
      <c r="K891" s="160">
        <f>InputData!$C$5</f>
        <v>0.01</v>
      </c>
      <c r="L891" s="160">
        <f>InputData!$C$6</f>
        <v>6.2100000000000002E-2</v>
      </c>
      <c r="M891" s="160">
        <f>InputData!$C$7</f>
        <v>0.03</v>
      </c>
      <c r="N891" s="160">
        <f>InputData!$C$8</f>
        <v>0.02</v>
      </c>
      <c r="O891" s="160">
        <f>InputData!$C$9</f>
        <v>0.06</v>
      </c>
      <c r="P891" s="160">
        <f>InputData!$C$10</f>
        <v>0.02</v>
      </c>
      <c r="Q891" s="160">
        <f>InputData!$C$11</f>
        <v>0.02</v>
      </c>
      <c r="R891" s="160">
        <f>InputData!$C$12</f>
        <v>0.02</v>
      </c>
      <c r="S891" s="160">
        <f>InputData!$C$13</f>
        <v>0.9</v>
      </c>
      <c r="T891" s="116">
        <f>InputData!$C$88</f>
        <v>180000</v>
      </c>
      <c r="U891" s="116">
        <f>InputData!$C$81</f>
        <v>178500</v>
      </c>
      <c r="V891" s="116">
        <f>InputData!$C$82</f>
        <v>303960</v>
      </c>
      <c r="W891" s="116">
        <f>InputData!$C$84</f>
        <v>215220</v>
      </c>
      <c r="X891" s="116">
        <f>InputData!$C$85</f>
        <v>409020</v>
      </c>
      <c r="Y891" s="116">
        <f>InputData!$C$116</f>
        <v>140000</v>
      </c>
      <c r="Z891" s="160">
        <f>InputData!$E$13</f>
        <v>0</v>
      </c>
    </row>
    <row r="892" spans="1:26" x14ac:dyDescent="0.25">
      <c r="A892">
        <f>InputData!$K$1</f>
        <v>2013</v>
      </c>
      <c r="B892" t="str">
        <f>InputData!$G$1</f>
        <v>San Antonio, TX</v>
      </c>
      <c r="C892" t="s">
        <v>5</v>
      </c>
      <c r="D892" t="str">
        <f>Graph_GenSurg!$D$6</f>
        <v>HPSP30</v>
      </c>
      <c r="E892" t="str">
        <f t="shared" si="13"/>
        <v>General Surgery HPSP30</v>
      </c>
      <c r="F892">
        <f>Graph_GenSurg!$A27</f>
        <v>2033</v>
      </c>
      <c r="G892">
        <f>Graph_GenSurg!$B27</f>
        <v>21</v>
      </c>
      <c r="H892" s="165">
        <f>Graph_GenSurg!$D27</f>
        <v>1370899.1640637347</v>
      </c>
      <c r="I892" s="160">
        <f>InputData!$C$3</f>
        <v>0.02</v>
      </c>
      <c r="J892" s="160">
        <f>InputData!$C$4</f>
        <v>0.01</v>
      </c>
      <c r="K892" s="160">
        <f>InputData!$C$5</f>
        <v>0.01</v>
      </c>
      <c r="L892" s="160">
        <f>InputData!$C$6</f>
        <v>6.2100000000000002E-2</v>
      </c>
      <c r="M892" s="160">
        <f>InputData!$C$7</f>
        <v>0.03</v>
      </c>
      <c r="N892" s="160">
        <f>InputData!$C$8</f>
        <v>0.02</v>
      </c>
      <c r="O892" s="160">
        <f>InputData!$C$9</f>
        <v>0.06</v>
      </c>
      <c r="P892" s="160">
        <f>InputData!$C$10</f>
        <v>0.02</v>
      </c>
      <c r="Q892" s="160">
        <f>InputData!$C$11</f>
        <v>0.02</v>
      </c>
      <c r="R892" s="160">
        <f>InputData!$C$12</f>
        <v>0.02</v>
      </c>
      <c r="S892" s="160">
        <f>InputData!$C$13</f>
        <v>0.9</v>
      </c>
      <c r="T892" s="116">
        <f>InputData!$C$88</f>
        <v>180000</v>
      </c>
      <c r="U892" s="116">
        <f>InputData!$C$81</f>
        <v>178500</v>
      </c>
      <c r="V892" s="116">
        <f>InputData!$C$82</f>
        <v>303960</v>
      </c>
      <c r="W892" s="116">
        <f>InputData!$C$84</f>
        <v>215220</v>
      </c>
      <c r="X892" s="116">
        <f>InputData!$C$85</f>
        <v>409020</v>
      </c>
      <c r="Y892" s="116">
        <f>InputData!$C$116</f>
        <v>140000</v>
      </c>
      <c r="Z892" s="160">
        <f>InputData!$E$13</f>
        <v>0</v>
      </c>
    </row>
    <row r="893" spans="1:26" x14ac:dyDescent="0.25">
      <c r="A893">
        <f>InputData!$K$1</f>
        <v>2013</v>
      </c>
      <c r="B893" t="str">
        <f>InputData!$G$1</f>
        <v>San Antonio, TX</v>
      </c>
      <c r="C893" t="s">
        <v>5</v>
      </c>
      <c r="D893" t="str">
        <f>Graph_GenSurg!$D$6</f>
        <v>HPSP30</v>
      </c>
      <c r="E893" t="str">
        <f t="shared" si="13"/>
        <v>General Surgery HPSP30</v>
      </c>
      <c r="F893">
        <f>Graph_GenSurg!$A28</f>
        <v>2034</v>
      </c>
      <c r="G893">
        <f>Graph_GenSurg!$B28</f>
        <v>22</v>
      </c>
      <c r="H893" s="165">
        <f>Graph_GenSurg!$D28</f>
        <v>1452878.1000074015</v>
      </c>
      <c r="I893" s="160">
        <f>InputData!$C$3</f>
        <v>0.02</v>
      </c>
      <c r="J893" s="160">
        <f>InputData!$C$4</f>
        <v>0.01</v>
      </c>
      <c r="K893" s="160">
        <f>InputData!$C$5</f>
        <v>0.01</v>
      </c>
      <c r="L893" s="160">
        <f>InputData!$C$6</f>
        <v>6.2100000000000002E-2</v>
      </c>
      <c r="M893" s="160">
        <f>InputData!$C$7</f>
        <v>0.03</v>
      </c>
      <c r="N893" s="160">
        <f>InputData!$C$8</f>
        <v>0.02</v>
      </c>
      <c r="O893" s="160">
        <f>InputData!$C$9</f>
        <v>0.06</v>
      </c>
      <c r="P893" s="160">
        <f>InputData!$C$10</f>
        <v>0.02</v>
      </c>
      <c r="Q893" s="160">
        <f>InputData!$C$11</f>
        <v>0.02</v>
      </c>
      <c r="R893" s="160">
        <f>InputData!$C$12</f>
        <v>0.02</v>
      </c>
      <c r="S893" s="160">
        <f>InputData!$C$13</f>
        <v>0.9</v>
      </c>
      <c r="T893" s="116">
        <f>InputData!$C$88</f>
        <v>180000</v>
      </c>
      <c r="U893" s="116">
        <f>InputData!$C$81</f>
        <v>178500</v>
      </c>
      <c r="V893" s="116">
        <f>InputData!$C$82</f>
        <v>303960</v>
      </c>
      <c r="W893" s="116">
        <f>InputData!$C$84</f>
        <v>215220</v>
      </c>
      <c r="X893" s="116">
        <f>InputData!$C$85</f>
        <v>409020</v>
      </c>
      <c r="Y893" s="116">
        <f>InputData!$C$116</f>
        <v>140000</v>
      </c>
      <c r="Z893" s="160">
        <f>InputData!$E$13</f>
        <v>0</v>
      </c>
    </row>
    <row r="894" spans="1:26" x14ac:dyDescent="0.25">
      <c r="A894">
        <f>InputData!$K$1</f>
        <v>2013</v>
      </c>
      <c r="B894" t="str">
        <f>InputData!$G$1</f>
        <v>San Antonio, TX</v>
      </c>
      <c r="C894" t="s">
        <v>5</v>
      </c>
      <c r="D894" t="str">
        <f>Graph_GenSurg!$D$6</f>
        <v>HPSP30</v>
      </c>
      <c r="E894" t="str">
        <f t="shared" si="13"/>
        <v>General Surgery HPSP30</v>
      </c>
      <c r="F894">
        <f>Graph_GenSurg!$A29</f>
        <v>2035</v>
      </c>
      <c r="G894">
        <f>Graph_GenSurg!$B29</f>
        <v>23</v>
      </c>
      <c r="H894" s="165">
        <f>Graph_GenSurg!$D29</f>
        <v>1535946.831225906</v>
      </c>
      <c r="I894" s="160">
        <f>InputData!$C$3</f>
        <v>0.02</v>
      </c>
      <c r="J894" s="160">
        <f>InputData!$C$4</f>
        <v>0.01</v>
      </c>
      <c r="K894" s="160">
        <f>InputData!$C$5</f>
        <v>0.01</v>
      </c>
      <c r="L894" s="160">
        <f>InputData!$C$6</f>
        <v>6.2100000000000002E-2</v>
      </c>
      <c r="M894" s="160">
        <f>InputData!$C$7</f>
        <v>0.03</v>
      </c>
      <c r="N894" s="160">
        <f>InputData!$C$8</f>
        <v>0.02</v>
      </c>
      <c r="O894" s="160">
        <f>InputData!$C$9</f>
        <v>0.06</v>
      </c>
      <c r="P894" s="160">
        <f>InputData!$C$10</f>
        <v>0.02</v>
      </c>
      <c r="Q894" s="160">
        <f>InputData!$C$11</f>
        <v>0.02</v>
      </c>
      <c r="R894" s="160">
        <f>InputData!$C$12</f>
        <v>0.02</v>
      </c>
      <c r="S894" s="160">
        <f>InputData!$C$13</f>
        <v>0.9</v>
      </c>
      <c r="T894" s="116">
        <f>InputData!$C$88</f>
        <v>180000</v>
      </c>
      <c r="U894" s="116">
        <f>InputData!$C$81</f>
        <v>178500</v>
      </c>
      <c r="V894" s="116">
        <f>InputData!$C$82</f>
        <v>303960</v>
      </c>
      <c r="W894" s="116">
        <f>InputData!$C$84</f>
        <v>215220</v>
      </c>
      <c r="X894" s="116">
        <f>InputData!$C$85</f>
        <v>409020</v>
      </c>
      <c r="Y894" s="116">
        <f>InputData!$C$116</f>
        <v>140000</v>
      </c>
      <c r="Z894" s="160">
        <f>InputData!$E$13</f>
        <v>0</v>
      </c>
    </row>
    <row r="895" spans="1:26" x14ac:dyDescent="0.25">
      <c r="A895">
        <f>InputData!$K$1</f>
        <v>2013</v>
      </c>
      <c r="B895" t="str">
        <f>InputData!$G$1</f>
        <v>San Antonio, TX</v>
      </c>
      <c r="C895" t="s">
        <v>5</v>
      </c>
      <c r="D895" t="str">
        <f>Graph_GenSurg!$D$6</f>
        <v>HPSP30</v>
      </c>
      <c r="E895" t="str">
        <f t="shared" si="13"/>
        <v>General Surgery HPSP30</v>
      </c>
      <c r="F895">
        <f>Graph_GenSurg!$A30</f>
        <v>2036</v>
      </c>
      <c r="G895">
        <f>Graph_GenSurg!$B30</f>
        <v>24</v>
      </c>
      <c r="H895" s="165">
        <f>Graph_GenSurg!$D30</f>
        <v>1615859.2187782298</v>
      </c>
      <c r="I895" s="160">
        <f>InputData!$C$3</f>
        <v>0.02</v>
      </c>
      <c r="J895" s="160">
        <f>InputData!$C$4</f>
        <v>0.01</v>
      </c>
      <c r="K895" s="160">
        <f>InputData!$C$5</f>
        <v>0.01</v>
      </c>
      <c r="L895" s="160">
        <f>InputData!$C$6</f>
        <v>6.2100000000000002E-2</v>
      </c>
      <c r="M895" s="160">
        <f>InputData!$C$7</f>
        <v>0.03</v>
      </c>
      <c r="N895" s="160">
        <f>InputData!$C$8</f>
        <v>0.02</v>
      </c>
      <c r="O895" s="160">
        <f>InputData!$C$9</f>
        <v>0.06</v>
      </c>
      <c r="P895" s="160">
        <f>InputData!$C$10</f>
        <v>0.02</v>
      </c>
      <c r="Q895" s="160">
        <f>InputData!$C$11</f>
        <v>0.02</v>
      </c>
      <c r="R895" s="160">
        <f>InputData!$C$12</f>
        <v>0.02</v>
      </c>
      <c r="S895" s="160">
        <f>InputData!$C$13</f>
        <v>0.9</v>
      </c>
      <c r="T895" s="116">
        <f>InputData!$C$88</f>
        <v>180000</v>
      </c>
      <c r="U895" s="116">
        <f>InputData!$C$81</f>
        <v>178500</v>
      </c>
      <c r="V895" s="116">
        <f>InputData!$C$82</f>
        <v>303960</v>
      </c>
      <c r="W895" s="116">
        <f>InputData!$C$84</f>
        <v>215220</v>
      </c>
      <c r="X895" s="116">
        <f>InputData!$C$85</f>
        <v>409020</v>
      </c>
      <c r="Y895" s="116">
        <f>InputData!$C$116</f>
        <v>140000</v>
      </c>
      <c r="Z895" s="160">
        <f>InputData!$E$13</f>
        <v>0</v>
      </c>
    </row>
    <row r="896" spans="1:26" x14ac:dyDescent="0.25">
      <c r="A896">
        <f>InputData!$K$1</f>
        <v>2013</v>
      </c>
      <c r="B896" t="str">
        <f>InputData!$G$1</f>
        <v>San Antonio, TX</v>
      </c>
      <c r="C896" t="s">
        <v>5</v>
      </c>
      <c r="D896" t="str">
        <f>Graph_GenSurg!$D$6</f>
        <v>HPSP30</v>
      </c>
      <c r="E896" t="str">
        <f t="shared" si="13"/>
        <v>General Surgery HPSP30</v>
      </c>
      <c r="F896">
        <f>Graph_GenSurg!$A31</f>
        <v>2037</v>
      </c>
      <c r="G896">
        <f>Graph_GenSurg!$B31</f>
        <v>25</v>
      </c>
      <c r="H896" s="165">
        <f>Graph_GenSurg!$D31</f>
        <v>1694080.9633460001</v>
      </c>
      <c r="I896" s="160">
        <f>InputData!$C$3</f>
        <v>0.02</v>
      </c>
      <c r="J896" s="160">
        <f>InputData!$C$4</f>
        <v>0.01</v>
      </c>
      <c r="K896" s="160">
        <f>InputData!$C$5</f>
        <v>0.01</v>
      </c>
      <c r="L896" s="160">
        <f>InputData!$C$6</f>
        <v>6.2100000000000002E-2</v>
      </c>
      <c r="M896" s="160">
        <f>InputData!$C$7</f>
        <v>0.03</v>
      </c>
      <c r="N896" s="160">
        <f>InputData!$C$8</f>
        <v>0.02</v>
      </c>
      <c r="O896" s="160">
        <f>InputData!$C$9</f>
        <v>0.06</v>
      </c>
      <c r="P896" s="160">
        <f>InputData!$C$10</f>
        <v>0.02</v>
      </c>
      <c r="Q896" s="160">
        <f>InputData!$C$11</f>
        <v>0.02</v>
      </c>
      <c r="R896" s="160">
        <f>InputData!$C$12</f>
        <v>0.02</v>
      </c>
      <c r="S896" s="160">
        <f>InputData!$C$13</f>
        <v>0.9</v>
      </c>
      <c r="T896" s="116">
        <f>InputData!$C$88</f>
        <v>180000</v>
      </c>
      <c r="U896" s="116">
        <f>InputData!$C$81</f>
        <v>178500</v>
      </c>
      <c r="V896" s="116">
        <f>InputData!$C$82</f>
        <v>303960</v>
      </c>
      <c r="W896" s="116">
        <f>InputData!$C$84</f>
        <v>215220</v>
      </c>
      <c r="X896" s="116">
        <f>InputData!$C$85</f>
        <v>409020</v>
      </c>
      <c r="Y896" s="116">
        <f>InputData!$C$116</f>
        <v>140000</v>
      </c>
      <c r="Z896" s="160">
        <f>InputData!$E$13</f>
        <v>0</v>
      </c>
    </row>
    <row r="897" spans="1:26" x14ac:dyDescent="0.25">
      <c r="A897">
        <f>InputData!$K$1</f>
        <v>2013</v>
      </c>
      <c r="B897" t="str">
        <f>InputData!$G$1</f>
        <v>San Antonio, TX</v>
      </c>
      <c r="C897" t="s">
        <v>5</v>
      </c>
      <c r="D897" t="str">
        <f>Graph_GenSurg!$D$6</f>
        <v>HPSP30</v>
      </c>
      <c r="E897" t="str">
        <f t="shared" si="13"/>
        <v>General Surgery HPSP30</v>
      </c>
      <c r="F897">
        <f>Graph_GenSurg!$A32</f>
        <v>2038</v>
      </c>
      <c r="G897">
        <f>Graph_GenSurg!$B32</f>
        <v>26</v>
      </c>
      <c r="H897" s="165">
        <f>Graph_GenSurg!$D32</f>
        <v>1769577.4551064922</v>
      </c>
      <c r="I897" s="160">
        <f>InputData!$C$3</f>
        <v>0.02</v>
      </c>
      <c r="J897" s="160">
        <f>InputData!$C$4</f>
        <v>0.01</v>
      </c>
      <c r="K897" s="160">
        <f>InputData!$C$5</f>
        <v>0.01</v>
      </c>
      <c r="L897" s="160">
        <f>InputData!$C$6</f>
        <v>6.2100000000000002E-2</v>
      </c>
      <c r="M897" s="160">
        <f>InputData!$C$7</f>
        <v>0.03</v>
      </c>
      <c r="N897" s="160">
        <f>InputData!$C$8</f>
        <v>0.02</v>
      </c>
      <c r="O897" s="160">
        <f>InputData!$C$9</f>
        <v>0.06</v>
      </c>
      <c r="P897" s="160">
        <f>InputData!$C$10</f>
        <v>0.02</v>
      </c>
      <c r="Q897" s="160">
        <f>InputData!$C$11</f>
        <v>0.02</v>
      </c>
      <c r="R897" s="160">
        <f>InputData!$C$12</f>
        <v>0.02</v>
      </c>
      <c r="S897" s="160">
        <f>InputData!$C$13</f>
        <v>0.9</v>
      </c>
      <c r="T897" s="116">
        <f>InputData!$C$88</f>
        <v>180000</v>
      </c>
      <c r="U897" s="116">
        <f>InputData!$C$81</f>
        <v>178500</v>
      </c>
      <c r="V897" s="116">
        <f>InputData!$C$82</f>
        <v>303960</v>
      </c>
      <c r="W897" s="116">
        <f>InputData!$C$84</f>
        <v>215220</v>
      </c>
      <c r="X897" s="116">
        <f>InputData!$C$85</f>
        <v>409020</v>
      </c>
      <c r="Y897" s="116">
        <f>InputData!$C$116</f>
        <v>140000</v>
      </c>
      <c r="Z897" s="160">
        <f>InputData!$E$13</f>
        <v>0</v>
      </c>
    </row>
    <row r="898" spans="1:26" x14ac:dyDescent="0.25">
      <c r="A898">
        <f>InputData!$K$1</f>
        <v>2013</v>
      </c>
      <c r="B898" t="str">
        <f>InputData!$G$1</f>
        <v>San Antonio, TX</v>
      </c>
      <c r="C898" t="s">
        <v>5</v>
      </c>
      <c r="D898" t="str">
        <f>Graph_GenSurg!$D$6</f>
        <v>HPSP30</v>
      </c>
      <c r="E898" t="str">
        <f t="shared" si="13"/>
        <v>General Surgery HPSP30</v>
      </c>
      <c r="F898">
        <f>Graph_GenSurg!$A33</f>
        <v>2039</v>
      </c>
      <c r="G898">
        <f>Graph_GenSurg!$B33</f>
        <v>27</v>
      </c>
      <c r="H898" s="165">
        <f>Graph_GenSurg!$D33</f>
        <v>1842442.9927335843</v>
      </c>
      <c r="I898" s="160">
        <f>InputData!$C$3</f>
        <v>0.02</v>
      </c>
      <c r="J898" s="160">
        <f>InputData!$C$4</f>
        <v>0.01</v>
      </c>
      <c r="K898" s="160">
        <f>InputData!$C$5</f>
        <v>0.01</v>
      </c>
      <c r="L898" s="160">
        <f>InputData!$C$6</f>
        <v>6.2100000000000002E-2</v>
      </c>
      <c r="M898" s="160">
        <f>InputData!$C$7</f>
        <v>0.03</v>
      </c>
      <c r="N898" s="160">
        <f>InputData!$C$8</f>
        <v>0.02</v>
      </c>
      <c r="O898" s="160">
        <f>InputData!$C$9</f>
        <v>0.06</v>
      </c>
      <c r="P898" s="160">
        <f>InputData!$C$10</f>
        <v>0.02</v>
      </c>
      <c r="Q898" s="160">
        <f>InputData!$C$11</f>
        <v>0.02</v>
      </c>
      <c r="R898" s="160">
        <f>InputData!$C$12</f>
        <v>0.02</v>
      </c>
      <c r="S898" s="160">
        <f>InputData!$C$13</f>
        <v>0.9</v>
      </c>
      <c r="T898" s="116">
        <f>InputData!$C$88</f>
        <v>180000</v>
      </c>
      <c r="U898" s="116">
        <f>InputData!$C$81</f>
        <v>178500</v>
      </c>
      <c r="V898" s="116">
        <f>InputData!$C$82</f>
        <v>303960</v>
      </c>
      <c r="W898" s="116">
        <f>InputData!$C$84</f>
        <v>215220</v>
      </c>
      <c r="X898" s="116">
        <f>InputData!$C$85</f>
        <v>409020</v>
      </c>
      <c r="Y898" s="116">
        <f>InputData!$C$116</f>
        <v>140000</v>
      </c>
      <c r="Z898" s="160">
        <f>InputData!$E$13</f>
        <v>0</v>
      </c>
    </row>
    <row r="899" spans="1:26" x14ac:dyDescent="0.25">
      <c r="A899">
        <f>InputData!$K$1</f>
        <v>2013</v>
      </c>
      <c r="B899" t="str">
        <f>InputData!$G$1</f>
        <v>San Antonio, TX</v>
      </c>
      <c r="C899" t="s">
        <v>5</v>
      </c>
      <c r="D899" t="str">
        <f>Graph_GenSurg!$D$6</f>
        <v>HPSP30</v>
      </c>
      <c r="E899" t="str">
        <f t="shared" ref="E899:E962" si="14">C899 &amp; " " &amp; D899</f>
        <v>General Surgery HPSP30</v>
      </c>
      <c r="F899">
        <f>Graph_GenSurg!$A34</f>
        <v>2040</v>
      </c>
      <c r="G899">
        <f>Graph_GenSurg!$B34</f>
        <v>28</v>
      </c>
      <c r="H899" s="165">
        <f>Graph_GenSurg!$D34</f>
        <v>1912884.899740577</v>
      </c>
      <c r="I899" s="160">
        <f>InputData!$C$3</f>
        <v>0.02</v>
      </c>
      <c r="J899" s="160">
        <f>InputData!$C$4</f>
        <v>0.01</v>
      </c>
      <c r="K899" s="160">
        <f>InputData!$C$5</f>
        <v>0.01</v>
      </c>
      <c r="L899" s="160">
        <f>InputData!$C$6</f>
        <v>6.2100000000000002E-2</v>
      </c>
      <c r="M899" s="160">
        <f>InputData!$C$7</f>
        <v>0.03</v>
      </c>
      <c r="N899" s="160">
        <f>InputData!$C$8</f>
        <v>0.02</v>
      </c>
      <c r="O899" s="160">
        <f>InputData!$C$9</f>
        <v>0.06</v>
      </c>
      <c r="P899" s="160">
        <f>InputData!$C$10</f>
        <v>0.02</v>
      </c>
      <c r="Q899" s="160">
        <f>InputData!$C$11</f>
        <v>0.02</v>
      </c>
      <c r="R899" s="160">
        <f>InputData!$C$12</f>
        <v>0.02</v>
      </c>
      <c r="S899" s="160">
        <f>InputData!$C$13</f>
        <v>0.9</v>
      </c>
      <c r="T899" s="116">
        <f>InputData!$C$88</f>
        <v>180000</v>
      </c>
      <c r="U899" s="116">
        <f>InputData!$C$81</f>
        <v>178500</v>
      </c>
      <c r="V899" s="116">
        <f>InputData!$C$82</f>
        <v>303960</v>
      </c>
      <c r="W899" s="116">
        <f>InputData!$C$84</f>
        <v>215220</v>
      </c>
      <c r="X899" s="116">
        <f>InputData!$C$85</f>
        <v>409020</v>
      </c>
      <c r="Y899" s="116">
        <f>InputData!$C$116</f>
        <v>140000</v>
      </c>
      <c r="Z899" s="160">
        <f>InputData!$E$13</f>
        <v>0</v>
      </c>
    </row>
    <row r="900" spans="1:26" x14ac:dyDescent="0.25">
      <c r="A900">
        <f>InputData!$K$1</f>
        <v>2013</v>
      </c>
      <c r="B900" t="str">
        <f>InputData!$G$1</f>
        <v>San Antonio, TX</v>
      </c>
      <c r="C900" t="s">
        <v>5</v>
      </c>
      <c r="D900" t="str">
        <f>Graph_GenSurg!$D$6</f>
        <v>HPSP30</v>
      </c>
      <c r="E900" t="str">
        <f t="shared" si="14"/>
        <v>General Surgery HPSP30</v>
      </c>
      <c r="F900">
        <f>Graph_GenSurg!$A35</f>
        <v>2041</v>
      </c>
      <c r="G900">
        <f>Graph_GenSurg!$B35</f>
        <v>29</v>
      </c>
      <c r="H900" s="165">
        <f>Graph_GenSurg!$D35</f>
        <v>1980982.1339384695</v>
      </c>
      <c r="I900" s="160">
        <f>InputData!$C$3</f>
        <v>0.02</v>
      </c>
      <c r="J900" s="160">
        <f>InputData!$C$4</f>
        <v>0.01</v>
      </c>
      <c r="K900" s="160">
        <f>InputData!$C$5</f>
        <v>0.01</v>
      </c>
      <c r="L900" s="160">
        <f>InputData!$C$6</f>
        <v>6.2100000000000002E-2</v>
      </c>
      <c r="M900" s="160">
        <f>InputData!$C$7</f>
        <v>0.03</v>
      </c>
      <c r="N900" s="160">
        <f>InputData!$C$8</f>
        <v>0.02</v>
      </c>
      <c r="O900" s="160">
        <f>InputData!$C$9</f>
        <v>0.06</v>
      </c>
      <c r="P900" s="160">
        <f>InputData!$C$10</f>
        <v>0.02</v>
      </c>
      <c r="Q900" s="160">
        <f>InputData!$C$11</f>
        <v>0.02</v>
      </c>
      <c r="R900" s="160">
        <f>InputData!$C$12</f>
        <v>0.02</v>
      </c>
      <c r="S900" s="160">
        <f>InputData!$C$13</f>
        <v>0.9</v>
      </c>
      <c r="T900" s="116">
        <f>InputData!$C$88</f>
        <v>180000</v>
      </c>
      <c r="U900" s="116">
        <f>InputData!$C$81</f>
        <v>178500</v>
      </c>
      <c r="V900" s="116">
        <f>InputData!$C$82</f>
        <v>303960</v>
      </c>
      <c r="W900" s="116">
        <f>InputData!$C$84</f>
        <v>215220</v>
      </c>
      <c r="X900" s="116">
        <f>InputData!$C$85</f>
        <v>409020</v>
      </c>
      <c r="Y900" s="116">
        <f>InputData!$C$116</f>
        <v>140000</v>
      </c>
      <c r="Z900" s="160">
        <f>InputData!$E$13</f>
        <v>0</v>
      </c>
    </row>
    <row r="901" spans="1:26" x14ac:dyDescent="0.25">
      <c r="A901">
        <f>InputData!$K$1</f>
        <v>2013</v>
      </c>
      <c r="B901" t="str">
        <f>InputData!$G$1</f>
        <v>San Antonio, TX</v>
      </c>
      <c r="C901" t="s">
        <v>5</v>
      </c>
      <c r="D901" t="str">
        <f>Graph_GenSurg!$D$6</f>
        <v>HPSP30</v>
      </c>
      <c r="E901" t="str">
        <f t="shared" si="14"/>
        <v>General Surgery HPSP30</v>
      </c>
      <c r="F901">
        <f>Graph_GenSurg!$A36</f>
        <v>2042</v>
      </c>
      <c r="G901">
        <f>Graph_GenSurg!$B36</f>
        <v>30</v>
      </c>
      <c r="H901" s="165">
        <f>Graph_GenSurg!$D36</f>
        <v>2047110.2782878459</v>
      </c>
      <c r="I901" s="160">
        <f>InputData!$C$3</f>
        <v>0.02</v>
      </c>
      <c r="J901" s="160">
        <f>InputData!$C$4</f>
        <v>0.01</v>
      </c>
      <c r="K901" s="160">
        <f>InputData!$C$5</f>
        <v>0.01</v>
      </c>
      <c r="L901" s="160">
        <f>InputData!$C$6</f>
        <v>6.2100000000000002E-2</v>
      </c>
      <c r="M901" s="160">
        <f>InputData!$C$7</f>
        <v>0.03</v>
      </c>
      <c r="N901" s="160">
        <f>InputData!$C$8</f>
        <v>0.02</v>
      </c>
      <c r="O901" s="160">
        <f>InputData!$C$9</f>
        <v>0.06</v>
      </c>
      <c r="P901" s="160">
        <f>InputData!$C$10</f>
        <v>0.02</v>
      </c>
      <c r="Q901" s="160">
        <f>InputData!$C$11</f>
        <v>0.02</v>
      </c>
      <c r="R901" s="160">
        <f>InputData!$C$12</f>
        <v>0.02</v>
      </c>
      <c r="S901" s="160">
        <f>InputData!$C$13</f>
        <v>0.9</v>
      </c>
      <c r="T901" s="116">
        <f>InputData!$C$88</f>
        <v>180000</v>
      </c>
      <c r="U901" s="116">
        <f>InputData!$C$81</f>
        <v>178500</v>
      </c>
      <c r="V901" s="116">
        <f>InputData!$C$82</f>
        <v>303960</v>
      </c>
      <c r="W901" s="116">
        <f>InputData!$C$84</f>
        <v>215220</v>
      </c>
      <c r="X901" s="116">
        <f>InputData!$C$85</f>
        <v>409020</v>
      </c>
      <c r="Y901" s="116">
        <f>InputData!$C$116</f>
        <v>140000</v>
      </c>
      <c r="Z901" s="160">
        <f>InputData!$E$13</f>
        <v>0</v>
      </c>
    </row>
    <row r="902" spans="1:26" x14ac:dyDescent="0.25">
      <c r="A902">
        <f>InputData!$K$1</f>
        <v>2013</v>
      </c>
      <c r="B902" t="str">
        <f>InputData!$G$1</f>
        <v>San Antonio, TX</v>
      </c>
      <c r="C902" t="s">
        <v>5</v>
      </c>
      <c r="D902" t="str">
        <f>Graph_GenSurg!$E$6</f>
        <v>STD10</v>
      </c>
      <c r="E902" t="str">
        <f t="shared" si="14"/>
        <v>General Surgery STD10</v>
      </c>
      <c r="F902">
        <f>Graph_GenSurg!$A7</f>
        <v>2013</v>
      </c>
      <c r="G902">
        <f>Graph_GenSurg!$B7</f>
        <v>1</v>
      </c>
      <c r="H902" s="165">
        <f>Graph_GenSurg!$E7</f>
        <v>-43015.05</v>
      </c>
      <c r="I902" s="160">
        <f>InputData!$C$3</f>
        <v>0.02</v>
      </c>
      <c r="J902" s="160">
        <f>InputData!$C$4</f>
        <v>0.01</v>
      </c>
      <c r="K902" s="160">
        <f>InputData!$C$5</f>
        <v>0.01</v>
      </c>
      <c r="L902" s="160">
        <f>InputData!$C$6</f>
        <v>6.2100000000000002E-2</v>
      </c>
      <c r="M902" s="160">
        <f>InputData!$C$7</f>
        <v>0.03</v>
      </c>
      <c r="N902" s="160">
        <f>InputData!$C$8</f>
        <v>0.02</v>
      </c>
      <c r="O902" s="160">
        <f>InputData!$C$9</f>
        <v>0.06</v>
      </c>
      <c r="P902" s="160">
        <f>InputData!$C$10</f>
        <v>0.02</v>
      </c>
      <c r="Q902" s="160">
        <f>InputData!$C$11</f>
        <v>0.02</v>
      </c>
      <c r="R902" s="160">
        <f>InputData!$C$12</f>
        <v>0.02</v>
      </c>
      <c r="S902" s="160">
        <f>InputData!$C$13</f>
        <v>0.9</v>
      </c>
      <c r="T902" s="116">
        <f>InputData!$C$88</f>
        <v>180000</v>
      </c>
      <c r="U902" s="116">
        <f>InputData!$C$81</f>
        <v>178500</v>
      </c>
      <c r="V902" s="116">
        <f>InputData!$C$82</f>
        <v>303960</v>
      </c>
      <c r="W902" s="116">
        <f>InputData!$C$84</f>
        <v>215220</v>
      </c>
      <c r="X902" s="116">
        <f>InputData!$C$85</f>
        <v>409020</v>
      </c>
      <c r="Y902" s="116">
        <f>InputData!$C$116</f>
        <v>140000</v>
      </c>
      <c r="Z902" s="160">
        <f>InputData!$E$13</f>
        <v>0</v>
      </c>
    </row>
    <row r="903" spans="1:26" x14ac:dyDescent="0.25">
      <c r="A903">
        <f>InputData!$K$1</f>
        <v>2013</v>
      </c>
      <c r="B903" t="str">
        <f>InputData!$G$1</f>
        <v>San Antonio, TX</v>
      </c>
      <c r="C903" t="s">
        <v>5</v>
      </c>
      <c r="D903" t="str">
        <f>Graph_GenSurg!$E$6</f>
        <v>STD10</v>
      </c>
      <c r="E903" t="str">
        <f t="shared" si="14"/>
        <v>General Surgery STD10</v>
      </c>
      <c r="F903">
        <f>Graph_GenSurg!$A8</f>
        <v>2014</v>
      </c>
      <c r="G903">
        <f>Graph_GenSurg!$B8</f>
        <v>2</v>
      </c>
      <c r="H903" s="165">
        <f>Graph_GenSurg!$E8</f>
        <v>-86352.285865219877</v>
      </c>
      <c r="I903" s="160">
        <f>InputData!$C$3</f>
        <v>0.02</v>
      </c>
      <c r="J903" s="160">
        <f>InputData!$C$4</f>
        <v>0.01</v>
      </c>
      <c r="K903" s="160">
        <f>InputData!$C$5</f>
        <v>0.01</v>
      </c>
      <c r="L903" s="160">
        <f>InputData!$C$6</f>
        <v>6.2100000000000002E-2</v>
      </c>
      <c r="M903" s="160">
        <f>InputData!$C$7</f>
        <v>0.03</v>
      </c>
      <c r="N903" s="160">
        <f>InputData!$C$8</f>
        <v>0.02</v>
      </c>
      <c r="O903" s="160">
        <f>InputData!$C$9</f>
        <v>0.06</v>
      </c>
      <c r="P903" s="160">
        <f>InputData!$C$10</f>
        <v>0.02</v>
      </c>
      <c r="Q903" s="160">
        <f>InputData!$C$11</f>
        <v>0.02</v>
      </c>
      <c r="R903" s="160">
        <f>InputData!$C$12</f>
        <v>0.02</v>
      </c>
      <c r="S903" s="160">
        <f>InputData!$C$13</f>
        <v>0.9</v>
      </c>
      <c r="T903" s="116">
        <f>InputData!$C$88</f>
        <v>180000</v>
      </c>
      <c r="U903" s="116">
        <f>InputData!$C$81</f>
        <v>178500</v>
      </c>
      <c r="V903" s="116">
        <f>InputData!$C$82</f>
        <v>303960</v>
      </c>
      <c r="W903" s="116">
        <f>InputData!$C$84</f>
        <v>215220</v>
      </c>
      <c r="X903" s="116">
        <f>InputData!$C$85</f>
        <v>409020</v>
      </c>
      <c r="Y903" s="116">
        <f>InputData!$C$116</f>
        <v>140000</v>
      </c>
      <c r="Z903" s="160">
        <f>InputData!$E$13</f>
        <v>0</v>
      </c>
    </row>
    <row r="904" spans="1:26" x14ac:dyDescent="0.25">
      <c r="A904">
        <f>InputData!$K$1</f>
        <v>2013</v>
      </c>
      <c r="B904" t="str">
        <f>InputData!$G$1</f>
        <v>San Antonio, TX</v>
      </c>
      <c r="C904" t="s">
        <v>5</v>
      </c>
      <c r="D904" t="str">
        <f>Graph_GenSurg!$E$6</f>
        <v>STD10</v>
      </c>
      <c r="E904" t="str">
        <f t="shared" si="14"/>
        <v>General Surgery STD10</v>
      </c>
      <c r="F904">
        <f>Graph_GenSurg!$A9</f>
        <v>2015</v>
      </c>
      <c r="G904">
        <f>Graph_GenSurg!$B9</f>
        <v>3</v>
      </c>
      <c r="H904" s="165">
        <f>Graph_GenSurg!$E9</f>
        <v>-138541.19578403595</v>
      </c>
      <c r="I904" s="160">
        <f>InputData!$C$3</f>
        <v>0.02</v>
      </c>
      <c r="J904" s="160">
        <f>InputData!$C$4</f>
        <v>0.01</v>
      </c>
      <c r="K904" s="160">
        <f>InputData!$C$5</f>
        <v>0.01</v>
      </c>
      <c r="L904" s="160">
        <f>InputData!$C$6</f>
        <v>6.2100000000000002E-2</v>
      </c>
      <c r="M904" s="160">
        <f>InputData!$C$7</f>
        <v>0.03</v>
      </c>
      <c r="N904" s="160">
        <f>InputData!$C$8</f>
        <v>0.02</v>
      </c>
      <c r="O904" s="160">
        <f>InputData!$C$9</f>
        <v>0.06</v>
      </c>
      <c r="P904" s="160">
        <f>InputData!$C$10</f>
        <v>0.02</v>
      </c>
      <c r="Q904" s="160">
        <f>InputData!$C$11</f>
        <v>0.02</v>
      </c>
      <c r="R904" s="160">
        <f>InputData!$C$12</f>
        <v>0.02</v>
      </c>
      <c r="S904" s="160">
        <f>InputData!$C$13</f>
        <v>0.9</v>
      </c>
      <c r="T904" s="116">
        <f>InputData!$C$88</f>
        <v>180000</v>
      </c>
      <c r="U904" s="116">
        <f>InputData!$C$81</f>
        <v>178500</v>
      </c>
      <c r="V904" s="116">
        <f>InputData!$C$82</f>
        <v>303960</v>
      </c>
      <c r="W904" s="116">
        <f>InputData!$C$84</f>
        <v>215220</v>
      </c>
      <c r="X904" s="116">
        <f>InputData!$C$85</f>
        <v>409020</v>
      </c>
      <c r="Y904" s="116">
        <f>InputData!$C$116</f>
        <v>140000</v>
      </c>
      <c r="Z904" s="160">
        <f>InputData!$E$13</f>
        <v>0</v>
      </c>
    </row>
    <row r="905" spans="1:26" x14ac:dyDescent="0.25">
      <c r="A905">
        <f>InputData!$K$1</f>
        <v>2013</v>
      </c>
      <c r="B905" t="str">
        <f>InputData!$G$1</f>
        <v>San Antonio, TX</v>
      </c>
      <c r="C905" t="s">
        <v>5</v>
      </c>
      <c r="D905" t="str">
        <f>Graph_GenSurg!$E$6</f>
        <v>STD10</v>
      </c>
      <c r="E905" t="str">
        <f t="shared" si="14"/>
        <v>General Surgery STD10</v>
      </c>
      <c r="F905">
        <f>Graph_GenSurg!$A10</f>
        <v>2016</v>
      </c>
      <c r="G905">
        <f>Graph_GenSurg!$B10</f>
        <v>4</v>
      </c>
      <c r="H905" s="165">
        <f>Graph_GenSurg!$E10</f>
        <v>-190867.38028908212</v>
      </c>
      <c r="I905" s="160">
        <f>InputData!$C$3</f>
        <v>0.02</v>
      </c>
      <c r="J905" s="160">
        <f>InputData!$C$4</f>
        <v>0.01</v>
      </c>
      <c r="K905" s="160">
        <f>InputData!$C$5</f>
        <v>0.01</v>
      </c>
      <c r="L905" s="160">
        <f>InputData!$C$6</f>
        <v>6.2100000000000002E-2</v>
      </c>
      <c r="M905" s="160">
        <f>InputData!$C$7</f>
        <v>0.03</v>
      </c>
      <c r="N905" s="160">
        <f>InputData!$C$8</f>
        <v>0.02</v>
      </c>
      <c r="O905" s="160">
        <f>InputData!$C$9</f>
        <v>0.06</v>
      </c>
      <c r="P905" s="160">
        <f>InputData!$C$10</f>
        <v>0.02</v>
      </c>
      <c r="Q905" s="160">
        <f>InputData!$C$11</f>
        <v>0.02</v>
      </c>
      <c r="R905" s="160">
        <f>InputData!$C$12</f>
        <v>0.02</v>
      </c>
      <c r="S905" s="160">
        <f>InputData!$C$13</f>
        <v>0.9</v>
      </c>
      <c r="T905" s="116">
        <f>InputData!$C$88</f>
        <v>180000</v>
      </c>
      <c r="U905" s="116">
        <f>InputData!$C$81</f>
        <v>178500</v>
      </c>
      <c r="V905" s="116">
        <f>InputData!$C$82</f>
        <v>303960</v>
      </c>
      <c r="W905" s="116">
        <f>InputData!$C$84</f>
        <v>215220</v>
      </c>
      <c r="X905" s="116">
        <f>InputData!$C$85</f>
        <v>409020</v>
      </c>
      <c r="Y905" s="116">
        <f>InputData!$C$116</f>
        <v>140000</v>
      </c>
      <c r="Z905" s="160">
        <f>InputData!$E$13</f>
        <v>0</v>
      </c>
    </row>
    <row r="906" spans="1:26" x14ac:dyDescent="0.25">
      <c r="A906">
        <f>InputData!$K$1</f>
        <v>2013</v>
      </c>
      <c r="B906" t="str">
        <f>InputData!$G$1</f>
        <v>San Antonio, TX</v>
      </c>
      <c r="C906" t="s">
        <v>5</v>
      </c>
      <c r="D906" t="str">
        <f>Graph_GenSurg!$E$6</f>
        <v>STD10</v>
      </c>
      <c r="E906" t="str">
        <f t="shared" si="14"/>
        <v>General Surgery STD10</v>
      </c>
      <c r="F906">
        <f>Graph_GenSurg!$A11</f>
        <v>2017</v>
      </c>
      <c r="G906">
        <f>Graph_GenSurg!$B11</f>
        <v>5</v>
      </c>
      <c r="H906" s="165">
        <f>Graph_GenSurg!$E11</f>
        <v>-154981.05168717628</v>
      </c>
      <c r="I906" s="160">
        <f>InputData!$C$3</f>
        <v>0.02</v>
      </c>
      <c r="J906" s="160">
        <f>InputData!$C$4</f>
        <v>0.01</v>
      </c>
      <c r="K906" s="160">
        <f>InputData!$C$5</f>
        <v>0.01</v>
      </c>
      <c r="L906" s="160">
        <f>InputData!$C$6</f>
        <v>6.2100000000000002E-2</v>
      </c>
      <c r="M906" s="160">
        <f>InputData!$C$7</f>
        <v>0.03</v>
      </c>
      <c r="N906" s="160">
        <f>InputData!$C$8</f>
        <v>0.02</v>
      </c>
      <c r="O906" s="160">
        <f>InputData!$C$9</f>
        <v>0.06</v>
      </c>
      <c r="P906" s="160">
        <f>InputData!$C$10</f>
        <v>0.02</v>
      </c>
      <c r="Q906" s="160">
        <f>InputData!$C$11</f>
        <v>0.02</v>
      </c>
      <c r="R906" s="160">
        <f>InputData!$C$12</f>
        <v>0.02</v>
      </c>
      <c r="S906" s="160">
        <f>InputData!$C$13</f>
        <v>0.9</v>
      </c>
      <c r="T906" s="116">
        <f>InputData!$C$88</f>
        <v>180000</v>
      </c>
      <c r="U906" s="116">
        <f>InputData!$C$81</f>
        <v>178500</v>
      </c>
      <c r="V906" s="116">
        <f>InputData!$C$82</f>
        <v>303960</v>
      </c>
      <c r="W906" s="116">
        <f>InputData!$C$84</f>
        <v>215220</v>
      </c>
      <c r="X906" s="116">
        <f>InputData!$C$85</f>
        <v>409020</v>
      </c>
      <c r="Y906" s="116">
        <f>InputData!$C$116</f>
        <v>140000</v>
      </c>
      <c r="Z906" s="160">
        <f>InputData!$E$13</f>
        <v>0</v>
      </c>
    </row>
    <row r="907" spans="1:26" x14ac:dyDescent="0.25">
      <c r="A907">
        <f>InputData!$K$1</f>
        <v>2013</v>
      </c>
      <c r="B907" t="str">
        <f>InputData!$G$1</f>
        <v>San Antonio, TX</v>
      </c>
      <c r="C907" t="s">
        <v>5</v>
      </c>
      <c r="D907" t="str">
        <f>Graph_GenSurg!$E$6</f>
        <v>STD10</v>
      </c>
      <c r="E907" t="str">
        <f t="shared" si="14"/>
        <v>General Surgery STD10</v>
      </c>
      <c r="F907">
        <f>Graph_GenSurg!$A12</f>
        <v>2018</v>
      </c>
      <c r="G907">
        <f>Graph_GenSurg!$B12</f>
        <v>6</v>
      </c>
      <c r="H907" s="165">
        <f>Graph_GenSurg!$E12</f>
        <v>-118995.92937851879</v>
      </c>
      <c r="I907" s="160">
        <f>InputData!$C$3</f>
        <v>0.02</v>
      </c>
      <c r="J907" s="160">
        <f>InputData!$C$4</f>
        <v>0.01</v>
      </c>
      <c r="K907" s="160">
        <f>InputData!$C$5</f>
        <v>0.01</v>
      </c>
      <c r="L907" s="160">
        <f>InputData!$C$6</f>
        <v>6.2100000000000002E-2</v>
      </c>
      <c r="M907" s="160">
        <f>InputData!$C$7</f>
        <v>0.03</v>
      </c>
      <c r="N907" s="160">
        <f>InputData!$C$8</f>
        <v>0.02</v>
      </c>
      <c r="O907" s="160">
        <f>InputData!$C$9</f>
        <v>0.06</v>
      </c>
      <c r="P907" s="160">
        <f>InputData!$C$10</f>
        <v>0.02</v>
      </c>
      <c r="Q907" s="160">
        <f>InputData!$C$11</f>
        <v>0.02</v>
      </c>
      <c r="R907" s="160">
        <f>InputData!$C$12</f>
        <v>0.02</v>
      </c>
      <c r="S907" s="160">
        <f>InputData!$C$13</f>
        <v>0.9</v>
      </c>
      <c r="T907" s="116">
        <f>InputData!$C$88</f>
        <v>180000</v>
      </c>
      <c r="U907" s="116">
        <f>InputData!$C$81</f>
        <v>178500</v>
      </c>
      <c r="V907" s="116">
        <f>InputData!$C$82</f>
        <v>303960</v>
      </c>
      <c r="W907" s="116">
        <f>InputData!$C$84</f>
        <v>215220</v>
      </c>
      <c r="X907" s="116">
        <f>InputData!$C$85</f>
        <v>409020</v>
      </c>
      <c r="Y907" s="116">
        <f>InputData!$C$116</f>
        <v>140000</v>
      </c>
      <c r="Z907" s="160">
        <f>InputData!$E$13</f>
        <v>0</v>
      </c>
    </row>
    <row r="908" spans="1:26" x14ac:dyDescent="0.25">
      <c r="A908">
        <f>InputData!$K$1</f>
        <v>2013</v>
      </c>
      <c r="B908" t="str">
        <f>InputData!$G$1</f>
        <v>San Antonio, TX</v>
      </c>
      <c r="C908" t="s">
        <v>5</v>
      </c>
      <c r="D908" t="str">
        <f>Graph_GenSurg!$E$6</f>
        <v>STD10</v>
      </c>
      <c r="E908" t="str">
        <f t="shared" si="14"/>
        <v>General Surgery STD10</v>
      </c>
      <c r="F908">
        <f>Graph_GenSurg!$A13</f>
        <v>2019</v>
      </c>
      <c r="G908">
        <f>Graph_GenSurg!$B13</f>
        <v>7</v>
      </c>
      <c r="H908" s="165">
        <f>Graph_GenSurg!$E13</f>
        <v>-82904.654937055282</v>
      </c>
      <c r="I908" s="160">
        <f>InputData!$C$3</f>
        <v>0.02</v>
      </c>
      <c r="J908" s="160">
        <f>InputData!$C$4</f>
        <v>0.01</v>
      </c>
      <c r="K908" s="160">
        <f>InputData!$C$5</f>
        <v>0.01</v>
      </c>
      <c r="L908" s="160">
        <f>InputData!$C$6</f>
        <v>6.2100000000000002E-2</v>
      </c>
      <c r="M908" s="160">
        <f>InputData!$C$7</f>
        <v>0.03</v>
      </c>
      <c r="N908" s="160">
        <f>InputData!$C$8</f>
        <v>0.02</v>
      </c>
      <c r="O908" s="160">
        <f>InputData!$C$9</f>
        <v>0.06</v>
      </c>
      <c r="P908" s="160">
        <f>InputData!$C$10</f>
        <v>0.02</v>
      </c>
      <c r="Q908" s="160">
        <f>InputData!$C$11</f>
        <v>0.02</v>
      </c>
      <c r="R908" s="160">
        <f>InputData!$C$12</f>
        <v>0.02</v>
      </c>
      <c r="S908" s="160">
        <f>InputData!$C$13</f>
        <v>0.9</v>
      </c>
      <c r="T908" s="116">
        <f>InputData!$C$88</f>
        <v>180000</v>
      </c>
      <c r="U908" s="116">
        <f>InputData!$C$81</f>
        <v>178500</v>
      </c>
      <c r="V908" s="116">
        <f>InputData!$C$82</f>
        <v>303960</v>
      </c>
      <c r="W908" s="116">
        <f>InputData!$C$84</f>
        <v>215220</v>
      </c>
      <c r="X908" s="116">
        <f>InputData!$C$85</f>
        <v>409020</v>
      </c>
      <c r="Y908" s="116">
        <f>InputData!$C$116</f>
        <v>140000</v>
      </c>
      <c r="Z908" s="160">
        <f>InputData!$E$13</f>
        <v>0</v>
      </c>
    </row>
    <row r="909" spans="1:26" x14ac:dyDescent="0.25">
      <c r="A909">
        <f>InputData!$K$1</f>
        <v>2013</v>
      </c>
      <c r="B909" t="str">
        <f>InputData!$G$1</f>
        <v>San Antonio, TX</v>
      </c>
      <c r="C909" t="s">
        <v>5</v>
      </c>
      <c r="D909" t="str">
        <f>Graph_GenSurg!$E$6</f>
        <v>STD10</v>
      </c>
      <c r="E909" t="str">
        <f t="shared" si="14"/>
        <v>General Surgery STD10</v>
      </c>
      <c r="F909">
        <f>Graph_GenSurg!$A14</f>
        <v>2020</v>
      </c>
      <c r="G909">
        <f>Graph_GenSurg!$B14</f>
        <v>8</v>
      </c>
      <c r="H909" s="165">
        <f>Graph_GenSurg!$E14</f>
        <v>-46699.992676364229</v>
      </c>
      <c r="I909" s="160">
        <f>InputData!$C$3</f>
        <v>0.02</v>
      </c>
      <c r="J909" s="160">
        <f>InputData!$C$4</f>
        <v>0.01</v>
      </c>
      <c r="K909" s="160">
        <f>InputData!$C$5</f>
        <v>0.01</v>
      </c>
      <c r="L909" s="160">
        <f>InputData!$C$6</f>
        <v>6.2100000000000002E-2</v>
      </c>
      <c r="M909" s="160">
        <f>InputData!$C$7</f>
        <v>0.03</v>
      </c>
      <c r="N909" s="160">
        <f>InputData!$C$8</f>
        <v>0.02</v>
      </c>
      <c r="O909" s="160">
        <f>InputData!$C$9</f>
        <v>0.06</v>
      </c>
      <c r="P909" s="160">
        <f>InputData!$C$10</f>
        <v>0.02</v>
      </c>
      <c r="Q909" s="160">
        <f>InputData!$C$11</f>
        <v>0.02</v>
      </c>
      <c r="R909" s="160">
        <f>InputData!$C$12</f>
        <v>0.02</v>
      </c>
      <c r="S909" s="160">
        <f>InputData!$C$13</f>
        <v>0.9</v>
      </c>
      <c r="T909" s="116">
        <f>InputData!$C$88</f>
        <v>180000</v>
      </c>
      <c r="U909" s="116">
        <f>InputData!$C$81</f>
        <v>178500</v>
      </c>
      <c r="V909" s="116">
        <f>InputData!$C$82</f>
        <v>303960</v>
      </c>
      <c r="W909" s="116">
        <f>InputData!$C$84</f>
        <v>215220</v>
      </c>
      <c r="X909" s="116">
        <f>InputData!$C$85</f>
        <v>409020</v>
      </c>
      <c r="Y909" s="116">
        <f>InputData!$C$116</f>
        <v>140000</v>
      </c>
      <c r="Z909" s="160">
        <f>InputData!$E$13</f>
        <v>0</v>
      </c>
    </row>
    <row r="910" spans="1:26" x14ac:dyDescent="0.25">
      <c r="A910">
        <f>InputData!$K$1</f>
        <v>2013</v>
      </c>
      <c r="B910" t="str">
        <f>InputData!$G$1</f>
        <v>San Antonio, TX</v>
      </c>
      <c r="C910" t="s">
        <v>5</v>
      </c>
      <c r="D910" t="str">
        <f>Graph_GenSurg!$E$6</f>
        <v>STD10</v>
      </c>
      <c r="E910" t="str">
        <f t="shared" si="14"/>
        <v>General Surgery STD10</v>
      </c>
      <c r="F910">
        <f>Graph_GenSurg!$A15</f>
        <v>2021</v>
      </c>
      <c r="G910">
        <f>Graph_GenSurg!$B15</f>
        <v>9</v>
      </c>
      <c r="H910" s="165">
        <f>Graph_GenSurg!$E15</f>
        <v>-10374.82525529444</v>
      </c>
      <c r="I910" s="160">
        <f>InputData!$C$3</f>
        <v>0.02</v>
      </c>
      <c r="J910" s="160">
        <f>InputData!$C$4</f>
        <v>0.01</v>
      </c>
      <c r="K910" s="160">
        <f>InputData!$C$5</f>
        <v>0.01</v>
      </c>
      <c r="L910" s="160">
        <f>InputData!$C$6</f>
        <v>6.2100000000000002E-2</v>
      </c>
      <c r="M910" s="160">
        <f>InputData!$C$7</f>
        <v>0.03</v>
      </c>
      <c r="N910" s="160">
        <f>InputData!$C$8</f>
        <v>0.02</v>
      </c>
      <c r="O910" s="160">
        <f>InputData!$C$9</f>
        <v>0.06</v>
      </c>
      <c r="P910" s="160">
        <f>InputData!$C$10</f>
        <v>0.02</v>
      </c>
      <c r="Q910" s="160">
        <f>InputData!$C$11</f>
        <v>0.02</v>
      </c>
      <c r="R910" s="160">
        <f>InputData!$C$12</f>
        <v>0.02</v>
      </c>
      <c r="S910" s="160">
        <f>InputData!$C$13</f>
        <v>0.9</v>
      </c>
      <c r="T910" s="116">
        <f>InputData!$C$88</f>
        <v>180000</v>
      </c>
      <c r="U910" s="116">
        <f>InputData!$C$81</f>
        <v>178500</v>
      </c>
      <c r="V910" s="116">
        <f>InputData!$C$82</f>
        <v>303960</v>
      </c>
      <c r="W910" s="116">
        <f>InputData!$C$84</f>
        <v>215220</v>
      </c>
      <c r="X910" s="116">
        <f>InputData!$C$85</f>
        <v>409020</v>
      </c>
      <c r="Y910" s="116">
        <f>InputData!$C$116</f>
        <v>140000</v>
      </c>
      <c r="Z910" s="160">
        <f>InputData!$E$13</f>
        <v>0</v>
      </c>
    </row>
    <row r="911" spans="1:26" x14ac:dyDescent="0.25">
      <c r="A911">
        <f>InputData!$K$1</f>
        <v>2013</v>
      </c>
      <c r="B911" t="str">
        <f>InputData!$G$1</f>
        <v>San Antonio, TX</v>
      </c>
      <c r="C911" t="s">
        <v>5</v>
      </c>
      <c r="D911" t="str">
        <f>Graph_GenSurg!$E$6</f>
        <v>STD10</v>
      </c>
      <c r="E911" t="str">
        <f t="shared" si="14"/>
        <v>General Surgery STD10</v>
      </c>
      <c r="F911">
        <f>Graph_GenSurg!$A16</f>
        <v>2022</v>
      </c>
      <c r="G911">
        <f>Graph_GenSurg!$B16</f>
        <v>10</v>
      </c>
      <c r="H911" s="165">
        <f>Graph_GenSurg!$E16</f>
        <v>126716.25647772686</v>
      </c>
      <c r="I911" s="160">
        <f>InputData!$C$3</f>
        <v>0.02</v>
      </c>
      <c r="J911" s="160">
        <f>InputData!$C$4</f>
        <v>0.01</v>
      </c>
      <c r="K911" s="160">
        <f>InputData!$C$5</f>
        <v>0.01</v>
      </c>
      <c r="L911" s="160">
        <f>InputData!$C$6</f>
        <v>6.2100000000000002E-2</v>
      </c>
      <c r="M911" s="160">
        <f>InputData!$C$7</f>
        <v>0.03</v>
      </c>
      <c r="N911" s="160">
        <f>InputData!$C$8</f>
        <v>0.02</v>
      </c>
      <c r="O911" s="160">
        <f>InputData!$C$9</f>
        <v>0.06</v>
      </c>
      <c r="P911" s="160">
        <f>InputData!$C$10</f>
        <v>0.02</v>
      </c>
      <c r="Q911" s="160">
        <f>InputData!$C$11</f>
        <v>0.02</v>
      </c>
      <c r="R911" s="160">
        <f>InputData!$C$12</f>
        <v>0.02</v>
      </c>
      <c r="S911" s="160">
        <f>InputData!$C$13</f>
        <v>0.9</v>
      </c>
      <c r="T911" s="116">
        <f>InputData!$C$88</f>
        <v>180000</v>
      </c>
      <c r="U911" s="116">
        <f>InputData!$C$81</f>
        <v>178500</v>
      </c>
      <c r="V911" s="116">
        <f>InputData!$C$82</f>
        <v>303960</v>
      </c>
      <c r="W911" s="116">
        <f>InputData!$C$84</f>
        <v>215220</v>
      </c>
      <c r="X911" s="116">
        <f>InputData!$C$85</f>
        <v>409020</v>
      </c>
      <c r="Y911" s="116">
        <f>InputData!$C$116</f>
        <v>140000</v>
      </c>
      <c r="Z911" s="160">
        <f>InputData!$E$13</f>
        <v>0</v>
      </c>
    </row>
    <row r="912" spans="1:26" x14ac:dyDescent="0.25">
      <c r="A912">
        <f>InputData!$K$1</f>
        <v>2013</v>
      </c>
      <c r="B912" t="str">
        <f>InputData!$G$1</f>
        <v>San Antonio, TX</v>
      </c>
      <c r="C912" t="s">
        <v>5</v>
      </c>
      <c r="D912" t="str">
        <f>Graph_GenSurg!$E$6</f>
        <v>STD10</v>
      </c>
      <c r="E912" t="str">
        <f t="shared" si="14"/>
        <v>General Surgery STD10</v>
      </c>
      <c r="F912">
        <f>Graph_GenSurg!$A17</f>
        <v>2023</v>
      </c>
      <c r="G912">
        <f>Graph_GenSurg!$B17</f>
        <v>11</v>
      </c>
      <c r="H912" s="165">
        <f>Graph_GenSurg!$E17</f>
        <v>260269.6900164836</v>
      </c>
      <c r="I912" s="160">
        <f>InputData!$C$3</f>
        <v>0.02</v>
      </c>
      <c r="J912" s="160">
        <f>InputData!$C$4</f>
        <v>0.01</v>
      </c>
      <c r="K912" s="160">
        <f>InputData!$C$5</f>
        <v>0.01</v>
      </c>
      <c r="L912" s="160">
        <f>InputData!$C$6</f>
        <v>6.2100000000000002E-2</v>
      </c>
      <c r="M912" s="160">
        <f>InputData!$C$7</f>
        <v>0.03</v>
      </c>
      <c r="N912" s="160">
        <f>InputData!$C$8</f>
        <v>0.02</v>
      </c>
      <c r="O912" s="160">
        <f>InputData!$C$9</f>
        <v>0.06</v>
      </c>
      <c r="P912" s="160">
        <f>InputData!$C$10</f>
        <v>0.02</v>
      </c>
      <c r="Q912" s="160">
        <f>InputData!$C$11</f>
        <v>0.02</v>
      </c>
      <c r="R912" s="160">
        <f>InputData!$C$12</f>
        <v>0.02</v>
      </c>
      <c r="S912" s="160">
        <f>InputData!$C$13</f>
        <v>0.9</v>
      </c>
      <c r="T912" s="116">
        <f>InputData!$C$88</f>
        <v>180000</v>
      </c>
      <c r="U912" s="116">
        <f>InputData!$C$81</f>
        <v>178500</v>
      </c>
      <c r="V912" s="116">
        <f>InputData!$C$82</f>
        <v>303960</v>
      </c>
      <c r="W912" s="116">
        <f>InputData!$C$84</f>
        <v>215220</v>
      </c>
      <c r="X912" s="116">
        <f>InputData!$C$85</f>
        <v>409020</v>
      </c>
      <c r="Y912" s="116">
        <f>InputData!$C$116</f>
        <v>140000</v>
      </c>
      <c r="Z912" s="160">
        <f>InputData!$E$13</f>
        <v>0</v>
      </c>
    </row>
    <row r="913" spans="1:26" x14ac:dyDescent="0.25">
      <c r="A913">
        <f>InputData!$K$1</f>
        <v>2013</v>
      </c>
      <c r="B913" t="str">
        <f>InputData!$G$1</f>
        <v>San Antonio, TX</v>
      </c>
      <c r="C913" t="s">
        <v>5</v>
      </c>
      <c r="D913" t="str">
        <f>Graph_GenSurg!$E$6</f>
        <v>STD10</v>
      </c>
      <c r="E913" t="str">
        <f t="shared" si="14"/>
        <v>General Surgery STD10</v>
      </c>
      <c r="F913">
        <f>Graph_GenSurg!$A18</f>
        <v>2024</v>
      </c>
      <c r="G913">
        <f>Graph_GenSurg!$B18</f>
        <v>12</v>
      </c>
      <c r="H913" s="165">
        <f>Graph_GenSurg!$E18</f>
        <v>391777.7557580428</v>
      </c>
      <c r="I913" s="160">
        <f>InputData!$C$3</f>
        <v>0.02</v>
      </c>
      <c r="J913" s="160">
        <f>InputData!$C$4</f>
        <v>0.01</v>
      </c>
      <c r="K913" s="160">
        <f>InputData!$C$5</f>
        <v>0.01</v>
      </c>
      <c r="L913" s="160">
        <f>InputData!$C$6</f>
        <v>6.2100000000000002E-2</v>
      </c>
      <c r="M913" s="160">
        <f>InputData!$C$7</f>
        <v>0.03</v>
      </c>
      <c r="N913" s="160">
        <f>InputData!$C$8</f>
        <v>0.02</v>
      </c>
      <c r="O913" s="160">
        <f>InputData!$C$9</f>
        <v>0.06</v>
      </c>
      <c r="P913" s="160">
        <f>InputData!$C$10</f>
        <v>0.02</v>
      </c>
      <c r="Q913" s="160">
        <f>InputData!$C$11</f>
        <v>0.02</v>
      </c>
      <c r="R913" s="160">
        <f>InputData!$C$12</f>
        <v>0.02</v>
      </c>
      <c r="S913" s="160">
        <f>InputData!$C$13</f>
        <v>0.9</v>
      </c>
      <c r="T913" s="116">
        <f>InputData!$C$88</f>
        <v>180000</v>
      </c>
      <c r="U913" s="116">
        <f>InputData!$C$81</f>
        <v>178500</v>
      </c>
      <c r="V913" s="116">
        <f>InputData!$C$82</f>
        <v>303960</v>
      </c>
      <c r="W913" s="116">
        <f>InputData!$C$84</f>
        <v>215220</v>
      </c>
      <c r="X913" s="116">
        <f>InputData!$C$85</f>
        <v>409020</v>
      </c>
      <c r="Y913" s="116">
        <f>InputData!$C$116</f>
        <v>140000</v>
      </c>
      <c r="Z913" s="160">
        <f>InputData!$E$13</f>
        <v>0</v>
      </c>
    </row>
    <row r="914" spans="1:26" x14ac:dyDescent="0.25">
      <c r="A914">
        <f>InputData!$K$1</f>
        <v>2013</v>
      </c>
      <c r="B914" t="str">
        <f>InputData!$G$1</f>
        <v>San Antonio, TX</v>
      </c>
      <c r="C914" t="s">
        <v>5</v>
      </c>
      <c r="D914" t="str">
        <f>Graph_GenSurg!$E$6</f>
        <v>STD10</v>
      </c>
      <c r="E914" t="str">
        <f t="shared" si="14"/>
        <v>General Surgery STD10</v>
      </c>
      <c r="F914">
        <f>Graph_GenSurg!$A19</f>
        <v>2025</v>
      </c>
      <c r="G914">
        <f>Graph_GenSurg!$B19</f>
        <v>13</v>
      </c>
      <c r="H914" s="165">
        <f>Graph_GenSurg!$E19</f>
        <v>521251.48525104066</v>
      </c>
      <c r="I914" s="160">
        <f>InputData!$C$3</f>
        <v>0.02</v>
      </c>
      <c r="J914" s="160">
        <f>InputData!$C$4</f>
        <v>0.01</v>
      </c>
      <c r="K914" s="160">
        <f>InputData!$C$5</f>
        <v>0.01</v>
      </c>
      <c r="L914" s="160">
        <f>InputData!$C$6</f>
        <v>6.2100000000000002E-2</v>
      </c>
      <c r="M914" s="160">
        <f>InputData!$C$7</f>
        <v>0.03</v>
      </c>
      <c r="N914" s="160">
        <f>InputData!$C$8</f>
        <v>0.02</v>
      </c>
      <c r="O914" s="160">
        <f>InputData!$C$9</f>
        <v>0.06</v>
      </c>
      <c r="P914" s="160">
        <f>InputData!$C$10</f>
        <v>0.02</v>
      </c>
      <c r="Q914" s="160">
        <f>InputData!$C$11</f>
        <v>0.02</v>
      </c>
      <c r="R914" s="160">
        <f>InputData!$C$12</f>
        <v>0.02</v>
      </c>
      <c r="S914" s="160">
        <f>InputData!$C$13</f>
        <v>0.9</v>
      </c>
      <c r="T914" s="116">
        <f>InputData!$C$88</f>
        <v>180000</v>
      </c>
      <c r="U914" s="116">
        <f>InputData!$C$81</f>
        <v>178500</v>
      </c>
      <c r="V914" s="116">
        <f>InputData!$C$82</f>
        <v>303960</v>
      </c>
      <c r="W914" s="116">
        <f>InputData!$C$84</f>
        <v>215220</v>
      </c>
      <c r="X914" s="116">
        <f>InputData!$C$85</f>
        <v>409020</v>
      </c>
      <c r="Y914" s="116">
        <f>InputData!$C$116</f>
        <v>140000</v>
      </c>
      <c r="Z914" s="160">
        <f>InputData!$E$13</f>
        <v>0</v>
      </c>
    </row>
    <row r="915" spans="1:26" x14ac:dyDescent="0.25">
      <c r="A915">
        <f>InputData!$K$1</f>
        <v>2013</v>
      </c>
      <c r="B915" t="str">
        <f>InputData!$G$1</f>
        <v>San Antonio, TX</v>
      </c>
      <c r="C915" t="s">
        <v>5</v>
      </c>
      <c r="D915" t="str">
        <f>Graph_GenSurg!$E$6</f>
        <v>STD10</v>
      </c>
      <c r="E915" t="str">
        <f t="shared" si="14"/>
        <v>General Surgery STD10</v>
      </c>
      <c r="F915">
        <f>Graph_GenSurg!$A20</f>
        <v>2026</v>
      </c>
      <c r="G915">
        <f>Graph_GenSurg!$B20</f>
        <v>14</v>
      </c>
      <c r="H915" s="165">
        <f>Graph_GenSurg!$E20</f>
        <v>648703.13655583677</v>
      </c>
      <c r="I915" s="160">
        <f>InputData!$C$3</f>
        <v>0.02</v>
      </c>
      <c r="J915" s="160">
        <f>InputData!$C$4</f>
        <v>0.01</v>
      </c>
      <c r="K915" s="160">
        <f>InputData!$C$5</f>
        <v>0.01</v>
      </c>
      <c r="L915" s="160">
        <f>InputData!$C$6</f>
        <v>6.2100000000000002E-2</v>
      </c>
      <c r="M915" s="160">
        <f>InputData!$C$7</f>
        <v>0.03</v>
      </c>
      <c r="N915" s="160">
        <f>InputData!$C$8</f>
        <v>0.02</v>
      </c>
      <c r="O915" s="160">
        <f>InputData!$C$9</f>
        <v>0.06</v>
      </c>
      <c r="P915" s="160">
        <f>InputData!$C$10</f>
        <v>0.02</v>
      </c>
      <c r="Q915" s="160">
        <f>InputData!$C$11</f>
        <v>0.02</v>
      </c>
      <c r="R915" s="160">
        <f>InputData!$C$12</f>
        <v>0.02</v>
      </c>
      <c r="S915" s="160">
        <f>InputData!$C$13</f>
        <v>0.9</v>
      </c>
      <c r="T915" s="116">
        <f>InputData!$C$88</f>
        <v>180000</v>
      </c>
      <c r="U915" s="116">
        <f>InputData!$C$81</f>
        <v>178500</v>
      </c>
      <c r="V915" s="116">
        <f>InputData!$C$82</f>
        <v>303960</v>
      </c>
      <c r="W915" s="116">
        <f>InputData!$C$84</f>
        <v>215220</v>
      </c>
      <c r="X915" s="116">
        <f>InputData!$C$85</f>
        <v>409020</v>
      </c>
      <c r="Y915" s="116">
        <f>InputData!$C$116</f>
        <v>140000</v>
      </c>
      <c r="Z915" s="160">
        <f>InputData!$E$13</f>
        <v>0</v>
      </c>
    </row>
    <row r="916" spans="1:26" x14ac:dyDescent="0.25">
      <c r="A916">
        <f>InputData!$K$1</f>
        <v>2013</v>
      </c>
      <c r="B916" t="str">
        <f>InputData!$G$1</f>
        <v>San Antonio, TX</v>
      </c>
      <c r="C916" t="s">
        <v>5</v>
      </c>
      <c r="D916" t="str">
        <f>Graph_GenSurg!$E$6</f>
        <v>STD10</v>
      </c>
      <c r="E916" t="str">
        <f t="shared" si="14"/>
        <v>General Surgery STD10</v>
      </c>
      <c r="F916">
        <f>Graph_GenSurg!$A21</f>
        <v>2027</v>
      </c>
      <c r="G916">
        <f>Graph_GenSurg!$B21</f>
        <v>15</v>
      </c>
      <c r="H916" s="165">
        <f>Graph_GenSurg!$E21</f>
        <v>774146.09946589032</v>
      </c>
      <c r="I916" s="160">
        <f>InputData!$C$3</f>
        <v>0.02</v>
      </c>
      <c r="J916" s="160">
        <f>InputData!$C$4</f>
        <v>0.01</v>
      </c>
      <c r="K916" s="160">
        <f>InputData!$C$5</f>
        <v>0.01</v>
      </c>
      <c r="L916" s="160">
        <f>InputData!$C$6</f>
        <v>6.2100000000000002E-2</v>
      </c>
      <c r="M916" s="160">
        <f>InputData!$C$7</f>
        <v>0.03</v>
      </c>
      <c r="N916" s="160">
        <f>InputData!$C$8</f>
        <v>0.02</v>
      </c>
      <c r="O916" s="160">
        <f>InputData!$C$9</f>
        <v>0.06</v>
      </c>
      <c r="P916" s="160">
        <f>InputData!$C$10</f>
        <v>0.02</v>
      </c>
      <c r="Q916" s="160">
        <f>InputData!$C$11</f>
        <v>0.02</v>
      </c>
      <c r="R916" s="160">
        <f>InputData!$C$12</f>
        <v>0.02</v>
      </c>
      <c r="S916" s="160">
        <f>InputData!$C$13</f>
        <v>0.9</v>
      </c>
      <c r="T916" s="116">
        <f>InputData!$C$88</f>
        <v>180000</v>
      </c>
      <c r="U916" s="116">
        <f>InputData!$C$81</f>
        <v>178500</v>
      </c>
      <c r="V916" s="116">
        <f>InputData!$C$82</f>
        <v>303960</v>
      </c>
      <c r="W916" s="116">
        <f>InputData!$C$84</f>
        <v>215220</v>
      </c>
      <c r="X916" s="116">
        <f>InputData!$C$85</f>
        <v>409020</v>
      </c>
      <c r="Y916" s="116">
        <f>InputData!$C$116</f>
        <v>140000</v>
      </c>
      <c r="Z916" s="160">
        <f>InputData!$E$13</f>
        <v>0</v>
      </c>
    </row>
    <row r="917" spans="1:26" x14ac:dyDescent="0.25">
      <c r="A917">
        <f>InputData!$K$1</f>
        <v>2013</v>
      </c>
      <c r="B917" t="str">
        <f>InputData!$G$1</f>
        <v>San Antonio, TX</v>
      </c>
      <c r="C917" t="s">
        <v>5</v>
      </c>
      <c r="D917" t="str">
        <f>Graph_GenSurg!$E$6</f>
        <v>STD10</v>
      </c>
      <c r="E917" t="str">
        <f t="shared" si="14"/>
        <v>General Surgery STD10</v>
      </c>
      <c r="F917">
        <f>Graph_GenSurg!$A22</f>
        <v>2028</v>
      </c>
      <c r="G917">
        <f>Graph_GenSurg!$B22</f>
        <v>16</v>
      </c>
      <c r="H917" s="165">
        <f>Graph_GenSurg!$E22</f>
        <v>897594.80603016564</v>
      </c>
      <c r="I917" s="160">
        <f>InputData!$C$3</f>
        <v>0.02</v>
      </c>
      <c r="J917" s="160">
        <f>InputData!$C$4</f>
        <v>0.01</v>
      </c>
      <c r="K917" s="160">
        <f>InputData!$C$5</f>
        <v>0.01</v>
      </c>
      <c r="L917" s="160">
        <f>InputData!$C$6</f>
        <v>6.2100000000000002E-2</v>
      </c>
      <c r="M917" s="160">
        <f>InputData!$C$7</f>
        <v>0.03</v>
      </c>
      <c r="N917" s="160">
        <f>InputData!$C$8</f>
        <v>0.02</v>
      </c>
      <c r="O917" s="160">
        <f>InputData!$C$9</f>
        <v>0.06</v>
      </c>
      <c r="P917" s="160">
        <f>InputData!$C$10</f>
        <v>0.02</v>
      </c>
      <c r="Q917" s="160">
        <f>InputData!$C$11</f>
        <v>0.02</v>
      </c>
      <c r="R917" s="160">
        <f>InputData!$C$12</f>
        <v>0.02</v>
      </c>
      <c r="S917" s="160">
        <f>InputData!$C$13</f>
        <v>0.9</v>
      </c>
      <c r="T917" s="116">
        <f>InputData!$C$88</f>
        <v>180000</v>
      </c>
      <c r="U917" s="116">
        <f>InputData!$C$81</f>
        <v>178500</v>
      </c>
      <c r="V917" s="116">
        <f>InputData!$C$82</f>
        <v>303960</v>
      </c>
      <c r="W917" s="116">
        <f>InputData!$C$84</f>
        <v>215220</v>
      </c>
      <c r="X917" s="116">
        <f>InputData!$C$85</f>
        <v>409020</v>
      </c>
      <c r="Y917" s="116">
        <f>InputData!$C$116</f>
        <v>140000</v>
      </c>
      <c r="Z917" s="160">
        <f>InputData!$E$13</f>
        <v>0</v>
      </c>
    </row>
    <row r="918" spans="1:26" x14ac:dyDescent="0.25">
      <c r="A918">
        <f>InputData!$K$1</f>
        <v>2013</v>
      </c>
      <c r="B918" t="str">
        <f>InputData!$G$1</f>
        <v>San Antonio, TX</v>
      </c>
      <c r="C918" t="s">
        <v>5</v>
      </c>
      <c r="D918" t="str">
        <f>Graph_GenSurg!$E$6</f>
        <v>STD10</v>
      </c>
      <c r="E918" t="str">
        <f t="shared" si="14"/>
        <v>General Surgery STD10</v>
      </c>
      <c r="F918">
        <f>Graph_GenSurg!$A23</f>
        <v>2029</v>
      </c>
      <c r="G918">
        <f>Graph_GenSurg!$B23</f>
        <v>17</v>
      </c>
      <c r="H918" s="165">
        <f>Graph_GenSurg!$E23</f>
        <v>1019064.6461057672</v>
      </c>
      <c r="I918" s="160">
        <f>InputData!$C$3</f>
        <v>0.02</v>
      </c>
      <c r="J918" s="160">
        <f>InputData!$C$4</f>
        <v>0.01</v>
      </c>
      <c r="K918" s="160">
        <f>InputData!$C$5</f>
        <v>0.01</v>
      </c>
      <c r="L918" s="160">
        <f>InputData!$C$6</f>
        <v>6.2100000000000002E-2</v>
      </c>
      <c r="M918" s="160">
        <f>InputData!$C$7</f>
        <v>0.03</v>
      </c>
      <c r="N918" s="160">
        <f>InputData!$C$8</f>
        <v>0.02</v>
      </c>
      <c r="O918" s="160">
        <f>InputData!$C$9</f>
        <v>0.06</v>
      </c>
      <c r="P918" s="160">
        <f>InputData!$C$10</f>
        <v>0.02</v>
      </c>
      <c r="Q918" s="160">
        <f>InputData!$C$11</f>
        <v>0.02</v>
      </c>
      <c r="R918" s="160">
        <f>InputData!$C$12</f>
        <v>0.02</v>
      </c>
      <c r="S918" s="160">
        <f>InputData!$C$13</f>
        <v>0.9</v>
      </c>
      <c r="T918" s="116">
        <f>InputData!$C$88</f>
        <v>180000</v>
      </c>
      <c r="U918" s="116">
        <f>InputData!$C$81</f>
        <v>178500</v>
      </c>
      <c r="V918" s="116">
        <f>InputData!$C$82</f>
        <v>303960</v>
      </c>
      <c r="W918" s="116">
        <f>InputData!$C$84</f>
        <v>215220</v>
      </c>
      <c r="X918" s="116">
        <f>InputData!$C$85</f>
        <v>409020</v>
      </c>
      <c r="Y918" s="116">
        <f>InputData!$C$116</f>
        <v>140000</v>
      </c>
      <c r="Z918" s="160">
        <f>InputData!$E$13</f>
        <v>0</v>
      </c>
    </row>
    <row r="919" spans="1:26" x14ac:dyDescent="0.25">
      <c r="A919">
        <f>InputData!$K$1</f>
        <v>2013</v>
      </c>
      <c r="B919" t="str">
        <f>InputData!$G$1</f>
        <v>San Antonio, TX</v>
      </c>
      <c r="C919" t="s">
        <v>5</v>
      </c>
      <c r="D919" t="str">
        <f>Graph_GenSurg!$E$6</f>
        <v>STD10</v>
      </c>
      <c r="E919" t="str">
        <f t="shared" si="14"/>
        <v>General Surgery STD10</v>
      </c>
      <c r="F919">
        <f>Graph_GenSurg!$A24</f>
        <v>2030</v>
      </c>
      <c r="G919">
        <f>Graph_GenSurg!$B24</f>
        <v>18</v>
      </c>
      <c r="H919" s="165">
        <f>Graph_GenSurg!$E24</f>
        <v>1138571.8876833811</v>
      </c>
      <c r="I919" s="160">
        <f>InputData!$C$3</f>
        <v>0.02</v>
      </c>
      <c r="J919" s="160">
        <f>InputData!$C$4</f>
        <v>0.01</v>
      </c>
      <c r="K919" s="160">
        <f>InputData!$C$5</f>
        <v>0.01</v>
      </c>
      <c r="L919" s="160">
        <f>InputData!$C$6</f>
        <v>6.2100000000000002E-2</v>
      </c>
      <c r="M919" s="160">
        <f>InputData!$C$7</f>
        <v>0.03</v>
      </c>
      <c r="N919" s="160">
        <f>InputData!$C$8</f>
        <v>0.02</v>
      </c>
      <c r="O919" s="160">
        <f>InputData!$C$9</f>
        <v>0.06</v>
      </c>
      <c r="P919" s="160">
        <f>InputData!$C$10</f>
        <v>0.02</v>
      </c>
      <c r="Q919" s="160">
        <f>InputData!$C$11</f>
        <v>0.02</v>
      </c>
      <c r="R919" s="160">
        <f>InputData!$C$12</f>
        <v>0.02</v>
      </c>
      <c r="S919" s="160">
        <f>InputData!$C$13</f>
        <v>0.9</v>
      </c>
      <c r="T919" s="116">
        <f>InputData!$C$88</f>
        <v>180000</v>
      </c>
      <c r="U919" s="116">
        <f>InputData!$C$81</f>
        <v>178500</v>
      </c>
      <c r="V919" s="116">
        <f>InputData!$C$82</f>
        <v>303960</v>
      </c>
      <c r="W919" s="116">
        <f>InputData!$C$84</f>
        <v>215220</v>
      </c>
      <c r="X919" s="116">
        <f>InputData!$C$85</f>
        <v>409020</v>
      </c>
      <c r="Y919" s="116">
        <f>InputData!$C$116</f>
        <v>140000</v>
      </c>
      <c r="Z919" s="160">
        <f>InputData!$E$13</f>
        <v>0</v>
      </c>
    </row>
    <row r="920" spans="1:26" x14ac:dyDescent="0.25">
      <c r="A920">
        <f>InputData!$K$1</f>
        <v>2013</v>
      </c>
      <c r="B920" t="str">
        <f>InputData!$G$1</f>
        <v>San Antonio, TX</v>
      </c>
      <c r="C920" t="s">
        <v>5</v>
      </c>
      <c r="D920" t="str">
        <f>Graph_GenSurg!$E$6</f>
        <v>STD10</v>
      </c>
      <c r="E920" t="str">
        <f t="shared" si="14"/>
        <v>General Surgery STD10</v>
      </c>
      <c r="F920">
        <f>Graph_GenSurg!$A25</f>
        <v>2031</v>
      </c>
      <c r="G920">
        <f>Graph_GenSurg!$B25</f>
        <v>19</v>
      </c>
      <c r="H920" s="165">
        <f>Graph_GenSurg!$E25</f>
        <v>1256133.6017408238</v>
      </c>
      <c r="I920" s="160">
        <f>InputData!$C$3</f>
        <v>0.02</v>
      </c>
      <c r="J920" s="160">
        <f>InputData!$C$4</f>
        <v>0.01</v>
      </c>
      <c r="K920" s="160">
        <f>InputData!$C$5</f>
        <v>0.01</v>
      </c>
      <c r="L920" s="160">
        <f>InputData!$C$6</f>
        <v>6.2100000000000002E-2</v>
      </c>
      <c r="M920" s="160">
        <f>InputData!$C$7</f>
        <v>0.03</v>
      </c>
      <c r="N920" s="160">
        <f>InputData!$C$8</f>
        <v>0.02</v>
      </c>
      <c r="O920" s="160">
        <f>InputData!$C$9</f>
        <v>0.06</v>
      </c>
      <c r="P920" s="160">
        <f>InputData!$C$10</f>
        <v>0.02</v>
      </c>
      <c r="Q920" s="160">
        <f>InputData!$C$11</f>
        <v>0.02</v>
      </c>
      <c r="R920" s="160">
        <f>InputData!$C$12</f>
        <v>0.02</v>
      </c>
      <c r="S920" s="160">
        <f>InputData!$C$13</f>
        <v>0.9</v>
      </c>
      <c r="T920" s="116">
        <f>InputData!$C$88</f>
        <v>180000</v>
      </c>
      <c r="U920" s="116">
        <f>InputData!$C$81</f>
        <v>178500</v>
      </c>
      <c r="V920" s="116">
        <f>InputData!$C$82</f>
        <v>303960</v>
      </c>
      <c r="W920" s="116">
        <f>InputData!$C$84</f>
        <v>215220</v>
      </c>
      <c r="X920" s="116">
        <f>InputData!$C$85</f>
        <v>409020</v>
      </c>
      <c r="Y920" s="116">
        <f>InputData!$C$116</f>
        <v>140000</v>
      </c>
      <c r="Z920" s="160">
        <f>InputData!$E$13</f>
        <v>0</v>
      </c>
    </row>
    <row r="921" spans="1:26" x14ac:dyDescent="0.25">
      <c r="A921">
        <f>InputData!$K$1</f>
        <v>2013</v>
      </c>
      <c r="B921" t="str">
        <f>InputData!$G$1</f>
        <v>San Antonio, TX</v>
      </c>
      <c r="C921" t="s">
        <v>5</v>
      </c>
      <c r="D921" t="str">
        <f>Graph_GenSurg!$E$6</f>
        <v>STD10</v>
      </c>
      <c r="E921" t="str">
        <f t="shared" si="14"/>
        <v>General Surgery STD10</v>
      </c>
      <c r="F921">
        <f>Graph_GenSurg!$A26</f>
        <v>2032</v>
      </c>
      <c r="G921">
        <f>Graph_GenSurg!$B26</f>
        <v>20</v>
      </c>
      <c r="H921" s="165">
        <f>Graph_GenSurg!$E26</f>
        <v>1386366.7291935086</v>
      </c>
      <c r="I921" s="160">
        <f>InputData!$C$3</f>
        <v>0.02</v>
      </c>
      <c r="J921" s="160">
        <f>InputData!$C$4</f>
        <v>0.01</v>
      </c>
      <c r="K921" s="160">
        <f>InputData!$C$5</f>
        <v>0.01</v>
      </c>
      <c r="L921" s="160">
        <f>InputData!$C$6</f>
        <v>6.2100000000000002E-2</v>
      </c>
      <c r="M921" s="160">
        <f>InputData!$C$7</f>
        <v>0.03</v>
      </c>
      <c r="N921" s="160">
        <f>InputData!$C$8</f>
        <v>0.02</v>
      </c>
      <c r="O921" s="160">
        <f>InputData!$C$9</f>
        <v>0.06</v>
      </c>
      <c r="P921" s="160">
        <f>InputData!$C$10</f>
        <v>0.02</v>
      </c>
      <c r="Q921" s="160">
        <f>InputData!$C$11</f>
        <v>0.02</v>
      </c>
      <c r="R921" s="160">
        <f>InputData!$C$12</f>
        <v>0.02</v>
      </c>
      <c r="S921" s="160">
        <f>InputData!$C$13</f>
        <v>0.9</v>
      </c>
      <c r="T921" s="116">
        <f>InputData!$C$88</f>
        <v>180000</v>
      </c>
      <c r="U921" s="116">
        <f>InputData!$C$81</f>
        <v>178500</v>
      </c>
      <c r="V921" s="116">
        <f>InputData!$C$82</f>
        <v>303960</v>
      </c>
      <c r="W921" s="116">
        <f>InputData!$C$84</f>
        <v>215220</v>
      </c>
      <c r="X921" s="116">
        <f>InputData!$C$85</f>
        <v>409020</v>
      </c>
      <c r="Y921" s="116">
        <f>InputData!$C$116</f>
        <v>140000</v>
      </c>
      <c r="Z921" s="160">
        <f>InputData!$E$13</f>
        <v>0</v>
      </c>
    </row>
    <row r="922" spans="1:26" x14ac:dyDescent="0.25">
      <c r="A922">
        <f>InputData!$K$1</f>
        <v>2013</v>
      </c>
      <c r="B922" t="str">
        <f>InputData!$G$1</f>
        <v>San Antonio, TX</v>
      </c>
      <c r="C922" t="s">
        <v>5</v>
      </c>
      <c r="D922" t="str">
        <f>Graph_GenSurg!$E$6</f>
        <v>STD10</v>
      </c>
      <c r="E922" t="str">
        <f t="shared" si="14"/>
        <v>General Surgery STD10</v>
      </c>
      <c r="F922">
        <f>Graph_GenSurg!$A27</f>
        <v>2033</v>
      </c>
      <c r="G922">
        <f>Graph_GenSurg!$B27</f>
        <v>21</v>
      </c>
      <c r="H922" s="165">
        <f>Graph_GenSurg!$E27</f>
        <v>1513987.4631040455</v>
      </c>
      <c r="I922" s="160">
        <f>InputData!$C$3</f>
        <v>0.02</v>
      </c>
      <c r="J922" s="160">
        <f>InputData!$C$4</f>
        <v>0.01</v>
      </c>
      <c r="K922" s="160">
        <f>InputData!$C$5</f>
        <v>0.01</v>
      </c>
      <c r="L922" s="160">
        <f>InputData!$C$6</f>
        <v>6.2100000000000002E-2</v>
      </c>
      <c r="M922" s="160">
        <f>InputData!$C$7</f>
        <v>0.03</v>
      </c>
      <c r="N922" s="160">
        <f>InputData!$C$8</f>
        <v>0.02</v>
      </c>
      <c r="O922" s="160">
        <f>InputData!$C$9</f>
        <v>0.06</v>
      </c>
      <c r="P922" s="160">
        <f>InputData!$C$10</f>
        <v>0.02</v>
      </c>
      <c r="Q922" s="160">
        <f>InputData!$C$11</f>
        <v>0.02</v>
      </c>
      <c r="R922" s="160">
        <f>InputData!$C$12</f>
        <v>0.02</v>
      </c>
      <c r="S922" s="160">
        <f>InputData!$C$13</f>
        <v>0.9</v>
      </c>
      <c r="T922" s="116">
        <f>InputData!$C$88</f>
        <v>180000</v>
      </c>
      <c r="U922" s="116">
        <f>InputData!$C$81</f>
        <v>178500</v>
      </c>
      <c r="V922" s="116">
        <f>InputData!$C$82</f>
        <v>303960</v>
      </c>
      <c r="W922" s="116">
        <f>InputData!$C$84</f>
        <v>215220</v>
      </c>
      <c r="X922" s="116">
        <f>InputData!$C$85</f>
        <v>409020</v>
      </c>
      <c r="Y922" s="116">
        <f>InputData!$C$116</f>
        <v>140000</v>
      </c>
      <c r="Z922" s="160">
        <f>InputData!$E$13</f>
        <v>0</v>
      </c>
    </row>
    <row r="923" spans="1:26" x14ac:dyDescent="0.25">
      <c r="A923">
        <f>InputData!$K$1</f>
        <v>2013</v>
      </c>
      <c r="B923" t="str">
        <f>InputData!$G$1</f>
        <v>San Antonio, TX</v>
      </c>
      <c r="C923" t="s">
        <v>5</v>
      </c>
      <c r="D923" t="str">
        <f>Graph_GenSurg!$E$6</f>
        <v>STD10</v>
      </c>
      <c r="E923" t="str">
        <f t="shared" si="14"/>
        <v>General Surgery STD10</v>
      </c>
      <c r="F923">
        <f>Graph_GenSurg!$A28</f>
        <v>2034</v>
      </c>
      <c r="G923">
        <f>Graph_GenSurg!$B28</f>
        <v>22</v>
      </c>
      <c r="H923" s="165">
        <f>Graph_GenSurg!$E28</f>
        <v>1639048.7395783607</v>
      </c>
      <c r="I923" s="160">
        <f>InputData!$C$3</f>
        <v>0.02</v>
      </c>
      <c r="J923" s="160">
        <f>InputData!$C$4</f>
        <v>0.01</v>
      </c>
      <c r="K923" s="160">
        <f>InputData!$C$5</f>
        <v>0.01</v>
      </c>
      <c r="L923" s="160">
        <f>InputData!$C$6</f>
        <v>6.2100000000000002E-2</v>
      </c>
      <c r="M923" s="160">
        <f>InputData!$C$7</f>
        <v>0.03</v>
      </c>
      <c r="N923" s="160">
        <f>InputData!$C$8</f>
        <v>0.02</v>
      </c>
      <c r="O923" s="160">
        <f>InputData!$C$9</f>
        <v>0.06</v>
      </c>
      <c r="P923" s="160">
        <f>InputData!$C$10</f>
        <v>0.02</v>
      </c>
      <c r="Q923" s="160">
        <f>InputData!$C$11</f>
        <v>0.02</v>
      </c>
      <c r="R923" s="160">
        <f>InputData!$C$12</f>
        <v>0.02</v>
      </c>
      <c r="S923" s="160">
        <f>InputData!$C$13</f>
        <v>0.9</v>
      </c>
      <c r="T923" s="116">
        <f>InputData!$C$88</f>
        <v>180000</v>
      </c>
      <c r="U923" s="116">
        <f>InputData!$C$81</f>
        <v>178500</v>
      </c>
      <c r="V923" s="116">
        <f>InputData!$C$82</f>
        <v>303960</v>
      </c>
      <c r="W923" s="116">
        <f>InputData!$C$84</f>
        <v>215220</v>
      </c>
      <c r="X923" s="116">
        <f>InputData!$C$85</f>
        <v>409020</v>
      </c>
      <c r="Y923" s="116">
        <f>InputData!$C$116</f>
        <v>140000</v>
      </c>
      <c r="Z923" s="160">
        <f>InputData!$E$13</f>
        <v>0</v>
      </c>
    </row>
    <row r="924" spans="1:26" x14ac:dyDescent="0.25">
      <c r="A924">
        <f>InputData!$K$1</f>
        <v>2013</v>
      </c>
      <c r="B924" t="str">
        <f>InputData!$G$1</f>
        <v>San Antonio, TX</v>
      </c>
      <c r="C924" t="s">
        <v>5</v>
      </c>
      <c r="D924" t="str">
        <f>Graph_GenSurg!$E$6</f>
        <v>STD10</v>
      </c>
      <c r="E924" t="str">
        <f t="shared" si="14"/>
        <v>General Surgery STD10</v>
      </c>
      <c r="F924">
        <f>Graph_GenSurg!$A29</f>
        <v>2035</v>
      </c>
      <c r="G924">
        <f>Graph_GenSurg!$B29</f>
        <v>23</v>
      </c>
      <c r="H924" s="165">
        <f>Graph_GenSurg!$E29</f>
        <v>1761602.4068749619</v>
      </c>
      <c r="I924" s="160">
        <f>InputData!$C$3</f>
        <v>0.02</v>
      </c>
      <c r="J924" s="160">
        <f>InputData!$C$4</f>
        <v>0.01</v>
      </c>
      <c r="K924" s="160">
        <f>InputData!$C$5</f>
        <v>0.01</v>
      </c>
      <c r="L924" s="160">
        <f>InputData!$C$6</f>
        <v>6.2100000000000002E-2</v>
      </c>
      <c r="M924" s="160">
        <f>InputData!$C$7</f>
        <v>0.03</v>
      </c>
      <c r="N924" s="160">
        <f>InputData!$C$8</f>
        <v>0.02</v>
      </c>
      <c r="O924" s="160">
        <f>InputData!$C$9</f>
        <v>0.06</v>
      </c>
      <c r="P924" s="160">
        <f>InputData!$C$10</f>
        <v>0.02</v>
      </c>
      <c r="Q924" s="160">
        <f>InputData!$C$11</f>
        <v>0.02</v>
      </c>
      <c r="R924" s="160">
        <f>InputData!$C$12</f>
        <v>0.02</v>
      </c>
      <c r="S924" s="160">
        <f>InputData!$C$13</f>
        <v>0.9</v>
      </c>
      <c r="T924" s="116">
        <f>InputData!$C$88</f>
        <v>180000</v>
      </c>
      <c r="U924" s="116">
        <f>InputData!$C$81</f>
        <v>178500</v>
      </c>
      <c r="V924" s="116">
        <f>InputData!$C$82</f>
        <v>303960</v>
      </c>
      <c r="W924" s="116">
        <f>InputData!$C$84</f>
        <v>215220</v>
      </c>
      <c r="X924" s="116">
        <f>InputData!$C$85</f>
        <v>409020</v>
      </c>
      <c r="Y924" s="116">
        <f>InputData!$C$116</f>
        <v>140000</v>
      </c>
      <c r="Z924" s="160">
        <f>InputData!$E$13</f>
        <v>0</v>
      </c>
    </row>
    <row r="925" spans="1:26" x14ac:dyDescent="0.25">
      <c r="A925">
        <f>InputData!$K$1</f>
        <v>2013</v>
      </c>
      <c r="B925" t="str">
        <f>InputData!$G$1</f>
        <v>San Antonio, TX</v>
      </c>
      <c r="C925" t="s">
        <v>5</v>
      </c>
      <c r="D925" t="str">
        <f>Graph_GenSurg!$E$6</f>
        <v>STD10</v>
      </c>
      <c r="E925" t="str">
        <f t="shared" si="14"/>
        <v>General Surgery STD10</v>
      </c>
      <c r="F925">
        <f>Graph_GenSurg!$A30</f>
        <v>2036</v>
      </c>
      <c r="G925">
        <f>Graph_GenSurg!$B30</f>
        <v>24</v>
      </c>
      <c r="H925" s="165">
        <f>Graph_GenSurg!$E30</f>
        <v>1881699.2481882281</v>
      </c>
      <c r="I925" s="160">
        <f>InputData!$C$3</f>
        <v>0.02</v>
      </c>
      <c r="J925" s="160">
        <f>InputData!$C$4</f>
        <v>0.01</v>
      </c>
      <c r="K925" s="160">
        <f>InputData!$C$5</f>
        <v>0.01</v>
      </c>
      <c r="L925" s="160">
        <f>InputData!$C$6</f>
        <v>6.2100000000000002E-2</v>
      </c>
      <c r="M925" s="160">
        <f>InputData!$C$7</f>
        <v>0.03</v>
      </c>
      <c r="N925" s="160">
        <f>InputData!$C$8</f>
        <v>0.02</v>
      </c>
      <c r="O925" s="160">
        <f>InputData!$C$9</f>
        <v>0.06</v>
      </c>
      <c r="P925" s="160">
        <f>InputData!$C$10</f>
        <v>0.02</v>
      </c>
      <c r="Q925" s="160">
        <f>InputData!$C$11</f>
        <v>0.02</v>
      </c>
      <c r="R925" s="160">
        <f>InputData!$C$12</f>
        <v>0.02</v>
      </c>
      <c r="S925" s="160">
        <f>InputData!$C$13</f>
        <v>0.9</v>
      </c>
      <c r="T925" s="116">
        <f>InputData!$C$88</f>
        <v>180000</v>
      </c>
      <c r="U925" s="116">
        <f>InputData!$C$81</f>
        <v>178500</v>
      </c>
      <c r="V925" s="116">
        <f>InputData!$C$82</f>
        <v>303960</v>
      </c>
      <c r="W925" s="116">
        <f>InputData!$C$84</f>
        <v>215220</v>
      </c>
      <c r="X925" s="116">
        <f>InputData!$C$85</f>
        <v>409020</v>
      </c>
      <c r="Y925" s="116">
        <f>InputData!$C$116</f>
        <v>140000</v>
      </c>
      <c r="Z925" s="160">
        <f>InputData!$E$13</f>
        <v>0</v>
      </c>
    </row>
    <row r="926" spans="1:26" x14ac:dyDescent="0.25">
      <c r="A926">
        <f>InputData!$K$1</f>
        <v>2013</v>
      </c>
      <c r="B926" t="str">
        <f>InputData!$G$1</f>
        <v>San Antonio, TX</v>
      </c>
      <c r="C926" t="s">
        <v>5</v>
      </c>
      <c r="D926" t="str">
        <f>Graph_GenSurg!$E$6</f>
        <v>STD10</v>
      </c>
      <c r="E926" t="str">
        <f t="shared" si="14"/>
        <v>General Surgery STD10</v>
      </c>
      <c r="F926">
        <f>Graph_GenSurg!$A31</f>
        <v>2037</v>
      </c>
      <c r="G926">
        <f>Graph_GenSurg!$B31</f>
        <v>25</v>
      </c>
      <c r="H926" s="165">
        <f>Graph_GenSurg!$E31</f>
        <v>1999389.0039426489</v>
      </c>
      <c r="I926" s="160">
        <f>InputData!$C$3</f>
        <v>0.02</v>
      </c>
      <c r="J926" s="160">
        <f>InputData!$C$4</f>
        <v>0.01</v>
      </c>
      <c r="K926" s="160">
        <f>InputData!$C$5</f>
        <v>0.01</v>
      </c>
      <c r="L926" s="160">
        <f>InputData!$C$6</f>
        <v>6.2100000000000002E-2</v>
      </c>
      <c r="M926" s="160">
        <f>InputData!$C$7</f>
        <v>0.03</v>
      </c>
      <c r="N926" s="160">
        <f>InputData!$C$8</f>
        <v>0.02</v>
      </c>
      <c r="O926" s="160">
        <f>InputData!$C$9</f>
        <v>0.06</v>
      </c>
      <c r="P926" s="160">
        <f>InputData!$C$10</f>
        <v>0.02</v>
      </c>
      <c r="Q926" s="160">
        <f>InputData!$C$11</f>
        <v>0.02</v>
      </c>
      <c r="R926" s="160">
        <f>InputData!$C$12</f>
        <v>0.02</v>
      </c>
      <c r="S926" s="160">
        <f>InputData!$C$13</f>
        <v>0.9</v>
      </c>
      <c r="T926" s="116">
        <f>InputData!$C$88</f>
        <v>180000</v>
      </c>
      <c r="U926" s="116">
        <f>InputData!$C$81</f>
        <v>178500</v>
      </c>
      <c r="V926" s="116">
        <f>InputData!$C$82</f>
        <v>303960</v>
      </c>
      <c r="W926" s="116">
        <f>InputData!$C$84</f>
        <v>215220</v>
      </c>
      <c r="X926" s="116">
        <f>InputData!$C$85</f>
        <v>409020</v>
      </c>
      <c r="Y926" s="116">
        <f>InputData!$C$116</f>
        <v>140000</v>
      </c>
      <c r="Z926" s="160">
        <f>InputData!$E$13</f>
        <v>0</v>
      </c>
    </row>
    <row r="927" spans="1:26" x14ac:dyDescent="0.25">
      <c r="A927">
        <f>InputData!$K$1</f>
        <v>2013</v>
      </c>
      <c r="B927" t="str">
        <f>InputData!$G$1</f>
        <v>San Antonio, TX</v>
      </c>
      <c r="C927" t="s">
        <v>5</v>
      </c>
      <c r="D927" t="str">
        <f>Graph_GenSurg!$E$6</f>
        <v>STD10</v>
      </c>
      <c r="E927" t="str">
        <f t="shared" si="14"/>
        <v>General Surgery STD10</v>
      </c>
      <c r="F927">
        <f>Graph_GenSurg!$A32</f>
        <v>2038</v>
      </c>
      <c r="G927">
        <f>Graph_GenSurg!$B32</f>
        <v>26</v>
      </c>
      <c r="H927" s="165">
        <f>Graph_GenSurg!$E32</f>
        <v>2114720.393608836</v>
      </c>
      <c r="I927" s="160">
        <f>InputData!$C$3</f>
        <v>0.02</v>
      </c>
      <c r="J927" s="160">
        <f>InputData!$C$4</f>
        <v>0.01</v>
      </c>
      <c r="K927" s="160">
        <f>InputData!$C$5</f>
        <v>0.01</v>
      </c>
      <c r="L927" s="160">
        <f>InputData!$C$6</f>
        <v>6.2100000000000002E-2</v>
      </c>
      <c r="M927" s="160">
        <f>InputData!$C$7</f>
        <v>0.03</v>
      </c>
      <c r="N927" s="160">
        <f>InputData!$C$8</f>
        <v>0.02</v>
      </c>
      <c r="O927" s="160">
        <f>InputData!$C$9</f>
        <v>0.06</v>
      </c>
      <c r="P927" s="160">
        <f>InputData!$C$10</f>
        <v>0.02</v>
      </c>
      <c r="Q927" s="160">
        <f>InputData!$C$11</f>
        <v>0.02</v>
      </c>
      <c r="R927" s="160">
        <f>InputData!$C$12</f>
        <v>0.02</v>
      </c>
      <c r="S927" s="160">
        <f>InputData!$C$13</f>
        <v>0.9</v>
      </c>
      <c r="T927" s="116">
        <f>InputData!$C$88</f>
        <v>180000</v>
      </c>
      <c r="U927" s="116">
        <f>InputData!$C$81</f>
        <v>178500</v>
      </c>
      <c r="V927" s="116">
        <f>InputData!$C$82</f>
        <v>303960</v>
      </c>
      <c r="W927" s="116">
        <f>InputData!$C$84</f>
        <v>215220</v>
      </c>
      <c r="X927" s="116">
        <f>InputData!$C$85</f>
        <v>409020</v>
      </c>
      <c r="Y927" s="116">
        <f>InputData!$C$116</f>
        <v>140000</v>
      </c>
      <c r="Z927" s="160">
        <f>InputData!$E$13</f>
        <v>0</v>
      </c>
    </row>
    <row r="928" spans="1:26" x14ac:dyDescent="0.25">
      <c r="A928">
        <f>InputData!$K$1</f>
        <v>2013</v>
      </c>
      <c r="B928" t="str">
        <f>InputData!$G$1</f>
        <v>San Antonio, TX</v>
      </c>
      <c r="C928" t="s">
        <v>5</v>
      </c>
      <c r="D928" t="str">
        <f>Graph_GenSurg!$E$6</f>
        <v>STD10</v>
      </c>
      <c r="E928" t="str">
        <f t="shared" si="14"/>
        <v>General Surgery STD10</v>
      </c>
      <c r="F928">
        <f>Graph_GenSurg!$A33</f>
        <v>2039</v>
      </c>
      <c r="G928">
        <f>Graph_GenSurg!$B33</f>
        <v>27</v>
      </c>
      <c r="H928" s="165">
        <f>Graph_GenSurg!$E33</f>
        <v>2227741.1370518808</v>
      </c>
      <c r="I928" s="160">
        <f>InputData!$C$3</f>
        <v>0.02</v>
      </c>
      <c r="J928" s="160">
        <f>InputData!$C$4</f>
        <v>0.01</v>
      </c>
      <c r="K928" s="160">
        <f>InputData!$C$5</f>
        <v>0.01</v>
      </c>
      <c r="L928" s="160">
        <f>InputData!$C$6</f>
        <v>6.2100000000000002E-2</v>
      </c>
      <c r="M928" s="160">
        <f>InputData!$C$7</f>
        <v>0.03</v>
      </c>
      <c r="N928" s="160">
        <f>InputData!$C$8</f>
        <v>0.02</v>
      </c>
      <c r="O928" s="160">
        <f>InputData!$C$9</f>
        <v>0.06</v>
      </c>
      <c r="P928" s="160">
        <f>InputData!$C$10</f>
        <v>0.02</v>
      </c>
      <c r="Q928" s="160">
        <f>InputData!$C$11</f>
        <v>0.02</v>
      </c>
      <c r="R928" s="160">
        <f>InputData!$C$12</f>
        <v>0.02</v>
      </c>
      <c r="S928" s="160">
        <f>InputData!$C$13</f>
        <v>0.9</v>
      </c>
      <c r="T928" s="116">
        <f>InputData!$C$88</f>
        <v>180000</v>
      </c>
      <c r="U928" s="116">
        <f>InputData!$C$81</f>
        <v>178500</v>
      </c>
      <c r="V928" s="116">
        <f>InputData!$C$82</f>
        <v>303960</v>
      </c>
      <c r="W928" s="116">
        <f>InputData!$C$84</f>
        <v>215220</v>
      </c>
      <c r="X928" s="116">
        <f>InputData!$C$85</f>
        <v>409020</v>
      </c>
      <c r="Y928" s="116">
        <f>InputData!$C$116</f>
        <v>140000</v>
      </c>
      <c r="Z928" s="160">
        <f>InputData!$E$13</f>
        <v>0</v>
      </c>
    </row>
    <row r="929" spans="1:26" x14ac:dyDescent="0.25">
      <c r="A929">
        <f>InputData!$K$1</f>
        <v>2013</v>
      </c>
      <c r="B929" t="str">
        <f>InputData!$G$1</f>
        <v>San Antonio, TX</v>
      </c>
      <c r="C929" t="s">
        <v>5</v>
      </c>
      <c r="D929" t="str">
        <f>Graph_GenSurg!$E$6</f>
        <v>STD10</v>
      </c>
      <c r="E929" t="str">
        <f t="shared" si="14"/>
        <v>General Surgery STD10</v>
      </c>
      <c r="F929">
        <f>Graph_GenSurg!$A34</f>
        <v>2040</v>
      </c>
      <c r="G929">
        <f>Graph_GenSurg!$B34</f>
        <v>28</v>
      </c>
      <c r="H929" s="165">
        <f>Graph_GenSurg!$E34</f>
        <v>2338497.9754223884</v>
      </c>
      <c r="I929" s="160">
        <f>InputData!$C$3</f>
        <v>0.02</v>
      </c>
      <c r="J929" s="160">
        <f>InputData!$C$4</f>
        <v>0.01</v>
      </c>
      <c r="K929" s="160">
        <f>InputData!$C$5</f>
        <v>0.01</v>
      </c>
      <c r="L929" s="160">
        <f>InputData!$C$6</f>
        <v>6.2100000000000002E-2</v>
      </c>
      <c r="M929" s="160">
        <f>InputData!$C$7</f>
        <v>0.03</v>
      </c>
      <c r="N929" s="160">
        <f>InputData!$C$8</f>
        <v>0.02</v>
      </c>
      <c r="O929" s="160">
        <f>InputData!$C$9</f>
        <v>0.06</v>
      </c>
      <c r="P929" s="160">
        <f>InputData!$C$10</f>
        <v>0.02</v>
      </c>
      <c r="Q929" s="160">
        <f>InputData!$C$11</f>
        <v>0.02</v>
      </c>
      <c r="R929" s="160">
        <f>InputData!$C$12</f>
        <v>0.02</v>
      </c>
      <c r="S929" s="160">
        <f>InputData!$C$13</f>
        <v>0.9</v>
      </c>
      <c r="T929" s="116">
        <f>InputData!$C$88</f>
        <v>180000</v>
      </c>
      <c r="U929" s="116">
        <f>InputData!$C$81</f>
        <v>178500</v>
      </c>
      <c r="V929" s="116">
        <f>InputData!$C$82</f>
        <v>303960</v>
      </c>
      <c r="W929" s="116">
        <f>InputData!$C$84</f>
        <v>215220</v>
      </c>
      <c r="X929" s="116">
        <f>InputData!$C$85</f>
        <v>409020</v>
      </c>
      <c r="Y929" s="116">
        <f>InputData!$C$116</f>
        <v>140000</v>
      </c>
      <c r="Z929" s="160">
        <f>InputData!$E$13</f>
        <v>0</v>
      </c>
    </row>
    <row r="930" spans="1:26" x14ac:dyDescent="0.25">
      <c r="A930">
        <f>InputData!$K$1</f>
        <v>2013</v>
      </c>
      <c r="B930" t="str">
        <f>InputData!$G$1</f>
        <v>San Antonio, TX</v>
      </c>
      <c r="C930" t="s">
        <v>5</v>
      </c>
      <c r="D930" t="str">
        <f>Graph_GenSurg!$E$6</f>
        <v>STD10</v>
      </c>
      <c r="E930" t="str">
        <f t="shared" si="14"/>
        <v>General Surgery STD10</v>
      </c>
      <c r="F930">
        <f>Graph_GenSurg!$A35</f>
        <v>2041</v>
      </c>
      <c r="G930">
        <f>Graph_GenSurg!$B35</f>
        <v>29</v>
      </c>
      <c r="H930" s="165">
        <f>Graph_GenSurg!$E35</f>
        <v>2447036.6916002822</v>
      </c>
      <c r="I930" s="160">
        <f>InputData!$C$3</f>
        <v>0.02</v>
      </c>
      <c r="J930" s="160">
        <f>InputData!$C$4</f>
        <v>0.01</v>
      </c>
      <c r="K930" s="160">
        <f>InputData!$C$5</f>
        <v>0.01</v>
      </c>
      <c r="L930" s="160">
        <f>InputData!$C$6</f>
        <v>6.2100000000000002E-2</v>
      </c>
      <c r="M930" s="160">
        <f>InputData!$C$7</f>
        <v>0.03</v>
      </c>
      <c r="N930" s="160">
        <f>InputData!$C$8</f>
        <v>0.02</v>
      </c>
      <c r="O930" s="160">
        <f>InputData!$C$9</f>
        <v>0.06</v>
      </c>
      <c r="P930" s="160">
        <f>InputData!$C$10</f>
        <v>0.02</v>
      </c>
      <c r="Q930" s="160">
        <f>InputData!$C$11</f>
        <v>0.02</v>
      </c>
      <c r="R930" s="160">
        <f>InputData!$C$12</f>
        <v>0.02</v>
      </c>
      <c r="S930" s="160">
        <f>InputData!$C$13</f>
        <v>0.9</v>
      </c>
      <c r="T930" s="116">
        <f>InputData!$C$88</f>
        <v>180000</v>
      </c>
      <c r="U930" s="116">
        <f>InputData!$C$81</f>
        <v>178500</v>
      </c>
      <c r="V930" s="116">
        <f>InputData!$C$82</f>
        <v>303960</v>
      </c>
      <c r="W930" s="116">
        <f>InputData!$C$84</f>
        <v>215220</v>
      </c>
      <c r="X930" s="116">
        <f>InputData!$C$85</f>
        <v>409020</v>
      </c>
      <c r="Y930" s="116">
        <f>InputData!$C$116</f>
        <v>140000</v>
      </c>
      <c r="Z930" s="160">
        <f>InputData!$E$13</f>
        <v>0</v>
      </c>
    </row>
    <row r="931" spans="1:26" x14ac:dyDescent="0.25">
      <c r="A931">
        <f>InputData!$K$1</f>
        <v>2013</v>
      </c>
      <c r="B931" t="str">
        <f>InputData!$G$1</f>
        <v>San Antonio, TX</v>
      </c>
      <c r="C931" t="s">
        <v>5</v>
      </c>
      <c r="D931" t="str">
        <f>Graph_GenSurg!$E$6</f>
        <v>STD10</v>
      </c>
      <c r="E931" t="str">
        <f t="shared" si="14"/>
        <v>General Surgery STD10</v>
      </c>
      <c r="F931">
        <f>Graph_GenSurg!$A36</f>
        <v>2042</v>
      </c>
      <c r="G931">
        <f>Graph_GenSurg!$B36</f>
        <v>30</v>
      </c>
      <c r="H931" s="165">
        <f>Graph_GenSurg!$E36</f>
        <v>2553402.130201248</v>
      </c>
      <c r="I931" s="160">
        <f>InputData!$C$3</f>
        <v>0.02</v>
      </c>
      <c r="J931" s="160">
        <f>InputData!$C$4</f>
        <v>0.01</v>
      </c>
      <c r="K931" s="160">
        <f>InputData!$C$5</f>
        <v>0.01</v>
      </c>
      <c r="L931" s="160">
        <f>InputData!$C$6</f>
        <v>6.2100000000000002E-2</v>
      </c>
      <c r="M931" s="160">
        <f>InputData!$C$7</f>
        <v>0.03</v>
      </c>
      <c r="N931" s="160">
        <f>InputData!$C$8</f>
        <v>0.02</v>
      </c>
      <c r="O931" s="160">
        <f>InputData!$C$9</f>
        <v>0.06</v>
      </c>
      <c r="P931" s="160">
        <f>InputData!$C$10</f>
        <v>0.02</v>
      </c>
      <c r="Q931" s="160">
        <f>InputData!$C$11</f>
        <v>0.02</v>
      </c>
      <c r="R931" s="160">
        <f>InputData!$C$12</f>
        <v>0.02</v>
      </c>
      <c r="S931" s="160">
        <f>InputData!$C$13</f>
        <v>0.9</v>
      </c>
      <c r="T931" s="116">
        <f>InputData!$C$88</f>
        <v>180000</v>
      </c>
      <c r="U931" s="116">
        <f>InputData!$C$81</f>
        <v>178500</v>
      </c>
      <c r="V931" s="116">
        <f>InputData!$C$82</f>
        <v>303960</v>
      </c>
      <c r="W931" s="116">
        <f>InputData!$C$84</f>
        <v>215220</v>
      </c>
      <c r="X931" s="116">
        <f>InputData!$C$85</f>
        <v>409020</v>
      </c>
      <c r="Y931" s="116">
        <f>InputData!$C$116</f>
        <v>140000</v>
      </c>
      <c r="Z931" s="160">
        <f>InputData!$E$13</f>
        <v>0</v>
      </c>
    </row>
    <row r="932" spans="1:26" x14ac:dyDescent="0.25">
      <c r="A932">
        <f>InputData!$K$1</f>
        <v>2013</v>
      </c>
      <c r="B932" t="str">
        <f>InputData!$G$1</f>
        <v>San Antonio, TX</v>
      </c>
      <c r="C932" t="s">
        <v>5</v>
      </c>
      <c r="D932" t="str">
        <f>Graph_GenSurg!$F$6</f>
        <v>EXT</v>
      </c>
      <c r="E932" t="str">
        <f t="shared" si="14"/>
        <v>General Surgery EXT</v>
      </c>
      <c r="F932">
        <f>Graph_GenSurg!$A7</f>
        <v>2013</v>
      </c>
      <c r="G932">
        <f>Graph_GenSurg!$B7</f>
        <v>1</v>
      </c>
      <c r="H932" s="165">
        <f>Graph_GenSurg!$F7</f>
        <v>-43015.05</v>
      </c>
      <c r="I932" s="160">
        <f>InputData!$C$3</f>
        <v>0.02</v>
      </c>
      <c r="J932" s="160">
        <f>InputData!$C$4</f>
        <v>0.01</v>
      </c>
      <c r="K932" s="160">
        <f>InputData!$C$5</f>
        <v>0.01</v>
      </c>
      <c r="L932" s="160">
        <f>InputData!$C$6</f>
        <v>6.2100000000000002E-2</v>
      </c>
      <c r="M932" s="160">
        <f>InputData!$C$7</f>
        <v>0.03</v>
      </c>
      <c r="N932" s="160">
        <f>InputData!$C$8</f>
        <v>0.02</v>
      </c>
      <c r="O932" s="160">
        <f>InputData!$C$9</f>
        <v>0.06</v>
      </c>
      <c r="P932" s="160">
        <f>InputData!$C$10</f>
        <v>0.02</v>
      </c>
      <c r="Q932" s="160">
        <f>InputData!$C$11</f>
        <v>0.02</v>
      </c>
      <c r="R932" s="160">
        <f>InputData!$C$12</f>
        <v>0.02</v>
      </c>
      <c r="S932" s="160">
        <f>InputData!$C$13</f>
        <v>0.9</v>
      </c>
      <c r="T932" s="116">
        <f>InputData!$C$88</f>
        <v>180000</v>
      </c>
      <c r="U932" s="116">
        <f>InputData!$C$81</f>
        <v>178500</v>
      </c>
      <c r="V932" s="116">
        <f>InputData!$C$82</f>
        <v>303960</v>
      </c>
      <c r="W932" s="116">
        <f>InputData!$C$84</f>
        <v>215220</v>
      </c>
      <c r="X932" s="116">
        <f>InputData!$C$85</f>
        <v>409020</v>
      </c>
      <c r="Y932" s="116">
        <f>InputData!$C$116</f>
        <v>140000</v>
      </c>
      <c r="Z932" s="160">
        <f>InputData!$E$13</f>
        <v>0</v>
      </c>
    </row>
    <row r="933" spans="1:26" x14ac:dyDescent="0.25">
      <c r="A933">
        <f>InputData!$K$1</f>
        <v>2013</v>
      </c>
      <c r="B933" t="str">
        <f>InputData!$G$1</f>
        <v>San Antonio, TX</v>
      </c>
      <c r="C933" t="s">
        <v>5</v>
      </c>
      <c r="D933" t="str">
        <f>Graph_GenSurg!$F$6</f>
        <v>EXT</v>
      </c>
      <c r="E933" t="str">
        <f t="shared" si="14"/>
        <v>General Surgery EXT</v>
      </c>
      <c r="F933">
        <f>Graph_GenSurg!$A8</f>
        <v>2014</v>
      </c>
      <c r="G933">
        <f>Graph_GenSurg!$B8</f>
        <v>2</v>
      </c>
      <c r="H933" s="165">
        <f>Graph_GenSurg!$F8</f>
        <v>-86352.285865219877</v>
      </c>
      <c r="I933" s="160">
        <f>InputData!$C$3</f>
        <v>0.02</v>
      </c>
      <c r="J933" s="160">
        <f>InputData!$C$4</f>
        <v>0.01</v>
      </c>
      <c r="K933" s="160">
        <f>InputData!$C$5</f>
        <v>0.01</v>
      </c>
      <c r="L933" s="160">
        <f>InputData!$C$6</f>
        <v>6.2100000000000002E-2</v>
      </c>
      <c r="M933" s="160">
        <f>InputData!$C$7</f>
        <v>0.03</v>
      </c>
      <c r="N933" s="160">
        <f>InputData!$C$8</f>
        <v>0.02</v>
      </c>
      <c r="O933" s="160">
        <f>InputData!$C$9</f>
        <v>0.06</v>
      </c>
      <c r="P933" s="160">
        <f>InputData!$C$10</f>
        <v>0.02</v>
      </c>
      <c r="Q933" s="160">
        <f>InputData!$C$11</f>
        <v>0.02</v>
      </c>
      <c r="R933" s="160">
        <f>InputData!$C$12</f>
        <v>0.02</v>
      </c>
      <c r="S933" s="160">
        <f>InputData!$C$13</f>
        <v>0.9</v>
      </c>
      <c r="T933" s="116">
        <f>InputData!$C$88</f>
        <v>180000</v>
      </c>
      <c r="U933" s="116">
        <f>InputData!$C$81</f>
        <v>178500</v>
      </c>
      <c r="V933" s="116">
        <f>InputData!$C$82</f>
        <v>303960</v>
      </c>
      <c r="W933" s="116">
        <f>InputData!$C$84</f>
        <v>215220</v>
      </c>
      <c r="X933" s="116">
        <f>InputData!$C$85</f>
        <v>409020</v>
      </c>
      <c r="Y933" s="116">
        <f>InputData!$C$116</f>
        <v>140000</v>
      </c>
      <c r="Z933" s="160">
        <f>InputData!$E$13</f>
        <v>0</v>
      </c>
    </row>
    <row r="934" spans="1:26" x14ac:dyDescent="0.25">
      <c r="A934">
        <f>InputData!$K$1</f>
        <v>2013</v>
      </c>
      <c r="B934" t="str">
        <f>InputData!$G$1</f>
        <v>San Antonio, TX</v>
      </c>
      <c r="C934" t="s">
        <v>5</v>
      </c>
      <c r="D934" t="str">
        <f>Graph_GenSurg!$F$6</f>
        <v>EXT</v>
      </c>
      <c r="E934" t="str">
        <f t="shared" si="14"/>
        <v>General Surgery EXT</v>
      </c>
      <c r="F934">
        <f>Graph_GenSurg!$A9</f>
        <v>2015</v>
      </c>
      <c r="G934">
        <f>Graph_GenSurg!$B9</f>
        <v>3</v>
      </c>
      <c r="H934" s="165">
        <f>Graph_GenSurg!$F9</f>
        <v>-138541.19578403595</v>
      </c>
      <c r="I934" s="160">
        <f>InputData!$C$3</f>
        <v>0.02</v>
      </c>
      <c r="J934" s="160">
        <f>InputData!$C$4</f>
        <v>0.01</v>
      </c>
      <c r="K934" s="160">
        <f>InputData!$C$5</f>
        <v>0.01</v>
      </c>
      <c r="L934" s="160">
        <f>InputData!$C$6</f>
        <v>6.2100000000000002E-2</v>
      </c>
      <c r="M934" s="160">
        <f>InputData!$C$7</f>
        <v>0.03</v>
      </c>
      <c r="N934" s="160">
        <f>InputData!$C$8</f>
        <v>0.02</v>
      </c>
      <c r="O934" s="160">
        <f>InputData!$C$9</f>
        <v>0.06</v>
      </c>
      <c r="P934" s="160">
        <f>InputData!$C$10</f>
        <v>0.02</v>
      </c>
      <c r="Q934" s="160">
        <f>InputData!$C$11</f>
        <v>0.02</v>
      </c>
      <c r="R934" s="160">
        <f>InputData!$C$12</f>
        <v>0.02</v>
      </c>
      <c r="S934" s="160">
        <f>InputData!$C$13</f>
        <v>0.9</v>
      </c>
      <c r="T934" s="116">
        <f>InputData!$C$88</f>
        <v>180000</v>
      </c>
      <c r="U934" s="116">
        <f>InputData!$C$81</f>
        <v>178500</v>
      </c>
      <c r="V934" s="116">
        <f>InputData!$C$82</f>
        <v>303960</v>
      </c>
      <c r="W934" s="116">
        <f>InputData!$C$84</f>
        <v>215220</v>
      </c>
      <c r="X934" s="116">
        <f>InputData!$C$85</f>
        <v>409020</v>
      </c>
      <c r="Y934" s="116">
        <f>InputData!$C$116</f>
        <v>140000</v>
      </c>
      <c r="Z934" s="160">
        <f>InputData!$E$13</f>
        <v>0</v>
      </c>
    </row>
    <row r="935" spans="1:26" x14ac:dyDescent="0.25">
      <c r="A935">
        <f>InputData!$K$1</f>
        <v>2013</v>
      </c>
      <c r="B935" t="str">
        <f>InputData!$G$1</f>
        <v>San Antonio, TX</v>
      </c>
      <c r="C935" t="s">
        <v>5</v>
      </c>
      <c r="D935" t="str">
        <f>Graph_GenSurg!$F$6</f>
        <v>EXT</v>
      </c>
      <c r="E935" t="str">
        <f t="shared" si="14"/>
        <v>General Surgery EXT</v>
      </c>
      <c r="F935">
        <f>Graph_GenSurg!$A10</f>
        <v>2016</v>
      </c>
      <c r="G935">
        <f>Graph_GenSurg!$B10</f>
        <v>4</v>
      </c>
      <c r="H935" s="165">
        <f>Graph_GenSurg!$F10</f>
        <v>-190867.38028908212</v>
      </c>
      <c r="I935" s="160">
        <f>InputData!$C$3</f>
        <v>0.02</v>
      </c>
      <c r="J935" s="160">
        <f>InputData!$C$4</f>
        <v>0.01</v>
      </c>
      <c r="K935" s="160">
        <f>InputData!$C$5</f>
        <v>0.01</v>
      </c>
      <c r="L935" s="160">
        <f>InputData!$C$6</f>
        <v>6.2100000000000002E-2</v>
      </c>
      <c r="M935" s="160">
        <f>InputData!$C$7</f>
        <v>0.03</v>
      </c>
      <c r="N935" s="160">
        <f>InputData!$C$8</f>
        <v>0.02</v>
      </c>
      <c r="O935" s="160">
        <f>InputData!$C$9</f>
        <v>0.06</v>
      </c>
      <c r="P935" s="160">
        <f>InputData!$C$10</f>
        <v>0.02</v>
      </c>
      <c r="Q935" s="160">
        <f>InputData!$C$11</f>
        <v>0.02</v>
      </c>
      <c r="R935" s="160">
        <f>InputData!$C$12</f>
        <v>0.02</v>
      </c>
      <c r="S935" s="160">
        <f>InputData!$C$13</f>
        <v>0.9</v>
      </c>
      <c r="T935" s="116">
        <f>InputData!$C$88</f>
        <v>180000</v>
      </c>
      <c r="U935" s="116">
        <f>InputData!$C$81</f>
        <v>178500</v>
      </c>
      <c r="V935" s="116">
        <f>InputData!$C$82</f>
        <v>303960</v>
      </c>
      <c r="W935" s="116">
        <f>InputData!$C$84</f>
        <v>215220</v>
      </c>
      <c r="X935" s="116">
        <f>InputData!$C$85</f>
        <v>409020</v>
      </c>
      <c r="Y935" s="116">
        <f>InputData!$C$116</f>
        <v>140000</v>
      </c>
      <c r="Z935" s="160">
        <f>InputData!$E$13</f>
        <v>0</v>
      </c>
    </row>
    <row r="936" spans="1:26" x14ac:dyDescent="0.25">
      <c r="A936">
        <f>InputData!$K$1</f>
        <v>2013</v>
      </c>
      <c r="B936" t="str">
        <f>InputData!$G$1</f>
        <v>San Antonio, TX</v>
      </c>
      <c r="C936" t="s">
        <v>5</v>
      </c>
      <c r="D936" t="str">
        <f>Graph_GenSurg!$F$6</f>
        <v>EXT</v>
      </c>
      <c r="E936" t="str">
        <f t="shared" si="14"/>
        <v>General Surgery EXT</v>
      </c>
      <c r="F936">
        <f>Graph_GenSurg!$A11</f>
        <v>2017</v>
      </c>
      <c r="G936">
        <f>Graph_GenSurg!$B11</f>
        <v>5</v>
      </c>
      <c r="H936" s="165">
        <f>Graph_GenSurg!$F11</f>
        <v>-154981.05168717628</v>
      </c>
      <c r="I936" s="160">
        <f>InputData!$C$3</f>
        <v>0.02</v>
      </c>
      <c r="J936" s="160">
        <f>InputData!$C$4</f>
        <v>0.01</v>
      </c>
      <c r="K936" s="160">
        <f>InputData!$C$5</f>
        <v>0.01</v>
      </c>
      <c r="L936" s="160">
        <f>InputData!$C$6</f>
        <v>6.2100000000000002E-2</v>
      </c>
      <c r="M936" s="160">
        <f>InputData!$C$7</f>
        <v>0.03</v>
      </c>
      <c r="N936" s="160">
        <f>InputData!$C$8</f>
        <v>0.02</v>
      </c>
      <c r="O936" s="160">
        <f>InputData!$C$9</f>
        <v>0.06</v>
      </c>
      <c r="P936" s="160">
        <f>InputData!$C$10</f>
        <v>0.02</v>
      </c>
      <c r="Q936" s="160">
        <f>InputData!$C$11</f>
        <v>0.02</v>
      </c>
      <c r="R936" s="160">
        <f>InputData!$C$12</f>
        <v>0.02</v>
      </c>
      <c r="S936" s="160">
        <f>InputData!$C$13</f>
        <v>0.9</v>
      </c>
      <c r="T936" s="116">
        <f>InputData!$C$88</f>
        <v>180000</v>
      </c>
      <c r="U936" s="116">
        <f>InputData!$C$81</f>
        <v>178500</v>
      </c>
      <c r="V936" s="116">
        <f>InputData!$C$82</f>
        <v>303960</v>
      </c>
      <c r="W936" s="116">
        <f>InputData!$C$84</f>
        <v>215220</v>
      </c>
      <c r="X936" s="116">
        <f>InputData!$C$85</f>
        <v>409020</v>
      </c>
      <c r="Y936" s="116">
        <f>InputData!$C$116</f>
        <v>140000</v>
      </c>
      <c r="Z936" s="160">
        <f>InputData!$E$13</f>
        <v>0</v>
      </c>
    </row>
    <row r="937" spans="1:26" x14ac:dyDescent="0.25">
      <c r="A937">
        <f>InputData!$K$1</f>
        <v>2013</v>
      </c>
      <c r="B937" t="str">
        <f>InputData!$G$1</f>
        <v>San Antonio, TX</v>
      </c>
      <c r="C937" t="s">
        <v>5</v>
      </c>
      <c r="D937" t="str">
        <f>Graph_GenSurg!$F$6</f>
        <v>EXT</v>
      </c>
      <c r="E937" t="str">
        <f t="shared" si="14"/>
        <v>General Surgery EXT</v>
      </c>
      <c r="F937">
        <f>Graph_GenSurg!$A12</f>
        <v>2018</v>
      </c>
      <c r="G937">
        <f>Graph_GenSurg!$B12</f>
        <v>6</v>
      </c>
      <c r="H937" s="165">
        <f>Graph_GenSurg!$F12</f>
        <v>-118995.92937851879</v>
      </c>
      <c r="I937" s="160">
        <f>InputData!$C$3</f>
        <v>0.02</v>
      </c>
      <c r="J937" s="160">
        <f>InputData!$C$4</f>
        <v>0.01</v>
      </c>
      <c r="K937" s="160">
        <f>InputData!$C$5</f>
        <v>0.01</v>
      </c>
      <c r="L937" s="160">
        <f>InputData!$C$6</f>
        <v>6.2100000000000002E-2</v>
      </c>
      <c r="M937" s="160">
        <f>InputData!$C$7</f>
        <v>0.03</v>
      </c>
      <c r="N937" s="160">
        <f>InputData!$C$8</f>
        <v>0.02</v>
      </c>
      <c r="O937" s="160">
        <f>InputData!$C$9</f>
        <v>0.06</v>
      </c>
      <c r="P937" s="160">
        <f>InputData!$C$10</f>
        <v>0.02</v>
      </c>
      <c r="Q937" s="160">
        <f>InputData!$C$11</f>
        <v>0.02</v>
      </c>
      <c r="R937" s="160">
        <f>InputData!$C$12</f>
        <v>0.02</v>
      </c>
      <c r="S937" s="160">
        <f>InputData!$C$13</f>
        <v>0.9</v>
      </c>
      <c r="T937" s="116">
        <f>InputData!$C$88</f>
        <v>180000</v>
      </c>
      <c r="U937" s="116">
        <f>InputData!$C$81</f>
        <v>178500</v>
      </c>
      <c r="V937" s="116">
        <f>InputData!$C$82</f>
        <v>303960</v>
      </c>
      <c r="W937" s="116">
        <f>InputData!$C$84</f>
        <v>215220</v>
      </c>
      <c r="X937" s="116">
        <f>InputData!$C$85</f>
        <v>409020</v>
      </c>
      <c r="Y937" s="116">
        <f>InputData!$C$116</f>
        <v>140000</v>
      </c>
      <c r="Z937" s="160">
        <f>InputData!$E$13</f>
        <v>0</v>
      </c>
    </row>
    <row r="938" spans="1:26" x14ac:dyDescent="0.25">
      <c r="A938">
        <f>InputData!$K$1</f>
        <v>2013</v>
      </c>
      <c r="B938" t="str">
        <f>InputData!$G$1</f>
        <v>San Antonio, TX</v>
      </c>
      <c r="C938" t="s">
        <v>5</v>
      </c>
      <c r="D938" t="str">
        <f>Graph_GenSurg!$F$6</f>
        <v>EXT</v>
      </c>
      <c r="E938" t="str">
        <f t="shared" si="14"/>
        <v>General Surgery EXT</v>
      </c>
      <c r="F938">
        <f>Graph_GenSurg!$A13</f>
        <v>2019</v>
      </c>
      <c r="G938">
        <f>Graph_GenSurg!$B13</f>
        <v>7</v>
      </c>
      <c r="H938" s="165">
        <f>Graph_GenSurg!$F13</f>
        <v>-82904.654937055282</v>
      </c>
      <c r="I938" s="160">
        <f>InputData!$C$3</f>
        <v>0.02</v>
      </c>
      <c r="J938" s="160">
        <f>InputData!$C$4</f>
        <v>0.01</v>
      </c>
      <c r="K938" s="160">
        <f>InputData!$C$5</f>
        <v>0.01</v>
      </c>
      <c r="L938" s="160">
        <f>InputData!$C$6</f>
        <v>6.2100000000000002E-2</v>
      </c>
      <c r="M938" s="160">
        <f>InputData!$C$7</f>
        <v>0.03</v>
      </c>
      <c r="N938" s="160">
        <f>InputData!$C$8</f>
        <v>0.02</v>
      </c>
      <c r="O938" s="160">
        <f>InputData!$C$9</f>
        <v>0.06</v>
      </c>
      <c r="P938" s="160">
        <f>InputData!$C$10</f>
        <v>0.02</v>
      </c>
      <c r="Q938" s="160">
        <f>InputData!$C$11</f>
        <v>0.02</v>
      </c>
      <c r="R938" s="160">
        <f>InputData!$C$12</f>
        <v>0.02</v>
      </c>
      <c r="S938" s="160">
        <f>InputData!$C$13</f>
        <v>0.9</v>
      </c>
      <c r="T938" s="116">
        <f>InputData!$C$88</f>
        <v>180000</v>
      </c>
      <c r="U938" s="116">
        <f>InputData!$C$81</f>
        <v>178500</v>
      </c>
      <c r="V938" s="116">
        <f>InputData!$C$82</f>
        <v>303960</v>
      </c>
      <c r="W938" s="116">
        <f>InputData!$C$84</f>
        <v>215220</v>
      </c>
      <c r="X938" s="116">
        <f>InputData!$C$85</f>
        <v>409020</v>
      </c>
      <c r="Y938" s="116">
        <f>InputData!$C$116</f>
        <v>140000</v>
      </c>
      <c r="Z938" s="160">
        <f>InputData!$E$13</f>
        <v>0</v>
      </c>
    </row>
    <row r="939" spans="1:26" x14ac:dyDescent="0.25">
      <c r="A939">
        <f>InputData!$K$1</f>
        <v>2013</v>
      </c>
      <c r="B939" t="str">
        <f>InputData!$G$1</f>
        <v>San Antonio, TX</v>
      </c>
      <c r="C939" t="s">
        <v>5</v>
      </c>
      <c r="D939" t="str">
        <f>Graph_GenSurg!$F$6</f>
        <v>EXT</v>
      </c>
      <c r="E939" t="str">
        <f t="shared" si="14"/>
        <v>General Surgery EXT</v>
      </c>
      <c r="F939">
        <f>Graph_GenSurg!$A14</f>
        <v>2020</v>
      </c>
      <c r="G939">
        <f>Graph_GenSurg!$B14</f>
        <v>8</v>
      </c>
      <c r="H939" s="165">
        <f>Graph_GenSurg!$F14</f>
        <v>-46699.992676364229</v>
      </c>
      <c r="I939" s="160">
        <f>InputData!$C$3</f>
        <v>0.02</v>
      </c>
      <c r="J939" s="160">
        <f>InputData!$C$4</f>
        <v>0.01</v>
      </c>
      <c r="K939" s="160">
        <f>InputData!$C$5</f>
        <v>0.01</v>
      </c>
      <c r="L939" s="160">
        <f>InputData!$C$6</f>
        <v>6.2100000000000002E-2</v>
      </c>
      <c r="M939" s="160">
        <f>InputData!$C$7</f>
        <v>0.03</v>
      </c>
      <c r="N939" s="160">
        <f>InputData!$C$8</f>
        <v>0.02</v>
      </c>
      <c r="O939" s="160">
        <f>InputData!$C$9</f>
        <v>0.06</v>
      </c>
      <c r="P939" s="160">
        <f>InputData!$C$10</f>
        <v>0.02</v>
      </c>
      <c r="Q939" s="160">
        <f>InputData!$C$11</f>
        <v>0.02</v>
      </c>
      <c r="R939" s="160">
        <f>InputData!$C$12</f>
        <v>0.02</v>
      </c>
      <c r="S939" s="160">
        <f>InputData!$C$13</f>
        <v>0.9</v>
      </c>
      <c r="T939" s="116">
        <f>InputData!$C$88</f>
        <v>180000</v>
      </c>
      <c r="U939" s="116">
        <f>InputData!$C$81</f>
        <v>178500</v>
      </c>
      <c r="V939" s="116">
        <f>InputData!$C$82</f>
        <v>303960</v>
      </c>
      <c r="W939" s="116">
        <f>InputData!$C$84</f>
        <v>215220</v>
      </c>
      <c r="X939" s="116">
        <f>InputData!$C$85</f>
        <v>409020</v>
      </c>
      <c r="Y939" s="116">
        <f>InputData!$C$116</f>
        <v>140000</v>
      </c>
      <c r="Z939" s="160">
        <f>InputData!$E$13</f>
        <v>0</v>
      </c>
    </row>
    <row r="940" spans="1:26" x14ac:dyDescent="0.25">
      <c r="A940">
        <f>InputData!$K$1</f>
        <v>2013</v>
      </c>
      <c r="B940" t="str">
        <f>InputData!$G$1</f>
        <v>San Antonio, TX</v>
      </c>
      <c r="C940" t="s">
        <v>5</v>
      </c>
      <c r="D940" t="str">
        <f>Graph_GenSurg!$F$6</f>
        <v>EXT</v>
      </c>
      <c r="E940" t="str">
        <f t="shared" si="14"/>
        <v>General Surgery EXT</v>
      </c>
      <c r="F940">
        <f>Graph_GenSurg!$A15</f>
        <v>2021</v>
      </c>
      <c r="G940">
        <f>Graph_GenSurg!$B15</f>
        <v>9</v>
      </c>
      <c r="H940" s="165">
        <f>Graph_GenSurg!$F15</f>
        <v>-10374.82525529444</v>
      </c>
      <c r="I940" s="160">
        <f>InputData!$C$3</f>
        <v>0.02</v>
      </c>
      <c r="J940" s="160">
        <f>InputData!$C$4</f>
        <v>0.01</v>
      </c>
      <c r="K940" s="160">
        <f>InputData!$C$5</f>
        <v>0.01</v>
      </c>
      <c r="L940" s="160">
        <f>InputData!$C$6</f>
        <v>6.2100000000000002E-2</v>
      </c>
      <c r="M940" s="160">
        <f>InputData!$C$7</f>
        <v>0.03</v>
      </c>
      <c r="N940" s="160">
        <f>InputData!$C$8</f>
        <v>0.02</v>
      </c>
      <c r="O940" s="160">
        <f>InputData!$C$9</f>
        <v>0.06</v>
      </c>
      <c r="P940" s="160">
        <f>InputData!$C$10</f>
        <v>0.02</v>
      </c>
      <c r="Q940" s="160">
        <f>InputData!$C$11</f>
        <v>0.02</v>
      </c>
      <c r="R940" s="160">
        <f>InputData!$C$12</f>
        <v>0.02</v>
      </c>
      <c r="S940" s="160">
        <f>InputData!$C$13</f>
        <v>0.9</v>
      </c>
      <c r="T940" s="116">
        <f>InputData!$C$88</f>
        <v>180000</v>
      </c>
      <c r="U940" s="116">
        <f>InputData!$C$81</f>
        <v>178500</v>
      </c>
      <c r="V940" s="116">
        <f>InputData!$C$82</f>
        <v>303960</v>
      </c>
      <c r="W940" s="116">
        <f>InputData!$C$84</f>
        <v>215220</v>
      </c>
      <c r="X940" s="116">
        <f>InputData!$C$85</f>
        <v>409020</v>
      </c>
      <c r="Y940" s="116">
        <f>InputData!$C$116</f>
        <v>140000</v>
      </c>
      <c r="Z940" s="160">
        <f>InputData!$E$13</f>
        <v>0</v>
      </c>
    </row>
    <row r="941" spans="1:26" x14ac:dyDescent="0.25">
      <c r="A941">
        <f>InputData!$K$1</f>
        <v>2013</v>
      </c>
      <c r="B941" t="str">
        <f>InputData!$G$1</f>
        <v>San Antonio, TX</v>
      </c>
      <c r="C941" t="s">
        <v>5</v>
      </c>
      <c r="D941" t="str">
        <f>Graph_GenSurg!$F$6</f>
        <v>EXT</v>
      </c>
      <c r="E941" t="str">
        <f t="shared" si="14"/>
        <v>General Surgery EXT</v>
      </c>
      <c r="F941">
        <f>Graph_GenSurg!$A16</f>
        <v>2022</v>
      </c>
      <c r="G941">
        <f>Graph_GenSurg!$B16</f>
        <v>10</v>
      </c>
      <c r="H941" s="165">
        <f>Graph_GenSurg!$F16</f>
        <v>136725.51222371613</v>
      </c>
      <c r="I941" s="160">
        <f>InputData!$C$3</f>
        <v>0.02</v>
      </c>
      <c r="J941" s="160">
        <f>InputData!$C$4</f>
        <v>0.01</v>
      </c>
      <c r="K941" s="160">
        <f>InputData!$C$5</f>
        <v>0.01</v>
      </c>
      <c r="L941" s="160">
        <f>InputData!$C$6</f>
        <v>6.2100000000000002E-2</v>
      </c>
      <c r="M941" s="160">
        <f>InputData!$C$7</f>
        <v>0.03</v>
      </c>
      <c r="N941" s="160">
        <f>InputData!$C$8</f>
        <v>0.02</v>
      </c>
      <c r="O941" s="160">
        <f>InputData!$C$9</f>
        <v>0.06</v>
      </c>
      <c r="P941" s="160">
        <f>InputData!$C$10</f>
        <v>0.02</v>
      </c>
      <c r="Q941" s="160">
        <f>InputData!$C$11</f>
        <v>0.02</v>
      </c>
      <c r="R941" s="160">
        <f>InputData!$C$12</f>
        <v>0.02</v>
      </c>
      <c r="S941" s="160">
        <f>InputData!$C$13</f>
        <v>0.9</v>
      </c>
      <c r="T941" s="116">
        <f>InputData!$C$88</f>
        <v>180000</v>
      </c>
      <c r="U941" s="116">
        <f>InputData!$C$81</f>
        <v>178500</v>
      </c>
      <c r="V941" s="116">
        <f>InputData!$C$82</f>
        <v>303960</v>
      </c>
      <c r="W941" s="116">
        <f>InputData!$C$84</f>
        <v>215220</v>
      </c>
      <c r="X941" s="116">
        <f>InputData!$C$85</f>
        <v>409020</v>
      </c>
      <c r="Y941" s="116">
        <f>InputData!$C$116</f>
        <v>140000</v>
      </c>
      <c r="Z941" s="160">
        <f>InputData!$E$13</f>
        <v>0</v>
      </c>
    </row>
    <row r="942" spans="1:26" x14ac:dyDescent="0.25">
      <c r="A942">
        <f>InputData!$K$1</f>
        <v>2013</v>
      </c>
      <c r="B942" t="str">
        <f>InputData!$G$1</f>
        <v>San Antonio, TX</v>
      </c>
      <c r="C942" t="s">
        <v>5</v>
      </c>
      <c r="D942" t="str">
        <f>Graph_GenSurg!$F$6</f>
        <v>EXT</v>
      </c>
      <c r="E942" t="str">
        <f t="shared" si="14"/>
        <v>General Surgery EXT</v>
      </c>
      <c r="F942">
        <f>Graph_GenSurg!$A17</f>
        <v>2023</v>
      </c>
      <c r="G942">
        <f>Graph_GenSurg!$B17</f>
        <v>11</v>
      </c>
      <c r="H942" s="165">
        <f>Graph_GenSurg!$F17</f>
        <v>279806.1261793673</v>
      </c>
      <c r="I942" s="160">
        <f>InputData!$C$3</f>
        <v>0.02</v>
      </c>
      <c r="J942" s="160">
        <f>InputData!$C$4</f>
        <v>0.01</v>
      </c>
      <c r="K942" s="160">
        <f>InputData!$C$5</f>
        <v>0.01</v>
      </c>
      <c r="L942" s="160">
        <f>InputData!$C$6</f>
        <v>6.2100000000000002E-2</v>
      </c>
      <c r="M942" s="160">
        <f>InputData!$C$7</f>
        <v>0.03</v>
      </c>
      <c r="N942" s="160">
        <f>InputData!$C$8</f>
        <v>0.02</v>
      </c>
      <c r="O942" s="160">
        <f>InputData!$C$9</f>
        <v>0.06</v>
      </c>
      <c r="P942" s="160">
        <f>InputData!$C$10</f>
        <v>0.02</v>
      </c>
      <c r="Q942" s="160">
        <f>InputData!$C$11</f>
        <v>0.02</v>
      </c>
      <c r="R942" s="160">
        <f>InputData!$C$12</f>
        <v>0.02</v>
      </c>
      <c r="S942" s="160">
        <f>InputData!$C$13</f>
        <v>0.9</v>
      </c>
      <c r="T942" s="116">
        <f>InputData!$C$88</f>
        <v>180000</v>
      </c>
      <c r="U942" s="116">
        <f>InputData!$C$81</f>
        <v>178500</v>
      </c>
      <c r="V942" s="116">
        <f>InputData!$C$82</f>
        <v>303960</v>
      </c>
      <c r="W942" s="116">
        <f>InputData!$C$84</f>
        <v>215220</v>
      </c>
      <c r="X942" s="116">
        <f>InputData!$C$85</f>
        <v>409020</v>
      </c>
      <c r="Y942" s="116">
        <f>InputData!$C$116</f>
        <v>140000</v>
      </c>
      <c r="Z942" s="160">
        <f>InputData!$E$13</f>
        <v>0</v>
      </c>
    </row>
    <row r="943" spans="1:26" x14ac:dyDescent="0.25">
      <c r="A943">
        <f>InputData!$K$1</f>
        <v>2013</v>
      </c>
      <c r="B943" t="str">
        <f>InputData!$G$1</f>
        <v>San Antonio, TX</v>
      </c>
      <c r="C943" t="s">
        <v>5</v>
      </c>
      <c r="D943" t="str">
        <f>Graph_GenSurg!$F$6</f>
        <v>EXT</v>
      </c>
      <c r="E943" t="str">
        <f t="shared" si="14"/>
        <v>General Surgery EXT</v>
      </c>
      <c r="F943">
        <f>Graph_GenSurg!$A18</f>
        <v>2024</v>
      </c>
      <c r="G943">
        <f>Graph_GenSurg!$B18</f>
        <v>12</v>
      </c>
      <c r="H943" s="165">
        <f>Graph_GenSurg!$F18</f>
        <v>420382.51518086786</v>
      </c>
      <c r="I943" s="160">
        <f>InputData!$C$3</f>
        <v>0.02</v>
      </c>
      <c r="J943" s="160">
        <f>InputData!$C$4</f>
        <v>0.01</v>
      </c>
      <c r="K943" s="160">
        <f>InputData!$C$5</f>
        <v>0.01</v>
      </c>
      <c r="L943" s="160">
        <f>InputData!$C$6</f>
        <v>6.2100000000000002E-2</v>
      </c>
      <c r="M943" s="160">
        <f>InputData!$C$7</f>
        <v>0.03</v>
      </c>
      <c r="N943" s="160">
        <f>InputData!$C$8</f>
        <v>0.02</v>
      </c>
      <c r="O943" s="160">
        <f>InputData!$C$9</f>
        <v>0.06</v>
      </c>
      <c r="P943" s="160">
        <f>InputData!$C$10</f>
        <v>0.02</v>
      </c>
      <c r="Q943" s="160">
        <f>InputData!$C$11</f>
        <v>0.02</v>
      </c>
      <c r="R943" s="160">
        <f>InputData!$C$12</f>
        <v>0.02</v>
      </c>
      <c r="S943" s="160">
        <f>InputData!$C$13</f>
        <v>0.9</v>
      </c>
      <c r="T943" s="116">
        <f>InputData!$C$88</f>
        <v>180000</v>
      </c>
      <c r="U943" s="116">
        <f>InputData!$C$81</f>
        <v>178500</v>
      </c>
      <c r="V943" s="116">
        <f>InputData!$C$82</f>
        <v>303960</v>
      </c>
      <c r="W943" s="116">
        <f>InputData!$C$84</f>
        <v>215220</v>
      </c>
      <c r="X943" s="116">
        <f>InputData!$C$85</f>
        <v>409020</v>
      </c>
      <c r="Y943" s="116">
        <f>InputData!$C$116</f>
        <v>140000</v>
      </c>
      <c r="Z943" s="160">
        <f>InputData!$E$13</f>
        <v>0</v>
      </c>
    </row>
    <row r="944" spans="1:26" x14ac:dyDescent="0.25">
      <c r="A944">
        <f>InputData!$K$1</f>
        <v>2013</v>
      </c>
      <c r="B944" t="str">
        <f>InputData!$G$1</f>
        <v>San Antonio, TX</v>
      </c>
      <c r="C944" t="s">
        <v>5</v>
      </c>
      <c r="D944" t="str">
        <f>Graph_GenSurg!$F$6</f>
        <v>EXT</v>
      </c>
      <c r="E944" t="str">
        <f t="shared" si="14"/>
        <v>General Surgery EXT</v>
      </c>
      <c r="F944">
        <f>Graph_GenSurg!$A19</f>
        <v>2025</v>
      </c>
      <c r="G944">
        <f>Graph_GenSurg!$B19</f>
        <v>13</v>
      </c>
      <c r="H944" s="165">
        <f>Graph_GenSurg!$F19</f>
        <v>558487.81069322745</v>
      </c>
      <c r="I944" s="160">
        <f>InputData!$C$3</f>
        <v>0.02</v>
      </c>
      <c r="J944" s="160">
        <f>InputData!$C$4</f>
        <v>0.01</v>
      </c>
      <c r="K944" s="160">
        <f>InputData!$C$5</f>
        <v>0.01</v>
      </c>
      <c r="L944" s="160">
        <f>InputData!$C$6</f>
        <v>6.2100000000000002E-2</v>
      </c>
      <c r="M944" s="160">
        <f>InputData!$C$7</f>
        <v>0.03</v>
      </c>
      <c r="N944" s="160">
        <f>InputData!$C$8</f>
        <v>0.02</v>
      </c>
      <c r="O944" s="160">
        <f>InputData!$C$9</f>
        <v>0.06</v>
      </c>
      <c r="P944" s="160">
        <f>InputData!$C$10</f>
        <v>0.02</v>
      </c>
      <c r="Q944" s="160">
        <f>InputData!$C$11</f>
        <v>0.02</v>
      </c>
      <c r="R944" s="160">
        <f>InputData!$C$12</f>
        <v>0.02</v>
      </c>
      <c r="S944" s="160">
        <f>InputData!$C$13</f>
        <v>0.9</v>
      </c>
      <c r="T944" s="116">
        <f>InputData!$C$88</f>
        <v>180000</v>
      </c>
      <c r="U944" s="116">
        <f>InputData!$C$81</f>
        <v>178500</v>
      </c>
      <c r="V944" s="116">
        <f>InputData!$C$82</f>
        <v>303960</v>
      </c>
      <c r="W944" s="116">
        <f>InputData!$C$84</f>
        <v>215220</v>
      </c>
      <c r="X944" s="116">
        <f>InputData!$C$85</f>
        <v>409020</v>
      </c>
      <c r="Y944" s="116">
        <f>InputData!$C$116</f>
        <v>140000</v>
      </c>
      <c r="Z944" s="160">
        <f>InputData!$E$13</f>
        <v>0</v>
      </c>
    </row>
    <row r="945" spans="1:26" x14ac:dyDescent="0.25">
      <c r="A945">
        <f>InputData!$K$1</f>
        <v>2013</v>
      </c>
      <c r="B945" t="str">
        <f>InputData!$G$1</f>
        <v>San Antonio, TX</v>
      </c>
      <c r="C945" t="s">
        <v>5</v>
      </c>
      <c r="D945" t="str">
        <f>Graph_GenSurg!$F$6</f>
        <v>EXT</v>
      </c>
      <c r="E945" t="str">
        <f t="shared" si="14"/>
        <v>General Surgery EXT</v>
      </c>
      <c r="F945">
        <f>Graph_GenSurg!$A20</f>
        <v>2026</v>
      </c>
      <c r="G945">
        <f>Graph_GenSurg!$B20</f>
        <v>14</v>
      </c>
      <c r="H945" s="165">
        <f>Graph_GenSurg!$F20</f>
        <v>694155.30629591213</v>
      </c>
      <c r="I945" s="160">
        <f>InputData!$C$3</f>
        <v>0.02</v>
      </c>
      <c r="J945" s="160">
        <f>InputData!$C$4</f>
        <v>0.01</v>
      </c>
      <c r="K945" s="160">
        <f>InputData!$C$5</f>
        <v>0.01</v>
      </c>
      <c r="L945" s="160">
        <f>InputData!$C$6</f>
        <v>6.2100000000000002E-2</v>
      </c>
      <c r="M945" s="160">
        <f>InputData!$C$7</f>
        <v>0.03</v>
      </c>
      <c r="N945" s="160">
        <f>InputData!$C$8</f>
        <v>0.02</v>
      </c>
      <c r="O945" s="160">
        <f>InputData!$C$9</f>
        <v>0.06</v>
      </c>
      <c r="P945" s="160">
        <f>InputData!$C$10</f>
        <v>0.02</v>
      </c>
      <c r="Q945" s="160">
        <f>InputData!$C$11</f>
        <v>0.02</v>
      </c>
      <c r="R945" s="160">
        <f>InputData!$C$12</f>
        <v>0.02</v>
      </c>
      <c r="S945" s="160">
        <f>InputData!$C$13</f>
        <v>0.9</v>
      </c>
      <c r="T945" s="116">
        <f>InputData!$C$88</f>
        <v>180000</v>
      </c>
      <c r="U945" s="116">
        <f>InputData!$C$81</f>
        <v>178500</v>
      </c>
      <c r="V945" s="116">
        <f>InputData!$C$82</f>
        <v>303960</v>
      </c>
      <c r="W945" s="116">
        <f>InputData!$C$84</f>
        <v>215220</v>
      </c>
      <c r="X945" s="116">
        <f>InputData!$C$85</f>
        <v>409020</v>
      </c>
      <c r="Y945" s="116">
        <f>InputData!$C$116</f>
        <v>140000</v>
      </c>
      <c r="Z945" s="160">
        <f>InputData!$E$13</f>
        <v>0</v>
      </c>
    </row>
    <row r="946" spans="1:26" x14ac:dyDescent="0.25">
      <c r="A946">
        <f>InputData!$K$1</f>
        <v>2013</v>
      </c>
      <c r="B946" t="str">
        <f>InputData!$G$1</f>
        <v>San Antonio, TX</v>
      </c>
      <c r="C946" t="s">
        <v>5</v>
      </c>
      <c r="D946" t="str">
        <f>Graph_GenSurg!$F$6</f>
        <v>EXT</v>
      </c>
      <c r="E946" t="str">
        <f t="shared" si="14"/>
        <v>General Surgery EXT</v>
      </c>
      <c r="F946">
        <f>Graph_GenSurg!$A21</f>
        <v>2027</v>
      </c>
      <c r="G946">
        <f>Graph_GenSurg!$B21</f>
        <v>15</v>
      </c>
      <c r="H946" s="165">
        <f>Graph_GenSurg!$F21</f>
        <v>827418.41416873795</v>
      </c>
      <c r="I946" s="160">
        <f>InputData!$C$3</f>
        <v>0.02</v>
      </c>
      <c r="J946" s="160">
        <f>InputData!$C$4</f>
        <v>0.01</v>
      </c>
      <c r="K946" s="160">
        <f>InputData!$C$5</f>
        <v>0.01</v>
      </c>
      <c r="L946" s="160">
        <f>InputData!$C$6</f>
        <v>6.2100000000000002E-2</v>
      </c>
      <c r="M946" s="160">
        <f>InputData!$C$7</f>
        <v>0.03</v>
      </c>
      <c r="N946" s="160">
        <f>InputData!$C$8</f>
        <v>0.02</v>
      </c>
      <c r="O946" s="160">
        <f>InputData!$C$9</f>
        <v>0.06</v>
      </c>
      <c r="P946" s="160">
        <f>InputData!$C$10</f>
        <v>0.02</v>
      </c>
      <c r="Q946" s="160">
        <f>InputData!$C$11</f>
        <v>0.02</v>
      </c>
      <c r="R946" s="160">
        <f>InputData!$C$12</f>
        <v>0.02</v>
      </c>
      <c r="S946" s="160">
        <f>InputData!$C$13</f>
        <v>0.9</v>
      </c>
      <c r="T946" s="116">
        <f>InputData!$C$88</f>
        <v>180000</v>
      </c>
      <c r="U946" s="116">
        <f>InputData!$C$81</f>
        <v>178500</v>
      </c>
      <c r="V946" s="116">
        <f>InputData!$C$82</f>
        <v>303960</v>
      </c>
      <c r="W946" s="116">
        <f>InputData!$C$84</f>
        <v>215220</v>
      </c>
      <c r="X946" s="116">
        <f>InputData!$C$85</f>
        <v>409020</v>
      </c>
      <c r="Y946" s="116">
        <f>InputData!$C$116</f>
        <v>140000</v>
      </c>
      <c r="Z946" s="160">
        <f>InputData!$E$13</f>
        <v>0</v>
      </c>
    </row>
    <row r="947" spans="1:26" x14ac:dyDescent="0.25">
      <c r="A947">
        <f>InputData!$K$1</f>
        <v>2013</v>
      </c>
      <c r="B947" t="str">
        <f>InputData!$G$1</f>
        <v>San Antonio, TX</v>
      </c>
      <c r="C947" t="s">
        <v>5</v>
      </c>
      <c r="D947" t="str">
        <f>Graph_GenSurg!$F$6</f>
        <v>EXT</v>
      </c>
      <c r="E947" t="str">
        <f t="shared" si="14"/>
        <v>General Surgery EXT</v>
      </c>
      <c r="F947">
        <f>Graph_GenSurg!$A22</f>
        <v>2028</v>
      </c>
      <c r="G947">
        <f>Graph_GenSurg!$B22</f>
        <v>16</v>
      </c>
      <c r="H947" s="165">
        <f>Graph_GenSurg!$F22</f>
        <v>958310.624409743</v>
      </c>
      <c r="I947" s="160">
        <f>InputData!$C$3</f>
        <v>0.02</v>
      </c>
      <c r="J947" s="160">
        <f>InputData!$C$4</f>
        <v>0.01</v>
      </c>
      <c r="K947" s="160">
        <f>InputData!$C$5</f>
        <v>0.01</v>
      </c>
      <c r="L947" s="160">
        <f>InputData!$C$6</f>
        <v>6.2100000000000002E-2</v>
      </c>
      <c r="M947" s="160">
        <f>InputData!$C$7</f>
        <v>0.03</v>
      </c>
      <c r="N947" s="160">
        <f>InputData!$C$8</f>
        <v>0.02</v>
      </c>
      <c r="O947" s="160">
        <f>InputData!$C$9</f>
        <v>0.06</v>
      </c>
      <c r="P947" s="160">
        <f>InputData!$C$10</f>
        <v>0.02</v>
      </c>
      <c r="Q947" s="160">
        <f>InputData!$C$11</f>
        <v>0.02</v>
      </c>
      <c r="R947" s="160">
        <f>InputData!$C$12</f>
        <v>0.02</v>
      </c>
      <c r="S947" s="160">
        <f>InputData!$C$13</f>
        <v>0.9</v>
      </c>
      <c r="T947" s="116">
        <f>InputData!$C$88</f>
        <v>180000</v>
      </c>
      <c r="U947" s="116">
        <f>InputData!$C$81</f>
        <v>178500</v>
      </c>
      <c r="V947" s="116">
        <f>InputData!$C$82</f>
        <v>303960</v>
      </c>
      <c r="W947" s="116">
        <f>InputData!$C$84</f>
        <v>215220</v>
      </c>
      <c r="X947" s="116">
        <f>InputData!$C$85</f>
        <v>409020</v>
      </c>
      <c r="Y947" s="116">
        <f>InputData!$C$116</f>
        <v>140000</v>
      </c>
      <c r="Z947" s="160">
        <f>InputData!$E$13</f>
        <v>0</v>
      </c>
    </row>
    <row r="948" spans="1:26" x14ac:dyDescent="0.25">
      <c r="A948">
        <f>InputData!$K$1</f>
        <v>2013</v>
      </c>
      <c r="B948" t="str">
        <f>InputData!$G$1</f>
        <v>San Antonio, TX</v>
      </c>
      <c r="C948" t="s">
        <v>5</v>
      </c>
      <c r="D948" t="str">
        <f>Graph_GenSurg!$F$6</f>
        <v>EXT</v>
      </c>
      <c r="E948" t="str">
        <f t="shared" si="14"/>
        <v>General Surgery EXT</v>
      </c>
      <c r="F948">
        <f>Graph_GenSurg!$A23</f>
        <v>2029</v>
      </c>
      <c r="G948">
        <f>Graph_GenSurg!$B23</f>
        <v>17</v>
      </c>
      <c r="H948" s="165">
        <f>Graph_GenSurg!$F23</f>
        <v>1086865.467033155</v>
      </c>
      <c r="I948" s="160">
        <f>InputData!$C$3</f>
        <v>0.02</v>
      </c>
      <c r="J948" s="160">
        <f>InputData!$C$4</f>
        <v>0.01</v>
      </c>
      <c r="K948" s="160">
        <f>InputData!$C$5</f>
        <v>0.01</v>
      </c>
      <c r="L948" s="160">
        <f>InputData!$C$6</f>
        <v>6.2100000000000002E-2</v>
      </c>
      <c r="M948" s="160">
        <f>InputData!$C$7</f>
        <v>0.03</v>
      </c>
      <c r="N948" s="160">
        <f>InputData!$C$8</f>
        <v>0.02</v>
      </c>
      <c r="O948" s="160">
        <f>InputData!$C$9</f>
        <v>0.06</v>
      </c>
      <c r="P948" s="160">
        <f>InputData!$C$10</f>
        <v>0.02</v>
      </c>
      <c r="Q948" s="160">
        <f>InputData!$C$11</f>
        <v>0.02</v>
      </c>
      <c r="R948" s="160">
        <f>InputData!$C$12</f>
        <v>0.02</v>
      </c>
      <c r="S948" s="160">
        <f>InputData!$C$13</f>
        <v>0.9</v>
      </c>
      <c r="T948" s="116">
        <f>InputData!$C$88</f>
        <v>180000</v>
      </c>
      <c r="U948" s="116">
        <f>InputData!$C$81</f>
        <v>178500</v>
      </c>
      <c r="V948" s="116">
        <f>InputData!$C$82</f>
        <v>303960</v>
      </c>
      <c r="W948" s="116">
        <f>InputData!$C$84</f>
        <v>215220</v>
      </c>
      <c r="X948" s="116">
        <f>InputData!$C$85</f>
        <v>409020</v>
      </c>
      <c r="Y948" s="116">
        <f>InputData!$C$116</f>
        <v>140000</v>
      </c>
      <c r="Z948" s="160">
        <f>InputData!$E$13</f>
        <v>0</v>
      </c>
    </row>
    <row r="949" spans="1:26" x14ac:dyDescent="0.25">
      <c r="A949">
        <f>InputData!$K$1</f>
        <v>2013</v>
      </c>
      <c r="B949" t="str">
        <f>InputData!$G$1</f>
        <v>San Antonio, TX</v>
      </c>
      <c r="C949" t="s">
        <v>5</v>
      </c>
      <c r="D949" t="str">
        <f>Graph_GenSurg!$F$6</f>
        <v>EXT</v>
      </c>
      <c r="E949" t="str">
        <f t="shared" si="14"/>
        <v>General Surgery EXT</v>
      </c>
      <c r="F949">
        <f>Graph_GenSurg!$A24</f>
        <v>2030</v>
      </c>
      <c r="G949">
        <f>Graph_GenSurg!$B24</f>
        <v>18</v>
      </c>
      <c r="H949" s="165">
        <f>Graph_GenSurg!$F24</f>
        <v>1213116.4765032213</v>
      </c>
      <c r="I949" s="160">
        <f>InputData!$C$3</f>
        <v>0.02</v>
      </c>
      <c r="J949" s="160">
        <f>InputData!$C$4</f>
        <v>0.01</v>
      </c>
      <c r="K949" s="160">
        <f>InputData!$C$5</f>
        <v>0.01</v>
      </c>
      <c r="L949" s="160">
        <f>InputData!$C$6</f>
        <v>6.2100000000000002E-2</v>
      </c>
      <c r="M949" s="160">
        <f>InputData!$C$7</f>
        <v>0.03</v>
      </c>
      <c r="N949" s="160">
        <f>InputData!$C$8</f>
        <v>0.02</v>
      </c>
      <c r="O949" s="160">
        <f>InputData!$C$9</f>
        <v>0.06</v>
      </c>
      <c r="P949" s="160">
        <f>InputData!$C$10</f>
        <v>0.02</v>
      </c>
      <c r="Q949" s="160">
        <f>InputData!$C$11</f>
        <v>0.02</v>
      </c>
      <c r="R949" s="160">
        <f>InputData!$C$12</f>
        <v>0.02</v>
      </c>
      <c r="S949" s="160">
        <f>InputData!$C$13</f>
        <v>0.9</v>
      </c>
      <c r="T949" s="116">
        <f>InputData!$C$88</f>
        <v>180000</v>
      </c>
      <c r="U949" s="116">
        <f>InputData!$C$81</f>
        <v>178500</v>
      </c>
      <c r="V949" s="116">
        <f>InputData!$C$82</f>
        <v>303960</v>
      </c>
      <c r="W949" s="116">
        <f>InputData!$C$84</f>
        <v>215220</v>
      </c>
      <c r="X949" s="116">
        <f>InputData!$C$85</f>
        <v>409020</v>
      </c>
      <c r="Y949" s="116">
        <f>InputData!$C$116</f>
        <v>140000</v>
      </c>
      <c r="Z949" s="160">
        <f>InputData!$E$13</f>
        <v>0</v>
      </c>
    </row>
    <row r="950" spans="1:26" x14ac:dyDescent="0.25">
      <c r="A950">
        <f>InputData!$K$1</f>
        <v>2013</v>
      </c>
      <c r="B950" t="str">
        <f>InputData!$G$1</f>
        <v>San Antonio, TX</v>
      </c>
      <c r="C950" t="s">
        <v>5</v>
      </c>
      <c r="D950" t="str">
        <f>Graph_GenSurg!$F$6</f>
        <v>EXT</v>
      </c>
      <c r="E950" t="str">
        <f t="shared" si="14"/>
        <v>General Surgery EXT</v>
      </c>
      <c r="F950">
        <f>Graph_GenSurg!$A25</f>
        <v>2031</v>
      </c>
      <c r="G950">
        <f>Graph_GenSurg!$B25</f>
        <v>19</v>
      </c>
      <c r="H950" s="165">
        <f>Graph_GenSurg!$F25</f>
        <v>1337097.158666939</v>
      </c>
      <c r="I950" s="160">
        <f>InputData!$C$3</f>
        <v>0.02</v>
      </c>
      <c r="J950" s="160">
        <f>InputData!$C$4</f>
        <v>0.01</v>
      </c>
      <c r="K950" s="160">
        <f>InputData!$C$5</f>
        <v>0.01</v>
      </c>
      <c r="L950" s="160">
        <f>InputData!$C$6</f>
        <v>6.2100000000000002E-2</v>
      </c>
      <c r="M950" s="160">
        <f>InputData!$C$7</f>
        <v>0.03</v>
      </c>
      <c r="N950" s="160">
        <f>InputData!$C$8</f>
        <v>0.02</v>
      </c>
      <c r="O950" s="160">
        <f>InputData!$C$9</f>
        <v>0.06</v>
      </c>
      <c r="P950" s="160">
        <f>InputData!$C$10</f>
        <v>0.02</v>
      </c>
      <c r="Q950" s="160">
        <f>InputData!$C$11</f>
        <v>0.02</v>
      </c>
      <c r="R950" s="160">
        <f>InputData!$C$12</f>
        <v>0.02</v>
      </c>
      <c r="S950" s="160">
        <f>InputData!$C$13</f>
        <v>0.9</v>
      </c>
      <c r="T950" s="116">
        <f>InputData!$C$88</f>
        <v>180000</v>
      </c>
      <c r="U950" s="116">
        <f>InputData!$C$81</f>
        <v>178500</v>
      </c>
      <c r="V950" s="116">
        <f>InputData!$C$82</f>
        <v>303960</v>
      </c>
      <c r="W950" s="116">
        <f>InputData!$C$84</f>
        <v>215220</v>
      </c>
      <c r="X950" s="116">
        <f>InputData!$C$85</f>
        <v>409020</v>
      </c>
      <c r="Y950" s="116">
        <f>InputData!$C$116</f>
        <v>140000</v>
      </c>
      <c r="Z950" s="160">
        <f>InputData!$E$13</f>
        <v>0</v>
      </c>
    </row>
    <row r="951" spans="1:26" x14ac:dyDescent="0.25">
      <c r="A951">
        <f>InputData!$K$1</f>
        <v>2013</v>
      </c>
      <c r="B951" t="str">
        <f>InputData!$G$1</f>
        <v>San Antonio, TX</v>
      </c>
      <c r="C951" t="s">
        <v>5</v>
      </c>
      <c r="D951" t="str">
        <f>Graph_GenSurg!$F$6</f>
        <v>EXT</v>
      </c>
      <c r="E951" t="str">
        <f t="shared" si="14"/>
        <v>General Surgery EXT</v>
      </c>
      <c r="F951">
        <f>Graph_GenSurg!$A26</f>
        <v>2032</v>
      </c>
      <c r="G951">
        <f>Graph_GenSurg!$B26</f>
        <v>20</v>
      </c>
      <c r="H951" s="165">
        <f>Graph_GenSurg!$F26</f>
        <v>1458840.9599556448</v>
      </c>
      <c r="I951" s="160">
        <f>InputData!$C$3</f>
        <v>0.02</v>
      </c>
      <c r="J951" s="160">
        <f>InputData!$C$4</f>
        <v>0.01</v>
      </c>
      <c r="K951" s="160">
        <f>InputData!$C$5</f>
        <v>0.01</v>
      </c>
      <c r="L951" s="160">
        <f>InputData!$C$6</f>
        <v>6.2100000000000002E-2</v>
      </c>
      <c r="M951" s="160">
        <f>InputData!$C$7</f>
        <v>0.03</v>
      </c>
      <c r="N951" s="160">
        <f>InputData!$C$8</f>
        <v>0.02</v>
      </c>
      <c r="O951" s="160">
        <f>InputData!$C$9</f>
        <v>0.06</v>
      </c>
      <c r="P951" s="160">
        <f>InputData!$C$10</f>
        <v>0.02</v>
      </c>
      <c r="Q951" s="160">
        <f>InputData!$C$11</f>
        <v>0.02</v>
      </c>
      <c r="R951" s="160">
        <f>InputData!$C$12</f>
        <v>0.02</v>
      </c>
      <c r="S951" s="160">
        <f>InputData!$C$13</f>
        <v>0.9</v>
      </c>
      <c r="T951" s="116">
        <f>InputData!$C$88</f>
        <v>180000</v>
      </c>
      <c r="U951" s="116">
        <f>InputData!$C$81</f>
        <v>178500</v>
      </c>
      <c r="V951" s="116">
        <f>InputData!$C$82</f>
        <v>303960</v>
      </c>
      <c r="W951" s="116">
        <f>InputData!$C$84</f>
        <v>215220</v>
      </c>
      <c r="X951" s="116">
        <f>InputData!$C$85</f>
        <v>409020</v>
      </c>
      <c r="Y951" s="116">
        <f>InputData!$C$116</f>
        <v>140000</v>
      </c>
      <c r="Z951" s="160">
        <f>InputData!$E$13</f>
        <v>0</v>
      </c>
    </row>
    <row r="952" spans="1:26" x14ac:dyDescent="0.25">
      <c r="A952">
        <f>InputData!$K$1</f>
        <v>2013</v>
      </c>
      <c r="B952" t="str">
        <f>InputData!$G$1</f>
        <v>San Antonio, TX</v>
      </c>
      <c r="C952" t="s">
        <v>5</v>
      </c>
      <c r="D952" t="str">
        <f>Graph_GenSurg!$F$6</f>
        <v>EXT</v>
      </c>
      <c r="E952" t="str">
        <f t="shared" si="14"/>
        <v>General Surgery EXT</v>
      </c>
      <c r="F952">
        <f>Graph_GenSurg!$A27</f>
        <v>2033</v>
      </c>
      <c r="G952">
        <f>Graph_GenSurg!$B27</f>
        <v>21</v>
      </c>
      <c r="H952" s="165">
        <f>Graph_GenSurg!$F27</f>
        <v>1578381.2387319924</v>
      </c>
      <c r="I952" s="160">
        <f>InputData!$C$3</f>
        <v>0.02</v>
      </c>
      <c r="J952" s="160">
        <f>InputData!$C$4</f>
        <v>0.01</v>
      </c>
      <c r="K952" s="160">
        <f>InputData!$C$5</f>
        <v>0.01</v>
      </c>
      <c r="L952" s="160">
        <f>InputData!$C$6</f>
        <v>6.2100000000000002E-2</v>
      </c>
      <c r="M952" s="160">
        <f>InputData!$C$7</f>
        <v>0.03</v>
      </c>
      <c r="N952" s="160">
        <f>InputData!$C$8</f>
        <v>0.02</v>
      </c>
      <c r="O952" s="160">
        <f>InputData!$C$9</f>
        <v>0.06</v>
      </c>
      <c r="P952" s="160">
        <f>InputData!$C$10</f>
        <v>0.02</v>
      </c>
      <c r="Q952" s="160">
        <f>InputData!$C$11</f>
        <v>0.02</v>
      </c>
      <c r="R952" s="160">
        <f>InputData!$C$12</f>
        <v>0.02</v>
      </c>
      <c r="S952" s="160">
        <f>InputData!$C$13</f>
        <v>0.9</v>
      </c>
      <c r="T952" s="116">
        <f>InputData!$C$88</f>
        <v>180000</v>
      </c>
      <c r="U952" s="116">
        <f>InputData!$C$81</f>
        <v>178500</v>
      </c>
      <c r="V952" s="116">
        <f>InputData!$C$82</f>
        <v>303960</v>
      </c>
      <c r="W952" s="116">
        <f>InputData!$C$84</f>
        <v>215220</v>
      </c>
      <c r="X952" s="116">
        <f>InputData!$C$85</f>
        <v>409020</v>
      </c>
      <c r="Y952" s="116">
        <f>InputData!$C$116</f>
        <v>140000</v>
      </c>
      <c r="Z952" s="160">
        <f>InputData!$E$13</f>
        <v>0</v>
      </c>
    </row>
    <row r="953" spans="1:26" x14ac:dyDescent="0.25">
      <c r="A953">
        <f>InputData!$K$1</f>
        <v>2013</v>
      </c>
      <c r="B953" t="str">
        <f>InputData!$G$1</f>
        <v>San Antonio, TX</v>
      </c>
      <c r="C953" t="s">
        <v>5</v>
      </c>
      <c r="D953" t="str">
        <f>Graph_GenSurg!$F$6</f>
        <v>EXT</v>
      </c>
      <c r="E953" t="str">
        <f t="shared" si="14"/>
        <v>General Surgery EXT</v>
      </c>
      <c r="F953">
        <f>Graph_GenSurg!$A28</f>
        <v>2034</v>
      </c>
      <c r="G953">
        <f>Graph_GenSurg!$B28</f>
        <v>22</v>
      </c>
      <c r="H953" s="165">
        <f>Graph_GenSurg!$F28</f>
        <v>1695751.2386651034</v>
      </c>
      <c r="I953" s="160">
        <f>InputData!$C$3</f>
        <v>0.02</v>
      </c>
      <c r="J953" s="160">
        <f>InputData!$C$4</f>
        <v>0.01</v>
      </c>
      <c r="K953" s="160">
        <f>InputData!$C$5</f>
        <v>0.01</v>
      </c>
      <c r="L953" s="160">
        <f>InputData!$C$6</f>
        <v>6.2100000000000002E-2</v>
      </c>
      <c r="M953" s="160">
        <f>InputData!$C$7</f>
        <v>0.03</v>
      </c>
      <c r="N953" s="160">
        <f>InputData!$C$8</f>
        <v>0.02</v>
      </c>
      <c r="O953" s="160">
        <f>InputData!$C$9</f>
        <v>0.06</v>
      </c>
      <c r="P953" s="160">
        <f>InputData!$C$10</f>
        <v>0.02</v>
      </c>
      <c r="Q953" s="160">
        <f>InputData!$C$11</f>
        <v>0.02</v>
      </c>
      <c r="R953" s="160">
        <f>InputData!$C$12</f>
        <v>0.02</v>
      </c>
      <c r="S953" s="160">
        <f>InputData!$C$13</f>
        <v>0.9</v>
      </c>
      <c r="T953" s="116">
        <f>InputData!$C$88</f>
        <v>180000</v>
      </c>
      <c r="U953" s="116">
        <f>InputData!$C$81</f>
        <v>178500</v>
      </c>
      <c r="V953" s="116">
        <f>InputData!$C$82</f>
        <v>303960</v>
      </c>
      <c r="W953" s="116">
        <f>InputData!$C$84</f>
        <v>215220</v>
      </c>
      <c r="X953" s="116">
        <f>InputData!$C$85</f>
        <v>409020</v>
      </c>
      <c r="Y953" s="116">
        <f>InputData!$C$116</f>
        <v>140000</v>
      </c>
      <c r="Z953" s="160">
        <f>InputData!$E$13</f>
        <v>0</v>
      </c>
    </row>
    <row r="954" spans="1:26" x14ac:dyDescent="0.25">
      <c r="A954">
        <f>InputData!$K$1</f>
        <v>2013</v>
      </c>
      <c r="B954" t="str">
        <f>InputData!$G$1</f>
        <v>San Antonio, TX</v>
      </c>
      <c r="C954" t="s">
        <v>5</v>
      </c>
      <c r="D954" t="str">
        <f>Graph_GenSurg!$F$6</f>
        <v>EXT</v>
      </c>
      <c r="E954" t="str">
        <f t="shared" si="14"/>
        <v>General Surgery EXT</v>
      </c>
      <c r="F954">
        <f>Graph_GenSurg!$A29</f>
        <v>2035</v>
      </c>
      <c r="G954">
        <f>Graph_GenSurg!$B29</f>
        <v>23</v>
      </c>
      <c r="H954" s="165">
        <f>Graph_GenSurg!$F29</f>
        <v>1810984.0640226183</v>
      </c>
      <c r="I954" s="160">
        <f>InputData!$C$3</f>
        <v>0.02</v>
      </c>
      <c r="J954" s="160">
        <f>InputData!$C$4</f>
        <v>0.01</v>
      </c>
      <c r="K954" s="160">
        <f>InputData!$C$5</f>
        <v>0.01</v>
      </c>
      <c r="L954" s="160">
        <f>InputData!$C$6</f>
        <v>6.2100000000000002E-2</v>
      </c>
      <c r="M954" s="160">
        <f>InputData!$C$7</f>
        <v>0.03</v>
      </c>
      <c r="N954" s="160">
        <f>InputData!$C$8</f>
        <v>0.02</v>
      </c>
      <c r="O954" s="160">
        <f>InputData!$C$9</f>
        <v>0.06</v>
      </c>
      <c r="P954" s="160">
        <f>InputData!$C$10</f>
        <v>0.02</v>
      </c>
      <c r="Q954" s="160">
        <f>InputData!$C$11</f>
        <v>0.02</v>
      </c>
      <c r="R954" s="160">
        <f>InputData!$C$12</f>
        <v>0.02</v>
      </c>
      <c r="S954" s="160">
        <f>InputData!$C$13</f>
        <v>0.9</v>
      </c>
      <c r="T954" s="116">
        <f>InputData!$C$88</f>
        <v>180000</v>
      </c>
      <c r="U954" s="116">
        <f>InputData!$C$81</f>
        <v>178500</v>
      </c>
      <c r="V954" s="116">
        <f>InputData!$C$82</f>
        <v>303960</v>
      </c>
      <c r="W954" s="116">
        <f>InputData!$C$84</f>
        <v>215220</v>
      </c>
      <c r="X954" s="116">
        <f>InputData!$C$85</f>
        <v>409020</v>
      </c>
      <c r="Y954" s="116">
        <f>InputData!$C$116</f>
        <v>140000</v>
      </c>
      <c r="Z954" s="160">
        <f>InputData!$E$13</f>
        <v>0</v>
      </c>
    </row>
    <row r="955" spans="1:26" x14ac:dyDescent="0.25">
      <c r="A955">
        <f>InputData!$K$1</f>
        <v>2013</v>
      </c>
      <c r="B955" t="str">
        <f>InputData!$G$1</f>
        <v>San Antonio, TX</v>
      </c>
      <c r="C955" t="s">
        <v>5</v>
      </c>
      <c r="D955" t="str">
        <f>Graph_GenSurg!$F$6</f>
        <v>EXT</v>
      </c>
      <c r="E955" t="str">
        <f t="shared" si="14"/>
        <v>General Surgery EXT</v>
      </c>
      <c r="F955">
        <f>Graph_GenSurg!$A30</f>
        <v>2036</v>
      </c>
      <c r="G955">
        <f>Graph_GenSurg!$B30</f>
        <v>24</v>
      </c>
      <c r="H955" s="165">
        <f>Graph_GenSurg!$F30</f>
        <v>1924112.656774028</v>
      </c>
      <c r="I955" s="160">
        <f>InputData!$C$3</f>
        <v>0.02</v>
      </c>
      <c r="J955" s="160">
        <f>InputData!$C$4</f>
        <v>0.01</v>
      </c>
      <c r="K955" s="160">
        <f>InputData!$C$5</f>
        <v>0.01</v>
      </c>
      <c r="L955" s="160">
        <f>InputData!$C$6</f>
        <v>6.2100000000000002E-2</v>
      </c>
      <c r="M955" s="160">
        <f>InputData!$C$7</f>
        <v>0.03</v>
      </c>
      <c r="N955" s="160">
        <f>InputData!$C$8</f>
        <v>0.02</v>
      </c>
      <c r="O955" s="160">
        <f>InputData!$C$9</f>
        <v>0.06</v>
      </c>
      <c r="P955" s="160">
        <f>InputData!$C$10</f>
        <v>0.02</v>
      </c>
      <c r="Q955" s="160">
        <f>InputData!$C$11</f>
        <v>0.02</v>
      </c>
      <c r="R955" s="160">
        <f>InputData!$C$12</f>
        <v>0.02</v>
      </c>
      <c r="S955" s="160">
        <f>InputData!$C$13</f>
        <v>0.9</v>
      </c>
      <c r="T955" s="116">
        <f>InputData!$C$88</f>
        <v>180000</v>
      </c>
      <c r="U955" s="116">
        <f>InputData!$C$81</f>
        <v>178500</v>
      </c>
      <c r="V955" s="116">
        <f>InputData!$C$82</f>
        <v>303960</v>
      </c>
      <c r="W955" s="116">
        <f>InputData!$C$84</f>
        <v>215220</v>
      </c>
      <c r="X955" s="116">
        <f>InputData!$C$85</f>
        <v>409020</v>
      </c>
      <c r="Y955" s="116">
        <f>InputData!$C$116</f>
        <v>140000</v>
      </c>
      <c r="Z955" s="160">
        <f>InputData!$E$13</f>
        <v>0</v>
      </c>
    </row>
    <row r="956" spans="1:26" x14ac:dyDescent="0.25">
      <c r="A956">
        <f>InputData!$K$1</f>
        <v>2013</v>
      </c>
      <c r="B956" t="str">
        <f>InputData!$G$1</f>
        <v>San Antonio, TX</v>
      </c>
      <c r="C956" t="s">
        <v>5</v>
      </c>
      <c r="D956" t="str">
        <f>Graph_GenSurg!$F$6</f>
        <v>EXT</v>
      </c>
      <c r="E956" t="str">
        <f t="shared" si="14"/>
        <v>General Surgery EXT</v>
      </c>
      <c r="F956">
        <f>Graph_GenSurg!$A31</f>
        <v>2037</v>
      </c>
      <c r="G956">
        <f>Graph_GenSurg!$B31</f>
        <v>25</v>
      </c>
      <c r="H956" s="165">
        <f>Graph_GenSurg!$F31</f>
        <v>2035169.775405037</v>
      </c>
      <c r="I956" s="160">
        <f>InputData!$C$3</f>
        <v>0.02</v>
      </c>
      <c r="J956" s="160">
        <f>InputData!$C$4</f>
        <v>0.01</v>
      </c>
      <c r="K956" s="160">
        <f>InputData!$C$5</f>
        <v>0.01</v>
      </c>
      <c r="L956" s="160">
        <f>InputData!$C$6</f>
        <v>6.2100000000000002E-2</v>
      </c>
      <c r="M956" s="160">
        <f>InputData!$C$7</f>
        <v>0.03</v>
      </c>
      <c r="N956" s="160">
        <f>InputData!$C$8</f>
        <v>0.02</v>
      </c>
      <c r="O956" s="160">
        <f>InputData!$C$9</f>
        <v>0.06</v>
      </c>
      <c r="P956" s="160">
        <f>InputData!$C$10</f>
        <v>0.02</v>
      </c>
      <c r="Q956" s="160">
        <f>InputData!$C$11</f>
        <v>0.02</v>
      </c>
      <c r="R956" s="160">
        <f>InputData!$C$12</f>
        <v>0.02</v>
      </c>
      <c r="S956" s="160">
        <f>InputData!$C$13</f>
        <v>0.9</v>
      </c>
      <c r="T956" s="116">
        <f>InputData!$C$88</f>
        <v>180000</v>
      </c>
      <c r="U956" s="116">
        <f>InputData!$C$81</f>
        <v>178500</v>
      </c>
      <c r="V956" s="116">
        <f>InputData!$C$82</f>
        <v>303960</v>
      </c>
      <c r="W956" s="116">
        <f>InputData!$C$84</f>
        <v>215220</v>
      </c>
      <c r="X956" s="116">
        <f>InputData!$C$85</f>
        <v>409020</v>
      </c>
      <c r="Y956" s="116">
        <f>InputData!$C$116</f>
        <v>140000</v>
      </c>
      <c r="Z956" s="160">
        <f>InputData!$E$13</f>
        <v>0</v>
      </c>
    </row>
    <row r="957" spans="1:26" x14ac:dyDescent="0.25">
      <c r="A957">
        <f>InputData!$K$1</f>
        <v>2013</v>
      </c>
      <c r="B957" t="str">
        <f>InputData!$G$1</f>
        <v>San Antonio, TX</v>
      </c>
      <c r="C957" t="s">
        <v>5</v>
      </c>
      <c r="D957" t="str">
        <f>Graph_GenSurg!$F$6</f>
        <v>EXT</v>
      </c>
      <c r="E957" t="str">
        <f t="shared" si="14"/>
        <v>General Surgery EXT</v>
      </c>
      <c r="F957">
        <f>Graph_GenSurg!$A32</f>
        <v>2038</v>
      </c>
      <c r="G957">
        <f>Graph_GenSurg!$B32</f>
        <v>26</v>
      </c>
      <c r="H957" s="165">
        <f>Graph_GenSurg!$F32</f>
        <v>2144187.9753478169</v>
      </c>
      <c r="I957" s="160">
        <f>InputData!$C$3</f>
        <v>0.02</v>
      </c>
      <c r="J957" s="160">
        <f>InputData!$C$4</f>
        <v>0.01</v>
      </c>
      <c r="K957" s="160">
        <f>InputData!$C$5</f>
        <v>0.01</v>
      </c>
      <c r="L957" s="160">
        <f>InputData!$C$6</f>
        <v>6.2100000000000002E-2</v>
      </c>
      <c r="M957" s="160">
        <f>InputData!$C$7</f>
        <v>0.03</v>
      </c>
      <c r="N957" s="160">
        <f>InputData!$C$8</f>
        <v>0.02</v>
      </c>
      <c r="O957" s="160">
        <f>InputData!$C$9</f>
        <v>0.06</v>
      </c>
      <c r="P957" s="160">
        <f>InputData!$C$10</f>
        <v>0.02</v>
      </c>
      <c r="Q957" s="160">
        <f>InputData!$C$11</f>
        <v>0.02</v>
      </c>
      <c r="R957" s="160">
        <f>InputData!$C$12</f>
        <v>0.02</v>
      </c>
      <c r="S957" s="160">
        <f>InputData!$C$13</f>
        <v>0.9</v>
      </c>
      <c r="T957" s="116">
        <f>InputData!$C$88</f>
        <v>180000</v>
      </c>
      <c r="U957" s="116">
        <f>InputData!$C$81</f>
        <v>178500</v>
      </c>
      <c r="V957" s="116">
        <f>InputData!$C$82</f>
        <v>303960</v>
      </c>
      <c r="W957" s="116">
        <f>InputData!$C$84</f>
        <v>215220</v>
      </c>
      <c r="X957" s="116">
        <f>InputData!$C$85</f>
        <v>409020</v>
      </c>
      <c r="Y957" s="116">
        <f>InputData!$C$116</f>
        <v>140000</v>
      </c>
      <c r="Z957" s="160">
        <f>InputData!$E$13</f>
        <v>0</v>
      </c>
    </row>
    <row r="958" spans="1:26" x14ac:dyDescent="0.25">
      <c r="A958">
        <f>InputData!$K$1</f>
        <v>2013</v>
      </c>
      <c r="B958" t="str">
        <f>InputData!$G$1</f>
        <v>San Antonio, TX</v>
      </c>
      <c r="C958" t="s">
        <v>5</v>
      </c>
      <c r="D958" t="str">
        <f>Graph_GenSurg!$F$6</f>
        <v>EXT</v>
      </c>
      <c r="E958" t="str">
        <f t="shared" si="14"/>
        <v>General Surgery EXT</v>
      </c>
      <c r="F958">
        <f>Graph_GenSurg!$A33</f>
        <v>2039</v>
      </c>
      <c r="G958">
        <f>Graph_GenSurg!$B33</f>
        <v>27</v>
      </c>
      <c r="H958" s="165">
        <f>Graph_GenSurg!$F33</f>
        <v>2251199.5909368666</v>
      </c>
      <c r="I958" s="160">
        <f>InputData!$C$3</f>
        <v>0.02</v>
      </c>
      <c r="J958" s="160">
        <f>InputData!$C$4</f>
        <v>0.01</v>
      </c>
      <c r="K958" s="160">
        <f>InputData!$C$5</f>
        <v>0.01</v>
      </c>
      <c r="L958" s="160">
        <f>InputData!$C$6</f>
        <v>6.2100000000000002E-2</v>
      </c>
      <c r="M958" s="160">
        <f>InputData!$C$7</f>
        <v>0.03</v>
      </c>
      <c r="N958" s="160">
        <f>InputData!$C$8</f>
        <v>0.02</v>
      </c>
      <c r="O958" s="160">
        <f>InputData!$C$9</f>
        <v>0.06</v>
      </c>
      <c r="P958" s="160">
        <f>InputData!$C$10</f>
        <v>0.02</v>
      </c>
      <c r="Q958" s="160">
        <f>InputData!$C$11</f>
        <v>0.02</v>
      </c>
      <c r="R958" s="160">
        <f>InputData!$C$12</f>
        <v>0.02</v>
      </c>
      <c r="S958" s="160">
        <f>InputData!$C$13</f>
        <v>0.9</v>
      </c>
      <c r="T958" s="116">
        <f>InputData!$C$88</f>
        <v>180000</v>
      </c>
      <c r="U958" s="116">
        <f>InputData!$C$81</f>
        <v>178500</v>
      </c>
      <c r="V958" s="116">
        <f>InputData!$C$82</f>
        <v>303960</v>
      </c>
      <c r="W958" s="116">
        <f>InputData!$C$84</f>
        <v>215220</v>
      </c>
      <c r="X958" s="116">
        <f>InputData!$C$85</f>
        <v>409020</v>
      </c>
      <c r="Y958" s="116">
        <f>InputData!$C$116</f>
        <v>140000</v>
      </c>
      <c r="Z958" s="160">
        <f>InputData!$E$13</f>
        <v>0</v>
      </c>
    </row>
    <row r="959" spans="1:26" x14ac:dyDescent="0.25">
      <c r="A959">
        <f>InputData!$K$1</f>
        <v>2013</v>
      </c>
      <c r="B959" t="str">
        <f>InputData!$G$1</f>
        <v>San Antonio, TX</v>
      </c>
      <c r="C959" t="s">
        <v>5</v>
      </c>
      <c r="D959" t="str">
        <f>Graph_GenSurg!$F$6</f>
        <v>EXT</v>
      </c>
      <c r="E959" t="str">
        <f t="shared" si="14"/>
        <v>General Surgery EXT</v>
      </c>
      <c r="F959">
        <f>Graph_GenSurg!$A34</f>
        <v>2040</v>
      </c>
      <c r="G959">
        <f>Graph_GenSurg!$B34</f>
        <v>28</v>
      </c>
      <c r="H959" s="165">
        <f>Graph_GenSurg!$F34</f>
        <v>2356236.7188048083</v>
      </c>
      <c r="I959" s="160">
        <f>InputData!$C$3</f>
        <v>0.02</v>
      </c>
      <c r="J959" s="160">
        <f>InputData!$C$4</f>
        <v>0.01</v>
      </c>
      <c r="K959" s="160">
        <f>InputData!$C$5</f>
        <v>0.01</v>
      </c>
      <c r="L959" s="160">
        <f>InputData!$C$6</f>
        <v>6.2100000000000002E-2</v>
      </c>
      <c r="M959" s="160">
        <f>InputData!$C$7</f>
        <v>0.03</v>
      </c>
      <c r="N959" s="160">
        <f>InputData!$C$8</f>
        <v>0.02</v>
      </c>
      <c r="O959" s="160">
        <f>InputData!$C$9</f>
        <v>0.06</v>
      </c>
      <c r="P959" s="160">
        <f>InputData!$C$10</f>
        <v>0.02</v>
      </c>
      <c r="Q959" s="160">
        <f>InputData!$C$11</f>
        <v>0.02</v>
      </c>
      <c r="R959" s="160">
        <f>InputData!$C$12</f>
        <v>0.02</v>
      </c>
      <c r="S959" s="160">
        <f>InputData!$C$13</f>
        <v>0.9</v>
      </c>
      <c r="T959" s="116">
        <f>InputData!$C$88</f>
        <v>180000</v>
      </c>
      <c r="U959" s="116">
        <f>InputData!$C$81</f>
        <v>178500</v>
      </c>
      <c r="V959" s="116">
        <f>InputData!$C$82</f>
        <v>303960</v>
      </c>
      <c r="W959" s="116">
        <f>InputData!$C$84</f>
        <v>215220</v>
      </c>
      <c r="X959" s="116">
        <f>InputData!$C$85</f>
        <v>409020</v>
      </c>
      <c r="Y959" s="116">
        <f>InputData!$C$116</f>
        <v>140000</v>
      </c>
      <c r="Z959" s="160">
        <f>InputData!$E$13</f>
        <v>0</v>
      </c>
    </row>
    <row r="960" spans="1:26" x14ac:dyDescent="0.25">
      <c r="A960">
        <f>InputData!$K$1</f>
        <v>2013</v>
      </c>
      <c r="B960" t="str">
        <f>InputData!$G$1</f>
        <v>San Antonio, TX</v>
      </c>
      <c r="C960" t="s">
        <v>5</v>
      </c>
      <c r="D960" t="str">
        <f>Graph_GenSurg!$F$6</f>
        <v>EXT</v>
      </c>
      <c r="E960" t="str">
        <f t="shared" si="14"/>
        <v>General Surgery EXT</v>
      </c>
      <c r="F960">
        <f>Graph_GenSurg!$A35</f>
        <v>2041</v>
      </c>
      <c r="G960">
        <f>Graph_GenSurg!$B35</f>
        <v>29</v>
      </c>
      <c r="H960" s="165">
        <f>Graph_GenSurg!$F35</f>
        <v>2459331.2026368375</v>
      </c>
      <c r="I960" s="160">
        <f>InputData!$C$3</f>
        <v>0.02</v>
      </c>
      <c r="J960" s="160">
        <f>InputData!$C$4</f>
        <v>0.01</v>
      </c>
      <c r="K960" s="160">
        <f>InputData!$C$5</f>
        <v>0.01</v>
      </c>
      <c r="L960" s="160">
        <f>InputData!$C$6</f>
        <v>6.2100000000000002E-2</v>
      </c>
      <c r="M960" s="160">
        <f>InputData!$C$7</f>
        <v>0.03</v>
      </c>
      <c r="N960" s="160">
        <f>InputData!$C$8</f>
        <v>0.02</v>
      </c>
      <c r="O960" s="160">
        <f>InputData!$C$9</f>
        <v>0.06</v>
      </c>
      <c r="P960" s="160">
        <f>InputData!$C$10</f>
        <v>0.02</v>
      </c>
      <c r="Q960" s="160">
        <f>InputData!$C$11</f>
        <v>0.02</v>
      </c>
      <c r="R960" s="160">
        <f>InputData!$C$12</f>
        <v>0.02</v>
      </c>
      <c r="S960" s="160">
        <f>InputData!$C$13</f>
        <v>0.9</v>
      </c>
      <c r="T960" s="116">
        <f>InputData!$C$88</f>
        <v>180000</v>
      </c>
      <c r="U960" s="116">
        <f>InputData!$C$81</f>
        <v>178500</v>
      </c>
      <c r="V960" s="116">
        <f>InputData!$C$82</f>
        <v>303960</v>
      </c>
      <c r="W960" s="116">
        <f>InputData!$C$84</f>
        <v>215220</v>
      </c>
      <c r="X960" s="116">
        <f>InputData!$C$85</f>
        <v>409020</v>
      </c>
      <c r="Y960" s="116">
        <f>InputData!$C$116</f>
        <v>140000</v>
      </c>
      <c r="Z960" s="160">
        <f>InputData!$E$13</f>
        <v>0</v>
      </c>
    </row>
    <row r="961" spans="1:26" x14ac:dyDescent="0.25">
      <c r="A961">
        <f>InputData!$K$1</f>
        <v>2013</v>
      </c>
      <c r="B961" t="str">
        <f>InputData!$G$1</f>
        <v>San Antonio, TX</v>
      </c>
      <c r="C961" t="s">
        <v>5</v>
      </c>
      <c r="D961" t="str">
        <f>Graph_GenSurg!$F$6</f>
        <v>EXT</v>
      </c>
      <c r="E961" t="str">
        <f t="shared" si="14"/>
        <v>General Surgery EXT</v>
      </c>
      <c r="F961">
        <f>Graph_GenSurg!$A36</f>
        <v>2042</v>
      </c>
      <c r="G961">
        <f>Graph_GenSurg!$B36</f>
        <v>30</v>
      </c>
      <c r="H961" s="165">
        <f>Graph_GenSurg!$F36</f>
        <v>2560514.6192067116</v>
      </c>
      <c r="I961" s="160">
        <f>InputData!$C$3</f>
        <v>0.02</v>
      </c>
      <c r="J961" s="160">
        <f>InputData!$C$4</f>
        <v>0.01</v>
      </c>
      <c r="K961" s="160">
        <f>InputData!$C$5</f>
        <v>0.01</v>
      </c>
      <c r="L961" s="160">
        <f>InputData!$C$6</f>
        <v>6.2100000000000002E-2</v>
      </c>
      <c r="M961" s="160">
        <f>InputData!$C$7</f>
        <v>0.03</v>
      </c>
      <c r="N961" s="160">
        <f>InputData!$C$8</f>
        <v>0.02</v>
      </c>
      <c r="O961" s="160">
        <f>InputData!$C$9</f>
        <v>0.06</v>
      </c>
      <c r="P961" s="160">
        <f>InputData!$C$10</f>
        <v>0.02</v>
      </c>
      <c r="Q961" s="160">
        <f>InputData!$C$11</f>
        <v>0.02</v>
      </c>
      <c r="R961" s="160">
        <f>InputData!$C$12</f>
        <v>0.02</v>
      </c>
      <c r="S961" s="160">
        <f>InputData!$C$13</f>
        <v>0.9</v>
      </c>
      <c r="T961" s="116">
        <f>InputData!$C$88</f>
        <v>180000</v>
      </c>
      <c r="U961" s="116">
        <f>InputData!$C$81</f>
        <v>178500</v>
      </c>
      <c r="V961" s="116">
        <f>InputData!$C$82</f>
        <v>303960</v>
      </c>
      <c r="W961" s="116">
        <f>InputData!$C$84</f>
        <v>215220</v>
      </c>
      <c r="X961" s="116">
        <f>InputData!$C$85</f>
        <v>409020</v>
      </c>
      <c r="Y961" s="116">
        <f>InputData!$C$116</f>
        <v>140000</v>
      </c>
      <c r="Z961" s="160">
        <f>InputData!$E$13</f>
        <v>0</v>
      </c>
    </row>
    <row r="962" spans="1:26" x14ac:dyDescent="0.25">
      <c r="A962">
        <f>InputData!$K$1</f>
        <v>2013</v>
      </c>
      <c r="B962" t="str">
        <f>InputData!$G$1</f>
        <v>San Antonio, TX</v>
      </c>
      <c r="C962" t="s">
        <v>5</v>
      </c>
      <c r="D962" t="str">
        <f>Graph_GenSurg!$G$6</f>
        <v>IBR</v>
      </c>
      <c r="E962" t="str">
        <f t="shared" si="14"/>
        <v>General Surgery IBR</v>
      </c>
      <c r="F962">
        <f>Graph_GenSurg!$A7</f>
        <v>2013</v>
      </c>
      <c r="G962">
        <f>Graph_GenSurg!$B7</f>
        <v>1</v>
      </c>
      <c r="H962" s="165">
        <f>Graph_GenSurg!$G7</f>
        <v>-43015.05</v>
      </c>
      <c r="I962" s="160">
        <f>InputData!$C$3</f>
        <v>0.02</v>
      </c>
      <c r="J962" s="160">
        <f>InputData!$C$4</f>
        <v>0.01</v>
      </c>
      <c r="K962" s="160">
        <f>InputData!$C$5</f>
        <v>0.01</v>
      </c>
      <c r="L962" s="160">
        <f>InputData!$C$6</f>
        <v>6.2100000000000002E-2</v>
      </c>
      <c r="M962" s="160">
        <f>InputData!$C$7</f>
        <v>0.03</v>
      </c>
      <c r="N962" s="160">
        <f>InputData!$C$8</f>
        <v>0.02</v>
      </c>
      <c r="O962" s="160">
        <f>InputData!$C$9</f>
        <v>0.06</v>
      </c>
      <c r="P962" s="160">
        <f>InputData!$C$10</f>
        <v>0.02</v>
      </c>
      <c r="Q962" s="160">
        <f>InputData!$C$11</f>
        <v>0.02</v>
      </c>
      <c r="R962" s="160">
        <f>InputData!$C$12</f>
        <v>0.02</v>
      </c>
      <c r="S962" s="160">
        <f>InputData!$C$13</f>
        <v>0.9</v>
      </c>
      <c r="T962" s="116">
        <f>InputData!$C$88</f>
        <v>180000</v>
      </c>
      <c r="U962" s="116">
        <f>InputData!$C$81</f>
        <v>178500</v>
      </c>
      <c r="V962" s="116">
        <f>InputData!$C$82</f>
        <v>303960</v>
      </c>
      <c r="W962" s="116">
        <f>InputData!$C$84</f>
        <v>215220</v>
      </c>
      <c r="X962" s="116">
        <f>InputData!$C$85</f>
        <v>409020</v>
      </c>
      <c r="Y962" s="116">
        <f>InputData!$C$116</f>
        <v>140000</v>
      </c>
      <c r="Z962" s="160">
        <f>InputData!$E$13</f>
        <v>0</v>
      </c>
    </row>
    <row r="963" spans="1:26" x14ac:dyDescent="0.25">
      <c r="A963">
        <f>InputData!$K$1</f>
        <v>2013</v>
      </c>
      <c r="B963" t="str">
        <f>InputData!$G$1</f>
        <v>San Antonio, TX</v>
      </c>
      <c r="C963" t="s">
        <v>5</v>
      </c>
      <c r="D963" t="str">
        <f>Graph_GenSurg!$G$6</f>
        <v>IBR</v>
      </c>
      <c r="E963" t="str">
        <f t="shared" ref="E963:E1026" si="15">C963 &amp; " " &amp; D963</f>
        <v>General Surgery IBR</v>
      </c>
      <c r="F963">
        <f>Graph_GenSurg!$A8</f>
        <v>2014</v>
      </c>
      <c r="G963">
        <f>Graph_GenSurg!$B8</f>
        <v>2</v>
      </c>
      <c r="H963" s="165">
        <f>Graph_GenSurg!$G8</f>
        <v>-86352.285865219877</v>
      </c>
      <c r="I963" s="160">
        <f>InputData!$C$3</f>
        <v>0.02</v>
      </c>
      <c r="J963" s="160">
        <f>InputData!$C$4</f>
        <v>0.01</v>
      </c>
      <c r="K963" s="160">
        <f>InputData!$C$5</f>
        <v>0.01</v>
      </c>
      <c r="L963" s="160">
        <f>InputData!$C$6</f>
        <v>6.2100000000000002E-2</v>
      </c>
      <c r="M963" s="160">
        <f>InputData!$C$7</f>
        <v>0.03</v>
      </c>
      <c r="N963" s="160">
        <f>InputData!$C$8</f>
        <v>0.02</v>
      </c>
      <c r="O963" s="160">
        <f>InputData!$C$9</f>
        <v>0.06</v>
      </c>
      <c r="P963" s="160">
        <f>InputData!$C$10</f>
        <v>0.02</v>
      </c>
      <c r="Q963" s="160">
        <f>InputData!$C$11</f>
        <v>0.02</v>
      </c>
      <c r="R963" s="160">
        <f>InputData!$C$12</f>
        <v>0.02</v>
      </c>
      <c r="S963" s="160">
        <f>InputData!$C$13</f>
        <v>0.9</v>
      </c>
      <c r="T963" s="116">
        <f>InputData!$C$88</f>
        <v>180000</v>
      </c>
      <c r="U963" s="116">
        <f>InputData!$C$81</f>
        <v>178500</v>
      </c>
      <c r="V963" s="116">
        <f>InputData!$C$82</f>
        <v>303960</v>
      </c>
      <c r="W963" s="116">
        <f>InputData!$C$84</f>
        <v>215220</v>
      </c>
      <c r="X963" s="116">
        <f>InputData!$C$85</f>
        <v>409020</v>
      </c>
      <c r="Y963" s="116">
        <f>InputData!$C$116</f>
        <v>140000</v>
      </c>
      <c r="Z963" s="160">
        <f>InputData!$E$13</f>
        <v>0</v>
      </c>
    </row>
    <row r="964" spans="1:26" x14ac:dyDescent="0.25">
      <c r="A964">
        <f>InputData!$K$1</f>
        <v>2013</v>
      </c>
      <c r="B964" t="str">
        <f>InputData!$G$1</f>
        <v>San Antonio, TX</v>
      </c>
      <c r="C964" t="s">
        <v>5</v>
      </c>
      <c r="D964" t="str">
        <f>Graph_GenSurg!$G$6</f>
        <v>IBR</v>
      </c>
      <c r="E964" t="str">
        <f t="shared" si="15"/>
        <v>General Surgery IBR</v>
      </c>
      <c r="F964">
        <f>Graph_GenSurg!$A9</f>
        <v>2015</v>
      </c>
      <c r="G964">
        <f>Graph_GenSurg!$B9</f>
        <v>3</v>
      </c>
      <c r="H964" s="165">
        <f>Graph_GenSurg!$G9</f>
        <v>-138541.19578403595</v>
      </c>
      <c r="I964" s="160">
        <f>InputData!$C$3</f>
        <v>0.02</v>
      </c>
      <c r="J964" s="160">
        <f>InputData!$C$4</f>
        <v>0.01</v>
      </c>
      <c r="K964" s="160">
        <f>InputData!$C$5</f>
        <v>0.01</v>
      </c>
      <c r="L964" s="160">
        <f>InputData!$C$6</f>
        <v>6.2100000000000002E-2</v>
      </c>
      <c r="M964" s="160">
        <f>InputData!$C$7</f>
        <v>0.03</v>
      </c>
      <c r="N964" s="160">
        <f>InputData!$C$8</f>
        <v>0.02</v>
      </c>
      <c r="O964" s="160">
        <f>InputData!$C$9</f>
        <v>0.06</v>
      </c>
      <c r="P964" s="160">
        <f>InputData!$C$10</f>
        <v>0.02</v>
      </c>
      <c r="Q964" s="160">
        <f>InputData!$C$11</f>
        <v>0.02</v>
      </c>
      <c r="R964" s="160">
        <f>InputData!$C$12</f>
        <v>0.02</v>
      </c>
      <c r="S964" s="160">
        <f>InputData!$C$13</f>
        <v>0.9</v>
      </c>
      <c r="T964" s="116">
        <f>InputData!$C$88</f>
        <v>180000</v>
      </c>
      <c r="U964" s="116">
        <f>InputData!$C$81</f>
        <v>178500</v>
      </c>
      <c r="V964" s="116">
        <f>InputData!$C$82</f>
        <v>303960</v>
      </c>
      <c r="W964" s="116">
        <f>InputData!$C$84</f>
        <v>215220</v>
      </c>
      <c r="X964" s="116">
        <f>InputData!$C$85</f>
        <v>409020</v>
      </c>
      <c r="Y964" s="116">
        <f>InputData!$C$116</f>
        <v>140000</v>
      </c>
      <c r="Z964" s="160">
        <f>InputData!$E$13</f>
        <v>0</v>
      </c>
    </row>
    <row r="965" spans="1:26" x14ac:dyDescent="0.25">
      <c r="A965">
        <f>InputData!$K$1</f>
        <v>2013</v>
      </c>
      <c r="B965" t="str">
        <f>InputData!$G$1</f>
        <v>San Antonio, TX</v>
      </c>
      <c r="C965" t="s">
        <v>5</v>
      </c>
      <c r="D965" t="str">
        <f>Graph_GenSurg!$G$6</f>
        <v>IBR</v>
      </c>
      <c r="E965" t="str">
        <f t="shared" si="15"/>
        <v>General Surgery IBR</v>
      </c>
      <c r="F965">
        <f>Graph_GenSurg!$A10</f>
        <v>2016</v>
      </c>
      <c r="G965">
        <f>Graph_GenSurg!$B10</f>
        <v>4</v>
      </c>
      <c r="H965" s="165">
        <f>Graph_GenSurg!$G10</f>
        <v>-190867.38028908212</v>
      </c>
      <c r="I965" s="160">
        <f>InputData!$C$3</f>
        <v>0.02</v>
      </c>
      <c r="J965" s="160">
        <f>InputData!$C$4</f>
        <v>0.01</v>
      </c>
      <c r="K965" s="160">
        <f>InputData!$C$5</f>
        <v>0.01</v>
      </c>
      <c r="L965" s="160">
        <f>InputData!$C$6</f>
        <v>6.2100000000000002E-2</v>
      </c>
      <c r="M965" s="160">
        <f>InputData!$C$7</f>
        <v>0.03</v>
      </c>
      <c r="N965" s="160">
        <f>InputData!$C$8</f>
        <v>0.02</v>
      </c>
      <c r="O965" s="160">
        <f>InputData!$C$9</f>
        <v>0.06</v>
      </c>
      <c r="P965" s="160">
        <f>InputData!$C$10</f>
        <v>0.02</v>
      </c>
      <c r="Q965" s="160">
        <f>InputData!$C$11</f>
        <v>0.02</v>
      </c>
      <c r="R965" s="160">
        <f>InputData!$C$12</f>
        <v>0.02</v>
      </c>
      <c r="S965" s="160">
        <f>InputData!$C$13</f>
        <v>0.9</v>
      </c>
      <c r="T965" s="116">
        <f>InputData!$C$88</f>
        <v>180000</v>
      </c>
      <c r="U965" s="116">
        <f>InputData!$C$81</f>
        <v>178500</v>
      </c>
      <c r="V965" s="116">
        <f>InputData!$C$82</f>
        <v>303960</v>
      </c>
      <c r="W965" s="116">
        <f>InputData!$C$84</f>
        <v>215220</v>
      </c>
      <c r="X965" s="116">
        <f>InputData!$C$85</f>
        <v>409020</v>
      </c>
      <c r="Y965" s="116">
        <f>InputData!$C$116</f>
        <v>140000</v>
      </c>
      <c r="Z965" s="160">
        <f>InputData!$E$13</f>
        <v>0</v>
      </c>
    </row>
    <row r="966" spans="1:26" x14ac:dyDescent="0.25">
      <c r="A966">
        <f>InputData!$K$1</f>
        <v>2013</v>
      </c>
      <c r="B966" t="str">
        <f>InputData!$G$1</f>
        <v>San Antonio, TX</v>
      </c>
      <c r="C966" t="s">
        <v>5</v>
      </c>
      <c r="D966" t="str">
        <f>Graph_GenSurg!$G$6</f>
        <v>IBR</v>
      </c>
      <c r="E966" t="str">
        <f t="shared" si="15"/>
        <v>General Surgery IBR</v>
      </c>
      <c r="F966">
        <f>Graph_GenSurg!$A11</f>
        <v>2017</v>
      </c>
      <c r="G966">
        <f>Graph_GenSurg!$B11</f>
        <v>5</v>
      </c>
      <c r="H966" s="165">
        <f>Graph_GenSurg!$G11</f>
        <v>-154981.05168717628</v>
      </c>
      <c r="I966" s="160">
        <f>InputData!$C$3</f>
        <v>0.02</v>
      </c>
      <c r="J966" s="160">
        <f>InputData!$C$4</f>
        <v>0.01</v>
      </c>
      <c r="K966" s="160">
        <f>InputData!$C$5</f>
        <v>0.01</v>
      </c>
      <c r="L966" s="160">
        <f>InputData!$C$6</f>
        <v>6.2100000000000002E-2</v>
      </c>
      <c r="M966" s="160">
        <f>InputData!$C$7</f>
        <v>0.03</v>
      </c>
      <c r="N966" s="160">
        <f>InputData!$C$8</f>
        <v>0.02</v>
      </c>
      <c r="O966" s="160">
        <f>InputData!$C$9</f>
        <v>0.06</v>
      </c>
      <c r="P966" s="160">
        <f>InputData!$C$10</f>
        <v>0.02</v>
      </c>
      <c r="Q966" s="160">
        <f>InputData!$C$11</f>
        <v>0.02</v>
      </c>
      <c r="R966" s="160">
        <f>InputData!$C$12</f>
        <v>0.02</v>
      </c>
      <c r="S966" s="160">
        <f>InputData!$C$13</f>
        <v>0.9</v>
      </c>
      <c r="T966" s="116">
        <f>InputData!$C$88</f>
        <v>180000</v>
      </c>
      <c r="U966" s="116">
        <f>InputData!$C$81</f>
        <v>178500</v>
      </c>
      <c r="V966" s="116">
        <f>InputData!$C$82</f>
        <v>303960</v>
      </c>
      <c r="W966" s="116">
        <f>InputData!$C$84</f>
        <v>215220</v>
      </c>
      <c r="X966" s="116">
        <f>InputData!$C$85</f>
        <v>409020</v>
      </c>
      <c r="Y966" s="116">
        <f>InputData!$C$116</f>
        <v>140000</v>
      </c>
      <c r="Z966" s="160">
        <f>InputData!$E$13</f>
        <v>0</v>
      </c>
    </row>
    <row r="967" spans="1:26" x14ac:dyDescent="0.25">
      <c r="A967">
        <f>InputData!$K$1</f>
        <v>2013</v>
      </c>
      <c r="B967" t="str">
        <f>InputData!$G$1</f>
        <v>San Antonio, TX</v>
      </c>
      <c r="C967" t="s">
        <v>5</v>
      </c>
      <c r="D967" t="str">
        <f>Graph_GenSurg!$G$6</f>
        <v>IBR</v>
      </c>
      <c r="E967" t="str">
        <f t="shared" si="15"/>
        <v>General Surgery IBR</v>
      </c>
      <c r="F967">
        <f>Graph_GenSurg!$A12</f>
        <v>2018</v>
      </c>
      <c r="G967">
        <f>Graph_GenSurg!$B12</f>
        <v>6</v>
      </c>
      <c r="H967" s="165">
        <f>Graph_GenSurg!$G12</f>
        <v>-118995.92937851879</v>
      </c>
      <c r="I967" s="160">
        <f>InputData!$C$3</f>
        <v>0.02</v>
      </c>
      <c r="J967" s="160">
        <f>InputData!$C$4</f>
        <v>0.01</v>
      </c>
      <c r="K967" s="160">
        <f>InputData!$C$5</f>
        <v>0.01</v>
      </c>
      <c r="L967" s="160">
        <f>InputData!$C$6</f>
        <v>6.2100000000000002E-2</v>
      </c>
      <c r="M967" s="160">
        <f>InputData!$C$7</f>
        <v>0.03</v>
      </c>
      <c r="N967" s="160">
        <f>InputData!$C$8</f>
        <v>0.02</v>
      </c>
      <c r="O967" s="160">
        <f>InputData!$C$9</f>
        <v>0.06</v>
      </c>
      <c r="P967" s="160">
        <f>InputData!$C$10</f>
        <v>0.02</v>
      </c>
      <c r="Q967" s="160">
        <f>InputData!$C$11</f>
        <v>0.02</v>
      </c>
      <c r="R967" s="160">
        <f>InputData!$C$12</f>
        <v>0.02</v>
      </c>
      <c r="S967" s="160">
        <f>InputData!$C$13</f>
        <v>0.9</v>
      </c>
      <c r="T967" s="116">
        <f>InputData!$C$88</f>
        <v>180000</v>
      </c>
      <c r="U967" s="116">
        <f>InputData!$C$81</f>
        <v>178500</v>
      </c>
      <c r="V967" s="116">
        <f>InputData!$C$82</f>
        <v>303960</v>
      </c>
      <c r="W967" s="116">
        <f>InputData!$C$84</f>
        <v>215220</v>
      </c>
      <c r="X967" s="116">
        <f>InputData!$C$85</f>
        <v>409020</v>
      </c>
      <c r="Y967" s="116">
        <f>InputData!$C$116</f>
        <v>140000</v>
      </c>
      <c r="Z967" s="160">
        <f>InputData!$E$13</f>
        <v>0</v>
      </c>
    </row>
    <row r="968" spans="1:26" x14ac:dyDescent="0.25">
      <c r="A968">
        <f>InputData!$K$1</f>
        <v>2013</v>
      </c>
      <c r="B968" t="str">
        <f>InputData!$G$1</f>
        <v>San Antonio, TX</v>
      </c>
      <c r="C968" t="s">
        <v>5</v>
      </c>
      <c r="D968" t="str">
        <f>Graph_GenSurg!$G$6</f>
        <v>IBR</v>
      </c>
      <c r="E968" t="str">
        <f t="shared" si="15"/>
        <v>General Surgery IBR</v>
      </c>
      <c r="F968">
        <f>Graph_GenSurg!$A13</f>
        <v>2019</v>
      </c>
      <c r="G968">
        <f>Graph_GenSurg!$B13</f>
        <v>7</v>
      </c>
      <c r="H968" s="165">
        <f>Graph_GenSurg!$G13</f>
        <v>-82904.654937055282</v>
      </c>
      <c r="I968" s="160">
        <f>InputData!$C$3</f>
        <v>0.02</v>
      </c>
      <c r="J968" s="160">
        <f>InputData!$C$4</f>
        <v>0.01</v>
      </c>
      <c r="K968" s="160">
        <f>InputData!$C$5</f>
        <v>0.01</v>
      </c>
      <c r="L968" s="160">
        <f>InputData!$C$6</f>
        <v>6.2100000000000002E-2</v>
      </c>
      <c r="M968" s="160">
        <f>InputData!$C$7</f>
        <v>0.03</v>
      </c>
      <c r="N968" s="160">
        <f>InputData!$C$8</f>
        <v>0.02</v>
      </c>
      <c r="O968" s="160">
        <f>InputData!$C$9</f>
        <v>0.06</v>
      </c>
      <c r="P968" s="160">
        <f>InputData!$C$10</f>
        <v>0.02</v>
      </c>
      <c r="Q968" s="160">
        <f>InputData!$C$11</f>
        <v>0.02</v>
      </c>
      <c r="R968" s="160">
        <f>InputData!$C$12</f>
        <v>0.02</v>
      </c>
      <c r="S968" s="160">
        <f>InputData!$C$13</f>
        <v>0.9</v>
      </c>
      <c r="T968" s="116">
        <f>InputData!$C$88</f>
        <v>180000</v>
      </c>
      <c r="U968" s="116">
        <f>InputData!$C$81</f>
        <v>178500</v>
      </c>
      <c r="V968" s="116">
        <f>InputData!$C$82</f>
        <v>303960</v>
      </c>
      <c r="W968" s="116">
        <f>InputData!$C$84</f>
        <v>215220</v>
      </c>
      <c r="X968" s="116">
        <f>InputData!$C$85</f>
        <v>409020</v>
      </c>
      <c r="Y968" s="116">
        <f>InputData!$C$116</f>
        <v>140000</v>
      </c>
      <c r="Z968" s="160">
        <f>InputData!$E$13</f>
        <v>0</v>
      </c>
    </row>
    <row r="969" spans="1:26" x14ac:dyDescent="0.25">
      <c r="A969">
        <f>InputData!$K$1</f>
        <v>2013</v>
      </c>
      <c r="B969" t="str">
        <f>InputData!$G$1</f>
        <v>San Antonio, TX</v>
      </c>
      <c r="C969" t="s">
        <v>5</v>
      </c>
      <c r="D969" t="str">
        <f>Graph_GenSurg!$G$6</f>
        <v>IBR</v>
      </c>
      <c r="E969" t="str">
        <f t="shared" si="15"/>
        <v>General Surgery IBR</v>
      </c>
      <c r="F969">
        <f>Graph_GenSurg!$A14</f>
        <v>2020</v>
      </c>
      <c r="G969">
        <f>Graph_GenSurg!$B14</f>
        <v>8</v>
      </c>
      <c r="H969" s="165">
        <f>Graph_GenSurg!$G14</f>
        <v>-46699.992676364229</v>
      </c>
      <c r="I969" s="160">
        <f>InputData!$C$3</f>
        <v>0.02</v>
      </c>
      <c r="J969" s="160">
        <f>InputData!$C$4</f>
        <v>0.01</v>
      </c>
      <c r="K969" s="160">
        <f>InputData!$C$5</f>
        <v>0.01</v>
      </c>
      <c r="L969" s="160">
        <f>InputData!$C$6</f>
        <v>6.2100000000000002E-2</v>
      </c>
      <c r="M969" s="160">
        <f>InputData!$C$7</f>
        <v>0.03</v>
      </c>
      <c r="N969" s="160">
        <f>InputData!$C$8</f>
        <v>0.02</v>
      </c>
      <c r="O969" s="160">
        <f>InputData!$C$9</f>
        <v>0.06</v>
      </c>
      <c r="P969" s="160">
        <f>InputData!$C$10</f>
        <v>0.02</v>
      </c>
      <c r="Q969" s="160">
        <f>InputData!$C$11</f>
        <v>0.02</v>
      </c>
      <c r="R969" s="160">
        <f>InputData!$C$12</f>
        <v>0.02</v>
      </c>
      <c r="S969" s="160">
        <f>InputData!$C$13</f>
        <v>0.9</v>
      </c>
      <c r="T969" s="116">
        <f>InputData!$C$88</f>
        <v>180000</v>
      </c>
      <c r="U969" s="116">
        <f>InputData!$C$81</f>
        <v>178500</v>
      </c>
      <c r="V969" s="116">
        <f>InputData!$C$82</f>
        <v>303960</v>
      </c>
      <c r="W969" s="116">
        <f>InputData!$C$84</f>
        <v>215220</v>
      </c>
      <c r="X969" s="116">
        <f>InputData!$C$85</f>
        <v>409020</v>
      </c>
      <c r="Y969" s="116">
        <f>InputData!$C$116</f>
        <v>140000</v>
      </c>
      <c r="Z969" s="160">
        <f>InputData!$E$13</f>
        <v>0</v>
      </c>
    </row>
    <row r="970" spans="1:26" x14ac:dyDescent="0.25">
      <c r="A970">
        <f>InputData!$K$1</f>
        <v>2013</v>
      </c>
      <c r="B970" t="str">
        <f>InputData!$G$1</f>
        <v>San Antonio, TX</v>
      </c>
      <c r="C970" t="s">
        <v>5</v>
      </c>
      <c r="D970" t="str">
        <f>Graph_GenSurg!$G$6</f>
        <v>IBR</v>
      </c>
      <c r="E970" t="str">
        <f t="shared" si="15"/>
        <v>General Surgery IBR</v>
      </c>
      <c r="F970">
        <f>Graph_GenSurg!$A15</f>
        <v>2021</v>
      </c>
      <c r="G970">
        <f>Graph_GenSurg!$B15</f>
        <v>9</v>
      </c>
      <c r="H970" s="165">
        <f>Graph_GenSurg!$G15</f>
        <v>-10374.82525529444</v>
      </c>
      <c r="I970" s="160">
        <f>InputData!$C$3</f>
        <v>0.02</v>
      </c>
      <c r="J970" s="160">
        <f>InputData!$C$4</f>
        <v>0.01</v>
      </c>
      <c r="K970" s="160">
        <f>InputData!$C$5</f>
        <v>0.01</v>
      </c>
      <c r="L970" s="160">
        <f>InputData!$C$6</f>
        <v>6.2100000000000002E-2</v>
      </c>
      <c r="M970" s="160">
        <f>InputData!$C$7</f>
        <v>0.03</v>
      </c>
      <c r="N970" s="160">
        <f>InputData!$C$8</f>
        <v>0.02</v>
      </c>
      <c r="O970" s="160">
        <f>InputData!$C$9</f>
        <v>0.06</v>
      </c>
      <c r="P970" s="160">
        <f>InputData!$C$10</f>
        <v>0.02</v>
      </c>
      <c r="Q970" s="160">
        <f>InputData!$C$11</f>
        <v>0.02</v>
      </c>
      <c r="R970" s="160">
        <f>InputData!$C$12</f>
        <v>0.02</v>
      </c>
      <c r="S970" s="160">
        <f>InputData!$C$13</f>
        <v>0.9</v>
      </c>
      <c r="T970" s="116">
        <f>InputData!$C$88</f>
        <v>180000</v>
      </c>
      <c r="U970" s="116">
        <f>InputData!$C$81</f>
        <v>178500</v>
      </c>
      <c r="V970" s="116">
        <f>InputData!$C$82</f>
        <v>303960</v>
      </c>
      <c r="W970" s="116">
        <f>InputData!$C$84</f>
        <v>215220</v>
      </c>
      <c r="X970" s="116">
        <f>InputData!$C$85</f>
        <v>409020</v>
      </c>
      <c r="Y970" s="116">
        <f>InputData!$C$116</f>
        <v>140000</v>
      </c>
      <c r="Z970" s="160">
        <f>InputData!$E$13</f>
        <v>0</v>
      </c>
    </row>
    <row r="971" spans="1:26" x14ac:dyDescent="0.25">
      <c r="A971">
        <f>InputData!$K$1</f>
        <v>2013</v>
      </c>
      <c r="B971" t="str">
        <f>InputData!$G$1</f>
        <v>San Antonio, TX</v>
      </c>
      <c r="C971" t="s">
        <v>5</v>
      </c>
      <c r="D971" t="str">
        <f>Graph_GenSurg!$G$6</f>
        <v>IBR</v>
      </c>
      <c r="E971" t="str">
        <f t="shared" si="15"/>
        <v>General Surgery IBR</v>
      </c>
      <c r="F971">
        <f>Graph_GenSurg!$A16</f>
        <v>2022</v>
      </c>
      <c r="G971">
        <f>Graph_GenSurg!$B16</f>
        <v>10</v>
      </c>
      <c r="H971" s="165" t="e">
        <f>Graph_GenSurg!$G16</f>
        <v>#VALUE!</v>
      </c>
      <c r="I971" s="160">
        <f>InputData!$C$3</f>
        <v>0.02</v>
      </c>
      <c r="J971" s="160">
        <f>InputData!$C$4</f>
        <v>0.01</v>
      </c>
      <c r="K971" s="160">
        <f>InputData!$C$5</f>
        <v>0.01</v>
      </c>
      <c r="L971" s="160">
        <f>InputData!$C$6</f>
        <v>6.2100000000000002E-2</v>
      </c>
      <c r="M971" s="160">
        <f>InputData!$C$7</f>
        <v>0.03</v>
      </c>
      <c r="N971" s="160">
        <f>InputData!$C$8</f>
        <v>0.02</v>
      </c>
      <c r="O971" s="160">
        <f>InputData!$C$9</f>
        <v>0.06</v>
      </c>
      <c r="P971" s="160">
        <f>InputData!$C$10</f>
        <v>0.02</v>
      </c>
      <c r="Q971" s="160">
        <f>InputData!$C$11</f>
        <v>0.02</v>
      </c>
      <c r="R971" s="160">
        <f>InputData!$C$12</f>
        <v>0.02</v>
      </c>
      <c r="S971" s="160">
        <f>InputData!$C$13</f>
        <v>0.9</v>
      </c>
      <c r="T971" s="116">
        <f>InputData!$C$88</f>
        <v>180000</v>
      </c>
      <c r="U971" s="116">
        <f>InputData!$C$81</f>
        <v>178500</v>
      </c>
      <c r="V971" s="116">
        <f>InputData!$C$82</f>
        <v>303960</v>
      </c>
      <c r="W971" s="116">
        <f>InputData!$C$84</f>
        <v>215220</v>
      </c>
      <c r="X971" s="116">
        <f>InputData!$C$85</f>
        <v>409020</v>
      </c>
      <c r="Y971" s="116">
        <f>InputData!$C$116</f>
        <v>140000</v>
      </c>
      <c r="Z971" s="160">
        <f>InputData!$E$13</f>
        <v>0</v>
      </c>
    </row>
    <row r="972" spans="1:26" x14ac:dyDescent="0.25">
      <c r="A972">
        <f>InputData!$K$1</f>
        <v>2013</v>
      </c>
      <c r="B972" t="str">
        <f>InputData!$G$1</f>
        <v>San Antonio, TX</v>
      </c>
      <c r="C972" t="s">
        <v>5</v>
      </c>
      <c r="D972" t="str">
        <f>Graph_GenSurg!$G$6</f>
        <v>IBR</v>
      </c>
      <c r="E972" t="str">
        <f t="shared" si="15"/>
        <v>General Surgery IBR</v>
      </c>
      <c r="F972">
        <f>Graph_GenSurg!$A17</f>
        <v>2023</v>
      </c>
      <c r="G972">
        <f>Graph_GenSurg!$B17</f>
        <v>11</v>
      </c>
      <c r="H972" s="165" t="e">
        <f>Graph_GenSurg!$G17</f>
        <v>#VALUE!</v>
      </c>
      <c r="I972" s="160">
        <f>InputData!$C$3</f>
        <v>0.02</v>
      </c>
      <c r="J972" s="160">
        <f>InputData!$C$4</f>
        <v>0.01</v>
      </c>
      <c r="K972" s="160">
        <f>InputData!$C$5</f>
        <v>0.01</v>
      </c>
      <c r="L972" s="160">
        <f>InputData!$C$6</f>
        <v>6.2100000000000002E-2</v>
      </c>
      <c r="M972" s="160">
        <f>InputData!$C$7</f>
        <v>0.03</v>
      </c>
      <c r="N972" s="160">
        <f>InputData!$C$8</f>
        <v>0.02</v>
      </c>
      <c r="O972" s="160">
        <f>InputData!$C$9</f>
        <v>0.06</v>
      </c>
      <c r="P972" s="160">
        <f>InputData!$C$10</f>
        <v>0.02</v>
      </c>
      <c r="Q972" s="160">
        <f>InputData!$C$11</f>
        <v>0.02</v>
      </c>
      <c r="R972" s="160">
        <f>InputData!$C$12</f>
        <v>0.02</v>
      </c>
      <c r="S972" s="160">
        <f>InputData!$C$13</f>
        <v>0.9</v>
      </c>
      <c r="T972" s="116">
        <f>InputData!$C$88</f>
        <v>180000</v>
      </c>
      <c r="U972" s="116">
        <f>InputData!$C$81</f>
        <v>178500</v>
      </c>
      <c r="V972" s="116">
        <f>InputData!$C$82</f>
        <v>303960</v>
      </c>
      <c r="W972" s="116">
        <f>InputData!$C$84</f>
        <v>215220</v>
      </c>
      <c r="X972" s="116">
        <f>InputData!$C$85</f>
        <v>409020</v>
      </c>
      <c r="Y972" s="116">
        <f>InputData!$C$116</f>
        <v>140000</v>
      </c>
      <c r="Z972" s="160">
        <f>InputData!$E$13</f>
        <v>0</v>
      </c>
    </row>
    <row r="973" spans="1:26" x14ac:dyDescent="0.25">
      <c r="A973">
        <f>InputData!$K$1</f>
        <v>2013</v>
      </c>
      <c r="B973" t="str">
        <f>InputData!$G$1</f>
        <v>San Antonio, TX</v>
      </c>
      <c r="C973" t="s">
        <v>5</v>
      </c>
      <c r="D973" t="str">
        <f>Graph_GenSurg!$G$6</f>
        <v>IBR</v>
      </c>
      <c r="E973" t="str">
        <f t="shared" si="15"/>
        <v>General Surgery IBR</v>
      </c>
      <c r="F973">
        <f>Graph_GenSurg!$A18</f>
        <v>2024</v>
      </c>
      <c r="G973">
        <f>Graph_GenSurg!$B18</f>
        <v>12</v>
      </c>
      <c r="H973" s="165" t="e">
        <f>Graph_GenSurg!$G18</f>
        <v>#VALUE!</v>
      </c>
      <c r="I973" s="160">
        <f>InputData!$C$3</f>
        <v>0.02</v>
      </c>
      <c r="J973" s="160">
        <f>InputData!$C$4</f>
        <v>0.01</v>
      </c>
      <c r="K973" s="160">
        <f>InputData!$C$5</f>
        <v>0.01</v>
      </c>
      <c r="L973" s="160">
        <f>InputData!$C$6</f>
        <v>6.2100000000000002E-2</v>
      </c>
      <c r="M973" s="160">
        <f>InputData!$C$7</f>
        <v>0.03</v>
      </c>
      <c r="N973" s="160">
        <f>InputData!$C$8</f>
        <v>0.02</v>
      </c>
      <c r="O973" s="160">
        <f>InputData!$C$9</f>
        <v>0.06</v>
      </c>
      <c r="P973" s="160">
        <f>InputData!$C$10</f>
        <v>0.02</v>
      </c>
      <c r="Q973" s="160">
        <f>InputData!$C$11</f>
        <v>0.02</v>
      </c>
      <c r="R973" s="160">
        <f>InputData!$C$12</f>
        <v>0.02</v>
      </c>
      <c r="S973" s="160">
        <f>InputData!$C$13</f>
        <v>0.9</v>
      </c>
      <c r="T973" s="116">
        <f>InputData!$C$88</f>
        <v>180000</v>
      </c>
      <c r="U973" s="116">
        <f>InputData!$C$81</f>
        <v>178500</v>
      </c>
      <c r="V973" s="116">
        <f>InputData!$C$82</f>
        <v>303960</v>
      </c>
      <c r="W973" s="116">
        <f>InputData!$C$84</f>
        <v>215220</v>
      </c>
      <c r="X973" s="116">
        <f>InputData!$C$85</f>
        <v>409020</v>
      </c>
      <c r="Y973" s="116">
        <f>InputData!$C$116</f>
        <v>140000</v>
      </c>
      <c r="Z973" s="160">
        <f>InputData!$E$13</f>
        <v>0</v>
      </c>
    </row>
    <row r="974" spans="1:26" x14ac:dyDescent="0.25">
      <c r="A974">
        <f>InputData!$K$1</f>
        <v>2013</v>
      </c>
      <c r="B974" t="str">
        <f>InputData!$G$1</f>
        <v>San Antonio, TX</v>
      </c>
      <c r="C974" t="s">
        <v>5</v>
      </c>
      <c r="D974" t="str">
        <f>Graph_GenSurg!$G$6</f>
        <v>IBR</v>
      </c>
      <c r="E974" t="str">
        <f t="shared" si="15"/>
        <v>General Surgery IBR</v>
      </c>
      <c r="F974">
        <f>Graph_GenSurg!$A19</f>
        <v>2025</v>
      </c>
      <c r="G974">
        <f>Graph_GenSurg!$B19</f>
        <v>13</v>
      </c>
      <c r="H974" s="165" t="e">
        <f>Graph_GenSurg!$G19</f>
        <v>#VALUE!</v>
      </c>
      <c r="I974" s="160">
        <f>InputData!$C$3</f>
        <v>0.02</v>
      </c>
      <c r="J974" s="160">
        <f>InputData!$C$4</f>
        <v>0.01</v>
      </c>
      <c r="K974" s="160">
        <f>InputData!$C$5</f>
        <v>0.01</v>
      </c>
      <c r="L974" s="160">
        <f>InputData!$C$6</f>
        <v>6.2100000000000002E-2</v>
      </c>
      <c r="M974" s="160">
        <f>InputData!$C$7</f>
        <v>0.03</v>
      </c>
      <c r="N974" s="160">
        <f>InputData!$C$8</f>
        <v>0.02</v>
      </c>
      <c r="O974" s="160">
        <f>InputData!$C$9</f>
        <v>0.06</v>
      </c>
      <c r="P974" s="160">
        <f>InputData!$C$10</f>
        <v>0.02</v>
      </c>
      <c r="Q974" s="160">
        <f>InputData!$C$11</f>
        <v>0.02</v>
      </c>
      <c r="R974" s="160">
        <f>InputData!$C$12</f>
        <v>0.02</v>
      </c>
      <c r="S974" s="160">
        <f>InputData!$C$13</f>
        <v>0.9</v>
      </c>
      <c r="T974" s="116">
        <f>InputData!$C$88</f>
        <v>180000</v>
      </c>
      <c r="U974" s="116">
        <f>InputData!$C$81</f>
        <v>178500</v>
      </c>
      <c r="V974" s="116">
        <f>InputData!$C$82</f>
        <v>303960</v>
      </c>
      <c r="W974" s="116">
        <f>InputData!$C$84</f>
        <v>215220</v>
      </c>
      <c r="X974" s="116">
        <f>InputData!$C$85</f>
        <v>409020</v>
      </c>
      <c r="Y974" s="116">
        <f>InputData!$C$116</f>
        <v>140000</v>
      </c>
      <c r="Z974" s="160">
        <f>InputData!$E$13</f>
        <v>0</v>
      </c>
    </row>
    <row r="975" spans="1:26" x14ac:dyDescent="0.25">
      <c r="A975">
        <f>InputData!$K$1</f>
        <v>2013</v>
      </c>
      <c r="B975" t="str">
        <f>InputData!$G$1</f>
        <v>San Antonio, TX</v>
      </c>
      <c r="C975" t="s">
        <v>5</v>
      </c>
      <c r="D975" t="str">
        <f>Graph_GenSurg!$G$6</f>
        <v>IBR</v>
      </c>
      <c r="E975" t="str">
        <f t="shared" si="15"/>
        <v>General Surgery IBR</v>
      </c>
      <c r="F975">
        <f>Graph_GenSurg!$A20</f>
        <v>2026</v>
      </c>
      <c r="G975">
        <f>Graph_GenSurg!$B20</f>
        <v>14</v>
      </c>
      <c r="H975" s="165" t="e">
        <f>Graph_GenSurg!$G20</f>
        <v>#VALUE!</v>
      </c>
      <c r="I975" s="160">
        <f>InputData!$C$3</f>
        <v>0.02</v>
      </c>
      <c r="J975" s="160">
        <f>InputData!$C$4</f>
        <v>0.01</v>
      </c>
      <c r="K975" s="160">
        <f>InputData!$C$5</f>
        <v>0.01</v>
      </c>
      <c r="L975" s="160">
        <f>InputData!$C$6</f>
        <v>6.2100000000000002E-2</v>
      </c>
      <c r="M975" s="160">
        <f>InputData!$C$7</f>
        <v>0.03</v>
      </c>
      <c r="N975" s="160">
        <f>InputData!$C$8</f>
        <v>0.02</v>
      </c>
      <c r="O975" s="160">
        <f>InputData!$C$9</f>
        <v>0.06</v>
      </c>
      <c r="P975" s="160">
        <f>InputData!$C$10</f>
        <v>0.02</v>
      </c>
      <c r="Q975" s="160">
        <f>InputData!$C$11</f>
        <v>0.02</v>
      </c>
      <c r="R975" s="160">
        <f>InputData!$C$12</f>
        <v>0.02</v>
      </c>
      <c r="S975" s="160">
        <f>InputData!$C$13</f>
        <v>0.9</v>
      </c>
      <c r="T975" s="116">
        <f>InputData!$C$88</f>
        <v>180000</v>
      </c>
      <c r="U975" s="116">
        <f>InputData!$C$81</f>
        <v>178500</v>
      </c>
      <c r="V975" s="116">
        <f>InputData!$C$82</f>
        <v>303960</v>
      </c>
      <c r="W975" s="116">
        <f>InputData!$C$84</f>
        <v>215220</v>
      </c>
      <c r="X975" s="116">
        <f>InputData!$C$85</f>
        <v>409020</v>
      </c>
      <c r="Y975" s="116">
        <f>InputData!$C$116</f>
        <v>140000</v>
      </c>
      <c r="Z975" s="160">
        <f>InputData!$E$13</f>
        <v>0</v>
      </c>
    </row>
    <row r="976" spans="1:26" x14ac:dyDescent="0.25">
      <c r="A976">
        <f>InputData!$K$1</f>
        <v>2013</v>
      </c>
      <c r="B976" t="str">
        <f>InputData!$G$1</f>
        <v>San Antonio, TX</v>
      </c>
      <c r="C976" t="s">
        <v>5</v>
      </c>
      <c r="D976" t="str">
        <f>Graph_GenSurg!$G$6</f>
        <v>IBR</v>
      </c>
      <c r="E976" t="str">
        <f t="shared" si="15"/>
        <v>General Surgery IBR</v>
      </c>
      <c r="F976">
        <f>Graph_GenSurg!$A21</f>
        <v>2027</v>
      </c>
      <c r="G976">
        <f>Graph_GenSurg!$B21</f>
        <v>15</v>
      </c>
      <c r="H976" s="165" t="e">
        <f>Graph_GenSurg!$G21</f>
        <v>#VALUE!</v>
      </c>
      <c r="I976" s="160">
        <f>InputData!$C$3</f>
        <v>0.02</v>
      </c>
      <c r="J976" s="160">
        <f>InputData!$C$4</f>
        <v>0.01</v>
      </c>
      <c r="K976" s="160">
        <f>InputData!$C$5</f>
        <v>0.01</v>
      </c>
      <c r="L976" s="160">
        <f>InputData!$C$6</f>
        <v>6.2100000000000002E-2</v>
      </c>
      <c r="M976" s="160">
        <f>InputData!$C$7</f>
        <v>0.03</v>
      </c>
      <c r="N976" s="160">
        <f>InputData!$C$8</f>
        <v>0.02</v>
      </c>
      <c r="O976" s="160">
        <f>InputData!$C$9</f>
        <v>0.06</v>
      </c>
      <c r="P976" s="160">
        <f>InputData!$C$10</f>
        <v>0.02</v>
      </c>
      <c r="Q976" s="160">
        <f>InputData!$C$11</f>
        <v>0.02</v>
      </c>
      <c r="R976" s="160">
        <f>InputData!$C$12</f>
        <v>0.02</v>
      </c>
      <c r="S976" s="160">
        <f>InputData!$C$13</f>
        <v>0.9</v>
      </c>
      <c r="T976" s="116">
        <f>InputData!$C$88</f>
        <v>180000</v>
      </c>
      <c r="U976" s="116">
        <f>InputData!$C$81</f>
        <v>178500</v>
      </c>
      <c r="V976" s="116">
        <f>InputData!$C$82</f>
        <v>303960</v>
      </c>
      <c r="W976" s="116">
        <f>InputData!$C$84</f>
        <v>215220</v>
      </c>
      <c r="X976" s="116">
        <f>InputData!$C$85</f>
        <v>409020</v>
      </c>
      <c r="Y976" s="116">
        <f>InputData!$C$116</f>
        <v>140000</v>
      </c>
      <c r="Z976" s="160">
        <f>InputData!$E$13</f>
        <v>0</v>
      </c>
    </row>
    <row r="977" spans="1:26" x14ac:dyDescent="0.25">
      <c r="A977">
        <f>InputData!$K$1</f>
        <v>2013</v>
      </c>
      <c r="B977" t="str">
        <f>InputData!$G$1</f>
        <v>San Antonio, TX</v>
      </c>
      <c r="C977" t="s">
        <v>5</v>
      </c>
      <c r="D977" t="str">
        <f>Graph_GenSurg!$G$6</f>
        <v>IBR</v>
      </c>
      <c r="E977" t="str">
        <f t="shared" si="15"/>
        <v>General Surgery IBR</v>
      </c>
      <c r="F977">
        <f>Graph_GenSurg!$A22</f>
        <v>2028</v>
      </c>
      <c r="G977">
        <f>Graph_GenSurg!$B22</f>
        <v>16</v>
      </c>
      <c r="H977" s="165" t="e">
        <f>Graph_GenSurg!$G22</f>
        <v>#VALUE!</v>
      </c>
      <c r="I977" s="160">
        <f>InputData!$C$3</f>
        <v>0.02</v>
      </c>
      <c r="J977" s="160">
        <f>InputData!$C$4</f>
        <v>0.01</v>
      </c>
      <c r="K977" s="160">
        <f>InputData!$C$5</f>
        <v>0.01</v>
      </c>
      <c r="L977" s="160">
        <f>InputData!$C$6</f>
        <v>6.2100000000000002E-2</v>
      </c>
      <c r="M977" s="160">
        <f>InputData!$C$7</f>
        <v>0.03</v>
      </c>
      <c r="N977" s="160">
        <f>InputData!$C$8</f>
        <v>0.02</v>
      </c>
      <c r="O977" s="160">
        <f>InputData!$C$9</f>
        <v>0.06</v>
      </c>
      <c r="P977" s="160">
        <f>InputData!$C$10</f>
        <v>0.02</v>
      </c>
      <c r="Q977" s="160">
        <f>InputData!$C$11</f>
        <v>0.02</v>
      </c>
      <c r="R977" s="160">
        <f>InputData!$C$12</f>
        <v>0.02</v>
      </c>
      <c r="S977" s="160">
        <f>InputData!$C$13</f>
        <v>0.9</v>
      </c>
      <c r="T977" s="116">
        <f>InputData!$C$88</f>
        <v>180000</v>
      </c>
      <c r="U977" s="116">
        <f>InputData!$C$81</f>
        <v>178500</v>
      </c>
      <c r="V977" s="116">
        <f>InputData!$C$82</f>
        <v>303960</v>
      </c>
      <c r="W977" s="116">
        <f>InputData!$C$84</f>
        <v>215220</v>
      </c>
      <c r="X977" s="116">
        <f>InputData!$C$85</f>
        <v>409020</v>
      </c>
      <c r="Y977" s="116">
        <f>InputData!$C$116</f>
        <v>140000</v>
      </c>
      <c r="Z977" s="160">
        <f>InputData!$E$13</f>
        <v>0</v>
      </c>
    </row>
    <row r="978" spans="1:26" x14ac:dyDescent="0.25">
      <c r="A978">
        <f>InputData!$K$1</f>
        <v>2013</v>
      </c>
      <c r="B978" t="str">
        <f>InputData!$G$1</f>
        <v>San Antonio, TX</v>
      </c>
      <c r="C978" t="s">
        <v>5</v>
      </c>
      <c r="D978" t="str">
        <f>Graph_GenSurg!$G$6</f>
        <v>IBR</v>
      </c>
      <c r="E978" t="str">
        <f t="shared" si="15"/>
        <v>General Surgery IBR</v>
      </c>
      <c r="F978">
        <f>Graph_GenSurg!$A23</f>
        <v>2029</v>
      </c>
      <c r="G978">
        <f>Graph_GenSurg!$B23</f>
        <v>17</v>
      </c>
      <c r="H978" s="165" t="e">
        <f>Graph_GenSurg!$G23</f>
        <v>#VALUE!</v>
      </c>
      <c r="I978" s="160">
        <f>InputData!$C$3</f>
        <v>0.02</v>
      </c>
      <c r="J978" s="160">
        <f>InputData!$C$4</f>
        <v>0.01</v>
      </c>
      <c r="K978" s="160">
        <f>InputData!$C$5</f>
        <v>0.01</v>
      </c>
      <c r="L978" s="160">
        <f>InputData!$C$6</f>
        <v>6.2100000000000002E-2</v>
      </c>
      <c r="M978" s="160">
        <f>InputData!$C$7</f>
        <v>0.03</v>
      </c>
      <c r="N978" s="160">
        <f>InputData!$C$8</f>
        <v>0.02</v>
      </c>
      <c r="O978" s="160">
        <f>InputData!$C$9</f>
        <v>0.06</v>
      </c>
      <c r="P978" s="160">
        <f>InputData!$C$10</f>
        <v>0.02</v>
      </c>
      <c r="Q978" s="160">
        <f>InputData!$C$11</f>
        <v>0.02</v>
      </c>
      <c r="R978" s="160">
        <f>InputData!$C$12</f>
        <v>0.02</v>
      </c>
      <c r="S978" s="160">
        <f>InputData!$C$13</f>
        <v>0.9</v>
      </c>
      <c r="T978" s="116">
        <f>InputData!$C$88</f>
        <v>180000</v>
      </c>
      <c r="U978" s="116">
        <f>InputData!$C$81</f>
        <v>178500</v>
      </c>
      <c r="V978" s="116">
        <f>InputData!$C$82</f>
        <v>303960</v>
      </c>
      <c r="W978" s="116">
        <f>InputData!$C$84</f>
        <v>215220</v>
      </c>
      <c r="X978" s="116">
        <f>InputData!$C$85</f>
        <v>409020</v>
      </c>
      <c r="Y978" s="116">
        <f>InputData!$C$116</f>
        <v>140000</v>
      </c>
      <c r="Z978" s="160">
        <f>InputData!$E$13</f>
        <v>0</v>
      </c>
    </row>
    <row r="979" spans="1:26" x14ac:dyDescent="0.25">
      <c r="A979">
        <f>InputData!$K$1</f>
        <v>2013</v>
      </c>
      <c r="B979" t="str">
        <f>InputData!$G$1</f>
        <v>San Antonio, TX</v>
      </c>
      <c r="C979" t="s">
        <v>5</v>
      </c>
      <c r="D979" t="str">
        <f>Graph_GenSurg!$G$6</f>
        <v>IBR</v>
      </c>
      <c r="E979" t="str">
        <f t="shared" si="15"/>
        <v>General Surgery IBR</v>
      </c>
      <c r="F979">
        <f>Graph_GenSurg!$A24</f>
        <v>2030</v>
      </c>
      <c r="G979">
        <f>Graph_GenSurg!$B24</f>
        <v>18</v>
      </c>
      <c r="H979" s="165" t="e">
        <f>Graph_GenSurg!$G24</f>
        <v>#VALUE!</v>
      </c>
      <c r="I979" s="160">
        <f>InputData!$C$3</f>
        <v>0.02</v>
      </c>
      <c r="J979" s="160">
        <f>InputData!$C$4</f>
        <v>0.01</v>
      </c>
      <c r="K979" s="160">
        <f>InputData!$C$5</f>
        <v>0.01</v>
      </c>
      <c r="L979" s="160">
        <f>InputData!$C$6</f>
        <v>6.2100000000000002E-2</v>
      </c>
      <c r="M979" s="160">
        <f>InputData!$C$7</f>
        <v>0.03</v>
      </c>
      <c r="N979" s="160">
        <f>InputData!$C$8</f>
        <v>0.02</v>
      </c>
      <c r="O979" s="160">
        <f>InputData!$C$9</f>
        <v>0.06</v>
      </c>
      <c r="P979" s="160">
        <f>InputData!$C$10</f>
        <v>0.02</v>
      </c>
      <c r="Q979" s="160">
        <f>InputData!$C$11</f>
        <v>0.02</v>
      </c>
      <c r="R979" s="160">
        <f>InputData!$C$12</f>
        <v>0.02</v>
      </c>
      <c r="S979" s="160">
        <f>InputData!$C$13</f>
        <v>0.9</v>
      </c>
      <c r="T979" s="116">
        <f>InputData!$C$88</f>
        <v>180000</v>
      </c>
      <c r="U979" s="116">
        <f>InputData!$C$81</f>
        <v>178500</v>
      </c>
      <c r="V979" s="116">
        <f>InputData!$C$82</f>
        <v>303960</v>
      </c>
      <c r="W979" s="116">
        <f>InputData!$C$84</f>
        <v>215220</v>
      </c>
      <c r="X979" s="116">
        <f>InputData!$C$85</f>
        <v>409020</v>
      </c>
      <c r="Y979" s="116">
        <f>InputData!$C$116</f>
        <v>140000</v>
      </c>
      <c r="Z979" s="160">
        <f>InputData!$E$13</f>
        <v>0</v>
      </c>
    </row>
    <row r="980" spans="1:26" x14ac:dyDescent="0.25">
      <c r="A980">
        <f>InputData!$K$1</f>
        <v>2013</v>
      </c>
      <c r="B980" t="str">
        <f>InputData!$G$1</f>
        <v>San Antonio, TX</v>
      </c>
      <c r="C980" t="s">
        <v>5</v>
      </c>
      <c r="D980" t="str">
        <f>Graph_GenSurg!$G$6</f>
        <v>IBR</v>
      </c>
      <c r="E980" t="str">
        <f t="shared" si="15"/>
        <v>General Surgery IBR</v>
      </c>
      <c r="F980">
        <f>Graph_GenSurg!$A25</f>
        <v>2031</v>
      </c>
      <c r="G980">
        <f>Graph_GenSurg!$B25</f>
        <v>19</v>
      </c>
      <c r="H980" s="165" t="e">
        <f>Graph_GenSurg!$G25</f>
        <v>#VALUE!</v>
      </c>
      <c r="I980" s="160">
        <f>InputData!$C$3</f>
        <v>0.02</v>
      </c>
      <c r="J980" s="160">
        <f>InputData!$C$4</f>
        <v>0.01</v>
      </c>
      <c r="K980" s="160">
        <f>InputData!$C$5</f>
        <v>0.01</v>
      </c>
      <c r="L980" s="160">
        <f>InputData!$C$6</f>
        <v>6.2100000000000002E-2</v>
      </c>
      <c r="M980" s="160">
        <f>InputData!$C$7</f>
        <v>0.03</v>
      </c>
      <c r="N980" s="160">
        <f>InputData!$C$8</f>
        <v>0.02</v>
      </c>
      <c r="O980" s="160">
        <f>InputData!$C$9</f>
        <v>0.06</v>
      </c>
      <c r="P980" s="160">
        <f>InputData!$C$10</f>
        <v>0.02</v>
      </c>
      <c r="Q980" s="160">
        <f>InputData!$C$11</f>
        <v>0.02</v>
      </c>
      <c r="R980" s="160">
        <f>InputData!$C$12</f>
        <v>0.02</v>
      </c>
      <c r="S980" s="160">
        <f>InputData!$C$13</f>
        <v>0.9</v>
      </c>
      <c r="T980" s="116">
        <f>InputData!$C$88</f>
        <v>180000</v>
      </c>
      <c r="U980" s="116">
        <f>InputData!$C$81</f>
        <v>178500</v>
      </c>
      <c r="V980" s="116">
        <f>InputData!$C$82</f>
        <v>303960</v>
      </c>
      <c r="W980" s="116">
        <f>InputData!$C$84</f>
        <v>215220</v>
      </c>
      <c r="X980" s="116">
        <f>InputData!$C$85</f>
        <v>409020</v>
      </c>
      <c r="Y980" s="116">
        <f>InputData!$C$116</f>
        <v>140000</v>
      </c>
      <c r="Z980" s="160">
        <f>InputData!$E$13</f>
        <v>0</v>
      </c>
    </row>
    <row r="981" spans="1:26" x14ac:dyDescent="0.25">
      <c r="A981">
        <f>InputData!$K$1</f>
        <v>2013</v>
      </c>
      <c r="B981" t="str">
        <f>InputData!$G$1</f>
        <v>San Antonio, TX</v>
      </c>
      <c r="C981" t="s">
        <v>5</v>
      </c>
      <c r="D981" t="str">
        <f>Graph_GenSurg!$G$6</f>
        <v>IBR</v>
      </c>
      <c r="E981" t="str">
        <f t="shared" si="15"/>
        <v>General Surgery IBR</v>
      </c>
      <c r="F981">
        <f>Graph_GenSurg!$A26</f>
        <v>2032</v>
      </c>
      <c r="G981">
        <f>Graph_GenSurg!$B26</f>
        <v>20</v>
      </c>
      <c r="H981" s="165" t="e">
        <f>Graph_GenSurg!$G26</f>
        <v>#VALUE!</v>
      </c>
      <c r="I981" s="160">
        <f>InputData!$C$3</f>
        <v>0.02</v>
      </c>
      <c r="J981" s="160">
        <f>InputData!$C$4</f>
        <v>0.01</v>
      </c>
      <c r="K981" s="160">
        <f>InputData!$C$5</f>
        <v>0.01</v>
      </c>
      <c r="L981" s="160">
        <f>InputData!$C$6</f>
        <v>6.2100000000000002E-2</v>
      </c>
      <c r="M981" s="160">
        <f>InputData!$C$7</f>
        <v>0.03</v>
      </c>
      <c r="N981" s="160">
        <f>InputData!$C$8</f>
        <v>0.02</v>
      </c>
      <c r="O981" s="160">
        <f>InputData!$C$9</f>
        <v>0.06</v>
      </c>
      <c r="P981" s="160">
        <f>InputData!$C$10</f>
        <v>0.02</v>
      </c>
      <c r="Q981" s="160">
        <f>InputData!$C$11</f>
        <v>0.02</v>
      </c>
      <c r="R981" s="160">
        <f>InputData!$C$12</f>
        <v>0.02</v>
      </c>
      <c r="S981" s="160">
        <f>InputData!$C$13</f>
        <v>0.9</v>
      </c>
      <c r="T981" s="116">
        <f>InputData!$C$88</f>
        <v>180000</v>
      </c>
      <c r="U981" s="116">
        <f>InputData!$C$81</f>
        <v>178500</v>
      </c>
      <c r="V981" s="116">
        <f>InputData!$C$82</f>
        <v>303960</v>
      </c>
      <c r="W981" s="116">
        <f>InputData!$C$84</f>
        <v>215220</v>
      </c>
      <c r="X981" s="116">
        <f>InputData!$C$85</f>
        <v>409020</v>
      </c>
      <c r="Y981" s="116">
        <f>InputData!$C$116</f>
        <v>140000</v>
      </c>
      <c r="Z981" s="160">
        <f>InputData!$E$13</f>
        <v>0</v>
      </c>
    </row>
    <row r="982" spans="1:26" x14ac:dyDescent="0.25">
      <c r="A982">
        <f>InputData!$K$1</f>
        <v>2013</v>
      </c>
      <c r="B982" t="str">
        <f>InputData!$G$1</f>
        <v>San Antonio, TX</v>
      </c>
      <c r="C982" t="s">
        <v>5</v>
      </c>
      <c r="D982" t="str">
        <f>Graph_GenSurg!$G$6</f>
        <v>IBR</v>
      </c>
      <c r="E982" t="str">
        <f t="shared" si="15"/>
        <v>General Surgery IBR</v>
      </c>
      <c r="F982">
        <f>Graph_GenSurg!$A27</f>
        <v>2033</v>
      </c>
      <c r="G982">
        <f>Graph_GenSurg!$B27</f>
        <v>21</v>
      </c>
      <c r="H982" s="165" t="e">
        <f>Graph_GenSurg!$G27</f>
        <v>#VALUE!</v>
      </c>
      <c r="I982" s="160">
        <f>InputData!$C$3</f>
        <v>0.02</v>
      </c>
      <c r="J982" s="160">
        <f>InputData!$C$4</f>
        <v>0.01</v>
      </c>
      <c r="K982" s="160">
        <f>InputData!$C$5</f>
        <v>0.01</v>
      </c>
      <c r="L982" s="160">
        <f>InputData!$C$6</f>
        <v>6.2100000000000002E-2</v>
      </c>
      <c r="M982" s="160">
        <f>InputData!$C$7</f>
        <v>0.03</v>
      </c>
      <c r="N982" s="160">
        <f>InputData!$C$8</f>
        <v>0.02</v>
      </c>
      <c r="O982" s="160">
        <f>InputData!$C$9</f>
        <v>0.06</v>
      </c>
      <c r="P982" s="160">
        <f>InputData!$C$10</f>
        <v>0.02</v>
      </c>
      <c r="Q982" s="160">
        <f>InputData!$C$11</f>
        <v>0.02</v>
      </c>
      <c r="R982" s="160">
        <f>InputData!$C$12</f>
        <v>0.02</v>
      </c>
      <c r="S982" s="160">
        <f>InputData!$C$13</f>
        <v>0.9</v>
      </c>
      <c r="T982" s="116">
        <f>InputData!$C$88</f>
        <v>180000</v>
      </c>
      <c r="U982" s="116">
        <f>InputData!$C$81</f>
        <v>178500</v>
      </c>
      <c r="V982" s="116">
        <f>InputData!$C$82</f>
        <v>303960</v>
      </c>
      <c r="W982" s="116">
        <f>InputData!$C$84</f>
        <v>215220</v>
      </c>
      <c r="X982" s="116">
        <f>InputData!$C$85</f>
        <v>409020</v>
      </c>
      <c r="Y982" s="116">
        <f>InputData!$C$116</f>
        <v>140000</v>
      </c>
      <c r="Z982" s="160">
        <f>InputData!$E$13</f>
        <v>0</v>
      </c>
    </row>
    <row r="983" spans="1:26" x14ac:dyDescent="0.25">
      <c r="A983">
        <f>InputData!$K$1</f>
        <v>2013</v>
      </c>
      <c r="B983" t="str">
        <f>InputData!$G$1</f>
        <v>San Antonio, TX</v>
      </c>
      <c r="C983" t="s">
        <v>5</v>
      </c>
      <c r="D983" t="str">
        <f>Graph_GenSurg!$G$6</f>
        <v>IBR</v>
      </c>
      <c r="E983" t="str">
        <f t="shared" si="15"/>
        <v>General Surgery IBR</v>
      </c>
      <c r="F983">
        <f>Graph_GenSurg!$A28</f>
        <v>2034</v>
      </c>
      <c r="G983">
        <f>Graph_GenSurg!$B28</f>
        <v>22</v>
      </c>
      <c r="H983" s="165" t="e">
        <f>Graph_GenSurg!$G28</f>
        <v>#VALUE!</v>
      </c>
      <c r="I983" s="160">
        <f>InputData!$C$3</f>
        <v>0.02</v>
      </c>
      <c r="J983" s="160">
        <f>InputData!$C$4</f>
        <v>0.01</v>
      </c>
      <c r="K983" s="160">
        <f>InputData!$C$5</f>
        <v>0.01</v>
      </c>
      <c r="L983" s="160">
        <f>InputData!$C$6</f>
        <v>6.2100000000000002E-2</v>
      </c>
      <c r="M983" s="160">
        <f>InputData!$C$7</f>
        <v>0.03</v>
      </c>
      <c r="N983" s="160">
        <f>InputData!$C$8</f>
        <v>0.02</v>
      </c>
      <c r="O983" s="160">
        <f>InputData!$C$9</f>
        <v>0.06</v>
      </c>
      <c r="P983" s="160">
        <f>InputData!$C$10</f>
        <v>0.02</v>
      </c>
      <c r="Q983" s="160">
        <f>InputData!$C$11</f>
        <v>0.02</v>
      </c>
      <c r="R983" s="160">
        <f>InputData!$C$12</f>
        <v>0.02</v>
      </c>
      <c r="S983" s="160">
        <f>InputData!$C$13</f>
        <v>0.9</v>
      </c>
      <c r="T983" s="116">
        <f>InputData!$C$88</f>
        <v>180000</v>
      </c>
      <c r="U983" s="116">
        <f>InputData!$C$81</f>
        <v>178500</v>
      </c>
      <c r="V983" s="116">
        <f>InputData!$C$82</f>
        <v>303960</v>
      </c>
      <c r="W983" s="116">
        <f>InputData!$C$84</f>
        <v>215220</v>
      </c>
      <c r="X983" s="116">
        <f>InputData!$C$85</f>
        <v>409020</v>
      </c>
      <c r="Y983" s="116">
        <f>InputData!$C$116</f>
        <v>140000</v>
      </c>
      <c r="Z983" s="160">
        <f>InputData!$E$13</f>
        <v>0</v>
      </c>
    </row>
    <row r="984" spans="1:26" x14ac:dyDescent="0.25">
      <c r="A984">
        <f>InputData!$K$1</f>
        <v>2013</v>
      </c>
      <c r="B984" t="str">
        <f>InputData!$G$1</f>
        <v>San Antonio, TX</v>
      </c>
      <c r="C984" t="s">
        <v>5</v>
      </c>
      <c r="D984" t="str">
        <f>Graph_GenSurg!$G$6</f>
        <v>IBR</v>
      </c>
      <c r="E984" t="str">
        <f t="shared" si="15"/>
        <v>General Surgery IBR</v>
      </c>
      <c r="F984">
        <f>Graph_GenSurg!$A29</f>
        <v>2035</v>
      </c>
      <c r="G984">
        <f>Graph_GenSurg!$B29</f>
        <v>23</v>
      </c>
      <c r="H984" s="165" t="e">
        <f>Graph_GenSurg!$G29</f>
        <v>#VALUE!</v>
      </c>
      <c r="I984" s="160">
        <f>InputData!$C$3</f>
        <v>0.02</v>
      </c>
      <c r="J984" s="160">
        <f>InputData!$C$4</f>
        <v>0.01</v>
      </c>
      <c r="K984" s="160">
        <f>InputData!$C$5</f>
        <v>0.01</v>
      </c>
      <c r="L984" s="160">
        <f>InputData!$C$6</f>
        <v>6.2100000000000002E-2</v>
      </c>
      <c r="M984" s="160">
        <f>InputData!$C$7</f>
        <v>0.03</v>
      </c>
      <c r="N984" s="160">
        <f>InputData!$C$8</f>
        <v>0.02</v>
      </c>
      <c r="O984" s="160">
        <f>InputData!$C$9</f>
        <v>0.06</v>
      </c>
      <c r="P984" s="160">
        <f>InputData!$C$10</f>
        <v>0.02</v>
      </c>
      <c r="Q984" s="160">
        <f>InputData!$C$11</f>
        <v>0.02</v>
      </c>
      <c r="R984" s="160">
        <f>InputData!$C$12</f>
        <v>0.02</v>
      </c>
      <c r="S984" s="160">
        <f>InputData!$C$13</f>
        <v>0.9</v>
      </c>
      <c r="T984" s="116">
        <f>InputData!$C$88</f>
        <v>180000</v>
      </c>
      <c r="U984" s="116">
        <f>InputData!$C$81</f>
        <v>178500</v>
      </c>
      <c r="V984" s="116">
        <f>InputData!$C$82</f>
        <v>303960</v>
      </c>
      <c r="W984" s="116">
        <f>InputData!$C$84</f>
        <v>215220</v>
      </c>
      <c r="X984" s="116">
        <f>InputData!$C$85</f>
        <v>409020</v>
      </c>
      <c r="Y984" s="116">
        <f>InputData!$C$116</f>
        <v>140000</v>
      </c>
      <c r="Z984" s="160">
        <f>InputData!$E$13</f>
        <v>0</v>
      </c>
    </row>
    <row r="985" spans="1:26" x14ac:dyDescent="0.25">
      <c r="A985">
        <f>InputData!$K$1</f>
        <v>2013</v>
      </c>
      <c r="B985" t="str">
        <f>InputData!$G$1</f>
        <v>San Antonio, TX</v>
      </c>
      <c r="C985" t="s">
        <v>5</v>
      </c>
      <c r="D985" t="str">
        <f>Graph_GenSurg!$G$6</f>
        <v>IBR</v>
      </c>
      <c r="E985" t="str">
        <f t="shared" si="15"/>
        <v>General Surgery IBR</v>
      </c>
      <c r="F985">
        <f>Graph_GenSurg!$A30</f>
        <v>2036</v>
      </c>
      <c r="G985">
        <f>Graph_GenSurg!$B30</f>
        <v>24</v>
      </c>
      <c r="H985" s="165" t="e">
        <f>Graph_GenSurg!$G30</f>
        <v>#VALUE!</v>
      </c>
      <c r="I985" s="160">
        <f>InputData!$C$3</f>
        <v>0.02</v>
      </c>
      <c r="J985" s="160">
        <f>InputData!$C$4</f>
        <v>0.01</v>
      </c>
      <c r="K985" s="160">
        <f>InputData!$C$5</f>
        <v>0.01</v>
      </c>
      <c r="L985" s="160">
        <f>InputData!$C$6</f>
        <v>6.2100000000000002E-2</v>
      </c>
      <c r="M985" s="160">
        <f>InputData!$C$7</f>
        <v>0.03</v>
      </c>
      <c r="N985" s="160">
        <f>InputData!$C$8</f>
        <v>0.02</v>
      </c>
      <c r="O985" s="160">
        <f>InputData!$C$9</f>
        <v>0.06</v>
      </c>
      <c r="P985" s="160">
        <f>InputData!$C$10</f>
        <v>0.02</v>
      </c>
      <c r="Q985" s="160">
        <f>InputData!$C$11</f>
        <v>0.02</v>
      </c>
      <c r="R985" s="160">
        <f>InputData!$C$12</f>
        <v>0.02</v>
      </c>
      <c r="S985" s="160">
        <f>InputData!$C$13</f>
        <v>0.9</v>
      </c>
      <c r="T985" s="116">
        <f>InputData!$C$88</f>
        <v>180000</v>
      </c>
      <c r="U985" s="116">
        <f>InputData!$C$81</f>
        <v>178500</v>
      </c>
      <c r="V985" s="116">
        <f>InputData!$C$82</f>
        <v>303960</v>
      </c>
      <c r="W985" s="116">
        <f>InputData!$C$84</f>
        <v>215220</v>
      </c>
      <c r="X985" s="116">
        <f>InputData!$C$85</f>
        <v>409020</v>
      </c>
      <c r="Y985" s="116">
        <f>InputData!$C$116</f>
        <v>140000</v>
      </c>
      <c r="Z985" s="160">
        <f>InputData!$E$13</f>
        <v>0</v>
      </c>
    </row>
    <row r="986" spans="1:26" x14ac:dyDescent="0.25">
      <c r="A986">
        <f>InputData!$K$1</f>
        <v>2013</v>
      </c>
      <c r="B986" t="str">
        <f>InputData!$G$1</f>
        <v>San Antonio, TX</v>
      </c>
      <c r="C986" t="s">
        <v>5</v>
      </c>
      <c r="D986" t="str">
        <f>Graph_GenSurg!$G$6</f>
        <v>IBR</v>
      </c>
      <c r="E986" t="str">
        <f t="shared" si="15"/>
        <v>General Surgery IBR</v>
      </c>
      <c r="F986">
        <f>Graph_GenSurg!$A31</f>
        <v>2037</v>
      </c>
      <c r="G986">
        <f>Graph_GenSurg!$B31</f>
        <v>25</v>
      </c>
      <c r="H986" s="165" t="e">
        <f>Graph_GenSurg!$G31</f>
        <v>#VALUE!</v>
      </c>
      <c r="I986" s="160">
        <f>InputData!$C$3</f>
        <v>0.02</v>
      </c>
      <c r="J986" s="160">
        <f>InputData!$C$4</f>
        <v>0.01</v>
      </c>
      <c r="K986" s="160">
        <f>InputData!$C$5</f>
        <v>0.01</v>
      </c>
      <c r="L986" s="160">
        <f>InputData!$C$6</f>
        <v>6.2100000000000002E-2</v>
      </c>
      <c r="M986" s="160">
        <f>InputData!$C$7</f>
        <v>0.03</v>
      </c>
      <c r="N986" s="160">
        <f>InputData!$C$8</f>
        <v>0.02</v>
      </c>
      <c r="O986" s="160">
        <f>InputData!$C$9</f>
        <v>0.06</v>
      </c>
      <c r="P986" s="160">
        <f>InputData!$C$10</f>
        <v>0.02</v>
      </c>
      <c r="Q986" s="160">
        <f>InputData!$C$11</f>
        <v>0.02</v>
      </c>
      <c r="R986" s="160">
        <f>InputData!$C$12</f>
        <v>0.02</v>
      </c>
      <c r="S986" s="160">
        <f>InputData!$C$13</f>
        <v>0.9</v>
      </c>
      <c r="T986" s="116">
        <f>InputData!$C$88</f>
        <v>180000</v>
      </c>
      <c r="U986" s="116">
        <f>InputData!$C$81</f>
        <v>178500</v>
      </c>
      <c r="V986" s="116">
        <f>InputData!$C$82</f>
        <v>303960</v>
      </c>
      <c r="W986" s="116">
        <f>InputData!$C$84</f>
        <v>215220</v>
      </c>
      <c r="X986" s="116">
        <f>InputData!$C$85</f>
        <v>409020</v>
      </c>
      <c r="Y986" s="116">
        <f>InputData!$C$116</f>
        <v>140000</v>
      </c>
      <c r="Z986" s="160">
        <f>InputData!$E$13</f>
        <v>0</v>
      </c>
    </row>
    <row r="987" spans="1:26" x14ac:dyDescent="0.25">
      <c r="A987">
        <f>InputData!$K$1</f>
        <v>2013</v>
      </c>
      <c r="B987" t="str">
        <f>InputData!$G$1</f>
        <v>San Antonio, TX</v>
      </c>
      <c r="C987" t="s">
        <v>5</v>
      </c>
      <c r="D987" t="str">
        <f>Graph_GenSurg!$G$6</f>
        <v>IBR</v>
      </c>
      <c r="E987" t="str">
        <f t="shared" si="15"/>
        <v>General Surgery IBR</v>
      </c>
      <c r="F987">
        <f>Graph_GenSurg!$A32</f>
        <v>2038</v>
      </c>
      <c r="G987">
        <f>Graph_GenSurg!$B32</f>
        <v>26</v>
      </c>
      <c r="H987" s="165" t="e">
        <f>Graph_GenSurg!$G32</f>
        <v>#VALUE!</v>
      </c>
      <c r="I987" s="160">
        <f>InputData!$C$3</f>
        <v>0.02</v>
      </c>
      <c r="J987" s="160">
        <f>InputData!$C$4</f>
        <v>0.01</v>
      </c>
      <c r="K987" s="160">
        <f>InputData!$C$5</f>
        <v>0.01</v>
      </c>
      <c r="L987" s="160">
        <f>InputData!$C$6</f>
        <v>6.2100000000000002E-2</v>
      </c>
      <c r="M987" s="160">
        <f>InputData!$C$7</f>
        <v>0.03</v>
      </c>
      <c r="N987" s="160">
        <f>InputData!$C$8</f>
        <v>0.02</v>
      </c>
      <c r="O987" s="160">
        <f>InputData!$C$9</f>
        <v>0.06</v>
      </c>
      <c r="P987" s="160">
        <f>InputData!$C$10</f>
        <v>0.02</v>
      </c>
      <c r="Q987" s="160">
        <f>InputData!$C$11</f>
        <v>0.02</v>
      </c>
      <c r="R987" s="160">
        <f>InputData!$C$12</f>
        <v>0.02</v>
      </c>
      <c r="S987" s="160">
        <f>InputData!$C$13</f>
        <v>0.9</v>
      </c>
      <c r="T987" s="116">
        <f>InputData!$C$88</f>
        <v>180000</v>
      </c>
      <c r="U987" s="116">
        <f>InputData!$C$81</f>
        <v>178500</v>
      </c>
      <c r="V987" s="116">
        <f>InputData!$C$82</f>
        <v>303960</v>
      </c>
      <c r="W987" s="116">
        <f>InputData!$C$84</f>
        <v>215220</v>
      </c>
      <c r="X987" s="116">
        <f>InputData!$C$85</f>
        <v>409020</v>
      </c>
      <c r="Y987" s="116">
        <f>InputData!$C$116</f>
        <v>140000</v>
      </c>
      <c r="Z987" s="160">
        <f>InputData!$E$13</f>
        <v>0</v>
      </c>
    </row>
    <row r="988" spans="1:26" x14ac:dyDescent="0.25">
      <c r="A988">
        <f>InputData!$K$1</f>
        <v>2013</v>
      </c>
      <c r="B988" t="str">
        <f>InputData!$G$1</f>
        <v>San Antonio, TX</v>
      </c>
      <c r="C988" t="s">
        <v>5</v>
      </c>
      <c r="D988" t="str">
        <f>Graph_GenSurg!$G$6</f>
        <v>IBR</v>
      </c>
      <c r="E988" t="str">
        <f t="shared" si="15"/>
        <v>General Surgery IBR</v>
      </c>
      <c r="F988">
        <f>Graph_GenSurg!$A33</f>
        <v>2039</v>
      </c>
      <c r="G988">
        <f>Graph_GenSurg!$B33</f>
        <v>27</v>
      </c>
      <c r="H988" s="165" t="e">
        <f>Graph_GenSurg!$G33</f>
        <v>#VALUE!</v>
      </c>
      <c r="I988" s="160">
        <f>InputData!$C$3</f>
        <v>0.02</v>
      </c>
      <c r="J988" s="160">
        <f>InputData!$C$4</f>
        <v>0.01</v>
      </c>
      <c r="K988" s="160">
        <f>InputData!$C$5</f>
        <v>0.01</v>
      </c>
      <c r="L988" s="160">
        <f>InputData!$C$6</f>
        <v>6.2100000000000002E-2</v>
      </c>
      <c r="M988" s="160">
        <f>InputData!$C$7</f>
        <v>0.03</v>
      </c>
      <c r="N988" s="160">
        <f>InputData!$C$8</f>
        <v>0.02</v>
      </c>
      <c r="O988" s="160">
        <f>InputData!$C$9</f>
        <v>0.06</v>
      </c>
      <c r="P988" s="160">
        <f>InputData!$C$10</f>
        <v>0.02</v>
      </c>
      <c r="Q988" s="160">
        <f>InputData!$C$11</f>
        <v>0.02</v>
      </c>
      <c r="R988" s="160">
        <f>InputData!$C$12</f>
        <v>0.02</v>
      </c>
      <c r="S988" s="160">
        <f>InputData!$C$13</f>
        <v>0.9</v>
      </c>
      <c r="T988" s="116">
        <f>InputData!$C$88</f>
        <v>180000</v>
      </c>
      <c r="U988" s="116">
        <f>InputData!$C$81</f>
        <v>178500</v>
      </c>
      <c r="V988" s="116">
        <f>InputData!$C$82</f>
        <v>303960</v>
      </c>
      <c r="W988" s="116">
        <f>InputData!$C$84</f>
        <v>215220</v>
      </c>
      <c r="X988" s="116">
        <f>InputData!$C$85</f>
        <v>409020</v>
      </c>
      <c r="Y988" s="116">
        <f>InputData!$C$116</f>
        <v>140000</v>
      </c>
      <c r="Z988" s="160">
        <f>InputData!$E$13</f>
        <v>0</v>
      </c>
    </row>
    <row r="989" spans="1:26" x14ac:dyDescent="0.25">
      <c r="A989">
        <f>InputData!$K$1</f>
        <v>2013</v>
      </c>
      <c r="B989" t="str">
        <f>InputData!$G$1</f>
        <v>San Antonio, TX</v>
      </c>
      <c r="C989" t="s">
        <v>5</v>
      </c>
      <c r="D989" t="str">
        <f>Graph_GenSurg!$G$6</f>
        <v>IBR</v>
      </c>
      <c r="E989" t="str">
        <f t="shared" si="15"/>
        <v>General Surgery IBR</v>
      </c>
      <c r="F989">
        <f>Graph_GenSurg!$A34</f>
        <v>2040</v>
      </c>
      <c r="G989">
        <f>Graph_GenSurg!$B34</f>
        <v>28</v>
      </c>
      <c r="H989" s="165" t="e">
        <f>Graph_GenSurg!$G34</f>
        <v>#VALUE!</v>
      </c>
      <c r="I989" s="160">
        <f>InputData!$C$3</f>
        <v>0.02</v>
      </c>
      <c r="J989" s="160">
        <f>InputData!$C$4</f>
        <v>0.01</v>
      </c>
      <c r="K989" s="160">
        <f>InputData!$C$5</f>
        <v>0.01</v>
      </c>
      <c r="L989" s="160">
        <f>InputData!$C$6</f>
        <v>6.2100000000000002E-2</v>
      </c>
      <c r="M989" s="160">
        <f>InputData!$C$7</f>
        <v>0.03</v>
      </c>
      <c r="N989" s="160">
        <f>InputData!$C$8</f>
        <v>0.02</v>
      </c>
      <c r="O989" s="160">
        <f>InputData!$C$9</f>
        <v>0.06</v>
      </c>
      <c r="P989" s="160">
        <f>InputData!$C$10</f>
        <v>0.02</v>
      </c>
      <c r="Q989" s="160">
        <f>InputData!$C$11</f>
        <v>0.02</v>
      </c>
      <c r="R989" s="160">
        <f>InputData!$C$12</f>
        <v>0.02</v>
      </c>
      <c r="S989" s="160">
        <f>InputData!$C$13</f>
        <v>0.9</v>
      </c>
      <c r="T989" s="116">
        <f>InputData!$C$88</f>
        <v>180000</v>
      </c>
      <c r="U989" s="116">
        <f>InputData!$C$81</f>
        <v>178500</v>
      </c>
      <c r="V989" s="116">
        <f>InputData!$C$82</f>
        <v>303960</v>
      </c>
      <c r="W989" s="116">
        <f>InputData!$C$84</f>
        <v>215220</v>
      </c>
      <c r="X989" s="116">
        <f>InputData!$C$85</f>
        <v>409020</v>
      </c>
      <c r="Y989" s="116">
        <f>InputData!$C$116</f>
        <v>140000</v>
      </c>
      <c r="Z989" s="160">
        <f>InputData!$E$13</f>
        <v>0</v>
      </c>
    </row>
    <row r="990" spans="1:26" x14ac:dyDescent="0.25">
      <c r="A990">
        <f>InputData!$K$1</f>
        <v>2013</v>
      </c>
      <c r="B990" t="str">
        <f>InputData!$G$1</f>
        <v>San Antonio, TX</v>
      </c>
      <c r="C990" t="s">
        <v>5</v>
      </c>
      <c r="D990" t="str">
        <f>Graph_GenSurg!$G$6</f>
        <v>IBR</v>
      </c>
      <c r="E990" t="str">
        <f t="shared" si="15"/>
        <v>General Surgery IBR</v>
      </c>
      <c r="F990">
        <f>Graph_GenSurg!$A35</f>
        <v>2041</v>
      </c>
      <c r="G990">
        <f>Graph_GenSurg!$B35</f>
        <v>29</v>
      </c>
      <c r="H990" s="165" t="e">
        <f>Graph_GenSurg!$G35</f>
        <v>#VALUE!</v>
      </c>
      <c r="I990" s="160">
        <f>InputData!$C$3</f>
        <v>0.02</v>
      </c>
      <c r="J990" s="160">
        <f>InputData!$C$4</f>
        <v>0.01</v>
      </c>
      <c r="K990" s="160">
        <f>InputData!$C$5</f>
        <v>0.01</v>
      </c>
      <c r="L990" s="160">
        <f>InputData!$C$6</f>
        <v>6.2100000000000002E-2</v>
      </c>
      <c r="M990" s="160">
        <f>InputData!$C$7</f>
        <v>0.03</v>
      </c>
      <c r="N990" s="160">
        <f>InputData!$C$8</f>
        <v>0.02</v>
      </c>
      <c r="O990" s="160">
        <f>InputData!$C$9</f>
        <v>0.06</v>
      </c>
      <c r="P990" s="160">
        <f>InputData!$C$10</f>
        <v>0.02</v>
      </c>
      <c r="Q990" s="160">
        <f>InputData!$C$11</f>
        <v>0.02</v>
      </c>
      <c r="R990" s="160">
        <f>InputData!$C$12</f>
        <v>0.02</v>
      </c>
      <c r="S990" s="160">
        <f>InputData!$C$13</f>
        <v>0.9</v>
      </c>
      <c r="T990" s="116">
        <f>InputData!$C$88</f>
        <v>180000</v>
      </c>
      <c r="U990" s="116">
        <f>InputData!$C$81</f>
        <v>178500</v>
      </c>
      <c r="V990" s="116">
        <f>InputData!$C$82</f>
        <v>303960</v>
      </c>
      <c r="W990" s="116">
        <f>InputData!$C$84</f>
        <v>215220</v>
      </c>
      <c r="X990" s="116">
        <f>InputData!$C$85</f>
        <v>409020</v>
      </c>
      <c r="Y990" s="116">
        <f>InputData!$C$116</f>
        <v>140000</v>
      </c>
      <c r="Z990" s="160">
        <f>InputData!$E$13</f>
        <v>0</v>
      </c>
    </row>
    <row r="991" spans="1:26" x14ac:dyDescent="0.25">
      <c r="A991">
        <f>InputData!$K$1</f>
        <v>2013</v>
      </c>
      <c r="B991" t="str">
        <f>InputData!$G$1</f>
        <v>San Antonio, TX</v>
      </c>
      <c r="C991" t="s">
        <v>5</v>
      </c>
      <c r="D991" t="str">
        <f>Graph_GenSurg!$G$6</f>
        <v>IBR</v>
      </c>
      <c r="E991" t="str">
        <f t="shared" si="15"/>
        <v>General Surgery IBR</v>
      </c>
      <c r="F991">
        <f>Graph_GenSurg!$A36</f>
        <v>2042</v>
      </c>
      <c r="G991">
        <f>Graph_GenSurg!$B36</f>
        <v>30</v>
      </c>
      <c r="H991" s="165" t="e">
        <f>Graph_GenSurg!$G36</f>
        <v>#VALUE!</v>
      </c>
      <c r="I991" s="160">
        <f>InputData!$C$3</f>
        <v>0.02</v>
      </c>
      <c r="J991" s="160">
        <f>InputData!$C$4</f>
        <v>0.01</v>
      </c>
      <c r="K991" s="160">
        <f>InputData!$C$5</f>
        <v>0.01</v>
      </c>
      <c r="L991" s="160">
        <f>InputData!$C$6</f>
        <v>6.2100000000000002E-2</v>
      </c>
      <c r="M991" s="160">
        <f>InputData!$C$7</f>
        <v>0.03</v>
      </c>
      <c r="N991" s="160">
        <f>InputData!$C$8</f>
        <v>0.02</v>
      </c>
      <c r="O991" s="160">
        <f>InputData!$C$9</f>
        <v>0.06</v>
      </c>
      <c r="P991" s="160">
        <f>InputData!$C$10</f>
        <v>0.02</v>
      </c>
      <c r="Q991" s="160">
        <f>InputData!$C$11</f>
        <v>0.02</v>
      </c>
      <c r="R991" s="160">
        <f>InputData!$C$12</f>
        <v>0.02</v>
      </c>
      <c r="S991" s="160">
        <f>InputData!$C$13</f>
        <v>0.9</v>
      </c>
      <c r="T991" s="116">
        <f>InputData!$C$88</f>
        <v>180000</v>
      </c>
      <c r="U991" s="116">
        <f>InputData!$C$81</f>
        <v>178500</v>
      </c>
      <c r="V991" s="116">
        <f>InputData!$C$82</f>
        <v>303960</v>
      </c>
      <c r="W991" s="116">
        <f>InputData!$C$84</f>
        <v>215220</v>
      </c>
      <c r="X991" s="116">
        <f>InputData!$C$85</f>
        <v>409020</v>
      </c>
      <c r="Y991" s="116">
        <f>InputData!$C$116</f>
        <v>140000</v>
      </c>
      <c r="Z991" s="160">
        <f>InputData!$E$13</f>
        <v>0</v>
      </c>
    </row>
    <row r="992" spans="1:26" x14ac:dyDescent="0.25">
      <c r="A992">
        <f>InputData!$K$1</f>
        <v>2013</v>
      </c>
      <c r="B992" t="str">
        <f>InputData!$G$1</f>
        <v>San Antonio, TX</v>
      </c>
      <c r="C992" t="s">
        <v>5</v>
      </c>
      <c r="D992" t="str">
        <f>Graph_GenSurg!$H$6</f>
        <v>PAYE</v>
      </c>
      <c r="E992" t="str">
        <f t="shared" si="15"/>
        <v>General Surgery PAYE</v>
      </c>
      <c r="F992">
        <f>Graph_GenSurg!$A7</f>
        <v>2013</v>
      </c>
      <c r="G992">
        <f>Graph_GenSurg!$B7</f>
        <v>1</v>
      </c>
      <c r="H992" s="165">
        <f>Graph_GenSurg!$H7</f>
        <v>-43015.05</v>
      </c>
      <c r="I992" s="160">
        <f>InputData!$C$3</f>
        <v>0.02</v>
      </c>
      <c r="J992" s="160">
        <f>InputData!$C$4</f>
        <v>0.01</v>
      </c>
      <c r="K992" s="160">
        <f>InputData!$C$5</f>
        <v>0.01</v>
      </c>
      <c r="L992" s="160">
        <f>InputData!$C$6</f>
        <v>6.2100000000000002E-2</v>
      </c>
      <c r="M992" s="160">
        <f>InputData!$C$7</f>
        <v>0.03</v>
      </c>
      <c r="N992" s="160">
        <f>InputData!$C$8</f>
        <v>0.02</v>
      </c>
      <c r="O992" s="160">
        <f>InputData!$C$9</f>
        <v>0.06</v>
      </c>
      <c r="P992" s="160">
        <f>InputData!$C$10</f>
        <v>0.02</v>
      </c>
      <c r="Q992" s="160">
        <f>InputData!$C$11</f>
        <v>0.02</v>
      </c>
      <c r="R992" s="160">
        <f>InputData!$C$12</f>
        <v>0.02</v>
      </c>
      <c r="S992" s="160">
        <f>InputData!$C$13</f>
        <v>0.9</v>
      </c>
      <c r="T992" s="116">
        <f>InputData!$C$88</f>
        <v>180000</v>
      </c>
      <c r="U992" s="116">
        <f>InputData!$C$81</f>
        <v>178500</v>
      </c>
      <c r="V992" s="116">
        <f>InputData!$C$82</f>
        <v>303960</v>
      </c>
      <c r="W992" s="116">
        <f>InputData!$C$84</f>
        <v>215220</v>
      </c>
      <c r="X992" s="116">
        <f>InputData!$C$85</f>
        <v>409020</v>
      </c>
      <c r="Y992" s="116">
        <f>InputData!$C$116</f>
        <v>140000</v>
      </c>
      <c r="Z992" s="160">
        <f>InputData!$E$13</f>
        <v>0</v>
      </c>
    </row>
    <row r="993" spans="1:26" x14ac:dyDescent="0.25">
      <c r="A993">
        <f>InputData!$K$1</f>
        <v>2013</v>
      </c>
      <c r="B993" t="str">
        <f>InputData!$G$1</f>
        <v>San Antonio, TX</v>
      </c>
      <c r="C993" t="s">
        <v>5</v>
      </c>
      <c r="D993" t="str">
        <f>Graph_GenSurg!$H$6</f>
        <v>PAYE</v>
      </c>
      <c r="E993" t="str">
        <f t="shared" si="15"/>
        <v>General Surgery PAYE</v>
      </c>
      <c r="F993">
        <f>Graph_GenSurg!$A8</f>
        <v>2014</v>
      </c>
      <c r="G993">
        <f>Graph_GenSurg!$B8</f>
        <v>2</v>
      </c>
      <c r="H993" s="165">
        <f>Graph_GenSurg!$H8</f>
        <v>-86352.285865219877</v>
      </c>
      <c r="I993" s="160">
        <f>InputData!$C$3</f>
        <v>0.02</v>
      </c>
      <c r="J993" s="160">
        <f>InputData!$C$4</f>
        <v>0.01</v>
      </c>
      <c r="K993" s="160">
        <f>InputData!$C$5</f>
        <v>0.01</v>
      </c>
      <c r="L993" s="160">
        <f>InputData!$C$6</f>
        <v>6.2100000000000002E-2</v>
      </c>
      <c r="M993" s="160">
        <f>InputData!$C$7</f>
        <v>0.03</v>
      </c>
      <c r="N993" s="160">
        <f>InputData!$C$8</f>
        <v>0.02</v>
      </c>
      <c r="O993" s="160">
        <f>InputData!$C$9</f>
        <v>0.06</v>
      </c>
      <c r="P993" s="160">
        <f>InputData!$C$10</f>
        <v>0.02</v>
      </c>
      <c r="Q993" s="160">
        <f>InputData!$C$11</f>
        <v>0.02</v>
      </c>
      <c r="R993" s="160">
        <f>InputData!$C$12</f>
        <v>0.02</v>
      </c>
      <c r="S993" s="160">
        <f>InputData!$C$13</f>
        <v>0.9</v>
      </c>
      <c r="T993" s="116">
        <f>InputData!$C$88</f>
        <v>180000</v>
      </c>
      <c r="U993" s="116">
        <f>InputData!$C$81</f>
        <v>178500</v>
      </c>
      <c r="V993" s="116">
        <f>InputData!$C$82</f>
        <v>303960</v>
      </c>
      <c r="W993" s="116">
        <f>InputData!$C$84</f>
        <v>215220</v>
      </c>
      <c r="X993" s="116">
        <f>InputData!$C$85</f>
        <v>409020</v>
      </c>
      <c r="Y993" s="116">
        <f>InputData!$C$116</f>
        <v>140000</v>
      </c>
      <c r="Z993" s="160">
        <f>InputData!$E$13</f>
        <v>0</v>
      </c>
    </row>
    <row r="994" spans="1:26" x14ac:dyDescent="0.25">
      <c r="A994">
        <f>InputData!$K$1</f>
        <v>2013</v>
      </c>
      <c r="B994" t="str">
        <f>InputData!$G$1</f>
        <v>San Antonio, TX</v>
      </c>
      <c r="C994" t="s">
        <v>5</v>
      </c>
      <c r="D994" t="str">
        <f>Graph_GenSurg!$H$6</f>
        <v>PAYE</v>
      </c>
      <c r="E994" t="str">
        <f t="shared" si="15"/>
        <v>General Surgery PAYE</v>
      </c>
      <c r="F994">
        <f>Graph_GenSurg!$A9</f>
        <v>2015</v>
      </c>
      <c r="G994">
        <f>Graph_GenSurg!$B9</f>
        <v>3</v>
      </c>
      <c r="H994" s="165">
        <f>Graph_GenSurg!$H9</f>
        <v>-138541.19578403595</v>
      </c>
      <c r="I994" s="160">
        <f>InputData!$C$3</f>
        <v>0.02</v>
      </c>
      <c r="J994" s="160">
        <f>InputData!$C$4</f>
        <v>0.01</v>
      </c>
      <c r="K994" s="160">
        <f>InputData!$C$5</f>
        <v>0.01</v>
      </c>
      <c r="L994" s="160">
        <f>InputData!$C$6</f>
        <v>6.2100000000000002E-2</v>
      </c>
      <c r="M994" s="160">
        <f>InputData!$C$7</f>
        <v>0.03</v>
      </c>
      <c r="N994" s="160">
        <f>InputData!$C$8</f>
        <v>0.02</v>
      </c>
      <c r="O994" s="160">
        <f>InputData!$C$9</f>
        <v>0.06</v>
      </c>
      <c r="P994" s="160">
        <f>InputData!$C$10</f>
        <v>0.02</v>
      </c>
      <c r="Q994" s="160">
        <f>InputData!$C$11</f>
        <v>0.02</v>
      </c>
      <c r="R994" s="160">
        <f>InputData!$C$12</f>
        <v>0.02</v>
      </c>
      <c r="S994" s="160">
        <f>InputData!$C$13</f>
        <v>0.9</v>
      </c>
      <c r="T994" s="116">
        <f>InputData!$C$88</f>
        <v>180000</v>
      </c>
      <c r="U994" s="116">
        <f>InputData!$C$81</f>
        <v>178500</v>
      </c>
      <c r="V994" s="116">
        <f>InputData!$C$82</f>
        <v>303960</v>
      </c>
      <c r="W994" s="116">
        <f>InputData!$C$84</f>
        <v>215220</v>
      </c>
      <c r="X994" s="116">
        <f>InputData!$C$85</f>
        <v>409020</v>
      </c>
      <c r="Y994" s="116">
        <f>InputData!$C$116</f>
        <v>140000</v>
      </c>
      <c r="Z994" s="160">
        <f>InputData!$E$13</f>
        <v>0</v>
      </c>
    </row>
    <row r="995" spans="1:26" x14ac:dyDescent="0.25">
      <c r="A995">
        <f>InputData!$K$1</f>
        <v>2013</v>
      </c>
      <c r="B995" t="str">
        <f>InputData!$G$1</f>
        <v>San Antonio, TX</v>
      </c>
      <c r="C995" t="s">
        <v>5</v>
      </c>
      <c r="D995" t="str">
        <f>Graph_GenSurg!$H$6</f>
        <v>PAYE</v>
      </c>
      <c r="E995" t="str">
        <f t="shared" si="15"/>
        <v>General Surgery PAYE</v>
      </c>
      <c r="F995">
        <f>Graph_GenSurg!$A10</f>
        <v>2016</v>
      </c>
      <c r="G995">
        <f>Graph_GenSurg!$B10</f>
        <v>4</v>
      </c>
      <c r="H995" s="165">
        <f>Graph_GenSurg!$H10</f>
        <v>-190867.38028908212</v>
      </c>
      <c r="I995" s="160">
        <f>InputData!$C$3</f>
        <v>0.02</v>
      </c>
      <c r="J995" s="160">
        <f>InputData!$C$4</f>
        <v>0.01</v>
      </c>
      <c r="K995" s="160">
        <f>InputData!$C$5</f>
        <v>0.01</v>
      </c>
      <c r="L995" s="160">
        <f>InputData!$C$6</f>
        <v>6.2100000000000002E-2</v>
      </c>
      <c r="M995" s="160">
        <f>InputData!$C$7</f>
        <v>0.03</v>
      </c>
      <c r="N995" s="160">
        <f>InputData!$C$8</f>
        <v>0.02</v>
      </c>
      <c r="O995" s="160">
        <f>InputData!$C$9</f>
        <v>0.06</v>
      </c>
      <c r="P995" s="160">
        <f>InputData!$C$10</f>
        <v>0.02</v>
      </c>
      <c r="Q995" s="160">
        <f>InputData!$C$11</f>
        <v>0.02</v>
      </c>
      <c r="R995" s="160">
        <f>InputData!$C$12</f>
        <v>0.02</v>
      </c>
      <c r="S995" s="160">
        <f>InputData!$C$13</f>
        <v>0.9</v>
      </c>
      <c r="T995" s="116">
        <f>InputData!$C$88</f>
        <v>180000</v>
      </c>
      <c r="U995" s="116">
        <f>InputData!$C$81</f>
        <v>178500</v>
      </c>
      <c r="V995" s="116">
        <f>InputData!$C$82</f>
        <v>303960</v>
      </c>
      <c r="W995" s="116">
        <f>InputData!$C$84</f>
        <v>215220</v>
      </c>
      <c r="X995" s="116">
        <f>InputData!$C$85</f>
        <v>409020</v>
      </c>
      <c r="Y995" s="116">
        <f>InputData!$C$116</f>
        <v>140000</v>
      </c>
      <c r="Z995" s="160">
        <f>InputData!$E$13</f>
        <v>0</v>
      </c>
    </row>
    <row r="996" spans="1:26" x14ac:dyDescent="0.25">
      <c r="A996">
        <f>InputData!$K$1</f>
        <v>2013</v>
      </c>
      <c r="B996" t="str">
        <f>InputData!$G$1</f>
        <v>San Antonio, TX</v>
      </c>
      <c r="C996" t="s">
        <v>5</v>
      </c>
      <c r="D996" t="str">
        <f>Graph_GenSurg!$H$6</f>
        <v>PAYE</v>
      </c>
      <c r="E996" t="str">
        <f t="shared" si="15"/>
        <v>General Surgery PAYE</v>
      </c>
      <c r="F996">
        <f>Graph_GenSurg!$A11</f>
        <v>2017</v>
      </c>
      <c r="G996">
        <f>Graph_GenSurg!$B11</f>
        <v>5</v>
      </c>
      <c r="H996" s="165">
        <f>Graph_GenSurg!$H11</f>
        <v>-154981.05168717628</v>
      </c>
      <c r="I996" s="160">
        <f>InputData!$C$3</f>
        <v>0.02</v>
      </c>
      <c r="J996" s="160">
        <f>InputData!$C$4</f>
        <v>0.01</v>
      </c>
      <c r="K996" s="160">
        <f>InputData!$C$5</f>
        <v>0.01</v>
      </c>
      <c r="L996" s="160">
        <f>InputData!$C$6</f>
        <v>6.2100000000000002E-2</v>
      </c>
      <c r="M996" s="160">
        <f>InputData!$C$7</f>
        <v>0.03</v>
      </c>
      <c r="N996" s="160">
        <f>InputData!$C$8</f>
        <v>0.02</v>
      </c>
      <c r="O996" s="160">
        <f>InputData!$C$9</f>
        <v>0.06</v>
      </c>
      <c r="P996" s="160">
        <f>InputData!$C$10</f>
        <v>0.02</v>
      </c>
      <c r="Q996" s="160">
        <f>InputData!$C$11</f>
        <v>0.02</v>
      </c>
      <c r="R996" s="160">
        <f>InputData!$C$12</f>
        <v>0.02</v>
      </c>
      <c r="S996" s="160">
        <f>InputData!$C$13</f>
        <v>0.9</v>
      </c>
      <c r="T996" s="116">
        <f>InputData!$C$88</f>
        <v>180000</v>
      </c>
      <c r="U996" s="116">
        <f>InputData!$C$81</f>
        <v>178500</v>
      </c>
      <c r="V996" s="116">
        <f>InputData!$C$82</f>
        <v>303960</v>
      </c>
      <c r="W996" s="116">
        <f>InputData!$C$84</f>
        <v>215220</v>
      </c>
      <c r="X996" s="116">
        <f>InputData!$C$85</f>
        <v>409020</v>
      </c>
      <c r="Y996" s="116">
        <f>InputData!$C$116</f>
        <v>140000</v>
      </c>
      <c r="Z996" s="160">
        <f>InputData!$E$13</f>
        <v>0</v>
      </c>
    </row>
    <row r="997" spans="1:26" x14ac:dyDescent="0.25">
      <c r="A997">
        <f>InputData!$K$1</f>
        <v>2013</v>
      </c>
      <c r="B997" t="str">
        <f>InputData!$G$1</f>
        <v>San Antonio, TX</v>
      </c>
      <c r="C997" t="s">
        <v>5</v>
      </c>
      <c r="D997" t="str">
        <f>Graph_GenSurg!$H$6</f>
        <v>PAYE</v>
      </c>
      <c r="E997" t="str">
        <f t="shared" si="15"/>
        <v>General Surgery PAYE</v>
      </c>
      <c r="F997">
        <f>Graph_GenSurg!$A12</f>
        <v>2018</v>
      </c>
      <c r="G997">
        <f>Graph_GenSurg!$B12</f>
        <v>6</v>
      </c>
      <c r="H997" s="165">
        <f>Graph_GenSurg!$H12</f>
        <v>-118995.92937851879</v>
      </c>
      <c r="I997" s="160">
        <f>InputData!$C$3</f>
        <v>0.02</v>
      </c>
      <c r="J997" s="160">
        <f>InputData!$C$4</f>
        <v>0.01</v>
      </c>
      <c r="K997" s="160">
        <f>InputData!$C$5</f>
        <v>0.01</v>
      </c>
      <c r="L997" s="160">
        <f>InputData!$C$6</f>
        <v>6.2100000000000002E-2</v>
      </c>
      <c r="M997" s="160">
        <f>InputData!$C$7</f>
        <v>0.03</v>
      </c>
      <c r="N997" s="160">
        <f>InputData!$C$8</f>
        <v>0.02</v>
      </c>
      <c r="O997" s="160">
        <f>InputData!$C$9</f>
        <v>0.06</v>
      </c>
      <c r="P997" s="160">
        <f>InputData!$C$10</f>
        <v>0.02</v>
      </c>
      <c r="Q997" s="160">
        <f>InputData!$C$11</f>
        <v>0.02</v>
      </c>
      <c r="R997" s="160">
        <f>InputData!$C$12</f>
        <v>0.02</v>
      </c>
      <c r="S997" s="160">
        <f>InputData!$C$13</f>
        <v>0.9</v>
      </c>
      <c r="T997" s="116">
        <f>InputData!$C$88</f>
        <v>180000</v>
      </c>
      <c r="U997" s="116">
        <f>InputData!$C$81</f>
        <v>178500</v>
      </c>
      <c r="V997" s="116">
        <f>InputData!$C$82</f>
        <v>303960</v>
      </c>
      <c r="W997" s="116">
        <f>InputData!$C$84</f>
        <v>215220</v>
      </c>
      <c r="X997" s="116">
        <f>InputData!$C$85</f>
        <v>409020</v>
      </c>
      <c r="Y997" s="116">
        <f>InputData!$C$116</f>
        <v>140000</v>
      </c>
      <c r="Z997" s="160">
        <f>InputData!$E$13</f>
        <v>0</v>
      </c>
    </row>
    <row r="998" spans="1:26" x14ac:dyDescent="0.25">
      <c r="A998">
        <f>InputData!$K$1</f>
        <v>2013</v>
      </c>
      <c r="B998" t="str">
        <f>InputData!$G$1</f>
        <v>San Antonio, TX</v>
      </c>
      <c r="C998" t="s">
        <v>5</v>
      </c>
      <c r="D998" t="str">
        <f>Graph_GenSurg!$H$6</f>
        <v>PAYE</v>
      </c>
      <c r="E998" t="str">
        <f t="shared" si="15"/>
        <v>General Surgery PAYE</v>
      </c>
      <c r="F998">
        <f>Graph_GenSurg!$A13</f>
        <v>2019</v>
      </c>
      <c r="G998">
        <f>Graph_GenSurg!$B13</f>
        <v>7</v>
      </c>
      <c r="H998" s="165">
        <f>Graph_GenSurg!$H13</f>
        <v>-82904.654937055282</v>
      </c>
      <c r="I998" s="160">
        <f>InputData!$C$3</f>
        <v>0.02</v>
      </c>
      <c r="J998" s="160">
        <f>InputData!$C$4</f>
        <v>0.01</v>
      </c>
      <c r="K998" s="160">
        <f>InputData!$C$5</f>
        <v>0.01</v>
      </c>
      <c r="L998" s="160">
        <f>InputData!$C$6</f>
        <v>6.2100000000000002E-2</v>
      </c>
      <c r="M998" s="160">
        <f>InputData!$C$7</f>
        <v>0.03</v>
      </c>
      <c r="N998" s="160">
        <f>InputData!$C$8</f>
        <v>0.02</v>
      </c>
      <c r="O998" s="160">
        <f>InputData!$C$9</f>
        <v>0.06</v>
      </c>
      <c r="P998" s="160">
        <f>InputData!$C$10</f>
        <v>0.02</v>
      </c>
      <c r="Q998" s="160">
        <f>InputData!$C$11</f>
        <v>0.02</v>
      </c>
      <c r="R998" s="160">
        <f>InputData!$C$12</f>
        <v>0.02</v>
      </c>
      <c r="S998" s="160">
        <f>InputData!$C$13</f>
        <v>0.9</v>
      </c>
      <c r="T998" s="116">
        <f>InputData!$C$88</f>
        <v>180000</v>
      </c>
      <c r="U998" s="116">
        <f>InputData!$C$81</f>
        <v>178500</v>
      </c>
      <c r="V998" s="116">
        <f>InputData!$C$82</f>
        <v>303960</v>
      </c>
      <c r="W998" s="116">
        <f>InputData!$C$84</f>
        <v>215220</v>
      </c>
      <c r="X998" s="116">
        <f>InputData!$C$85</f>
        <v>409020</v>
      </c>
      <c r="Y998" s="116">
        <f>InputData!$C$116</f>
        <v>140000</v>
      </c>
      <c r="Z998" s="160">
        <f>InputData!$E$13</f>
        <v>0</v>
      </c>
    </row>
    <row r="999" spans="1:26" x14ac:dyDescent="0.25">
      <c r="A999">
        <f>InputData!$K$1</f>
        <v>2013</v>
      </c>
      <c r="B999" t="str">
        <f>InputData!$G$1</f>
        <v>San Antonio, TX</v>
      </c>
      <c r="C999" t="s">
        <v>5</v>
      </c>
      <c r="D999" t="str">
        <f>Graph_GenSurg!$H$6</f>
        <v>PAYE</v>
      </c>
      <c r="E999" t="str">
        <f t="shared" si="15"/>
        <v>General Surgery PAYE</v>
      </c>
      <c r="F999">
        <f>Graph_GenSurg!$A14</f>
        <v>2020</v>
      </c>
      <c r="G999">
        <f>Graph_GenSurg!$B14</f>
        <v>8</v>
      </c>
      <c r="H999" s="165">
        <f>Graph_GenSurg!$H14</f>
        <v>-46699.992676364229</v>
      </c>
      <c r="I999" s="160">
        <f>InputData!$C$3</f>
        <v>0.02</v>
      </c>
      <c r="J999" s="160">
        <f>InputData!$C$4</f>
        <v>0.01</v>
      </c>
      <c r="K999" s="160">
        <f>InputData!$C$5</f>
        <v>0.01</v>
      </c>
      <c r="L999" s="160">
        <f>InputData!$C$6</f>
        <v>6.2100000000000002E-2</v>
      </c>
      <c r="M999" s="160">
        <f>InputData!$C$7</f>
        <v>0.03</v>
      </c>
      <c r="N999" s="160">
        <f>InputData!$C$8</f>
        <v>0.02</v>
      </c>
      <c r="O999" s="160">
        <f>InputData!$C$9</f>
        <v>0.06</v>
      </c>
      <c r="P999" s="160">
        <f>InputData!$C$10</f>
        <v>0.02</v>
      </c>
      <c r="Q999" s="160">
        <f>InputData!$C$11</f>
        <v>0.02</v>
      </c>
      <c r="R999" s="160">
        <f>InputData!$C$12</f>
        <v>0.02</v>
      </c>
      <c r="S999" s="160">
        <f>InputData!$C$13</f>
        <v>0.9</v>
      </c>
      <c r="T999" s="116">
        <f>InputData!$C$88</f>
        <v>180000</v>
      </c>
      <c r="U999" s="116">
        <f>InputData!$C$81</f>
        <v>178500</v>
      </c>
      <c r="V999" s="116">
        <f>InputData!$C$82</f>
        <v>303960</v>
      </c>
      <c r="W999" s="116">
        <f>InputData!$C$84</f>
        <v>215220</v>
      </c>
      <c r="X999" s="116">
        <f>InputData!$C$85</f>
        <v>409020</v>
      </c>
      <c r="Y999" s="116">
        <f>InputData!$C$116</f>
        <v>140000</v>
      </c>
      <c r="Z999" s="160">
        <f>InputData!$E$13</f>
        <v>0</v>
      </c>
    </row>
    <row r="1000" spans="1:26" x14ac:dyDescent="0.25">
      <c r="A1000">
        <f>InputData!$K$1</f>
        <v>2013</v>
      </c>
      <c r="B1000" t="str">
        <f>InputData!$G$1</f>
        <v>San Antonio, TX</v>
      </c>
      <c r="C1000" t="s">
        <v>5</v>
      </c>
      <c r="D1000" t="str">
        <f>Graph_GenSurg!$H$6</f>
        <v>PAYE</v>
      </c>
      <c r="E1000" t="str">
        <f t="shared" si="15"/>
        <v>General Surgery PAYE</v>
      </c>
      <c r="F1000">
        <f>Graph_GenSurg!$A15</f>
        <v>2021</v>
      </c>
      <c r="G1000">
        <f>Graph_GenSurg!$B15</f>
        <v>9</v>
      </c>
      <c r="H1000" s="165">
        <f>Graph_GenSurg!$H15</f>
        <v>-10374.82525529444</v>
      </c>
      <c r="I1000" s="160">
        <f>InputData!$C$3</f>
        <v>0.02</v>
      </c>
      <c r="J1000" s="160">
        <f>InputData!$C$4</f>
        <v>0.01</v>
      </c>
      <c r="K1000" s="160">
        <f>InputData!$C$5</f>
        <v>0.01</v>
      </c>
      <c r="L1000" s="160">
        <f>InputData!$C$6</f>
        <v>6.2100000000000002E-2</v>
      </c>
      <c r="M1000" s="160">
        <f>InputData!$C$7</f>
        <v>0.03</v>
      </c>
      <c r="N1000" s="160">
        <f>InputData!$C$8</f>
        <v>0.02</v>
      </c>
      <c r="O1000" s="160">
        <f>InputData!$C$9</f>
        <v>0.06</v>
      </c>
      <c r="P1000" s="160">
        <f>InputData!$C$10</f>
        <v>0.02</v>
      </c>
      <c r="Q1000" s="160">
        <f>InputData!$C$11</f>
        <v>0.02</v>
      </c>
      <c r="R1000" s="160">
        <f>InputData!$C$12</f>
        <v>0.02</v>
      </c>
      <c r="S1000" s="160">
        <f>InputData!$C$13</f>
        <v>0.9</v>
      </c>
      <c r="T1000" s="116">
        <f>InputData!$C$88</f>
        <v>180000</v>
      </c>
      <c r="U1000" s="116">
        <f>InputData!$C$81</f>
        <v>178500</v>
      </c>
      <c r="V1000" s="116">
        <f>InputData!$C$82</f>
        <v>303960</v>
      </c>
      <c r="W1000" s="116">
        <f>InputData!$C$84</f>
        <v>215220</v>
      </c>
      <c r="X1000" s="116">
        <f>InputData!$C$85</f>
        <v>409020</v>
      </c>
      <c r="Y1000" s="116">
        <f>InputData!$C$116</f>
        <v>140000</v>
      </c>
      <c r="Z1000" s="160">
        <f>InputData!$E$13</f>
        <v>0</v>
      </c>
    </row>
    <row r="1001" spans="1:26" x14ac:dyDescent="0.25">
      <c r="A1001">
        <f>InputData!$K$1</f>
        <v>2013</v>
      </c>
      <c r="B1001" t="str">
        <f>InputData!$G$1</f>
        <v>San Antonio, TX</v>
      </c>
      <c r="C1001" t="s">
        <v>5</v>
      </c>
      <c r="D1001" t="str">
        <f>Graph_GenSurg!$H$6</f>
        <v>PAYE</v>
      </c>
      <c r="E1001" t="str">
        <f t="shared" si="15"/>
        <v>General Surgery PAYE</v>
      </c>
      <c r="F1001">
        <f>Graph_GenSurg!$A16</f>
        <v>2022</v>
      </c>
      <c r="G1001">
        <f>Graph_GenSurg!$B16</f>
        <v>10</v>
      </c>
      <c r="H1001" s="165">
        <f>Graph_GenSurg!$H16</f>
        <v>128657.86812640875</v>
      </c>
      <c r="I1001" s="160">
        <f>InputData!$C$3</f>
        <v>0.02</v>
      </c>
      <c r="J1001" s="160">
        <f>InputData!$C$4</f>
        <v>0.01</v>
      </c>
      <c r="K1001" s="160">
        <f>InputData!$C$5</f>
        <v>0.01</v>
      </c>
      <c r="L1001" s="160">
        <f>InputData!$C$6</f>
        <v>6.2100000000000002E-2</v>
      </c>
      <c r="M1001" s="160">
        <f>InputData!$C$7</f>
        <v>0.03</v>
      </c>
      <c r="N1001" s="160">
        <f>InputData!$C$8</f>
        <v>0.02</v>
      </c>
      <c r="O1001" s="160">
        <f>InputData!$C$9</f>
        <v>0.06</v>
      </c>
      <c r="P1001" s="160">
        <f>InputData!$C$10</f>
        <v>0.02</v>
      </c>
      <c r="Q1001" s="160">
        <f>InputData!$C$11</f>
        <v>0.02</v>
      </c>
      <c r="R1001" s="160">
        <f>InputData!$C$12</f>
        <v>0.02</v>
      </c>
      <c r="S1001" s="160">
        <f>InputData!$C$13</f>
        <v>0.9</v>
      </c>
      <c r="T1001" s="116">
        <f>InputData!$C$88</f>
        <v>180000</v>
      </c>
      <c r="U1001" s="116">
        <f>InputData!$C$81</f>
        <v>178500</v>
      </c>
      <c r="V1001" s="116">
        <f>InputData!$C$82</f>
        <v>303960</v>
      </c>
      <c r="W1001" s="116">
        <f>InputData!$C$84</f>
        <v>215220</v>
      </c>
      <c r="X1001" s="116">
        <f>InputData!$C$85</f>
        <v>409020</v>
      </c>
      <c r="Y1001" s="116">
        <f>InputData!$C$116</f>
        <v>140000</v>
      </c>
      <c r="Z1001" s="160">
        <f>InputData!$E$13</f>
        <v>0</v>
      </c>
    </row>
    <row r="1002" spans="1:26" x14ac:dyDescent="0.25">
      <c r="A1002">
        <f>InputData!$K$1</f>
        <v>2013</v>
      </c>
      <c r="B1002" t="str">
        <f>InputData!$G$1</f>
        <v>San Antonio, TX</v>
      </c>
      <c r="C1002" t="s">
        <v>5</v>
      </c>
      <c r="D1002" t="str">
        <f>Graph_GenSurg!$H$6</f>
        <v>PAYE</v>
      </c>
      <c r="E1002" t="str">
        <f t="shared" si="15"/>
        <v>General Surgery PAYE</v>
      </c>
      <c r="F1002">
        <f>Graph_GenSurg!$A17</f>
        <v>2023</v>
      </c>
      <c r="G1002">
        <f>Graph_GenSurg!$B17</f>
        <v>11</v>
      </c>
      <c r="H1002" s="165">
        <f>Graph_GenSurg!$H17</f>
        <v>263641.06558437302</v>
      </c>
      <c r="I1002" s="160">
        <f>InputData!$C$3</f>
        <v>0.02</v>
      </c>
      <c r="J1002" s="160">
        <f>InputData!$C$4</f>
        <v>0.01</v>
      </c>
      <c r="K1002" s="160">
        <f>InputData!$C$5</f>
        <v>0.01</v>
      </c>
      <c r="L1002" s="160">
        <f>InputData!$C$6</f>
        <v>6.2100000000000002E-2</v>
      </c>
      <c r="M1002" s="160">
        <f>InputData!$C$7</f>
        <v>0.03</v>
      </c>
      <c r="N1002" s="160">
        <f>InputData!$C$8</f>
        <v>0.02</v>
      </c>
      <c r="O1002" s="160">
        <f>InputData!$C$9</f>
        <v>0.06</v>
      </c>
      <c r="P1002" s="160">
        <f>InputData!$C$10</f>
        <v>0.02</v>
      </c>
      <c r="Q1002" s="160">
        <f>InputData!$C$11</f>
        <v>0.02</v>
      </c>
      <c r="R1002" s="160">
        <f>InputData!$C$12</f>
        <v>0.02</v>
      </c>
      <c r="S1002" s="160">
        <f>InputData!$C$13</f>
        <v>0.9</v>
      </c>
      <c r="T1002" s="116">
        <f>InputData!$C$88</f>
        <v>180000</v>
      </c>
      <c r="U1002" s="116">
        <f>InputData!$C$81</f>
        <v>178500</v>
      </c>
      <c r="V1002" s="116">
        <f>InputData!$C$82</f>
        <v>303960</v>
      </c>
      <c r="W1002" s="116">
        <f>InputData!$C$84</f>
        <v>215220</v>
      </c>
      <c r="X1002" s="116">
        <f>InputData!$C$85</f>
        <v>409020</v>
      </c>
      <c r="Y1002" s="116">
        <f>InputData!$C$116</f>
        <v>140000</v>
      </c>
      <c r="Z1002" s="160">
        <f>InputData!$E$13</f>
        <v>0</v>
      </c>
    </row>
    <row r="1003" spans="1:26" x14ac:dyDescent="0.25">
      <c r="A1003">
        <f>InputData!$K$1</f>
        <v>2013</v>
      </c>
      <c r="B1003" t="str">
        <f>InputData!$G$1</f>
        <v>San Antonio, TX</v>
      </c>
      <c r="C1003" t="s">
        <v>5</v>
      </c>
      <c r="D1003" t="str">
        <f>Graph_GenSurg!$H$6</f>
        <v>PAYE</v>
      </c>
      <c r="E1003" t="str">
        <f t="shared" si="15"/>
        <v>General Surgery PAYE</v>
      </c>
      <c r="F1003">
        <f>Graph_GenSurg!$A18</f>
        <v>2024</v>
      </c>
      <c r="G1003">
        <f>Graph_GenSurg!$B18</f>
        <v>12</v>
      </c>
      <c r="H1003" s="165">
        <f>Graph_GenSurg!$H18</f>
        <v>395888.60255888291</v>
      </c>
      <c r="I1003" s="160">
        <f>InputData!$C$3</f>
        <v>0.02</v>
      </c>
      <c r="J1003" s="160">
        <f>InputData!$C$4</f>
        <v>0.01</v>
      </c>
      <c r="K1003" s="160">
        <f>InputData!$C$5</f>
        <v>0.01</v>
      </c>
      <c r="L1003" s="160">
        <f>InputData!$C$6</f>
        <v>6.2100000000000002E-2</v>
      </c>
      <c r="M1003" s="160">
        <f>InputData!$C$7</f>
        <v>0.03</v>
      </c>
      <c r="N1003" s="160">
        <f>InputData!$C$8</f>
        <v>0.02</v>
      </c>
      <c r="O1003" s="160">
        <f>InputData!$C$9</f>
        <v>0.06</v>
      </c>
      <c r="P1003" s="160">
        <f>InputData!$C$10</f>
        <v>0.02</v>
      </c>
      <c r="Q1003" s="160">
        <f>InputData!$C$11</f>
        <v>0.02</v>
      </c>
      <c r="R1003" s="160">
        <f>InputData!$C$12</f>
        <v>0.02</v>
      </c>
      <c r="S1003" s="160">
        <f>InputData!$C$13</f>
        <v>0.9</v>
      </c>
      <c r="T1003" s="116">
        <f>InputData!$C$88</f>
        <v>180000</v>
      </c>
      <c r="U1003" s="116">
        <f>InputData!$C$81</f>
        <v>178500</v>
      </c>
      <c r="V1003" s="116">
        <f>InputData!$C$82</f>
        <v>303960</v>
      </c>
      <c r="W1003" s="116">
        <f>InputData!$C$84</f>
        <v>215220</v>
      </c>
      <c r="X1003" s="116">
        <f>InputData!$C$85</f>
        <v>409020</v>
      </c>
      <c r="Y1003" s="116">
        <f>InputData!$C$116</f>
        <v>140000</v>
      </c>
      <c r="Z1003" s="160">
        <f>InputData!$E$13</f>
        <v>0</v>
      </c>
    </row>
    <row r="1004" spans="1:26" x14ac:dyDescent="0.25">
      <c r="A1004">
        <f>InputData!$K$1</f>
        <v>2013</v>
      </c>
      <c r="B1004" t="str">
        <f>InputData!$G$1</f>
        <v>San Antonio, TX</v>
      </c>
      <c r="C1004" t="s">
        <v>5</v>
      </c>
      <c r="D1004" t="str">
        <f>Graph_GenSurg!$H$6</f>
        <v>PAYE</v>
      </c>
      <c r="E1004" t="str">
        <f t="shared" si="15"/>
        <v>General Surgery PAYE</v>
      </c>
      <c r="F1004">
        <f>Graph_GenSurg!$A19</f>
        <v>2025</v>
      </c>
      <c r="G1004">
        <f>Graph_GenSurg!$B19</f>
        <v>13</v>
      </c>
      <c r="H1004" s="165">
        <f>Graph_GenSurg!$H19</f>
        <v>525456.70967841556</v>
      </c>
      <c r="I1004" s="160">
        <f>InputData!$C$3</f>
        <v>0.02</v>
      </c>
      <c r="J1004" s="160">
        <f>InputData!$C$4</f>
        <v>0.01</v>
      </c>
      <c r="K1004" s="160">
        <f>InputData!$C$5</f>
        <v>0.01</v>
      </c>
      <c r="L1004" s="160">
        <f>InputData!$C$6</f>
        <v>6.2100000000000002E-2</v>
      </c>
      <c r="M1004" s="160">
        <f>InputData!$C$7</f>
        <v>0.03</v>
      </c>
      <c r="N1004" s="160">
        <f>InputData!$C$8</f>
        <v>0.02</v>
      </c>
      <c r="O1004" s="160">
        <f>InputData!$C$9</f>
        <v>0.06</v>
      </c>
      <c r="P1004" s="160">
        <f>InputData!$C$10</f>
        <v>0.02</v>
      </c>
      <c r="Q1004" s="160">
        <f>InputData!$C$11</f>
        <v>0.02</v>
      </c>
      <c r="R1004" s="160">
        <f>InputData!$C$12</f>
        <v>0.02</v>
      </c>
      <c r="S1004" s="160">
        <f>InputData!$C$13</f>
        <v>0.9</v>
      </c>
      <c r="T1004" s="116">
        <f>InputData!$C$88</f>
        <v>180000</v>
      </c>
      <c r="U1004" s="116">
        <f>InputData!$C$81</f>
        <v>178500</v>
      </c>
      <c r="V1004" s="116">
        <f>InputData!$C$82</f>
        <v>303960</v>
      </c>
      <c r="W1004" s="116">
        <f>InputData!$C$84</f>
        <v>215220</v>
      </c>
      <c r="X1004" s="116">
        <f>InputData!$C$85</f>
        <v>409020</v>
      </c>
      <c r="Y1004" s="116">
        <f>InputData!$C$116</f>
        <v>140000</v>
      </c>
      <c r="Z1004" s="160">
        <f>InputData!$E$13</f>
        <v>0</v>
      </c>
    </row>
    <row r="1005" spans="1:26" x14ac:dyDescent="0.25">
      <c r="A1005">
        <f>InputData!$K$1</f>
        <v>2013</v>
      </c>
      <c r="B1005" t="str">
        <f>InputData!$G$1</f>
        <v>San Antonio, TX</v>
      </c>
      <c r="C1005" t="s">
        <v>5</v>
      </c>
      <c r="D1005" t="str">
        <f>Graph_GenSurg!$H$6</f>
        <v>PAYE</v>
      </c>
      <c r="E1005" t="str">
        <f t="shared" si="15"/>
        <v>General Surgery PAYE</v>
      </c>
      <c r="F1005">
        <f>Graph_GenSurg!$A20</f>
        <v>2026</v>
      </c>
      <c r="G1005">
        <f>Graph_GenSurg!$B20</f>
        <v>14</v>
      </c>
      <c r="H1005" s="165">
        <f>Graph_GenSurg!$H20</f>
        <v>652908.36098321166</v>
      </c>
      <c r="I1005" s="160">
        <f>InputData!$C$3</f>
        <v>0.02</v>
      </c>
      <c r="J1005" s="160">
        <f>InputData!$C$4</f>
        <v>0.01</v>
      </c>
      <c r="K1005" s="160">
        <f>InputData!$C$5</f>
        <v>0.01</v>
      </c>
      <c r="L1005" s="160">
        <f>InputData!$C$6</f>
        <v>6.2100000000000002E-2</v>
      </c>
      <c r="M1005" s="160">
        <f>InputData!$C$7</f>
        <v>0.03</v>
      </c>
      <c r="N1005" s="160">
        <f>InputData!$C$8</f>
        <v>0.02</v>
      </c>
      <c r="O1005" s="160">
        <f>InputData!$C$9</f>
        <v>0.06</v>
      </c>
      <c r="P1005" s="160">
        <f>InputData!$C$10</f>
        <v>0.02</v>
      </c>
      <c r="Q1005" s="160">
        <f>InputData!$C$11</f>
        <v>0.02</v>
      </c>
      <c r="R1005" s="160">
        <f>InputData!$C$12</f>
        <v>0.02</v>
      </c>
      <c r="S1005" s="160">
        <f>InputData!$C$13</f>
        <v>0.9</v>
      </c>
      <c r="T1005" s="116">
        <f>InputData!$C$88</f>
        <v>180000</v>
      </c>
      <c r="U1005" s="116">
        <f>InputData!$C$81</f>
        <v>178500</v>
      </c>
      <c r="V1005" s="116">
        <f>InputData!$C$82</f>
        <v>303960</v>
      </c>
      <c r="W1005" s="116">
        <f>InputData!$C$84</f>
        <v>215220</v>
      </c>
      <c r="X1005" s="116">
        <f>InputData!$C$85</f>
        <v>409020</v>
      </c>
      <c r="Y1005" s="116">
        <f>InputData!$C$116</f>
        <v>140000</v>
      </c>
      <c r="Z1005" s="160">
        <f>InputData!$E$13</f>
        <v>0</v>
      </c>
    </row>
    <row r="1006" spans="1:26" x14ac:dyDescent="0.25">
      <c r="A1006">
        <f>InputData!$K$1</f>
        <v>2013</v>
      </c>
      <c r="B1006" t="str">
        <f>InputData!$G$1</f>
        <v>San Antonio, TX</v>
      </c>
      <c r="C1006" t="s">
        <v>5</v>
      </c>
      <c r="D1006" t="str">
        <f>Graph_GenSurg!$H$6</f>
        <v>PAYE</v>
      </c>
      <c r="E1006" t="str">
        <f t="shared" si="15"/>
        <v>General Surgery PAYE</v>
      </c>
      <c r="F1006">
        <f>Graph_GenSurg!$A21</f>
        <v>2027</v>
      </c>
      <c r="G1006">
        <f>Graph_GenSurg!$B21</f>
        <v>15</v>
      </c>
      <c r="H1006" s="165">
        <f>Graph_GenSurg!$H21</f>
        <v>778351.32389326522</v>
      </c>
      <c r="I1006" s="160">
        <f>InputData!$C$3</f>
        <v>0.02</v>
      </c>
      <c r="J1006" s="160">
        <f>InputData!$C$4</f>
        <v>0.01</v>
      </c>
      <c r="K1006" s="160">
        <f>InputData!$C$5</f>
        <v>0.01</v>
      </c>
      <c r="L1006" s="160">
        <f>InputData!$C$6</f>
        <v>6.2100000000000002E-2</v>
      </c>
      <c r="M1006" s="160">
        <f>InputData!$C$7</f>
        <v>0.03</v>
      </c>
      <c r="N1006" s="160">
        <f>InputData!$C$8</f>
        <v>0.02</v>
      </c>
      <c r="O1006" s="160">
        <f>InputData!$C$9</f>
        <v>0.06</v>
      </c>
      <c r="P1006" s="160">
        <f>InputData!$C$10</f>
        <v>0.02</v>
      </c>
      <c r="Q1006" s="160">
        <f>InputData!$C$11</f>
        <v>0.02</v>
      </c>
      <c r="R1006" s="160">
        <f>InputData!$C$12</f>
        <v>0.02</v>
      </c>
      <c r="S1006" s="160">
        <f>InputData!$C$13</f>
        <v>0.9</v>
      </c>
      <c r="T1006" s="116">
        <f>InputData!$C$88</f>
        <v>180000</v>
      </c>
      <c r="U1006" s="116">
        <f>InputData!$C$81</f>
        <v>178500</v>
      </c>
      <c r="V1006" s="116">
        <f>InputData!$C$82</f>
        <v>303960</v>
      </c>
      <c r="W1006" s="116">
        <f>InputData!$C$84</f>
        <v>215220</v>
      </c>
      <c r="X1006" s="116">
        <f>InputData!$C$85</f>
        <v>409020</v>
      </c>
      <c r="Y1006" s="116">
        <f>InputData!$C$116</f>
        <v>140000</v>
      </c>
      <c r="Z1006" s="160">
        <f>InputData!$E$13</f>
        <v>0</v>
      </c>
    </row>
    <row r="1007" spans="1:26" x14ac:dyDescent="0.25">
      <c r="A1007">
        <f>InputData!$K$1</f>
        <v>2013</v>
      </c>
      <c r="B1007" t="str">
        <f>InputData!$G$1</f>
        <v>San Antonio, TX</v>
      </c>
      <c r="C1007" t="s">
        <v>5</v>
      </c>
      <c r="D1007" t="str">
        <f>Graph_GenSurg!$H$6</f>
        <v>PAYE</v>
      </c>
      <c r="E1007" t="str">
        <f t="shared" si="15"/>
        <v>General Surgery PAYE</v>
      </c>
      <c r="F1007">
        <f>Graph_GenSurg!$A22</f>
        <v>2028</v>
      </c>
      <c r="G1007">
        <f>Graph_GenSurg!$B22</f>
        <v>16</v>
      </c>
      <c r="H1007" s="165">
        <f>Graph_GenSurg!$H22</f>
        <v>901800.03045754053</v>
      </c>
      <c r="I1007" s="160">
        <f>InputData!$C$3</f>
        <v>0.02</v>
      </c>
      <c r="J1007" s="160">
        <f>InputData!$C$4</f>
        <v>0.01</v>
      </c>
      <c r="K1007" s="160">
        <f>InputData!$C$5</f>
        <v>0.01</v>
      </c>
      <c r="L1007" s="160">
        <f>InputData!$C$6</f>
        <v>6.2100000000000002E-2</v>
      </c>
      <c r="M1007" s="160">
        <f>InputData!$C$7</f>
        <v>0.03</v>
      </c>
      <c r="N1007" s="160">
        <f>InputData!$C$8</f>
        <v>0.02</v>
      </c>
      <c r="O1007" s="160">
        <f>InputData!$C$9</f>
        <v>0.06</v>
      </c>
      <c r="P1007" s="160">
        <f>InputData!$C$10</f>
        <v>0.02</v>
      </c>
      <c r="Q1007" s="160">
        <f>InputData!$C$11</f>
        <v>0.02</v>
      </c>
      <c r="R1007" s="160">
        <f>InputData!$C$12</f>
        <v>0.02</v>
      </c>
      <c r="S1007" s="160">
        <f>InputData!$C$13</f>
        <v>0.9</v>
      </c>
      <c r="T1007" s="116">
        <f>InputData!$C$88</f>
        <v>180000</v>
      </c>
      <c r="U1007" s="116">
        <f>InputData!$C$81</f>
        <v>178500</v>
      </c>
      <c r="V1007" s="116">
        <f>InputData!$C$82</f>
        <v>303960</v>
      </c>
      <c r="W1007" s="116">
        <f>InputData!$C$84</f>
        <v>215220</v>
      </c>
      <c r="X1007" s="116">
        <f>InputData!$C$85</f>
        <v>409020</v>
      </c>
      <c r="Y1007" s="116">
        <f>InputData!$C$116</f>
        <v>140000</v>
      </c>
      <c r="Z1007" s="160">
        <f>InputData!$E$13</f>
        <v>0</v>
      </c>
    </row>
    <row r="1008" spans="1:26" x14ac:dyDescent="0.25">
      <c r="A1008">
        <f>InputData!$K$1</f>
        <v>2013</v>
      </c>
      <c r="B1008" t="str">
        <f>InputData!$G$1</f>
        <v>San Antonio, TX</v>
      </c>
      <c r="C1008" t="s">
        <v>5</v>
      </c>
      <c r="D1008" t="str">
        <f>Graph_GenSurg!$H$6</f>
        <v>PAYE</v>
      </c>
      <c r="E1008" t="str">
        <f t="shared" si="15"/>
        <v>General Surgery PAYE</v>
      </c>
      <c r="F1008">
        <f>Graph_GenSurg!$A23</f>
        <v>2029</v>
      </c>
      <c r="G1008">
        <f>Graph_GenSurg!$B23</f>
        <v>17</v>
      </c>
      <c r="H1008" s="165">
        <f>Graph_GenSurg!$H23</f>
        <v>1023269.8705331421</v>
      </c>
      <c r="I1008" s="160">
        <f>InputData!$C$3</f>
        <v>0.02</v>
      </c>
      <c r="J1008" s="160">
        <f>InputData!$C$4</f>
        <v>0.01</v>
      </c>
      <c r="K1008" s="160">
        <f>InputData!$C$5</f>
        <v>0.01</v>
      </c>
      <c r="L1008" s="160">
        <f>InputData!$C$6</f>
        <v>6.2100000000000002E-2</v>
      </c>
      <c r="M1008" s="160">
        <f>InputData!$C$7</f>
        <v>0.03</v>
      </c>
      <c r="N1008" s="160">
        <f>InputData!$C$8</f>
        <v>0.02</v>
      </c>
      <c r="O1008" s="160">
        <f>InputData!$C$9</f>
        <v>0.06</v>
      </c>
      <c r="P1008" s="160">
        <f>InputData!$C$10</f>
        <v>0.02</v>
      </c>
      <c r="Q1008" s="160">
        <f>InputData!$C$11</f>
        <v>0.02</v>
      </c>
      <c r="R1008" s="160">
        <f>InputData!$C$12</f>
        <v>0.02</v>
      </c>
      <c r="S1008" s="160">
        <f>InputData!$C$13</f>
        <v>0.9</v>
      </c>
      <c r="T1008" s="116">
        <f>InputData!$C$88</f>
        <v>180000</v>
      </c>
      <c r="U1008" s="116">
        <f>InputData!$C$81</f>
        <v>178500</v>
      </c>
      <c r="V1008" s="116">
        <f>InputData!$C$82</f>
        <v>303960</v>
      </c>
      <c r="W1008" s="116">
        <f>InputData!$C$84</f>
        <v>215220</v>
      </c>
      <c r="X1008" s="116">
        <f>InputData!$C$85</f>
        <v>409020</v>
      </c>
      <c r="Y1008" s="116">
        <f>InputData!$C$116</f>
        <v>140000</v>
      </c>
      <c r="Z1008" s="160">
        <f>InputData!$E$13</f>
        <v>0</v>
      </c>
    </row>
    <row r="1009" spans="1:26" x14ac:dyDescent="0.25">
      <c r="A1009">
        <f>InputData!$K$1</f>
        <v>2013</v>
      </c>
      <c r="B1009" t="str">
        <f>InputData!$G$1</f>
        <v>San Antonio, TX</v>
      </c>
      <c r="C1009" t="s">
        <v>5</v>
      </c>
      <c r="D1009" t="str">
        <f>Graph_GenSurg!$H$6</f>
        <v>PAYE</v>
      </c>
      <c r="E1009" t="str">
        <f t="shared" si="15"/>
        <v>General Surgery PAYE</v>
      </c>
      <c r="F1009">
        <f>Graph_GenSurg!$A24</f>
        <v>2030</v>
      </c>
      <c r="G1009">
        <f>Graph_GenSurg!$B24</f>
        <v>18</v>
      </c>
      <c r="H1009" s="165">
        <f>Graph_GenSurg!$H24</f>
        <v>1142777.1121107559</v>
      </c>
      <c r="I1009" s="160">
        <f>InputData!$C$3</f>
        <v>0.02</v>
      </c>
      <c r="J1009" s="160">
        <f>InputData!$C$4</f>
        <v>0.01</v>
      </c>
      <c r="K1009" s="160">
        <f>InputData!$C$5</f>
        <v>0.01</v>
      </c>
      <c r="L1009" s="160">
        <f>InputData!$C$6</f>
        <v>6.2100000000000002E-2</v>
      </c>
      <c r="M1009" s="160">
        <f>InputData!$C$7</f>
        <v>0.03</v>
      </c>
      <c r="N1009" s="160">
        <f>InputData!$C$8</f>
        <v>0.02</v>
      </c>
      <c r="O1009" s="160">
        <f>InputData!$C$9</f>
        <v>0.06</v>
      </c>
      <c r="P1009" s="160">
        <f>InputData!$C$10</f>
        <v>0.02</v>
      </c>
      <c r="Q1009" s="160">
        <f>InputData!$C$11</f>
        <v>0.02</v>
      </c>
      <c r="R1009" s="160">
        <f>InputData!$C$12</f>
        <v>0.02</v>
      </c>
      <c r="S1009" s="160">
        <f>InputData!$C$13</f>
        <v>0.9</v>
      </c>
      <c r="T1009" s="116">
        <f>InputData!$C$88</f>
        <v>180000</v>
      </c>
      <c r="U1009" s="116">
        <f>InputData!$C$81</f>
        <v>178500</v>
      </c>
      <c r="V1009" s="116">
        <f>InputData!$C$82</f>
        <v>303960</v>
      </c>
      <c r="W1009" s="116">
        <f>InputData!$C$84</f>
        <v>215220</v>
      </c>
      <c r="X1009" s="116">
        <f>InputData!$C$85</f>
        <v>409020</v>
      </c>
      <c r="Y1009" s="116">
        <f>InputData!$C$116</f>
        <v>140000</v>
      </c>
      <c r="Z1009" s="160">
        <f>InputData!$E$13</f>
        <v>0</v>
      </c>
    </row>
    <row r="1010" spans="1:26" x14ac:dyDescent="0.25">
      <c r="A1010">
        <f>InputData!$K$1</f>
        <v>2013</v>
      </c>
      <c r="B1010" t="str">
        <f>InputData!$G$1</f>
        <v>San Antonio, TX</v>
      </c>
      <c r="C1010" t="s">
        <v>5</v>
      </c>
      <c r="D1010" t="str">
        <f>Graph_GenSurg!$H$6</f>
        <v>PAYE</v>
      </c>
      <c r="E1010" t="str">
        <f t="shared" si="15"/>
        <v>General Surgery PAYE</v>
      </c>
      <c r="F1010">
        <f>Graph_GenSurg!$A25</f>
        <v>2031</v>
      </c>
      <c r="G1010">
        <f>Graph_GenSurg!$B25</f>
        <v>19</v>
      </c>
      <c r="H1010" s="165">
        <f>Graph_GenSurg!$H25</f>
        <v>1260338.8261681986</v>
      </c>
      <c r="I1010" s="160">
        <f>InputData!$C$3</f>
        <v>0.02</v>
      </c>
      <c r="J1010" s="160">
        <f>InputData!$C$4</f>
        <v>0.01</v>
      </c>
      <c r="K1010" s="160">
        <f>InputData!$C$5</f>
        <v>0.01</v>
      </c>
      <c r="L1010" s="160">
        <f>InputData!$C$6</f>
        <v>6.2100000000000002E-2</v>
      </c>
      <c r="M1010" s="160">
        <f>InputData!$C$7</f>
        <v>0.03</v>
      </c>
      <c r="N1010" s="160">
        <f>InputData!$C$8</f>
        <v>0.02</v>
      </c>
      <c r="O1010" s="160">
        <f>InputData!$C$9</f>
        <v>0.06</v>
      </c>
      <c r="P1010" s="160">
        <f>InputData!$C$10</f>
        <v>0.02</v>
      </c>
      <c r="Q1010" s="160">
        <f>InputData!$C$11</f>
        <v>0.02</v>
      </c>
      <c r="R1010" s="160">
        <f>InputData!$C$12</f>
        <v>0.02</v>
      </c>
      <c r="S1010" s="160">
        <f>InputData!$C$13</f>
        <v>0.9</v>
      </c>
      <c r="T1010" s="116">
        <f>InputData!$C$88</f>
        <v>180000</v>
      </c>
      <c r="U1010" s="116">
        <f>InputData!$C$81</f>
        <v>178500</v>
      </c>
      <c r="V1010" s="116">
        <f>InputData!$C$82</f>
        <v>303960</v>
      </c>
      <c r="W1010" s="116">
        <f>InputData!$C$84</f>
        <v>215220</v>
      </c>
      <c r="X1010" s="116">
        <f>InputData!$C$85</f>
        <v>409020</v>
      </c>
      <c r="Y1010" s="116">
        <f>InputData!$C$116</f>
        <v>140000</v>
      </c>
      <c r="Z1010" s="160">
        <f>InputData!$E$13</f>
        <v>0</v>
      </c>
    </row>
    <row r="1011" spans="1:26" x14ac:dyDescent="0.25">
      <c r="A1011">
        <f>InputData!$K$1</f>
        <v>2013</v>
      </c>
      <c r="B1011" t="str">
        <f>InputData!$G$1</f>
        <v>San Antonio, TX</v>
      </c>
      <c r="C1011" t="s">
        <v>5</v>
      </c>
      <c r="D1011" t="str">
        <f>Graph_GenSurg!$H$6</f>
        <v>PAYE</v>
      </c>
      <c r="E1011" t="str">
        <f t="shared" si="15"/>
        <v>General Surgery PAYE</v>
      </c>
      <c r="F1011">
        <f>Graph_GenSurg!$A26</f>
        <v>2032</v>
      </c>
      <c r="G1011">
        <f>Graph_GenSurg!$B26</f>
        <v>20</v>
      </c>
      <c r="H1011" s="165">
        <f>Graph_GenSurg!$H26</f>
        <v>1385921.4729329767</v>
      </c>
      <c r="I1011" s="160">
        <f>InputData!$C$3</f>
        <v>0.02</v>
      </c>
      <c r="J1011" s="160">
        <f>InputData!$C$4</f>
        <v>0.01</v>
      </c>
      <c r="K1011" s="160">
        <f>InputData!$C$5</f>
        <v>0.01</v>
      </c>
      <c r="L1011" s="160">
        <f>InputData!$C$6</f>
        <v>6.2100000000000002E-2</v>
      </c>
      <c r="M1011" s="160">
        <f>InputData!$C$7</f>
        <v>0.03</v>
      </c>
      <c r="N1011" s="160">
        <f>InputData!$C$8</f>
        <v>0.02</v>
      </c>
      <c r="O1011" s="160">
        <f>InputData!$C$9</f>
        <v>0.06</v>
      </c>
      <c r="P1011" s="160">
        <f>InputData!$C$10</f>
        <v>0.02</v>
      </c>
      <c r="Q1011" s="160">
        <f>InputData!$C$11</f>
        <v>0.02</v>
      </c>
      <c r="R1011" s="160">
        <f>InputData!$C$12</f>
        <v>0.02</v>
      </c>
      <c r="S1011" s="160">
        <f>InputData!$C$13</f>
        <v>0.9</v>
      </c>
      <c r="T1011" s="116">
        <f>InputData!$C$88</f>
        <v>180000</v>
      </c>
      <c r="U1011" s="116">
        <f>InputData!$C$81</f>
        <v>178500</v>
      </c>
      <c r="V1011" s="116">
        <f>InputData!$C$82</f>
        <v>303960</v>
      </c>
      <c r="W1011" s="116">
        <f>InputData!$C$84</f>
        <v>215220</v>
      </c>
      <c r="X1011" s="116">
        <f>InputData!$C$85</f>
        <v>409020</v>
      </c>
      <c r="Y1011" s="116">
        <f>InputData!$C$116</f>
        <v>140000</v>
      </c>
      <c r="Z1011" s="160">
        <f>InputData!$E$13</f>
        <v>0</v>
      </c>
    </row>
    <row r="1012" spans="1:26" x14ac:dyDescent="0.25">
      <c r="A1012">
        <f>InputData!$K$1</f>
        <v>2013</v>
      </c>
      <c r="B1012" t="str">
        <f>InputData!$G$1</f>
        <v>San Antonio, TX</v>
      </c>
      <c r="C1012" t="s">
        <v>5</v>
      </c>
      <c r="D1012" t="str">
        <f>Graph_GenSurg!$H$6</f>
        <v>PAYE</v>
      </c>
      <c r="E1012" t="str">
        <f t="shared" si="15"/>
        <v>General Surgery PAYE</v>
      </c>
      <c r="F1012">
        <f>Graph_GenSurg!$A27</f>
        <v>2033</v>
      </c>
      <c r="G1012">
        <f>Graph_GenSurg!$B27</f>
        <v>21</v>
      </c>
      <c r="H1012" s="165">
        <f>Graph_GenSurg!$H27</f>
        <v>1513542.2068435135</v>
      </c>
      <c r="I1012" s="160">
        <f>InputData!$C$3</f>
        <v>0.02</v>
      </c>
      <c r="J1012" s="160">
        <f>InputData!$C$4</f>
        <v>0.01</v>
      </c>
      <c r="K1012" s="160">
        <f>InputData!$C$5</f>
        <v>0.01</v>
      </c>
      <c r="L1012" s="160">
        <f>InputData!$C$6</f>
        <v>6.2100000000000002E-2</v>
      </c>
      <c r="M1012" s="160">
        <f>InputData!$C$7</f>
        <v>0.03</v>
      </c>
      <c r="N1012" s="160">
        <f>InputData!$C$8</f>
        <v>0.02</v>
      </c>
      <c r="O1012" s="160">
        <f>InputData!$C$9</f>
        <v>0.06</v>
      </c>
      <c r="P1012" s="160">
        <f>InputData!$C$10</f>
        <v>0.02</v>
      </c>
      <c r="Q1012" s="160">
        <f>InputData!$C$11</f>
        <v>0.02</v>
      </c>
      <c r="R1012" s="160">
        <f>InputData!$C$12</f>
        <v>0.02</v>
      </c>
      <c r="S1012" s="160">
        <f>InputData!$C$13</f>
        <v>0.9</v>
      </c>
      <c r="T1012" s="116">
        <f>InputData!$C$88</f>
        <v>180000</v>
      </c>
      <c r="U1012" s="116">
        <f>InputData!$C$81</f>
        <v>178500</v>
      </c>
      <c r="V1012" s="116">
        <f>InputData!$C$82</f>
        <v>303960</v>
      </c>
      <c r="W1012" s="116">
        <f>InputData!$C$84</f>
        <v>215220</v>
      </c>
      <c r="X1012" s="116">
        <f>InputData!$C$85</f>
        <v>409020</v>
      </c>
      <c r="Y1012" s="116">
        <f>InputData!$C$116</f>
        <v>140000</v>
      </c>
      <c r="Z1012" s="160">
        <f>InputData!$E$13</f>
        <v>0</v>
      </c>
    </row>
    <row r="1013" spans="1:26" x14ac:dyDescent="0.25">
      <c r="A1013">
        <f>InputData!$K$1</f>
        <v>2013</v>
      </c>
      <c r="B1013" t="str">
        <f>InputData!$G$1</f>
        <v>San Antonio, TX</v>
      </c>
      <c r="C1013" t="s">
        <v>5</v>
      </c>
      <c r="D1013" t="str">
        <f>Graph_GenSurg!$H$6</f>
        <v>PAYE</v>
      </c>
      <c r="E1013" t="str">
        <f t="shared" si="15"/>
        <v>General Surgery PAYE</v>
      </c>
      <c r="F1013">
        <f>Graph_GenSurg!$A28</f>
        <v>2034</v>
      </c>
      <c r="G1013">
        <f>Graph_GenSurg!$B28</f>
        <v>22</v>
      </c>
      <c r="H1013" s="165">
        <f>Graph_GenSurg!$H28</f>
        <v>1638603.4833178287</v>
      </c>
      <c r="I1013" s="160">
        <f>InputData!$C$3</f>
        <v>0.02</v>
      </c>
      <c r="J1013" s="160">
        <f>InputData!$C$4</f>
        <v>0.01</v>
      </c>
      <c r="K1013" s="160">
        <f>InputData!$C$5</f>
        <v>0.01</v>
      </c>
      <c r="L1013" s="160">
        <f>InputData!$C$6</f>
        <v>6.2100000000000002E-2</v>
      </c>
      <c r="M1013" s="160">
        <f>InputData!$C$7</f>
        <v>0.03</v>
      </c>
      <c r="N1013" s="160">
        <f>InputData!$C$8</f>
        <v>0.02</v>
      </c>
      <c r="O1013" s="160">
        <f>InputData!$C$9</f>
        <v>0.06</v>
      </c>
      <c r="P1013" s="160">
        <f>InputData!$C$10</f>
        <v>0.02</v>
      </c>
      <c r="Q1013" s="160">
        <f>InputData!$C$11</f>
        <v>0.02</v>
      </c>
      <c r="R1013" s="160">
        <f>InputData!$C$12</f>
        <v>0.02</v>
      </c>
      <c r="S1013" s="160">
        <f>InputData!$C$13</f>
        <v>0.9</v>
      </c>
      <c r="T1013" s="116">
        <f>InputData!$C$88</f>
        <v>180000</v>
      </c>
      <c r="U1013" s="116">
        <f>InputData!$C$81</f>
        <v>178500</v>
      </c>
      <c r="V1013" s="116">
        <f>InputData!$C$82</f>
        <v>303960</v>
      </c>
      <c r="W1013" s="116">
        <f>InputData!$C$84</f>
        <v>215220</v>
      </c>
      <c r="X1013" s="116">
        <f>InputData!$C$85</f>
        <v>409020</v>
      </c>
      <c r="Y1013" s="116">
        <f>InputData!$C$116</f>
        <v>140000</v>
      </c>
      <c r="Z1013" s="160">
        <f>InputData!$E$13</f>
        <v>0</v>
      </c>
    </row>
    <row r="1014" spans="1:26" x14ac:dyDescent="0.25">
      <c r="A1014">
        <f>InputData!$K$1</f>
        <v>2013</v>
      </c>
      <c r="B1014" t="str">
        <f>InputData!$G$1</f>
        <v>San Antonio, TX</v>
      </c>
      <c r="C1014" t="s">
        <v>5</v>
      </c>
      <c r="D1014" t="str">
        <f>Graph_GenSurg!$H$6</f>
        <v>PAYE</v>
      </c>
      <c r="E1014" t="str">
        <f t="shared" si="15"/>
        <v>General Surgery PAYE</v>
      </c>
      <c r="F1014">
        <f>Graph_GenSurg!$A29</f>
        <v>2035</v>
      </c>
      <c r="G1014">
        <f>Graph_GenSurg!$B29</f>
        <v>23</v>
      </c>
      <c r="H1014" s="165">
        <f>Graph_GenSurg!$H29</f>
        <v>1761157.15061443</v>
      </c>
      <c r="I1014" s="160">
        <f>InputData!$C$3</f>
        <v>0.02</v>
      </c>
      <c r="J1014" s="160">
        <f>InputData!$C$4</f>
        <v>0.01</v>
      </c>
      <c r="K1014" s="160">
        <f>InputData!$C$5</f>
        <v>0.01</v>
      </c>
      <c r="L1014" s="160">
        <f>InputData!$C$6</f>
        <v>6.2100000000000002E-2</v>
      </c>
      <c r="M1014" s="160">
        <f>InputData!$C$7</f>
        <v>0.03</v>
      </c>
      <c r="N1014" s="160">
        <f>InputData!$C$8</f>
        <v>0.02</v>
      </c>
      <c r="O1014" s="160">
        <f>InputData!$C$9</f>
        <v>0.06</v>
      </c>
      <c r="P1014" s="160">
        <f>InputData!$C$10</f>
        <v>0.02</v>
      </c>
      <c r="Q1014" s="160">
        <f>InputData!$C$11</f>
        <v>0.02</v>
      </c>
      <c r="R1014" s="160">
        <f>InputData!$C$12</f>
        <v>0.02</v>
      </c>
      <c r="S1014" s="160">
        <f>InputData!$C$13</f>
        <v>0.9</v>
      </c>
      <c r="T1014" s="116">
        <f>InputData!$C$88</f>
        <v>180000</v>
      </c>
      <c r="U1014" s="116">
        <f>InputData!$C$81</f>
        <v>178500</v>
      </c>
      <c r="V1014" s="116">
        <f>InputData!$C$82</f>
        <v>303960</v>
      </c>
      <c r="W1014" s="116">
        <f>InputData!$C$84</f>
        <v>215220</v>
      </c>
      <c r="X1014" s="116">
        <f>InputData!$C$85</f>
        <v>409020</v>
      </c>
      <c r="Y1014" s="116">
        <f>InputData!$C$116</f>
        <v>140000</v>
      </c>
      <c r="Z1014" s="160">
        <f>InputData!$E$13</f>
        <v>0</v>
      </c>
    </row>
    <row r="1015" spans="1:26" x14ac:dyDescent="0.25">
      <c r="A1015">
        <f>InputData!$K$1</f>
        <v>2013</v>
      </c>
      <c r="B1015" t="str">
        <f>InputData!$G$1</f>
        <v>San Antonio, TX</v>
      </c>
      <c r="C1015" t="s">
        <v>5</v>
      </c>
      <c r="D1015" t="str">
        <f>Graph_GenSurg!$H$6</f>
        <v>PAYE</v>
      </c>
      <c r="E1015" t="str">
        <f t="shared" si="15"/>
        <v>General Surgery PAYE</v>
      </c>
      <c r="F1015">
        <f>Graph_GenSurg!$A30</f>
        <v>2036</v>
      </c>
      <c r="G1015">
        <f>Graph_GenSurg!$B30</f>
        <v>24</v>
      </c>
      <c r="H1015" s="165">
        <f>Graph_GenSurg!$H30</f>
        <v>1881253.9919276962</v>
      </c>
      <c r="I1015" s="160">
        <f>InputData!$C$3</f>
        <v>0.02</v>
      </c>
      <c r="J1015" s="160">
        <f>InputData!$C$4</f>
        <v>0.01</v>
      </c>
      <c r="K1015" s="160">
        <f>InputData!$C$5</f>
        <v>0.01</v>
      </c>
      <c r="L1015" s="160">
        <f>InputData!$C$6</f>
        <v>6.2100000000000002E-2</v>
      </c>
      <c r="M1015" s="160">
        <f>InputData!$C$7</f>
        <v>0.03</v>
      </c>
      <c r="N1015" s="160">
        <f>InputData!$C$8</f>
        <v>0.02</v>
      </c>
      <c r="O1015" s="160">
        <f>InputData!$C$9</f>
        <v>0.06</v>
      </c>
      <c r="P1015" s="160">
        <f>InputData!$C$10</f>
        <v>0.02</v>
      </c>
      <c r="Q1015" s="160">
        <f>InputData!$C$11</f>
        <v>0.02</v>
      </c>
      <c r="R1015" s="160">
        <f>InputData!$C$12</f>
        <v>0.02</v>
      </c>
      <c r="S1015" s="160">
        <f>InputData!$C$13</f>
        <v>0.9</v>
      </c>
      <c r="T1015" s="116">
        <f>InputData!$C$88</f>
        <v>180000</v>
      </c>
      <c r="U1015" s="116">
        <f>InputData!$C$81</f>
        <v>178500</v>
      </c>
      <c r="V1015" s="116">
        <f>InputData!$C$82</f>
        <v>303960</v>
      </c>
      <c r="W1015" s="116">
        <f>InputData!$C$84</f>
        <v>215220</v>
      </c>
      <c r="X1015" s="116">
        <f>InputData!$C$85</f>
        <v>409020</v>
      </c>
      <c r="Y1015" s="116">
        <f>InputData!$C$116</f>
        <v>140000</v>
      </c>
      <c r="Z1015" s="160">
        <f>InputData!$E$13</f>
        <v>0</v>
      </c>
    </row>
    <row r="1016" spans="1:26" x14ac:dyDescent="0.25">
      <c r="A1016">
        <f>InputData!$K$1</f>
        <v>2013</v>
      </c>
      <c r="B1016" t="str">
        <f>InputData!$G$1</f>
        <v>San Antonio, TX</v>
      </c>
      <c r="C1016" t="s">
        <v>5</v>
      </c>
      <c r="D1016" t="str">
        <f>Graph_GenSurg!$H$6</f>
        <v>PAYE</v>
      </c>
      <c r="E1016" t="str">
        <f t="shared" si="15"/>
        <v>General Surgery PAYE</v>
      </c>
      <c r="F1016">
        <f>Graph_GenSurg!$A31</f>
        <v>2037</v>
      </c>
      <c r="G1016">
        <f>Graph_GenSurg!$B31</f>
        <v>25</v>
      </c>
      <c r="H1016" s="165">
        <f>Graph_GenSurg!$H31</f>
        <v>1998943.7476821169</v>
      </c>
      <c r="I1016" s="160">
        <f>InputData!$C$3</f>
        <v>0.02</v>
      </c>
      <c r="J1016" s="160">
        <f>InputData!$C$4</f>
        <v>0.01</v>
      </c>
      <c r="K1016" s="160">
        <f>InputData!$C$5</f>
        <v>0.01</v>
      </c>
      <c r="L1016" s="160">
        <f>InputData!$C$6</f>
        <v>6.2100000000000002E-2</v>
      </c>
      <c r="M1016" s="160">
        <f>InputData!$C$7</f>
        <v>0.03</v>
      </c>
      <c r="N1016" s="160">
        <f>InputData!$C$8</f>
        <v>0.02</v>
      </c>
      <c r="O1016" s="160">
        <f>InputData!$C$9</f>
        <v>0.06</v>
      </c>
      <c r="P1016" s="160">
        <f>InputData!$C$10</f>
        <v>0.02</v>
      </c>
      <c r="Q1016" s="160">
        <f>InputData!$C$11</f>
        <v>0.02</v>
      </c>
      <c r="R1016" s="160">
        <f>InputData!$C$12</f>
        <v>0.02</v>
      </c>
      <c r="S1016" s="160">
        <f>InputData!$C$13</f>
        <v>0.9</v>
      </c>
      <c r="T1016" s="116">
        <f>InputData!$C$88</f>
        <v>180000</v>
      </c>
      <c r="U1016" s="116">
        <f>InputData!$C$81</f>
        <v>178500</v>
      </c>
      <c r="V1016" s="116">
        <f>InputData!$C$82</f>
        <v>303960</v>
      </c>
      <c r="W1016" s="116">
        <f>InputData!$C$84</f>
        <v>215220</v>
      </c>
      <c r="X1016" s="116">
        <f>InputData!$C$85</f>
        <v>409020</v>
      </c>
      <c r="Y1016" s="116">
        <f>InputData!$C$116</f>
        <v>140000</v>
      </c>
      <c r="Z1016" s="160">
        <f>InputData!$E$13</f>
        <v>0</v>
      </c>
    </row>
    <row r="1017" spans="1:26" x14ac:dyDescent="0.25">
      <c r="A1017">
        <f>InputData!$K$1</f>
        <v>2013</v>
      </c>
      <c r="B1017" t="str">
        <f>InputData!$G$1</f>
        <v>San Antonio, TX</v>
      </c>
      <c r="C1017" t="s">
        <v>5</v>
      </c>
      <c r="D1017" t="str">
        <f>Graph_GenSurg!$H$6</f>
        <v>PAYE</v>
      </c>
      <c r="E1017" t="str">
        <f t="shared" si="15"/>
        <v>General Surgery PAYE</v>
      </c>
      <c r="F1017">
        <f>Graph_GenSurg!$A32</f>
        <v>2038</v>
      </c>
      <c r="G1017">
        <f>Graph_GenSurg!$B32</f>
        <v>26</v>
      </c>
      <c r="H1017" s="165">
        <f>Graph_GenSurg!$H32</f>
        <v>2114275.137348304</v>
      </c>
      <c r="I1017" s="160">
        <f>InputData!$C$3</f>
        <v>0.02</v>
      </c>
      <c r="J1017" s="160">
        <f>InputData!$C$4</f>
        <v>0.01</v>
      </c>
      <c r="K1017" s="160">
        <f>InputData!$C$5</f>
        <v>0.01</v>
      </c>
      <c r="L1017" s="160">
        <f>InputData!$C$6</f>
        <v>6.2100000000000002E-2</v>
      </c>
      <c r="M1017" s="160">
        <f>InputData!$C$7</f>
        <v>0.03</v>
      </c>
      <c r="N1017" s="160">
        <f>InputData!$C$8</f>
        <v>0.02</v>
      </c>
      <c r="O1017" s="160">
        <f>InputData!$C$9</f>
        <v>0.06</v>
      </c>
      <c r="P1017" s="160">
        <f>InputData!$C$10</f>
        <v>0.02</v>
      </c>
      <c r="Q1017" s="160">
        <f>InputData!$C$11</f>
        <v>0.02</v>
      </c>
      <c r="R1017" s="160">
        <f>InputData!$C$12</f>
        <v>0.02</v>
      </c>
      <c r="S1017" s="160">
        <f>InputData!$C$13</f>
        <v>0.9</v>
      </c>
      <c r="T1017" s="116">
        <f>InputData!$C$88</f>
        <v>180000</v>
      </c>
      <c r="U1017" s="116">
        <f>InputData!$C$81</f>
        <v>178500</v>
      </c>
      <c r="V1017" s="116">
        <f>InputData!$C$82</f>
        <v>303960</v>
      </c>
      <c r="W1017" s="116">
        <f>InputData!$C$84</f>
        <v>215220</v>
      </c>
      <c r="X1017" s="116">
        <f>InputData!$C$85</f>
        <v>409020</v>
      </c>
      <c r="Y1017" s="116">
        <f>InputData!$C$116</f>
        <v>140000</v>
      </c>
      <c r="Z1017" s="160">
        <f>InputData!$E$13</f>
        <v>0</v>
      </c>
    </row>
    <row r="1018" spans="1:26" x14ac:dyDescent="0.25">
      <c r="A1018">
        <f>InputData!$K$1</f>
        <v>2013</v>
      </c>
      <c r="B1018" t="str">
        <f>InputData!$G$1</f>
        <v>San Antonio, TX</v>
      </c>
      <c r="C1018" t="s">
        <v>5</v>
      </c>
      <c r="D1018" t="str">
        <f>Graph_GenSurg!$H$6</f>
        <v>PAYE</v>
      </c>
      <c r="E1018" t="str">
        <f t="shared" si="15"/>
        <v>General Surgery PAYE</v>
      </c>
      <c r="F1018">
        <f>Graph_GenSurg!$A33</f>
        <v>2039</v>
      </c>
      <c r="G1018">
        <f>Graph_GenSurg!$B33</f>
        <v>27</v>
      </c>
      <c r="H1018" s="165">
        <f>Graph_GenSurg!$H33</f>
        <v>2227295.8807913489</v>
      </c>
      <c r="I1018" s="160">
        <f>InputData!$C$3</f>
        <v>0.02</v>
      </c>
      <c r="J1018" s="160">
        <f>InputData!$C$4</f>
        <v>0.01</v>
      </c>
      <c r="K1018" s="160">
        <f>InputData!$C$5</f>
        <v>0.01</v>
      </c>
      <c r="L1018" s="160">
        <f>InputData!$C$6</f>
        <v>6.2100000000000002E-2</v>
      </c>
      <c r="M1018" s="160">
        <f>InputData!$C$7</f>
        <v>0.03</v>
      </c>
      <c r="N1018" s="160">
        <f>InputData!$C$8</f>
        <v>0.02</v>
      </c>
      <c r="O1018" s="160">
        <f>InputData!$C$9</f>
        <v>0.06</v>
      </c>
      <c r="P1018" s="160">
        <f>InputData!$C$10</f>
        <v>0.02</v>
      </c>
      <c r="Q1018" s="160">
        <f>InputData!$C$11</f>
        <v>0.02</v>
      </c>
      <c r="R1018" s="160">
        <f>InputData!$C$12</f>
        <v>0.02</v>
      </c>
      <c r="S1018" s="160">
        <f>InputData!$C$13</f>
        <v>0.9</v>
      </c>
      <c r="T1018" s="116">
        <f>InputData!$C$88</f>
        <v>180000</v>
      </c>
      <c r="U1018" s="116">
        <f>InputData!$C$81</f>
        <v>178500</v>
      </c>
      <c r="V1018" s="116">
        <f>InputData!$C$82</f>
        <v>303960</v>
      </c>
      <c r="W1018" s="116">
        <f>InputData!$C$84</f>
        <v>215220</v>
      </c>
      <c r="X1018" s="116">
        <f>InputData!$C$85</f>
        <v>409020</v>
      </c>
      <c r="Y1018" s="116">
        <f>InputData!$C$116</f>
        <v>140000</v>
      </c>
      <c r="Z1018" s="160">
        <f>InputData!$E$13</f>
        <v>0</v>
      </c>
    </row>
    <row r="1019" spans="1:26" x14ac:dyDescent="0.25">
      <c r="A1019">
        <f>InputData!$K$1</f>
        <v>2013</v>
      </c>
      <c r="B1019" t="str">
        <f>InputData!$G$1</f>
        <v>San Antonio, TX</v>
      </c>
      <c r="C1019" t="s">
        <v>5</v>
      </c>
      <c r="D1019" t="str">
        <f>Graph_GenSurg!$H$6</f>
        <v>PAYE</v>
      </c>
      <c r="E1019" t="str">
        <f t="shared" si="15"/>
        <v>General Surgery PAYE</v>
      </c>
      <c r="F1019">
        <f>Graph_GenSurg!$A34</f>
        <v>2040</v>
      </c>
      <c r="G1019">
        <f>Graph_GenSurg!$B34</f>
        <v>28</v>
      </c>
      <c r="H1019" s="165">
        <f>Graph_GenSurg!$H34</f>
        <v>2338052.7191618565</v>
      </c>
      <c r="I1019" s="160">
        <f>InputData!$C$3</f>
        <v>0.02</v>
      </c>
      <c r="J1019" s="160">
        <f>InputData!$C$4</f>
        <v>0.01</v>
      </c>
      <c r="K1019" s="160">
        <f>InputData!$C$5</f>
        <v>0.01</v>
      </c>
      <c r="L1019" s="160">
        <f>InputData!$C$6</f>
        <v>6.2100000000000002E-2</v>
      </c>
      <c r="M1019" s="160">
        <f>InputData!$C$7</f>
        <v>0.03</v>
      </c>
      <c r="N1019" s="160">
        <f>InputData!$C$8</f>
        <v>0.02</v>
      </c>
      <c r="O1019" s="160">
        <f>InputData!$C$9</f>
        <v>0.06</v>
      </c>
      <c r="P1019" s="160">
        <f>InputData!$C$10</f>
        <v>0.02</v>
      </c>
      <c r="Q1019" s="160">
        <f>InputData!$C$11</f>
        <v>0.02</v>
      </c>
      <c r="R1019" s="160">
        <f>InputData!$C$12</f>
        <v>0.02</v>
      </c>
      <c r="S1019" s="160">
        <f>InputData!$C$13</f>
        <v>0.9</v>
      </c>
      <c r="T1019" s="116">
        <f>InputData!$C$88</f>
        <v>180000</v>
      </c>
      <c r="U1019" s="116">
        <f>InputData!$C$81</f>
        <v>178500</v>
      </c>
      <c r="V1019" s="116">
        <f>InputData!$C$82</f>
        <v>303960</v>
      </c>
      <c r="W1019" s="116">
        <f>InputData!$C$84</f>
        <v>215220</v>
      </c>
      <c r="X1019" s="116">
        <f>InputData!$C$85</f>
        <v>409020</v>
      </c>
      <c r="Y1019" s="116">
        <f>InputData!$C$116</f>
        <v>140000</v>
      </c>
      <c r="Z1019" s="160">
        <f>InputData!$E$13</f>
        <v>0</v>
      </c>
    </row>
    <row r="1020" spans="1:26" x14ac:dyDescent="0.25">
      <c r="A1020">
        <f>InputData!$K$1</f>
        <v>2013</v>
      </c>
      <c r="B1020" t="str">
        <f>InputData!$G$1</f>
        <v>San Antonio, TX</v>
      </c>
      <c r="C1020" t="s">
        <v>5</v>
      </c>
      <c r="D1020" t="str">
        <f>Graph_GenSurg!$H$6</f>
        <v>PAYE</v>
      </c>
      <c r="E1020" t="str">
        <f t="shared" si="15"/>
        <v>General Surgery PAYE</v>
      </c>
      <c r="F1020">
        <f>Graph_GenSurg!$A35</f>
        <v>2041</v>
      </c>
      <c r="G1020">
        <f>Graph_GenSurg!$B35</f>
        <v>29</v>
      </c>
      <c r="H1020" s="165">
        <f>Graph_GenSurg!$H35</f>
        <v>2446591.4353397503</v>
      </c>
      <c r="I1020" s="160">
        <f>InputData!$C$3</f>
        <v>0.02</v>
      </c>
      <c r="J1020" s="160">
        <f>InputData!$C$4</f>
        <v>0.01</v>
      </c>
      <c r="K1020" s="160">
        <f>InputData!$C$5</f>
        <v>0.01</v>
      </c>
      <c r="L1020" s="160">
        <f>InputData!$C$6</f>
        <v>6.2100000000000002E-2</v>
      </c>
      <c r="M1020" s="160">
        <f>InputData!$C$7</f>
        <v>0.03</v>
      </c>
      <c r="N1020" s="160">
        <f>InputData!$C$8</f>
        <v>0.02</v>
      </c>
      <c r="O1020" s="160">
        <f>InputData!$C$9</f>
        <v>0.06</v>
      </c>
      <c r="P1020" s="160">
        <f>InputData!$C$10</f>
        <v>0.02</v>
      </c>
      <c r="Q1020" s="160">
        <f>InputData!$C$11</f>
        <v>0.02</v>
      </c>
      <c r="R1020" s="160">
        <f>InputData!$C$12</f>
        <v>0.02</v>
      </c>
      <c r="S1020" s="160">
        <f>InputData!$C$13</f>
        <v>0.9</v>
      </c>
      <c r="T1020" s="116">
        <f>InputData!$C$88</f>
        <v>180000</v>
      </c>
      <c r="U1020" s="116">
        <f>InputData!$C$81</f>
        <v>178500</v>
      </c>
      <c r="V1020" s="116">
        <f>InputData!$C$82</f>
        <v>303960</v>
      </c>
      <c r="W1020" s="116">
        <f>InputData!$C$84</f>
        <v>215220</v>
      </c>
      <c r="X1020" s="116">
        <f>InputData!$C$85</f>
        <v>409020</v>
      </c>
      <c r="Y1020" s="116">
        <f>InputData!$C$116</f>
        <v>140000</v>
      </c>
      <c r="Z1020" s="160">
        <f>InputData!$E$13</f>
        <v>0</v>
      </c>
    </row>
    <row r="1021" spans="1:26" x14ac:dyDescent="0.25">
      <c r="A1021">
        <f>InputData!$K$1</f>
        <v>2013</v>
      </c>
      <c r="B1021" t="str">
        <f>InputData!$G$1</f>
        <v>San Antonio, TX</v>
      </c>
      <c r="C1021" t="s">
        <v>5</v>
      </c>
      <c r="D1021" t="str">
        <f>Graph_GenSurg!$H$6</f>
        <v>PAYE</v>
      </c>
      <c r="E1021" t="str">
        <f t="shared" si="15"/>
        <v>General Surgery PAYE</v>
      </c>
      <c r="F1021">
        <f>Graph_GenSurg!$A36</f>
        <v>2042</v>
      </c>
      <c r="G1021">
        <f>Graph_GenSurg!$B36</f>
        <v>30</v>
      </c>
      <c r="H1021" s="165">
        <f>Graph_GenSurg!$H36</f>
        <v>2552956.873940716</v>
      </c>
      <c r="I1021" s="160">
        <f>InputData!$C$3</f>
        <v>0.02</v>
      </c>
      <c r="J1021" s="160">
        <f>InputData!$C$4</f>
        <v>0.01</v>
      </c>
      <c r="K1021" s="160">
        <f>InputData!$C$5</f>
        <v>0.01</v>
      </c>
      <c r="L1021" s="160">
        <f>InputData!$C$6</f>
        <v>6.2100000000000002E-2</v>
      </c>
      <c r="M1021" s="160">
        <f>InputData!$C$7</f>
        <v>0.03</v>
      </c>
      <c r="N1021" s="160">
        <f>InputData!$C$8</f>
        <v>0.02</v>
      </c>
      <c r="O1021" s="160">
        <f>InputData!$C$9</f>
        <v>0.06</v>
      </c>
      <c r="P1021" s="160">
        <f>InputData!$C$10</f>
        <v>0.02</v>
      </c>
      <c r="Q1021" s="160">
        <f>InputData!$C$11</f>
        <v>0.02</v>
      </c>
      <c r="R1021" s="160">
        <f>InputData!$C$12</f>
        <v>0.02</v>
      </c>
      <c r="S1021" s="160">
        <f>InputData!$C$13</f>
        <v>0.9</v>
      </c>
      <c r="T1021" s="116">
        <f>InputData!$C$88</f>
        <v>180000</v>
      </c>
      <c r="U1021" s="116">
        <f>InputData!$C$81</f>
        <v>178500</v>
      </c>
      <c r="V1021" s="116">
        <f>InputData!$C$82</f>
        <v>303960</v>
      </c>
      <c r="W1021" s="116">
        <f>InputData!$C$84</f>
        <v>215220</v>
      </c>
      <c r="X1021" s="116">
        <f>InputData!$C$85</f>
        <v>409020</v>
      </c>
      <c r="Y1021" s="116">
        <f>InputData!$C$116</f>
        <v>140000</v>
      </c>
      <c r="Z1021" s="160">
        <f>InputData!$E$13</f>
        <v>0</v>
      </c>
    </row>
    <row r="1022" spans="1:26" x14ac:dyDescent="0.25">
      <c r="A1022">
        <f>InputData!$K$1</f>
        <v>2013</v>
      </c>
      <c r="B1022" t="str">
        <f>InputData!$G$1</f>
        <v>San Antonio, TX</v>
      </c>
      <c r="C1022" t="s">
        <v>5</v>
      </c>
      <c r="D1022" t="str">
        <f>Graph_GenSurg!$I$6</f>
        <v>STD10r</v>
      </c>
      <c r="E1022" t="str">
        <f t="shared" si="15"/>
        <v>General Surgery STD10r</v>
      </c>
      <c r="F1022">
        <f>Graph_GenSurg!$A7</f>
        <v>2013</v>
      </c>
      <c r="G1022">
        <f>Graph_GenSurg!$B7</f>
        <v>1</v>
      </c>
      <c r="H1022" s="165">
        <f>Graph_GenSurg!$I7</f>
        <v>-43015.05</v>
      </c>
      <c r="I1022" s="160">
        <f>InputData!$C$3</f>
        <v>0.02</v>
      </c>
      <c r="J1022" s="160">
        <f>InputData!$C$4</f>
        <v>0.01</v>
      </c>
      <c r="K1022" s="160">
        <f>InputData!$C$5</f>
        <v>0.01</v>
      </c>
      <c r="L1022" s="160">
        <f>InputData!$C$6</f>
        <v>6.2100000000000002E-2</v>
      </c>
      <c r="M1022" s="160">
        <f>InputData!$C$7</f>
        <v>0.03</v>
      </c>
      <c r="N1022" s="160">
        <f>InputData!$C$8</f>
        <v>0.02</v>
      </c>
      <c r="O1022" s="160">
        <f>InputData!$C$9</f>
        <v>0.06</v>
      </c>
      <c r="P1022" s="160">
        <f>InputData!$C$10</f>
        <v>0.02</v>
      </c>
      <c r="Q1022" s="160">
        <f>InputData!$C$11</f>
        <v>0.02</v>
      </c>
      <c r="R1022" s="160">
        <f>InputData!$C$12</f>
        <v>0.02</v>
      </c>
      <c r="S1022" s="160">
        <f>InputData!$C$13</f>
        <v>0.9</v>
      </c>
      <c r="T1022" s="116">
        <f>InputData!$C$88</f>
        <v>180000</v>
      </c>
      <c r="U1022" s="116">
        <f>InputData!$C$81</f>
        <v>178500</v>
      </c>
      <c r="V1022" s="116">
        <f>InputData!$C$82</f>
        <v>303960</v>
      </c>
      <c r="W1022" s="116">
        <f>InputData!$C$84</f>
        <v>215220</v>
      </c>
      <c r="X1022" s="116">
        <f>InputData!$C$85</f>
        <v>409020</v>
      </c>
      <c r="Y1022" s="116">
        <f>InputData!$C$116</f>
        <v>140000</v>
      </c>
      <c r="Z1022" s="160">
        <f>InputData!$E$13</f>
        <v>0</v>
      </c>
    </row>
    <row r="1023" spans="1:26" x14ac:dyDescent="0.25">
      <c r="A1023">
        <f>InputData!$K$1</f>
        <v>2013</v>
      </c>
      <c r="B1023" t="str">
        <f>InputData!$G$1</f>
        <v>San Antonio, TX</v>
      </c>
      <c r="C1023" t="s">
        <v>5</v>
      </c>
      <c r="D1023" t="str">
        <f>Graph_GenSurg!$I$6</f>
        <v>STD10r</v>
      </c>
      <c r="E1023" t="str">
        <f t="shared" si="15"/>
        <v>General Surgery STD10r</v>
      </c>
      <c r="F1023">
        <f>Graph_GenSurg!$A8</f>
        <v>2014</v>
      </c>
      <c r="G1023">
        <f>Graph_GenSurg!$B8</f>
        <v>2</v>
      </c>
      <c r="H1023" s="165">
        <f>Graph_GenSurg!$I8</f>
        <v>-86352.285865219877</v>
      </c>
      <c r="I1023" s="160">
        <f>InputData!$C$3</f>
        <v>0.02</v>
      </c>
      <c r="J1023" s="160">
        <f>InputData!$C$4</f>
        <v>0.01</v>
      </c>
      <c r="K1023" s="160">
        <f>InputData!$C$5</f>
        <v>0.01</v>
      </c>
      <c r="L1023" s="160">
        <f>InputData!$C$6</f>
        <v>6.2100000000000002E-2</v>
      </c>
      <c r="M1023" s="160">
        <f>InputData!$C$7</f>
        <v>0.03</v>
      </c>
      <c r="N1023" s="160">
        <f>InputData!$C$8</f>
        <v>0.02</v>
      </c>
      <c r="O1023" s="160">
        <f>InputData!$C$9</f>
        <v>0.06</v>
      </c>
      <c r="P1023" s="160">
        <f>InputData!$C$10</f>
        <v>0.02</v>
      </c>
      <c r="Q1023" s="160">
        <f>InputData!$C$11</f>
        <v>0.02</v>
      </c>
      <c r="R1023" s="160">
        <f>InputData!$C$12</f>
        <v>0.02</v>
      </c>
      <c r="S1023" s="160">
        <f>InputData!$C$13</f>
        <v>0.9</v>
      </c>
      <c r="T1023" s="116">
        <f>InputData!$C$88</f>
        <v>180000</v>
      </c>
      <c r="U1023" s="116">
        <f>InputData!$C$81</f>
        <v>178500</v>
      </c>
      <c r="V1023" s="116">
        <f>InputData!$C$82</f>
        <v>303960</v>
      </c>
      <c r="W1023" s="116">
        <f>InputData!$C$84</f>
        <v>215220</v>
      </c>
      <c r="X1023" s="116">
        <f>InputData!$C$85</f>
        <v>409020</v>
      </c>
      <c r="Y1023" s="116">
        <f>InputData!$C$116</f>
        <v>140000</v>
      </c>
      <c r="Z1023" s="160">
        <f>InputData!$E$13</f>
        <v>0</v>
      </c>
    </row>
    <row r="1024" spans="1:26" x14ac:dyDescent="0.25">
      <c r="A1024">
        <f>InputData!$K$1</f>
        <v>2013</v>
      </c>
      <c r="B1024" t="str">
        <f>InputData!$G$1</f>
        <v>San Antonio, TX</v>
      </c>
      <c r="C1024" t="s">
        <v>5</v>
      </c>
      <c r="D1024" t="str">
        <f>Graph_GenSurg!$I$6</f>
        <v>STD10r</v>
      </c>
      <c r="E1024" t="str">
        <f t="shared" si="15"/>
        <v>General Surgery STD10r</v>
      </c>
      <c r="F1024">
        <f>Graph_GenSurg!$A9</f>
        <v>2015</v>
      </c>
      <c r="G1024">
        <f>Graph_GenSurg!$B9</f>
        <v>3</v>
      </c>
      <c r="H1024" s="165">
        <f>Graph_GenSurg!$I9</f>
        <v>-138541.19578403595</v>
      </c>
      <c r="I1024" s="160">
        <f>InputData!$C$3</f>
        <v>0.02</v>
      </c>
      <c r="J1024" s="160">
        <f>InputData!$C$4</f>
        <v>0.01</v>
      </c>
      <c r="K1024" s="160">
        <f>InputData!$C$5</f>
        <v>0.01</v>
      </c>
      <c r="L1024" s="160">
        <f>InputData!$C$6</f>
        <v>6.2100000000000002E-2</v>
      </c>
      <c r="M1024" s="160">
        <f>InputData!$C$7</f>
        <v>0.03</v>
      </c>
      <c r="N1024" s="160">
        <f>InputData!$C$8</f>
        <v>0.02</v>
      </c>
      <c r="O1024" s="160">
        <f>InputData!$C$9</f>
        <v>0.06</v>
      </c>
      <c r="P1024" s="160">
        <f>InputData!$C$10</f>
        <v>0.02</v>
      </c>
      <c r="Q1024" s="160">
        <f>InputData!$C$11</f>
        <v>0.02</v>
      </c>
      <c r="R1024" s="160">
        <f>InputData!$C$12</f>
        <v>0.02</v>
      </c>
      <c r="S1024" s="160">
        <f>InputData!$C$13</f>
        <v>0.9</v>
      </c>
      <c r="T1024" s="116">
        <f>InputData!$C$88</f>
        <v>180000</v>
      </c>
      <c r="U1024" s="116">
        <f>InputData!$C$81</f>
        <v>178500</v>
      </c>
      <c r="V1024" s="116">
        <f>InputData!$C$82</f>
        <v>303960</v>
      </c>
      <c r="W1024" s="116">
        <f>InputData!$C$84</f>
        <v>215220</v>
      </c>
      <c r="X1024" s="116">
        <f>InputData!$C$85</f>
        <v>409020</v>
      </c>
      <c r="Y1024" s="116">
        <f>InputData!$C$116</f>
        <v>140000</v>
      </c>
      <c r="Z1024" s="160">
        <f>InputData!$E$13</f>
        <v>0</v>
      </c>
    </row>
    <row r="1025" spans="1:26" x14ac:dyDescent="0.25">
      <c r="A1025">
        <f>InputData!$K$1</f>
        <v>2013</v>
      </c>
      <c r="B1025" t="str">
        <f>InputData!$G$1</f>
        <v>San Antonio, TX</v>
      </c>
      <c r="C1025" t="s">
        <v>5</v>
      </c>
      <c r="D1025" t="str">
        <f>Graph_GenSurg!$I$6</f>
        <v>STD10r</v>
      </c>
      <c r="E1025" t="str">
        <f t="shared" si="15"/>
        <v>General Surgery STD10r</v>
      </c>
      <c r="F1025">
        <f>Graph_GenSurg!$A10</f>
        <v>2016</v>
      </c>
      <c r="G1025">
        <f>Graph_GenSurg!$B10</f>
        <v>4</v>
      </c>
      <c r="H1025" s="165">
        <f>Graph_GenSurg!$I10</f>
        <v>-190867.38028908212</v>
      </c>
      <c r="I1025" s="160">
        <f>InputData!$C$3</f>
        <v>0.02</v>
      </c>
      <c r="J1025" s="160">
        <f>InputData!$C$4</f>
        <v>0.01</v>
      </c>
      <c r="K1025" s="160">
        <f>InputData!$C$5</f>
        <v>0.01</v>
      </c>
      <c r="L1025" s="160">
        <f>InputData!$C$6</f>
        <v>6.2100000000000002E-2</v>
      </c>
      <c r="M1025" s="160">
        <f>InputData!$C$7</f>
        <v>0.03</v>
      </c>
      <c r="N1025" s="160">
        <f>InputData!$C$8</f>
        <v>0.02</v>
      </c>
      <c r="O1025" s="160">
        <f>InputData!$C$9</f>
        <v>0.06</v>
      </c>
      <c r="P1025" s="160">
        <f>InputData!$C$10</f>
        <v>0.02</v>
      </c>
      <c r="Q1025" s="160">
        <f>InputData!$C$11</f>
        <v>0.02</v>
      </c>
      <c r="R1025" s="160">
        <f>InputData!$C$12</f>
        <v>0.02</v>
      </c>
      <c r="S1025" s="160">
        <f>InputData!$C$13</f>
        <v>0.9</v>
      </c>
      <c r="T1025" s="116">
        <f>InputData!$C$88</f>
        <v>180000</v>
      </c>
      <c r="U1025" s="116">
        <f>InputData!$C$81</f>
        <v>178500</v>
      </c>
      <c r="V1025" s="116">
        <f>InputData!$C$82</f>
        <v>303960</v>
      </c>
      <c r="W1025" s="116">
        <f>InputData!$C$84</f>
        <v>215220</v>
      </c>
      <c r="X1025" s="116">
        <f>InputData!$C$85</f>
        <v>409020</v>
      </c>
      <c r="Y1025" s="116">
        <f>InputData!$C$116</f>
        <v>140000</v>
      </c>
      <c r="Z1025" s="160">
        <f>InputData!$E$13</f>
        <v>0</v>
      </c>
    </row>
    <row r="1026" spans="1:26" x14ac:dyDescent="0.25">
      <c r="A1026">
        <f>InputData!$K$1</f>
        <v>2013</v>
      </c>
      <c r="B1026" t="str">
        <f>InputData!$G$1</f>
        <v>San Antonio, TX</v>
      </c>
      <c r="C1026" t="s">
        <v>5</v>
      </c>
      <c r="D1026" t="str">
        <f>Graph_GenSurg!$I$6</f>
        <v>STD10r</v>
      </c>
      <c r="E1026" t="str">
        <f t="shared" si="15"/>
        <v>General Surgery STD10r</v>
      </c>
      <c r="F1026">
        <f>Graph_GenSurg!$A11</f>
        <v>2017</v>
      </c>
      <c r="G1026">
        <f>Graph_GenSurg!$B11</f>
        <v>5</v>
      </c>
      <c r="H1026" s="165">
        <f>Graph_GenSurg!$I11</f>
        <v>-166943.9067383607</v>
      </c>
      <c r="I1026" s="160">
        <f>InputData!$C$3</f>
        <v>0.02</v>
      </c>
      <c r="J1026" s="160">
        <f>InputData!$C$4</f>
        <v>0.01</v>
      </c>
      <c r="K1026" s="160">
        <f>InputData!$C$5</f>
        <v>0.01</v>
      </c>
      <c r="L1026" s="160">
        <f>InputData!$C$6</f>
        <v>6.2100000000000002E-2</v>
      </c>
      <c r="M1026" s="160">
        <f>InputData!$C$7</f>
        <v>0.03</v>
      </c>
      <c r="N1026" s="160">
        <f>InputData!$C$8</f>
        <v>0.02</v>
      </c>
      <c r="O1026" s="160">
        <f>InputData!$C$9</f>
        <v>0.06</v>
      </c>
      <c r="P1026" s="160">
        <f>InputData!$C$10</f>
        <v>0.02</v>
      </c>
      <c r="Q1026" s="160">
        <f>InputData!$C$11</f>
        <v>0.02</v>
      </c>
      <c r="R1026" s="160">
        <f>InputData!$C$12</f>
        <v>0.02</v>
      </c>
      <c r="S1026" s="160">
        <f>InputData!$C$13</f>
        <v>0.9</v>
      </c>
      <c r="T1026" s="116">
        <f>InputData!$C$88</f>
        <v>180000</v>
      </c>
      <c r="U1026" s="116">
        <f>InputData!$C$81</f>
        <v>178500</v>
      </c>
      <c r="V1026" s="116">
        <f>InputData!$C$82</f>
        <v>303960</v>
      </c>
      <c r="W1026" s="116">
        <f>InputData!$C$84</f>
        <v>215220</v>
      </c>
      <c r="X1026" s="116">
        <f>InputData!$C$85</f>
        <v>409020</v>
      </c>
      <c r="Y1026" s="116">
        <f>InputData!$C$116</f>
        <v>140000</v>
      </c>
      <c r="Z1026" s="160">
        <f>InputData!$E$13</f>
        <v>0</v>
      </c>
    </row>
    <row r="1027" spans="1:26" x14ac:dyDescent="0.25">
      <c r="A1027">
        <f>InputData!$K$1</f>
        <v>2013</v>
      </c>
      <c r="B1027" t="str">
        <f>InputData!$G$1</f>
        <v>San Antonio, TX</v>
      </c>
      <c r="C1027" t="s">
        <v>5</v>
      </c>
      <c r="D1027" t="str">
        <f>Graph_GenSurg!$I$6</f>
        <v>STD10r</v>
      </c>
      <c r="E1027" t="str">
        <f t="shared" ref="E1027:E1090" si="16">C1027 &amp; " " &amp; D1027</f>
        <v>General Surgery STD10r</v>
      </c>
      <c r="F1027">
        <f>Graph_GenSurg!$A12</f>
        <v>2018</v>
      </c>
      <c r="G1027">
        <f>Graph_GenSurg!$B12</f>
        <v>6</v>
      </c>
      <c r="H1027" s="165">
        <f>Graph_GenSurg!$I12</f>
        <v>-153732.16164497906</v>
      </c>
      <c r="I1027" s="160">
        <f>InputData!$C$3</f>
        <v>0.02</v>
      </c>
      <c r="J1027" s="160">
        <f>InputData!$C$4</f>
        <v>0.01</v>
      </c>
      <c r="K1027" s="160">
        <f>InputData!$C$5</f>
        <v>0.01</v>
      </c>
      <c r="L1027" s="160">
        <f>InputData!$C$6</f>
        <v>6.2100000000000002E-2</v>
      </c>
      <c r="M1027" s="160">
        <f>InputData!$C$7</f>
        <v>0.03</v>
      </c>
      <c r="N1027" s="160">
        <f>InputData!$C$8</f>
        <v>0.02</v>
      </c>
      <c r="O1027" s="160">
        <f>InputData!$C$9</f>
        <v>0.06</v>
      </c>
      <c r="P1027" s="160">
        <f>InputData!$C$10</f>
        <v>0.02</v>
      </c>
      <c r="Q1027" s="160">
        <f>InputData!$C$11</f>
        <v>0.02</v>
      </c>
      <c r="R1027" s="160">
        <f>InputData!$C$12</f>
        <v>0.02</v>
      </c>
      <c r="S1027" s="160">
        <f>InputData!$C$13</f>
        <v>0.9</v>
      </c>
      <c r="T1027" s="116">
        <f>InputData!$C$88</f>
        <v>180000</v>
      </c>
      <c r="U1027" s="116">
        <f>InputData!$C$81</f>
        <v>178500</v>
      </c>
      <c r="V1027" s="116">
        <f>InputData!$C$82</f>
        <v>303960</v>
      </c>
      <c r="W1027" s="116">
        <f>InputData!$C$84</f>
        <v>215220</v>
      </c>
      <c r="X1027" s="116">
        <f>InputData!$C$85</f>
        <v>409020</v>
      </c>
      <c r="Y1027" s="116">
        <f>InputData!$C$116</f>
        <v>140000</v>
      </c>
      <c r="Z1027" s="160">
        <f>InputData!$E$13</f>
        <v>0</v>
      </c>
    </row>
    <row r="1028" spans="1:26" x14ac:dyDescent="0.25">
      <c r="A1028">
        <f>InputData!$K$1</f>
        <v>2013</v>
      </c>
      <c r="B1028" t="str">
        <f>InputData!$G$1</f>
        <v>San Antonio, TX</v>
      </c>
      <c r="C1028" t="s">
        <v>5</v>
      </c>
      <c r="D1028" t="str">
        <f>Graph_GenSurg!$I$6</f>
        <v>STD10r</v>
      </c>
      <c r="E1028" t="str">
        <f t="shared" si="16"/>
        <v>General Surgery STD10r</v>
      </c>
      <c r="F1028">
        <f>Graph_GenSurg!$A13</f>
        <v>2019</v>
      </c>
      <c r="G1028">
        <f>Graph_GenSurg!$B13</f>
        <v>7</v>
      </c>
      <c r="H1028" s="165">
        <f>Graph_GenSurg!$I13</f>
        <v>-139317.43128811088</v>
      </c>
      <c r="I1028" s="160">
        <f>InputData!$C$3</f>
        <v>0.02</v>
      </c>
      <c r="J1028" s="160">
        <f>InputData!$C$4</f>
        <v>0.01</v>
      </c>
      <c r="K1028" s="160">
        <f>InputData!$C$5</f>
        <v>0.01</v>
      </c>
      <c r="L1028" s="160">
        <f>InputData!$C$6</f>
        <v>6.2100000000000002E-2</v>
      </c>
      <c r="M1028" s="160">
        <f>InputData!$C$7</f>
        <v>0.03</v>
      </c>
      <c r="N1028" s="160">
        <f>InputData!$C$8</f>
        <v>0.02</v>
      </c>
      <c r="O1028" s="160">
        <f>InputData!$C$9</f>
        <v>0.06</v>
      </c>
      <c r="P1028" s="160">
        <f>InputData!$C$10</f>
        <v>0.02</v>
      </c>
      <c r="Q1028" s="160">
        <f>InputData!$C$11</f>
        <v>0.02</v>
      </c>
      <c r="R1028" s="160">
        <f>InputData!$C$12</f>
        <v>0.02</v>
      </c>
      <c r="S1028" s="160">
        <f>InputData!$C$13</f>
        <v>0.9</v>
      </c>
      <c r="T1028" s="116">
        <f>InputData!$C$88</f>
        <v>180000</v>
      </c>
      <c r="U1028" s="116">
        <f>InputData!$C$81</f>
        <v>178500</v>
      </c>
      <c r="V1028" s="116">
        <f>InputData!$C$82</f>
        <v>303960</v>
      </c>
      <c r="W1028" s="116">
        <f>InputData!$C$84</f>
        <v>215220</v>
      </c>
      <c r="X1028" s="116">
        <f>InputData!$C$85</f>
        <v>409020</v>
      </c>
      <c r="Y1028" s="116">
        <f>InputData!$C$116</f>
        <v>140000</v>
      </c>
      <c r="Z1028" s="160">
        <f>InputData!$E$13</f>
        <v>0</v>
      </c>
    </row>
    <row r="1029" spans="1:26" x14ac:dyDescent="0.25">
      <c r="A1029">
        <f>InputData!$K$1</f>
        <v>2013</v>
      </c>
      <c r="B1029" t="str">
        <f>InputData!$G$1</f>
        <v>San Antonio, TX</v>
      </c>
      <c r="C1029" t="s">
        <v>5</v>
      </c>
      <c r="D1029" t="str">
        <f>Graph_GenSurg!$I$6</f>
        <v>STD10r</v>
      </c>
      <c r="E1029" t="str">
        <f t="shared" si="16"/>
        <v>General Surgery STD10r</v>
      </c>
      <c r="F1029">
        <f>Graph_GenSurg!$A14</f>
        <v>2020</v>
      </c>
      <c r="G1029">
        <f>Graph_GenSurg!$B14</f>
        <v>8</v>
      </c>
      <c r="H1029" s="165">
        <f>Graph_GenSurg!$I14</f>
        <v>-123745.30670550409</v>
      </c>
      <c r="I1029" s="160">
        <f>InputData!$C$3</f>
        <v>0.02</v>
      </c>
      <c r="J1029" s="160">
        <f>InputData!$C$4</f>
        <v>0.01</v>
      </c>
      <c r="K1029" s="160">
        <f>InputData!$C$5</f>
        <v>0.01</v>
      </c>
      <c r="L1029" s="160">
        <f>InputData!$C$6</f>
        <v>6.2100000000000002E-2</v>
      </c>
      <c r="M1029" s="160">
        <f>InputData!$C$7</f>
        <v>0.03</v>
      </c>
      <c r="N1029" s="160">
        <f>InputData!$C$8</f>
        <v>0.02</v>
      </c>
      <c r="O1029" s="160">
        <f>InputData!$C$9</f>
        <v>0.06</v>
      </c>
      <c r="P1029" s="160">
        <f>InputData!$C$10</f>
        <v>0.02</v>
      </c>
      <c r="Q1029" s="160">
        <f>InputData!$C$11</f>
        <v>0.02</v>
      </c>
      <c r="R1029" s="160">
        <f>InputData!$C$12</f>
        <v>0.02</v>
      </c>
      <c r="S1029" s="160">
        <f>InputData!$C$13</f>
        <v>0.9</v>
      </c>
      <c r="T1029" s="116">
        <f>InputData!$C$88</f>
        <v>180000</v>
      </c>
      <c r="U1029" s="116">
        <f>InputData!$C$81</f>
        <v>178500</v>
      </c>
      <c r="V1029" s="116">
        <f>InputData!$C$82</f>
        <v>303960</v>
      </c>
      <c r="W1029" s="116">
        <f>InputData!$C$84</f>
        <v>215220</v>
      </c>
      <c r="X1029" s="116">
        <f>InputData!$C$85</f>
        <v>409020</v>
      </c>
      <c r="Y1029" s="116">
        <f>InputData!$C$116</f>
        <v>140000</v>
      </c>
      <c r="Z1029" s="160">
        <f>InputData!$E$13</f>
        <v>0</v>
      </c>
    </row>
    <row r="1030" spans="1:26" x14ac:dyDescent="0.25">
      <c r="A1030">
        <f>InputData!$K$1</f>
        <v>2013</v>
      </c>
      <c r="B1030" t="str">
        <f>InputData!$G$1</f>
        <v>San Antonio, TX</v>
      </c>
      <c r="C1030" t="s">
        <v>5</v>
      </c>
      <c r="D1030" t="str">
        <f>Graph_GenSurg!$I$6</f>
        <v>STD10r</v>
      </c>
      <c r="E1030" t="str">
        <f t="shared" si="16"/>
        <v>General Surgery STD10r</v>
      </c>
      <c r="F1030">
        <f>Graph_GenSurg!$A15</f>
        <v>2021</v>
      </c>
      <c r="G1030">
        <f>Graph_GenSurg!$B15</f>
        <v>9</v>
      </c>
      <c r="H1030" s="165">
        <f>Graph_GenSurg!$I15</f>
        <v>-107058.95298906429</v>
      </c>
      <c r="I1030" s="160">
        <f>InputData!$C$3</f>
        <v>0.02</v>
      </c>
      <c r="J1030" s="160">
        <f>InputData!$C$4</f>
        <v>0.01</v>
      </c>
      <c r="K1030" s="160">
        <f>InputData!$C$5</f>
        <v>0.01</v>
      </c>
      <c r="L1030" s="160">
        <f>InputData!$C$6</f>
        <v>6.2100000000000002E-2</v>
      </c>
      <c r="M1030" s="160">
        <f>InputData!$C$7</f>
        <v>0.03</v>
      </c>
      <c r="N1030" s="160">
        <f>InputData!$C$8</f>
        <v>0.02</v>
      </c>
      <c r="O1030" s="160">
        <f>InputData!$C$9</f>
        <v>0.06</v>
      </c>
      <c r="P1030" s="160">
        <f>InputData!$C$10</f>
        <v>0.02</v>
      </c>
      <c r="Q1030" s="160">
        <f>InputData!$C$11</f>
        <v>0.02</v>
      </c>
      <c r="R1030" s="160">
        <f>InputData!$C$12</f>
        <v>0.02</v>
      </c>
      <c r="S1030" s="160">
        <f>InputData!$C$13</f>
        <v>0.9</v>
      </c>
      <c r="T1030" s="116">
        <f>InputData!$C$88</f>
        <v>180000</v>
      </c>
      <c r="U1030" s="116">
        <f>InputData!$C$81</f>
        <v>178500</v>
      </c>
      <c r="V1030" s="116">
        <f>InputData!$C$82</f>
        <v>303960</v>
      </c>
      <c r="W1030" s="116">
        <f>InputData!$C$84</f>
        <v>215220</v>
      </c>
      <c r="X1030" s="116">
        <f>InputData!$C$85</f>
        <v>409020</v>
      </c>
      <c r="Y1030" s="116">
        <f>InputData!$C$116</f>
        <v>140000</v>
      </c>
      <c r="Z1030" s="160">
        <f>InputData!$E$13</f>
        <v>0</v>
      </c>
    </row>
    <row r="1031" spans="1:26" x14ac:dyDescent="0.25">
      <c r="A1031">
        <f>InputData!$K$1</f>
        <v>2013</v>
      </c>
      <c r="B1031" t="str">
        <f>InputData!$G$1</f>
        <v>San Antonio, TX</v>
      </c>
      <c r="C1031" t="s">
        <v>5</v>
      </c>
      <c r="D1031" t="str">
        <f>Graph_GenSurg!$I$6</f>
        <v>STD10r</v>
      </c>
      <c r="E1031" t="str">
        <f t="shared" si="16"/>
        <v>General Surgery STD10r</v>
      </c>
      <c r="F1031">
        <f>Graph_GenSurg!$A16</f>
        <v>2022</v>
      </c>
      <c r="G1031">
        <f>Graph_GenSurg!$B16</f>
        <v>10</v>
      </c>
      <c r="H1031" s="165">
        <f>Graph_GenSurg!$I16</f>
        <v>35255.873737064641</v>
      </c>
      <c r="I1031" s="160">
        <f>InputData!$C$3</f>
        <v>0.02</v>
      </c>
      <c r="J1031" s="160">
        <f>InputData!$C$4</f>
        <v>0.01</v>
      </c>
      <c r="K1031" s="160">
        <f>InputData!$C$5</f>
        <v>0.01</v>
      </c>
      <c r="L1031" s="160">
        <f>InputData!$C$6</f>
        <v>6.2100000000000002E-2</v>
      </c>
      <c r="M1031" s="160">
        <f>InputData!$C$7</f>
        <v>0.03</v>
      </c>
      <c r="N1031" s="160">
        <f>InputData!$C$8</f>
        <v>0.02</v>
      </c>
      <c r="O1031" s="160">
        <f>InputData!$C$9</f>
        <v>0.06</v>
      </c>
      <c r="P1031" s="160">
        <f>InputData!$C$10</f>
        <v>0.02</v>
      </c>
      <c r="Q1031" s="160">
        <f>InputData!$C$11</f>
        <v>0.02</v>
      </c>
      <c r="R1031" s="160">
        <f>InputData!$C$12</f>
        <v>0.02</v>
      </c>
      <c r="S1031" s="160">
        <f>InputData!$C$13</f>
        <v>0.9</v>
      </c>
      <c r="T1031" s="116">
        <f>InputData!$C$88</f>
        <v>180000</v>
      </c>
      <c r="U1031" s="116">
        <f>InputData!$C$81</f>
        <v>178500</v>
      </c>
      <c r="V1031" s="116">
        <f>InputData!$C$82</f>
        <v>303960</v>
      </c>
      <c r="W1031" s="116">
        <f>InputData!$C$84</f>
        <v>215220</v>
      </c>
      <c r="X1031" s="116">
        <f>InputData!$C$85</f>
        <v>409020</v>
      </c>
      <c r="Y1031" s="116">
        <f>InputData!$C$116</f>
        <v>140000</v>
      </c>
      <c r="Z1031" s="160">
        <f>InputData!$E$13</f>
        <v>0</v>
      </c>
    </row>
    <row r="1032" spans="1:26" x14ac:dyDescent="0.25">
      <c r="A1032">
        <f>InputData!$K$1</f>
        <v>2013</v>
      </c>
      <c r="B1032" t="str">
        <f>InputData!$G$1</f>
        <v>San Antonio, TX</v>
      </c>
      <c r="C1032" t="s">
        <v>5</v>
      </c>
      <c r="D1032" t="str">
        <f>Graph_GenSurg!$I$6</f>
        <v>STD10r</v>
      </c>
      <c r="E1032" t="str">
        <f t="shared" si="16"/>
        <v>General Surgery STD10r</v>
      </c>
      <c r="F1032">
        <f>Graph_GenSurg!$A17</f>
        <v>2023</v>
      </c>
      <c r="G1032">
        <f>Graph_GenSurg!$B17</f>
        <v>11</v>
      </c>
      <c r="H1032" s="165">
        <f>Graph_GenSurg!$I17</f>
        <v>173781.4612764949</v>
      </c>
      <c r="I1032" s="160">
        <f>InputData!$C$3</f>
        <v>0.02</v>
      </c>
      <c r="J1032" s="160">
        <f>InputData!$C$4</f>
        <v>0.01</v>
      </c>
      <c r="K1032" s="160">
        <f>InputData!$C$5</f>
        <v>0.01</v>
      </c>
      <c r="L1032" s="160">
        <f>InputData!$C$6</f>
        <v>6.2100000000000002E-2</v>
      </c>
      <c r="M1032" s="160">
        <f>InputData!$C$7</f>
        <v>0.03</v>
      </c>
      <c r="N1032" s="160">
        <f>InputData!$C$8</f>
        <v>0.02</v>
      </c>
      <c r="O1032" s="160">
        <f>InputData!$C$9</f>
        <v>0.06</v>
      </c>
      <c r="P1032" s="160">
        <f>InputData!$C$10</f>
        <v>0.02</v>
      </c>
      <c r="Q1032" s="160">
        <f>InputData!$C$11</f>
        <v>0.02</v>
      </c>
      <c r="R1032" s="160">
        <f>InputData!$C$12</f>
        <v>0.02</v>
      </c>
      <c r="S1032" s="160">
        <f>InputData!$C$13</f>
        <v>0.9</v>
      </c>
      <c r="T1032" s="116">
        <f>InputData!$C$88</f>
        <v>180000</v>
      </c>
      <c r="U1032" s="116">
        <f>InputData!$C$81</f>
        <v>178500</v>
      </c>
      <c r="V1032" s="116">
        <f>InputData!$C$82</f>
        <v>303960</v>
      </c>
      <c r="W1032" s="116">
        <f>InputData!$C$84</f>
        <v>215220</v>
      </c>
      <c r="X1032" s="116">
        <f>InputData!$C$85</f>
        <v>409020</v>
      </c>
      <c r="Y1032" s="116">
        <f>InputData!$C$116</f>
        <v>140000</v>
      </c>
      <c r="Z1032" s="160">
        <f>InputData!$E$13</f>
        <v>0</v>
      </c>
    </row>
    <row r="1033" spans="1:26" x14ac:dyDescent="0.25">
      <c r="A1033">
        <f>InputData!$K$1</f>
        <v>2013</v>
      </c>
      <c r="B1033" t="str">
        <f>InputData!$G$1</f>
        <v>San Antonio, TX</v>
      </c>
      <c r="C1033" t="s">
        <v>5</v>
      </c>
      <c r="D1033" t="str">
        <f>Graph_GenSurg!$I$6</f>
        <v>STD10r</v>
      </c>
      <c r="E1033" t="str">
        <f t="shared" si="16"/>
        <v>General Surgery STD10r</v>
      </c>
      <c r="F1033">
        <f>Graph_GenSurg!$A18</f>
        <v>2024</v>
      </c>
      <c r="G1033">
        <f>Graph_GenSurg!$B18</f>
        <v>12</v>
      </c>
      <c r="H1033" s="165">
        <f>Graph_GenSurg!$I18</f>
        <v>310022.20739181532</v>
      </c>
      <c r="I1033" s="160">
        <f>InputData!$C$3</f>
        <v>0.02</v>
      </c>
      <c r="J1033" s="160">
        <f>InputData!$C$4</f>
        <v>0.01</v>
      </c>
      <c r="K1033" s="160">
        <f>InputData!$C$5</f>
        <v>0.01</v>
      </c>
      <c r="L1033" s="160">
        <f>InputData!$C$6</f>
        <v>6.2100000000000002E-2</v>
      </c>
      <c r="M1033" s="160">
        <f>InputData!$C$7</f>
        <v>0.03</v>
      </c>
      <c r="N1033" s="160">
        <f>InputData!$C$8</f>
        <v>0.02</v>
      </c>
      <c r="O1033" s="160">
        <f>InputData!$C$9</f>
        <v>0.06</v>
      </c>
      <c r="P1033" s="160">
        <f>InputData!$C$10</f>
        <v>0.02</v>
      </c>
      <c r="Q1033" s="160">
        <f>InputData!$C$11</f>
        <v>0.02</v>
      </c>
      <c r="R1033" s="160">
        <f>InputData!$C$12</f>
        <v>0.02</v>
      </c>
      <c r="S1033" s="160">
        <f>InputData!$C$13</f>
        <v>0.9</v>
      </c>
      <c r="T1033" s="116">
        <f>InputData!$C$88</f>
        <v>180000</v>
      </c>
      <c r="U1033" s="116">
        <f>InputData!$C$81</f>
        <v>178500</v>
      </c>
      <c r="V1033" s="116">
        <f>InputData!$C$82</f>
        <v>303960</v>
      </c>
      <c r="W1033" s="116">
        <f>InputData!$C$84</f>
        <v>215220</v>
      </c>
      <c r="X1033" s="116">
        <f>InputData!$C$85</f>
        <v>409020</v>
      </c>
      <c r="Y1033" s="116">
        <f>InputData!$C$116</f>
        <v>140000</v>
      </c>
      <c r="Z1033" s="160">
        <f>InputData!$E$13</f>
        <v>0</v>
      </c>
    </row>
    <row r="1034" spans="1:26" x14ac:dyDescent="0.25">
      <c r="A1034">
        <f>InputData!$K$1</f>
        <v>2013</v>
      </c>
      <c r="B1034" t="str">
        <f>InputData!$G$1</f>
        <v>San Antonio, TX</v>
      </c>
      <c r="C1034" t="s">
        <v>5</v>
      </c>
      <c r="D1034" t="str">
        <f>Graph_GenSurg!$I$6</f>
        <v>STD10r</v>
      </c>
      <c r="E1034" t="str">
        <f t="shared" si="16"/>
        <v>General Surgery STD10r</v>
      </c>
      <c r="F1034">
        <f>Graph_GenSurg!$A19</f>
        <v>2025</v>
      </c>
      <c r="G1034">
        <f>Graph_GenSurg!$B19</f>
        <v>13</v>
      </c>
      <c r="H1034" s="165">
        <f>Graph_GenSurg!$I19</f>
        <v>444000.67738905957</v>
      </c>
      <c r="I1034" s="160">
        <f>InputData!$C$3</f>
        <v>0.02</v>
      </c>
      <c r="J1034" s="160">
        <f>InputData!$C$4</f>
        <v>0.01</v>
      </c>
      <c r="K1034" s="160">
        <f>InputData!$C$5</f>
        <v>0.01</v>
      </c>
      <c r="L1034" s="160">
        <f>InputData!$C$6</f>
        <v>6.2100000000000002E-2</v>
      </c>
      <c r="M1034" s="160">
        <f>InputData!$C$7</f>
        <v>0.03</v>
      </c>
      <c r="N1034" s="160">
        <f>InputData!$C$8</f>
        <v>0.02</v>
      </c>
      <c r="O1034" s="160">
        <f>InputData!$C$9</f>
        <v>0.06</v>
      </c>
      <c r="P1034" s="160">
        <f>InputData!$C$10</f>
        <v>0.02</v>
      </c>
      <c r="Q1034" s="160">
        <f>InputData!$C$11</f>
        <v>0.02</v>
      </c>
      <c r="R1034" s="160">
        <f>InputData!$C$12</f>
        <v>0.02</v>
      </c>
      <c r="S1034" s="160">
        <f>InputData!$C$13</f>
        <v>0.9</v>
      </c>
      <c r="T1034" s="116">
        <f>InputData!$C$88</f>
        <v>180000</v>
      </c>
      <c r="U1034" s="116">
        <f>InputData!$C$81</f>
        <v>178500</v>
      </c>
      <c r="V1034" s="116">
        <f>InputData!$C$82</f>
        <v>303960</v>
      </c>
      <c r="W1034" s="116">
        <f>InputData!$C$84</f>
        <v>215220</v>
      </c>
      <c r="X1034" s="116">
        <f>InputData!$C$85</f>
        <v>409020</v>
      </c>
      <c r="Y1034" s="116">
        <f>InputData!$C$116</f>
        <v>140000</v>
      </c>
      <c r="Z1034" s="160">
        <f>InputData!$E$13</f>
        <v>0</v>
      </c>
    </row>
    <row r="1035" spans="1:26" x14ac:dyDescent="0.25">
      <c r="A1035">
        <f>InputData!$K$1</f>
        <v>2013</v>
      </c>
      <c r="B1035" t="str">
        <f>InputData!$G$1</f>
        <v>San Antonio, TX</v>
      </c>
      <c r="C1035" t="s">
        <v>5</v>
      </c>
      <c r="D1035" t="str">
        <f>Graph_GenSurg!$I$6</f>
        <v>STD10r</v>
      </c>
      <c r="E1035" t="str">
        <f t="shared" si="16"/>
        <v>General Surgery STD10r</v>
      </c>
      <c r="F1035">
        <f>Graph_GenSurg!$A20</f>
        <v>2026</v>
      </c>
      <c r="G1035">
        <f>Graph_GenSurg!$B20</f>
        <v>14</v>
      </c>
      <c r="H1035" s="165">
        <f>Graph_GenSurg!$I20</f>
        <v>575740.10758615192</v>
      </c>
      <c r="I1035" s="160">
        <f>InputData!$C$3</f>
        <v>0.02</v>
      </c>
      <c r="J1035" s="160">
        <f>InputData!$C$4</f>
        <v>0.01</v>
      </c>
      <c r="K1035" s="160">
        <f>InputData!$C$5</f>
        <v>0.01</v>
      </c>
      <c r="L1035" s="160">
        <f>InputData!$C$6</f>
        <v>6.2100000000000002E-2</v>
      </c>
      <c r="M1035" s="160">
        <f>InputData!$C$7</f>
        <v>0.03</v>
      </c>
      <c r="N1035" s="160">
        <f>InputData!$C$8</f>
        <v>0.02</v>
      </c>
      <c r="O1035" s="160">
        <f>InputData!$C$9</f>
        <v>0.06</v>
      </c>
      <c r="P1035" s="160">
        <f>InputData!$C$10</f>
        <v>0.02</v>
      </c>
      <c r="Q1035" s="160">
        <f>InputData!$C$11</f>
        <v>0.02</v>
      </c>
      <c r="R1035" s="160">
        <f>InputData!$C$12</f>
        <v>0.02</v>
      </c>
      <c r="S1035" s="160">
        <f>InputData!$C$13</f>
        <v>0.9</v>
      </c>
      <c r="T1035" s="116">
        <f>InputData!$C$88</f>
        <v>180000</v>
      </c>
      <c r="U1035" s="116">
        <f>InputData!$C$81</f>
        <v>178500</v>
      </c>
      <c r="V1035" s="116">
        <f>InputData!$C$82</f>
        <v>303960</v>
      </c>
      <c r="W1035" s="116">
        <f>InputData!$C$84</f>
        <v>215220</v>
      </c>
      <c r="X1035" s="116">
        <f>InputData!$C$85</f>
        <v>409020</v>
      </c>
      <c r="Y1035" s="116">
        <f>InputData!$C$116</f>
        <v>140000</v>
      </c>
      <c r="Z1035" s="160">
        <f>InputData!$E$13</f>
        <v>0</v>
      </c>
    </row>
    <row r="1036" spans="1:26" x14ac:dyDescent="0.25">
      <c r="A1036">
        <f>InputData!$K$1</f>
        <v>2013</v>
      </c>
      <c r="B1036" t="str">
        <f>InputData!$G$1</f>
        <v>San Antonio, TX</v>
      </c>
      <c r="C1036" t="s">
        <v>5</v>
      </c>
      <c r="D1036" t="str">
        <f>Graph_GenSurg!$I$6</f>
        <v>STD10r</v>
      </c>
      <c r="E1036" t="str">
        <f t="shared" si="16"/>
        <v>General Surgery STD10r</v>
      </c>
      <c r="F1036">
        <f>Graph_GenSurg!$A21</f>
        <v>2027</v>
      </c>
      <c r="G1036">
        <f>Graph_GenSurg!$B21</f>
        <v>15</v>
      </c>
      <c r="H1036" s="165">
        <f>Graph_GenSurg!$I21</f>
        <v>712566.65754750289</v>
      </c>
      <c r="I1036" s="160">
        <f>InputData!$C$3</f>
        <v>0.02</v>
      </c>
      <c r="J1036" s="160">
        <f>InputData!$C$4</f>
        <v>0.01</v>
      </c>
      <c r="K1036" s="160">
        <f>InputData!$C$5</f>
        <v>0.01</v>
      </c>
      <c r="L1036" s="160">
        <f>InputData!$C$6</f>
        <v>6.2100000000000002E-2</v>
      </c>
      <c r="M1036" s="160">
        <f>InputData!$C$7</f>
        <v>0.03</v>
      </c>
      <c r="N1036" s="160">
        <f>InputData!$C$8</f>
        <v>0.02</v>
      </c>
      <c r="O1036" s="160">
        <f>InputData!$C$9</f>
        <v>0.06</v>
      </c>
      <c r="P1036" s="160">
        <f>InputData!$C$10</f>
        <v>0.02</v>
      </c>
      <c r="Q1036" s="160">
        <f>InputData!$C$11</f>
        <v>0.02</v>
      </c>
      <c r="R1036" s="160">
        <f>InputData!$C$12</f>
        <v>0.02</v>
      </c>
      <c r="S1036" s="160">
        <f>InputData!$C$13</f>
        <v>0.9</v>
      </c>
      <c r="T1036" s="116">
        <f>InputData!$C$88</f>
        <v>180000</v>
      </c>
      <c r="U1036" s="116">
        <f>InputData!$C$81</f>
        <v>178500</v>
      </c>
      <c r="V1036" s="116">
        <f>InputData!$C$82</f>
        <v>303960</v>
      </c>
      <c r="W1036" s="116">
        <f>InputData!$C$84</f>
        <v>215220</v>
      </c>
      <c r="X1036" s="116">
        <f>InputData!$C$85</f>
        <v>409020</v>
      </c>
      <c r="Y1036" s="116">
        <f>InputData!$C$116</f>
        <v>140000</v>
      </c>
      <c r="Z1036" s="160">
        <f>InputData!$E$13</f>
        <v>0</v>
      </c>
    </row>
    <row r="1037" spans="1:26" x14ac:dyDescent="0.25">
      <c r="A1037">
        <f>InputData!$K$1</f>
        <v>2013</v>
      </c>
      <c r="B1037" t="str">
        <f>InputData!$G$1</f>
        <v>San Antonio, TX</v>
      </c>
      <c r="C1037" t="s">
        <v>5</v>
      </c>
      <c r="D1037" t="str">
        <f>Graph_GenSurg!$I$6</f>
        <v>STD10r</v>
      </c>
      <c r="E1037" t="str">
        <f t="shared" si="16"/>
        <v>General Surgery STD10r</v>
      </c>
      <c r="F1037">
        <f>Graph_GenSurg!$A22</f>
        <v>2028</v>
      </c>
      <c r="G1037">
        <f>Graph_GenSurg!$B22</f>
        <v>16</v>
      </c>
      <c r="H1037" s="165">
        <f>Graph_GenSurg!$I22</f>
        <v>853801.30291817838</v>
      </c>
      <c r="I1037" s="160">
        <f>InputData!$C$3</f>
        <v>0.02</v>
      </c>
      <c r="J1037" s="160">
        <f>InputData!$C$4</f>
        <v>0.01</v>
      </c>
      <c r="K1037" s="160">
        <f>InputData!$C$5</f>
        <v>0.01</v>
      </c>
      <c r="L1037" s="160">
        <f>InputData!$C$6</f>
        <v>6.2100000000000002E-2</v>
      </c>
      <c r="M1037" s="160">
        <f>InputData!$C$7</f>
        <v>0.03</v>
      </c>
      <c r="N1037" s="160">
        <f>InputData!$C$8</f>
        <v>0.02</v>
      </c>
      <c r="O1037" s="160">
        <f>InputData!$C$9</f>
        <v>0.06</v>
      </c>
      <c r="P1037" s="160">
        <f>InputData!$C$10</f>
        <v>0.02</v>
      </c>
      <c r="Q1037" s="160">
        <f>InputData!$C$11</f>
        <v>0.02</v>
      </c>
      <c r="R1037" s="160">
        <f>InputData!$C$12</f>
        <v>0.02</v>
      </c>
      <c r="S1037" s="160">
        <f>InputData!$C$13</f>
        <v>0.9</v>
      </c>
      <c r="T1037" s="116">
        <f>InputData!$C$88</f>
        <v>180000</v>
      </c>
      <c r="U1037" s="116">
        <f>InputData!$C$81</f>
        <v>178500</v>
      </c>
      <c r="V1037" s="116">
        <f>InputData!$C$82</f>
        <v>303960</v>
      </c>
      <c r="W1037" s="116">
        <f>InputData!$C$84</f>
        <v>215220</v>
      </c>
      <c r="X1037" s="116">
        <f>InputData!$C$85</f>
        <v>409020</v>
      </c>
      <c r="Y1037" s="116">
        <f>InputData!$C$116</f>
        <v>140000</v>
      </c>
      <c r="Z1037" s="160">
        <f>InputData!$E$13</f>
        <v>0</v>
      </c>
    </row>
    <row r="1038" spans="1:26" x14ac:dyDescent="0.25">
      <c r="A1038">
        <f>InputData!$K$1</f>
        <v>2013</v>
      </c>
      <c r="B1038" t="str">
        <f>InputData!$G$1</f>
        <v>San Antonio, TX</v>
      </c>
      <c r="C1038" t="s">
        <v>5</v>
      </c>
      <c r="D1038" t="str">
        <f>Graph_GenSurg!$I$6</f>
        <v>STD10r</v>
      </c>
      <c r="E1038" t="str">
        <f t="shared" si="16"/>
        <v>General Surgery STD10r</v>
      </c>
      <c r="F1038">
        <f>Graph_GenSurg!$A23</f>
        <v>2029</v>
      </c>
      <c r="G1038">
        <f>Graph_GenSurg!$B23</f>
        <v>17</v>
      </c>
      <c r="H1038" s="165">
        <f>Graph_GenSurg!$I23</f>
        <v>992200.45843866875</v>
      </c>
      <c r="I1038" s="160">
        <f>InputData!$C$3</f>
        <v>0.02</v>
      </c>
      <c r="J1038" s="160">
        <f>InputData!$C$4</f>
        <v>0.01</v>
      </c>
      <c r="K1038" s="160">
        <f>InputData!$C$5</f>
        <v>0.01</v>
      </c>
      <c r="L1038" s="160">
        <f>InputData!$C$6</f>
        <v>6.2100000000000002E-2</v>
      </c>
      <c r="M1038" s="160">
        <f>InputData!$C$7</f>
        <v>0.03</v>
      </c>
      <c r="N1038" s="160">
        <f>InputData!$C$8</f>
        <v>0.02</v>
      </c>
      <c r="O1038" s="160">
        <f>InputData!$C$9</f>
        <v>0.06</v>
      </c>
      <c r="P1038" s="160">
        <f>InputData!$C$10</f>
        <v>0.02</v>
      </c>
      <c r="Q1038" s="160">
        <f>InputData!$C$11</f>
        <v>0.02</v>
      </c>
      <c r="R1038" s="160">
        <f>InputData!$C$12</f>
        <v>0.02</v>
      </c>
      <c r="S1038" s="160">
        <f>InputData!$C$13</f>
        <v>0.9</v>
      </c>
      <c r="T1038" s="116">
        <f>InputData!$C$88</f>
        <v>180000</v>
      </c>
      <c r="U1038" s="116">
        <f>InputData!$C$81</f>
        <v>178500</v>
      </c>
      <c r="V1038" s="116">
        <f>InputData!$C$82</f>
        <v>303960</v>
      </c>
      <c r="W1038" s="116">
        <f>InputData!$C$84</f>
        <v>215220</v>
      </c>
      <c r="X1038" s="116">
        <f>InputData!$C$85</f>
        <v>409020</v>
      </c>
      <c r="Y1038" s="116">
        <f>InputData!$C$116</f>
        <v>140000</v>
      </c>
      <c r="Z1038" s="160">
        <f>InputData!$E$13</f>
        <v>0</v>
      </c>
    </row>
    <row r="1039" spans="1:26" x14ac:dyDescent="0.25">
      <c r="A1039">
        <f>InputData!$K$1</f>
        <v>2013</v>
      </c>
      <c r="B1039" t="str">
        <f>InputData!$G$1</f>
        <v>San Antonio, TX</v>
      </c>
      <c r="C1039" t="s">
        <v>5</v>
      </c>
      <c r="D1039" t="str">
        <f>Graph_GenSurg!$I$6</f>
        <v>STD10r</v>
      </c>
      <c r="E1039" t="str">
        <f t="shared" si="16"/>
        <v>General Surgery STD10r</v>
      </c>
      <c r="F1039">
        <f>Graph_GenSurg!$A24</f>
        <v>2030</v>
      </c>
      <c r="G1039">
        <f>Graph_GenSurg!$B24</f>
        <v>18</v>
      </c>
      <c r="H1039" s="165">
        <f>Graph_GenSurg!$I24</f>
        <v>1127821.6496116458</v>
      </c>
      <c r="I1039" s="160">
        <f>InputData!$C$3</f>
        <v>0.02</v>
      </c>
      <c r="J1039" s="160">
        <f>InputData!$C$4</f>
        <v>0.01</v>
      </c>
      <c r="K1039" s="160">
        <f>InputData!$C$5</f>
        <v>0.01</v>
      </c>
      <c r="L1039" s="160">
        <f>InputData!$C$6</f>
        <v>6.2100000000000002E-2</v>
      </c>
      <c r="M1039" s="160">
        <f>InputData!$C$7</f>
        <v>0.03</v>
      </c>
      <c r="N1039" s="160">
        <f>InputData!$C$8</f>
        <v>0.02</v>
      </c>
      <c r="O1039" s="160">
        <f>InputData!$C$9</f>
        <v>0.06</v>
      </c>
      <c r="P1039" s="160">
        <f>InputData!$C$10</f>
        <v>0.02</v>
      </c>
      <c r="Q1039" s="160">
        <f>InputData!$C$11</f>
        <v>0.02</v>
      </c>
      <c r="R1039" s="160">
        <f>InputData!$C$12</f>
        <v>0.02</v>
      </c>
      <c r="S1039" s="160">
        <f>InputData!$C$13</f>
        <v>0.9</v>
      </c>
      <c r="T1039" s="116">
        <f>InputData!$C$88</f>
        <v>180000</v>
      </c>
      <c r="U1039" s="116">
        <f>InputData!$C$81</f>
        <v>178500</v>
      </c>
      <c r="V1039" s="116">
        <f>InputData!$C$82</f>
        <v>303960</v>
      </c>
      <c r="W1039" s="116">
        <f>InputData!$C$84</f>
        <v>215220</v>
      </c>
      <c r="X1039" s="116">
        <f>InputData!$C$85</f>
        <v>409020</v>
      </c>
      <c r="Y1039" s="116">
        <f>InputData!$C$116</f>
        <v>140000</v>
      </c>
      <c r="Z1039" s="160">
        <f>InputData!$E$13</f>
        <v>0</v>
      </c>
    </row>
    <row r="1040" spans="1:26" x14ac:dyDescent="0.25">
      <c r="A1040">
        <f>InputData!$K$1</f>
        <v>2013</v>
      </c>
      <c r="B1040" t="str">
        <f>InputData!$G$1</f>
        <v>San Antonio, TX</v>
      </c>
      <c r="C1040" t="s">
        <v>5</v>
      </c>
      <c r="D1040" t="str">
        <f>Graph_GenSurg!$I$6</f>
        <v>STD10r</v>
      </c>
      <c r="E1040" t="str">
        <f t="shared" si="16"/>
        <v>General Surgery STD10r</v>
      </c>
      <c r="F1040">
        <f>Graph_GenSurg!$A25</f>
        <v>2031</v>
      </c>
      <c r="G1040">
        <f>Graph_GenSurg!$B25</f>
        <v>19</v>
      </c>
      <c r="H1040" s="165">
        <f>Graph_GenSurg!$I25</f>
        <v>1260721.2178432399</v>
      </c>
      <c r="I1040" s="160">
        <f>InputData!$C$3</f>
        <v>0.02</v>
      </c>
      <c r="J1040" s="160">
        <f>InputData!$C$4</f>
        <v>0.01</v>
      </c>
      <c r="K1040" s="160">
        <f>InputData!$C$5</f>
        <v>0.01</v>
      </c>
      <c r="L1040" s="160">
        <f>InputData!$C$6</f>
        <v>6.2100000000000002E-2</v>
      </c>
      <c r="M1040" s="160">
        <f>InputData!$C$7</f>
        <v>0.03</v>
      </c>
      <c r="N1040" s="160">
        <f>InputData!$C$8</f>
        <v>0.02</v>
      </c>
      <c r="O1040" s="160">
        <f>InputData!$C$9</f>
        <v>0.06</v>
      </c>
      <c r="P1040" s="160">
        <f>InputData!$C$10</f>
        <v>0.02</v>
      </c>
      <c r="Q1040" s="160">
        <f>InputData!$C$11</f>
        <v>0.02</v>
      </c>
      <c r="R1040" s="160">
        <f>InputData!$C$12</f>
        <v>0.02</v>
      </c>
      <c r="S1040" s="160">
        <f>InputData!$C$13</f>
        <v>0.9</v>
      </c>
      <c r="T1040" s="116">
        <f>InputData!$C$88</f>
        <v>180000</v>
      </c>
      <c r="U1040" s="116">
        <f>InputData!$C$81</f>
        <v>178500</v>
      </c>
      <c r="V1040" s="116">
        <f>InputData!$C$82</f>
        <v>303960</v>
      </c>
      <c r="W1040" s="116">
        <f>InputData!$C$84</f>
        <v>215220</v>
      </c>
      <c r="X1040" s="116">
        <f>InputData!$C$85</f>
        <v>409020</v>
      </c>
      <c r="Y1040" s="116">
        <f>InputData!$C$116</f>
        <v>140000</v>
      </c>
      <c r="Z1040" s="160">
        <f>InputData!$E$13</f>
        <v>0</v>
      </c>
    </row>
    <row r="1041" spans="1:26" x14ac:dyDescent="0.25">
      <c r="A1041">
        <f>InputData!$K$1</f>
        <v>2013</v>
      </c>
      <c r="B1041" t="str">
        <f>InputData!$G$1</f>
        <v>San Antonio, TX</v>
      </c>
      <c r="C1041" t="s">
        <v>5</v>
      </c>
      <c r="D1041" t="str">
        <f>Graph_GenSurg!$I$6</f>
        <v>STD10r</v>
      </c>
      <c r="E1041" t="str">
        <f t="shared" si="16"/>
        <v>General Surgery STD10r</v>
      </c>
      <c r="F1041">
        <f>Graph_GenSurg!$A26</f>
        <v>2032</v>
      </c>
      <c r="G1041">
        <f>Graph_GenSurg!$B26</f>
        <v>20</v>
      </c>
      <c r="H1041" s="165">
        <f>Graph_GenSurg!$I26</f>
        <v>1390954.3452959249</v>
      </c>
      <c r="I1041" s="160">
        <f>InputData!$C$3</f>
        <v>0.02</v>
      </c>
      <c r="J1041" s="160">
        <f>InputData!$C$4</f>
        <v>0.01</v>
      </c>
      <c r="K1041" s="160">
        <f>InputData!$C$5</f>
        <v>0.01</v>
      </c>
      <c r="L1041" s="160">
        <f>InputData!$C$6</f>
        <v>6.2100000000000002E-2</v>
      </c>
      <c r="M1041" s="160">
        <f>InputData!$C$7</f>
        <v>0.03</v>
      </c>
      <c r="N1041" s="160">
        <f>InputData!$C$8</f>
        <v>0.02</v>
      </c>
      <c r="O1041" s="160">
        <f>InputData!$C$9</f>
        <v>0.06</v>
      </c>
      <c r="P1041" s="160">
        <f>InputData!$C$10</f>
        <v>0.02</v>
      </c>
      <c r="Q1041" s="160">
        <f>InputData!$C$11</f>
        <v>0.02</v>
      </c>
      <c r="R1041" s="160">
        <f>InputData!$C$12</f>
        <v>0.02</v>
      </c>
      <c r="S1041" s="160">
        <f>InputData!$C$13</f>
        <v>0.9</v>
      </c>
      <c r="T1041" s="116">
        <f>InputData!$C$88</f>
        <v>180000</v>
      </c>
      <c r="U1041" s="116">
        <f>InputData!$C$81</f>
        <v>178500</v>
      </c>
      <c r="V1041" s="116">
        <f>InputData!$C$82</f>
        <v>303960</v>
      </c>
      <c r="W1041" s="116">
        <f>InputData!$C$84</f>
        <v>215220</v>
      </c>
      <c r="X1041" s="116">
        <f>InputData!$C$85</f>
        <v>409020</v>
      </c>
      <c r="Y1041" s="116">
        <f>InputData!$C$116</f>
        <v>140000</v>
      </c>
      <c r="Z1041" s="160">
        <f>InputData!$E$13</f>
        <v>0</v>
      </c>
    </row>
    <row r="1042" spans="1:26" x14ac:dyDescent="0.25">
      <c r="A1042">
        <f>InputData!$K$1</f>
        <v>2013</v>
      </c>
      <c r="B1042" t="str">
        <f>InputData!$G$1</f>
        <v>San Antonio, TX</v>
      </c>
      <c r="C1042" t="s">
        <v>5</v>
      </c>
      <c r="D1042" t="str">
        <f>Graph_GenSurg!$I$6</f>
        <v>STD10r</v>
      </c>
      <c r="E1042" t="str">
        <f t="shared" si="16"/>
        <v>General Surgery STD10r</v>
      </c>
      <c r="F1042">
        <f>Graph_GenSurg!$A27</f>
        <v>2033</v>
      </c>
      <c r="G1042">
        <f>Graph_GenSurg!$B27</f>
        <v>21</v>
      </c>
      <c r="H1042" s="165">
        <f>Graph_GenSurg!$I27</f>
        <v>1518575.0792064618</v>
      </c>
      <c r="I1042" s="160">
        <f>InputData!$C$3</f>
        <v>0.02</v>
      </c>
      <c r="J1042" s="160">
        <f>InputData!$C$4</f>
        <v>0.01</v>
      </c>
      <c r="K1042" s="160">
        <f>InputData!$C$5</f>
        <v>0.01</v>
      </c>
      <c r="L1042" s="160">
        <f>InputData!$C$6</f>
        <v>6.2100000000000002E-2</v>
      </c>
      <c r="M1042" s="160">
        <f>InputData!$C$7</f>
        <v>0.03</v>
      </c>
      <c r="N1042" s="160">
        <f>InputData!$C$8</f>
        <v>0.02</v>
      </c>
      <c r="O1042" s="160">
        <f>InputData!$C$9</f>
        <v>0.06</v>
      </c>
      <c r="P1042" s="160">
        <f>InputData!$C$10</f>
        <v>0.02</v>
      </c>
      <c r="Q1042" s="160">
        <f>InputData!$C$11</f>
        <v>0.02</v>
      </c>
      <c r="R1042" s="160">
        <f>InputData!$C$12</f>
        <v>0.02</v>
      </c>
      <c r="S1042" s="160">
        <f>InputData!$C$13</f>
        <v>0.9</v>
      </c>
      <c r="T1042" s="116">
        <f>InputData!$C$88</f>
        <v>180000</v>
      </c>
      <c r="U1042" s="116">
        <f>InputData!$C$81</f>
        <v>178500</v>
      </c>
      <c r="V1042" s="116">
        <f>InputData!$C$82</f>
        <v>303960</v>
      </c>
      <c r="W1042" s="116">
        <f>InputData!$C$84</f>
        <v>215220</v>
      </c>
      <c r="X1042" s="116">
        <f>InputData!$C$85</f>
        <v>409020</v>
      </c>
      <c r="Y1042" s="116">
        <f>InputData!$C$116</f>
        <v>140000</v>
      </c>
      <c r="Z1042" s="160">
        <f>InputData!$E$13</f>
        <v>0</v>
      </c>
    </row>
    <row r="1043" spans="1:26" x14ac:dyDescent="0.25">
      <c r="A1043">
        <f>InputData!$K$1</f>
        <v>2013</v>
      </c>
      <c r="B1043" t="str">
        <f>InputData!$G$1</f>
        <v>San Antonio, TX</v>
      </c>
      <c r="C1043" t="s">
        <v>5</v>
      </c>
      <c r="D1043" t="str">
        <f>Graph_GenSurg!$I$6</f>
        <v>STD10r</v>
      </c>
      <c r="E1043" t="str">
        <f t="shared" si="16"/>
        <v>General Surgery STD10r</v>
      </c>
      <c r="F1043">
        <f>Graph_GenSurg!$A28</f>
        <v>2034</v>
      </c>
      <c r="G1043">
        <f>Graph_GenSurg!$B28</f>
        <v>22</v>
      </c>
      <c r="H1043" s="165">
        <f>Graph_GenSurg!$I28</f>
        <v>1643636.355680777</v>
      </c>
      <c r="I1043" s="160">
        <f>InputData!$C$3</f>
        <v>0.02</v>
      </c>
      <c r="J1043" s="160">
        <f>InputData!$C$4</f>
        <v>0.01</v>
      </c>
      <c r="K1043" s="160">
        <f>InputData!$C$5</f>
        <v>0.01</v>
      </c>
      <c r="L1043" s="160">
        <f>InputData!$C$6</f>
        <v>6.2100000000000002E-2</v>
      </c>
      <c r="M1043" s="160">
        <f>InputData!$C$7</f>
        <v>0.03</v>
      </c>
      <c r="N1043" s="160">
        <f>InputData!$C$8</f>
        <v>0.02</v>
      </c>
      <c r="O1043" s="160">
        <f>InputData!$C$9</f>
        <v>0.06</v>
      </c>
      <c r="P1043" s="160">
        <f>InputData!$C$10</f>
        <v>0.02</v>
      </c>
      <c r="Q1043" s="160">
        <f>InputData!$C$11</f>
        <v>0.02</v>
      </c>
      <c r="R1043" s="160">
        <f>InputData!$C$12</f>
        <v>0.02</v>
      </c>
      <c r="S1043" s="160">
        <f>InputData!$C$13</f>
        <v>0.9</v>
      </c>
      <c r="T1043" s="116">
        <f>InputData!$C$88</f>
        <v>180000</v>
      </c>
      <c r="U1043" s="116">
        <f>InputData!$C$81</f>
        <v>178500</v>
      </c>
      <c r="V1043" s="116">
        <f>InputData!$C$82</f>
        <v>303960</v>
      </c>
      <c r="W1043" s="116">
        <f>InputData!$C$84</f>
        <v>215220</v>
      </c>
      <c r="X1043" s="116">
        <f>InputData!$C$85</f>
        <v>409020</v>
      </c>
      <c r="Y1043" s="116">
        <f>InputData!$C$116</f>
        <v>140000</v>
      </c>
      <c r="Z1043" s="160">
        <f>InputData!$E$13</f>
        <v>0</v>
      </c>
    </row>
    <row r="1044" spans="1:26" x14ac:dyDescent="0.25">
      <c r="A1044">
        <f>InputData!$K$1</f>
        <v>2013</v>
      </c>
      <c r="B1044" t="str">
        <f>InputData!$G$1</f>
        <v>San Antonio, TX</v>
      </c>
      <c r="C1044" t="s">
        <v>5</v>
      </c>
      <c r="D1044" t="str">
        <f>Graph_GenSurg!$I$6</f>
        <v>STD10r</v>
      </c>
      <c r="E1044" t="str">
        <f t="shared" si="16"/>
        <v>General Surgery STD10r</v>
      </c>
      <c r="F1044">
        <f>Graph_GenSurg!$A29</f>
        <v>2035</v>
      </c>
      <c r="G1044">
        <f>Graph_GenSurg!$B29</f>
        <v>23</v>
      </c>
      <c r="H1044" s="165">
        <f>Graph_GenSurg!$I29</f>
        <v>1766190.0229773782</v>
      </c>
      <c r="I1044" s="160">
        <f>InputData!$C$3</f>
        <v>0.02</v>
      </c>
      <c r="J1044" s="160">
        <f>InputData!$C$4</f>
        <v>0.01</v>
      </c>
      <c r="K1044" s="160">
        <f>InputData!$C$5</f>
        <v>0.01</v>
      </c>
      <c r="L1044" s="160">
        <f>InputData!$C$6</f>
        <v>6.2100000000000002E-2</v>
      </c>
      <c r="M1044" s="160">
        <f>InputData!$C$7</f>
        <v>0.03</v>
      </c>
      <c r="N1044" s="160">
        <f>InputData!$C$8</f>
        <v>0.02</v>
      </c>
      <c r="O1044" s="160">
        <f>InputData!$C$9</f>
        <v>0.06</v>
      </c>
      <c r="P1044" s="160">
        <f>InputData!$C$10</f>
        <v>0.02</v>
      </c>
      <c r="Q1044" s="160">
        <f>InputData!$C$11</f>
        <v>0.02</v>
      </c>
      <c r="R1044" s="160">
        <f>InputData!$C$12</f>
        <v>0.02</v>
      </c>
      <c r="S1044" s="160">
        <f>InputData!$C$13</f>
        <v>0.9</v>
      </c>
      <c r="T1044" s="116">
        <f>InputData!$C$88</f>
        <v>180000</v>
      </c>
      <c r="U1044" s="116">
        <f>InputData!$C$81</f>
        <v>178500</v>
      </c>
      <c r="V1044" s="116">
        <f>InputData!$C$82</f>
        <v>303960</v>
      </c>
      <c r="W1044" s="116">
        <f>InputData!$C$84</f>
        <v>215220</v>
      </c>
      <c r="X1044" s="116">
        <f>InputData!$C$85</f>
        <v>409020</v>
      </c>
      <c r="Y1044" s="116">
        <f>InputData!$C$116</f>
        <v>140000</v>
      </c>
      <c r="Z1044" s="160">
        <f>InputData!$E$13</f>
        <v>0</v>
      </c>
    </row>
    <row r="1045" spans="1:26" x14ac:dyDescent="0.25">
      <c r="A1045">
        <f>InputData!$K$1</f>
        <v>2013</v>
      </c>
      <c r="B1045" t="str">
        <f>InputData!$G$1</f>
        <v>San Antonio, TX</v>
      </c>
      <c r="C1045" t="s">
        <v>5</v>
      </c>
      <c r="D1045" t="str">
        <f>Graph_GenSurg!$I$6</f>
        <v>STD10r</v>
      </c>
      <c r="E1045" t="str">
        <f t="shared" si="16"/>
        <v>General Surgery STD10r</v>
      </c>
      <c r="F1045">
        <f>Graph_GenSurg!$A30</f>
        <v>2036</v>
      </c>
      <c r="G1045">
        <f>Graph_GenSurg!$B30</f>
        <v>24</v>
      </c>
      <c r="H1045" s="165">
        <f>Graph_GenSurg!$I30</f>
        <v>1886286.8642906444</v>
      </c>
      <c r="I1045" s="160">
        <f>InputData!$C$3</f>
        <v>0.02</v>
      </c>
      <c r="J1045" s="160">
        <f>InputData!$C$4</f>
        <v>0.01</v>
      </c>
      <c r="K1045" s="160">
        <f>InputData!$C$5</f>
        <v>0.01</v>
      </c>
      <c r="L1045" s="160">
        <f>InputData!$C$6</f>
        <v>6.2100000000000002E-2</v>
      </c>
      <c r="M1045" s="160">
        <f>InputData!$C$7</f>
        <v>0.03</v>
      </c>
      <c r="N1045" s="160">
        <f>InputData!$C$8</f>
        <v>0.02</v>
      </c>
      <c r="O1045" s="160">
        <f>InputData!$C$9</f>
        <v>0.06</v>
      </c>
      <c r="P1045" s="160">
        <f>InputData!$C$10</f>
        <v>0.02</v>
      </c>
      <c r="Q1045" s="160">
        <f>InputData!$C$11</f>
        <v>0.02</v>
      </c>
      <c r="R1045" s="160">
        <f>InputData!$C$12</f>
        <v>0.02</v>
      </c>
      <c r="S1045" s="160">
        <f>InputData!$C$13</f>
        <v>0.9</v>
      </c>
      <c r="T1045" s="116">
        <f>InputData!$C$88</f>
        <v>180000</v>
      </c>
      <c r="U1045" s="116">
        <f>InputData!$C$81</f>
        <v>178500</v>
      </c>
      <c r="V1045" s="116">
        <f>InputData!$C$82</f>
        <v>303960</v>
      </c>
      <c r="W1045" s="116">
        <f>InputData!$C$84</f>
        <v>215220</v>
      </c>
      <c r="X1045" s="116">
        <f>InputData!$C$85</f>
        <v>409020</v>
      </c>
      <c r="Y1045" s="116">
        <f>InputData!$C$116</f>
        <v>140000</v>
      </c>
      <c r="Z1045" s="160">
        <f>InputData!$E$13</f>
        <v>0</v>
      </c>
    </row>
    <row r="1046" spans="1:26" x14ac:dyDescent="0.25">
      <c r="A1046">
        <f>InputData!$K$1</f>
        <v>2013</v>
      </c>
      <c r="B1046" t="str">
        <f>InputData!$G$1</f>
        <v>San Antonio, TX</v>
      </c>
      <c r="C1046" t="s">
        <v>5</v>
      </c>
      <c r="D1046" t="str">
        <f>Graph_GenSurg!$I$6</f>
        <v>STD10r</v>
      </c>
      <c r="E1046" t="str">
        <f t="shared" si="16"/>
        <v>General Surgery STD10r</v>
      </c>
      <c r="F1046">
        <f>Graph_GenSurg!$A31</f>
        <v>2037</v>
      </c>
      <c r="G1046">
        <f>Graph_GenSurg!$B31</f>
        <v>25</v>
      </c>
      <c r="H1046" s="165">
        <f>Graph_GenSurg!$I31</f>
        <v>2003976.6200450652</v>
      </c>
      <c r="I1046" s="160">
        <f>InputData!$C$3</f>
        <v>0.02</v>
      </c>
      <c r="J1046" s="160">
        <f>InputData!$C$4</f>
        <v>0.01</v>
      </c>
      <c r="K1046" s="160">
        <f>InputData!$C$5</f>
        <v>0.01</v>
      </c>
      <c r="L1046" s="160">
        <f>InputData!$C$6</f>
        <v>6.2100000000000002E-2</v>
      </c>
      <c r="M1046" s="160">
        <f>InputData!$C$7</f>
        <v>0.03</v>
      </c>
      <c r="N1046" s="160">
        <f>InputData!$C$8</f>
        <v>0.02</v>
      </c>
      <c r="O1046" s="160">
        <f>InputData!$C$9</f>
        <v>0.06</v>
      </c>
      <c r="P1046" s="160">
        <f>InputData!$C$10</f>
        <v>0.02</v>
      </c>
      <c r="Q1046" s="160">
        <f>InputData!$C$11</f>
        <v>0.02</v>
      </c>
      <c r="R1046" s="160">
        <f>InputData!$C$12</f>
        <v>0.02</v>
      </c>
      <c r="S1046" s="160">
        <f>InputData!$C$13</f>
        <v>0.9</v>
      </c>
      <c r="T1046" s="116">
        <f>InputData!$C$88</f>
        <v>180000</v>
      </c>
      <c r="U1046" s="116">
        <f>InputData!$C$81</f>
        <v>178500</v>
      </c>
      <c r="V1046" s="116">
        <f>InputData!$C$82</f>
        <v>303960</v>
      </c>
      <c r="W1046" s="116">
        <f>InputData!$C$84</f>
        <v>215220</v>
      </c>
      <c r="X1046" s="116">
        <f>InputData!$C$85</f>
        <v>409020</v>
      </c>
      <c r="Y1046" s="116">
        <f>InputData!$C$116</f>
        <v>140000</v>
      </c>
      <c r="Z1046" s="160">
        <f>InputData!$E$13</f>
        <v>0</v>
      </c>
    </row>
    <row r="1047" spans="1:26" x14ac:dyDescent="0.25">
      <c r="A1047">
        <f>InputData!$K$1</f>
        <v>2013</v>
      </c>
      <c r="B1047" t="str">
        <f>InputData!$G$1</f>
        <v>San Antonio, TX</v>
      </c>
      <c r="C1047" t="s">
        <v>5</v>
      </c>
      <c r="D1047" t="str">
        <f>Graph_GenSurg!$I$6</f>
        <v>STD10r</v>
      </c>
      <c r="E1047" t="str">
        <f t="shared" si="16"/>
        <v>General Surgery STD10r</v>
      </c>
      <c r="F1047">
        <f>Graph_GenSurg!$A32</f>
        <v>2038</v>
      </c>
      <c r="G1047">
        <f>Graph_GenSurg!$B32</f>
        <v>26</v>
      </c>
      <c r="H1047" s="165">
        <f>Graph_GenSurg!$I32</f>
        <v>2119308.0097112525</v>
      </c>
      <c r="I1047" s="160">
        <f>InputData!$C$3</f>
        <v>0.02</v>
      </c>
      <c r="J1047" s="160">
        <f>InputData!$C$4</f>
        <v>0.01</v>
      </c>
      <c r="K1047" s="160">
        <f>InputData!$C$5</f>
        <v>0.01</v>
      </c>
      <c r="L1047" s="160">
        <f>InputData!$C$6</f>
        <v>6.2100000000000002E-2</v>
      </c>
      <c r="M1047" s="160">
        <f>InputData!$C$7</f>
        <v>0.03</v>
      </c>
      <c r="N1047" s="160">
        <f>InputData!$C$8</f>
        <v>0.02</v>
      </c>
      <c r="O1047" s="160">
        <f>InputData!$C$9</f>
        <v>0.06</v>
      </c>
      <c r="P1047" s="160">
        <f>InputData!$C$10</f>
        <v>0.02</v>
      </c>
      <c r="Q1047" s="160">
        <f>InputData!$C$11</f>
        <v>0.02</v>
      </c>
      <c r="R1047" s="160">
        <f>InputData!$C$12</f>
        <v>0.02</v>
      </c>
      <c r="S1047" s="160">
        <f>InputData!$C$13</f>
        <v>0.9</v>
      </c>
      <c r="T1047" s="116">
        <f>InputData!$C$88</f>
        <v>180000</v>
      </c>
      <c r="U1047" s="116">
        <f>InputData!$C$81</f>
        <v>178500</v>
      </c>
      <c r="V1047" s="116">
        <f>InputData!$C$82</f>
        <v>303960</v>
      </c>
      <c r="W1047" s="116">
        <f>InputData!$C$84</f>
        <v>215220</v>
      </c>
      <c r="X1047" s="116">
        <f>InputData!$C$85</f>
        <v>409020</v>
      </c>
      <c r="Y1047" s="116">
        <f>InputData!$C$116</f>
        <v>140000</v>
      </c>
      <c r="Z1047" s="160">
        <f>InputData!$E$13</f>
        <v>0</v>
      </c>
    </row>
    <row r="1048" spans="1:26" x14ac:dyDescent="0.25">
      <c r="A1048">
        <f>InputData!$K$1</f>
        <v>2013</v>
      </c>
      <c r="B1048" t="str">
        <f>InputData!$G$1</f>
        <v>San Antonio, TX</v>
      </c>
      <c r="C1048" t="s">
        <v>5</v>
      </c>
      <c r="D1048" t="str">
        <f>Graph_GenSurg!$I$6</f>
        <v>STD10r</v>
      </c>
      <c r="E1048" t="str">
        <f t="shared" si="16"/>
        <v>General Surgery STD10r</v>
      </c>
      <c r="F1048">
        <f>Graph_GenSurg!$A33</f>
        <v>2039</v>
      </c>
      <c r="G1048">
        <f>Graph_GenSurg!$B33</f>
        <v>27</v>
      </c>
      <c r="H1048" s="165">
        <f>Graph_GenSurg!$I33</f>
        <v>2232328.7531542974</v>
      </c>
      <c r="I1048" s="160">
        <f>InputData!$C$3</f>
        <v>0.02</v>
      </c>
      <c r="J1048" s="160">
        <f>InputData!$C$4</f>
        <v>0.01</v>
      </c>
      <c r="K1048" s="160">
        <f>InputData!$C$5</f>
        <v>0.01</v>
      </c>
      <c r="L1048" s="160">
        <f>InputData!$C$6</f>
        <v>6.2100000000000002E-2</v>
      </c>
      <c r="M1048" s="160">
        <f>InputData!$C$7</f>
        <v>0.03</v>
      </c>
      <c r="N1048" s="160">
        <f>InputData!$C$8</f>
        <v>0.02</v>
      </c>
      <c r="O1048" s="160">
        <f>InputData!$C$9</f>
        <v>0.06</v>
      </c>
      <c r="P1048" s="160">
        <f>InputData!$C$10</f>
        <v>0.02</v>
      </c>
      <c r="Q1048" s="160">
        <f>InputData!$C$11</f>
        <v>0.02</v>
      </c>
      <c r="R1048" s="160">
        <f>InputData!$C$12</f>
        <v>0.02</v>
      </c>
      <c r="S1048" s="160">
        <f>InputData!$C$13</f>
        <v>0.9</v>
      </c>
      <c r="T1048" s="116">
        <f>InputData!$C$88</f>
        <v>180000</v>
      </c>
      <c r="U1048" s="116">
        <f>InputData!$C$81</f>
        <v>178500</v>
      </c>
      <c r="V1048" s="116">
        <f>InputData!$C$82</f>
        <v>303960</v>
      </c>
      <c r="W1048" s="116">
        <f>InputData!$C$84</f>
        <v>215220</v>
      </c>
      <c r="X1048" s="116">
        <f>InputData!$C$85</f>
        <v>409020</v>
      </c>
      <c r="Y1048" s="116">
        <f>InputData!$C$116</f>
        <v>140000</v>
      </c>
      <c r="Z1048" s="160">
        <f>InputData!$E$13</f>
        <v>0</v>
      </c>
    </row>
    <row r="1049" spans="1:26" x14ac:dyDescent="0.25">
      <c r="A1049">
        <f>InputData!$K$1</f>
        <v>2013</v>
      </c>
      <c r="B1049" t="str">
        <f>InputData!$G$1</f>
        <v>San Antonio, TX</v>
      </c>
      <c r="C1049" t="s">
        <v>5</v>
      </c>
      <c r="D1049" t="str">
        <f>Graph_GenSurg!$I$6</f>
        <v>STD10r</v>
      </c>
      <c r="E1049" t="str">
        <f t="shared" si="16"/>
        <v>General Surgery STD10r</v>
      </c>
      <c r="F1049">
        <f>Graph_GenSurg!$A34</f>
        <v>2040</v>
      </c>
      <c r="G1049">
        <f>Graph_GenSurg!$B34</f>
        <v>28</v>
      </c>
      <c r="H1049" s="165">
        <f>Graph_GenSurg!$I34</f>
        <v>2343085.5915248049</v>
      </c>
      <c r="I1049" s="160">
        <f>InputData!$C$3</f>
        <v>0.02</v>
      </c>
      <c r="J1049" s="160">
        <f>InputData!$C$4</f>
        <v>0.01</v>
      </c>
      <c r="K1049" s="160">
        <f>InputData!$C$5</f>
        <v>0.01</v>
      </c>
      <c r="L1049" s="160">
        <f>InputData!$C$6</f>
        <v>6.2100000000000002E-2</v>
      </c>
      <c r="M1049" s="160">
        <f>InputData!$C$7</f>
        <v>0.03</v>
      </c>
      <c r="N1049" s="160">
        <f>InputData!$C$8</f>
        <v>0.02</v>
      </c>
      <c r="O1049" s="160">
        <f>InputData!$C$9</f>
        <v>0.06</v>
      </c>
      <c r="P1049" s="160">
        <f>InputData!$C$10</f>
        <v>0.02</v>
      </c>
      <c r="Q1049" s="160">
        <f>InputData!$C$11</f>
        <v>0.02</v>
      </c>
      <c r="R1049" s="160">
        <f>InputData!$C$12</f>
        <v>0.02</v>
      </c>
      <c r="S1049" s="160">
        <f>InputData!$C$13</f>
        <v>0.9</v>
      </c>
      <c r="T1049" s="116">
        <f>InputData!$C$88</f>
        <v>180000</v>
      </c>
      <c r="U1049" s="116">
        <f>InputData!$C$81</f>
        <v>178500</v>
      </c>
      <c r="V1049" s="116">
        <f>InputData!$C$82</f>
        <v>303960</v>
      </c>
      <c r="W1049" s="116">
        <f>InputData!$C$84</f>
        <v>215220</v>
      </c>
      <c r="X1049" s="116">
        <f>InputData!$C$85</f>
        <v>409020</v>
      </c>
      <c r="Y1049" s="116">
        <f>InputData!$C$116</f>
        <v>140000</v>
      </c>
      <c r="Z1049" s="160">
        <f>InputData!$E$13</f>
        <v>0</v>
      </c>
    </row>
    <row r="1050" spans="1:26" x14ac:dyDescent="0.25">
      <c r="A1050">
        <f>InputData!$K$1</f>
        <v>2013</v>
      </c>
      <c r="B1050" t="str">
        <f>InputData!$G$1</f>
        <v>San Antonio, TX</v>
      </c>
      <c r="C1050" t="s">
        <v>5</v>
      </c>
      <c r="D1050" t="str">
        <f>Graph_GenSurg!$I$6</f>
        <v>STD10r</v>
      </c>
      <c r="E1050" t="str">
        <f t="shared" si="16"/>
        <v>General Surgery STD10r</v>
      </c>
      <c r="F1050">
        <f>Graph_GenSurg!$A35</f>
        <v>2041</v>
      </c>
      <c r="G1050">
        <f>Graph_GenSurg!$B35</f>
        <v>29</v>
      </c>
      <c r="H1050" s="165">
        <f>Graph_GenSurg!$I35</f>
        <v>2451624.3077026987</v>
      </c>
      <c r="I1050" s="160">
        <f>InputData!$C$3</f>
        <v>0.02</v>
      </c>
      <c r="J1050" s="160">
        <f>InputData!$C$4</f>
        <v>0.01</v>
      </c>
      <c r="K1050" s="160">
        <f>InputData!$C$5</f>
        <v>0.01</v>
      </c>
      <c r="L1050" s="160">
        <f>InputData!$C$6</f>
        <v>6.2100000000000002E-2</v>
      </c>
      <c r="M1050" s="160">
        <f>InputData!$C$7</f>
        <v>0.03</v>
      </c>
      <c r="N1050" s="160">
        <f>InputData!$C$8</f>
        <v>0.02</v>
      </c>
      <c r="O1050" s="160">
        <f>InputData!$C$9</f>
        <v>0.06</v>
      </c>
      <c r="P1050" s="160">
        <f>InputData!$C$10</f>
        <v>0.02</v>
      </c>
      <c r="Q1050" s="160">
        <f>InputData!$C$11</f>
        <v>0.02</v>
      </c>
      <c r="R1050" s="160">
        <f>InputData!$C$12</f>
        <v>0.02</v>
      </c>
      <c r="S1050" s="160">
        <f>InputData!$C$13</f>
        <v>0.9</v>
      </c>
      <c r="T1050" s="116">
        <f>InputData!$C$88</f>
        <v>180000</v>
      </c>
      <c r="U1050" s="116">
        <f>InputData!$C$81</f>
        <v>178500</v>
      </c>
      <c r="V1050" s="116">
        <f>InputData!$C$82</f>
        <v>303960</v>
      </c>
      <c r="W1050" s="116">
        <f>InputData!$C$84</f>
        <v>215220</v>
      </c>
      <c r="X1050" s="116">
        <f>InputData!$C$85</f>
        <v>409020</v>
      </c>
      <c r="Y1050" s="116">
        <f>InputData!$C$116</f>
        <v>140000</v>
      </c>
      <c r="Z1050" s="160">
        <f>InputData!$E$13</f>
        <v>0</v>
      </c>
    </row>
    <row r="1051" spans="1:26" x14ac:dyDescent="0.25">
      <c r="A1051">
        <f>InputData!$K$1</f>
        <v>2013</v>
      </c>
      <c r="B1051" t="str">
        <f>InputData!$G$1</f>
        <v>San Antonio, TX</v>
      </c>
      <c r="C1051" t="s">
        <v>5</v>
      </c>
      <c r="D1051" t="str">
        <f>Graph_GenSurg!$I$6</f>
        <v>STD10r</v>
      </c>
      <c r="E1051" t="str">
        <f t="shared" si="16"/>
        <v>General Surgery STD10r</v>
      </c>
      <c r="F1051">
        <f>Graph_GenSurg!$A36</f>
        <v>2042</v>
      </c>
      <c r="G1051">
        <f>Graph_GenSurg!$B36</f>
        <v>30</v>
      </c>
      <c r="H1051" s="165">
        <f>Graph_GenSurg!$I36</f>
        <v>2557989.7463036645</v>
      </c>
      <c r="I1051" s="160">
        <f>InputData!$C$3</f>
        <v>0.02</v>
      </c>
      <c r="J1051" s="160">
        <f>InputData!$C$4</f>
        <v>0.01</v>
      </c>
      <c r="K1051" s="160">
        <f>InputData!$C$5</f>
        <v>0.01</v>
      </c>
      <c r="L1051" s="160">
        <f>InputData!$C$6</f>
        <v>6.2100000000000002E-2</v>
      </c>
      <c r="M1051" s="160">
        <f>InputData!$C$7</f>
        <v>0.03</v>
      </c>
      <c r="N1051" s="160">
        <f>InputData!$C$8</f>
        <v>0.02</v>
      </c>
      <c r="O1051" s="160">
        <f>InputData!$C$9</f>
        <v>0.06</v>
      </c>
      <c r="P1051" s="160">
        <f>InputData!$C$10</f>
        <v>0.02</v>
      </c>
      <c r="Q1051" s="160">
        <f>InputData!$C$11</f>
        <v>0.02</v>
      </c>
      <c r="R1051" s="160">
        <f>InputData!$C$12</f>
        <v>0.02</v>
      </c>
      <c r="S1051" s="160">
        <f>InputData!$C$13</f>
        <v>0.9</v>
      </c>
      <c r="T1051" s="116">
        <f>InputData!$C$88</f>
        <v>180000</v>
      </c>
      <c r="U1051" s="116">
        <f>InputData!$C$81</f>
        <v>178500</v>
      </c>
      <c r="V1051" s="116">
        <f>InputData!$C$82</f>
        <v>303960</v>
      </c>
      <c r="W1051" s="116">
        <f>InputData!$C$84</f>
        <v>215220</v>
      </c>
      <c r="X1051" s="116">
        <f>InputData!$C$85</f>
        <v>409020</v>
      </c>
      <c r="Y1051" s="116">
        <f>InputData!$C$116</f>
        <v>140000</v>
      </c>
      <c r="Z1051" s="160">
        <f>InputData!$E$13</f>
        <v>0</v>
      </c>
    </row>
    <row r="1052" spans="1:26" x14ac:dyDescent="0.25">
      <c r="A1052">
        <f>InputData!$K$1</f>
        <v>2013</v>
      </c>
      <c r="B1052" t="str">
        <f>InputData!$G$1</f>
        <v>San Antonio, TX</v>
      </c>
      <c r="C1052" t="s">
        <v>5</v>
      </c>
      <c r="D1052" t="str">
        <f>Graph_GenSurg!$J$6</f>
        <v>IBRr</v>
      </c>
      <c r="E1052" t="str">
        <f t="shared" si="16"/>
        <v>General Surgery IBRr</v>
      </c>
      <c r="F1052">
        <f>Graph_GenSurg!$A7</f>
        <v>2013</v>
      </c>
      <c r="G1052">
        <f>Graph_GenSurg!$B7</f>
        <v>1</v>
      </c>
      <c r="H1052" s="165">
        <f>Graph_GenSurg!$J7</f>
        <v>-43015.05</v>
      </c>
      <c r="I1052" s="160">
        <f>InputData!$C$3</f>
        <v>0.02</v>
      </c>
      <c r="J1052" s="160">
        <f>InputData!$C$4</f>
        <v>0.01</v>
      </c>
      <c r="K1052" s="160">
        <f>InputData!$C$5</f>
        <v>0.01</v>
      </c>
      <c r="L1052" s="160">
        <f>InputData!$C$6</f>
        <v>6.2100000000000002E-2</v>
      </c>
      <c r="M1052" s="160">
        <f>InputData!$C$7</f>
        <v>0.03</v>
      </c>
      <c r="N1052" s="160">
        <f>InputData!$C$8</f>
        <v>0.02</v>
      </c>
      <c r="O1052" s="160">
        <f>InputData!$C$9</f>
        <v>0.06</v>
      </c>
      <c r="P1052" s="160">
        <f>InputData!$C$10</f>
        <v>0.02</v>
      </c>
      <c r="Q1052" s="160">
        <f>InputData!$C$11</f>
        <v>0.02</v>
      </c>
      <c r="R1052" s="160">
        <f>InputData!$C$12</f>
        <v>0.02</v>
      </c>
      <c r="S1052" s="160">
        <f>InputData!$C$13</f>
        <v>0.9</v>
      </c>
      <c r="T1052" s="116">
        <f>InputData!$C$88</f>
        <v>180000</v>
      </c>
      <c r="U1052" s="116">
        <f>InputData!$C$81</f>
        <v>178500</v>
      </c>
      <c r="V1052" s="116">
        <f>InputData!$C$82</f>
        <v>303960</v>
      </c>
      <c r="W1052" s="116">
        <f>InputData!$C$84</f>
        <v>215220</v>
      </c>
      <c r="X1052" s="116">
        <f>InputData!$C$85</f>
        <v>409020</v>
      </c>
      <c r="Y1052" s="116">
        <f>InputData!$C$116</f>
        <v>140000</v>
      </c>
      <c r="Z1052" s="160">
        <f>InputData!$E$13</f>
        <v>0</v>
      </c>
    </row>
    <row r="1053" spans="1:26" x14ac:dyDescent="0.25">
      <c r="A1053">
        <f>InputData!$K$1</f>
        <v>2013</v>
      </c>
      <c r="B1053" t="str">
        <f>InputData!$G$1</f>
        <v>San Antonio, TX</v>
      </c>
      <c r="C1053" t="s">
        <v>5</v>
      </c>
      <c r="D1053" t="str">
        <f>Graph_GenSurg!$J$6</f>
        <v>IBRr</v>
      </c>
      <c r="E1053" t="str">
        <f t="shared" si="16"/>
        <v>General Surgery IBRr</v>
      </c>
      <c r="F1053">
        <f>Graph_GenSurg!$A8</f>
        <v>2014</v>
      </c>
      <c r="G1053">
        <f>Graph_GenSurg!$B8</f>
        <v>2</v>
      </c>
      <c r="H1053" s="165">
        <f>Graph_GenSurg!$J8</f>
        <v>-86352.285865219877</v>
      </c>
      <c r="I1053" s="160">
        <f>InputData!$C$3</f>
        <v>0.02</v>
      </c>
      <c r="J1053" s="160">
        <f>InputData!$C$4</f>
        <v>0.01</v>
      </c>
      <c r="K1053" s="160">
        <f>InputData!$C$5</f>
        <v>0.01</v>
      </c>
      <c r="L1053" s="160">
        <f>InputData!$C$6</f>
        <v>6.2100000000000002E-2</v>
      </c>
      <c r="M1053" s="160">
        <f>InputData!$C$7</f>
        <v>0.03</v>
      </c>
      <c r="N1053" s="160">
        <f>InputData!$C$8</f>
        <v>0.02</v>
      </c>
      <c r="O1053" s="160">
        <f>InputData!$C$9</f>
        <v>0.06</v>
      </c>
      <c r="P1053" s="160">
        <f>InputData!$C$10</f>
        <v>0.02</v>
      </c>
      <c r="Q1053" s="160">
        <f>InputData!$C$11</f>
        <v>0.02</v>
      </c>
      <c r="R1053" s="160">
        <f>InputData!$C$12</f>
        <v>0.02</v>
      </c>
      <c r="S1053" s="160">
        <f>InputData!$C$13</f>
        <v>0.9</v>
      </c>
      <c r="T1053" s="116">
        <f>InputData!$C$88</f>
        <v>180000</v>
      </c>
      <c r="U1053" s="116">
        <f>InputData!$C$81</f>
        <v>178500</v>
      </c>
      <c r="V1053" s="116">
        <f>InputData!$C$82</f>
        <v>303960</v>
      </c>
      <c r="W1053" s="116">
        <f>InputData!$C$84</f>
        <v>215220</v>
      </c>
      <c r="X1053" s="116">
        <f>InputData!$C$85</f>
        <v>409020</v>
      </c>
      <c r="Y1053" s="116">
        <f>InputData!$C$116</f>
        <v>140000</v>
      </c>
      <c r="Z1053" s="160">
        <f>InputData!$E$13</f>
        <v>0</v>
      </c>
    </row>
    <row r="1054" spans="1:26" x14ac:dyDescent="0.25">
      <c r="A1054">
        <f>InputData!$K$1</f>
        <v>2013</v>
      </c>
      <c r="B1054" t="str">
        <f>InputData!$G$1</f>
        <v>San Antonio, TX</v>
      </c>
      <c r="C1054" t="s">
        <v>5</v>
      </c>
      <c r="D1054" t="str">
        <f>Graph_GenSurg!$J$6</f>
        <v>IBRr</v>
      </c>
      <c r="E1054" t="str">
        <f t="shared" si="16"/>
        <v>General Surgery IBRr</v>
      </c>
      <c r="F1054">
        <f>Graph_GenSurg!$A9</f>
        <v>2015</v>
      </c>
      <c r="G1054">
        <f>Graph_GenSurg!$B9</f>
        <v>3</v>
      </c>
      <c r="H1054" s="165">
        <f>Graph_GenSurg!$J9</f>
        <v>-138541.19578403595</v>
      </c>
      <c r="I1054" s="160">
        <f>InputData!$C$3</f>
        <v>0.02</v>
      </c>
      <c r="J1054" s="160">
        <f>InputData!$C$4</f>
        <v>0.01</v>
      </c>
      <c r="K1054" s="160">
        <f>InputData!$C$5</f>
        <v>0.01</v>
      </c>
      <c r="L1054" s="160">
        <f>InputData!$C$6</f>
        <v>6.2100000000000002E-2</v>
      </c>
      <c r="M1054" s="160">
        <f>InputData!$C$7</f>
        <v>0.03</v>
      </c>
      <c r="N1054" s="160">
        <f>InputData!$C$8</f>
        <v>0.02</v>
      </c>
      <c r="O1054" s="160">
        <f>InputData!$C$9</f>
        <v>0.06</v>
      </c>
      <c r="P1054" s="160">
        <f>InputData!$C$10</f>
        <v>0.02</v>
      </c>
      <c r="Q1054" s="160">
        <f>InputData!$C$11</f>
        <v>0.02</v>
      </c>
      <c r="R1054" s="160">
        <f>InputData!$C$12</f>
        <v>0.02</v>
      </c>
      <c r="S1054" s="160">
        <f>InputData!$C$13</f>
        <v>0.9</v>
      </c>
      <c r="T1054" s="116">
        <f>InputData!$C$88</f>
        <v>180000</v>
      </c>
      <c r="U1054" s="116">
        <f>InputData!$C$81</f>
        <v>178500</v>
      </c>
      <c r="V1054" s="116">
        <f>InputData!$C$82</f>
        <v>303960</v>
      </c>
      <c r="W1054" s="116">
        <f>InputData!$C$84</f>
        <v>215220</v>
      </c>
      <c r="X1054" s="116">
        <f>InputData!$C$85</f>
        <v>409020</v>
      </c>
      <c r="Y1054" s="116">
        <f>InputData!$C$116</f>
        <v>140000</v>
      </c>
      <c r="Z1054" s="160">
        <f>InputData!$E$13</f>
        <v>0</v>
      </c>
    </row>
    <row r="1055" spans="1:26" x14ac:dyDescent="0.25">
      <c r="A1055">
        <f>InputData!$K$1</f>
        <v>2013</v>
      </c>
      <c r="B1055" t="str">
        <f>InputData!$G$1</f>
        <v>San Antonio, TX</v>
      </c>
      <c r="C1055" t="s">
        <v>5</v>
      </c>
      <c r="D1055" t="str">
        <f>Graph_GenSurg!$J$6</f>
        <v>IBRr</v>
      </c>
      <c r="E1055" t="str">
        <f t="shared" si="16"/>
        <v>General Surgery IBRr</v>
      </c>
      <c r="F1055">
        <f>Graph_GenSurg!$A10</f>
        <v>2016</v>
      </c>
      <c r="G1055">
        <f>Graph_GenSurg!$B10</f>
        <v>4</v>
      </c>
      <c r="H1055" s="165">
        <f>Graph_GenSurg!$J10</f>
        <v>-190867.38028908212</v>
      </c>
      <c r="I1055" s="160">
        <f>InputData!$C$3</f>
        <v>0.02</v>
      </c>
      <c r="J1055" s="160">
        <f>InputData!$C$4</f>
        <v>0.01</v>
      </c>
      <c r="K1055" s="160">
        <f>InputData!$C$5</f>
        <v>0.01</v>
      </c>
      <c r="L1055" s="160">
        <f>InputData!$C$6</f>
        <v>6.2100000000000002E-2</v>
      </c>
      <c r="M1055" s="160">
        <f>InputData!$C$7</f>
        <v>0.03</v>
      </c>
      <c r="N1055" s="160">
        <f>InputData!$C$8</f>
        <v>0.02</v>
      </c>
      <c r="O1055" s="160">
        <f>InputData!$C$9</f>
        <v>0.06</v>
      </c>
      <c r="P1055" s="160">
        <f>InputData!$C$10</f>
        <v>0.02</v>
      </c>
      <c r="Q1055" s="160">
        <f>InputData!$C$11</f>
        <v>0.02</v>
      </c>
      <c r="R1055" s="160">
        <f>InputData!$C$12</f>
        <v>0.02</v>
      </c>
      <c r="S1055" s="160">
        <f>InputData!$C$13</f>
        <v>0.9</v>
      </c>
      <c r="T1055" s="116">
        <f>InputData!$C$88</f>
        <v>180000</v>
      </c>
      <c r="U1055" s="116">
        <f>InputData!$C$81</f>
        <v>178500</v>
      </c>
      <c r="V1055" s="116">
        <f>InputData!$C$82</f>
        <v>303960</v>
      </c>
      <c r="W1055" s="116">
        <f>InputData!$C$84</f>
        <v>215220</v>
      </c>
      <c r="X1055" s="116">
        <f>InputData!$C$85</f>
        <v>409020</v>
      </c>
      <c r="Y1055" s="116">
        <f>InputData!$C$116</f>
        <v>140000</v>
      </c>
      <c r="Z1055" s="160">
        <f>InputData!$E$13</f>
        <v>0</v>
      </c>
    </row>
    <row r="1056" spans="1:26" x14ac:dyDescent="0.25">
      <c r="A1056">
        <f>InputData!$K$1</f>
        <v>2013</v>
      </c>
      <c r="B1056" t="str">
        <f>InputData!$G$1</f>
        <v>San Antonio, TX</v>
      </c>
      <c r="C1056" t="s">
        <v>5</v>
      </c>
      <c r="D1056" t="str">
        <f>Graph_GenSurg!$J$6</f>
        <v>IBRr</v>
      </c>
      <c r="E1056" t="str">
        <f t="shared" si="16"/>
        <v>General Surgery IBRr</v>
      </c>
      <c r="F1056">
        <f>Graph_GenSurg!$A11</f>
        <v>2017</v>
      </c>
      <c r="G1056">
        <f>Graph_GenSurg!$B11</f>
        <v>5</v>
      </c>
      <c r="H1056" s="165">
        <f>Graph_GenSurg!$J11</f>
        <v>-159376.263840158</v>
      </c>
      <c r="I1056" s="160">
        <f>InputData!$C$3</f>
        <v>0.02</v>
      </c>
      <c r="J1056" s="160">
        <f>InputData!$C$4</f>
        <v>0.01</v>
      </c>
      <c r="K1056" s="160">
        <f>InputData!$C$5</f>
        <v>0.01</v>
      </c>
      <c r="L1056" s="160">
        <f>InputData!$C$6</f>
        <v>6.2100000000000002E-2</v>
      </c>
      <c r="M1056" s="160">
        <f>InputData!$C$7</f>
        <v>0.03</v>
      </c>
      <c r="N1056" s="160">
        <f>InputData!$C$8</f>
        <v>0.02</v>
      </c>
      <c r="O1056" s="160">
        <f>InputData!$C$9</f>
        <v>0.06</v>
      </c>
      <c r="P1056" s="160">
        <f>InputData!$C$10</f>
        <v>0.02</v>
      </c>
      <c r="Q1056" s="160">
        <f>InputData!$C$11</f>
        <v>0.02</v>
      </c>
      <c r="R1056" s="160">
        <f>InputData!$C$12</f>
        <v>0.02</v>
      </c>
      <c r="S1056" s="160">
        <f>InputData!$C$13</f>
        <v>0.9</v>
      </c>
      <c r="T1056" s="116">
        <f>InputData!$C$88</f>
        <v>180000</v>
      </c>
      <c r="U1056" s="116">
        <f>InputData!$C$81</f>
        <v>178500</v>
      </c>
      <c r="V1056" s="116">
        <f>InputData!$C$82</f>
        <v>303960</v>
      </c>
      <c r="W1056" s="116">
        <f>InputData!$C$84</f>
        <v>215220</v>
      </c>
      <c r="X1056" s="116">
        <f>InputData!$C$85</f>
        <v>409020</v>
      </c>
      <c r="Y1056" s="116">
        <f>InputData!$C$116</f>
        <v>140000</v>
      </c>
      <c r="Z1056" s="160">
        <f>InputData!$E$13</f>
        <v>0</v>
      </c>
    </row>
    <row r="1057" spans="1:26" x14ac:dyDescent="0.25">
      <c r="A1057">
        <f>InputData!$K$1</f>
        <v>2013</v>
      </c>
      <c r="B1057" t="str">
        <f>InputData!$G$1</f>
        <v>San Antonio, TX</v>
      </c>
      <c r="C1057" t="s">
        <v>5</v>
      </c>
      <c r="D1057" t="str">
        <f>Graph_GenSurg!$J$6</f>
        <v>IBRr</v>
      </c>
      <c r="E1057" t="str">
        <f t="shared" si="16"/>
        <v>General Surgery IBRr</v>
      </c>
      <c r="F1057">
        <f>Graph_GenSurg!$A12</f>
        <v>2018</v>
      </c>
      <c r="G1057">
        <f>Graph_GenSurg!$B12</f>
        <v>6</v>
      </c>
      <c r="H1057" s="165">
        <f>Graph_GenSurg!$J12</f>
        <v>-127913.13213476112</v>
      </c>
      <c r="I1057" s="160">
        <f>InputData!$C$3</f>
        <v>0.02</v>
      </c>
      <c r="J1057" s="160">
        <f>InputData!$C$4</f>
        <v>0.01</v>
      </c>
      <c r="K1057" s="160">
        <f>InputData!$C$5</f>
        <v>0.01</v>
      </c>
      <c r="L1057" s="160">
        <f>InputData!$C$6</f>
        <v>6.2100000000000002E-2</v>
      </c>
      <c r="M1057" s="160">
        <f>InputData!$C$7</f>
        <v>0.03</v>
      </c>
      <c r="N1057" s="160">
        <f>InputData!$C$8</f>
        <v>0.02</v>
      </c>
      <c r="O1057" s="160">
        <f>InputData!$C$9</f>
        <v>0.06</v>
      </c>
      <c r="P1057" s="160">
        <f>InputData!$C$10</f>
        <v>0.02</v>
      </c>
      <c r="Q1057" s="160">
        <f>InputData!$C$11</f>
        <v>0.02</v>
      </c>
      <c r="R1057" s="160">
        <f>InputData!$C$12</f>
        <v>0.02</v>
      </c>
      <c r="S1057" s="160">
        <f>InputData!$C$13</f>
        <v>0.9</v>
      </c>
      <c r="T1057" s="116">
        <f>InputData!$C$88</f>
        <v>180000</v>
      </c>
      <c r="U1057" s="116">
        <f>InputData!$C$81</f>
        <v>178500</v>
      </c>
      <c r="V1057" s="116">
        <f>InputData!$C$82</f>
        <v>303960</v>
      </c>
      <c r="W1057" s="116">
        <f>InputData!$C$84</f>
        <v>215220</v>
      </c>
      <c r="X1057" s="116">
        <f>InputData!$C$85</f>
        <v>409020</v>
      </c>
      <c r="Y1057" s="116">
        <f>InputData!$C$116</f>
        <v>140000</v>
      </c>
      <c r="Z1057" s="160">
        <f>InputData!$E$13</f>
        <v>0</v>
      </c>
    </row>
    <row r="1058" spans="1:26" x14ac:dyDescent="0.25">
      <c r="A1058">
        <f>InputData!$K$1</f>
        <v>2013</v>
      </c>
      <c r="B1058" t="str">
        <f>InputData!$G$1</f>
        <v>San Antonio, TX</v>
      </c>
      <c r="C1058" t="s">
        <v>5</v>
      </c>
      <c r="D1058" t="str">
        <f>Graph_GenSurg!$J$6</f>
        <v>IBRr</v>
      </c>
      <c r="E1058" t="str">
        <f t="shared" si="16"/>
        <v>General Surgery IBRr</v>
      </c>
      <c r="F1058">
        <f>Graph_GenSurg!$A13</f>
        <v>2019</v>
      </c>
      <c r="G1058">
        <f>Graph_GenSurg!$B13</f>
        <v>7</v>
      </c>
      <c r="H1058" s="165">
        <f>Graph_GenSurg!$J13</f>
        <v>-96469.213883902426</v>
      </c>
      <c r="I1058" s="160">
        <f>InputData!$C$3</f>
        <v>0.02</v>
      </c>
      <c r="J1058" s="160">
        <f>InputData!$C$4</f>
        <v>0.01</v>
      </c>
      <c r="K1058" s="160">
        <f>InputData!$C$5</f>
        <v>0.01</v>
      </c>
      <c r="L1058" s="160">
        <f>InputData!$C$6</f>
        <v>6.2100000000000002E-2</v>
      </c>
      <c r="M1058" s="160">
        <f>InputData!$C$7</f>
        <v>0.03</v>
      </c>
      <c r="N1058" s="160">
        <f>InputData!$C$8</f>
        <v>0.02</v>
      </c>
      <c r="O1058" s="160">
        <f>InputData!$C$9</f>
        <v>0.06</v>
      </c>
      <c r="P1058" s="160">
        <f>InputData!$C$10</f>
        <v>0.02</v>
      </c>
      <c r="Q1058" s="160">
        <f>InputData!$C$11</f>
        <v>0.02</v>
      </c>
      <c r="R1058" s="160">
        <f>InputData!$C$12</f>
        <v>0.02</v>
      </c>
      <c r="S1058" s="160">
        <f>InputData!$C$13</f>
        <v>0.9</v>
      </c>
      <c r="T1058" s="116">
        <f>InputData!$C$88</f>
        <v>180000</v>
      </c>
      <c r="U1058" s="116">
        <f>InputData!$C$81</f>
        <v>178500</v>
      </c>
      <c r="V1058" s="116">
        <f>InputData!$C$82</f>
        <v>303960</v>
      </c>
      <c r="W1058" s="116">
        <f>InputData!$C$84</f>
        <v>215220</v>
      </c>
      <c r="X1058" s="116">
        <f>InputData!$C$85</f>
        <v>409020</v>
      </c>
      <c r="Y1058" s="116">
        <f>InputData!$C$116</f>
        <v>140000</v>
      </c>
      <c r="Z1058" s="160">
        <f>InputData!$E$13</f>
        <v>0</v>
      </c>
    </row>
    <row r="1059" spans="1:26" x14ac:dyDescent="0.25">
      <c r="A1059">
        <f>InputData!$K$1</f>
        <v>2013</v>
      </c>
      <c r="B1059" t="str">
        <f>InputData!$G$1</f>
        <v>San Antonio, TX</v>
      </c>
      <c r="C1059" t="s">
        <v>5</v>
      </c>
      <c r="D1059" t="str">
        <f>Graph_GenSurg!$J$6</f>
        <v>IBRr</v>
      </c>
      <c r="E1059" t="str">
        <f t="shared" si="16"/>
        <v>General Surgery IBRr</v>
      </c>
      <c r="F1059">
        <f>Graph_GenSurg!$A14</f>
        <v>2020</v>
      </c>
      <c r="G1059">
        <f>Graph_GenSurg!$B14</f>
        <v>8</v>
      </c>
      <c r="H1059" s="165">
        <f>Graph_GenSurg!$J14</f>
        <v>-65035.922086779574</v>
      </c>
      <c r="I1059" s="160">
        <f>InputData!$C$3</f>
        <v>0.02</v>
      </c>
      <c r="J1059" s="160">
        <f>InputData!$C$4</f>
        <v>0.01</v>
      </c>
      <c r="K1059" s="160">
        <f>InputData!$C$5</f>
        <v>0.01</v>
      </c>
      <c r="L1059" s="160">
        <f>InputData!$C$6</f>
        <v>6.2100000000000002E-2</v>
      </c>
      <c r="M1059" s="160">
        <f>InputData!$C$7</f>
        <v>0.03</v>
      </c>
      <c r="N1059" s="160">
        <f>InputData!$C$8</f>
        <v>0.02</v>
      </c>
      <c r="O1059" s="160">
        <f>InputData!$C$9</f>
        <v>0.06</v>
      </c>
      <c r="P1059" s="160">
        <f>InputData!$C$10</f>
        <v>0.02</v>
      </c>
      <c r="Q1059" s="160">
        <f>InputData!$C$11</f>
        <v>0.02</v>
      </c>
      <c r="R1059" s="160">
        <f>InputData!$C$12</f>
        <v>0.02</v>
      </c>
      <c r="S1059" s="160">
        <f>InputData!$C$13</f>
        <v>0.9</v>
      </c>
      <c r="T1059" s="116">
        <f>InputData!$C$88</f>
        <v>180000</v>
      </c>
      <c r="U1059" s="116">
        <f>InputData!$C$81</f>
        <v>178500</v>
      </c>
      <c r="V1059" s="116">
        <f>InputData!$C$82</f>
        <v>303960</v>
      </c>
      <c r="W1059" s="116">
        <f>InputData!$C$84</f>
        <v>215220</v>
      </c>
      <c r="X1059" s="116">
        <f>InputData!$C$85</f>
        <v>409020</v>
      </c>
      <c r="Y1059" s="116">
        <f>InputData!$C$116</f>
        <v>140000</v>
      </c>
      <c r="Z1059" s="160">
        <f>InputData!$E$13</f>
        <v>0</v>
      </c>
    </row>
    <row r="1060" spans="1:26" x14ac:dyDescent="0.25">
      <c r="A1060">
        <f>InputData!$K$1</f>
        <v>2013</v>
      </c>
      <c r="B1060" t="str">
        <f>InputData!$G$1</f>
        <v>San Antonio, TX</v>
      </c>
      <c r="C1060" t="s">
        <v>5</v>
      </c>
      <c r="D1060" t="str">
        <f>Graph_GenSurg!$J$6</f>
        <v>IBRr</v>
      </c>
      <c r="E1060" t="str">
        <f t="shared" si="16"/>
        <v>General Surgery IBRr</v>
      </c>
      <c r="F1060">
        <f>Graph_GenSurg!$A15</f>
        <v>2021</v>
      </c>
      <c r="G1060">
        <f>Graph_GenSurg!$B15</f>
        <v>9</v>
      </c>
      <c r="H1060" s="165">
        <f>Graph_GenSurg!$J15</f>
        <v>-33604.8480262374</v>
      </c>
      <c r="I1060" s="160">
        <f>InputData!$C$3</f>
        <v>0.02</v>
      </c>
      <c r="J1060" s="160">
        <f>InputData!$C$4</f>
        <v>0.01</v>
      </c>
      <c r="K1060" s="160">
        <f>InputData!$C$5</f>
        <v>0.01</v>
      </c>
      <c r="L1060" s="160">
        <f>InputData!$C$6</f>
        <v>6.2100000000000002E-2</v>
      </c>
      <c r="M1060" s="160">
        <f>InputData!$C$7</f>
        <v>0.03</v>
      </c>
      <c r="N1060" s="160">
        <f>InputData!$C$8</f>
        <v>0.02</v>
      </c>
      <c r="O1060" s="160">
        <f>InputData!$C$9</f>
        <v>0.06</v>
      </c>
      <c r="P1060" s="160">
        <f>InputData!$C$10</f>
        <v>0.02</v>
      </c>
      <c r="Q1060" s="160">
        <f>InputData!$C$11</f>
        <v>0.02</v>
      </c>
      <c r="R1060" s="160">
        <f>InputData!$C$12</f>
        <v>0.02</v>
      </c>
      <c r="S1060" s="160">
        <f>InputData!$C$13</f>
        <v>0.9</v>
      </c>
      <c r="T1060" s="116">
        <f>InputData!$C$88</f>
        <v>180000</v>
      </c>
      <c r="U1060" s="116">
        <f>InputData!$C$81</f>
        <v>178500</v>
      </c>
      <c r="V1060" s="116">
        <f>InputData!$C$82</f>
        <v>303960</v>
      </c>
      <c r="W1060" s="116">
        <f>InputData!$C$84</f>
        <v>215220</v>
      </c>
      <c r="X1060" s="116">
        <f>InputData!$C$85</f>
        <v>409020</v>
      </c>
      <c r="Y1060" s="116">
        <f>InputData!$C$116</f>
        <v>140000</v>
      </c>
      <c r="Z1060" s="160">
        <f>InputData!$E$13</f>
        <v>0</v>
      </c>
    </row>
    <row r="1061" spans="1:26" x14ac:dyDescent="0.25">
      <c r="A1061">
        <f>InputData!$K$1</f>
        <v>2013</v>
      </c>
      <c r="B1061" t="str">
        <f>InputData!$G$1</f>
        <v>San Antonio, TX</v>
      </c>
      <c r="C1061" t="s">
        <v>5</v>
      </c>
      <c r="D1061" t="str">
        <f>Graph_GenSurg!$J$6</f>
        <v>IBRr</v>
      </c>
      <c r="E1061" t="str">
        <f t="shared" si="16"/>
        <v>General Surgery IBRr</v>
      </c>
      <c r="F1061">
        <f>Graph_GenSurg!$A16</f>
        <v>2022</v>
      </c>
      <c r="G1061">
        <f>Graph_GenSurg!$B16</f>
        <v>10</v>
      </c>
      <c r="H1061" s="165">
        <f>Graph_GenSurg!$J16</f>
        <v>108709.97869989154</v>
      </c>
      <c r="I1061" s="160">
        <f>InputData!$C$3</f>
        <v>0.02</v>
      </c>
      <c r="J1061" s="160">
        <f>InputData!$C$4</f>
        <v>0.01</v>
      </c>
      <c r="K1061" s="160">
        <f>InputData!$C$5</f>
        <v>0.01</v>
      </c>
      <c r="L1061" s="160">
        <f>InputData!$C$6</f>
        <v>6.2100000000000002E-2</v>
      </c>
      <c r="M1061" s="160">
        <f>InputData!$C$7</f>
        <v>0.03</v>
      </c>
      <c r="N1061" s="160">
        <f>InputData!$C$8</f>
        <v>0.02</v>
      </c>
      <c r="O1061" s="160">
        <f>InputData!$C$9</f>
        <v>0.06</v>
      </c>
      <c r="P1061" s="160">
        <f>InputData!$C$10</f>
        <v>0.02</v>
      </c>
      <c r="Q1061" s="160">
        <f>InputData!$C$11</f>
        <v>0.02</v>
      </c>
      <c r="R1061" s="160">
        <f>InputData!$C$12</f>
        <v>0.02</v>
      </c>
      <c r="S1061" s="160">
        <f>InputData!$C$13</f>
        <v>0.9</v>
      </c>
      <c r="T1061" s="116">
        <f>InputData!$C$88</f>
        <v>180000</v>
      </c>
      <c r="U1061" s="116">
        <f>InputData!$C$81</f>
        <v>178500</v>
      </c>
      <c r="V1061" s="116">
        <f>InputData!$C$82</f>
        <v>303960</v>
      </c>
      <c r="W1061" s="116">
        <f>InputData!$C$84</f>
        <v>215220</v>
      </c>
      <c r="X1061" s="116">
        <f>InputData!$C$85</f>
        <v>409020</v>
      </c>
      <c r="Y1061" s="116">
        <f>InputData!$C$116</f>
        <v>140000</v>
      </c>
      <c r="Z1061" s="160">
        <f>InputData!$E$13</f>
        <v>0</v>
      </c>
    </row>
    <row r="1062" spans="1:26" x14ac:dyDescent="0.25">
      <c r="A1062">
        <f>InputData!$K$1</f>
        <v>2013</v>
      </c>
      <c r="B1062" t="str">
        <f>InputData!$G$1</f>
        <v>San Antonio, TX</v>
      </c>
      <c r="C1062" t="s">
        <v>5</v>
      </c>
      <c r="D1062" t="str">
        <f>Graph_GenSurg!$J$6</f>
        <v>IBRr</v>
      </c>
      <c r="E1062" t="str">
        <f t="shared" si="16"/>
        <v>General Surgery IBRr</v>
      </c>
      <c r="F1062">
        <f>Graph_GenSurg!$A17</f>
        <v>2023</v>
      </c>
      <c r="G1062">
        <f>Graph_GenSurg!$B17</f>
        <v>11</v>
      </c>
      <c r="H1062" s="165">
        <f>Graph_GenSurg!$J17</f>
        <v>247235.56623932181</v>
      </c>
      <c r="I1062" s="160">
        <f>InputData!$C$3</f>
        <v>0.02</v>
      </c>
      <c r="J1062" s="160">
        <f>InputData!$C$4</f>
        <v>0.01</v>
      </c>
      <c r="K1062" s="160">
        <f>InputData!$C$5</f>
        <v>0.01</v>
      </c>
      <c r="L1062" s="160">
        <f>InputData!$C$6</f>
        <v>6.2100000000000002E-2</v>
      </c>
      <c r="M1062" s="160">
        <f>InputData!$C$7</f>
        <v>0.03</v>
      </c>
      <c r="N1062" s="160">
        <f>InputData!$C$8</f>
        <v>0.02</v>
      </c>
      <c r="O1062" s="160">
        <f>InputData!$C$9</f>
        <v>0.06</v>
      </c>
      <c r="P1062" s="160">
        <f>InputData!$C$10</f>
        <v>0.02</v>
      </c>
      <c r="Q1062" s="160">
        <f>InputData!$C$11</f>
        <v>0.02</v>
      </c>
      <c r="R1062" s="160">
        <f>InputData!$C$12</f>
        <v>0.02</v>
      </c>
      <c r="S1062" s="160">
        <f>InputData!$C$13</f>
        <v>0.9</v>
      </c>
      <c r="T1062" s="116">
        <f>InputData!$C$88</f>
        <v>180000</v>
      </c>
      <c r="U1062" s="116">
        <f>InputData!$C$81</f>
        <v>178500</v>
      </c>
      <c r="V1062" s="116">
        <f>InputData!$C$82</f>
        <v>303960</v>
      </c>
      <c r="W1062" s="116">
        <f>InputData!$C$84</f>
        <v>215220</v>
      </c>
      <c r="X1062" s="116">
        <f>InputData!$C$85</f>
        <v>409020</v>
      </c>
      <c r="Y1062" s="116">
        <f>InputData!$C$116</f>
        <v>140000</v>
      </c>
      <c r="Z1062" s="160">
        <f>InputData!$E$13</f>
        <v>0</v>
      </c>
    </row>
    <row r="1063" spans="1:26" x14ac:dyDescent="0.25">
      <c r="A1063">
        <f>InputData!$K$1</f>
        <v>2013</v>
      </c>
      <c r="B1063" t="str">
        <f>InputData!$G$1</f>
        <v>San Antonio, TX</v>
      </c>
      <c r="C1063" t="s">
        <v>5</v>
      </c>
      <c r="D1063" t="str">
        <f>Graph_GenSurg!$J$6</f>
        <v>IBRr</v>
      </c>
      <c r="E1063" t="str">
        <f t="shared" si="16"/>
        <v>General Surgery IBRr</v>
      </c>
      <c r="F1063">
        <f>Graph_GenSurg!$A18</f>
        <v>2024</v>
      </c>
      <c r="G1063">
        <f>Graph_GenSurg!$B18</f>
        <v>12</v>
      </c>
      <c r="H1063" s="165">
        <f>Graph_GenSurg!$J18</f>
        <v>383476.3123546422</v>
      </c>
      <c r="I1063" s="160">
        <f>InputData!$C$3</f>
        <v>0.02</v>
      </c>
      <c r="J1063" s="160">
        <f>InputData!$C$4</f>
        <v>0.01</v>
      </c>
      <c r="K1063" s="160">
        <f>InputData!$C$5</f>
        <v>0.01</v>
      </c>
      <c r="L1063" s="160">
        <f>InputData!$C$6</f>
        <v>6.2100000000000002E-2</v>
      </c>
      <c r="M1063" s="160">
        <f>InputData!$C$7</f>
        <v>0.03</v>
      </c>
      <c r="N1063" s="160">
        <f>InputData!$C$8</f>
        <v>0.02</v>
      </c>
      <c r="O1063" s="160">
        <f>InputData!$C$9</f>
        <v>0.06</v>
      </c>
      <c r="P1063" s="160">
        <f>InputData!$C$10</f>
        <v>0.02</v>
      </c>
      <c r="Q1063" s="160">
        <f>InputData!$C$11</f>
        <v>0.02</v>
      </c>
      <c r="R1063" s="160">
        <f>InputData!$C$12</f>
        <v>0.02</v>
      </c>
      <c r="S1063" s="160">
        <f>InputData!$C$13</f>
        <v>0.9</v>
      </c>
      <c r="T1063" s="116">
        <f>InputData!$C$88</f>
        <v>180000</v>
      </c>
      <c r="U1063" s="116">
        <f>InputData!$C$81</f>
        <v>178500</v>
      </c>
      <c r="V1063" s="116">
        <f>InputData!$C$82</f>
        <v>303960</v>
      </c>
      <c r="W1063" s="116">
        <f>InputData!$C$84</f>
        <v>215220</v>
      </c>
      <c r="X1063" s="116">
        <f>InputData!$C$85</f>
        <v>409020</v>
      </c>
      <c r="Y1063" s="116">
        <f>InputData!$C$116</f>
        <v>140000</v>
      </c>
      <c r="Z1063" s="160">
        <f>InputData!$E$13</f>
        <v>0</v>
      </c>
    </row>
    <row r="1064" spans="1:26" x14ac:dyDescent="0.25">
      <c r="A1064">
        <f>InputData!$K$1</f>
        <v>2013</v>
      </c>
      <c r="B1064" t="str">
        <f>InputData!$G$1</f>
        <v>San Antonio, TX</v>
      </c>
      <c r="C1064" t="s">
        <v>5</v>
      </c>
      <c r="D1064" t="str">
        <f>Graph_GenSurg!$J$6</f>
        <v>IBRr</v>
      </c>
      <c r="E1064" t="str">
        <f t="shared" si="16"/>
        <v>General Surgery IBRr</v>
      </c>
      <c r="F1064">
        <f>Graph_GenSurg!$A19</f>
        <v>2025</v>
      </c>
      <c r="G1064">
        <f>Graph_GenSurg!$B19</f>
        <v>13</v>
      </c>
      <c r="H1064" s="165">
        <f>Graph_GenSurg!$J19</f>
        <v>517454.78235188645</v>
      </c>
      <c r="I1064" s="160">
        <f>InputData!$C$3</f>
        <v>0.02</v>
      </c>
      <c r="J1064" s="160">
        <f>InputData!$C$4</f>
        <v>0.01</v>
      </c>
      <c r="K1064" s="160">
        <f>InputData!$C$5</f>
        <v>0.01</v>
      </c>
      <c r="L1064" s="160">
        <f>InputData!$C$6</f>
        <v>6.2100000000000002E-2</v>
      </c>
      <c r="M1064" s="160">
        <f>InputData!$C$7</f>
        <v>0.03</v>
      </c>
      <c r="N1064" s="160">
        <f>InputData!$C$8</f>
        <v>0.02</v>
      </c>
      <c r="O1064" s="160">
        <f>InputData!$C$9</f>
        <v>0.06</v>
      </c>
      <c r="P1064" s="160">
        <f>InputData!$C$10</f>
        <v>0.02</v>
      </c>
      <c r="Q1064" s="160">
        <f>InputData!$C$11</f>
        <v>0.02</v>
      </c>
      <c r="R1064" s="160">
        <f>InputData!$C$12</f>
        <v>0.02</v>
      </c>
      <c r="S1064" s="160">
        <f>InputData!$C$13</f>
        <v>0.9</v>
      </c>
      <c r="T1064" s="116">
        <f>InputData!$C$88</f>
        <v>180000</v>
      </c>
      <c r="U1064" s="116">
        <f>InputData!$C$81</f>
        <v>178500</v>
      </c>
      <c r="V1064" s="116">
        <f>InputData!$C$82</f>
        <v>303960</v>
      </c>
      <c r="W1064" s="116">
        <f>InputData!$C$84</f>
        <v>215220</v>
      </c>
      <c r="X1064" s="116">
        <f>InputData!$C$85</f>
        <v>409020</v>
      </c>
      <c r="Y1064" s="116">
        <f>InputData!$C$116</f>
        <v>140000</v>
      </c>
      <c r="Z1064" s="160">
        <f>InputData!$E$13</f>
        <v>0</v>
      </c>
    </row>
    <row r="1065" spans="1:26" x14ac:dyDescent="0.25">
      <c r="A1065">
        <f>InputData!$K$1</f>
        <v>2013</v>
      </c>
      <c r="B1065" t="str">
        <f>InputData!$G$1</f>
        <v>San Antonio, TX</v>
      </c>
      <c r="C1065" t="s">
        <v>5</v>
      </c>
      <c r="D1065" t="str">
        <f>Graph_GenSurg!$J$6</f>
        <v>IBRr</v>
      </c>
      <c r="E1065" t="str">
        <f t="shared" si="16"/>
        <v>General Surgery IBRr</v>
      </c>
      <c r="F1065">
        <f>Graph_GenSurg!$A20</f>
        <v>2026</v>
      </c>
      <c r="G1065">
        <f>Graph_GenSurg!$B20</f>
        <v>14</v>
      </c>
      <c r="H1065" s="165">
        <f>Graph_GenSurg!$J20</f>
        <v>649194.21254897874</v>
      </c>
      <c r="I1065" s="160">
        <f>InputData!$C$3</f>
        <v>0.02</v>
      </c>
      <c r="J1065" s="160">
        <f>InputData!$C$4</f>
        <v>0.01</v>
      </c>
      <c r="K1065" s="160">
        <f>InputData!$C$5</f>
        <v>0.01</v>
      </c>
      <c r="L1065" s="160">
        <f>InputData!$C$6</f>
        <v>6.2100000000000002E-2</v>
      </c>
      <c r="M1065" s="160">
        <f>InputData!$C$7</f>
        <v>0.03</v>
      </c>
      <c r="N1065" s="160">
        <f>InputData!$C$8</f>
        <v>0.02</v>
      </c>
      <c r="O1065" s="160">
        <f>InputData!$C$9</f>
        <v>0.06</v>
      </c>
      <c r="P1065" s="160">
        <f>InputData!$C$10</f>
        <v>0.02</v>
      </c>
      <c r="Q1065" s="160">
        <f>InputData!$C$11</f>
        <v>0.02</v>
      </c>
      <c r="R1065" s="160">
        <f>InputData!$C$12</f>
        <v>0.02</v>
      </c>
      <c r="S1065" s="160">
        <f>InputData!$C$13</f>
        <v>0.9</v>
      </c>
      <c r="T1065" s="116">
        <f>InputData!$C$88</f>
        <v>180000</v>
      </c>
      <c r="U1065" s="116">
        <f>InputData!$C$81</f>
        <v>178500</v>
      </c>
      <c r="V1065" s="116">
        <f>InputData!$C$82</f>
        <v>303960</v>
      </c>
      <c r="W1065" s="116">
        <f>InputData!$C$84</f>
        <v>215220</v>
      </c>
      <c r="X1065" s="116">
        <f>InputData!$C$85</f>
        <v>409020</v>
      </c>
      <c r="Y1065" s="116">
        <f>InputData!$C$116</f>
        <v>140000</v>
      </c>
      <c r="Z1065" s="160">
        <f>InputData!$E$13</f>
        <v>0</v>
      </c>
    </row>
    <row r="1066" spans="1:26" x14ac:dyDescent="0.25">
      <c r="A1066">
        <f>InputData!$K$1</f>
        <v>2013</v>
      </c>
      <c r="B1066" t="str">
        <f>InputData!$G$1</f>
        <v>San Antonio, TX</v>
      </c>
      <c r="C1066" t="s">
        <v>5</v>
      </c>
      <c r="D1066" t="str">
        <f>Graph_GenSurg!$J$6</f>
        <v>IBRr</v>
      </c>
      <c r="E1066" t="str">
        <f t="shared" si="16"/>
        <v>General Surgery IBRr</v>
      </c>
      <c r="F1066">
        <f>Graph_GenSurg!$A21</f>
        <v>2027</v>
      </c>
      <c r="G1066">
        <f>Graph_GenSurg!$B21</f>
        <v>15</v>
      </c>
      <c r="H1066" s="165">
        <f>Graph_GenSurg!$J21</f>
        <v>778718.44225162338</v>
      </c>
      <c r="I1066" s="160">
        <f>InputData!$C$3</f>
        <v>0.02</v>
      </c>
      <c r="J1066" s="160">
        <f>InputData!$C$4</f>
        <v>0.01</v>
      </c>
      <c r="K1066" s="160">
        <f>InputData!$C$5</f>
        <v>0.01</v>
      </c>
      <c r="L1066" s="160">
        <f>InputData!$C$6</f>
        <v>6.2100000000000002E-2</v>
      </c>
      <c r="M1066" s="160">
        <f>InputData!$C$7</f>
        <v>0.03</v>
      </c>
      <c r="N1066" s="160">
        <f>InputData!$C$8</f>
        <v>0.02</v>
      </c>
      <c r="O1066" s="160">
        <f>InputData!$C$9</f>
        <v>0.06</v>
      </c>
      <c r="P1066" s="160">
        <f>InputData!$C$10</f>
        <v>0.02</v>
      </c>
      <c r="Q1066" s="160">
        <f>InputData!$C$11</f>
        <v>0.02</v>
      </c>
      <c r="R1066" s="160">
        <f>InputData!$C$12</f>
        <v>0.02</v>
      </c>
      <c r="S1066" s="160">
        <f>InputData!$C$13</f>
        <v>0.9</v>
      </c>
      <c r="T1066" s="116">
        <f>InputData!$C$88</f>
        <v>180000</v>
      </c>
      <c r="U1066" s="116">
        <f>InputData!$C$81</f>
        <v>178500</v>
      </c>
      <c r="V1066" s="116">
        <f>InputData!$C$82</f>
        <v>303960</v>
      </c>
      <c r="W1066" s="116">
        <f>InputData!$C$84</f>
        <v>215220</v>
      </c>
      <c r="X1066" s="116">
        <f>InputData!$C$85</f>
        <v>409020</v>
      </c>
      <c r="Y1066" s="116">
        <f>InputData!$C$116</f>
        <v>140000</v>
      </c>
      <c r="Z1066" s="160">
        <f>InputData!$E$13</f>
        <v>0</v>
      </c>
    </row>
    <row r="1067" spans="1:26" x14ac:dyDescent="0.25">
      <c r="A1067">
        <f>InputData!$K$1</f>
        <v>2013</v>
      </c>
      <c r="B1067" t="str">
        <f>InputData!$G$1</f>
        <v>San Antonio, TX</v>
      </c>
      <c r="C1067" t="s">
        <v>5</v>
      </c>
      <c r="D1067" t="str">
        <f>Graph_GenSurg!$J$6</f>
        <v>IBRr</v>
      </c>
      <c r="E1067" t="str">
        <f t="shared" si="16"/>
        <v>General Surgery IBRr</v>
      </c>
      <c r="F1067">
        <f>Graph_GenSurg!$A22</f>
        <v>2028</v>
      </c>
      <c r="G1067">
        <f>Graph_GenSurg!$B22</f>
        <v>16</v>
      </c>
      <c r="H1067" s="165">
        <f>Graph_GenSurg!$J22</f>
        <v>906051.8497416469</v>
      </c>
      <c r="I1067" s="160">
        <f>InputData!$C$3</f>
        <v>0.02</v>
      </c>
      <c r="J1067" s="160">
        <f>InputData!$C$4</f>
        <v>0.01</v>
      </c>
      <c r="K1067" s="160">
        <f>InputData!$C$5</f>
        <v>0.01</v>
      </c>
      <c r="L1067" s="160">
        <f>InputData!$C$6</f>
        <v>6.2100000000000002E-2</v>
      </c>
      <c r="M1067" s="160">
        <f>InputData!$C$7</f>
        <v>0.03</v>
      </c>
      <c r="N1067" s="160">
        <f>InputData!$C$8</f>
        <v>0.02</v>
      </c>
      <c r="O1067" s="160">
        <f>InputData!$C$9</f>
        <v>0.06</v>
      </c>
      <c r="P1067" s="160">
        <f>InputData!$C$10</f>
        <v>0.02</v>
      </c>
      <c r="Q1067" s="160">
        <f>InputData!$C$11</f>
        <v>0.02</v>
      </c>
      <c r="R1067" s="160">
        <f>InputData!$C$12</f>
        <v>0.02</v>
      </c>
      <c r="S1067" s="160">
        <f>InputData!$C$13</f>
        <v>0.9</v>
      </c>
      <c r="T1067" s="116">
        <f>InputData!$C$88</f>
        <v>180000</v>
      </c>
      <c r="U1067" s="116">
        <f>InputData!$C$81</f>
        <v>178500</v>
      </c>
      <c r="V1067" s="116">
        <f>InputData!$C$82</f>
        <v>303960</v>
      </c>
      <c r="W1067" s="116">
        <f>InputData!$C$84</f>
        <v>215220</v>
      </c>
      <c r="X1067" s="116">
        <f>InputData!$C$85</f>
        <v>409020</v>
      </c>
      <c r="Y1067" s="116">
        <f>InputData!$C$116</f>
        <v>140000</v>
      </c>
      <c r="Z1067" s="160">
        <f>InputData!$E$13</f>
        <v>0</v>
      </c>
    </row>
    <row r="1068" spans="1:26" x14ac:dyDescent="0.25">
      <c r="A1068">
        <f>InputData!$K$1</f>
        <v>2013</v>
      </c>
      <c r="B1068" t="str">
        <f>InputData!$G$1</f>
        <v>San Antonio, TX</v>
      </c>
      <c r="C1068" t="s">
        <v>5</v>
      </c>
      <c r="D1068" t="str">
        <f>Graph_GenSurg!$J$6</f>
        <v>IBRr</v>
      </c>
      <c r="E1068" t="str">
        <f t="shared" si="16"/>
        <v>General Surgery IBRr</v>
      </c>
      <c r="F1068">
        <f>Graph_GenSurg!$A23</f>
        <v>2029</v>
      </c>
      <c r="G1068">
        <f>Graph_GenSurg!$B23</f>
        <v>17</v>
      </c>
      <c r="H1068" s="165">
        <f>Graph_GenSurg!$J23</f>
        <v>1031219.2920690553</v>
      </c>
      <c r="I1068" s="160">
        <f>InputData!$C$3</f>
        <v>0.02</v>
      </c>
      <c r="J1068" s="160">
        <f>InputData!$C$4</f>
        <v>0.01</v>
      </c>
      <c r="K1068" s="160">
        <f>InputData!$C$5</f>
        <v>0.01</v>
      </c>
      <c r="L1068" s="160">
        <f>InputData!$C$6</f>
        <v>6.2100000000000002E-2</v>
      </c>
      <c r="M1068" s="160">
        <f>InputData!$C$7</f>
        <v>0.03</v>
      </c>
      <c r="N1068" s="160">
        <f>InputData!$C$8</f>
        <v>0.02</v>
      </c>
      <c r="O1068" s="160">
        <f>InputData!$C$9</f>
        <v>0.06</v>
      </c>
      <c r="P1068" s="160">
        <f>InputData!$C$10</f>
        <v>0.02</v>
      </c>
      <c r="Q1068" s="160">
        <f>InputData!$C$11</f>
        <v>0.02</v>
      </c>
      <c r="R1068" s="160">
        <f>InputData!$C$12</f>
        <v>0.02</v>
      </c>
      <c r="S1068" s="160">
        <f>InputData!$C$13</f>
        <v>0.9</v>
      </c>
      <c r="T1068" s="116">
        <f>InputData!$C$88</f>
        <v>180000</v>
      </c>
      <c r="U1068" s="116">
        <f>InputData!$C$81</f>
        <v>178500</v>
      </c>
      <c r="V1068" s="116">
        <f>InputData!$C$82</f>
        <v>303960</v>
      </c>
      <c r="W1068" s="116">
        <f>InputData!$C$84</f>
        <v>215220</v>
      </c>
      <c r="X1068" s="116">
        <f>InputData!$C$85</f>
        <v>409020</v>
      </c>
      <c r="Y1068" s="116">
        <f>InputData!$C$116</f>
        <v>140000</v>
      </c>
      <c r="Z1068" s="160">
        <f>InputData!$E$13</f>
        <v>0</v>
      </c>
    </row>
    <row r="1069" spans="1:26" x14ac:dyDescent="0.25">
      <c r="A1069">
        <f>InputData!$K$1</f>
        <v>2013</v>
      </c>
      <c r="B1069" t="str">
        <f>InputData!$G$1</f>
        <v>San Antonio, TX</v>
      </c>
      <c r="C1069" t="s">
        <v>5</v>
      </c>
      <c r="D1069" t="str">
        <f>Graph_GenSurg!$J$6</f>
        <v>IBRr</v>
      </c>
      <c r="E1069" t="str">
        <f t="shared" si="16"/>
        <v>General Surgery IBRr</v>
      </c>
      <c r="F1069">
        <f>Graph_GenSurg!$A24</f>
        <v>2030</v>
      </c>
      <c r="G1069">
        <f>Graph_GenSurg!$B24</f>
        <v>18</v>
      </c>
      <c r="H1069" s="165">
        <f>Graph_GenSurg!$J24</f>
        <v>1154246.0484494548</v>
      </c>
      <c r="I1069" s="160">
        <f>InputData!$C$3</f>
        <v>0.02</v>
      </c>
      <c r="J1069" s="160">
        <f>InputData!$C$4</f>
        <v>0.01</v>
      </c>
      <c r="K1069" s="160">
        <f>InputData!$C$5</f>
        <v>0.01</v>
      </c>
      <c r="L1069" s="160">
        <f>InputData!$C$6</f>
        <v>6.2100000000000002E-2</v>
      </c>
      <c r="M1069" s="160">
        <f>InputData!$C$7</f>
        <v>0.03</v>
      </c>
      <c r="N1069" s="160">
        <f>InputData!$C$8</f>
        <v>0.02</v>
      </c>
      <c r="O1069" s="160">
        <f>InputData!$C$9</f>
        <v>0.06</v>
      </c>
      <c r="P1069" s="160">
        <f>InputData!$C$10</f>
        <v>0.02</v>
      </c>
      <c r="Q1069" s="160">
        <f>InputData!$C$11</f>
        <v>0.02</v>
      </c>
      <c r="R1069" s="160">
        <f>InputData!$C$12</f>
        <v>0.02</v>
      </c>
      <c r="S1069" s="160">
        <f>InputData!$C$13</f>
        <v>0.9</v>
      </c>
      <c r="T1069" s="116">
        <f>InputData!$C$88</f>
        <v>180000</v>
      </c>
      <c r="U1069" s="116">
        <f>InputData!$C$81</f>
        <v>178500</v>
      </c>
      <c r="V1069" s="116">
        <f>InputData!$C$82</f>
        <v>303960</v>
      </c>
      <c r="W1069" s="116">
        <f>InputData!$C$84</f>
        <v>215220</v>
      </c>
      <c r="X1069" s="116">
        <f>InputData!$C$85</f>
        <v>409020</v>
      </c>
      <c r="Y1069" s="116">
        <f>InputData!$C$116</f>
        <v>140000</v>
      </c>
      <c r="Z1069" s="160">
        <f>InputData!$E$13</f>
        <v>0</v>
      </c>
    </row>
    <row r="1070" spans="1:26" x14ac:dyDescent="0.25">
      <c r="A1070">
        <f>InputData!$K$1</f>
        <v>2013</v>
      </c>
      <c r="B1070" t="str">
        <f>InputData!$G$1</f>
        <v>San Antonio, TX</v>
      </c>
      <c r="C1070" t="s">
        <v>5</v>
      </c>
      <c r="D1070" t="str">
        <f>Graph_GenSurg!$J$6</f>
        <v>IBRr</v>
      </c>
      <c r="E1070" t="str">
        <f t="shared" si="16"/>
        <v>General Surgery IBRr</v>
      </c>
      <c r="F1070">
        <f>Graph_GenSurg!$A25</f>
        <v>2031</v>
      </c>
      <c r="G1070">
        <f>Graph_GenSurg!$B25</f>
        <v>19</v>
      </c>
      <c r="H1070" s="165">
        <f>Graph_GenSurg!$J25</f>
        <v>1275157.7670783671</v>
      </c>
      <c r="I1070" s="160">
        <f>InputData!$C$3</f>
        <v>0.02</v>
      </c>
      <c r="J1070" s="160">
        <f>InputData!$C$4</f>
        <v>0.01</v>
      </c>
      <c r="K1070" s="160">
        <f>InputData!$C$5</f>
        <v>0.01</v>
      </c>
      <c r="L1070" s="160">
        <f>InputData!$C$6</f>
        <v>6.2100000000000002E-2</v>
      </c>
      <c r="M1070" s="160">
        <f>InputData!$C$7</f>
        <v>0.03</v>
      </c>
      <c r="N1070" s="160">
        <f>InputData!$C$8</f>
        <v>0.02</v>
      </c>
      <c r="O1070" s="160">
        <f>InputData!$C$9</f>
        <v>0.06</v>
      </c>
      <c r="P1070" s="160">
        <f>InputData!$C$10</f>
        <v>0.02</v>
      </c>
      <c r="Q1070" s="160">
        <f>InputData!$C$11</f>
        <v>0.02</v>
      </c>
      <c r="R1070" s="160">
        <f>InputData!$C$12</f>
        <v>0.02</v>
      </c>
      <c r="S1070" s="160">
        <f>InputData!$C$13</f>
        <v>0.9</v>
      </c>
      <c r="T1070" s="116">
        <f>InputData!$C$88</f>
        <v>180000</v>
      </c>
      <c r="U1070" s="116">
        <f>InputData!$C$81</f>
        <v>178500</v>
      </c>
      <c r="V1070" s="116">
        <f>InputData!$C$82</f>
        <v>303960</v>
      </c>
      <c r="W1070" s="116">
        <f>InputData!$C$84</f>
        <v>215220</v>
      </c>
      <c r="X1070" s="116">
        <f>InputData!$C$85</f>
        <v>409020</v>
      </c>
      <c r="Y1070" s="116">
        <f>InputData!$C$116</f>
        <v>140000</v>
      </c>
      <c r="Z1070" s="160">
        <f>InputData!$E$13</f>
        <v>0</v>
      </c>
    </row>
    <row r="1071" spans="1:26" x14ac:dyDescent="0.25">
      <c r="A1071">
        <f>InputData!$K$1</f>
        <v>2013</v>
      </c>
      <c r="B1071" t="str">
        <f>InputData!$G$1</f>
        <v>San Antonio, TX</v>
      </c>
      <c r="C1071" t="s">
        <v>5</v>
      </c>
      <c r="D1071" t="str">
        <f>Graph_GenSurg!$J$6</f>
        <v>IBRr</v>
      </c>
      <c r="E1071" t="str">
        <f t="shared" si="16"/>
        <v>General Surgery IBRr</v>
      </c>
      <c r="F1071">
        <f>Graph_GenSurg!$A26</f>
        <v>2032</v>
      </c>
      <c r="G1071">
        <f>Graph_GenSurg!$B26</f>
        <v>20</v>
      </c>
      <c r="H1071" s="165">
        <f>Graph_GenSurg!$J26</f>
        <v>1393980.4151833632</v>
      </c>
      <c r="I1071" s="160">
        <f>InputData!$C$3</f>
        <v>0.02</v>
      </c>
      <c r="J1071" s="160">
        <f>InputData!$C$4</f>
        <v>0.01</v>
      </c>
      <c r="K1071" s="160">
        <f>InputData!$C$5</f>
        <v>0.01</v>
      </c>
      <c r="L1071" s="160">
        <f>InputData!$C$6</f>
        <v>6.2100000000000002E-2</v>
      </c>
      <c r="M1071" s="160">
        <f>InputData!$C$7</f>
        <v>0.03</v>
      </c>
      <c r="N1071" s="160">
        <f>InputData!$C$8</f>
        <v>0.02</v>
      </c>
      <c r="O1071" s="160">
        <f>InputData!$C$9</f>
        <v>0.06</v>
      </c>
      <c r="P1071" s="160">
        <f>InputData!$C$10</f>
        <v>0.02</v>
      </c>
      <c r="Q1071" s="160">
        <f>InputData!$C$11</f>
        <v>0.02</v>
      </c>
      <c r="R1071" s="160">
        <f>InputData!$C$12</f>
        <v>0.02</v>
      </c>
      <c r="S1071" s="160">
        <f>InputData!$C$13</f>
        <v>0.9</v>
      </c>
      <c r="T1071" s="116">
        <f>InputData!$C$88</f>
        <v>180000</v>
      </c>
      <c r="U1071" s="116">
        <f>InputData!$C$81</f>
        <v>178500</v>
      </c>
      <c r="V1071" s="116">
        <f>InputData!$C$82</f>
        <v>303960</v>
      </c>
      <c r="W1071" s="116">
        <f>InputData!$C$84</f>
        <v>215220</v>
      </c>
      <c r="X1071" s="116">
        <f>InputData!$C$85</f>
        <v>409020</v>
      </c>
      <c r="Y1071" s="116">
        <f>InputData!$C$116</f>
        <v>140000</v>
      </c>
      <c r="Z1071" s="160">
        <f>InputData!$E$13</f>
        <v>0</v>
      </c>
    </row>
    <row r="1072" spans="1:26" x14ac:dyDescent="0.25">
      <c r="A1072">
        <f>InputData!$K$1</f>
        <v>2013</v>
      </c>
      <c r="B1072" t="str">
        <f>InputData!$G$1</f>
        <v>San Antonio, TX</v>
      </c>
      <c r="C1072" t="s">
        <v>5</v>
      </c>
      <c r="D1072" t="str">
        <f>Graph_GenSurg!$J$6</f>
        <v>IBRr</v>
      </c>
      <c r="E1072" t="str">
        <f t="shared" si="16"/>
        <v>General Surgery IBRr</v>
      </c>
      <c r="F1072">
        <f>Graph_GenSurg!$A27</f>
        <v>2033</v>
      </c>
      <c r="G1072">
        <f>Graph_GenSurg!$B27</f>
        <v>21</v>
      </c>
      <c r="H1072" s="165">
        <f>Graph_GenSurg!$J27</f>
        <v>1511666.8375603079</v>
      </c>
      <c r="I1072" s="160">
        <f>InputData!$C$3</f>
        <v>0.02</v>
      </c>
      <c r="J1072" s="160">
        <f>InputData!$C$4</f>
        <v>0.01</v>
      </c>
      <c r="K1072" s="160">
        <f>InputData!$C$5</f>
        <v>0.01</v>
      </c>
      <c r="L1072" s="160">
        <f>InputData!$C$6</f>
        <v>6.2100000000000002E-2</v>
      </c>
      <c r="M1072" s="160">
        <f>InputData!$C$7</f>
        <v>0.03</v>
      </c>
      <c r="N1072" s="160">
        <f>InputData!$C$8</f>
        <v>0.02</v>
      </c>
      <c r="O1072" s="160">
        <f>InputData!$C$9</f>
        <v>0.06</v>
      </c>
      <c r="P1072" s="160">
        <f>InputData!$C$10</f>
        <v>0.02</v>
      </c>
      <c r="Q1072" s="160">
        <f>InputData!$C$11</f>
        <v>0.02</v>
      </c>
      <c r="R1072" s="160">
        <f>InputData!$C$12</f>
        <v>0.02</v>
      </c>
      <c r="S1072" s="160">
        <f>InputData!$C$13</f>
        <v>0.9</v>
      </c>
      <c r="T1072" s="116">
        <f>InputData!$C$88</f>
        <v>180000</v>
      </c>
      <c r="U1072" s="116">
        <f>InputData!$C$81</f>
        <v>178500</v>
      </c>
      <c r="V1072" s="116">
        <f>InputData!$C$82</f>
        <v>303960</v>
      </c>
      <c r="W1072" s="116">
        <f>InputData!$C$84</f>
        <v>215220</v>
      </c>
      <c r="X1072" s="116">
        <f>InputData!$C$85</f>
        <v>409020</v>
      </c>
      <c r="Y1072" s="116">
        <f>InputData!$C$116</f>
        <v>140000</v>
      </c>
      <c r="Z1072" s="160">
        <f>InputData!$E$13</f>
        <v>0</v>
      </c>
    </row>
    <row r="1073" spans="1:26" x14ac:dyDescent="0.25">
      <c r="A1073">
        <f>InputData!$K$1</f>
        <v>2013</v>
      </c>
      <c r="B1073" t="str">
        <f>InputData!$G$1</f>
        <v>San Antonio, TX</v>
      </c>
      <c r="C1073" t="s">
        <v>5</v>
      </c>
      <c r="D1073" t="str">
        <f>Graph_GenSurg!$J$6</f>
        <v>IBRr</v>
      </c>
      <c r="E1073" t="str">
        <f t="shared" si="16"/>
        <v>General Surgery IBRr</v>
      </c>
      <c r="F1073">
        <f>Graph_GenSurg!$A28</f>
        <v>2034</v>
      </c>
      <c r="G1073">
        <f>Graph_GenSurg!$B28</f>
        <v>22</v>
      </c>
      <c r="H1073" s="165">
        <f>Graph_GenSurg!$J28</f>
        <v>1636728.1140346231</v>
      </c>
      <c r="I1073" s="160">
        <f>InputData!$C$3</f>
        <v>0.02</v>
      </c>
      <c r="J1073" s="160">
        <f>InputData!$C$4</f>
        <v>0.01</v>
      </c>
      <c r="K1073" s="160">
        <f>InputData!$C$5</f>
        <v>0.01</v>
      </c>
      <c r="L1073" s="160">
        <f>InputData!$C$6</f>
        <v>6.2100000000000002E-2</v>
      </c>
      <c r="M1073" s="160">
        <f>InputData!$C$7</f>
        <v>0.03</v>
      </c>
      <c r="N1073" s="160">
        <f>InputData!$C$8</f>
        <v>0.02</v>
      </c>
      <c r="O1073" s="160">
        <f>InputData!$C$9</f>
        <v>0.06</v>
      </c>
      <c r="P1073" s="160">
        <f>InputData!$C$10</f>
        <v>0.02</v>
      </c>
      <c r="Q1073" s="160">
        <f>InputData!$C$11</f>
        <v>0.02</v>
      </c>
      <c r="R1073" s="160">
        <f>InputData!$C$12</f>
        <v>0.02</v>
      </c>
      <c r="S1073" s="160">
        <f>InputData!$C$13</f>
        <v>0.9</v>
      </c>
      <c r="T1073" s="116">
        <f>InputData!$C$88</f>
        <v>180000</v>
      </c>
      <c r="U1073" s="116">
        <f>InputData!$C$81</f>
        <v>178500</v>
      </c>
      <c r="V1073" s="116">
        <f>InputData!$C$82</f>
        <v>303960</v>
      </c>
      <c r="W1073" s="116">
        <f>InputData!$C$84</f>
        <v>215220</v>
      </c>
      <c r="X1073" s="116">
        <f>InputData!$C$85</f>
        <v>409020</v>
      </c>
      <c r="Y1073" s="116">
        <f>InputData!$C$116</f>
        <v>140000</v>
      </c>
      <c r="Z1073" s="160">
        <f>InputData!$E$13</f>
        <v>0</v>
      </c>
    </row>
    <row r="1074" spans="1:26" x14ac:dyDescent="0.25">
      <c r="A1074">
        <f>InputData!$K$1</f>
        <v>2013</v>
      </c>
      <c r="B1074" t="str">
        <f>InputData!$G$1</f>
        <v>San Antonio, TX</v>
      </c>
      <c r="C1074" t="s">
        <v>5</v>
      </c>
      <c r="D1074" t="str">
        <f>Graph_GenSurg!$J$6</f>
        <v>IBRr</v>
      </c>
      <c r="E1074" t="str">
        <f t="shared" si="16"/>
        <v>General Surgery IBRr</v>
      </c>
      <c r="F1074">
        <f>Graph_GenSurg!$A29</f>
        <v>2035</v>
      </c>
      <c r="G1074">
        <f>Graph_GenSurg!$B29</f>
        <v>23</v>
      </c>
      <c r="H1074" s="165">
        <f>Graph_GenSurg!$J29</f>
        <v>1759281.7813312244</v>
      </c>
      <c r="I1074" s="160">
        <f>InputData!$C$3</f>
        <v>0.02</v>
      </c>
      <c r="J1074" s="160">
        <f>InputData!$C$4</f>
        <v>0.01</v>
      </c>
      <c r="K1074" s="160">
        <f>InputData!$C$5</f>
        <v>0.01</v>
      </c>
      <c r="L1074" s="160">
        <f>InputData!$C$6</f>
        <v>6.2100000000000002E-2</v>
      </c>
      <c r="M1074" s="160">
        <f>InputData!$C$7</f>
        <v>0.03</v>
      </c>
      <c r="N1074" s="160">
        <f>InputData!$C$8</f>
        <v>0.02</v>
      </c>
      <c r="O1074" s="160">
        <f>InputData!$C$9</f>
        <v>0.06</v>
      </c>
      <c r="P1074" s="160">
        <f>InputData!$C$10</f>
        <v>0.02</v>
      </c>
      <c r="Q1074" s="160">
        <f>InputData!$C$11</f>
        <v>0.02</v>
      </c>
      <c r="R1074" s="160">
        <f>InputData!$C$12</f>
        <v>0.02</v>
      </c>
      <c r="S1074" s="160">
        <f>InputData!$C$13</f>
        <v>0.9</v>
      </c>
      <c r="T1074" s="116">
        <f>InputData!$C$88</f>
        <v>180000</v>
      </c>
      <c r="U1074" s="116">
        <f>InputData!$C$81</f>
        <v>178500</v>
      </c>
      <c r="V1074" s="116">
        <f>InputData!$C$82</f>
        <v>303960</v>
      </c>
      <c r="W1074" s="116">
        <f>InputData!$C$84</f>
        <v>215220</v>
      </c>
      <c r="X1074" s="116">
        <f>InputData!$C$85</f>
        <v>409020</v>
      </c>
      <c r="Y1074" s="116">
        <f>InputData!$C$116</f>
        <v>140000</v>
      </c>
      <c r="Z1074" s="160">
        <f>InputData!$E$13</f>
        <v>0</v>
      </c>
    </row>
    <row r="1075" spans="1:26" x14ac:dyDescent="0.25">
      <c r="A1075">
        <f>InputData!$K$1</f>
        <v>2013</v>
      </c>
      <c r="B1075" t="str">
        <f>InputData!$G$1</f>
        <v>San Antonio, TX</v>
      </c>
      <c r="C1075" t="s">
        <v>5</v>
      </c>
      <c r="D1075" t="str">
        <f>Graph_GenSurg!$J$6</f>
        <v>IBRr</v>
      </c>
      <c r="E1075" t="str">
        <f t="shared" si="16"/>
        <v>General Surgery IBRr</v>
      </c>
      <c r="F1075">
        <f>Graph_GenSurg!$A30</f>
        <v>2036</v>
      </c>
      <c r="G1075">
        <f>Graph_GenSurg!$B30</f>
        <v>24</v>
      </c>
      <c r="H1075" s="165">
        <f>Graph_GenSurg!$J30</f>
        <v>1879378.6226444906</v>
      </c>
      <c r="I1075" s="160">
        <f>InputData!$C$3</f>
        <v>0.02</v>
      </c>
      <c r="J1075" s="160">
        <f>InputData!$C$4</f>
        <v>0.01</v>
      </c>
      <c r="K1075" s="160">
        <f>InputData!$C$5</f>
        <v>0.01</v>
      </c>
      <c r="L1075" s="160">
        <f>InputData!$C$6</f>
        <v>6.2100000000000002E-2</v>
      </c>
      <c r="M1075" s="160">
        <f>InputData!$C$7</f>
        <v>0.03</v>
      </c>
      <c r="N1075" s="160">
        <f>InputData!$C$8</f>
        <v>0.02</v>
      </c>
      <c r="O1075" s="160">
        <f>InputData!$C$9</f>
        <v>0.06</v>
      </c>
      <c r="P1075" s="160">
        <f>InputData!$C$10</f>
        <v>0.02</v>
      </c>
      <c r="Q1075" s="160">
        <f>InputData!$C$11</f>
        <v>0.02</v>
      </c>
      <c r="R1075" s="160">
        <f>InputData!$C$12</f>
        <v>0.02</v>
      </c>
      <c r="S1075" s="160">
        <f>InputData!$C$13</f>
        <v>0.9</v>
      </c>
      <c r="T1075" s="116">
        <f>InputData!$C$88</f>
        <v>180000</v>
      </c>
      <c r="U1075" s="116">
        <f>InputData!$C$81</f>
        <v>178500</v>
      </c>
      <c r="V1075" s="116">
        <f>InputData!$C$82</f>
        <v>303960</v>
      </c>
      <c r="W1075" s="116">
        <f>InputData!$C$84</f>
        <v>215220</v>
      </c>
      <c r="X1075" s="116">
        <f>InputData!$C$85</f>
        <v>409020</v>
      </c>
      <c r="Y1075" s="116">
        <f>InputData!$C$116</f>
        <v>140000</v>
      </c>
      <c r="Z1075" s="160">
        <f>InputData!$E$13</f>
        <v>0</v>
      </c>
    </row>
    <row r="1076" spans="1:26" x14ac:dyDescent="0.25">
      <c r="A1076">
        <f>InputData!$K$1</f>
        <v>2013</v>
      </c>
      <c r="B1076" t="str">
        <f>InputData!$G$1</f>
        <v>San Antonio, TX</v>
      </c>
      <c r="C1076" t="s">
        <v>5</v>
      </c>
      <c r="D1076" t="str">
        <f>Graph_GenSurg!$J$6</f>
        <v>IBRr</v>
      </c>
      <c r="E1076" t="str">
        <f t="shared" si="16"/>
        <v>General Surgery IBRr</v>
      </c>
      <c r="F1076">
        <f>Graph_GenSurg!$A31</f>
        <v>2037</v>
      </c>
      <c r="G1076">
        <f>Graph_GenSurg!$B31</f>
        <v>25</v>
      </c>
      <c r="H1076" s="165">
        <f>Graph_GenSurg!$J31</f>
        <v>1997068.3783989113</v>
      </c>
      <c r="I1076" s="160">
        <f>InputData!$C$3</f>
        <v>0.02</v>
      </c>
      <c r="J1076" s="160">
        <f>InputData!$C$4</f>
        <v>0.01</v>
      </c>
      <c r="K1076" s="160">
        <f>InputData!$C$5</f>
        <v>0.01</v>
      </c>
      <c r="L1076" s="160">
        <f>InputData!$C$6</f>
        <v>6.2100000000000002E-2</v>
      </c>
      <c r="M1076" s="160">
        <f>InputData!$C$7</f>
        <v>0.03</v>
      </c>
      <c r="N1076" s="160">
        <f>InputData!$C$8</f>
        <v>0.02</v>
      </c>
      <c r="O1076" s="160">
        <f>InputData!$C$9</f>
        <v>0.06</v>
      </c>
      <c r="P1076" s="160">
        <f>InputData!$C$10</f>
        <v>0.02</v>
      </c>
      <c r="Q1076" s="160">
        <f>InputData!$C$11</f>
        <v>0.02</v>
      </c>
      <c r="R1076" s="160">
        <f>InputData!$C$12</f>
        <v>0.02</v>
      </c>
      <c r="S1076" s="160">
        <f>InputData!$C$13</f>
        <v>0.9</v>
      </c>
      <c r="T1076" s="116">
        <f>InputData!$C$88</f>
        <v>180000</v>
      </c>
      <c r="U1076" s="116">
        <f>InputData!$C$81</f>
        <v>178500</v>
      </c>
      <c r="V1076" s="116">
        <f>InputData!$C$82</f>
        <v>303960</v>
      </c>
      <c r="W1076" s="116">
        <f>InputData!$C$84</f>
        <v>215220</v>
      </c>
      <c r="X1076" s="116">
        <f>InputData!$C$85</f>
        <v>409020</v>
      </c>
      <c r="Y1076" s="116">
        <f>InputData!$C$116</f>
        <v>140000</v>
      </c>
      <c r="Z1076" s="160">
        <f>InputData!$E$13</f>
        <v>0</v>
      </c>
    </row>
    <row r="1077" spans="1:26" x14ac:dyDescent="0.25">
      <c r="A1077">
        <f>InputData!$K$1</f>
        <v>2013</v>
      </c>
      <c r="B1077" t="str">
        <f>InputData!$G$1</f>
        <v>San Antonio, TX</v>
      </c>
      <c r="C1077" t="s">
        <v>5</v>
      </c>
      <c r="D1077" t="str">
        <f>Graph_GenSurg!$J$6</f>
        <v>IBRr</v>
      </c>
      <c r="E1077" t="str">
        <f t="shared" si="16"/>
        <v>General Surgery IBRr</v>
      </c>
      <c r="F1077">
        <f>Graph_GenSurg!$A32</f>
        <v>2038</v>
      </c>
      <c r="G1077">
        <f>Graph_GenSurg!$B32</f>
        <v>26</v>
      </c>
      <c r="H1077" s="165">
        <f>Graph_GenSurg!$J32</f>
        <v>2112399.7680650987</v>
      </c>
      <c r="I1077" s="160">
        <f>InputData!$C$3</f>
        <v>0.02</v>
      </c>
      <c r="J1077" s="160">
        <f>InputData!$C$4</f>
        <v>0.01</v>
      </c>
      <c r="K1077" s="160">
        <f>InputData!$C$5</f>
        <v>0.01</v>
      </c>
      <c r="L1077" s="160">
        <f>InputData!$C$6</f>
        <v>6.2100000000000002E-2</v>
      </c>
      <c r="M1077" s="160">
        <f>InputData!$C$7</f>
        <v>0.03</v>
      </c>
      <c r="N1077" s="160">
        <f>InputData!$C$8</f>
        <v>0.02</v>
      </c>
      <c r="O1077" s="160">
        <f>InputData!$C$9</f>
        <v>0.06</v>
      </c>
      <c r="P1077" s="160">
        <f>InputData!$C$10</f>
        <v>0.02</v>
      </c>
      <c r="Q1077" s="160">
        <f>InputData!$C$11</f>
        <v>0.02</v>
      </c>
      <c r="R1077" s="160">
        <f>InputData!$C$12</f>
        <v>0.02</v>
      </c>
      <c r="S1077" s="160">
        <f>InputData!$C$13</f>
        <v>0.9</v>
      </c>
      <c r="T1077" s="116">
        <f>InputData!$C$88</f>
        <v>180000</v>
      </c>
      <c r="U1077" s="116">
        <f>InputData!$C$81</f>
        <v>178500</v>
      </c>
      <c r="V1077" s="116">
        <f>InputData!$C$82</f>
        <v>303960</v>
      </c>
      <c r="W1077" s="116">
        <f>InputData!$C$84</f>
        <v>215220</v>
      </c>
      <c r="X1077" s="116">
        <f>InputData!$C$85</f>
        <v>409020</v>
      </c>
      <c r="Y1077" s="116">
        <f>InputData!$C$116</f>
        <v>140000</v>
      </c>
      <c r="Z1077" s="160">
        <f>InputData!$E$13</f>
        <v>0</v>
      </c>
    </row>
    <row r="1078" spans="1:26" x14ac:dyDescent="0.25">
      <c r="A1078">
        <f>InputData!$K$1</f>
        <v>2013</v>
      </c>
      <c r="B1078" t="str">
        <f>InputData!$G$1</f>
        <v>San Antonio, TX</v>
      </c>
      <c r="C1078" t="s">
        <v>5</v>
      </c>
      <c r="D1078" t="str">
        <f>Graph_GenSurg!$J$6</f>
        <v>IBRr</v>
      </c>
      <c r="E1078" t="str">
        <f t="shared" si="16"/>
        <v>General Surgery IBRr</v>
      </c>
      <c r="F1078">
        <f>Graph_GenSurg!$A33</f>
        <v>2039</v>
      </c>
      <c r="G1078">
        <f>Graph_GenSurg!$B33</f>
        <v>27</v>
      </c>
      <c r="H1078" s="165">
        <f>Graph_GenSurg!$J33</f>
        <v>2225420.5115081435</v>
      </c>
      <c r="I1078" s="160">
        <f>InputData!$C$3</f>
        <v>0.02</v>
      </c>
      <c r="J1078" s="160">
        <f>InputData!$C$4</f>
        <v>0.01</v>
      </c>
      <c r="K1078" s="160">
        <f>InputData!$C$5</f>
        <v>0.01</v>
      </c>
      <c r="L1078" s="160">
        <f>InputData!$C$6</f>
        <v>6.2100000000000002E-2</v>
      </c>
      <c r="M1078" s="160">
        <f>InputData!$C$7</f>
        <v>0.03</v>
      </c>
      <c r="N1078" s="160">
        <f>InputData!$C$8</f>
        <v>0.02</v>
      </c>
      <c r="O1078" s="160">
        <f>InputData!$C$9</f>
        <v>0.06</v>
      </c>
      <c r="P1078" s="160">
        <f>InputData!$C$10</f>
        <v>0.02</v>
      </c>
      <c r="Q1078" s="160">
        <f>InputData!$C$11</f>
        <v>0.02</v>
      </c>
      <c r="R1078" s="160">
        <f>InputData!$C$12</f>
        <v>0.02</v>
      </c>
      <c r="S1078" s="160">
        <f>InputData!$C$13</f>
        <v>0.9</v>
      </c>
      <c r="T1078" s="116">
        <f>InputData!$C$88</f>
        <v>180000</v>
      </c>
      <c r="U1078" s="116">
        <f>InputData!$C$81</f>
        <v>178500</v>
      </c>
      <c r="V1078" s="116">
        <f>InputData!$C$82</f>
        <v>303960</v>
      </c>
      <c r="W1078" s="116">
        <f>InputData!$C$84</f>
        <v>215220</v>
      </c>
      <c r="X1078" s="116">
        <f>InputData!$C$85</f>
        <v>409020</v>
      </c>
      <c r="Y1078" s="116">
        <f>InputData!$C$116</f>
        <v>140000</v>
      </c>
      <c r="Z1078" s="160">
        <f>InputData!$E$13</f>
        <v>0</v>
      </c>
    </row>
    <row r="1079" spans="1:26" x14ac:dyDescent="0.25">
      <c r="A1079">
        <f>InputData!$K$1</f>
        <v>2013</v>
      </c>
      <c r="B1079" t="str">
        <f>InputData!$G$1</f>
        <v>San Antonio, TX</v>
      </c>
      <c r="C1079" t="s">
        <v>5</v>
      </c>
      <c r="D1079" t="str">
        <f>Graph_GenSurg!$J$6</f>
        <v>IBRr</v>
      </c>
      <c r="E1079" t="str">
        <f t="shared" si="16"/>
        <v>General Surgery IBRr</v>
      </c>
      <c r="F1079">
        <f>Graph_GenSurg!$A34</f>
        <v>2040</v>
      </c>
      <c r="G1079">
        <f>Graph_GenSurg!$B34</f>
        <v>28</v>
      </c>
      <c r="H1079" s="165">
        <f>Graph_GenSurg!$J34</f>
        <v>2336177.3498786511</v>
      </c>
      <c r="I1079" s="160">
        <f>InputData!$C$3</f>
        <v>0.02</v>
      </c>
      <c r="J1079" s="160">
        <f>InputData!$C$4</f>
        <v>0.01</v>
      </c>
      <c r="K1079" s="160">
        <f>InputData!$C$5</f>
        <v>0.01</v>
      </c>
      <c r="L1079" s="160">
        <f>InputData!$C$6</f>
        <v>6.2100000000000002E-2</v>
      </c>
      <c r="M1079" s="160">
        <f>InputData!$C$7</f>
        <v>0.03</v>
      </c>
      <c r="N1079" s="160">
        <f>InputData!$C$8</f>
        <v>0.02</v>
      </c>
      <c r="O1079" s="160">
        <f>InputData!$C$9</f>
        <v>0.06</v>
      </c>
      <c r="P1079" s="160">
        <f>InputData!$C$10</f>
        <v>0.02</v>
      </c>
      <c r="Q1079" s="160">
        <f>InputData!$C$11</f>
        <v>0.02</v>
      </c>
      <c r="R1079" s="160">
        <f>InputData!$C$12</f>
        <v>0.02</v>
      </c>
      <c r="S1079" s="160">
        <f>InputData!$C$13</f>
        <v>0.9</v>
      </c>
      <c r="T1079" s="116">
        <f>InputData!$C$88</f>
        <v>180000</v>
      </c>
      <c r="U1079" s="116">
        <f>InputData!$C$81</f>
        <v>178500</v>
      </c>
      <c r="V1079" s="116">
        <f>InputData!$C$82</f>
        <v>303960</v>
      </c>
      <c r="W1079" s="116">
        <f>InputData!$C$84</f>
        <v>215220</v>
      </c>
      <c r="X1079" s="116">
        <f>InputData!$C$85</f>
        <v>409020</v>
      </c>
      <c r="Y1079" s="116">
        <f>InputData!$C$116</f>
        <v>140000</v>
      </c>
      <c r="Z1079" s="160">
        <f>InputData!$E$13</f>
        <v>0</v>
      </c>
    </row>
    <row r="1080" spans="1:26" x14ac:dyDescent="0.25">
      <c r="A1080">
        <f>InputData!$K$1</f>
        <v>2013</v>
      </c>
      <c r="B1080" t="str">
        <f>InputData!$G$1</f>
        <v>San Antonio, TX</v>
      </c>
      <c r="C1080" t="s">
        <v>5</v>
      </c>
      <c r="D1080" t="str">
        <f>Graph_GenSurg!$J$6</f>
        <v>IBRr</v>
      </c>
      <c r="E1080" t="str">
        <f t="shared" si="16"/>
        <v>General Surgery IBRr</v>
      </c>
      <c r="F1080">
        <f>Graph_GenSurg!$A35</f>
        <v>2041</v>
      </c>
      <c r="G1080">
        <f>Graph_GenSurg!$B35</f>
        <v>29</v>
      </c>
      <c r="H1080" s="165">
        <f>Graph_GenSurg!$J35</f>
        <v>2444716.0660565449</v>
      </c>
      <c r="I1080" s="160">
        <f>InputData!$C$3</f>
        <v>0.02</v>
      </c>
      <c r="J1080" s="160">
        <f>InputData!$C$4</f>
        <v>0.01</v>
      </c>
      <c r="K1080" s="160">
        <f>InputData!$C$5</f>
        <v>0.01</v>
      </c>
      <c r="L1080" s="160">
        <f>InputData!$C$6</f>
        <v>6.2100000000000002E-2</v>
      </c>
      <c r="M1080" s="160">
        <f>InputData!$C$7</f>
        <v>0.03</v>
      </c>
      <c r="N1080" s="160">
        <f>InputData!$C$8</f>
        <v>0.02</v>
      </c>
      <c r="O1080" s="160">
        <f>InputData!$C$9</f>
        <v>0.06</v>
      </c>
      <c r="P1080" s="160">
        <f>InputData!$C$10</f>
        <v>0.02</v>
      </c>
      <c r="Q1080" s="160">
        <f>InputData!$C$11</f>
        <v>0.02</v>
      </c>
      <c r="R1080" s="160">
        <f>InputData!$C$12</f>
        <v>0.02</v>
      </c>
      <c r="S1080" s="160">
        <f>InputData!$C$13</f>
        <v>0.9</v>
      </c>
      <c r="T1080" s="116">
        <f>InputData!$C$88</f>
        <v>180000</v>
      </c>
      <c r="U1080" s="116">
        <f>InputData!$C$81</f>
        <v>178500</v>
      </c>
      <c r="V1080" s="116">
        <f>InputData!$C$82</f>
        <v>303960</v>
      </c>
      <c r="W1080" s="116">
        <f>InputData!$C$84</f>
        <v>215220</v>
      </c>
      <c r="X1080" s="116">
        <f>InputData!$C$85</f>
        <v>409020</v>
      </c>
      <c r="Y1080" s="116">
        <f>InputData!$C$116</f>
        <v>140000</v>
      </c>
      <c r="Z1080" s="160">
        <f>InputData!$E$13</f>
        <v>0</v>
      </c>
    </row>
    <row r="1081" spans="1:26" x14ac:dyDescent="0.25">
      <c r="A1081">
        <f>InputData!$K$1</f>
        <v>2013</v>
      </c>
      <c r="B1081" t="str">
        <f>InputData!$G$1</f>
        <v>San Antonio, TX</v>
      </c>
      <c r="C1081" t="s">
        <v>5</v>
      </c>
      <c r="D1081" t="str">
        <f>Graph_GenSurg!$J$6</f>
        <v>IBRr</v>
      </c>
      <c r="E1081" t="str">
        <f t="shared" si="16"/>
        <v>General Surgery IBRr</v>
      </c>
      <c r="F1081">
        <f>Graph_GenSurg!$A36</f>
        <v>2042</v>
      </c>
      <c r="G1081">
        <f>Graph_GenSurg!$B36</f>
        <v>30</v>
      </c>
      <c r="H1081" s="165">
        <f>Graph_GenSurg!$J36</f>
        <v>2551081.5046575107</v>
      </c>
      <c r="I1081" s="160">
        <f>InputData!$C$3</f>
        <v>0.02</v>
      </c>
      <c r="J1081" s="160">
        <f>InputData!$C$4</f>
        <v>0.01</v>
      </c>
      <c r="K1081" s="160">
        <f>InputData!$C$5</f>
        <v>0.01</v>
      </c>
      <c r="L1081" s="160">
        <f>InputData!$C$6</f>
        <v>6.2100000000000002E-2</v>
      </c>
      <c r="M1081" s="160">
        <f>InputData!$C$7</f>
        <v>0.03</v>
      </c>
      <c r="N1081" s="160">
        <f>InputData!$C$8</f>
        <v>0.02</v>
      </c>
      <c r="O1081" s="160">
        <f>InputData!$C$9</f>
        <v>0.06</v>
      </c>
      <c r="P1081" s="160">
        <f>InputData!$C$10</f>
        <v>0.02</v>
      </c>
      <c r="Q1081" s="160">
        <f>InputData!$C$11</f>
        <v>0.02</v>
      </c>
      <c r="R1081" s="160">
        <f>InputData!$C$12</f>
        <v>0.02</v>
      </c>
      <c r="S1081" s="160">
        <f>InputData!$C$13</f>
        <v>0.9</v>
      </c>
      <c r="T1081" s="116">
        <f>InputData!$C$88</f>
        <v>180000</v>
      </c>
      <c r="U1081" s="116">
        <f>InputData!$C$81</f>
        <v>178500</v>
      </c>
      <c r="V1081" s="116">
        <f>InputData!$C$82</f>
        <v>303960</v>
      </c>
      <c r="W1081" s="116">
        <f>InputData!$C$84</f>
        <v>215220</v>
      </c>
      <c r="X1081" s="116">
        <f>InputData!$C$85</f>
        <v>409020</v>
      </c>
      <c r="Y1081" s="116">
        <f>InputData!$C$116</f>
        <v>140000</v>
      </c>
      <c r="Z1081" s="160">
        <f>InputData!$E$13</f>
        <v>0</v>
      </c>
    </row>
    <row r="1082" spans="1:26" x14ac:dyDescent="0.25">
      <c r="A1082">
        <f>InputData!$K$1</f>
        <v>2013</v>
      </c>
      <c r="B1082" t="str">
        <f>InputData!$G$1</f>
        <v>San Antonio, TX</v>
      </c>
      <c r="C1082" t="s">
        <v>5</v>
      </c>
      <c r="D1082" t="str">
        <f>Graph_GenSurg!$K$6</f>
        <v>PAYEr</v>
      </c>
      <c r="E1082" t="str">
        <f t="shared" si="16"/>
        <v>General Surgery PAYEr</v>
      </c>
      <c r="F1082">
        <f>Graph_GenSurg!$A7</f>
        <v>2013</v>
      </c>
      <c r="G1082">
        <f>Graph_GenSurg!$B7</f>
        <v>1</v>
      </c>
      <c r="H1082" s="165">
        <f>Graph_GenSurg!$K7</f>
        <v>-43015.05</v>
      </c>
      <c r="I1082" s="160">
        <f>InputData!$C$3</f>
        <v>0.02</v>
      </c>
      <c r="J1082" s="160">
        <f>InputData!$C$4</f>
        <v>0.01</v>
      </c>
      <c r="K1082" s="160">
        <f>InputData!$C$5</f>
        <v>0.01</v>
      </c>
      <c r="L1082" s="160">
        <f>InputData!$C$6</f>
        <v>6.2100000000000002E-2</v>
      </c>
      <c r="M1082" s="160">
        <f>InputData!$C$7</f>
        <v>0.03</v>
      </c>
      <c r="N1082" s="160">
        <f>InputData!$C$8</f>
        <v>0.02</v>
      </c>
      <c r="O1082" s="160">
        <f>InputData!$C$9</f>
        <v>0.06</v>
      </c>
      <c r="P1082" s="160">
        <f>InputData!$C$10</f>
        <v>0.02</v>
      </c>
      <c r="Q1082" s="160">
        <f>InputData!$C$11</f>
        <v>0.02</v>
      </c>
      <c r="R1082" s="160">
        <f>InputData!$C$12</f>
        <v>0.02</v>
      </c>
      <c r="S1082" s="160">
        <f>InputData!$C$13</f>
        <v>0.9</v>
      </c>
      <c r="T1082" s="116">
        <f>InputData!$C$88</f>
        <v>180000</v>
      </c>
      <c r="U1082" s="116">
        <f>InputData!$C$81</f>
        <v>178500</v>
      </c>
      <c r="V1082" s="116">
        <f>InputData!$C$82</f>
        <v>303960</v>
      </c>
      <c r="W1082" s="116">
        <f>InputData!$C$84</f>
        <v>215220</v>
      </c>
      <c r="X1082" s="116">
        <f>InputData!$C$85</f>
        <v>409020</v>
      </c>
      <c r="Y1082" s="116">
        <f>InputData!$C$116</f>
        <v>140000</v>
      </c>
      <c r="Z1082" s="160">
        <f>InputData!$E$13</f>
        <v>0</v>
      </c>
    </row>
    <row r="1083" spans="1:26" x14ac:dyDescent="0.25">
      <c r="A1083">
        <f>InputData!$K$1</f>
        <v>2013</v>
      </c>
      <c r="B1083" t="str">
        <f>InputData!$G$1</f>
        <v>San Antonio, TX</v>
      </c>
      <c r="C1083" t="s">
        <v>5</v>
      </c>
      <c r="D1083" t="str">
        <f>Graph_GenSurg!$K$6</f>
        <v>PAYEr</v>
      </c>
      <c r="E1083" t="str">
        <f t="shared" si="16"/>
        <v>General Surgery PAYEr</v>
      </c>
      <c r="F1083">
        <f>Graph_GenSurg!$A8</f>
        <v>2014</v>
      </c>
      <c r="G1083">
        <f>Graph_GenSurg!$B8</f>
        <v>2</v>
      </c>
      <c r="H1083" s="165">
        <f>Graph_GenSurg!$K8</f>
        <v>-86352.285865219877</v>
      </c>
      <c r="I1083" s="160">
        <f>InputData!$C$3</f>
        <v>0.02</v>
      </c>
      <c r="J1083" s="160">
        <f>InputData!$C$4</f>
        <v>0.01</v>
      </c>
      <c r="K1083" s="160">
        <f>InputData!$C$5</f>
        <v>0.01</v>
      </c>
      <c r="L1083" s="160">
        <f>InputData!$C$6</f>
        <v>6.2100000000000002E-2</v>
      </c>
      <c r="M1083" s="160">
        <f>InputData!$C$7</f>
        <v>0.03</v>
      </c>
      <c r="N1083" s="160">
        <f>InputData!$C$8</f>
        <v>0.02</v>
      </c>
      <c r="O1083" s="160">
        <f>InputData!$C$9</f>
        <v>0.06</v>
      </c>
      <c r="P1083" s="160">
        <f>InputData!$C$10</f>
        <v>0.02</v>
      </c>
      <c r="Q1083" s="160">
        <f>InputData!$C$11</f>
        <v>0.02</v>
      </c>
      <c r="R1083" s="160">
        <f>InputData!$C$12</f>
        <v>0.02</v>
      </c>
      <c r="S1083" s="160">
        <f>InputData!$C$13</f>
        <v>0.9</v>
      </c>
      <c r="T1083" s="116">
        <f>InputData!$C$88</f>
        <v>180000</v>
      </c>
      <c r="U1083" s="116">
        <f>InputData!$C$81</f>
        <v>178500</v>
      </c>
      <c r="V1083" s="116">
        <f>InputData!$C$82</f>
        <v>303960</v>
      </c>
      <c r="W1083" s="116">
        <f>InputData!$C$84</f>
        <v>215220</v>
      </c>
      <c r="X1083" s="116">
        <f>InputData!$C$85</f>
        <v>409020</v>
      </c>
      <c r="Y1083" s="116">
        <f>InputData!$C$116</f>
        <v>140000</v>
      </c>
      <c r="Z1083" s="160">
        <f>InputData!$E$13</f>
        <v>0</v>
      </c>
    </row>
    <row r="1084" spans="1:26" x14ac:dyDescent="0.25">
      <c r="A1084">
        <f>InputData!$K$1</f>
        <v>2013</v>
      </c>
      <c r="B1084" t="str">
        <f>InputData!$G$1</f>
        <v>San Antonio, TX</v>
      </c>
      <c r="C1084" t="s">
        <v>5</v>
      </c>
      <c r="D1084" t="str">
        <f>Graph_GenSurg!$K$6</f>
        <v>PAYEr</v>
      </c>
      <c r="E1084" t="str">
        <f t="shared" si="16"/>
        <v>General Surgery PAYEr</v>
      </c>
      <c r="F1084">
        <f>Graph_GenSurg!$A9</f>
        <v>2015</v>
      </c>
      <c r="G1084">
        <f>Graph_GenSurg!$B9</f>
        <v>3</v>
      </c>
      <c r="H1084" s="165">
        <f>Graph_GenSurg!$K9</f>
        <v>-138541.19578403595</v>
      </c>
      <c r="I1084" s="160">
        <f>InputData!$C$3</f>
        <v>0.02</v>
      </c>
      <c r="J1084" s="160">
        <f>InputData!$C$4</f>
        <v>0.01</v>
      </c>
      <c r="K1084" s="160">
        <f>InputData!$C$5</f>
        <v>0.01</v>
      </c>
      <c r="L1084" s="160">
        <f>InputData!$C$6</f>
        <v>6.2100000000000002E-2</v>
      </c>
      <c r="M1084" s="160">
        <f>InputData!$C$7</f>
        <v>0.03</v>
      </c>
      <c r="N1084" s="160">
        <f>InputData!$C$8</f>
        <v>0.02</v>
      </c>
      <c r="O1084" s="160">
        <f>InputData!$C$9</f>
        <v>0.06</v>
      </c>
      <c r="P1084" s="160">
        <f>InputData!$C$10</f>
        <v>0.02</v>
      </c>
      <c r="Q1084" s="160">
        <f>InputData!$C$11</f>
        <v>0.02</v>
      </c>
      <c r="R1084" s="160">
        <f>InputData!$C$12</f>
        <v>0.02</v>
      </c>
      <c r="S1084" s="160">
        <f>InputData!$C$13</f>
        <v>0.9</v>
      </c>
      <c r="T1084" s="116">
        <f>InputData!$C$88</f>
        <v>180000</v>
      </c>
      <c r="U1084" s="116">
        <f>InputData!$C$81</f>
        <v>178500</v>
      </c>
      <c r="V1084" s="116">
        <f>InputData!$C$82</f>
        <v>303960</v>
      </c>
      <c r="W1084" s="116">
        <f>InputData!$C$84</f>
        <v>215220</v>
      </c>
      <c r="X1084" s="116">
        <f>InputData!$C$85</f>
        <v>409020</v>
      </c>
      <c r="Y1084" s="116">
        <f>InputData!$C$116</f>
        <v>140000</v>
      </c>
      <c r="Z1084" s="160">
        <f>InputData!$E$13</f>
        <v>0</v>
      </c>
    </row>
    <row r="1085" spans="1:26" x14ac:dyDescent="0.25">
      <c r="A1085">
        <f>InputData!$K$1</f>
        <v>2013</v>
      </c>
      <c r="B1085" t="str">
        <f>InputData!$G$1</f>
        <v>San Antonio, TX</v>
      </c>
      <c r="C1085" t="s">
        <v>5</v>
      </c>
      <c r="D1085" t="str">
        <f>Graph_GenSurg!$K$6</f>
        <v>PAYEr</v>
      </c>
      <c r="E1085" t="str">
        <f t="shared" si="16"/>
        <v>General Surgery PAYEr</v>
      </c>
      <c r="F1085">
        <f>Graph_GenSurg!$A10</f>
        <v>2016</v>
      </c>
      <c r="G1085">
        <f>Graph_GenSurg!$B10</f>
        <v>4</v>
      </c>
      <c r="H1085" s="165">
        <f>Graph_GenSurg!$K10</f>
        <v>-190867.38028908212</v>
      </c>
      <c r="I1085" s="160">
        <f>InputData!$C$3</f>
        <v>0.02</v>
      </c>
      <c r="J1085" s="160">
        <f>InputData!$C$4</f>
        <v>0.01</v>
      </c>
      <c r="K1085" s="160">
        <f>InputData!$C$5</f>
        <v>0.01</v>
      </c>
      <c r="L1085" s="160">
        <f>InputData!$C$6</f>
        <v>6.2100000000000002E-2</v>
      </c>
      <c r="M1085" s="160">
        <f>InputData!$C$7</f>
        <v>0.03</v>
      </c>
      <c r="N1085" s="160">
        <f>InputData!$C$8</f>
        <v>0.02</v>
      </c>
      <c r="O1085" s="160">
        <f>InputData!$C$9</f>
        <v>0.06</v>
      </c>
      <c r="P1085" s="160">
        <f>InputData!$C$10</f>
        <v>0.02</v>
      </c>
      <c r="Q1085" s="160">
        <f>InputData!$C$11</f>
        <v>0.02</v>
      </c>
      <c r="R1085" s="160">
        <f>InputData!$C$12</f>
        <v>0.02</v>
      </c>
      <c r="S1085" s="160">
        <f>InputData!$C$13</f>
        <v>0.9</v>
      </c>
      <c r="T1085" s="116">
        <f>InputData!$C$88</f>
        <v>180000</v>
      </c>
      <c r="U1085" s="116">
        <f>InputData!$C$81</f>
        <v>178500</v>
      </c>
      <c r="V1085" s="116">
        <f>InputData!$C$82</f>
        <v>303960</v>
      </c>
      <c r="W1085" s="116">
        <f>InputData!$C$84</f>
        <v>215220</v>
      </c>
      <c r="X1085" s="116">
        <f>InputData!$C$85</f>
        <v>409020</v>
      </c>
      <c r="Y1085" s="116">
        <f>InputData!$C$116</f>
        <v>140000</v>
      </c>
      <c r="Z1085" s="160">
        <f>InputData!$E$13</f>
        <v>0</v>
      </c>
    </row>
    <row r="1086" spans="1:26" x14ac:dyDescent="0.25">
      <c r="A1086">
        <f>InputData!$K$1</f>
        <v>2013</v>
      </c>
      <c r="B1086" t="str">
        <f>InputData!$G$1</f>
        <v>San Antonio, TX</v>
      </c>
      <c r="C1086" t="s">
        <v>5</v>
      </c>
      <c r="D1086" t="str">
        <f>Graph_GenSurg!$K$6</f>
        <v>PAYEr</v>
      </c>
      <c r="E1086" t="str">
        <f t="shared" si="16"/>
        <v>General Surgery PAYEr</v>
      </c>
      <c r="F1086">
        <f>Graph_GenSurg!$A11</f>
        <v>2017</v>
      </c>
      <c r="G1086">
        <f>Graph_GenSurg!$B11</f>
        <v>5</v>
      </c>
      <c r="H1086" s="165">
        <f>Graph_GenSurg!$K11</f>
        <v>-157911.19312249744</v>
      </c>
      <c r="I1086" s="160">
        <f>InputData!$C$3</f>
        <v>0.02</v>
      </c>
      <c r="J1086" s="160">
        <f>InputData!$C$4</f>
        <v>0.01</v>
      </c>
      <c r="K1086" s="160">
        <f>InputData!$C$5</f>
        <v>0.01</v>
      </c>
      <c r="L1086" s="160">
        <f>InputData!$C$6</f>
        <v>6.2100000000000002E-2</v>
      </c>
      <c r="M1086" s="160">
        <f>InputData!$C$7</f>
        <v>0.03</v>
      </c>
      <c r="N1086" s="160">
        <f>InputData!$C$8</f>
        <v>0.02</v>
      </c>
      <c r="O1086" s="160">
        <f>InputData!$C$9</f>
        <v>0.06</v>
      </c>
      <c r="P1086" s="160">
        <f>InputData!$C$10</f>
        <v>0.02</v>
      </c>
      <c r="Q1086" s="160">
        <f>InputData!$C$11</f>
        <v>0.02</v>
      </c>
      <c r="R1086" s="160">
        <f>InputData!$C$12</f>
        <v>0.02</v>
      </c>
      <c r="S1086" s="160">
        <f>InputData!$C$13</f>
        <v>0.9</v>
      </c>
      <c r="T1086" s="116">
        <f>InputData!$C$88</f>
        <v>180000</v>
      </c>
      <c r="U1086" s="116">
        <f>InputData!$C$81</f>
        <v>178500</v>
      </c>
      <c r="V1086" s="116">
        <f>InputData!$C$82</f>
        <v>303960</v>
      </c>
      <c r="W1086" s="116">
        <f>InputData!$C$84</f>
        <v>215220</v>
      </c>
      <c r="X1086" s="116">
        <f>InputData!$C$85</f>
        <v>409020</v>
      </c>
      <c r="Y1086" s="116">
        <f>InputData!$C$116</f>
        <v>140000</v>
      </c>
      <c r="Z1086" s="160">
        <f>InputData!$E$13</f>
        <v>0</v>
      </c>
    </row>
    <row r="1087" spans="1:26" x14ac:dyDescent="0.25">
      <c r="A1087">
        <f>InputData!$K$1</f>
        <v>2013</v>
      </c>
      <c r="B1087" t="str">
        <f>InputData!$G$1</f>
        <v>San Antonio, TX</v>
      </c>
      <c r="C1087" t="s">
        <v>5</v>
      </c>
      <c r="D1087" t="str">
        <f>Graph_GenSurg!$K$6</f>
        <v>PAYEr</v>
      </c>
      <c r="E1087" t="str">
        <f t="shared" si="16"/>
        <v>General Surgery PAYEr</v>
      </c>
      <c r="F1087">
        <f>Graph_GenSurg!$A12</f>
        <v>2018</v>
      </c>
      <c r="G1087">
        <f>Graph_GenSurg!$B12</f>
        <v>6</v>
      </c>
      <c r="H1087" s="165">
        <f>Graph_GenSurg!$K12</f>
        <v>-124940.73121601369</v>
      </c>
      <c r="I1087" s="160">
        <f>InputData!$C$3</f>
        <v>0.02</v>
      </c>
      <c r="J1087" s="160">
        <f>InputData!$C$4</f>
        <v>0.01</v>
      </c>
      <c r="K1087" s="160">
        <f>InputData!$C$5</f>
        <v>0.01</v>
      </c>
      <c r="L1087" s="160">
        <f>InputData!$C$6</f>
        <v>6.2100000000000002E-2</v>
      </c>
      <c r="M1087" s="160">
        <f>InputData!$C$7</f>
        <v>0.03</v>
      </c>
      <c r="N1087" s="160">
        <f>InputData!$C$8</f>
        <v>0.02</v>
      </c>
      <c r="O1087" s="160">
        <f>InputData!$C$9</f>
        <v>0.06</v>
      </c>
      <c r="P1087" s="160">
        <f>InputData!$C$10</f>
        <v>0.02</v>
      </c>
      <c r="Q1087" s="160">
        <f>InputData!$C$11</f>
        <v>0.02</v>
      </c>
      <c r="R1087" s="160">
        <f>InputData!$C$12</f>
        <v>0.02</v>
      </c>
      <c r="S1087" s="160">
        <f>InputData!$C$13</f>
        <v>0.9</v>
      </c>
      <c r="T1087" s="116">
        <f>InputData!$C$88</f>
        <v>180000</v>
      </c>
      <c r="U1087" s="116">
        <f>InputData!$C$81</f>
        <v>178500</v>
      </c>
      <c r="V1087" s="116">
        <f>InputData!$C$82</f>
        <v>303960</v>
      </c>
      <c r="W1087" s="116">
        <f>InputData!$C$84</f>
        <v>215220</v>
      </c>
      <c r="X1087" s="116">
        <f>InputData!$C$85</f>
        <v>409020</v>
      </c>
      <c r="Y1087" s="116">
        <f>InputData!$C$116</f>
        <v>140000</v>
      </c>
      <c r="Z1087" s="160">
        <f>InputData!$E$13</f>
        <v>0</v>
      </c>
    </row>
    <row r="1088" spans="1:26" x14ac:dyDescent="0.25">
      <c r="A1088">
        <f>InputData!$K$1</f>
        <v>2013</v>
      </c>
      <c r="B1088" t="str">
        <f>InputData!$G$1</f>
        <v>San Antonio, TX</v>
      </c>
      <c r="C1088" t="s">
        <v>5</v>
      </c>
      <c r="D1088" t="str">
        <f>Graph_GenSurg!$K$6</f>
        <v>PAYEr</v>
      </c>
      <c r="E1088" t="str">
        <f t="shared" si="16"/>
        <v>General Surgery PAYEr</v>
      </c>
      <c r="F1088">
        <f>Graph_GenSurg!$A13</f>
        <v>2019</v>
      </c>
      <c r="G1088">
        <f>Graph_GenSurg!$B13</f>
        <v>7</v>
      </c>
      <c r="H1088" s="165">
        <f>Graph_GenSurg!$K13</f>
        <v>-91947.694234953393</v>
      </c>
      <c r="I1088" s="160">
        <f>InputData!$C$3</f>
        <v>0.02</v>
      </c>
      <c r="J1088" s="160">
        <f>InputData!$C$4</f>
        <v>0.01</v>
      </c>
      <c r="K1088" s="160">
        <f>InputData!$C$5</f>
        <v>0.01</v>
      </c>
      <c r="L1088" s="160">
        <f>InputData!$C$6</f>
        <v>6.2100000000000002E-2</v>
      </c>
      <c r="M1088" s="160">
        <f>InputData!$C$7</f>
        <v>0.03</v>
      </c>
      <c r="N1088" s="160">
        <f>InputData!$C$8</f>
        <v>0.02</v>
      </c>
      <c r="O1088" s="160">
        <f>InputData!$C$9</f>
        <v>0.06</v>
      </c>
      <c r="P1088" s="160">
        <f>InputData!$C$10</f>
        <v>0.02</v>
      </c>
      <c r="Q1088" s="160">
        <f>InputData!$C$11</f>
        <v>0.02</v>
      </c>
      <c r="R1088" s="160">
        <f>InputData!$C$12</f>
        <v>0.02</v>
      </c>
      <c r="S1088" s="160">
        <f>InputData!$C$13</f>
        <v>0.9</v>
      </c>
      <c r="T1088" s="116">
        <f>InputData!$C$88</f>
        <v>180000</v>
      </c>
      <c r="U1088" s="116">
        <f>InputData!$C$81</f>
        <v>178500</v>
      </c>
      <c r="V1088" s="116">
        <f>InputData!$C$82</f>
        <v>303960</v>
      </c>
      <c r="W1088" s="116">
        <f>InputData!$C$84</f>
        <v>215220</v>
      </c>
      <c r="X1088" s="116">
        <f>InputData!$C$85</f>
        <v>409020</v>
      </c>
      <c r="Y1088" s="116">
        <f>InputData!$C$116</f>
        <v>140000</v>
      </c>
      <c r="Z1088" s="160">
        <f>InputData!$E$13</f>
        <v>0</v>
      </c>
    </row>
    <row r="1089" spans="1:26" x14ac:dyDescent="0.25">
      <c r="A1089">
        <f>InputData!$K$1</f>
        <v>2013</v>
      </c>
      <c r="B1089" t="str">
        <f>InputData!$G$1</f>
        <v>San Antonio, TX</v>
      </c>
      <c r="C1089" t="s">
        <v>5</v>
      </c>
      <c r="D1089" t="str">
        <f>Graph_GenSurg!$K$6</f>
        <v>PAYEr</v>
      </c>
      <c r="E1089" t="str">
        <f t="shared" si="16"/>
        <v>General Surgery PAYEr</v>
      </c>
      <c r="F1089">
        <f>Graph_GenSurg!$A14</f>
        <v>2020</v>
      </c>
      <c r="G1089">
        <f>Graph_GenSurg!$B14</f>
        <v>8</v>
      </c>
      <c r="H1089" s="165">
        <f>Graph_GenSurg!$K14</f>
        <v>-58923.94561664114</v>
      </c>
      <c r="I1089" s="160">
        <f>InputData!$C$3</f>
        <v>0.02</v>
      </c>
      <c r="J1089" s="160">
        <f>InputData!$C$4</f>
        <v>0.01</v>
      </c>
      <c r="K1089" s="160">
        <f>InputData!$C$5</f>
        <v>0.01</v>
      </c>
      <c r="L1089" s="160">
        <f>InputData!$C$6</f>
        <v>6.2100000000000002E-2</v>
      </c>
      <c r="M1089" s="160">
        <f>InputData!$C$7</f>
        <v>0.03</v>
      </c>
      <c r="N1089" s="160">
        <f>InputData!$C$8</f>
        <v>0.02</v>
      </c>
      <c r="O1089" s="160">
        <f>InputData!$C$9</f>
        <v>0.06</v>
      </c>
      <c r="P1089" s="160">
        <f>InputData!$C$10</f>
        <v>0.02</v>
      </c>
      <c r="Q1089" s="160">
        <f>InputData!$C$11</f>
        <v>0.02</v>
      </c>
      <c r="R1089" s="160">
        <f>InputData!$C$12</f>
        <v>0.02</v>
      </c>
      <c r="S1089" s="160">
        <f>InputData!$C$13</f>
        <v>0.9</v>
      </c>
      <c r="T1089" s="116">
        <f>InputData!$C$88</f>
        <v>180000</v>
      </c>
      <c r="U1089" s="116">
        <f>InputData!$C$81</f>
        <v>178500</v>
      </c>
      <c r="V1089" s="116">
        <f>InputData!$C$82</f>
        <v>303960</v>
      </c>
      <c r="W1089" s="116">
        <f>InputData!$C$84</f>
        <v>215220</v>
      </c>
      <c r="X1089" s="116">
        <f>InputData!$C$85</f>
        <v>409020</v>
      </c>
      <c r="Y1089" s="116">
        <f>InputData!$C$116</f>
        <v>140000</v>
      </c>
      <c r="Z1089" s="160">
        <f>InputData!$E$13</f>
        <v>0</v>
      </c>
    </row>
    <row r="1090" spans="1:26" x14ac:dyDescent="0.25">
      <c r="A1090">
        <f>InputData!$K$1</f>
        <v>2013</v>
      </c>
      <c r="B1090" t="str">
        <f>InputData!$G$1</f>
        <v>San Antonio, TX</v>
      </c>
      <c r="C1090" t="s">
        <v>5</v>
      </c>
      <c r="D1090" t="str">
        <f>Graph_GenSurg!$K$6</f>
        <v>PAYEr</v>
      </c>
      <c r="E1090" t="str">
        <f t="shared" si="16"/>
        <v>General Surgery PAYEr</v>
      </c>
      <c r="F1090">
        <f>Graph_GenSurg!$A15</f>
        <v>2021</v>
      </c>
      <c r="G1090">
        <f>Graph_GenSurg!$B15</f>
        <v>9</v>
      </c>
      <c r="H1090" s="165">
        <f>Graph_GenSurg!$K15</f>
        <v>-25861.507102589763</v>
      </c>
      <c r="I1090" s="160">
        <f>InputData!$C$3</f>
        <v>0.02</v>
      </c>
      <c r="J1090" s="160">
        <f>InputData!$C$4</f>
        <v>0.01</v>
      </c>
      <c r="K1090" s="160">
        <f>InputData!$C$5</f>
        <v>0.01</v>
      </c>
      <c r="L1090" s="160">
        <f>InputData!$C$6</f>
        <v>6.2100000000000002E-2</v>
      </c>
      <c r="M1090" s="160">
        <f>InputData!$C$7</f>
        <v>0.03</v>
      </c>
      <c r="N1090" s="160">
        <f>InputData!$C$8</f>
        <v>0.02</v>
      </c>
      <c r="O1090" s="160">
        <f>InputData!$C$9</f>
        <v>0.06</v>
      </c>
      <c r="P1090" s="160">
        <f>InputData!$C$10</f>
        <v>0.02</v>
      </c>
      <c r="Q1090" s="160">
        <f>InputData!$C$11</f>
        <v>0.02</v>
      </c>
      <c r="R1090" s="160">
        <f>InputData!$C$12</f>
        <v>0.02</v>
      </c>
      <c r="S1090" s="160">
        <f>InputData!$C$13</f>
        <v>0.9</v>
      </c>
      <c r="T1090" s="116">
        <f>InputData!$C$88</f>
        <v>180000</v>
      </c>
      <c r="U1090" s="116">
        <f>InputData!$C$81</f>
        <v>178500</v>
      </c>
      <c r="V1090" s="116">
        <f>InputData!$C$82</f>
        <v>303960</v>
      </c>
      <c r="W1090" s="116">
        <f>InputData!$C$84</f>
        <v>215220</v>
      </c>
      <c r="X1090" s="116">
        <f>InputData!$C$85</f>
        <v>409020</v>
      </c>
      <c r="Y1090" s="116">
        <f>InputData!$C$116</f>
        <v>140000</v>
      </c>
      <c r="Z1090" s="160">
        <f>InputData!$E$13</f>
        <v>0</v>
      </c>
    </row>
    <row r="1091" spans="1:26" x14ac:dyDescent="0.25">
      <c r="A1091">
        <f>InputData!$K$1</f>
        <v>2013</v>
      </c>
      <c r="B1091" t="str">
        <f>InputData!$G$1</f>
        <v>San Antonio, TX</v>
      </c>
      <c r="C1091" t="s">
        <v>5</v>
      </c>
      <c r="D1091" t="str">
        <f>Graph_GenSurg!$K$6</f>
        <v>PAYEr</v>
      </c>
      <c r="E1091" t="str">
        <f t="shared" ref="E1091:E1154" si="17">C1091 &amp; " " &amp; D1091</f>
        <v>General Surgery PAYEr</v>
      </c>
      <c r="F1091">
        <f>Graph_GenSurg!$A16</f>
        <v>2022</v>
      </c>
      <c r="G1091">
        <f>Graph_GenSurg!$B16</f>
        <v>10</v>
      </c>
      <c r="H1091" s="165">
        <f>Graph_GenSurg!$K16</f>
        <v>116453.31962353917</v>
      </c>
      <c r="I1091" s="160">
        <f>InputData!$C$3</f>
        <v>0.02</v>
      </c>
      <c r="J1091" s="160">
        <f>InputData!$C$4</f>
        <v>0.01</v>
      </c>
      <c r="K1091" s="160">
        <f>InputData!$C$5</f>
        <v>0.01</v>
      </c>
      <c r="L1091" s="160">
        <f>InputData!$C$6</f>
        <v>6.2100000000000002E-2</v>
      </c>
      <c r="M1091" s="160">
        <f>InputData!$C$7</f>
        <v>0.03</v>
      </c>
      <c r="N1091" s="160">
        <f>InputData!$C$8</f>
        <v>0.02</v>
      </c>
      <c r="O1091" s="160">
        <f>InputData!$C$9</f>
        <v>0.06</v>
      </c>
      <c r="P1091" s="160">
        <f>InputData!$C$10</f>
        <v>0.02</v>
      </c>
      <c r="Q1091" s="160">
        <f>InputData!$C$11</f>
        <v>0.02</v>
      </c>
      <c r="R1091" s="160">
        <f>InputData!$C$12</f>
        <v>0.02</v>
      </c>
      <c r="S1091" s="160">
        <f>InputData!$C$13</f>
        <v>0.9</v>
      </c>
      <c r="T1091" s="116">
        <f>InputData!$C$88</f>
        <v>180000</v>
      </c>
      <c r="U1091" s="116">
        <f>InputData!$C$81</f>
        <v>178500</v>
      </c>
      <c r="V1091" s="116">
        <f>InputData!$C$82</f>
        <v>303960</v>
      </c>
      <c r="W1091" s="116">
        <f>InputData!$C$84</f>
        <v>215220</v>
      </c>
      <c r="X1091" s="116">
        <f>InputData!$C$85</f>
        <v>409020</v>
      </c>
      <c r="Y1091" s="116">
        <f>InputData!$C$116</f>
        <v>140000</v>
      </c>
      <c r="Z1091" s="160">
        <f>InputData!$E$13</f>
        <v>0</v>
      </c>
    </row>
    <row r="1092" spans="1:26" x14ac:dyDescent="0.25">
      <c r="A1092">
        <f>InputData!$K$1</f>
        <v>2013</v>
      </c>
      <c r="B1092" t="str">
        <f>InputData!$G$1</f>
        <v>San Antonio, TX</v>
      </c>
      <c r="C1092" t="s">
        <v>5</v>
      </c>
      <c r="D1092" t="str">
        <f>Graph_GenSurg!$K$6</f>
        <v>PAYEr</v>
      </c>
      <c r="E1092" t="str">
        <f t="shared" si="17"/>
        <v>General Surgery PAYEr</v>
      </c>
      <c r="F1092">
        <f>Graph_GenSurg!$A17</f>
        <v>2023</v>
      </c>
      <c r="G1092">
        <f>Graph_GenSurg!$B17</f>
        <v>11</v>
      </c>
      <c r="H1092" s="165">
        <f>Graph_GenSurg!$K17</f>
        <v>254978.90716296944</v>
      </c>
      <c r="I1092" s="160">
        <f>InputData!$C$3</f>
        <v>0.02</v>
      </c>
      <c r="J1092" s="160">
        <f>InputData!$C$4</f>
        <v>0.01</v>
      </c>
      <c r="K1092" s="160">
        <f>InputData!$C$5</f>
        <v>0.01</v>
      </c>
      <c r="L1092" s="160">
        <f>InputData!$C$6</f>
        <v>6.2100000000000002E-2</v>
      </c>
      <c r="M1092" s="160">
        <f>InputData!$C$7</f>
        <v>0.03</v>
      </c>
      <c r="N1092" s="160">
        <f>InputData!$C$8</f>
        <v>0.02</v>
      </c>
      <c r="O1092" s="160">
        <f>InputData!$C$9</f>
        <v>0.06</v>
      </c>
      <c r="P1092" s="160">
        <f>InputData!$C$10</f>
        <v>0.02</v>
      </c>
      <c r="Q1092" s="160">
        <f>InputData!$C$11</f>
        <v>0.02</v>
      </c>
      <c r="R1092" s="160">
        <f>InputData!$C$12</f>
        <v>0.02</v>
      </c>
      <c r="S1092" s="160">
        <f>InputData!$C$13</f>
        <v>0.9</v>
      </c>
      <c r="T1092" s="116">
        <f>InputData!$C$88</f>
        <v>180000</v>
      </c>
      <c r="U1092" s="116">
        <f>InputData!$C$81</f>
        <v>178500</v>
      </c>
      <c r="V1092" s="116">
        <f>InputData!$C$82</f>
        <v>303960</v>
      </c>
      <c r="W1092" s="116">
        <f>InputData!$C$84</f>
        <v>215220</v>
      </c>
      <c r="X1092" s="116">
        <f>InputData!$C$85</f>
        <v>409020</v>
      </c>
      <c r="Y1092" s="116">
        <f>InputData!$C$116</f>
        <v>140000</v>
      </c>
      <c r="Z1092" s="160">
        <f>InputData!$E$13</f>
        <v>0</v>
      </c>
    </row>
    <row r="1093" spans="1:26" x14ac:dyDescent="0.25">
      <c r="A1093">
        <f>InputData!$K$1</f>
        <v>2013</v>
      </c>
      <c r="B1093" t="str">
        <f>InputData!$G$1</f>
        <v>San Antonio, TX</v>
      </c>
      <c r="C1093" t="s">
        <v>5</v>
      </c>
      <c r="D1093" t="str">
        <f>Graph_GenSurg!$K$6</f>
        <v>PAYEr</v>
      </c>
      <c r="E1093" t="str">
        <f t="shared" si="17"/>
        <v>General Surgery PAYEr</v>
      </c>
      <c r="F1093">
        <f>Graph_GenSurg!$A18</f>
        <v>2024</v>
      </c>
      <c r="G1093">
        <f>Graph_GenSurg!$B18</f>
        <v>12</v>
      </c>
      <c r="H1093" s="165">
        <f>Graph_GenSurg!$K18</f>
        <v>391219.65327828983</v>
      </c>
      <c r="I1093" s="160">
        <f>InputData!$C$3</f>
        <v>0.02</v>
      </c>
      <c r="J1093" s="160">
        <f>InputData!$C$4</f>
        <v>0.01</v>
      </c>
      <c r="K1093" s="160">
        <f>InputData!$C$5</f>
        <v>0.01</v>
      </c>
      <c r="L1093" s="160">
        <f>InputData!$C$6</f>
        <v>6.2100000000000002E-2</v>
      </c>
      <c r="M1093" s="160">
        <f>InputData!$C$7</f>
        <v>0.03</v>
      </c>
      <c r="N1093" s="160">
        <f>InputData!$C$8</f>
        <v>0.02</v>
      </c>
      <c r="O1093" s="160">
        <f>InputData!$C$9</f>
        <v>0.06</v>
      </c>
      <c r="P1093" s="160">
        <f>InputData!$C$10</f>
        <v>0.02</v>
      </c>
      <c r="Q1093" s="160">
        <f>InputData!$C$11</f>
        <v>0.02</v>
      </c>
      <c r="R1093" s="160">
        <f>InputData!$C$12</f>
        <v>0.02</v>
      </c>
      <c r="S1093" s="160">
        <f>InputData!$C$13</f>
        <v>0.9</v>
      </c>
      <c r="T1093" s="116">
        <f>InputData!$C$88</f>
        <v>180000</v>
      </c>
      <c r="U1093" s="116">
        <f>InputData!$C$81</f>
        <v>178500</v>
      </c>
      <c r="V1093" s="116">
        <f>InputData!$C$82</f>
        <v>303960</v>
      </c>
      <c r="W1093" s="116">
        <f>InputData!$C$84</f>
        <v>215220</v>
      </c>
      <c r="X1093" s="116">
        <f>InputData!$C$85</f>
        <v>409020</v>
      </c>
      <c r="Y1093" s="116">
        <f>InputData!$C$116</f>
        <v>140000</v>
      </c>
      <c r="Z1093" s="160">
        <f>InputData!$E$13</f>
        <v>0</v>
      </c>
    </row>
    <row r="1094" spans="1:26" x14ac:dyDescent="0.25">
      <c r="A1094">
        <f>InputData!$K$1</f>
        <v>2013</v>
      </c>
      <c r="B1094" t="str">
        <f>InputData!$G$1</f>
        <v>San Antonio, TX</v>
      </c>
      <c r="C1094" t="s">
        <v>5</v>
      </c>
      <c r="D1094" t="str">
        <f>Graph_GenSurg!$K$6</f>
        <v>PAYEr</v>
      </c>
      <c r="E1094" t="str">
        <f t="shared" si="17"/>
        <v>General Surgery PAYEr</v>
      </c>
      <c r="F1094">
        <f>Graph_GenSurg!$A19</f>
        <v>2025</v>
      </c>
      <c r="G1094">
        <f>Graph_GenSurg!$B19</f>
        <v>13</v>
      </c>
      <c r="H1094" s="165">
        <f>Graph_GenSurg!$K19</f>
        <v>525198.12327553402</v>
      </c>
      <c r="I1094" s="160">
        <f>InputData!$C$3</f>
        <v>0.02</v>
      </c>
      <c r="J1094" s="160">
        <f>InputData!$C$4</f>
        <v>0.01</v>
      </c>
      <c r="K1094" s="160">
        <f>InputData!$C$5</f>
        <v>0.01</v>
      </c>
      <c r="L1094" s="160">
        <f>InputData!$C$6</f>
        <v>6.2100000000000002E-2</v>
      </c>
      <c r="M1094" s="160">
        <f>InputData!$C$7</f>
        <v>0.03</v>
      </c>
      <c r="N1094" s="160">
        <f>InputData!$C$8</f>
        <v>0.02</v>
      </c>
      <c r="O1094" s="160">
        <f>InputData!$C$9</f>
        <v>0.06</v>
      </c>
      <c r="P1094" s="160">
        <f>InputData!$C$10</f>
        <v>0.02</v>
      </c>
      <c r="Q1094" s="160">
        <f>InputData!$C$11</f>
        <v>0.02</v>
      </c>
      <c r="R1094" s="160">
        <f>InputData!$C$12</f>
        <v>0.02</v>
      </c>
      <c r="S1094" s="160">
        <f>InputData!$C$13</f>
        <v>0.9</v>
      </c>
      <c r="T1094" s="116">
        <f>InputData!$C$88</f>
        <v>180000</v>
      </c>
      <c r="U1094" s="116">
        <f>InputData!$C$81</f>
        <v>178500</v>
      </c>
      <c r="V1094" s="116">
        <f>InputData!$C$82</f>
        <v>303960</v>
      </c>
      <c r="W1094" s="116">
        <f>InputData!$C$84</f>
        <v>215220</v>
      </c>
      <c r="X1094" s="116">
        <f>InputData!$C$85</f>
        <v>409020</v>
      </c>
      <c r="Y1094" s="116">
        <f>InputData!$C$116</f>
        <v>140000</v>
      </c>
      <c r="Z1094" s="160">
        <f>InputData!$E$13</f>
        <v>0</v>
      </c>
    </row>
    <row r="1095" spans="1:26" x14ac:dyDescent="0.25">
      <c r="A1095">
        <f>InputData!$K$1</f>
        <v>2013</v>
      </c>
      <c r="B1095" t="str">
        <f>InputData!$G$1</f>
        <v>San Antonio, TX</v>
      </c>
      <c r="C1095" t="s">
        <v>5</v>
      </c>
      <c r="D1095" t="str">
        <f>Graph_GenSurg!$K$6</f>
        <v>PAYEr</v>
      </c>
      <c r="E1095" t="str">
        <f t="shared" si="17"/>
        <v>General Surgery PAYEr</v>
      </c>
      <c r="F1095">
        <f>Graph_GenSurg!$A20</f>
        <v>2026</v>
      </c>
      <c r="G1095">
        <f>Graph_GenSurg!$B20</f>
        <v>14</v>
      </c>
      <c r="H1095" s="165">
        <f>Graph_GenSurg!$K20</f>
        <v>656937.55347262637</v>
      </c>
      <c r="I1095" s="160">
        <f>InputData!$C$3</f>
        <v>0.02</v>
      </c>
      <c r="J1095" s="160">
        <f>InputData!$C$4</f>
        <v>0.01</v>
      </c>
      <c r="K1095" s="160">
        <f>InputData!$C$5</f>
        <v>0.01</v>
      </c>
      <c r="L1095" s="160">
        <f>InputData!$C$6</f>
        <v>6.2100000000000002E-2</v>
      </c>
      <c r="M1095" s="160">
        <f>InputData!$C$7</f>
        <v>0.03</v>
      </c>
      <c r="N1095" s="160">
        <f>InputData!$C$8</f>
        <v>0.02</v>
      </c>
      <c r="O1095" s="160">
        <f>InputData!$C$9</f>
        <v>0.06</v>
      </c>
      <c r="P1095" s="160">
        <f>InputData!$C$10</f>
        <v>0.02</v>
      </c>
      <c r="Q1095" s="160">
        <f>InputData!$C$11</f>
        <v>0.02</v>
      </c>
      <c r="R1095" s="160">
        <f>InputData!$C$12</f>
        <v>0.02</v>
      </c>
      <c r="S1095" s="160">
        <f>InputData!$C$13</f>
        <v>0.9</v>
      </c>
      <c r="T1095" s="116">
        <f>InputData!$C$88</f>
        <v>180000</v>
      </c>
      <c r="U1095" s="116">
        <f>InputData!$C$81</f>
        <v>178500</v>
      </c>
      <c r="V1095" s="116">
        <f>InputData!$C$82</f>
        <v>303960</v>
      </c>
      <c r="W1095" s="116">
        <f>InputData!$C$84</f>
        <v>215220</v>
      </c>
      <c r="X1095" s="116">
        <f>InputData!$C$85</f>
        <v>409020</v>
      </c>
      <c r="Y1095" s="116">
        <f>InputData!$C$116</f>
        <v>140000</v>
      </c>
      <c r="Z1095" s="160">
        <f>InputData!$E$13</f>
        <v>0</v>
      </c>
    </row>
    <row r="1096" spans="1:26" x14ac:dyDescent="0.25">
      <c r="A1096">
        <f>InputData!$K$1</f>
        <v>2013</v>
      </c>
      <c r="B1096" t="str">
        <f>InputData!$G$1</f>
        <v>San Antonio, TX</v>
      </c>
      <c r="C1096" t="s">
        <v>5</v>
      </c>
      <c r="D1096" t="str">
        <f>Graph_GenSurg!$K$6</f>
        <v>PAYEr</v>
      </c>
      <c r="E1096" t="str">
        <f t="shared" si="17"/>
        <v>General Surgery PAYEr</v>
      </c>
      <c r="F1096">
        <f>Graph_GenSurg!$A21</f>
        <v>2027</v>
      </c>
      <c r="G1096">
        <f>Graph_GenSurg!$B21</f>
        <v>15</v>
      </c>
      <c r="H1096" s="165">
        <f>Graph_GenSurg!$K21</f>
        <v>786461.783175271</v>
      </c>
      <c r="I1096" s="160">
        <f>InputData!$C$3</f>
        <v>0.02</v>
      </c>
      <c r="J1096" s="160">
        <f>InputData!$C$4</f>
        <v>0.01</v>
      </c>
      <c r="K1096" s="160">
        <f>InputData!$C$5</f>
        <v>0.01</v>
      </c>
      <c r="L1096" s="160">
        <f>InputData!$C$6</f>
        <v>6.2100000000000002E-2</v>
      </c>
      <c r="M1096" s="160">
        <f>InputData!$C$7</f>
        <v>0.03</v>
      </c>
      <c r="N1096" s="160">
        <f>InputData!$C$8</f>
        <v>0.02</v>
      </c>
      <c r="O1096" s="160">
        <f>InputData!$C$9</f>
        <v>0.06</v>
      </c>
      <c r="P1096" s="160">
        <f>InputData!$C$10</f>
        <v>0.02</v>
      </c>
      <c r="Q1096" s="160">
        <f>InputData!$C$11</f>
        <v>0.02</v>
      </c>
      <c r="R1096" s="160">
        <f>InputData!$C$12</f>
        <v>0.02</v>
      </c>
      <c r="S1096" s="160">
        <f>InputData!$C$13</f>
        <v>0.9</v>
      </c>
      <c r="T1096" s="116">
        <f>InputData!$C$88</f>
        <v>180000</v>
      </c>
      <c r="U1096" s="116">
        <f>InputData!$C$81</f>
        <v>178500</v>
      </c>
      <c r="V1096" s="116">
        <f>InputData!$C$82</f>
        <v>303960</v>
      </c>
      <c r="W1096" s="116">
        <f>InputData!$C$84</f>
        <v>215220</v>
      </c>
      <c r="X1096" s="116">
        <f>InputData!$C$85</f>
        <v>409020</v>
      </c>
      <c r="Y1096" s="116">
        <f>InputData!$C$116</f>
        <v>140000</v>
      </c>
      <c r="Z1096" s="160">
        <f>InputData!$E$13</f>
        <v>0</v>
      </c>
    </row>
    <row r="1097" spans="1:26" x14ac:dyDescent="0.25">
      <c r="A1097">
        <f>InputData!$K$1</f>
        <v>2013</v>
      </c>
      <c r="B1097" t="str">
        <f>InputData!$G$1</f>
        <v>San Antonio, TX</v>
      </c>
      <c r="C1097" t="s">
        <v>5</v>
      </c>
      <c r="D1097" t="str">
        <f>Graph_GenSurg!$K$6</f>
        <v>PAYEr</v>
      </c>
      <c r="E1097" t="str">
        <f t="shared" si="17"/>
        <v>General Surgery PAYEr</v>
      </c>
      <c r="F1097">
        <f>Graph_GenSurg!$A22</f>
        <v>2028</v>
      </c>
      <c r="G1097">
        <f>Graph_GenSurg!$B22</f>
        <v>16</v>
      </c>
      <c r="H1097" s="165">
        <f>Graph_GenSurg!$K22</f>
        <v>913795.19066529453</v>
      </c>
      <c r="I1097" s="160">
        <f>InputData!$C$3</f>
        <v>0.02</v>
      </c>
      <c r="J1097" s="160">
        <f>InputData!$C$4</f>
        <v>0.01</v>
      </c>
      <c r="K1097" s="160">
        <f>InputData!$C$5</f>
        <v>0.01</v>
      </c>
      <c r="L1097" s="160">
        <f>InputData!$C$6</f>
        <v>6.2100000000000002E-2</v>
      </c>
      <c r="M1097" s="160">
        <f>InputData!$C$7</f>
        <v>0.03</v>
      </c>
      <c r="N1097" s="160">
        <f>InputData!$C$8</f>
        <v>0.02</v>
      </c>
      <c r="O1097" s="160">
        <f>InputData!$C$9</f>
        <v>0.06</v>
      </c>
      <c r="P1097" s="160">
        <f>InputData!$C$10</f>
        <v>0.02</v>
      </c>
      <c r="Q1097" s="160">
        <f>InputData!$C$11</f>
        <v>0.02</v>
      </c>
      <c r="R1097" s="160">
        <f>InputData!$C$12</f>
        <v>0.02</v>
      </c>
      <c r="S1097" s="160">
        <f>InputData!$C$13</f>
        <v>0.9</v>
      </c>
      <c r="T1097" s="116">
        <f>InputData!$C$88</f>
        <v>180000</v>
      </c>
      <c r="U1097" s="116">
        <f>InputData!$C$81</f>
        <v>178500</v>
      </c>
      <c r="V1097" s="116">
        <f>InputData!$C$82</f>
        <v>303960</v>
      </c>
      <c r="W1097" s="116">
        <f>InputData!$C$84</f>
        <v>215220</v>
      </c>
      <c r="X1097" s="116">
        <f>InputData!$C$85</f>
        <v>409020</v>
      </c>
      <c r="Y1097" s="116">
        <f>InputData!$C$116</f>
        <v>140000</v>
      </c>
      <c r="Z1097" s="160">
        <f>InputData!$E$13</f>
        <v>0</v>
      </c>
    </row>
    <row r="1098" spans="1:26" x14ac:dyDescent="0.25">
      <c r="A1098">
        <f>InputData!$K$1</f>
        <v>2013</v>
      </c>
      <c r="B1098" t="str">
        <f>InputData!$G$1</f>
        <v>San Antonio, TX</v>
      </c>
      <c r="C1098" t="s">
        <v>5</v>
      </c>
      <c r="D1098" t="str">
        <f>Graph_GenSurg!$K$6</f>
        <v>PAYEr</v>
      </c>
      <c r="E1098" t="str">
        <f t="shared" si="17"/>
        <v>General Surgery PAYEr</v>
      </c>
      <c r="F1098">
        <f>Graph_GenSurg!$A23</f>
        <v>2029</v>
      </c>
      <c r="G1098">
        <f>Graph_GenSurg!$B23</f>
        <v>17</v>
      </c>
      <c r="H1098" s="165">
        <f>Graph_GenSurg!$K23</f>
        <v>1038962.6329927029</v>
      </c>
      <c r="I1098" s="160">
        <f>InputData!$C$3</f>
        <v>0.02</v>
      </c>
      <c r="J1098" s="160">
        <f>InputData!$C$4</f>
        <v>0.01</v>
      </c>
      <c r="K1098" s="160">
        <f>InputData!$C$5</f>
        <v>0.01</v>
      </c>
      <c r="L1098" s="160">
        <f>InputData!$C$6</f>
        <v>6.2100000000000002E-2</v>
      </c>
      <c r="M1098" s="160">
        <f>InputData!$C$7</f>
        <v>0.03</v>
      </c>
      <c r="N1098" s="160">
        <f>InputData!$C$8</f>
        <v>0.02</v>
      </c>
      <c r="O1098" s="160">
        <f>InputData!$C$9</f>
        <v>0.06</v>
      </c>
      <c r="P1098" s="160">
        <f>InputData!$C$10</f>
        <v>0.02</v>
      </c>
      <c r="Q1098" s="160">
        <f>InputData!$C$11</f>
        <v>0.02</v>
      </c>
      <c r="R1098" s="160">
        <f>InputData!$C$12</f>
        <v>0.02</v>
      </c>
      <c r="S1098" s="160">
        <f>InputData!$C$13</f>
        <v>0.9</v>
      </c>
      <c r="T1098" s="116">
        <f>InputData!$C$88</f>
        <v>180000</v>
      </c>
      <c r="U1098" s="116">
        <f>InputData!$C$81</f>
        <v>178500</v>
      </c>
      <c r="V1098" s="116">
        <f>InputData!$C$82</f>
        <v>303960</v>
      </c>
      <c r="W1098" s="116">
        <f>InputData!$C$84</f>
        <v>215220</v>
      </c>
      <c r="X1098" s="116">
        <f>InputData!$C$85</f>
        <v>409020</v>
      </c>
      <c r="Y1098" s="116">
        <f>InputData!$C$116</f>
        <v>140000</v>
      </c>
      <c r="Z1098" s="160">
        <f>InputData!$E$13</f>
        <v>0</v>
      </c>
    </row>
    <row r="1099" spans="1:26" x14ac:dyDescent="0.25">
      <c r="A1099">
        <f>InputData!$K$1</f>
        <v>2013</v>
      </c>
      <c r="B1099" t="str">
        <f>InputData!$G$1</f>
        <v>San Antonio, TX</v>
      </c>
      <c r="C1099" t="s">
        <v>5</v>
      </c>
      <c r="D1099" t="str">
        <f>Graph_GenSurg!$K$6</f>
        <v>PAYEr</v>
      </c>
      <c r="E1099" t="str">
        <f t="shared" si="17"/>
        <v>General Surgery PAYEr</v>
      </c>
      <c r="F1099">
        <f>Graph_GenSurg!$A24</f>
        <v>2030</v>
      </c>
      <c r="G1099">
        <f>Graph_GenSurg!$B24</f>
        <v>18</v>
      </c>
      <c r="H1099" s="165">
        <f>Graph_GenSurg!$K24</f>
        <v>1161989.3893731025</v>
      </c>
      <c r="I1099" s="160">
        <f>InputData!$C$3</f>
        <v>0.02</v>
      </c>
      <c r="J1099" s="160">
        <f>InputData!$C$4</f>
        <v>0.01</v>
      </c>
      <c r="K1099" s="160">
        <f>InputData!$C$5</f>
        <v>0.01</v>
      </c>
      <c r="L1099" s="160">
        <f>InputData!$C$6</f>
        <v>6.2100000000000002E-2</v>
      </c>
      <c r="M1099" s="160">
        <f>InputData!$C$7</f>
        <v>0.03</v>
      </c>
      <c r="N1099" s="160">
        <f>InputData!$C$8</f>
        <v>0.02</v>
      </c>
      <c r="O1099" s="160">
        <f>InputData!$C$9</f>
        <v>0.06</v>
      </c>
      <c r="P1099" s="160">
        <f>InputData!$C$10</f>
        <v>0.02</v>
      </c>
      <c r="Q1099" s="160">
        <f>InputData!$C$11</f>
        <v>0.02</v>
      </c>
      <c r="R1099" s="160">
        <f>InputData!$C$12</f>
        <v>0.02</v>
      </c>
      <c r="S1099" s="160">
        <f>InputData!$C$13</f>
        <v>0.9</v>
      </c>
      <c r="T1099" s="116">
        <f>InputData!$C$88</f>
        <v>180000</v>
      </c>
      <c r="U1099" s="116">
        <f>InputData!$C$81</f>
        <v>178500</v>
      </c>
      <c r="V1099" s="116">
        <f>InputData!$C$82</f>
        <v>303960</v>
      </c>
      <c r="W1099" s="116">
        <f>InputData!$C$84</f>
        <v>215220</v>
      </c>
      <c r="X1099" s="116">
        <f>InputData!$C$85</f>
        <v>409020</v>
      </c>
      <c r="Y1099" s="116">
        <f>InputData!$C$116</f>
        <v>140000</v>
      </c>
      <c r="Z1099" s="160">
        <f>InputData!$E$13</f>
        <v>0</v>
      </c>
    </row>
    <row r="1100" spans="1:26" x14ac:dyDescent="0.25">
      <c r="A1100">
        <f>InputData!$K$1</f>
        <v>2013</v>
      </c>
      <c r="B1100" t="str">
        <f>InputData!$G$1</f>
        <v>San Antonio, TX</v>
      </c>
      <c r="C1100" t="s">
        <v>5</v>
      </c>
      <c r="D1100" t="str">
        <f>Graph_GenSurg!$K$6</f>
        <v>PAYEr</v>
      </c>
      <c r="E1100" t="str">
        <f t="shared" si="17"/>
        <v>General Surgery PAYEr</v>
      </c>
      <c r="F1100">
        <f>Graph_GenSurg!$A25</f>
        <v>2031</v>
      </c>
      <c r="G1100">
        <f>Graph_GenSurg!$B25</f>
        <v>19</v>
      </c>
      <c r="H1100" s="165">
        <f>Graph_GenSurg!$K25</f>
        <v>1282901.1080020147</v>
      </c>
      <c r="I1100" s="160">
        <f>InputData!$C$3</f>
        <v>0.02</v>
      </c>
      <c r="J1100" s="160">
        <f>InputData!$C$4</f>
        <v>0.01</v>
      </c>
      <c r="K1100" s="160">
        <f>InputData!$C$5</f>
        <v>0.01</v>
      </c>
      <c r="L1100" s="160">
        <f>InputData!$C$6</f>
        <v>6.2100000000000002E-2</v>
      </c>
      <c r="M1100" s="160">
        <f>InputData!$C$7</f>
        <v>0.03</v>
      </c>
      <c r="N1100" s="160">
        <f>InputData!$C$8</f>
        <v>0.02</v>
      </c>
      <c r="O1100" s="160">
        <f>InputData!$C$9</f>
        <v>0.06</v>
      </c>
      <c r="P1100" s="160">
        <f>InputData!$C$10</f>
        <v>0.02</v>
      </c>
      <c r="Q1100" s="160">
        <f>InputData!$C$11</f>
        <v>0.02</v>
      </c>
      <c r="R1100" s="160">
        <f>InputData!$C$12</f>
        <v>0.02</v>
      </c>
      <c r="S1100" s="160">
        <f>InputData!$C$13</f>
        <v>0.9</v>
      </c>
      <c r="T1100" s="116">
        <f>InputData!$C$88</f>
        <v>180000</v>
      </c>
      <c r="U1100" s="116">
        <f>InputData!$C$81</f>
        <v>178500</v>
      </c>
      <c r="V1100" s="116">
        <f>InputData!$C$82</f>
        <v>303960</v>
      </c>
      <c r="W1100" s="116">
        <f>InputData!$C$84</f>
        <v>215220</v>
      </c>
      <c r="X1100" s="116">
        <f>InputData!$C$85</f>
        <v>409020</v>
      </c>
      <c r="Y1100" s="116">
        <f>InputData!$C$116</f>
        <v>140000</v>
      </c>
      <c r="Z1100" s="160">
        <f>InputData!$E$13</f>
        <v>0</v>
      </c>
    </row>
    <row r="1101" spans="1:26" x14ac:dyDescent="0.25">
      <c r="A1101">
        <f>InputData!$K$1</f>
        <v>2013</v>
      </c>
      <c r="B1101" t="str">
        <f>InputData!$G$1</f>
        <v>San Antonio, TX</v>
      </c>
      <c r="C1101" t="s">
        <v>5</v>
      </c>
      <c r="D1101" t="str">
        <f>Graph_GenSurg!$K$6</f>
        <v>PAYEr</v>
      </c>
      <c r="E1101" t="str">
        <f t="shared" si="17"/>
        <v>General Surgery PAYEr</v>
      </c>
      <c r="F1101">
        <f>Graph_GenSurg!$A26</f>
        <v>2032</v>
      </c>
      <c r="G1101">
        <f>Graph_GenSurg!$B26</f>
        <v>20</v>
      </c>
      <c r="H1101" s="165">
        <f>Graph_GenSurg!$K26</f>
        <v>1401723.7561070109</v>
      </c>
      <c r="I1101" s="160">
        <f>InputData!$C$3</f>
        <v>0.02</v>
      </c>
      <c r="J1101" s="160">
        <f>InputData!$C$4</f>
        <v>0.01</v>
      </c>
      <c r="K1101" s="160">
        <f>InputData!$C$5</f>
        <v>0.01</v>
      </c>
      <c r="L1101" s="160">
        <f>InputData!$C$6</f>
        <v>6.2100000000000002E-2</v>
      </c>
      <c r="M1101" s="160">
        <f>InputData!$C$7</f>
        <v>0.03</v>
      </c>
      <c r="N1101" s="160">
        <f>InputData!$C$8</f>
        <v>0.02</v>
      </c>
      <c r="O1101" s="160">
        <f>InputData!$C$9</f>
        <v>0.06</v>
      </c>
      <c r="P1101" s="160">
        <f>InputData!$C$10</f>
        <v>0.02</v>
      </c>
      <c r="Q1101" s="160">
        <f>InputData!$C$11</f>
        <v>0.02</v>
      </c>
      <c r="R1101" s="160">
        <f>InputData!$C$12</f>
        <v>0.02</v>
      </c>
      <c r="S1101" s="160">
        <f>InputData!$C$13</f>
        <v>0.9</v>
      </c>
      <c r="T1101" s="116">
        <f>InputData!$C$88</f>
        <v>180000</v>
      </c>
      <c r="U1101" s="116">
        <f>InputData!$C$81</f>
        <v>178500</v>
      </c>
      <c r="V1101" s="116">
        <f>InputData!$C$82</f>
        <v>303960</v>
      </c>
      <c r="W1101" s="116">
        <f>InputData!$C$84</f>
        <v>215220</v>
      </c>
      <c r="X1101" s="116">
        <f>InputData!$C$85</f>
        <v>409020</v>
      </c>
      <c r="Y1101" s="116">
        <f>InputData!$C$116</f>
        <v>140000</v>
      </c>
      <c r="Z1101" s="160">
        <f>InputData!$E$13</f>
        <v>0</v>
      </c>
    </row>
    <row r="1102" spans="1:26" x14ac:dyDescent="0.25">
      <c r="A1102">
        <f>InputData!$K$1</f>
        <v>2013</v>
      </c>
      <c r="B1102" t="str">
        <f>InputData!$G$1</f>
        <v>San Antonio, TX</v>
      </c>
      <c r="C1102" t="s">
        <v>5</v>
      </c>
      <c r="D1102" t="str">
        <f>Graph_GenSurg!$K$6</f>
        <v>PAYEr</v>
      </c>
      <c r="E1102" t="str">
        <f t="shared" si="17"/>
        <v>General Surgery PAYEr</v>
      </c>
      <c r="F1102">
        <f>Graph_GenSurg!$A27</f>
        <v>2033</v>
      </c>
      <c r="G1102">
        <f>Graph_GenSurg!$B27</f>
        <v>21</v>
      </c>
      <c r="H1102" s="165">
        <f>Graph_GenSurg!$K27</f>
        <v>1518483.5730675298</v>
      </c>
      <c r="I1102" s="160">
        <f>InputData!$C$3</f>
        <v>0.02</v>
      </c>
      <c r="J1102" s="160">
        <f>InputData!$C$4</f>
        <v>0.01</v>
      </c>
      <c r="K1102" s="160">
        <f>InputData!$C$5</f>
        <v>0.01</v>
      </c>
      <c r="L1102" s="160">
        <f>InputData!$C$6</f>
        <v>6.2100000000000002E-2</v>
      </c>
      <c r="M1102" s="160">
        <f>InputData!$C$7</f>
        <v>0.03</v>
      </c>
      <c r="N1102" s="160">
        <f>InputData!$C$8</f>
        <v>0.02</v>
      </c>
      <c r="O1102" s="160">
        <f>InputData!$C$9</f>
        <v>0.06</v>
      </c>
      <c r="P1102" s="160">
        <f>InputData!$C$10</f>
        <v>0.02</v>
      </c>
      <c r="Q1102" s="160">
        <f>InputData!$C$11</f>
        <v>0.02</v>
      </c>
      <c r="R1102" s="160">
        <f>InputData!$C$12</f>
        <v>0.02</v>
      </c>
      <c r="S1102" s="160">
        <f>InputData!$C$13</f>
        <v>0.9</v>
      </c>
      <c r="T1102" s="116">
        <f>InputData!$C$88</f>
        <v>180000</v>
      </c>
      <c r="U1102" s="116">
        <f>InputData!$C$81</f>
        <v>178500</v>
      </c>
      <c r="V1102" s="116">
        <f>InputData!$C$82</f>
        <v>303960</v>
      </c>
      <c r="W1102" s="116">
        <f>InputData!$C$84</f>
        <v>215220</v>
      </c>
      <c r="X1102" s="116">
        <f>InputData!$C$85</f>
        <v>409020</v>
      </c>
      <c r="Y1102" s="116">
        <f>InputData!$C$116</f>
        <v>140000</v>
      </c>
      <c r="Z1102" s="160">
        <f>InputData!$E$13</f>
        <v>0</v>
      </c>
    </row>
    <row r="1103" spans="1:26" x14ac:dyDescent="0.25">
      <c r="A1103">
        <f>InputData!$K$1</f>
        <v>2013</v>
      </c>
      <c r="B1103" t="str">
        <f>InputData!$G$1</f>
        <v>San Antonio, TX</v>
      </c>
      <c r="C1103" t="s">
        <v>5</v>
      </c>
      <c r="D1103" t="str">
        <f>Graph_GenSurg!$K$6</f>
        <v>PAYEr</v>
      </c>
      <c r="E1103" t="str">
        <f t="shared" si="17"/>
        <v>General Surgery PAYEr</v>
      </c>
      <c r="F1103">
        <f>Graph_GenSurg!$A28</f>
        <v>2034</v>
      </c>
      <c r="G1103">
        <f>Graph_GenSurg!$B28</f>
        <v>22</v>
      </c>
      <c r="H1103" s="165">
        <f>Graph_GenSurg!$K28</f>
        <v>1637247.3849798292</v>
      </c>
      <c r="I1103" s="160">
        <f>InputData!$C$3</f>
        <v>0.02</v>
      </c>
      <c r="J1103" s="160">
        <f>InputData!$C$4</f>
        <v>0.01</v>
      </c>
      <c r="K1103" s="160">
        <f>InputData!$C$5</f>
        <v>0.01</v>
      </c>
      <c r="L1103" s="160">
        <f>InputData!$C$6</f>
        <v>6.2100000000000002E-2</v>
      </c>
      <c r="M1103" s="160">
        <f>InputData!$C$7</f>
        <v>0.03</v>
      </c>
      <c r="N1103" s="160">
        <f>InputData!$C$8</f>
        <v>0.02</v>
      </c>
      <c r="O1103" s="160">
        <f>InputData!$C$9</f>
        <v>0.06</v>
      </c>
      <c r="P1103" s="160">
        <f>InputData!$C$10</f>
        <v>0.02</v>
      </c>
      <c r="Q1103" s="160">
        <f>InputData!$C$11</f>
        <v>0.02</v>
      </c>
      <c r="R1103" s="160">
        <f>InputData!$C$12</f>
        <v>0.02</v>
      </c>
      <c r="S1103" s="160">
        <f>InputData!$C$13</f>
        <v>0.9</v>
      </c>
      <c r="T1103" s="116">
        <f>InputData!$C$88</f>
        <v>180000</v>
      </c>
      <c r="U1103" s="116">
        <f>InputData!$C$81</f>
        <v>178500</v>
      </c>
      <c r="V1103" s="116">
        <f>InputData!$C$82</f>
        <v>303960</v>
      </c>
      <c r="W1103" s="116">
        <f>InputData!$C$84</f>
        <v>215220</v>
      </c>
      <c r="X1103" s="116">
        <f>InputData!$C$85</f>
        <v>409020</v>
      </c>
      <c r="Y1103" s="116">
        <f>InputData!$C$116</f>
        <v>140000</v>
      </c>
      <c r="Z1103" s="160">
        <f>InputData!$E$13</f>
        <v>0</v>
      </c>
    </row>
    <row r="1104" spans="1:26" x14ac:dyDescent="0.25">
      <c r="A1104">
        <f>InputData!$K$1</f>
        <v>2013</v>
      </c>
      <c r="B1104" t="str">
        <f>InputData!$G$1</f>
        <v>San Antonio, TX</v>
      </c>
      <c r="C1104" t="s">
        <v>5</v>
      </c>
      <c r="D1104" t="str">
        <f>Graph_GenSurg!$K$6</f>
        <v>PAYEr</v>
      </c>
      <c r="E1104" t="str">
        <f t="shared" si="17"/>
        <v>General Surgery PAYEr</v>
      </c>
      <c r="F1104">
        <f>Graph_GenSurg!$A29</f>
        <v>2035</v>
      </c>
      <c r="G1104">
        <f>Graph_GenSurg!$B29</f>
        <v>23</v>
      </c>
      <c r="H1104" s="165">
        <f>Graph_GenSurg!$K29</f>
        <v>1759801.0522764304</v>
      </c>
      <c r="I1104" s="160">
        <f>InputData!$C$3</f>
        <v>0.02</v>
      </c>
      <c r="J1104" s="160">
        <f>InputData!$C$4</f>
        <v>0.01</v>
      </c>
      <c r="K1104" s="160">
        <f>InputData!$C$5</f>
        <v>0.01</v>
      </c>
      <c r="L1104" s="160">
        <f>InputData!$C$6</f>
        <v>6.2100000000000002E-2</v>
      </c>
      <c r="M1104" s="160">
        <f>InputData!$C$7</f>
        <v>0.03</v>
      </c>
      <c r="N1104" s="160">
        <f>InputData!$C$8</f>
        <v>0.02</v>
      </c>
      <c r="O1104" s="160">
        <f>InputData!$C$9</f>
        <v>0.06</v>
      </c>
      <c r="P1104" s="160">
        <f>InputData!$C$10</f>
        <v>0.02</v>
      </c>
      <c r="Q1104" s="160">
        <f>InputData!$C$11</f>
        <v>0.02</v>
      </c>
      <c r="R1104" s="160">
        <f>InputData!$C$12</f>
        <v>0.02</v>
      </c>
      <c r="S1104" s="160">
        <f>InputData!$C$13</f>
        <v>0.9</v>
      </c>
      <c r="T1104" s="116">
        <f>InputData!$C$88</f>
        <v>180000</v>
      </c>
      <c r="U1104" s="116">
        <f>InputData!$C$81</f>
        <v>178500</v>
      </c>
      <c r="V1104" s="116">
        <f>InputData!$C$82</f>
        <v>303960</v>
      </c>
      <c r="W1104" s="116">
        <f>InputData!$C$84</f>
        <v>215220</v>
      </c>
      <c r="X1104" s="116">
        <f>InputData!$C$85</f>
        <v>409020</v>
      </c>
      <c r="Y1104" s="116">
        <f>InputData!$C$116</f>
        <v>140000</v>
      </c>
      <c r="Z1104" s="160">
        <f>InputData!$E$13</f>
        <v>0</v>
      </c>
    </row>
    <row r="1105" spans="1:26" x14ac:dyDescent="0.25">
      <c r="A1105">
        <f>InputData!$K$1</f>
        <v>2013</v>
      </c>
      <c r="B1105" t="str">
        <f>InputData!$G$1</f>
        <v>San Antonio, TX</v>
      </c>
      <c r="C1105" t="s">
        <v>5</v>
      </c>
      <c r="D1105" t="str">
        <f>Graph_GenSurg!$K$6</f>
        <v>PAYEr</v>
      </c>
      <c r="E1105" t="str">
        <f t="shared" si="17"/>
        <v>General Surgery PAYEr</v>
      </c>
      <c r="F1105">
        <f>Graph_GenSurg!$A30</f>
        <v>2036</v>
      </c>
      <c r="G1105">
        <f>Graph_GenSurg!$B30</f>
        <v>24</v>
      </c>
      <c r="H1105" s="165">
        <f>Graph_GenSurg!$K30</f>
        <v>1879897.8935896966</v>
      </c>
      <c r="I1105" s="160">
        <f>InputData!$C$3</f>
        <v>0.02</v>
      </c>
      <c r="J1105" s="160">
        <f>InputData!$C$4</f>
        <v>0.01</v>
      </c>
      <c r="K1105" s="160">
        <f>InputData!$C$5</f>
        <v>0.01</v>
      </c>
      <c r="L1105" s="160">
        <f>InputData!$C$6</f>
        <v>6.2100000000000002E-2</v>
      </c>
      <c r="M1105" s="160">
        <f>InputData!$C$7</f>
        <v>0.03</v>
      </c>
      <c r="N1105" s="160">
        <f>InputData!$C$8</f>
        <v>0.02</v>
      </c>
      <c r="O1105" s="160">
        <f>InputData!$C$9</f>
        <v>0.06</v>
      </c>
      <c r="P1105" s="160">
        <f>InputData!$C$10</f>
        <v>0.02</v>
      </c>
      <c r="Q1105" s="160">
        <f>InputData!$C$11</f>
        <v>0.02</v>
      </c>
      <c r="R1105" s="160">
        <f>InputData!$C$12</f>
        <v>0.02</v>
      </c>
      <c r="S1105" s="160">
        <f>InputData!$C$13</f>
        <v>0.9</v>
      </c>
      <c r="T1105" s="116">
        <f>InputData!$C$88</f>
        <v>180000</v>
      </c>
      <c r="U1105" s="116">
        <f>InputData!$C$81</f>
        <v>178500</v>
      </c>
      <c r="V1105" s="116">
        <f>InputData!$C$82</f>
        <v>303960</v>
      </c>
      <c r="W1105" s="116">
        <f>InputData!$C$84</f>
        <v>215220</v>
      </c>
      <c r="X1105" s="116">
        <f>InputData!$C$85</f>
        <v>409020</v>
      </c>
      <c r="Y1105" s="116">
        <f>InputData!$C$116</f>
        <v>140000</v>
      </c>
      <c r="Z1105" s="160">
        <f>InputData!$E$13</f>
        <v>0</v>
      </c>
    </row>
    <row r="1106" spans="1:26" x14ac:dyDescent="0.25">
      <c r="A1106">
        <f>InputData!$K$1</f>
        <v>2013</v>
      </c>
      <c r="B1106" t="str">
        <f>InputData!$G$1</f>
        <v>San Antonio, TX</v>
      </c>
      <c r="C1106" t="s">
        <v>5</v>
      </c>
      <c r="D1106" t="str">
        <f>Graph_GenSurg!$K$6</f>
        <v>PAYEr</v>
      </c>
      <c r="E1106" t="str">
        <f t="shared" si="17"/>
        <v>General Surgery PAYEr</v>
      </c>
      <c r="F1106">
        <f>Graph_GenSurg!$A31</f>
        <v>2037</v>
      </c>
      <c r="G1106">
        <f>Graph_GenSurg!$B31</f>
        <v>25</v>
      </c>
      <c r="H1106" s="165">
        <f>Graph_GenSurg!$K31</f>
        <v>1997587.6493441174</v>
      </c>
      <c r="I1106" s="160">
        <f>InputData!$C$3</f>
        <v>0.02</v>
      </c>
      <c r="J1106" s="160">
        <f>InputData!$C$4</f>
        <v>0.01</v>
      </c>
      <c r="K1106" s="160">
        <f>InputData!$C$5</f>
        <v>0.01</v>
      </c>
      <c r="L1106" s="160">
        <f>InputData!$C$6</f>
        <v>6.2100000000000002E-2</v>
      </c>
      <c r="M1106" s="160">
        <f>InputData!$C$7</f>
        <v>0.03</v>
      </c>
      <c r="N1106" s="160">
        <f>InputData!$C$8</f>
        <v>0.02</v>
      </c>
      <c r="O1106" s="160">
        <f>InputData!$C$9</f>
        <v>0.06</v>
      </c>
      <c r="P1106" s="160">
        <f>InputData!$C$10</f>
        <v>0.02</v>
      </c>
      <c r="Q1106" s="160">
        <f>InputData!$C$11</f>
        <v>0.02</v>
      </c>
      <c r="R1106" s="160">
        <f>InputData!$C$12</f>
        <v>0.02</v>
      </c>
      <c r="S1106" s="160">
        <f>InputData!$C$13</f>
        <v>0.9</v>
      </c>
      <c r="T1106" s="116">
        <f>InputData!$C$88</f>
        <v>180000</v>
      </c>
      <c r="U1106" s="116">
        <f>InputData!$C$81</f>
        <v>178500</v>
      </c>
      <c r="V1106" s="116">
        <f>InputData!$C$82</f>
        <v>303960</v>
      </c>
      <c r="W1106" s="116">
        <f>InputData!$C$84</f>
        <v>215220</v>
      </c>
      <c r="X1106" s="116">
        <f>InputData!$C$85</f>
        <v>409020</v>
      </c>
      <c r="Y1106" s="116">
        <f>InputData!$C$116</f>
        <v>140000</v>
      </c>
      <c r="Z1106" s="160">
        <f>InputData!$E$13</f>
        <v>0</v>
      </c>
    </row>
    <row r="1107" spans="1:26" x14ac:dyDescent="0.25">
      <c r="A1107">
        <f>InputData!$K$1</f>
        <v>2013</v>
      </c>
      <c r="B1107" t="str">
        <f>InputData!$G$1</f>
        <v>San Antonio, TX</v>
      </c>
      <c r="C1107" t="s">
        <v>5</v>
      </c>
      <c r="D1107" t="str">
        <f>Graph_GenSurg!$K$6</f>
        <v>PAYEr</v>
      </c>
      <c r="E1107" t="str">
        <f t="shared" si="17"/>
        <v>General Surgery PAYEr</v>
      </c>
      <c r="F1107">
        <f>Graph_GenSurg!$A32</f>
        <v>2038</v>
      </c>
      <c r="G1107">
        <f>Graph_GenSurg!$B32</f>
        <v>26</v>
      </c>
      <c r="H1107" s="165">
        <f>Graph_GenSurg!$K32</f>
        <v>2112919.0390103045</v>
      </c>
      <c r="I1107" s="160">
        <f>InputData!$C$3</f>
        <v>0.02</v>
      </c>
      <c r="J1107" s="160">
        <f>InputData!$C$4</f>
        <v>0.01</v>
      </c>
      <c r="K1107" s="160">
        <f>InputData!$C$5</f>
        <v>0.01</v>
      </c>
      <c r="L1107" s="160">
        <f>InputData!$C$6</f>
        <v>6.2100000000000002E-2</v>
      </c>
      <c r="M1107" s="160">
        <f>InputData!$C$7</f>
        <v>0.03</v>
      </c>
      <c r="N1107" s="160">
        <f>InputData!$C$8</f>
        <v>0.02</v>
      </c>
      <c r="O1107" s="160">
        <f>InputData!$C$9</f>
        <v>0.06</v>
      </c>
      <c r="P1107" s="160">
        <f>InputData!$C$10</f>
        <v>0.02</v>
      </c>
      <c r="Q1107" s="160">
        <f>InputData!$C$11</f>
        <v>0.02</v>
      </c>
      <c r="R1107" s="160">
        <f>InputData!$C$12</f>
        <v>0.02</v>
      </c>
      <c r="S1107" s="160">
        <f>InputData!$C$13</f>
        <v>0.9</v>
      </c>
      <c r="T1107" s="116">
        <f>InputData!$C$88</f>
        <v>180000</v>
      </c>
      <c r="U1107" s="116">
        <f>InputData!$C$81</f>
        <v>178500</v>
      </c>
      <c r="V1107" s="116">
        <f>InputData!$C$82</f>
        <v>303960</v>
      </c>
      <c r="W1107" s="116">
        <f>InputData!$C$84</f>
        <v>215220</v>
      </c>
      <c r="X1107" s="116">
        <f>InputData!$C$85</f>
        <v>409020</v>
      </c>
      <c r="Y1107" s="116">
        <f>InputData!$C$116</f>
        <v>140000</v>
      </c>
      <c r="Z1107" s="160">
        <f>InputData!$E$13</f>
        <v>0</v>
      </c>
    </row>
    <row r="1108" spans="1:26" x14ac:dyDescent="0.25">
      <c r="A1108">
        <f>InputData!$K$1</f>
        <v>2013</v>
      </c>
      <c r="B1108" t="str">
        <f>InputData!$G$1</f>
        <v>San Antonio, TX</v>
      </c>
      <c r="C1108" t="s">
        <v>5</v>
      </c>
      <c r="D1108" t="str">
        <f>Graph_GenSurg!$K$6</f>
        <v>PAYEr</v>
      </c>
      <c r="E1108" t="str">
        <f t="shared" si="17"/>
        <v>General Surgery PAYEr</v>
      </c>
      <c r="F1108">
        <f>Graph_GenSurg!$A33</f>
        <v>2039</v>
      </c>
      <c r="G1108">
        <f>Graph_GenSurg!$B33</f>
        <v>27</v>
      </c>
      <c r="H1108" s="165">
        <f>Graph_GenSurg!$K33</f>
        <v>2225939.7824533493</v>
      </c>
      <c r="I1108" s="160">
        <f>InputData!$C$3</f>
        <v>0.02</v>
      </c>
      <c r="J1108" s="160">
        <f>InputData!$C$4</f>
        <v>0.01</v>
      </c>
      <c r="K1108" s="160">
        <f>InputData!$C$5</f>
        <v>0.01</v>
      </c>
      <c r="L1108" s="160">
        <f>InputData!$C$6</f>
        <v>6.2100000000000002E-2</v>
      </c>
      <c r="M1108" s="160">
        <f>InputData!$C$7</f>
        <v>0.03</v>
      </c>
      <c r="N1108" s="160">
        <f>InputData!$C$8</f>
        <v>0.02</v>
      </c>
      <c r="O1108" s="160">
        <f>InputData!$C$9</f>
        <v>0.06</v>
      </c>
      <c r="P1108" s="160">
        <f>InputData!$C$10</f>
        <v>0.02</v>
      </c>
      <c r="Q1108" s="160">
        <f>InputData!$C$11</f>
        <v>0.02</v>
      </c>
      <c r="R1108" s="160">
        <f>InputData!$C$12</f>
        <v>0.02</v>
      </c>
      <c r="S1108" s="160">
        <f>InputData!$C$13</f>
        <v>0.9</v>
      </c>
      <c r="T1108" s="116">
        <f>InputData!$C$88</f>
        <v>180000</v>
      </c>
      <c r="U1108" s="116">
        <f>InputData!$C$81</f>
        <v>178500</v>
      </c>
      <c r="V1108" s="116">
        <f>InputData!$C$82</f>
        <v>303960</v>
      </c>
      <c r="W1108" s="116">
        <f>InputData!$C$84</f>
        <v>215220</v>
      </c>
      <c r="X1108" s="116">
        <f>InputData!$C$85</f>
        <v>409020</v>
      </c>
      <c r="Y1108" s="116">
        <f>InputData!$C$116</f>
        <v>140000</v>
      </c>
      <c r="Z1108" s="160">
        <f>InputData!$E$13</f>
        <v>0</v>
      </c>
    </row>
    <row r="1109" spans="1:26" x14ac:dyDescent="0.25">
      <c r="A1109">
        <f>InputData!$K$1</f>
        <v>2013</v>
      </c>
      <c r="B1109" t="str">
        <f>InputData!$G$1</f>
        <v>San Antonio, TX</v>
      </c>
      <c r="C1109" t="s">
        <v>5</v>
      </c>
      <c r="D1109" t="str">
        <f>Graph_GenSurg!$K$6</f>
        <v>PAYEr</v>
      </c>
      <c r="E1109" t="str">
        <f t="shared" si="17"/>
        <v>General Surgery PAYEr</v>
      </c>
      <c r="F1109">
        <f>Graph_GenSurg!$A34</f>
        <v>2040</v>
      </c>
      <c r="G1109">
        <f>Graph_GenSurg!$B34</f>
        <v>28</v>
      </c>
      <c r="H1109" s="165">
        <f>Graph_GenSurg!$K34</f>
        <v>2336696.6208238569</v>
      </c>
      <c r="I1109" s="160">
        <f>InputData!$C$3</f>
        <v>0.02</v>
      </c>
      <c r="J1109" s="160">
        <f>InputData!$C$4</f>
        <v>0.01</v>
      </c>
      <c r="K1109" s="160">
        <f>InputData!$C$5</f>
        <v>0.01</v>
      </c>
      <c r="L1109" s="160">
        <f>InputData!$C$6</f>
        <v>6.2100000000000002E-2</v>
      </c>
      <c r="M1109" s="160">
        <f>InputData!$C$7</f>
        <v>0.03</v>
      </c>
      <c r="N1109" s="160">
        <f>InputData!$C$8</f>
        <v>0.02</v>
      </c>
      <c r="O1109" s="160">
        <f>InputData!$C$9</f>
        <v>0.06</v>
      </c>
      <c r="P1109" s="160">
        <f>InputData!$C$10</f>
        <v>0.02</v>
      </c>
      <c r="Q1109" s="160">
        <f>InputData!$C$11</f>
        <v>0.02</v>
      </c>
      <c r="R1109" s="160">
        <f>InputData!$C$12</f>
        <v>0.02</v>
      </c>
      <c r="S1109" s="160">
        <f>InputData!$C$13</f>
        <v>0.9</v>
      </c>
      <c r="T1109" s="116">
        <f>InputData!$C$88</f>
        <v>180000</v>
      </c>
      <c r="U1109" s="116">
        <f>InputData!$C$81</f>
        <v>178500</v>
      </c>
      <c r="V1109" s="116">
        <f>InputData!$C$82</f>
        <v>303960</v>
      </c>
      <c r="W1109" s="116">
        <f>InputData!$C$84</f>
        <v>215220</v>
      </c>
      <c r="X1109" s="116">
        <f>InputData!$C$85</f>
        <v>409020</v>
      </c>
      <c r="Y1109" s="116">
        <f>InputData!$C$116</f>
        <v>140000</v>
      </c>
      <c r="Z1109" s="160">
        <f>InputData!$E$13</f>
        <v>0</v>
      </c>
    </row>
    <row r="1110" spans="1:26" x14ac:dyDescent="0.25">
      <c r="A1110">
        <f>InputData!$K$1</f>
        <v>2013</v>
      </c>
      <c r="B1110" t="str">
        <f>InputData!$G$1</f>
        <v>San Antonio, TX</v>
      </c>
      <c r="C1110" t="s">
        <v>5</v>
      </c>
      <c r="D1110" t="str">
        <f>Graph_GenSurg!$K$6</f>
        <v>PAYEr</v>
      </c>
      <c r="E1110" t="str">
        <f t="shared" si="17"/>
        <v>General Surgery PAYEr</v>
      </c>
      <c r="F1110">
        <f>Graph_GenSurg!$A35</f>
        <v>2041</v>
      </c>
      <c r="G1110">
        <f>Graph_GenSurg!$B35</f>
        <v>29</v>
      </c>
      <c r="H1110" s="165">
        <f>Graph_GenSurg!$K35</f>
        <v>2445235.3370017507</v>
      </c>
      <c r="I1110" s="160">
        <f>InputData!$C$3</f>
        <v>0.02</v>
      </c>
      <c r="J1110" s="160">
        <f>InputData!$C$4</f>
        <v>0.01</v>
      </c>
      <c r="K1110" s="160">
        <f>InputData!$C$5</f>
        <v>0.01</v>
      </c>
      <c r="L1110" s="160">
        <f>InputData!$C$6</f>
        <v>6.2100000000000002E-2</v>
      </c>
      <c r="M1110" s="160">
        <f>InputData!$C$7</f>
        <v>0.03</v>
      </c>
      <c r="N1110" s="160">
        <f>InputData!$C$8</f>
        <v>0.02</v>
      </c>
      <c r="O1110" s="160">
        <f>InputData!$C$9</f>
        <v>0.06</v>
      </c>
      <c r="P1110" s="160">
        <f>InputData!$C$10</f>
        <v>0.02</v>
      </c>
      <c r="Q1110" s="160">
        <f>InputData!$C$11</f>
        <v>0.02</v>
      </c>
      <c r="R1110" s="160">
        <f>InputData!$C$12</f>
        <v>0.02</v>
      </c>
      <c r="S1110" s="160">
        <f>InputData!$C$13</f>
        <v>0.9</v>
      </c>
      <c r="T1110" s="116">
        <f>InputData!$C$88</f>
        <v>180000</v>
      </c>
      <c r="U1110" s="116">
        <f>InputData!$C$81</f>
        <v>178500</v>
      </c>
      <c r="V1110" s="116">
        <f>InputData!$C$82</f>
        <v>303960</v>
      </c>
      <c r="W1110" s="116">
        <f>InputData!$C$84</f>
        <v>215220</v>
      </c>
      <c r="X1110" s="116">
        <f>InputData!$C$85</f>
        <v>409020</v>
      </c>
      <c r="Y1110" s="116">
        <f>InputData!$C$116</f>
        <v>140000</v>
      </c>
      <c r="Z1110" s="160">
        <f>InputData!$E$13</f>
        <v>0</v>
      </c>
    </row>
    <row r="1111" spans="1:26" x14ac:dyDescent="0.25">
      <c r="A1111">
        <f>InputData!$K$1</f>
        <v>2013</v>
      </c>
      <c r="B1111" t="str">
        <f>InputData!$G$1</f>
        <v>San Antonio, TX</v>
      </c>
      <c r="C1111" t="s">
        <v>5</v>
      </c>
      <c r="D1111" t="str">
        <f>Graph_GenSurg!$K$6</f>
        <v>PAYEr</v>
      </c>
      <c r="E1111" t="str">
        <f t="shared" si="17"/>
        <v>General Surgery PAYEr</v>
      </c>
      <c r="F1111">
        <f>Graph_GenSurg!$A36</f>
        <v>2042</v>
      </c>
      <c r="G1111">
        <f>Graph_GenSurg!$B36</f>
        <v>30</v>
      </c>
      <c r="H1111" s="165">
        <f>Graph_GenSurg!$K36</f>
        <v>2551600.7756027165</v>
      </c>
      <c r="I1111" s="160">
        <f>InputData!$C$3</f>
        <v>0.02</v>
      </c>
      <c r="J1111" s="160">
        <f>InputData!$C$4</f>
        <v>0.01</v>
      </c>
      <c r="K1111" s="160">
        <f>InputData!$C$5</f>
        <v>0.01</v>
      </c>
      <c r="L1111" s="160">
        <f>InputData!$C$6</f>
        <v>6.2100000000000002E-2</v>
      </c>
      <c r="M1111" s="160">
        <f>InputData!$C$7</f>
        <v>0.03</v>
      </c>
      <c r="N1111" s="160">
        <f>InputData!$C$8</f>
        <v>0.02</v>
      </c>
      <c r="O1111" s="160">
        <f>InputData!$C$9</f>
        <v>0.06</v>
      </c>
      <c r="P1111" s="160">
        <f>InputData!$C$10</f>
        <v>0.02</v>
      </c>
      <c r="Q1111" s="160">
        <f>InputData!$C$11</f>
        <v>0.02</v>
      </c>
      <c r="R1111" s="160">
        <f>InputData!$C$12</f>
        <v>0.02</v>
      </c>
      <c r="S1111" s="160">
        <f>InputData!$C$13</f>
        <v>0.9</v>
      </c>
      <c r="T1111" s="116">
        <f>InputData!$C$88</f>
        <v>180000</v>
      </c>
      <c r="U1111" s="116">
        <f>InputData!$C$81</f>
        <v>178500</v>
      </c>
      <c r="V1111" s="116">
        <f>InputData!$C$82</f>
        <v>303960</v>
      </c>
      <c r="W1111" s="116">
        <f>InputData!$C$84</f>
        <v>215220</v>
      </c>
      <c r="X1111" s="116">
        <f>InputData!$C$85</f>
        <v>409020</v>
      </c>
      <c r="Y1111" s="116">
        <f>InputData!$C$116</f>
        <v>140000</v>
      </c>
      <c r="Z1111" s="160">
        <f>InputData!$E$13</f>
        <v>0</v>
      </c>
    </row>
    <row r="1112" spans="1:26" x14ac:dyDescent="0.25">
      <c r="A1112">
        <f>InputData!$K$1</f>
        <v>2013</v>
      </c>
      <c r="B1112" t="str">
        <f>InputData!$G$1</f>
        <v>San Antonio, TX</v>
      </c>
      <c r="C1112" t="s">
        <v>5</v>
      </c>
      <c r="D1112" t="str">
        <f>Graph_GenSurg!$L$6</f>
        <v>USU20</v>
      </c>
      <c r="E1112" t="str">
        <f t="shared" si="17"/>
        <v>General Surgery USU20</v>
      </c>
      <c r="F1112">
        <f>Graph_GenSurg!$A7</f>
        <v>2013</v>
      </c>
      <c r="G1112">
        <f>Graph_GenSurg!$B7</f>
        <v>1</v>
      </c>
      <c r="H1112" s="165">
        <f>Graph_GenSurg!$L7</f>
        <v>54056.194799999997</v>
      </c>
      <c r="I1112" s="160">
        <f>InputData!$C$3</f>
        <v>0.02</v>
      </c>
      <c r="J1112" s="160">
        <f>InputData!$C$4</f>
        <v>0.01</v>
      </c>
      <c r="K1112" s="160">
        <f>InputData!$C$5</f>
        <v>0.01</v>
      </c>
      <c r="L1112" s="160">
        <f>InputData!$C$6</f>
        <v>6.2100000000000002E-2</v>
      </c>
      <c r="M1112" s="160">
        <f>InputData!$C$7</f>
        <v>0.03</v>
      </c>
      <c r="N1112" s="160">
        <f>InputData!$C$8</f>
        <v>0.02</v>
      </c>
      <c r="O1112" s="160">
        <f>InputData!$C$9</f>
        <v>0.06</v>
      </c>
      <c r="P1112" s="160">
        <f>InputData!$C$10</f>
        <v>0.02</v>
      </c>
      <c r="Q1112" s="160">
        <f>InputData!$C$11</f>
        <v>0.02</v>
      </c>
      <c r="R1112" s="160">
        <f>InputData!$C$12</f>
        <v>0.02</v>
      </c>
      <c r="S1112" s="160">
        <f>InputData!$C$13</f>
        <v>0.9</v>
      </c>
      <c r="T1112" s="116">
        <f>InputData!$C$88</f>
        <v>180000</v>
      </c>
      <c r="U1112" s="116">
        <f>InputData!$C$81</f>
        <v>178500</v>
      </c>
      <c r="V1112" s="116">
        <f>InputData!$C$82</f>
        <v>303960</v>
      </c>
      <c r="W1112" s="116">
        <f>InputData!$C$84</f>
        <v>215220</v>
      </c>
      <c r="X1112" s="116">
        <f>InputData!$C$85</f>
        <v>409020</v>
      </c>
      <c r="Y1112" s="116">
        <f>InputData!$C$116</f>
        <v>140000</v>
      </c>
      <c r="Z1112" s="160">
        <f>InputData!$E$13</f>
        <v>0</v>
      </c>
    </row>
    <row r="1113" spans="1:26" x14ac:dyDescent="0.25">
      <c r="A1113">
        <f>InputData!$K$1</f>
        <v>2013</v>
      </c>
      <c r="B1113" t="str">
        <f>InputData!$G$1</f>
        <v>San Antonio, TX</v>
      </c>
      <c r="C1113" t="s">
        <v>5</v>
      </c>
      <c r="D1113" t="str">
        <f>Graph_GenSurg!$L$6</f>
        <v>USU20</v>
      </c>
      <c r="E1113" t="str">
        <f t="shared" si="17"/>
        <v>General Surgery USU20</v>
      </c>
      <c r="F1113">
        <f>Graph_GenSurg!$A8</f>
        <v>2014</v>
      </c>
      <c r="G1113">
        <f>Graph_GenSurg!$B8</f>
        <v>2</v>
      </c>
      <c r="H1113" s="165">
        <f>Graph_GenSurg!$L8</f>
        <v>106041.93556527697</v>
      </c>
      <c r="I1113" s="160">
        <f>InputData!$C$3</f>
        <v>0.02</v>
      </c>
      <c r="J1113" s="160">
        <f>InputData!$C$4</f>
        <v>0.01</v>
      </c>
      <c r="K1113" s="160">
        <f>InputData!$C$5</f>
        <v>0.01</v>
      </c>
      <c r="L1113" s="160">
        <f>InputData!$C$6</f>
        <v>6.2100000000000002E-2</v>
      </c>
      <c r="M1113" s="160">
        <f>InputData!$C$7</f>
        <v>0.03</v>
      </c>
      <c r="N1113" s="160">
        <f>InputData!$C$8</f>
        <v>0.02</v>
      </c>
      <c r="O1113" s="160">
        <f>InputData!$C$9</f>
        <v>0.06</v>
      </c>
      <c r="P1113" s="160">
        <f>InputData!$C$10</f>
        <v>0.02</v>
      </c>
      <c r="Q1113" s="160">
        <f>InputData!$C$11</f>
        <v>0.02</v>
      </c>
      <c r="R1113" s="160">
        <f>InputData!$C$12</f>
        <v>0.02</v>
      </c>
      <c r="S1113" s="160">
        <f>InputData!$C$13</f>
        <v>0.9</v>
      </c>
      <c r="T1113" s="116">
        <f>InputData!$C$88</f>
        <v>180000</v>
      </c>
      <c r="U1113" s="116">
        <f>InputData!$C$81</f>
        <v>178500</v>
      </c>
      <c r="V1113" s="116">
        <f>InputData!$C$82</f>
        <v>303960</v>
      </c>
      <c r="W1113" s="116">
        <f>InputData!$C$84</f>
        <v>215220</v>
      </c>
      <c r="X1113" s="116">
        <f>InputData!$C$85</f>
        <v>409020</v>
      </c>
      <c r="Y1113" s="116">
        <f>InputData!$C$116</f>
        <v>140000</v>
      </c>
      <c r="Z1113" s="160">
        <f>InputData!$E$13</f>
        <v>0</v>
      </c>
    </row>
    <row r="1114" spans="1:26" x14ac:dyDescent="0.25">
      <c r="A1114">
        <f>InputData!$K$1</f>
        <v>2013</v>
      </c>
      <c r="B1114" t="str">
        <f>InputData!$G$1</f>
        <v>San Antonio, TX</v>
      </c>
      <c r="C1114" t="s">
        <v>5</v>
      </c>
      <c r="D1114" t="str">
        <f>Graph_GenSurg!$L$6</f>
        <v>USU20</v>
      </c>
      <c r="E1114" t="str">
        <f t="shared" si="17"/>
        <v>General Surgery USU20</v>
      </c>
      <c r="F1114">
        <f>Graph_GenSurg!$A9</f>
        <v>2015</v>
      </c>
      <c r="G1114">
        <f>Graph_GenSurg!$B9</f>
        <v>3</v>
      </c>
      <c r="H1114" s="165">
        <f>Graph_GenSurg!$L9</f>
        <v>157045.52189700573</v>
      </c>
      <c r="I1114" s="160">
        <f>InputData!$C$3</f>
        <v>0.02</v>
      </c>
      <c r="J1114" s="160">
        <f>InputData!$C$4</f>
        <v>0.01</v>
      </c>
      <c r="K1114" s="160">
        <f>InputData!$C$5</f>
        <v>0.01</v>
      </c>
      <c r="L1114" s="160">
        <f>InputData!$C$6</f>
        <v>6.2100000000000002E-2</v>
      </c>
      <c r="M1114" s="160">
        <f>InputData!$C$7</f>
        <v>0.03</v>
      </c>
      <c r="N1114" s="160">
        <f>InputData!$C$8</f>
        <v>0.02</v>
      </c>
      <c r="O1114" s="160">
        <f>InputData!$C$9</f>
        <v>0.06</v>
      </c>
      <c r="P1114" s="160">
        <f>InputData!$C$10</f>
        <v>0.02</v>
      </c>
      <c r="Q1114" s="160">
        <f>InputData!$C$11</f>
        <v>0.02</v>
      </c>
      <c r="R1114" s="160">
        <f>InputData!$C$12</f>
        <v>0.02</v>
      </c>
      <c r="S1114" s="160">
        <f>InputData!$C$13</f>
        <v>0.9</v>
      </c>
      <c r="T1114" s="116">
        <f>InputData!$C$88</f>
        <v>180000</v>
      </c>
      <c r="U1114" s="116">
        <f>InputData!$C$81</f>
        <v>178500</v>
      </c>
      <c r="V1114" s="116">
        <f>InputData!$C$82</f>
        <v>303960</v>
      </c>
      <c r="W1114" s="116">
        <f>InputData!$C$84</f>
        <v>215220</v>
      </c>
      <c r="X1114" s="116">
        <f>InputData!$C$85</f>
        <v>409020</v>
      </c>
      <c r="Y1114" s="116">
        <f>InputData!$C$116</f>
        <v>140000</v>
      </c>
      <c r="Z1114" s="160">
        <f>InputData!$E$13</f>
        <v>0</v>
      </c>
    </row>
    <row r="1115" spans="1:26" x14ac:dyDescent="0.25">
      <c r="A1115">
        <f>InputData!$K$1</f>
        <v>2013</v>
      </c>
      <c r="B1115" t="str">
        <f>InputData!$G$1</f>
        <v>San Antonio, TX</v>
      </c>
      <c r="C1115" t="s">
        <v>5</v>
      </c>
      <c r="D1115" t="str">
        <f>Graph_GenSurg!$L$6</f>
        <v>USU20</v>
      </c>
      <c r="E1115" t="str">
        <f t="shared" si="17"/>
        <v>General Surgery USU20</v>
      </c>
      <c r="F1115">
        <f>Graph_GenSurg!$A10</f>
        <v>2016</v>
      </c>
      <c r="G1115">
        <f>Graph_GenSurg!$B10</f>
        <v>4</v>
      </c>
      <c r="H1115" s="165">
        <f>Graph_GenSurg!$L10</f>
        <v>211251.55229740124</v>
      </c>
      <c r="I1115" s="160">
        <f>InputData!$C$3</f>
        <v>0.02</v>
      </c>
      <c r="J1115" s="160">
        <f>InputData!$C$4</f>
        <v>0.01</v>
      </c>
      <c r="K1115" s="160">
        <f>InputData!$C$5</f>
        <v>0.01</v>
      </c>
      <c r="L1115" s="160">
        <f>InputData!$C$6</f>
        <v>6.2100000000000002E-2</v>
      </c>
      <c r="M1115" s="160">
        <f>InputData!$C$7</f>
        <v>0.03</v>
      </c>
      <c r="N1115" s="160">
        <f>InputData!$C$8</f>
        <v>0.02</v>
      </c>
      <c r="O1115" s="160">
        <f>InputData!$C$9</f>
        <v>0.06</v>
      </c>
      <c r="P1115" s="160">
        <f>InputData!$C$10</f>
        <v>0.02</v>
      </c>
      <c r="Q1115" s="160">
        <f>InputData!$C$11</f>
        <v>0.02</v>
      </c>
      <c r="R1115" s="160">
        <f>InputData!$C$12</f>
        <v>0.02</v>
      </c>
      <c r="S1115" s="160">
        <f>InputData!$C$13</f>
        <v>0.9</v>
      </c>
      <c r="T1115" s="116">
        <f>InputData!$C$88</f>
        <v>180000</v>
      </c>
      <c r="U1115" s="116">
        <f>InputData!$C$81</f>
        <v>178500</v>
      </c>
      <c r="V1115" s="116">
        <f>InputData!$C$82</f>
        <v>303960</v>
      </c>
      <c r="W1115" s="116">
        <f>InputData!$C$84</f>
        <v>215220</v>
      </c>
      <c r="X1115" s="116">
        <f>InputData!$C$85</f>
        <v>409020</v>
      </c>
      <c r="Y1115" s="116">
        <f>InputData!$C$116</f>
        <v>140000</v>
      </c>
      <c r="Z1115" s="160">
        <f>InputData!$E$13</f>
        <v>0</v>
      </c>
    </row>
    <row r="1116" spans="1:26" x14ac:dyDescent="0.25">
      <c r="A1116">
        <f>InputData!$K$1</f>
        <v>2013</v>
      </c>
      <c r="B1116" t="str">
        <f>InputData!$G$1</f>
        <v>San Antonio, TX</v>
      </c>
      <c r="C1116" t="s">
        <v>5</v>
      </c>
      <c r="D1116" t="str">
        <f>Graph_GenSurg!$L$6</f>
        <v>USU20</v>
      </c>
      <c r="E1116" t="str">
        <f t="shared" si="17"/>
        <v>General Surgery USU20</v>
      </c>
      <c r="F1116">
        <f>Graph_GenSurg!$A11</f>
        <v>2017</v>
      </c>
      <c r="G1116">
        <f>Graph_GenSurg!$B11</f>
        <v>5</v>
      </c>
      <c r="H1116" s="165">
        <f>Graph_GenSurg!$L11</f>
        <v>261213.54479899554</v>
      </c>
      <c r="I1116" s="160">
        <f>InputData!$C$3</f>
        <v>0.02</v>
      </c>
      <c r="J1116" s="160">
        <f>InputData!$C$4</f>
        <v>0.01</v>
      </c>
      <c r="K1116" s="160">
        <f>InputData!$C$5</f>
        <v>0.01</v>
      </c>
      <c r="L1116" s="160">
        <f>InputData!$C$6</f>
        <v>6.2100000000000002E-2</v>
      </c>
      <c r="M1116" s="160">
        <f>InputData!$C$7</f>
        <v>0.03</v>
      </c>
      <c r="N1116" s="160">
        <f>InputData!$C$8</f>
        <v>0.02</v>
      </c>
      <c r="O1116" s="160">
        <f>InputData!$C$9</f>
        <v>0.06</v>
      </c>
      <c r="P1116" s="160">
        <f>InputData!$C$10</f>
        <v>0.02</v>
      </c>
      <c r="Q1116" s="160">
        <f>InputData!$C$11</f>
        <v>0.02</v>
      </c>
      <c r="R1116" s="160">
        <f>InputData!$C$12</f>
        <v>0.02</v>
      </c>
      <c r="S1116" s="160">
        <f>InputData!$C$13</f>
        <v>0.9</v>
      </c>
      <c r="T1116" s="116">
        <f>InputData!$C$88</f>
        <v>180000</v>
      </c>
      <c r="U1116" s="116">
        <f>InputData!$C$81</f>
        <v>178500</v>
      </c>
      <c r="V1116" s="116">
        <f>InputData!$C$82</f>
        <v>303960</v>
      </c>
      <c r="W1116" s="116">
        <f>InputData!$C$84</f>
        <v>215220</v>
      </c>
      <c r="X1116" s="116">
        <f>InputData!$C$85</f>
        <v>409020</v>
      </c>
      <c r="Y1116" s="116">
        <f>InputData!$C$116</f>
        <v>140000</v>
      </c>
      <c r="Z1116" s="160">
        <f>InputData!$E$13</f>
        <v>0</v>
      </c>
    </row>
    <row r="1117" spans="1:26" x14ac:dyDescent="0.25">
      <c r="A1117">
        <f>InputData!$K$1</f>
        <v>2013</v>
      </c>
      <c r="B1117" t="str">
        <f>InputData!$G$1</f>
        <v>San Antonio, TX</v>
      </c>
      <c r="C1117" t="s">
        <v>5</v>
      </c>
      <c r="D1117" t="str">
        <f>Graph_GenSurg!$L$6</f>
        <v>USU20</v>
      </c>
      <c r="E1117" t="str">
        <f t="shared" si="17"/>
        <v>General Surgery USU20</v>
      </c>
      <c r="F1117">
        <f>Graph_GenSurg!$A12</f>
        <v>2018</v>
      </c>
      <c r="G1117">
        <f>Graph_GenSurg!$B12</f>
        <v>6</v>
      </c>
      <c r="H1117" s="165">
        <f>Graph_GenSurg!$L12</f>
        <v>311474.37448667729</v>
      </c>
      <c r="I1117" s="160">
        <f>InputData!$C$3</f>
        <v>0.02</v>
      </c>
      <c r="J1117" s="160">
        <f>InputData!$C$4</f>
        <v>0.01</v>
      </c>
      <c r="K1117" s="160">
        <f>InputData!$C$5</f>
        <v>0.01</v>
      </c>
      <c r="L1117" s="160">
        <f>InputData!$C$6</f>
        <v>6.2100000000000002E-2</v>
      </c>
      <c r="M1117" s="160">
        <f>InputData!$C$7</f>
        <v>0.03</v>
      </c>
      <c r="N1117" s="160">
        <f>InputData!$C$8</f>
        <v>0.02</v>
      </c>
      <c r="O1117" s="160">
        <f>InputData!$C$9</f>
        <v>0.06</v>
      </c>
      <c r="P1117" s="160">
        <f>InputData!$C$10</f>
        <v>0.02</v>
      </c>
      <c r="Q1117" s="160">
        <f>InputData!$C$11</f>
        <v>0.02</v>
      </c>
      <c r="R1117" s="160">
        <f>InputData!$C$12</f>
        <v>0.02</v>
      </c>
      <c r="S1117" s="160">
        <f>InputData!$C$13</f>
        <v>0.9</v>
      </c>
      <c r="T1117" s="116">
        <f>InputData!$C$88</f>
        <v>180000</v>
      </c>
      <c r="U1117" s="116">
        <f>InputData!$C$81</f>
        <v>178500</v>
      </c>
      <c r="V1117" s="116">
        <f>InputData!$C$82</f>
        <v>303960</v>
      </c>
      <c r="W1117" s="116">
        <f>InputData!$C$84</f>
        <v>215220</v>
      </c>
      <c r="X1117" s="116">
        <f>InputData!$C$85</f>
        <v>409020</v>
      </c>
      <c r="Y1117" s="116">
        <f>InputData!$C$116</f>
        <v>140000</v>
      </c>
      <c r="Z1117" s="160">
        <f>InputData!$E$13</f>
        <v>0</v>
      </c>
    </row>
    <row r="1118" spans="1:26" x14ac:dyDescent="0.25">
      <c r="A1118">
        <f>InputData!$K$1</f>
        <v>2013</v>
      </c>
      <c r="B1118" t="str">
        <f>InputData!$G$1</f>
        <v>San Antonio, TX</v>
      </c>
      <c r="C1118" t="s">
        <v>5</v>
      </c>
      <c r="D1118" t="str">
        <f>Graph_GenSurg!$L$6</f>
        <v>USU20</v>
      </c>
      <c r="E1118" t="str">
        <f t="shared" si="17"/>
        <v>General Surgery USU20</v>
      </c>
      <c r="F1118">
        <f>Graph_GenSurg!$A13</f>
        <v>2019</v>
      </c>
      <c r="G1118">
        <f>Graph_GenSurg!$B13</f>
        <v>7</v>
      </c>
      <c r="H1118" s="165">
        <f>Graph_GenSurg!$L13</f>
        <v>363115.97670968575</v>
      </c>
      <c r="I1118" s="160">
        <f>InputData!$C$3</f>
        <v>0.02</v>
      </c>
      <c r="J1118" s="160">
        <f>InputData!$C$4</f>
        <v>0.01</v>
      </c>
      <c r="K1118" s="160">
        <f>InputData!$C$5</f>
        <v>0.01</v>
      </c>
      <c r="L1118" s="160">
        <f>InputData!$C$6</f>
        <v>6.2100000000000002E-2</v>
      </c>
      <c r="M1118" s="160">
        <f>InputData!$C$7</f>
        <v>0.03</v>
      </c>
      <c r="N1118" s="160">
        <f>InputData!$C$8</f>
        <v>0.02</v>
      </c>
      <c r="O1118" s="160">
        <f>InputData!$C$9</f>
        <v>0.06</v>
      </c>
      <c r="P1118" s="160">
        <f>InputData!$C$10</f>
        <v>0.02</v>
      </c>
      <c r="Q1118" s="160">
        <f>InputData!$C$11</f>
        <v>0.02</v>
      </c>
      <c r="R1118" s="160">
        <f>InputData!$C$12</f>
        <v>0.02</v>
      </c>
      <c r="S1118" s="160">
        <f>InputData!$C$13</f>
        <v>0.9</v>
      </c>
      <c r="T1118" s="116">
        <f>InputData!$C$88</f>
        <v>180000</v>
      </c>
      <c r="U1118" s="116">
        <f>InputData!$C$81</f>
        <v>178500</v>
      </c>
      <c r="V1118" s="116">
        <f>InputData!$C$82</f>
        <v>303960</v>
      </c>
      <c r="W1118" s="116">
        <f>InputData!$C$84</f>
        <v>215220</v>
      </c>
      <c r="X1118" s="116">
        <f>InputData!$C$85</f>
        <v>409020</v>
      </c>
      <c r="Y1118" s="116">
        <f>InputData!$C$116</f>
        <v>140000</v>
      </c>
      <c r="Z1118" s="160">
        <f>InputData!$E$13</f>
        <v>0</v>
      </c>
    </row>
    <row r="1119" spans="1:26" x14ac:dyDescent="0.25">
      <c r="A1119">
        <f>InputData!$K$1</f>
        <v>2013</v>
      </c>
      <c r="B1119" t="str">
        <f>InputData!$G$1</f>
        <v>San Antonio, TX</v>
      </c>
      <c r="C1119" t="s">
        <v>5</v>
      </c>
      <c r="D1119" t="str">
        <f>Graph_GenSurg!$L$6</f>
        <v>USU20</v>
      </c>
      <c r="E1119" t="str">
        <f t="shared" si="17"/>
        <v>General Surgery USU20</v>
      </c>
      <c r="F1119">
        <f>Graph_GenSurg!$A14</f>
        <v>2020</v>
      </c>
      <c r="G1119">
        <f>Graph_GenSurg!$B14</f>
        <v>8</v>
      </c>
      <c r="H1119" s="165">
        <f>Graph_GenSurg!$L14</f>
        <v>414930.34262192424</v>
      </c>
      <c r="I1119" s="160">
        <f>InputData!$C$3</f>
        <v>0.02</v>
      </c>
      <c r="J1119" s="160">
        <f>InputData!$C$4</f>
        <v>0.01</v>
      </c>
      <c r="K1119" s="160">
        <f>InputData!$C$5</f>
        <v>0.01</v>
      </c>
      <c r="L1119" s="160">
        <f>InputData!$C$6</f>
        <v>6.2100000000000002E-2</v>
      </c>
      <c r="M1119" s="160">
        <f>InputData!$C$7</f>
        <v>0.03</v>
      </c>
      <c r="N1119" s="160">
        <f>InputData!$C$8</f>
        <v>0.02</v>
      </c>
      <c r="O1119" s="160">
        <f>InputData!$C$9</f>
        <v>0.06</v>
      </c>
      <c r="P1119" s="160">
        <f>InputData!$C$10</f>
        <v>0.02</v>
      </c>
      <c r="Q1119" s="160">
        <f>InputData!$C$11</f>
        <v>0.02</v>
      </c>
      <c r="R1119" s="160">
        <f>InputData!$C$12</f>
        <v>0.02</v>
      </c>
      <c r="S1119" s="160">
        <f>InputData!$C$13</f>
        <v>0.9</v>
      </c>
      <c r="T1119" s="116">
        <f>InputData!$C$88</f>
        <v>180000</v>
      </c>
      <c r="U1119" s="116">
        <f>InputData!$C$81</f>
        <v>178500</v>
      </c>
      <c r="V1119" s="116">
        <f>InputData!$C$82</f>
        <v>303960</v>
      </c>
      <c r="W1119" s="116">
        <f>InputData!$C$84</f>
        <v>215220</v>
      </c>
      <c r="X1119" s="116">
        <f>InputData!$C$85</f>
        <v>409020</v>
      </c>
      <c r="Y1119" s="116">
        <f>InputData!$C$116</f>
        <v>140000</v>
      </c>
      <c r="Z1119" s="160">
        <f>InputData!$E$13</f>
        <v>0</v>
      </c>
    </row>
    <row r="1120" spans="1:26" x14ac:dyDescent="0.25">
      <c r="A1120">
        <f>InputData!$K$1</f>
        <v>2013</v>
      </c>
      <c r="B1120" t="str">
        <f>InputData!$G$1</f>
        <v>San Antonio, TX</v>
      </c>
      <c r="C1120" t="s">
        <v>5</v>
      </c>
      <c r="D1120" t="str">
        <f>Graph_GenSurg!$L$6</f>
        <v>USU20</v>
      </c>
      <c r="E1120" t="str">
        <f t="shared" si="17"/>
        <v>General Surgery USU20</v>
      </c>
      <c r="F1120">
        <f>Graph_GenSurg!$A15</f>
        <v>2021</v>
      </c>
      <c r="G1120">
        <f>Graph_GenSurg!$B15</f>
        <v>9</v>
      </c>
      <c r="H1120" s="165">
        <f>Graph_GenSurg!$L15</f>
        <v>467290.95730725891</v>
      </c>
      <c r="I1120" s="160">
        <f>InputData!$C$3</f>
        <v>0.02</v>
      </c>
      <c r="J1120" s="160">
        <f>InputData!$C$4</f>
        <v>0.01</v>
      </c>
      <c r="K1120" s="160">
        <f>InputData!$C$5</f>
        <v>0.01</v>
      </c>
      <c r="L1120" s="160">
        <f>InputData!$C$6</f>
        <v>6.2100000000000002E-2</v>
      </c>
      <c r="M1120" s="160">
        <f>InputData!$C$7</f>
        <v>0.03</v>
      </c>
      <c r="N1120" s="160">
        <f>InputData!$C$8</f>
        <v>0.02</v>
      </c>
      <c r="O1120" s="160">
        <f>InputData!$C$9</f>
        <v>0.06</v>
      </c>
      <c r="P1120" s="160">
        <f>InputData!$C$10</f>
        <v>0.02</v>
      </c>
      <c r="Q1120" s="160">
        <f>InputData!$C$11</f>
        <v>0.02</v>
      </c>
      <c r="R1120" s="160">
        <f>InputData!$C$12</f>
        <v>0.02</v>
      </c>
      <c r="S1120" s="160">
        <f>InputData!$C$13</f>
        <v>0.9</v>
      </c>
      <c r="T1120" s="116">
        <f>InputData!$C$88</f>
        <v>180000</v>
      </c>
      <c r="U1120" s="116">
        <f>InputData!$C$81</f>
        <v>178500</v>
      </c>
      <c r="V1120" s="116">
        <f>InputData!$C$82</f>
        <v>303960</v>
      </c>
      <c r="W1120" s="116">
        <f>InputData!$C$84</f>
        <v>215220</v>
      </c>
      <c r="X1120" s="116">
        <f>InputData!$C$85</f>
        <v>409020</v>
      </c>
      <c r="Y1120" s="116">
        <f>InputData!$C$116</f>
        <v>140000</v>
      </c>
      <c r="Z1120" s="160">
        <f>InputData!$E$13</f>
        <v>0</v>
      </c>
    </row>
    <row r="1121" spans="1:26" x14ac:dyDescent="0.25">
      <c r="A1121">
        <f>InputData!$K$1</f>
        <v>2013</v>
      </c>
      <c r="B1121" t="str">
        <f>InputData!$G$1</f>
        <v>San Antonio, TX</v>
      </c>
      <c r="C1121" t="s">
        <v>5</v>
      </c>
      <c r="D1121" t="str">
        <f>Graph_GenSurg!$L$6</f>
        <v>USU20</v>
      </c>
      <c r="E1121" t="str">
        <f t="shared" si="17"/>
        <v>General Surgery USU20</v>
      </c>
      <c r="F1121">
        <f>Graph_GenSurg!$A16</f>
        <v>2022</v>
      </c>
      <c r="G1121">
        <f>Graph_GenSurg!$B16</f>
        <v>10</v>
      </c>
      <c r="H1121" s="165">
        <f>Graph_GenSurg!$L16</f>
        <v>524763.22436689748</v>
      </c>
      <c r="I1121" s="160">
        <f>InputData!$C$3</f>
        <v>0.02</v>
      </c>
      <c r="J1121" s="160">
        <f>InputData!$C$4</f>
        <v>0.01</v>
      </c>
      <c r="K1121" s="160">
        <f>InputData!$C$5</f>
        <v>0.01</v>
      </c>
      <c r="L1121" s="160">
        <f>InputData!$C$6</f>
        <v>6.2100000000000002E-2</v>
      </c>
      <c r="M1121" s="160">
        <f>InputData!$C$7</f>
        <v>0.03</v>
      </c>
      <c r="N1121" s="160">
        <f>InputData!$C$8</f>
        <v>0.02</v>
      </c>
      <c r="O1121" s="160">
        <f>InputData!$C$9</f>
        <v>0.06</v>
      </c>
      <c r="P1121" s="160">
        <f>InputData!$C$10</f>
        <v>0.02</v>
      </c>
      <c r="Q1121" s="160">
        <f>InputData!$C$11</f>
        <v>0.02</v>
      </c>
      <c r="R1121" s="160">
        <f>InputData!$C$12</f>
        <v>0.02</v>
      </c>
      <c r="S1121" s="160">
        <f>InputData!$C$13</f>
        <v>0.9</v>
      </c>
      <c r="T1121" s="116">
        <f>InputData!$C$88</f>
        <v>180000</v>
      </c>
      <c r="U1121" s="116">
        <f>InputData!$C$81</f>
        <v>178500</v>
      </c>
      <c r="V1121" s="116">
        <f>InputData!$C$82</f>
        <v>303960</v>
      </c>
      <c r="W1121" s="116">
        <f>InputData!$C$84</f>
        <v>215220</v>
      </c>
      <c r="X1121" s="116">
        <f>InputData!$C$85</f>
        <v>409020</v>
      </c>
      <c r="Y1121" s="116">
        <f>InputData!$C$116</f>
        <v>140000</v>
      </c>
      <c r="Z1121" s="160">
        <f>InputData!$E$13</f>
        <v>0</v>
      </c>
    </row>
    <row r="1122" spans="1:26" x14ac:dyDescent="0.25">
      <c r="A1122">
        <f>InputData!$K$1</f>
        <v>2013</v>
      </c>
      <c r="B1122" t="str">
        <f>InputData!$G$1</f>
        <v>San Antonio, TX</v>
      </c>
      <c r="C1122" t="s">
        <v>5</v>
      </c>
      <c r="D1122" t="str">
        <f>Graph_GenSurg!$L$6</f>
        <v>USU20</v>
      </c>
      <c r="E1122" t="str">
        <f t="shared" si="17"/>
        <v>General Surgery USU20</v>
      </c>
      <c r="F1122">
        <f>Graph_GenSurg!$A17</f>
        <v>2023</v>
      </c>
      <c r="G1122">
        <f>Graph_GenSurg!$B17</f>
        <v>11</v>
      </c>
      <c r="H1122" s="165">
        <f>Graph_GenSurg!$L17</f>
        <v>588449.02039398521</v>
      </c>
      <c r="I1122" s="160">
        <f>InputData!$C$3</f>
        <v>0.02</v>
      </c>
      <c r="J1122" s="160">
        <f>InputData!$C$4</f>
        <v>0.01</v>
      </c>
      <c r="K1122" s="160">
        <f>InputData!$C$5</f>
        <v>0.01</v>
      </c>
      <c r="L1122" s="160">
        <f>InputData!$C$6</f>
        <v>6.2100000000000002E-2</v>
      </c>
      <c r="M1122" s="160">
        <f>InputData!$C$7</f>
        <v>0.03</v>
      </c>
      <c r="N1122" s="160">
        <f>InputData!$C$8</f>
        <v>0.02</v>
      </c>
      <c r="O1122" s="160">
        <f>InputData!$C$9</f>
        <v>0.06</v>
      </c>
      <c r="P1122" s="160">
        <f>InputData!$C$10</f>
        <v>0.02</v>
      </c>
      <c r="Q1122" s="160">
        <f>InputData!$C$11</f>
        <v>0.02</v>
      </c>
      <c r="R1122" s="160">
        <f>InputData!$C$12</f>
        <v>0.02</v>
      </c>
      <c r="S1122" s="160">
        <f>InputData!$C$13</f>
        <v>0.9</v>
      </c>
      <c r="T1122" s="116">
        <f>InputData!$C$88</f>
        <v>180000</v>
      </c>
      <c r="U1122" s="116">
        <f>InputData!$C$81</f>
        <v>178500</v>
      </c>
      <c r="V1122" s="116">
        <f>InputData!$C$82</f>
        <v>303960</v>
      </c>
      <c r="W1122" s="116">
        <f>InputData!$C$84</f>
        <v>215220</v>
      </c>
      <c r="X1122" s="116">
        <f>InputData!$C$85</f>
        <v>409020</v>
      </c>
      <c r="Y1122" s="116">
        <f>InputData!$C$116</f>
        <v>140000</v>
      </c>
      <c r="Z1122" s="160">
        <f>InputData!$E$13</f>
        <v>0</v>
      </c>
    </row>
    <row r="1123" spans="1:26" x14ac:dyDescent="0.25">
      <c r="A1123">
        <f>InputData!$K$1</f>
        <v>2013</v>
      </c>
      <c r="B1123" t="str">
        <f>InputData!$G$1</f>
        <v>San Antonio, TX</v>
      </c>
      <c r="C1123" t="s">
        <v>5</v>
      </c>
      <c r="D1123" t="str">
        <f>Graph_GenSurg!$L$6</f>
        <v>USU20</v>
      </c>
      <c r="E1123" t="str">
        <f t="shared" si="17"/>
        <v>General Surgery USU20</v>
      </c>
      <c r="F1123">
        <f>Graph_GenSurg!$A18</f>
        <v>2024</v>
      </c>
      <c r="G1123">
        <f>Graph_GenSurg!$B18</f>
        <v>12</v>
      </c>
      <c r="H1123" s="165">
        <f>Graph_GenSurg!$L18</f>
        <v>649720.24660637928</v>
      </c>
      <c r="I1123" s="160">
        <f>InputData!$C$3</f>
        <v>0.02</v>
      </c>
      <c r="J1123" s="160">
        <f>InputData!$C$4</f>
        <v>0.01</v>
      </c>
      <c r="K1123" s="160">
        <f>InputData!$C$5</f>
        <v>0.01</v>
      </c>
      <c r="L1123" s="160">
        <f>InputData!$C$6</f>
        <v>6.2100000000000002E-2</v>
      </c>
      <c r="M1123" s="160">
        <f>InputData!$C$7</f>
        <v>0.03</v>
      </c>
      <c r="N1123" s="160">
        <f>InputData!$C$8</f>
        <v>0.02</v>
      </c>
      <c r="O1123" s="160">
        <f>InputData!$C$9</f>
        <v>0.06</v>
      </c>
      <c r="P1123" s="160">
        <f>InputData!$C$10</f>
        <v>0.02</v>
      </c>
      <c r="Q1123" s="160">
        <f>InputData!$C$11</f>
        <v>0.02</v>
      </c>
      <c r="R1123" s="160">
        <f>InputData!$C$12</f>
        <v>0.02</v>
      </c>
      <c r="S1123" s="160">
        <f>InputData!$C$13</f>
        <v>0.9</v>
      </c>
      <c r="T1123" s="116">
        <f>InputData!$C$88</f>
        <v>180000</v>
      </c>
      <c r="U1123" s="116">
        <f>InputData!$C$81</f>
        <v>178500</v>
      </c>
      <c r="V1123" s="116">
        <f>InputData!$C$82</f>
        <v>303960</v>
      </c>
      <c r="W1123" s="116">
        <f>InputData!$C$84</f>
        <v>215220</v>
      </c>
      <c r="X1123" s="116">
        <f>InputData!$C$85</f>
        <v>409020</v>
      </c>
      <c r="Y1123" s="116">
        <f>InputData!$C$116</f>
        <v>140000</v>
      </c>
      <c r="Z1123" s="160">
        <f>InputData!$E$13</f>
        <v>0</v>
      </c>
    </row>
    <row r="1124" spans="1:26" x14ac:dyDescent="0.25">
      <c r="A1124">
        <f>InputData!$K$1</f>
        <v>2013</v>
      </c>
      <c r="B1124" t="str">
        <f>InputData!$G$1</f>
        <v>San Antonio, TX</v>
      </c>
      <c r="C1124" t="s">
        <v>5</v>
      </c>
      <c r="D1124" t="str">
        <f>Graph_GenSurg!$L$6</f>
        <v>USU20</v>
      </c>
      <c r="E1124" t="str">
        <f t="shared" si="17"/>
        <v>General Surgery USU20</v>
      </c>
      <c r="F1124">
        <f>Graph_GenSurg!$A19</f>
        <v>2025</v>
      </c>
      <c r="G1124">
        <f>Graph_GenSurg!$B19</f>
        <v>13</v>
      </c>
      <c r="H1124" s="165">
        <f>Graph_GenSurg!$L19</f>
        <v>710146.70996840461</v>
      </c>
      <c r="I1124" s="160">
        <f>InputData!$C$3</f>
        <v>0.02</v>
      </c>
      <c r="J1124" s="160">
        <f>InputData!$C$4</f>
        <v>0.01</v>
      </c>
      <c r="K1124" s="160">
        <f>InputData!$C$5</f>
        <v>0.01</v>
      </c>
      <c r="L1124" s="160">
        <f>InputData!$C$6</f>
        <v>6.2100000000000002E-2</v>
      </c>
      <c r="M1124" s="160">
        <f>InputData!$C$7</f>
        <v>0.03</v>
      </c>
      <c r="N1124" s="160">
        <f>InputData!$C$8</f>
        <v>0.02</v>
      </c>
      <c r="O1124" s="160">
        <f>InputData!$C$9</f>
        <v>0.06</v>
      </c>
      <c r="P1124" s="160">
        <f>InputData!$C$10</f>
        <v>0.02</v>
      </c>
      <c r="Q1124" s="160">
        <f>InputData!$C$11</f>
        <v>0.02</v>
      </c>
      <c r="R1124" s="160">
        <f>InputData!$C$12</f>
        <v>0.02</v>
      </c>
      <c r="S1124" s="160">
        <f>InputData!$C$13</f>
        <v>0.9</v>
      </c>
      <c r="T1124" s="116">
        <f>InputData!$C$88</f>
        <v>180000</v>
      </c>
      <c r="U1124" s="116">
        <f>InputData!$C$81</f>
        <v>178500</v>
      </c>
      <c r="V1124" s="116">
        <f>InputData!$C$82</f>
        <v>303960</v>
      </c>
      <c r="W1124" s="116">
        <f>InputData!$C$84</f>
        <v>215220</v>
      </c>
      <c r="X1124" s="116">
        <f>InputData!$C$85</f>
        <v>409020</v>
      </c>
      <c r="Y1124" s="116">
        <f>InputData!$C$116</f>
        <v>140000</v>
      </c>
      <c r="Z1124" s="160">
        <f>InputData!$E$13</f>
        <v>0</v>
      </c>
    </row>
    <row r="1125" spans="1:26" x14ac:dyDescent="0.25">
      <c r="A1125">
        <f>InputData!$K$1</f>
        <v>2013</v>
      </c>
      <c r="B1125" t="str">
        <f>InputData!$G$1</f>
        <v>San Antonio, TX</v>
      </c>
      <c r="C1125" t="s">
        <v>5</v>
      </c>
      <c r="D1125" t="str">
        <f>Graph_GenSurg!$L$6</f>
        <v>USU20</v>
      </c>
      <c r="E1125" t="str">
        <f t="shared" si="17"/>
        <v>General Surgery USU20</v>
      </c>
      <c r="F1125">
        <f>Graph_GenSurg!$A20</f>
        <v>2026</v>
      </c>
      <c r="G1125">
        <f>Graph_GenSurg!$B20</f>
        <v>14</v>
      </c>
      <c r="H1125" s="165">
        <f>Graph_GenSurg!$L20</f>
        <v>768281.88741084014</v>
      </c>
      <c r="I1125" s="160">
        <f>InputData!$C$3</f>
        <v>0.02</v>
      </c>
      <c r="J1125" s="160">
        <f>InputData!$C$4</f>
        <v>0.01</v>
      </c>
      <c r="K1125" s="160">
        <f>InputData!$C$5</f>
        <v>0.01</v>
      </c>
      <c r="L1125" s="160">
        <f>InputData!$C$6</f>
        <v>6.2100000000000002E-2</v>
      </c>
      <c r="M1125" s="160">
        <f>InputData!$C$7</f>
        <v>0.03</v>
      </c>
      <c r="N1125" s="160">
        <f>InputData!$C$8</f>
        <v>0.02</v>
      </c>
      <c r="O1125" s="160">
        <f>InputData!$C$9</f>
        <v>0.06</v>
      </c>
      <c r="P1125" s="160">
        <f>InputData!$C$10</f>
        <v>0.02</v>
      </c>
      <c r="Q1125" s="160">
        <f>InputData!$C$11</f>
        <v>0.02</v>
      </c>
      <c r="R1125" s="160">
        <f>InputData!$C$12</f>
        <v>0.02</v>
      </c>
      <c r="S1125" s="160">
        <f>InputData!$C$13</f>
        <v>0.9</v>
      </c>
      <c r="T1125" s="116">
        <f>InputData!$C$88</f>
        <v>180000</v>
      </c>
      <c r="U1125" s="116">
        <f>InputData!$C$81</f>
        <v>178500</v>
      </c>
      <c r="V1125" s="116">
        <f>InputData!$C$82</f>
        <v>303960</v>
      </c>
      <c r="W1125" s="116">
        <f>InputData!$C$84</f>
        <v>215220</v>
      </c>
      <c r="X1125" s="116">
        <f>InputData!$C$85</f>
        <v>409020</v>
      </c>
      <c r="Y1125" s="116">
        <f>InputData!$C$116</f>
        <v>140000</v>
      </c>
      <c r="Z1125" s="160">
        <f>InputData!$E$13</f>
        <v>0</v>
      </c>
    </row>
    <row r="1126" spans="1:26" x14ac:dyDescent="0.25">
      <c r="A1126">
        <f>InputData!$K$1</f>
        <v>2013</v>
      </c>
      <c r="B1126" t="str">
        <f>InputData!$G$1</f>
        <v>San Antonio, TX</v>
      </c>
      <c r="C1126" t="s">
        <v>5</v>
      </c>
      <c r="D1126" t="str">
        <f>Graph_GenSurg!$L$6</f>
        <v>USU20</v>
      </c>
      <c r="E1126" t="str">
        <f t="shared" si="17"/>
        <v>General Surgery USU20</v>
      </c>
      <c r="F1126">
        <f>Graph_GenSurg!$A21</f>
        <v>2027</v>
      </c>
      <c r="G1126">
        <f>Graph_GenSurg!$B21</f>
        <v>15</v>
      </c>
      <c r="H1126" s="165">
        <f>Graph_GenSurg!$L21</f>
        <v>826352.17485501105</v>
      </c>
      <c r="I1126" s="160">
        <f>InputData!$C$3</f>
        <v>0.02</v>
      </c>
      <c r="J1126" s="160">
        <f>InputData!$C$4</f>
        <v>0.01</v>
      </c>
      <c r="K1126" s="160">
        <f>InputData!$C$5</f>
        <v>0.01</v>
      </c>
      <c r="L1126" s="160">
        <f>InputData!$C$6</f>
        <v>6.2100000000000002E-2</v>
      </c>
      <c r="M1126" s="160">
        <f>InputData!$C$7</f>
        <v>0.03</v>
      </c>
      <c r="N1126" s="160">
        <f>InputData!$C$8</f>
        <v>0.02</v>
      </c>
      <c r="O1126" s="160">
        <f>InputData!$C$9</f>
        <v>0.06</v>
      </c>
      <c r="P1126" s="160">
        <f>InputData!$C$10</f>
        <v>0.02</v>
      </c>
      <c r="Q1126" s="160">
        <f>InputData!$C$11</f>
        <v>0.02</v>
      </c>
      <c r="R1126" s="160">
        <f>InputData!$C$12</f>
        <v>0.02</v>
      </c>
      <c r="S1126" s="160">
        <f>InputData!$C$13</f>
        <v>0.9</v>
      </c>
      <c r="T1126" s="116">
        <f>InputData!$C$88</f>
        <v>180000</v>
      </c>
      <c r="U1126" s="116">
        <f>InputData!$C$81</f>
        <v>178500</v>
      </c>
      <c r="V1126" s="116">
        <f>InputData!$C$82</f>
        <v>303960</v>
      </c>
      <c r="W1126" s="116">
        <f>InputData!$C$84</f>
        <v>215220</v>
      </c>
      <c r="X1126" s="116">
        <f>InputData!$C$85</f>
        <v>409020</v>
      </c>
      <c r="Y1126" s="116">
        <f>InputData!$C$116</f>
        <v>140000</v>
      </c>
      <c r="Z1126" s="160">
        <f>InputData!$E$13</f>
        <v>0</v>
      </c>
    </row>
    <row r="1127" spans="1:26" x14ac:dyDescent="0.25">
      <c r="A1127">
        <f>InputData!$K$1</f>
        <v>2013</v>
      </c>
      <c r="B1127" t="str">
        <f>InputData!$G$1</f>
        <v>San Antonio, TX</v>
      </c>
      <c r="C1127" t="s">
        <v>5</v>
      </c>
      <c r="D1127" t="str">
        <f>Graph_GenSurg!$L$6</f>
        <v>USU20</v>
      </c>
      <c r="E1127" t="str">
        <f t="shared" si="17"/>
        <v>General Surgery USU20</v>
      </c>
      <c r="F1127">
        <f>Graph_GenSurg!$A22</f>
        <v>2028</v>
      </c>
      <c r="G1127">
        <f>Graph_GenSurg!$B22</f>
        <v>16</v>
      </c>
      <c r="H1127" s="165">
        <f>Graph_GenSurg!$L22</f>
        <v>882219.71152208454</v>
      </c>
      <c r="I1127" s="160">
        <f>InputData!$C$3</f>
        <v>0.02</v>
      </c>
      <c r="J1127" s="160">
        <f>InputData!$C$4</f>
        <v>0.01</v>
      </c>
      <c r="K1127" s="160">
        <f>InputData!$C$5</f>
        <v>0.01</v>
      </c>
      <c r="L1127" s="160">
        <f>InputData!$C$6</f>
        <v>6.2100000000000002E-2</v>
      </c>
      <c r="M1127" s="160">
        <f>InputData!$C$7</f>
        <v>0.03</v>
      </c>
      <c r="N1127" s="160">
        <f>InputData!$C$8</f>
        <v>0.02</v>
      </c>
      <c r="O1127" s="160">
        <f>InputData!$C$9</f>
        <v>0.06</v>
      </c>
      <c r="P1127" s="160">
        <f>InputData!$C$10</f>
        <v>0.02</v>
      </c>
      <c r="Q1127" s="160">
        <f>InputData!$C$11</f>
        <v>0.02</v>
      </c>
      <c r="R1127" s="160">
        <f>InputData!$C$12</f>
        <v>0.02</v>
      </c>
      <c r="S1127" s="160">
        <f>InputData!$C$13</f>
        <v>0.9</v>
      </c>
      <c r="T1127" s="116">
        <f>InputData!$C$88</f>
        <v>180000</v>
      </c>
      <c r="U1127" s="116">
        <f>InputData!$C$81</f>
        <v>178500</v>
      </c>
      <c r="V1127" s="116">
        <f>InputData!$C$82</f>
        <v>303960</v>
      </c>
      <c r="W1127" s="116">
        <f>InputData!$C$84</f>
        <v>215220</v>
      </c>
      <c r="X1127" s="116">
        <f>InputData!$C$85</f>
        <v>409020</v>
      </c>
      <c r="Y1127" s="116">
        <f>InputData!$C$116</f>
        <v>140000</v>
      </c>
      <c r="Z1127" s="160">
        <f>InputData!$E$13</f>
        <v>0</v>
      </c>
    </row>
    <row r="1128" spans="1:26" x14ac:dyDescent="0.25">
      <c r="A1128">
        <f>InputData!$K$1</f>
        <v>2013</v>
      </c>
      <c r="B1128" t="str">
        <f>InputData!$G$1</f>
        <v>San Antonio, TX</v>
      </c>
      <c r="C1128" t="s">
        <v>5</v>
      </c>
      <c r="D1128" t="str">
        <f>Graph_GenSurg!$L$6</f>
        <v>USU20</v>
      </c>
      <c r="E1128" t="str">
        <f t="shared" si="17"/>
        <v>General Surgery USU20</v>
      </c>
      <c r="F1128">
        <f>Graph_GenSurg!$A23</f>
        <v>2029</v>
      </c>
      <c r="G1128">
        <f>Graph_GenSurg!$B23</f>
        <v>17</v>
      </c>
      <c r="H1128" s="165">
        <f>Graph_GenSurg!$L23</f>
        <v>978461.73437005491</v>
      </c>
      <c r="I1128" s="160">
        <f>InputData!$C$3</f>
        <v>0.02</v>
      </c>
      <c r="J1128" s="160">
        <f>InputData!$C$4</f>
        <v>0.01</v>
      </c>
      <c r="K1128" s="160">
        <f>InputData!$C$5</f>
        <v>0.01</v>
      </c>
      <c r="L1128" s="160">
        <f>InputData!$C$6</f>
        <v>6.2100000000000002E-2</v>
      </c>
      <c r="M1128" s="160">
        <f>InputData!$C$7</f>
        <v>0.03</v>
      </c>
      <c r="N1128" s="160">
        <f>InputData!$C$8</f>
        <v>0.02</v>
      </c>
      <c r="O1128" s="160">
        <f>InputData!$C$9</f>
        <v>0.06</v>
      </c>
      <c r="P1128" s="160">
        <f>InputData!$C$10</f>
        <v>0.02</v>
      </c>
      <c r="Q1128" s="160">
        <f>InputData!$C$11</f>
        <v>0.02</v>
      </c>
      <c r="R1128" s="160">
        <f>InputData!$C$12</f>
        <v>0.02</v>
      </c>
      <c r="S1128" s="160">
        <f>InputData!$C$13</f>
        <v>0.9</v>
      </c>
      <c r="T1128" s="116">
        <f>InputData!$C$88</f>
        <v>180000</v>
      </c>
      <c r="U1128" s="116">
        <f>InputData!$C$81</f>
        <v>178500</v>
      </c>
      <c r="V1128" s="116">
        <f>InputData!$C$82</f>
        <v>303960</v>
      </c>
      <c r="W1128" s="116">
        <f>InputData!$C$84</f>
        <v>215220</v>
      </c>
      <c r="X1128" s="116">
        <f>InputData!$C$85</f>
        <v>409020</v>
      </c>
      <c r="Y1128" s="116">
        <f>InputData!$C$116</f>
        <v>140000</v>
      </c>
      <c r="Z1128" s="160">
        <f>InputData!$E$13</f>
        <v>0</v>
      </c>
    </row>
    <row r="1129" spans="1:26" x14ac:dyDescent="0.25">
      <c r="A1129">
        <f>InputData!$K$1</f>
        <v>2013</v>
      </c>
      <c r="B1129" t="str">
        <f>InputData!$G$1</f>
        <v>San Antonio, TX</v>
      </c>
      <c r="C1129" t="s">
        <v>5</v>
      </c>
      <c r="D1129" t="str">
        <f>Graph_GenSurg!$L$6</f>
        <v>USU20</v>
      </c>
      <c r="E1129" t="str">
        <f t="shared" si="17"/>
        <v>General Surgery USU20</v>
      </c>
      <c r="F1129">
        <f>Graph_GenSurg!$A24</f>
        <v>2030</v>
      </c>
      <c r="G1129">
        <f>Graph_GenSurg!$B24</f>
        <v>18</v>
      </c>
      <c r="H1129" s="165">
        <f>Graph_GenSurg!$L24</f>
        <v>1071048.7796929423</v>
      </c>
      <c r="I1129" s="160">
        <f>InputData!$C$3</f>
        <v>0.02</v>
      </c>
      <c r="J1129" s="160">
        <f>InputData!$C$4</f>
        <v>0.01</v>
      </c>
      <c r="K1129" s="160">
        <f>InputData!$C$5</f>
        <v>0.01</v>
      </c>
      <c r="L1129" s="160">
        <f>InputData!$C$6</f>
        <v>6.2100000000000002E-2</v>
      </c>
      <c r="M1129" s="160">
        <f>InputData!$C$7</f>
        <v>0.03</v>
      </c>
      <c r="N1129" s="160">
        <f>InputData!$C$8</f>
        <v>0.02</v>
      </c>
      <c r="O1129" s="160">
        <f>InputData!$C$9</f>
        <v>0.06</v>
      </c>
      <c r="P1129" s="160">
        <f>InputData!$C$10</f>
        <v>0.02</v>
      </c>
      <c r="Q1129" s="160">
        <f>InputData!$C$11</f>
        <v>0.02</v>
      </c>
      <c r="R1129" s="160">
        <f>InputData!$C$12</f>
        <v>0.02</v>
      </c>
      <c r="S1129" s="160">
        <f>InputData!$C$13</f>
        <v>0.9</v>
      </c>
      <c r="T1129" s="116">
        <f>InputData!$C$88</f>
        <v>180000</v>
      </c>
      <c r="U1129" s="116">
        <f>InputData!$C$81</f>
        <v>178500</v>
      </c>
      <c r="V1129" s="116">
        <f>InputData!$C$82</f>
        <v>303960</v>
      </c>
      <c r="W1129" s="116">
        <f>InputData!$C$84</f>
        <v>215220</v>
      </c>
      <c r="X1129" s="116">
        <f>InputData!$C$85</f>
        <v>409020</v>
      </c>
      <c r="Y1129" s="116">
        <f>InputData!$C$116</f>
        <v>140000</v>
      </c>
      <c r="Z1129" s="160">
        <f>InputData!$E$13</f>
        <v>0</v>
      </c>
    </row>
    <row r="1130" spans="1:26" x14ac:dyDescent="0.25">
      <c r="A1130">
        <f>InputData!$K$1</f>
        <v>2013</v>
      </c>
      <c r="B1130" t="str">
        <f>InputData!$G$1</f>
        <v>San Antonio, TX</v>
      </c>
      <c r="C1130" t="s">
        <v>5</v>
      </c>
      <c r="D1130" t="str">
        <f>Graph_GenSurg!$L$6</f>
        <v>USU20</v>
      </c>
      <c r="E1130" t="str">
        <f t="shared" si="17"/>
        <v>General Surgery USU20</v>
      </c>
      <c r="F1130">
        <f>Graph_GenSurg!$A25</f>
        <v>2031</v>
      </c>
      <c r="G1130">
        <f>Graph_GenSurg!$B25</f>
        <v>19</v>
      </c>
      <c r="H1130" s="165">
        <f>Graph_GenSurg!$L25</f>
        <v>1161307.7998215966</v>
      </c>
      <c r="I1130" s="160">
        <f>InputData!$C$3</f>
        <v>0.02</v>
      </c>
      <c r="J1130" s="160">
        <f>InputData!$C$4</f>
        <v>0.01</v>
      </c>
      <c r="K1130" s="160">
        <f>InputData!$C$5</f>
        <v>0.01</v>
      </c>
      <c r="L1130" s="160">
        <f>InputData!$C$6</f>
        <v>6.2100000000000002E-2</v>
      </c>
      <c r="M1130" s="160">
        <f>InputData!$C$7</f>
        <v>0.03</v>
      </c>
      <c r="N1130" s="160">
        <f>InputData!$C$8</f>
        <v>0.02</v>
      </c>
      <c r="O1130" s="160">
        <f>InputData!$C$9</f>
        <v>0.06</v>
      </c>
      <c r="P1130" s="160">
        <f>InputData!$C$10</f>
        <v>0.02</v>
      </c>
      <c r="Q1130" s="160">
        <f>InputData!$C$11</f>
        <v>0.02</v>
      </c>
      <c r="R1130" s="160">
        <f>InputData!$C$12</f>
        <v>0.02</v>
      </c>
      <c r="S1130" s="160">
        <f>InputData!$C$13</f>
        <v>0.9</v>
      </c>
      <c r="T1130" s="116">
        <f>InputData!$C$88</f>
        <v>180000</v>
      </c>
      <c r="U1130" s="116">
        <f>InputData!$C$81</f>
        <v>178500</v>
      </c>
      <c r="V1130" s="116">
        <f>InputData!$C$82</f>
        <v>303960</v>
      </c>
      <c r="W1130" s="116">
        <f>InputData!$C$84</f>
        <v>215220</v>
      </c>
      <c r="X1130" s="116">
        <f>InputData!$C$85</f>
        <v>409020</v>
      </c>
      <c r="Y1130" s="116">
        <f>InputData!$C$116</f>
        <v>140000</v>
      </c>
      <c r="Z1130" s="160">
        <f>InputData!$E$13</f>
        <v>0</v>
      </c>
    </row>
    <row r="1131" spans="1:26" x14ac:dyDescent="0.25">
      <c r="A1131">
        <f>InputData!$K$1</f>
        <v>2013</v>
      </c>
      <c r="B1131" t="str">
        <f>InputData!$G$1</f>
        <v>San Antonio, TX</v>
      </c>
      <c r="C1131" t="s">
        <v>5</v>
      </c>
      <c r="D1131" t="str">
        <f>Graph_GenSurg!$L$6</f>
        <v>USU20</v>
      </c>
      <c r="E1131" t="str">
        <f t="shared" si="17"/>
        <v>General Surgery USU20</v>
      </c>
      <c r="F1131">
        <f>Graph_GenSurg!$A26</f>
        <v>2032</v>
      </c>
      <c r="G1131">
        <f>Graph_GenSurg!$B26</f>
        <v>20</v>
      </c>
      <c r="H1131" s="165">
        <f>Graph_GenSurg!$L26</f>
        <v>1248134.0153951729</v>
      </c>
      <c r="I1131" s="160">
        <f>InputData!$C$3</f>
        <v>0.02</v>
      </c>
      <c r="J1131" s="160">
        <f>InputData!$C$4</f>
        <v>0.01</v>
      </c>
      <c r="K1131" s="160">
        <f>InputData!$C$5</f>
        <v>0.01</v>
      </c>
      <c r="L1131" s="160">
        <f>InputData!$C$6</f>
        <v>6.2100000000000002E-2</v>
      </c>
      <c r="M1131" s="160">
        <f>InputData!$C$7</f>
        <v>0.03</v>
      </c>
      <c r="N1131" s="160">
        <f>InputData!$C$8</f>
        <v>0.02</v>
      </c>
      <c r="O1131" s="160">
        <f>InputData!$C$9</f>
        <v>0.06</v>
      </c>
      <c r="P1131" s="160">
        <f>InputData!$C$10</f>
        <v>0.02</v>
      </c>
      <c r="Q1131" s="160">
        <f>InputData!$C$11</f>
        <v>0.02</v>
      </c>
      <c r="R1131" s="160">
        <f>InputData!$C$12</f>
        <v>0.02</v>
      </c>
      <c r="S1131" s="160">
        <f>InputData!$C$13</f>
        <v>0.9</v>
      </c>
      <c r="T1131" s="116">
        <f>InputData!$C$88</f>
        <v>180000</v>
      </c>
      <c r="U1131" s="116">
        <f>InputData!$C$81</f>
        <v>178500</v>
      </c>
      <c r="V1131" s="116">
        <f>InputData!$C$82</f>
        <v>303960</v>
      </c>
      <c r="W1131" s="116">
        <f>InputData!$C$84</f>
        <v>215220</v>
      </c>
      <c r="X1131" s="116">
        <f>InputData!$C$85</f>
        <v>409020</v>
      </c>
      <c r="Y1131" s="116">
        <f>InputData!$C$116</f>
        <v>140000</v>
      </c>
      <c r="Z1131" s="160">
        <f>InputData!$E$13</f>
        <v>0</v>
      </c>
    </row>
    <row r="1132" spans="1:26" x14ac:dyDescent="0.25">
      <c r="A1132">
        <f>InputData!$K$1</f>
        <v>2013</v>
      </c>
      <c r="B1132" t="str">
        <f>InputData!$G$1</f>
        <v>San Antonio, TX</v>
      </c>
      <c r="C1132" t="s">
        <v>5</v>
      </c>
      <c r="D1132" t="str">
        <f>Graph_GenSurg!$L$6</f>
        <v>USU20</v>
      </c>
      <c r="E1132" t="str">
        <f t="shared" si="17"/>
        <v>General Surgery USU20</v>
      </c>
      <c r="F1132">
        <f>Graph_GenSurg!$A27</f>
        <v>2033</v>
      </c>
      <c r="G1132">
        <f>Graph_GenSurg!$B27</f>
        <v>21</v>
      </c>
      <c r="H1132" s="165">
        <f>Graph_GenSurg!$L27</f>
        <v>1333348.9572154491</v>
      </c>
      <c r="I1132" s="160">
        <f>InputData!$C$3</f>
        <v>0.02</v>
      </c>
      <c r="J1132" s="160">
        <f>InputData!$C$4</f>
        <v>0.01</v>
      </c>
      <c r="K1132" s="160">
        <f>InputData!$C$5</f>
        <v>0.01</v>
      </c>
      <c r="L1132" s="160">
        <f>InputData!$C$6</f>
        <v>6.2100000000000002E-2</v>
      </c>
      <c r="M1132" s="160">
        <f>InputData!$C$7</f>
        <v>0.03</v>
      </c>
      <c r="N1132" s="160">
        <f>InputData!$C$8</f>
        <v>0.02</v>
      </c>
      <c r="O1132" s="160">
        <f>InputData!$C$9</f>
        <v>0.06</v>
      </c>
      <c r="P1132" s="160">
        <f>InputData!$C$10</f>
        <v>0.02</v>
      </c>
      <c r="Q1132" s="160">
        <f>InputData!$C$11</f>
        <v>0.02</v>
      </c>
      <c r="R1132" s="160">
        <f>InputData!$C$12</f>
        <v>0.02</v>
      </c>
      <c r="S1132" s="160">
        <f>InputData!$C$13</f>
        <v>0.9</v>
      </c>
      <c r="T1132" s="116">
        <f>InputData!$C$88</f>
        <v>180000</v>
      </c>
      <c r="U1132" s="116">
        <f>InputData!$C$81</f>
        <v>178500</v>
      </c>
      <c r="V1132" s="116">
        <f>InputData!$C$82</f>
        <v>303960</v>
      </c>
      <c r="W1132" s="116">
        <f>InputData!$C$84</f>
        <v>215220</v>
      </c>
      <c r="X1132" s="116">
        <f>InputData!$C$85</f>
        <v>409020</v>
      </c>
      <c r="Y1132" s="116">
        <f>InputData!$C$116</f>
        <v>140000</v>
      </c>
      <c r="Z1132" s="160">
        <f>InputData!$E$13</f>
        <v>0</v>
      </c>
    </row>
    <row r="1133" spans="1:26" x14ac:dyDescent="0.25">
      <c r="A1133">
        <f>InputData!$K$1</f>
        <v>2013</v>
      </c>
      <c r="B1133" t="str">
        <f>InputData!$G$1</f>
        <v>San Antonio, TX</v>
      </c>
      <c r="C1133" t="s">
        <v>5</v>
      </c>
      <c r="D1133" t="str">
        <f>Graph_GenSurg!$L$6</f>
        <v>USU20</v>
      </c>
      <c r="E1133" t="str">
        <f t="shared" si="17"/>
        <v>General Surgery USU20</v>
      </c>
      <c r="F1133">
        <f>Graph_GenSurg!$A28</f>
        <v>2034</v>
      </c>
      <c r="G1133">
        <f>Graph_GenSurg!$B28</f>
        <v>22</v>
      </c>
      <c r="H1133" s="165">
        <f>Graph_GenSurg!$L28</f>
        <v>1415327.8931591159</v>
      </c>
      <c r="I1133" s="160">
        <f>InputData!$C$3</f>
        <v>0.02</v>
      </c>
      <c r="J1133" s="160">
        <f>InputData!$C$4</f>
        <v>0.01</v>
      </c>
      <c r="K1133" s="160">
        <f>InputData!$C$5</f>
        <v>0.01</v>
      </c>
      <c r="L1133" s="160">
        <f>InputData!$C$6</f>
        <v>6.2100000000000002E-2</v>
      </c>
      <c r="M1133" s="160">
        <f>InputData!$C$7</f>
        <v>0.03</v>
      </c>
      <c r="N1133" s="160">
        <f>InputData!$C$8</f>
        <v>0.02</v>
      </c>
      <c r="O1133" s="160">
        <f>InputData!$C$9</f>
        <v>0.06</v>
      </c>
      <c r="P1133" s="160">
        <f>InputData!$C$10</f>
        <v>0.02</v>
      </c>
      <c r="Q1133" s="160">
        <f>InputData!$C$11</f>
        <v>0.02</v>
      </c>
      <c r="R1133" s="160">
        <f>InputData!$C$12</f>
        <v>0.02</v>
      </c>
      <c r="S1133" s="160">
        <f>InputData!$C$13</f>
        <v>0.9</v>
      </c>
      <c r="T1133" s="116">
        <f>InputData!$C$88</f>
        <v>180000</v>
      </c>
      <c r="U1133" s="116">
        <f>InputData!$C$81</f>
        <v>178500</v>
      </c>
      <c r="V1133" s="116">
        <f>InputData!$C$82</f>
        <v>303960</v>
      </c>
      <c r="W1133" s="116">
        <f>InputData!$C$84</f>
        <v>215220</v>
      </c>
      <c r="X1133" s="116">
        <f>InputData!$C$85</f>
        <v>409020</v>
      </c>
      <c r="Y1133" s="116">
        <f>InputData!$C$116</f>
        <v>140000</v>
      </c>
      <c r="Z1133" s="160">
        <f>InputData!$E$13</f>
        <v>0</v>
      </c>
    </row>
    <row r="1134" spans="1:26" x14ac:dyDescent="0.25">
      <c r="A1134">
        <f>InputData!$K$1</f>
        <v>2013</v>
      </c>
      <c r="B1134" t="str">
        <f>InputData!$G$1</f>
        <v>San Antonio, TX</v>
      </c>
      <c r="C1134" t="s">
        <v>5</v>
      </c>
      <c r="D1134" t="str">
        <f>Graph_GenSurg!$L$6</f>
        <v>USU20</v>
      </c>
      <c r="E1134" t="str">
        <f t="shared" si="17"/>
        <v>General Surgery USU20</v>
      </c>
      <c r="F1134">
        <f>Graph_GenSurg!$A29</f>
        <v>2035</v>
      </c>
      <c r="G1134">
        <f>Graph_GenSurg!$B29</f>
        <v>23</v>
      </c>
      <c r="H1134" s="165">
        <f>Graph_GenSurg!$L29</f>
        <v>1498396.6243776204</v>
      </c>
      <c r="I1134" s="160">
        <f>InputData!$C$3</f>
        <v>0.02</v>
      </c>
      <c r="J1134" s="160">
        <f>InputData!$C$4</f>
        <v>0.01</v>
      </c>
      <c r="K1134" s="160">
        <f>InputData!$C$5</f>
        <v>0.01</v>
      </c>
      <c r="L1134" s="160">
        <f>InputData!$C$6</f>
        <v>6.2100000000000002E-2</v>
      </c>
      <c r="M1134" s="160">
        <f>InputData!$C$7</f>
        <v>0.03</v>
      </c>
      <c r="N1134" s="160">
        <f>InputData!$C$8</f>
        <v>0.02</v>
      </c>
      <c r="O1134" s="160">
        <f>InputData!$C$9</f>
        <v>0.06</v>
      </c>
      <c r="P1134" s="160">
        <f>InputData!$C$10</f>
        <v>0.02</v>
      </c>
      <c r="Q1134" s="160">
        <f>InputData!$C$11</f>
        <v>0.02</v>
      </c>
      <c r="R1134" s="160">
        <f>InputData!$C$12</f>
        <v>0.02</v>
      </c>
      <c r="S1134" s="160">
        <f>InputData!$C$13</f>
        <v>0.9</v>
      </c>
      <c r="T1134" s="116">
        <f>InputData!$C$88</f>
        <v>180000</v>
      </c>
      <c r="U1134" s="116">
        <f>InputData!$C$81</f>
        <v>178500</v>
      </c>
      <c r="V1134" s="116">
        <f>InputData!$C$82</f>
        <v>303960</v>
      </c>
      <c r="W1134" s="116">
        <f>InputData!$C$84</f>
        <v>215220</v>
      </c>
      <c r="X1134" s="116">
        <f>InputData!$C$85</f>
        <v>409020</v>
      </c>
      <c r="Y1134" s="116">
        <f>InputData!$C$116</f>
        <v>140000</v>
      </c>
      <c r="Z1134" s="160">
        <f>InputData!$E$13</f>
        <v>0</v>
      </c>
    </row>
    <row r="1135" spans="1:26" x14ac:dyDescent="0.25">
      <c r="A1135">
        <f>InputData!$K$1</f>
        <v>2013</v>
      </c>
      <c r="B1135" t="str">
        <f>InputData!$G$1</f>
        <v>San Antonio, TX</v>
      </c>
      <c r="C1135" t="s">
        <v>5</v>
      </c>
      <c r="D1135" t="str">
        <f>Graph_GenSurg!$L$6</f>
        <v>USU20</v>
      </c>
      <c r="E1135" t="str">
        <f t="shared" si="17"/>
        <v>General Surgery USU20</v>
      </c>
      <c r="F1135">
        <f>Graph_GenSurg!$A30</f>
        <v>2036</v>
      </c>
      <c r="G1135">
        <f>Graph_GenSurg!$B30</f>
        <v>24</v>
      </c>
      <c r="H1135" s="165">
        <f>Graph_GenSurg!$L30</f>
        <v>1578309.0119299442</v>
      </c>
      <c r="I1135" s="160">
        <f>InputData!$C$3</f>
        <v>0.02</v>
      </c>
      <c r="J1135" s="160">
        <f>InputData!$C$4</f>
        <v>0.01</v>
      </c>
      <c r="K1135" s="160">
        <f>InputData!$C$5</f>
        <v>0.01</v>
      </c>
      <c r="L1135" s="160">
        <f>InputData!$C$6</f>
        <v>6.2100000000000002E-2</v>
      </c>
      <c r="M1135" s="160">
        <f>InputData!$C$7</f>
        <v>0.03</v>
      </c>
      <c r="N1135" s="160">
        <f>InputData!$C$8</f>
        <v>0.02</v>
      </c>
      <c r="O1135" s="160">
        <f>InputData!$C$9</f>
        <v>0.06</v>
      </c>
      <c r="P1135" s="160">
        <f>InputData!$C$10</f>
        <v>0.02</v>
      </c>
      <c r="Q1135" s="160">
        <f>InputData!$C$11</f>
        <v>0.02</v>
      </c>
      <c r="R1135" s="160">
        <f>InputData!$C$12</f>
        <v>0.02</v>
      </c>
      <c r="S1135" s="160">
        <f>InputData!$C$13</f>
        <v>0.9</v>
      </c>
      <c r="T1135" s="116">
        <f>InputData!$C$88</f>
        <v>180000</v>
      </c>
      <c r="U1135" s="116">
        <f>InputData!$C$81</f>
        <v>178500</v>
      </c>
      <c r="V1135" s="116">
        <f>InputData!$C$82</f>
        <v>303960</v>
      </c>
      <c r="W1135" s="116">
        <f>InputData!$C$84</f>
        <v>215220</v>
      </c>
      <c r="X1135" s="116">
        <f>InputData!$C$85</f>
        <v>409020</v>
      </c>
      <c r="Y1135" s="116">
        <f>InputData!$C$116</f>
        <v>140000</v>
      </c>
      <c r="Z1135" s="160">
        <f>InputData!$E$13</f>
        <v>0</v>
      </c>
    </row>
    <row r="1136" spans="1:26" x14ac:dyDescent="0.25">
      <c r="A1136">
        <f>InputData!$K$1</f>
        <v>2013</v>
      </c>
      <c r="B1136" t="str">
        <f>InputData!$G$1</f>
        <v>San Antonio, TX</v>
      </c>
      <c r="C1136" t="s">
        <v>5</v>
      </c>
      <c r="D1136" t="str">
        <f>Graph_GenSurg!$L$6</f>
        <v>USU20</v>
      </c>
      <c r="E1136" t="str">
        <f t="shared" si="17"/>
        <v>General Surgery USU20</v>
      </c>
      <c r="F1136">
        <f>Graph_GenSurg!$A31</f>
        <v>2037</v>
      </c>
      <c r="G1136">
        <f>Graph_GenSurg!$B31</f>
        <v>25</v>
      </c>
      <c r="H1136" s="165">
        <f>Graph_GenSurg!$L31</f>
        <v>1698037.379055026</v>
      </c>
      <c r="I1136" s="160">
        <f>InputData!$C$3</f>
        <v>0.02</v>
      </c>
      <c r="J1136" s="160">
        <f>InputData!$C$4</f>
        <v>0.01</v>
      </c>
      <c r="K1136" s="160">
        <f>InputData!$C$5</f>
        <v>0.01</v>
      </c>
      <c r="L1136" s="160">
        <f>InputData!$C$6</f>
        <v>6.2100000000000002E-2</v>
      </c>
      <c r="M1136" s="160">
        <f>InputData!$C$7</f>
        <v>0.03</v>
      </c>
      <c r="N1136" s="160">
        <f>InputData!$C$8</f>
        <v>0.02</v>
      </c>
      <c r="O1136" s="160">
        <f>InputData!$C$9</f>
        <v>0.06</v>
      </c>
      <c r="P1136" s="160">
        <f>InputData!$C$10</f>
        <v>0.02</v>
      </c>
      <c r="Q1136" s="160">
        <f>InputData!$C$11</f>
        <v>0.02</v>
      </c>
      <c r="R1136" s="160">
        <f>InputData!$C$12</f>
        <v>0.02</v>
      </c>
      <c r="S1136" s="160">
        <f>InputData!$C$13</f>
        <v>0.9</v>
      </c>
      <c r="T1136" s="116">
        <f>InputData!$C$88</f>
        <v>180000</v>
      </c>
      <c r="U1136" s="116">
        <f>InputData!$C$81</f>
        <v>178500</v>
      </c>
      <c r="V1136" s="116">
        <f>InputData!$C$82</f>
        <v>303960</v>
      </c>
      <c r="W1136" s="116">
        <f>InputData!$C$84</f>
        <v>215220</v>
      </c>
      <c r="X1136" s="116">
        <f>InputData!$C$85</f>
        <v>409020</v>
      </c>
      <c r="Y1136" s="116">
        <f>InputData!$C$116</f>
        <v>140000</v>
      </c>
      <c r="Z1136" s="160">
        <f>InputData!$E$13</f>
        <v>0</v>
      </c>
    </row>
    <row r="1137" spans="1:26" x14ac:dyDescent="0.25">
      <c r="A1137">
        <f>InputData!$K$1</f>
        <v>2013</v>
      </c>
      <c r="B1137" t="str">
        <f>InputData!$G$1</f>
        <v>San Antonio, TX</v>
      </c>
      <c r="C1137" t="s">
        <v>5</v>
      </c>
      <c r="D1137" t="str">
        <f>Graph_GenSurg!$L$6</f>
        <v>USU20</v>
      </c>
      <c r="E1137" t="str">
        <f t="shared" si="17"/>
        <v>General Surgery USU20</v>
      </c>
      <c r="F1137">
        <f>Graph_GenSurg!$A32</f>
        <v>2038</v>
      </c>
      <c r="G1137">
        <f>Graph_GenSurg!$B32</f>
        <v>26</v>
      </c>
      <c r="H1137" s="165">
        <f>Graph_GenSurg!$L32</f>
        <v>1815114.7006283237</v>
      </c>
      <c r="I1137" s="160">
        <f>InputData!$C$3</f>
        <v>0.02</v>
      </c>
      <c r="J1137" s="160">
        <f>InputData!$C$4</f>
        <v>0.01</v>
      </c>
      <c r="K1137" s="160">
        <f>InputData!$C$5</f>
        <v>0.01</v>
      </c>
      <c r="L1137" s="160">
        <f>InputData!$C$6</f>
        <v>6.2100000000000002E-2</v>
      </c>
      <c r="M1137" s="160">
        <f>InputData!$C$7</f>
        <v>0.03</v>
      </c>
      <c r="N1137" s="160">
        <f>InputData!$C$8</f>
        <v>0.02</v>
      </c>
      <c r="O1137" s="160">
        <f>InputData!$C$9</f>
        <v>0.06</v>
      </c>
      <c r="P1137" s="160">
        <f>InputData!$C$10</f>
        <v>0.02</v>
      </c>
      <c r="Q1137" s="160">
        <f>InputData!$C$11</f>
        <v>0.02</v>
      </c>
      <c r="R1137" s="160">
        <f>InputData!$C$12</f>
        <v>0.02</v>
      </c>
      <c r="S1137" s="160">
        <f>InputData!$C$13</f>
        <v>0.9</v>
      </c>
      <c r="T1137" s="116">
        <f>InputData!$C$88</f>
        <v>180000</v>
      </c>
      <c r="U1137" s="116">
        <f>InputData!$C$81</f>
        <v>178500</v>
      </c>
      <c r="V1137" s="116">
        <f>InputData!$C$82</f>
        <v>303960</v>
      </c>
      <c r="W1137" s="116">
        <f>InputData!$C$84</f>
        <v>215220</v>
      </c>
      <c r="X1137" s="116">
        <f>InputData!$C$85</f>
        <v>409020</v>
      </c>
      <c r="Y1137" s="116">
        <f>InputData!$C$116</f>
        <v>140000</v>
      </c>
      <c r="Z1137" s="160">
        <f>InputData!$E$13</f>
        <v>0</v>
      </c>
    </row>
    <row r="1138" spans="1:26" x14ac:dyDescent="0.25">
      <c r="A1138">
        <f>InputData!$K$1</f>
        <v>2013</v>
      </c>
      <c r="B1138" t="str">
        <f>InputData!$G$1</f>
        <v>San Antonio, TX</v>
      </c>
      <c r="C1138" t="s">
        <v>5</v>
      </c>
      <c r="D1138" t="str">
        <f>Graph_GenSurg!$L$6</f>
        <v>USU20</v>
      </c>
      <c r="E1138" t="str">
        <f t="shared" si="17"/>
        <v>General Surgery USU20</v>
      </c>
      <c r="F1138">
        <f>Graph_GenSurg!$A33</f>
        <v>2039</v>
      </c>
      <c r="G1138">
        <f>Graph_GenSurg!$B33</f>
        <v>27</v>
      </c>
      <c r="H1138" s="165">
        <f>Graph_GenSurg!$L33</f>
        <v>1929604.2010729213</v>
      </c>
      <c r="I1138" s="160">
        <f>InputData!$C$3</f>
        <v>0.02</v>
      </c>
      <c r="J1138" s="160">
        <f>InputData!$C$4</f>
        <v>0.01</v>
      </c>
      <c r="K1138" s="160">
        <f>InputData!$C$5</f>
        <v>0.01</v>
      </c>
      <c r="L1138" s="160">
        <f>InputData!$C$6</f>
        <v>6.2100000000000002E-2</v>
      </c>
      <c r="M1138" s="160">
        <f>InputData!$C$7</f>
        <v>0.03</v>
      </c>
      <c r="N1138" s="160">
        <f>InputData!$C$8</f>
        <v>0.02</v>
      </c>
      <c r="O1138" s="160">
        <f>InputData!$C$9</f>
        <v>0.06</v>
      </c>
      <c r="P1138" s="160">
        <f>InputData!$C$10</f>
        <v>0.02</v>
      </c>
      <c r="Q1138" s="160">
        <f>InputData!$C$11</f>
        <v>0.02</v>
      </c>
      <c r="R1138" s="160">
        <f>InputData!$C$12</f>
        <v>0.02</v>
      </c>
      <c r="S1138" s="160">
        <f>InputData!$C$13</f>
        <v>0.9</v>
      </c>
      <c r="T1138" s="116">
        <f>InputData!$C$88</f>
        <v>180000</v>
      </c>
      <c r="U1138" s="116">
        <f>InputData!$C$81</f>
        <v>178500</v>
      </c>
      <c r="V1138" s="116">
        <f>InputData!$C$82</f>
        <v>303960</v>
      </c>
      <c r="W1138" s="116">
        <f>InputData!$C$84</f>
        <v>215220</v>
      </c>
      <c r="X1138" s="116">
        <f>InputData!$C$85</f>
        <v>409020</v>
      </c>
      <c r="Y1138" s="116">
        <f>InputData!$C$116</f>
        <v>140000</v>
      </c>
      <c r="Z1138" s="160">
        <f>InputData!$E$13</f>
        <v>0</v>
      </c>
    </row>
    <row r="1139" spans="1:26" x14ac:dyDescent="0.25">
      <c r="A1139">
        <f>InputData!$K$1</f>
        <v>2013</v>
      </c>
      <c r="B1139" t="str">
        <f>InputData!$G$1</f>
        <v>San Antonio, TX</v>
      </c>
      <c r="C1139" t="s">
        <v>5</v>
      </c>
      <c r="D1139" t="str">
        <f>Graph_GenSurg!$L$6</f>
        <v>USU20</v>
      </c>
      <c r="E1139" t="str">
        <f t="shared" si="17"/>
        <v>General Surgery USU20</v>
      </c>
      <c r="F1139">
        <f>Graph_GenSurg!$A34</f>
        <v>2040</v>
      </c>
      <c r="G1139">
        <f>Graph_GenSurg!$B34</f>
        <v>28</v>
      </c>
      <c r="H1139" s="165">
        <f>Graph_GenSurg!$L34</f>
        <v>2041567.4446933223</v>
      </c>
      <c r="I1139" s="160">
        <f>InputData!$C$3</f>
        <v>0.02</v>
      </c>
      <c r="J1139" s="160">
        <f>InputData!$C$4</f>
        <v>0.01</v>
      </c>
      <c r="K1139" s="160">
        <f>InputData!$C$5</f>
        <v>0.01</v>
      </c>
      <c r="L1139" s="160">
        <f>InputData!$C$6</f>
        <v>6.2100000000000002E-2</v>
      </c>
      <c r="M1139" s="160">
        <f>InputData!$C$7</f>
        <v>0.03</v>
      </c>
      <c r="N1139" s="160">
        <f>InputData!$C$8</f>
        <v>0.02</v>
      </c>
      <c r="O1139" s="160">
        <f>InputData!$C$9</f>
        <v>0.06</v>
      </c>
      <c r="P1139" s="160">
        <f>InputData!$C$10</f>
        <v>0.02</v>
      </c>
      <c r="Q1139" s="160">
        <f>InputData!$C$11</f>
        <v>0.02</v>
      </c>
      <c r="R1139" s="160">
        <f>InputData!$C$12</f>
        <v>0.02</v>
      </c>
      <c r="S1139" s="160">
        <f>InputData!$C$13</f>
        <v>0.9</v>
      </c>
      <c r="T1139" s="116">
        <f>InputData!$C$88</f>
        <v>180000</v>
      </c>
      <c r="U1139" s="116">
        <f>InputData!$C$81</f>
        <v>178500</v>
      </c>
      <c r="V1139" s="116">
        <f>InputData!$C$82</f>
        <v>303960</v>
      </c>
      <c r="W1139" s="116">
        <f>InputData!$C$84</f>
        <v>215220</v>
      </c>
      <c r="X1139" s="116">
        <f>InputData!$C$85</f>
        <v>409020</v>
      </c>
      <c r="Y1139" s="116">
        <f>InputData!$C$116</f>
        <v>140000</v>
      </c>
      <c r="Z1139" s="160">
        <f>InputData!$E$13</f>
        <v>0</v>
      </c>
    </row>
    <row r="1140" spans="1:26" x14ac:dyDescent="0.25">
      <c r="A1140">
        <f>InputData!$K$1</f>
        <v>2013</v>
      </c>
      <c r="B1140" t="str">
        <f>InputData!$G$1</f>
        <v>San Antonio, TX</v>
      </c>
      <c r="C1140" t="s">
        <v>5</v>
      </c>
      <c r="D1140" t="str">
        <f>Graph_GenSurg!$L$6</f>
        <v>USU20</v>
      </c>
      <c r="E1140" t="str">
        <f t="shared" si="17"/>
        <v>General Surgery USU20</v>
      </c>
      <c r="F1140">
        <f>Graph_GenSurg!$A35</f>
        <v>2041</v>
      </c>
      <c r="G1140">
        <f>Graph_GenSurg!$B35</f>
        <v>29</v>
      </c>
      <c r="H1140" s="165">
        <f>Graph_GenSurg!$L35</f>
        <v>2151064.3840643219</v>
      </c>
      <c r="I1140" s="160">
        <f>InputData!$C$3</f>
        <v>0.02</v>
      </c>
      <c r="J1140" s="160">
        <f>InputData!$C$4</f>
        <v>0.01</v>
      </c>
      <c r="K1140" s="160">
        <f>InputData!$C$5</f>
        <v>0.01</v>
      </c>
      <c r="L1140" s="160">
        <f>InputData!$C$6</f>
        <v>6.2100000000000002E-2</v>
      </c>
      <c r="M1140" s="160">
        <f>InputData!$C$7</f>
        <v>0.03</v>
      </c>
      <c r="N1140" s="160">
        <f>InputData!$C$8</f>
        <v>0.02</v>
      </c>
      <c r="O1140" s="160">
        <f>InputData!$C$9</f>
        <v>0.06</v>
      </c>
      <c r="P1140" s="160">
        <f>InputData!$C$10</f>
        <v>0.02</v>
      </c>
      <c r="Q1140" s="160">
        <f>InputData!$C$11</f>
        <v>0.02</v>
      </c>
      <c r="R1140" s="160">
        <f>InputData!$C$12</f>
        <v>0.02</v>
      </c>
      <c r="S1140" s="160">
        <f>InputData!$C$13</f>
        <v>0.9</v>
      </c>
      <c r="T1140" s="116">
        <f>InputData!$C$88</f>
        <v>180000</v>
      </c>
      <c r="U1140" s="116">
        <f>InputData!$C$81</f>
        <v>178500</v>
      </c>
      <c r="V1140" s="116">
        <f>InputData!$C$82</f>
        <v>303960</v>
      </c>
      <c r="W1140" s="116">
        <f>InputData!$C$84</f>
        <v>215220</v>
      </c>
      <c r="X1140" s="116">
        <f>InputData!$C$85</f>
        <v>409020</v>
      </c>
      <c r="Y1140" s="116">
        <f>InputData!$C$116</f>
        <v>140000</v>
      </c>
      <c r="Z1140" s="160">
        <f>InputData!$E$13</f>
        <v>0</v>
      </c>
    </row>
    <row r="1141" spans="1:26" x14ac:dyDescent="0.25">
      <c r="A1141">
        <f>InputData!$K$1</f>
        <v>2013</v>
      </c>
      <c r="B1141" t="str">
        <f>InputData!$G$1</f>
        <v>San Antonio, TX</v>
      </c>
      <c r="C1141" t="s">
        <v>5</v>
      </c>
      <c r="D1141" t="str">
        <f>Graph_GenSurg!$L$6</f>
        <v>USU20</v>
      </c>
      <c r="E1141" t="str">
        <f t="shared" si="17"/>
        <v>General Surgery USU20</v>
      </c>
      <c r="F1141">
        <f>Graph_GenSurg!$A36</f>
        <v>2042</v>
      </c>
      <c r="G1141">
        <f>Graph_GenSurg!$B36</f>
        <v>30</v>
      </c>
      <c r="H1141" s="165">
        <f>Graph_GenSurg!$L36</f>
        <v>2258153.4068709724</v>
      </c>
      <c r="I1141" s="160">
        <f>InputData!$C$3</f>
        <v>0.02</v>
      </c>
      <c r="J1141" s="160">
        <f>InputData!$C$4</f>
        <v>0.01</v>
      </c>
      <c r="K1141" s="160">
        <f>InputData!$C$5</f>
        <v>0.01</v>
      </c>
      <c r="L1141" s="160">
        <f>InputData!$C$6</f>
        <v>6.2100000000000002E-2</v>
      </c>
      <c r="M1141" s="160">
        <f>InputData!$C$7</f>
        <v>0.03</v>
      </c>
      <c r="N1141" s="160">
        <f>InputData!$C$8</f>
        <v>0.02</v>
      </c>
      <c r="O1141" s="160">
        <f>InputData!$C$9</f>
        <v>0.06</v>
      </c>
      <c r="P1141" s="160">
        <f>InputData!$C$10</f>
        <v>0.02</v>
      </c>
      <c r="Q1141" s="160">
        <f>InputData!$C$11</f>
        <v>0.02</v>
      </c>
      <c r="R1141" s="160">
        <f>InputData!$C$12</f>
        <v>0.02</v>
      </c>
      <c r="S1141" s="160">
        <f>InputData!$C$13</f>
        <v>0.9</v>
      </c>
      <c r="T1141" s="116">
        <f>InputData!$C$88</f>
        <v>180000</v>
      </c>
      <c r="U1141" s="116">
        <f>InputData!$C$81</f>
        <v>178500</v>
      </c>
      <c r="V1141" s="116">
        <f>InputData!$C$82</f>
        <v>303960</v>
      </c>
      <c r="W1141" s="116">
        <f>InputData!$C$84</f>
        <v>215220</v>
      </c>
      <c r="X1141" s="116">
        <f>InputData!$C$85</f>
        <v>409020</v>
      </c>
      <c r="Y1141" s="116">
        <f>InputData!$C$116</f>
        <v>140000</v>
      </c>
      <c r="Z1141" s="160">
        <f>InputData!$E$13</f>
        <v>0</v>
      </c>
    </row>
    <row r="1142" spans="1:26" x14ac:dyDescent="0.25">
      <c r="A1142">
        <f>InputData!$K$1</f>
        <v>2013</v>
      </c>
      <c r="B1142" t="str">
        <f>InputData!$G$1</f>
        <v>San Antonio, TX</v>
      </c>
      <c r="C1142" t="s">
        <v>5</v>
      </c>
      <c r="D1142" t="str">
        <f>Graph_GenSurg!$M$6</f>
        <v>HPSP20</v>
      </c>
      <c r="E1142" t="str">
        <f t="shared" si="17"/>
        <v>General Surgery HPSP20</v>
      </c>
      <c r="F1142">
        <f>Graph_GenSurg!$A7</f>
        <v>2013</v>
      </c>
      <c r="G1142">
        <f>Graph_GenSurg!$B7</f>
        <v>1</v>
      </c>
      <c r="H1142" s="165">
        <f>Graph_GenSurg!$M7</f>
        <v>43551.744866529771</v>
      </c>
      <c r="I1142" s="160">
        <f>InputData!$C$3</f>
        <v>0.02</v>
      </c>
      <c r="J1142" s="160">
        <f>InputData!$C$4</f>
        <v>0.01</v>
      </c>
      <c r="K1142" s="160">
        <f>InputData!$C$5</f>
        <v>0.01</v>
      </c>
      <c r="L1142" s="160">
        <f>InputData!$C$6</f>
        <v>6.2100000000000002E-2</v>
      </c>
      <c r="M1142" s="160">
        <f>InputData!$C$7</f>
        <v>0.03</v>
      </c>
      <c r="N1142" s="160">
        <f>InputData!$C$8</f>
        <v>0.02</v>
      </c>
      <c r="O1142" s="160">
        <f>InputData!$C$9</f>
        <v>0.06</v>
      </c>
      <c r="P1142" s="160">
        <f>InputData!$C$10</f>
        <v>0.02</v>
      </c>
      <c r="Q1142" s="160">
        <f>InputData!$C$11</f>
        <v>0.02</v>
      </c>
      <c r="R1142" s="160">
        <f>InputData!$C$12</f>
        <v>0.02</v>
      </c>
      <c r="S1142" s="160">
        <f>InputData!$C$13</f>
        <v>0.9</v>
      </c>
      <c r="T1142" s="116">
        <f>InputData!$C$88</f>
        <v>180000</v>
      </c>
      <c r="U1142" s="116">
        <f>InputData!$C$81</f>
        <v>178500</v>
      </c>
      <c r="V1142" s="116">
        <f>InputData!$C$82</f>
        <v>303960</v>
      </c>
      <c r="W1142" s="116">
        <f>InputData!$C$84</f>
        <v>215220</v>
      </c>
      <c r="X1142" s="116">
        <f>InputData!$C$85</f>
        <v>409020</v>
      </c>
      <c r="Y1142" s="116">
        <f>InputData!$C$116</f>
        <v>140000</v>
      </c>
      <c r="Z1142" s="160">
        <f>InputData!$E$13</f>
        <v>0</v>
      </c>
    </row>
    <row r="1143" spans="1:26" x14ac:dyDescent="0.25">
      <c r="A1143">
        <f>InputData!$K$1</f>
        <v>2013</v>
      </c>
      <c r="B1143" t="str">
        <f>InputData!$G$1</f>
        <v>San Antonio, TX</v>
      </c>
      <c r="C1143" t="s">
        <v>5</v>
      </c>
      <c r="D1143" t="str">
        <f>Graph_GenSurg!$M$6</f>
        <v>HPSP20</v>
      </c>
      <c r="E1143" t="str">
        <f t="shared" si="17"/>
        <v>General Surgery HPSP20</v>
      </c>
      <c r="F1143">
        <f>Graph_GenSurg!$A8</f>
        <v>2014</v>
      </c>
      <c r="G1143">
        <f>Graph_GenSurg!$B8</f>
        <v>2</v>
      </c>
      <c r="H1143" s="165">
        <f>Graph_GenSurg!$M8</f>
        <v>69389.851463288214</v>
      </c>
      <c r="I1143" s="160">
        <f>InputData!$C$3</f>
        <v>0.02</v>
      </c>
      <c r="J1143" s="160">
        <f>InputData!$C$4</f>
        <v>0.01</v>
      </c>
      <c r="K1143" s="160">
        <f>InputData!$C$5</f>
        <v>0.01</v>
      </c>
      <c r="L1143" s="160">
        <f>InputData!$C$6</f>
        <v>6.2100000000000002E-2</v>
      </c>
      <c r="M1143" s="160">
        <f>InputData!$C$7</f>
        <v>0.03</v>
      </c>
      <c r="N1143" s="160">
        <f>InputData!$C$8</f>
        <v>0.02</v>
      </c>
      <c r="O1143" s="160">
        <f>InputData!$C$9</f>
        <v>0.06</v>
      </c>
      <c r="P1143" s="160">
        <f>InputData!$C$10</f>
        <v>0.02</v>
      </c>
      <c r="Q1143" s="160">
        <f>InputData!$C$11</f>
        <v>0.02</v>
      </c>
      <c r="R1143" s="160">
        <f>InputData!$C$12</f>
        <v>0.02</v>
      </c>
      <c r="S1143" s="160">
        <f>InputData!$C$13</f>
        <v>0.9</v>
      </c>
      <c r="T1143" s="116">
        <f>InputData!$C$88</f>
        <v>180000</v>
      </c>
      <c r="U1143" s="116">
        <f>InputData!$C$81</f>
        <v>178500</v>
      </c>
      <c r="V1143" s="116">
        <f>InputData!$C$82</f>
        <v>303960</v>
      </c>
      <c r="W1143" s="116">
        <f>InputData!$C$84</f>
        <v>215220</v>
      </c>
      <c r="X1143" s="116">
        <f>InputData!$C$85</f>
        <v>409020</v>
      </c>
      <c r="Y1143" s="116">
        <f>InputData!$C$116</f>
        <v>140000</v>
      </c>
      <c r="Z1143" s="160">
        <f>InputData!$E$13</f>
        <v>0</v>
      </c>
    </row>
    <row r="1144" spans="1:26" x14ac:dyDescent="0.25">
      <c r="A1144">
        <f>InputData!$K$1</f>
        <v>2013</v>
      </c>
      <c r="B1144" t="str">
        <f>InputData!$G$1</f>
        <v>San Antonio, TX</v>
      </c>
      <c r="C1144" t="s">
        <v>5</v>
      </c>
      <c r="D1144" t="str">
        <f>Graph_GenSurg!$M$6</f>
        <v>HPSP20</v>
      </c>
      <c r="E1144" t="str">
        <f t="shared" si="17"/>
        <v>General Surgery HPSP20</v>
      </c>
      <c r="F1144">
        <f>Graph_GenSurg!$A9</f>
        <v>2015</v>
      </c>
      <c r="G1144">
        <f>Graph_GenSurg!$B9</f>
        <v>3</v>
      </c>
      <c r="H1144" s="165">
        <f>Graph_GenSurg!$M9</f>
        <v>94384.024082394724</v>
      </c>
      <c r="I1144" s="160">
        <f>InputData!$C$3</f>
        <v>0.02</v>
      </c>
      <c r="J1144" s="160">
        <f>InputData!$C$4</f>
        <v>0.01</v>
      </c>
      <c r="K1144" s="160">
        <f>InputData!$C$5</f>
        <v>0.01</v>
      </c>
      <c r="L1144" s="160">
        <f>InputData!$C$6</f>
        <v>6.2100000000000002E-2</v>
      </c>
      <c r="M1144" s="160">
        <f>InputData!$C$7</f>
        <v>0.03</v>
      </c>
      <c r="N1144" s="160">
        <f>InputData!$C$8</f>
        <v>0.02</v>
      </c>
      <c r="O1144" s="160">
        <f>InputData!$C$9</f>
        <v>0.06</v>
      </c>
      <c r="P1144" s="160">
        <f>InputData!$C$10</f>
        <v>0.02</v>
      </c>
      <c r="Q1144" s="160">
        <f>InputData!$C$11</f>
        <v>0.02</v>
      </c>
      <c r="R1144" s="160">
        <f>InputData!$C$12</f>
        <v>0.02</v>
      </c>
      <c r="S1144" s="160">
        <f>InputData!$C$13</f>
        <v>0.9</v>
      </c>
      <c r="T1144" s="116">
        <f>InputData!$C$88</f>
        <v>180000</v>
      </c>
      <c r="U1144" s="116">
        <f>InputData!$C$81</f>
        <v>178500</v>
      </c>
      <c r="V1144" s="116">
        <f>InputData!$C$82</f>
        <v>303960</v>
      </c>
      <c r="W1144" s="116">
        <f>InputData!$C$84</f>
        <v>215220</v>
      </c>
      <c r="X1144" s="116">
        <f>InputData!$C$85</f>
        <v>409020</v>
      </c>
      <c r="Y1144" s="116">
        <f>InputData!$C$116</f>
        <v>140000</v>
      </c>
      <c r="Z1144" s="160">
        <f>InputData!$E$13</f>
        <v>0</v>
      </c>
    </row>
    <row r="1145" spans="1:26" x14ac:dyDescent="0.25">
      <c r="A1145">
        <f>InputData!$K$1</f>
        <v>2013</v>
      </c>
      <c r="B1145" t="str">
        <f>InputData!$G$1</f>
        <v>San Antonio, TX</v>
      </c>
      <c r="C1145" t="s">
        <v>5</v>
      </c>
      <c r="D1145" t="str">
        <f>Graph_GenSurg!$M$6</f>
        <v>HPSP20</v>
      </c>
      <c r="E1145" t="str">
        <f t="shared" si="17"/>
        <v>General Surgery HPSP20</v>
      </c>
      <c r="F1145">
        <f>Graph_GenSurg!$A10</f>
        <v>2016</v>
      </c>
      <c r="G1145">
        <f>Graph_GenSurg!$B10</f>
        <v>4</v>
      </c>
      <c r="H1145" s="165">
        <f>Graph_GenSurg!$M10</f>
        <v>119127.82998672797</v>
      </c>
      <c r="I1145" s="160">
        <f>InputData!$C$3</f>
        <v>0.02</v>
      </c>
      <c r="J1145" s="160">
        <f>InputData!$C$4</f>
        <v>0.01</v>
      </c>
      <c r="K1145" s="160">
        <f>InputData!$C$5</f>
        <v>0.01</v>
      </c>
      <c r="L1145" s="160">
        <f>InputData!$C$6</f>
        <v>6.2100000000000002E-2</v>
      </c>
      <c r="M1145" s="160">
        <f>InputData!$C$7</f>
        <v>0.03</v>
      </c>
      <c r="N1145" s="160">
        <f>InputData!$C$8</f>
        <v>0.02</v>
      </c>
      <c r="O1145" s="160">
        <f>InputData!$C$9</f>
        <v>0.06</v>
      </c>
      <c r="P1145" s="160">
        <f>InputData!$C$10</f>
        <v>0.02</v>
      </c>
      <c r="Q1145" s="160">
        <f>InputData!$C$11</f>
        <v>0.02</v>
      </c>
      <c r="R1145" s="160">
        <f>InputData!$C$12</f>
        <v>0.02</v>
      </c>
      <c r="S1145" s="160">
        <f>InputData!$C$13</f>
        <v>0.9</v>
      </c>
      <c r="T1145" s="116">
        <f>InputData!$C$88</f>
        <v>180000</v>
      </c>
      <c r="U1145" s="116">
        <f>InputData!$C$81</f>
        <v>178500</v>
      </c>
      <c r="V1145" s="116">
        <f>InputData!$C$82</f>
        <v>303960</v>
      </c>
      <c r="W1145" s="116">
        <f>InputData!$C$84</f>
        <v>215220</v>
      </c>
      <c r="X1145" s="116">
        <f>InputData!$C$85</f>
        <v>409020</v>
      </c>
      <c r="Y1145" s="116">
        <f>InputData!$C$116</f>
        <v>140000</v>
      </c>
      <c r="Z1145" s="160">
        <f>InputData!$E$13</f>
        <v>0</v>
      </c>
    </row>
    <row r="1146" spans="1:26" x14ac:dyDescent="0.25">
      <c r="A1146">
        <f>InputData!$K$1</f>
        <v>2013</v>
      </c>
      <c r="B1146" t="str">
        <f>InputData!$G$1</f>
        <v>San Antonio, TX</v>
      </c>
      <c r="C1146" t="s">
        <v>5</v>
      </c>
      <c r="D1146" t="str">
        <f>Graph_GenSurg!$M$6</f>
        <v>HPSP20</v>
      </c>
      <c r="E1146" t="str">
        <f t="shared" si="17"/>
        <v>General Surgery HPSP20</v>
      </c>
      <c r="F1146">
        <f>Graph_GenSurg!$A11</f>
        <v>2017</v>
      </c>
      <c r="G1146">
        <f>Graph_GenSurg!$B11</f>
        <v>5</v>
      </c>
      <c r="H1146" s="165">
        <f>Graph_GenSurg!$M11</f>
        <v>169089.82248832227</v>
      </c>
      <c r="I1146" s="160">
        <f>InputData!$C$3</f>
        <v>0.02</v>
      </c>
      <c r="J1146" s="160">
        <f>InputData!$C$4</f>
        <v>0.01</v>
      </c>
      <c r="K1146" s="160">
        <f>InputData!$C$5</f>
        <v>0.01</v>
      </c>
      <c r="L1146" s="160">
        <f>InputData!$C$6</f>
        <v>6.2100000000000002E-2</v>
      </c>
      <c r="M1146" s="160">
        <f>InputData!$C$7</f>
        <v>0.03</v>
      </c>
      <c r="N1146" s="160">
        <f>InputData!$C$8</f>
        <v>0.02</v>
      </c>
      <c r="O1146" s="160">
        <f>InputData!$C$9</f>
        <v>0.06</v>
      </c>
      <c r="P1146" s="160">
        <f>InputData!$C$10</f>
        <v>0.02</v>
      </c>
      <c r="Q1146" s="160">
        <f>InputData!$C$11</f>
        <v>0.02</v>
      </c>
      <c r="R1146" s="160">
        <f>InputData!$C$12</f>
        <v>0.02</v>
      </c>
      <c r="S1146" s="160">
        <f>InputData!$C$13</f>
        <v>0.9</v>
      </c>
      <c r="T1146" s="116">
        <f>InputData!$C$88</f>
        <v>180000</v>
      </c>
      <c r="U1146" s="116">
        <f>InputData!$C$81</f>
        <v>178500</v>
      </c>
      <c r="V1146" s="116">
        <f>InputData!$C$82</f>
        <v>303960</v>
      </c>
      <c r="W1146" s="116">
        <f>InputData!$C$84</f>
        <v>215220</v>
      </c>
      <c r="X1146" s="116">
        <f>InputData!$C$85</f>
        <v>409020</v>
      </c>
      <c r="Y1146" s="116">
        <f>InputData!$C$116</f>
        <v>140000</v>
      </c>
      <c r="Z1146" s="160">
        <f>InputData!$E$13</f>
        <v>0</v>
      </c>
    </row>
    <row r="1147" spans="1:26" x14ac:dyDescent="0.25">
      <c r="A1147">
        <f>InputData!$K$1</f>
        <v>2013</v>
      </c>
      <c r="B1147" t="str">
        <f>InputData!$G$1</f>
        <v>San Antonio, TX</v>
      </c>
      <c r="C1147" t="s">
        <v>5</v>
      </c>
      <c r="D1147" t="str">
        <f>Graph_GenSurg!$M$6</f>
        <v>HPSP20</v>
      </c>
      <c r="E1147" t="str">
        <f t="shared" si="17"/>
        <v>General Surgery HPSP20</v>
      </c>
      <c r="F1147">
        <f>Graph_GenSurg!$A12</f>
        <v>2018</v>
      </c>
      <c r="G1147">
        <f>Graph_GenSurg!$B12</f>
        <v>6</v>
      </c>
      <c r="H1147" s="165">
        <f>Graph_GenSurg!$M12</f>
        <v>219350.65217600405</v>
      </c>
      <c r="I1147" s="160">
        <f>InputData!$C$3</f>
        <v>0.02</v>
      </c>
      <c r="J1147" s="160">
        <f>InputData!$C$4</f>
        <v>0.01</v>
      </c>
      <c r="K1147" s="160">
        <f>InputData!$C$5</f>
        <v>0.01</v>
      </c>
      <c r="L1147" s="160">
        <f>InputData!$C$6</f>
        <v>6.2100000000000002E-2</v>
      </c>
      <c r="M1147" s="160">
        <f>InputData!$C$7</f>
        <v>0.03</v>
      </c>
      <c r="N1147" s="160">
        <f>InputData!$C$8</f>
        <v>0.02</v>
      </c>
      <c r="O1147" s="160">
        <f>InputData!$C$9</f>
        <v>0.06</v>
      </c>
      <c r="P1147" s="160">
        <f>InputData!$C$10</f>
        <v>0.02</v>
      </c>
      <c r="Q1147" s="160">
        <f>InputData!$C$11</f>
        <v>0.02</v>
      </c>
      <c r="R1147" s="160">
        <f>InputData!$C$12</f>
        <v>0.02</v>
      </c>
      <c r="S1147" s="160">
        <f>InputData!$C$13</f>
        <v>0.9</v>
      </c>
      <c r="T1147" s="116">
        <f>InputData!$C$88</f>
        <v>180000</v>
      </c>
      <c r="U1147" s="116">
        <f>InputData!$C$81</f>
        <v>178500</v>
      </c>
      <c r="V1147" s="116">
        <f>InputData!$C$82</f>
        <v>303960</v>
      </c>
      <c r="W1147" s="116">
        <f>InputData!$C$84</f>
        <v>215220</v>
      </c>
      <c r="X1147" s="116">
        <f>InputData!$C$85</f>
        <v>409020</v>
      </c>
      <c r="Y1147" s="116">
        <f>InputData!$C$116</f>
        <v>140000</v>
      </c>
      <c r="Z1147" s="160">
        <f>InputData!$E$13</f>
        <v>0</v>
      </c>
    </row>
    <row r="1148" spans="1:26" x14ac:dyDescent="0.25">
      <c r="A1148">
        <f>InputData!$K$1</f>
        <v>2013</v>
      </c>
      <c r="B1148" t="str">
        <f>InputData!$G$1</f>
        <v>San Antonio, TX</v>
      </c>
      <c r="C1148" t="s">
        <v>5</v>
      </c>
      <c r="D1148" t="str">
        <f>Graph_GenSurg!$M$6</f>
        <v>HPSP20</v>
      </c>
      <c r="E1148" t="str">
        <f t="shared" si="17"/>
        <v>General Surgery HPSP20</v>
      </c>
      <c r="F1148">
        <f>Graph_GenSurg!$A13</f>
        <v>2019</v>
      </c>
      <c r="G1148">
        <f>Graph_GenSurg!$B13</f>
        <v>7</v>
      </c>
      <c r="H1148" s="165">
        <f>Graph_GenSurg!$M13</f>
        <v>270992.25439901254</v>
      </c>
      <c r="I1148" s="160">
        <f>InputData!$C$3</f>
        <v>0.02</v>
      </c>
      <c r="J1148" s="160">
        <f>InputData!$C$4</f>
        <v>0.01</v>
      </c>
      <c r="K1148" s="160">
        <f>InputData!$C$5</f>
        <v>0.01</v>
      </c>
      <c r="L1148" s="160">
        <f>InputData!$C$6</f>
        <v>6.2100000000000002E-2</v>
      </c>
      <c r="M1148" s="160">
        <f>InputData!$C$7</f>
        <v>0.03</v>
      </c>
      <c r="N1148" s="160">
        <f>InputData!$C$8</f>
        <v>0.02</v>
      </c>
      <c r="O1148" s="160">
        <f>InputData!$C$9</f>
        <v>0.06</v>
      </c>
      <c r="P1148" s="160">
        <f>InputData!$C$10</f>
        <v>0.02</v>
      </c>
      <c r="Q1148" s="160">
        <f>InputData!$C$11</f>
        <v>0.02</v>
      </c>
      <c r="R1148" s="160">
        <f>InputData!$C$12</f>
        <v>0.02</v>
      </c>
      <c r="S1148" s="160">
        <f>InputData!$C$13</f>
        <v>0.9</v>
      </c>
      <c r="T1148" s="116">
        <f>InputData!$C$88</f>
        <v>180000</v>
      </c>
      <c r="U1148" s="116">
        <f>InputData!$C$81</f>
        <v>178500</v>
      </c>
      <c r="V1148" s="116">
        <f>InputData!$C$82</f>
        <v>303960</v>
      </c>
      <c r="W1148" s="116">
        <f>InputData!$C$84</f>
        <v>215220</v>
      </c>
      <c r="X1148" s="116">
        <f>InputData!$C$85</f>
        <v>409020</v>
      </c>
      <c r="Y1148" s="116">
        <f>InputData!$C$116</f>
        <v>140000</v>
      </c>
      <c r="Z1148" s="160">
        <f>InputData!$E$13</f>
        <v>0</v>
      </c>
    </row>
    <row r="1149" spans="1:26" x14ac:dyDescent="0.25">
      <c r="A1149">
        <f>InputData!$K$1</f>
        <v>2013</v>
      </c>
      <c r="B1149" t="str">
        <f>InputData!$G$1</f>
        <v>San Antonio, TX</v>
      </c>
      <c r="C1149" t="s">
        <v>5</v>
      </c>
      <c r="D1149" t="str">
        <f>Graph_GenSurg!$M$6</f>
        <v>HPSP20</v>
      </c>
      <c r="E1149" t="str">
        <f t="shared" si="17"/>
        <v>General Surgery HPSP20</v>
      </c>
      <c r="F1149">
        <f>Graph_GenSurg!$A14</f>
        <v>2020</v>
      </c>
      <c r="G1149">
        <f>Graph_GenSurg!$B14</f>
        <v>8</v>
      </c>
      <c r="H1149" s="165">
        <f>Graph_GenSurg!$M14</f>
        <v>322806.62031125103</v>
      </c>
      <c r="I1149" s="160">
        <f>InputData!$C$3</f>
        <v>0.02</v>
      </c>
      <c r="J1149" s="160">
        <f>InputData!$C$4</f>
        <v>0.01</v>
      </c>
      <c r="K1149" s="160">
        <f>InputData!$C$5</f>
        <v>0.01</v>
      </c>
      <c r="L1149" s="160">
        <f>InputData!$C$6</f>
        <v>6.2100000000000002E-2</v>
      </c>
      <c r="M1149" s="160">
        <f>InputData!$C$7</f>
        <v>0.03</v>
      </c>
      <c r="N1149" s="160">
        <f>InputData!$C$8</f>
        <v>0.02</v>
      </c>
      <c r="O1149" s="160">
        <f>InputData!$C$9</f>
        <v>0.06</v>
      </c>
      <c r="P1149" s="160">
        <f>InputData!$C$10</f>
        <v>0.02</v>
      </c>
      <c r="Q1149" s="160">
        <f>InputData!$C$11</f>
        <v>0.02</v>
      </c>
      <c r="R1149" s="160">
        <f>InputData!$C$12</f>
        <v>0.02</v>
      </c>
      <c r="S1149" s="160">
        <f>InputData!$C$13</f>
        <v>0.9</v>
      </c>
      <c r="T1149" s="116">
        <f>InputData!$C$88</f>
        <v>180000</v>
      </c>
      <c r="U1149" s="116">
        <f>InputData!$C$81</f>
        <v>178500</v>
      </c>
      <c r="V1149" s="116">
        <f>InputData!$C$82</f>
        <v>303960</v>
      </c>
      <c r="W1149" s="116">
        <f>InputData!$C$84</f>
        <v>215220</v>
      </c>
      <c r="X1149" s="116">
        <f>InputData!$C$85</f>
        <v>409020</v>
      </c>
      <c r="Y1149" s="116">
        <f>InputData!$C$116</f>
        <v>140000</v>
      </c>
      <c r="Z1149" s="160">
        <f>InputData!$E$13</f>
        <v>0</v>
      </c>
    </row>
    <row r="1150" spans="1:26" x14ac:dyDescent="0.25">
      <c r="A1150">
        <f>InputData!$K$1</f>
        <v>2013</v>
      </c>
      <c r="B1150" t="str">
        <f>InputData!$G$1</f>
        <v>San Antonio, TX</v>
      </c>
      <c r="C1150" t="s">
        <v>5</v>
      </c>
      <c r="D1150" t="str">
        <f>Graph_GenSurg!$M$6</f>
        <v>HPSP20</v>
      </c>
      <c r="E1150" t="str">
        <f t="shared" si="17"/>
        <v>General Surgery HPSP20</v>
      </c>
      <c r="F1150">
        <f>Graph_GenSurg!$A15</f>
        <v>2021</v>
      </c>
      <c r="G1150">
        <f>Graph_GenSurg!$B15</f>
        <v>9</v>
      </c>
      <c r="H1150" s="165">
        <f>Graph_GenSurg!$M15</f>
        <v>375167.2349965857</v>
      </c>
      <c r="I1150" s="160">
        <f>InputData!$C$3</f>
        <v>0.02</v>
      </c>
      <c r="J1150" s="160">
        <f>InputData!$C$4</f>
        <v>0.01</v>
      </c>
      <c r="K1150" s="160">
        <f>InputData!$C$5</f>
        <v>0.01</v>
      </c>
      <c r="L1150" s="160">
        <f>InputData!$C$6</f>
        <v>6.2100000000000002E-2</v>
      </c>
      <c r="M1150" s="160">
        <f>InputData!$C$7</f>
        <v>0.03</v>
      </c>
      <c r="N1150" s="160">
        <f>InputData!$C$8</f>
        <v>0.02</v>
      </c>
      <c r="O1150" s="160">
        <f>InputData!$C$9</f>
        <v>0.06</v>
      </c>
      <c r="P1150" s="160">
        <f>InputData!$C$10</f>
        <v>0.02</v>
      </c>
      <c r="Q1150" s="160">
        <f>InputData!$C$11</f>
        <v>0.02</v>
      </c>
      <c r="R1150" s="160">
        <f>InputData!$C$12</f>
        <v>0.02</v>
      </c>
      <c r="S1150" s="160">
        <f>InputData!$C$13</f>
        <v>0.9</v>
      </c>
      <c r="T1150" s="116">
        <f>InputData!$C$88</f>
        <v>180000</v>
      </c>
      <c r="U1150" s="116">
        <f>InputData!$C$81</f>
        <v>178500</v>
      </c>
      <c r="V1150" s="116">
        <f>InputData!$C$82</f>
        <v>303960</v>
      </c>
      <c r="W1150" s="116">
        <f>InputData!$C$84</f>
        <v>215220</v>
      </c>
      <c r="X1150" s="116">
        <f>InputData!$C$85</f>
        <v>409020</v>
      </c>
      <c r="Y1150" s="116">
        <f>InputData!$C$116</f>
        <v>140000</v>
      </c>
      <c r="Z1150" s="160">
        <f>InputData!$E$13</f>
        <v>0</v>
      </c>
    </row>
    <row r="1151" spans="1:26" x14ac:dyDescent="0.25">
      <c r="A1151">
        <f>InputData!$K$1</f>
        <v>2013</v>
      </c>
      <c r="B1151" t="str">
        <f>InputData!$G$1</f>
        <v>San Antonio, TX</v>
      </c>
      <c r="C1151" t="s">
        <v>5</v>
      </c>
      <c r="D1151" t="str">
        <f>Graph_GenSurg!$M$6</f>
        <v>HPSP20</v>
      </c>
      <c r="E1151" t="str">
        <f t="shared" si="17"/>
        <v>General Surgery HPSP20</v>
      </c>
      <c r="F1151">
        <f>Graph_GenSurg!$A16</f>
        <v>2022</v>
      </c>
      <c r="G1151">
        <f>Graph_GenSurg!$B16</f>
        <v>10</v>
      </c>
      <c r="H1151" s="165">
        <f>Graph_GenSurg!$M16</f>
        <v>432639.50205622433</v>
      </c>
      <c r="I1151" s="160">
        <f>InputData!$C$3</f>
        <v>0.02</v>
      </c>
      <c r="J1151" s="160">
        <f>InputData!$C$4</f>
        <v>0.01</v>
      </c>
      <c r="K1151" s="160">
        <f>InputData!$C$5</f>
        <v>0.01</v>
      </c>
      <c r="L1151" s="160">
        <f>InputData!$C$6</f>
        <v>6.2100000000000002E-2</v>
      </c>
      <c r="M1151" s="160">
        <f>InputData!$C$7</f>
        <v>0.03</v>
      </c>
      <c r="N1151" s="160">
        <f>InputData!$C$8</f>
        <v>0.02</v>
      </c>
      <c r="O1151" s="160">
        <f>InputData!$C$9</f>
        <v>0.06</v>
      </c>
      <c r="P1151" s="160">
        <f>InputData!$C$10</f>
        <v>0.02</v>
      </c>
      <c r="Q1151" s="160">
        <f>InputData!$C$11</f>
        <v>0.02</v>
      </c>
      <c r="R1151" s="160">
        <f>InputData!$C$12</f>
        <v>0.02</v>
      </c>
      <c r="S1151" s="160">
        <f>InputData!$C$13</f>
        <v>0.9</v>
      </c>
      <c r="T1151" s="116">
        <f>InputData!$C$88</f>
        <v>180000</v>
      </c>
      <c r="U1151" s="116">
        <f>InputData!$C$81</f>
        <v>178500</v>
      </c>
      <c r="V1151" s="116">
        <f>InputData!$C$82</f>
        <v>303960</v>
      </c>
      <c r="W1151" s="116">
        <f>InputData!$C$84</f>
        <v>215220</v>
      </c>
      <c r="X1151" s="116">
        <f>InputData!$C$85</f>
        <v>409020</v>
      </c>
      <c r="Y1151" s="116">
        <f>InputData!$C$116</f>
        <v>140000</v>
      </c>
      <c r="Z1151" s="160">
        <f>InputData!$E$13</f>
        <v>0</v>
      </c>
    </row>
    <row r="1152" spans="1:26" x14ac:dyDescent="0.25">
      <c r="A1152">
        <f>InputData!$K$1</f>
        <v>2013</v>
      </c>
      <c r="B1152" t="str">
        <f>InputData!$G$1</f>
        <v>San Antonio, TX</v>
      </c>
      <c r="C1152" t="s">
        <v>5</v>
      </c>
      <c r="D1152" t="str">
        <f>Graph_GenSurg!$M$6</f>
        <v>HPSP20</v>
      </c>
      <c r="E1152" t="str">
        <f t="shared" si="17"/>
        <v>General Surgery HPSP20</v>
      </c>
      <c r="F1152">
        <f>Graph_GenSurg!$A17</f>
        <v>2023</v>
      </c>
      <c r="G1152">
        <f>Graph_GenSurg!$B17</f>
        <v>11</v>
      </c>
      <c r="H1152" s="165">
        <f>Graph_GenSurg!$M17</f>
        <v>496325.29808331205</v>
      </c>
      <c r="I1152" s="160">
        <f>InputData!$C$3</f>
        <v>0.02</v>
      </c>
      <c r="J1152" s="160">
        <f>InputData!$C$4</f>
        <v>0.01</v>
      </c>
      <c r="K1152" s="160">
        <f>InputData!$C$5</f>
        <v>0.01</v>
      </c>
      <c r="L1152" s="160">
        <f>InputData!$C$6</f>
        <v>6.2100000000000002E-2</v>
      </c>
      <c r="M1152" s="160">
        <f>InputData!$C$7</f>
        <v>0.03</v>
      </c>
      <c r="N1152" s="160">
        <f>InputData!$C$8</f>
        <v>0.02</v>
      </c>
      <c r="O1152" s="160">
        <f>InputData!$C$9</f>
        <v>0.06</v>
      </c>
      <c r="P1152" s="160">
        <f>InputData!$C$10</f>
        <v>0.02</v>
      </c>
      <c r="Q1152" s="160">
        <f>InputData!$C$11</f>
        <v>0.02</v>
      </c>
      <c r="R1152" s="160">
        <f>InputData!$C$12</f>
        <v>0.02</v>
      </c>
      <c r="S1152" s="160">
        <f>InputData!$C$13</f>
        <v>0.9</v>
      </c>
      <c r="T1152" s="116">
        <f>InputData!$C$88</f>
        <v>180000</v>
      </c>
      <c r="U1152" s="116">
        <f>InputData!$C$81</f>
        <v>178500</v>
      </c>
      <c r="V1152" s="116">
        <f>InputData!$C$82</f>
        <v>303960</v>
      </c>
      <c r="W1152" s="116">
        <f>InputData!$C$84</f>
        <v>215220</v>
      </c>
      <c r="X1152" s="116">
        <f>InputData!$C$85</f>
        <v>409020</v>
      </c>
      <c r="Y1152" s="116">
        <f>InputData!$C$116</f>
        <v>140000</v>
      </c>
      <c r="Z1152" s="160">
        <f>InputData!$E$13</f>
        <v>0</v>
      </c>
    </row>
    <row r="1153" spans="1:26" x14ac:dyDescent="0.25">
      <c r="A1153">
        <f>InputData!$K$1</f>
        <v>2013</v>
      </c>
      <c r="B1153" t="str">
        <f>InputData!$G$1</f>
        <v>San Antonio, TX</v>
      </c>
      <c r="C1153" t="s">
        <v>5</v>
      </c>
      <c r="D1153" t="str">
        <f>Graph_GenSurg!$M$6</f>
        <v>HPSP20</v>
      </c>
      <c r="E1153" t="str">
        <f t="shared" si="17"/>
        <v>General Surgery HPSP20</v>
      </c>
      <c r="F1153">
        <f>Graph_GenSurg!$A18</f>
        <v>2024</v>
      </c>
      <c r="G1153">
        <f>Graph_GenSurg!$B18</f>
        <v>12</v>
      </c>
      <c r="H1153" s="165">
        <f>Graph_GenSurg!$M18</f>
        <v>557596.52429570619</v>
      </c>
      <c r="I1153" s="160">
        <f>InputData!$C$3</f>
        <v>0.02</v>
      </c>
      <c r="J1153" s="160">
        <f>InputData!$C$4</f>
        <v>0.01</v>
      </c>
      <c r="K1153" s="160">
        <f>InputData!$C$5</f>
        <v>0.01</v>
      </c>
      <c r="L1153" s="160">
        <f>InputData!$C$6</f>
        <v>6.2100000000000002E-2</v>
      </c>
      <c r="M1153" s="160">
        <f>InputData!$C$7</f>
        <v>0.03</v>
      </c>
      <c r="N1153" s="160">
        <f>InputData!$C$8</f>
        <v>0.02</v>
      </c>
      <c r="O1153" s="160">
        <f>InputData!$C$9</f>
        <v>0.06</v>
      </c>
      <c r="P1153" s="160">
        <f>InputData!$C$10</f>
        <v>0.02</v>
      </c>
      <c r="Q1153" s="160">
        <f>InputData!$C$11</f>
        <v>0.02</v>
      </c>
      <c r="R1153" s="160">
        <f>InputData!$C$12</f>
        <v>0.02</v>
      </c>
      <c r="S1153" s="160">
        <f>InputData!$C$13</f>
        <v>0.9</v>
      </c>
      <c r="T1153" s="116">
        <f>InputData!$C$88</f>
        <v>180000</v>
      </c>
      <c r="U1153" s="116">
        <f>InputData!$C$81</f>
        <v>178500</v>
      </c>
      <c r="V1153" s="116">
        <f>InputData!$C$82</f>
        <v>303960</v>
      </c>
      <c r="W1153" s="116">
        <f>InputData!$C$84</f>
        <v>215220</v>
      </c>
      <c r="X1153" s="116">
        <f>InputData!$C$85</f>
        <v>409020</v>
      </c>
      <c r="Y1153" s="116">
        <f>InputData!$C$116</f>
        <v>140000</v>
      </c>
      <c r="Z1153" s="160">
        <f>InputData!$E$13</f>
        <v>0</v>
      </c>
    </row>
    <row r="1154" spans="1:26" x14ac:dyDescent="0.25">
      <c r="A1154">
        <f>InputData!$K$1</f>
        <v>2013</v>
      </c>
      <c r="B1154" t="str">
        <f>InputData!$G$1</f>
        <v>San Antonio, TX</v>
      </c>
      <c r="C1154" t="s">
        <v>5</v>
      </c>
      <c r="D1154" t="str">
        <f>Graph_GenSurg!$M$6</f>
        <v>HPSP20</v>
      </c>
      <c r="E1154" t="str">
        <f t="shared" si="17"/>
        <v>General Surgery HPSP20</v>
      </c>
      <c r="F1154">
        <f>Graph_GenSurg!$A19</f>
        <v>2025</v>
      </c>
      <c r="G1154">
        <f>Graph_GenSurg!$B19</f>
        <v>13</v>
      </c>
      <c r="H1154" s="165">
        <f>Graph_GenSurg!$M19</f>
        <v>618022.98765773152</v>
      </c>
      <c r="I1154" s="160">
        <f>InputData!$C$3</f>
        <v>0.02</v>
      </c>
      <c r="J1154" s="160">
        <f>InputData!$C$4</f>
        <v>0.01</v>
      </c>
      <c r="K1154" s="160">
        <f>InputData!$C$5</f>
        <v>0.01</v>
      </c>
      <c r="L1154" s="160">
        <f>InputData!$C$6</f>
        <v>6.2100000000000002E-2</v>
      </c>
      <c r="M1154" s="160">
        <f>InputData!$C$7</f>
        <v>0.03</v>
      </c>
      <c r="N1154" s="160">
        <f>InputData!$C$8</f>
        <v>0.02</v>
      </c>
      <c r="O1154" s="160">
        <f>InputData!$C$9</f>
        <v>0.06</v>
      </c>
      <c r="P1154" s="160">
        <f>InputData!$C$10</f>
        <v>0.02</v>
      </c>
      <c r="Q1154" s="160">
        <f>InputData!$C$11</f>
        <v>0.02</v>
      </c>
      <c r="R1154" s="160">
        <f>InputData!$C$12</f>
        <v>0.02</v>
      </c>
      <c r="S1154" s="160">
        <f>InputData!$C$13</f>
        <v>0.9</v>
      </c>
      <c r="T1154" s="116">
        <f>InputData!$C$88</f>
        <v>180000</v>
      </c>
      <c r="U1154" s="116">
        <f>InputData!$C$81</f>
        <v>178500</v>
      </c>
      <c r="V1154" s="116">
        <f>InputData!$C$82</f>
        <v>303960</v>
      </c>
      <c r="W1154" s="116">
        <f>InputData!$C$84</f>
        <v>215220</v>
      </c>
      <c r="X1154" s="116">
        <f>InputData!$C$85</f>
        <v>409020</v>
      </c>
      <c r="Y1154" s="116">
        <f>InputData!$C$116</f>
        <v>140000</v>
      </c>
      <c r="Z1154" s="160">
        <f>InputData!$E$13</f>
        <v>0</v>
      </c>
    </row>
    <row r="1155" spans="1:26" x14ac:dyDescent="0.25">
      <c r="A1155">
        <f>InputData!$K$1</f>
        <v>2013</v>
      </c>
      <c r="B1155" t="str">
        <f>InputData!$G$1</f>
        <v>San Antonio, TX</v>
      </c>
      <c r="C1155" t="s">
        <v>5</v>
      </c>
      <c r="D1155" t="str">
        <f>Graph_GenSurg!$M$6</f>
        <v>HPSP20</v>
      </c>
      <c r="E1155" t="str">
        <f t="shared" ref="E1155:E1218" si="18">C1155 &amp; " " &amp; D1155</f>
        <v>General Surgery HPSP20</v>
      </c>
      <c r="F1155">
        <f>Graph_GenSurg!$A20</f>
        <v>2026</v>
      </c>
      <c r="G1155">
        <f>Graph_GenSurg!$B20</f>
        <v>14</v>
      </c>
      <c r="H1155" s="165">
        <f>Graph_GenSurg!$M20</f>
        <v>721067.05610948522</v>
      </c>
      <c r="I1155" s="160">
        <f>InputData!$C$3</f>
        <v>0.02</v>
      </c>
      <c r="J1155" s="160">
        <f>InputData!$C$4</f>
        <v>0.01</v>
      </c>
      <c r="K1155" s="160">
        <f>InputData!$C$5</f>
        <v>0.01</v>
      </c>
      <c r="L1155" s="160">
        <f>InputData!$C$6</f>
        <v>6.2100000000000002E-2</v>
      </c>
      <c r="M1155" s="160">
        <f>InputData!$C$7</f>
        <v>0.03</v>
      </c>
      <c r="N1155" s="160">
        <f>InputData!$C$8</f>
        <v>0.02</v>
      </c>
      <c r="O1155" s="160">
        <f>InputData!$C$9</f>
        <v>0.06</v>
      </c>
      <c r="P1155" s="160">
        <f>InputData!$C$10</f>
        <v>0.02</v>
      </c>
      <c r="Q1155" s="160">
        <f>InputData!$C$11</f>
        <v>0.02</v>
      </c>
      <c r="R1155" s="160">
        <f>InputData!$C$12</f>
        <v>0.02</v>
      </c>
      <c r="S1155" s="160">
        <f>InputData!$C$13</f>
        <v>0.9</v>
      </c>
      <c r="T1155" s="116">
        <f>InputData!$C$88</f>
        <v>180000</v>
      </c>
      <c r="U1155" s="116">
        <f>InputData!$C$81</f>
        <v>178500</v>
      </c>
      <c r="V1155" s="116">
        <f>InputData!$C$82</f>
        <v>303960</v>
      </c>
      <c r="W1155" s="116">
        <f>InputData!$C$84</f>
        <v>215220</v>
      </c>
      <c r="X1155" s="116">
        <f>InputData!$C$85</f>
        <v>409020</v>
      </c>
      <c r="Y1155" s="116">
        <f>InputData!$C$116</f>
        <v>140000</v>
      </c>
      <c r="Z1155" s="160">
        <f>InputData!$E$13</f>
        <v>0</v>
      </c>
    </row>
    <row r="1156" spans="1:26" x14ac:dyDescent="0.25">
      <c r="A1156">
        <f>InputData!$K$1</f>
        <v>2013</v>
      </c>
      <c r="B1156" t="str">
        <f>InputData!$G$1</f>
        <v>San Antonio, TX</v>
      </c>
      <c r="C1156" t="s">
        <v>5</v>
      </c>
      <c r="D1156" t="str">
        <f>Graph_GenSurg!$M$6</f>
        <v>HPSP20</v>
      </c>
      <c r="E1156" t="str">
        <f t="shared" si="18"/>
        <v>General Surgery HPSP20</v>
      </c>
      <c r="F1156">
        <f>Graph_GenSurg!$A21</f>
        <v>2027</v>
      </c>
      <c r="G1156">
        <f>Graph_GenSurg!$B21</f>
        <v>15</v>
      </c>
      <c r="H1156" s="165">
        <f>Graph_GenSurg!$M21</f>
        <v>822364.88356813905</v>
      </c>
      <c r="I1156" s="160">
        <f>InputData!$C$3</f>
        <v>0.02</v>
      </c>
      <c r="J1156" s="160">
        <f>InputData!$C$4</f>
        <v>0.01</v>
      </c>
      <c r="K1156" s="160">
        <f>InputData!$C$5</f>
        <v>0.01</v>
      </c>
      <c r="L1156" s="160">
        <f>InputData!$C$6</f>
        <v>6.2100000000000002E-2</v>
      </c>
      <c r="M1156" s="160">
        <f>InputData!$C$7</f>
        <v>0.03</v>
      </c>
      <c r="N1156" s="160">
        <f>InputData!$C$8</f>
        <v>0.02</v>
      </c>
      <c r="O1156" s="160">
        <f>InputData!$C$9</f>
        <v>0.06</v>
      </c>
      <c r="P1156" s="160">
        <f>InputData!$C$10</f>
        <v>0.02</v>
      </c>
      <c r="Q1156" s="160">
        <f>InputData!$C$11</f>
        <v>0.02</v>
      </c>
      <c r="R1156" s="160">
        <f>InputData!$C$12</f>
        <v>0.02</v>
      </c>
      <c r="S1156" s="160">
        <f>InputData!$C$13</f>
        <v>0.9</v>
      </c>
      <c r="T1156" s="116">
        <f>InputData!$C$88</f>
        <v>180000</v>
      </c>
      <c r="U1156" s="116">
        <f>InputData!$C$81</f>
        <v>178500</v>
      </c>
      <c r="V1156" s="116">
        <f>InputData!$C$82</f>
        <v>303960</v>
      </c>
      <c r="W1156" s="116">
        <f>InputData!$C$84</f>
        <v>215220</v>
      </c>
      <c r="X1156" s="116">
        <f>InputData!$C$85</f>
        <v>409020</v>
      </c>
      <c r="Y1156" s="116">
        <f>InputData!$C$116</f>
        <v>140000</v>
      </c>
      <c r="Z1156" s="160">
        <f>InputData!$E$13</f>
        <v>0</v>
      </c>
    </row>
    <row r="1157" spans="1:26" x14ac:dyDescent="0.25">
      <c r="A1157">
        <f>InputData!$K$1</f>
        <v>2013</v>
      </c>
      <c r="B1157" t="str">
        <f>InputData!$G$1</f>
        <v>San Antonio, TX</v>
      </c>
      <c r="C1157" t="s">
        <v>5</v>
      </c>
      <c r="D1157" t="str">
        <f>Graph_GenSurg!$M$6</f>
        <v>HPSP20</v>
      </c>
      <c r="E1157" t="str">
        <f t="shared" si="18"/>
        <v>General Surgery HPSP20</v>
      </c>
      <c r="F1157">
        <f>Graph_GenSurg!$A22</f>
        <v>2028</v>
      </c>
      <c r="G1157">
        <f>Graph_GenSurg!$B22</f>
        <v>16</v>
      </c>
      <c r="H1157" s="165">
        <f>Graph_GenSurg!$M22</f>
        <v>919769.91837037029</v>
      </c>
      <c r="I1157" s="160">
        <f>InputData!$C$3</f>
        <v>0.02</v>
      </c>
      <c r="J1157" s="160">
        <f>InputData!$C$4</f>
        <v>0.01</v>
      </c>
      <c r="K1157" s="160">
        <f>InputData!$C$5</f>
        <v>0.01</v>
      </c>
      <c r="L1157" s="160">
        <f>InputData!$C$6</f>
        <v>6.2100000000000002E-2</v>
      </c>
      <c r="M1157" s="160">
        <f>InputData!$C$7</f>
        <v>0.03</v>
      </c>
      <c r="N1157" s="160">
        <f>InputData!$C$8</f>
        <v>0.02</v>
      </c>
      <c r="O1157" s="160">
        <f>InputData!$C$9</f>
        <v>0.06</v>
      </c>
      <c r="P1157" s="160">
        <f>InputData!$C$10</f>
        <v>0.02</v>
      </c>
      <c r="Q1157" s="160">
        <f>InputData!$C$11</f>
        <v>0.02</v>
      </c>
      <c r="R1157" s="160">
        <f>InputData!$C$12</f>
        <v>0.02</v>
      </c>
      <c r="S1157" s="160">
        <f>InputData!$C$13</f>
        <v>0.9</v>
      </c>
      <c r="T1157" s="116">
        <f>InputData!$C$88</f>
        <v>180000</v>
      </c>
      <c r="U1157" s="116">
        <f>InputData!$C$81</f>
        <v>178500</v>
      </c>
      <c r="V1157" s="116">
        <f>InputData!$C$82</f>
        <v>303960</v>
      </c>
      <c r="W1157" s="116">
        <f>InputData!$C$84</f>
        <v>215220</v>
      </c>
      <c r="X1157" s="116">
        <f>InputData!$C$85</f>
        <v>409020</v>
      </c>
      <c r="Y1157" s="116">
        <f>InputData!$C$116</f>
        <v>140000</v>
      </c>
      <c r="Z1157" s="160">
        <f>InputData!$E$13</f>
        <v>0</v>
      </c>
    </row>
    <row r="1158" spans="1:26" x14ac:dyDescent="0.25">
      <c r="A1158">
        <f>InputData!$K$1</f>
        <v>2013</v>
      </c>
      <c r="B1158" t="str">
        <f>InputData!$G$1</f>
        <v>San Antonio, TX</v>
      </c>
      <c r="C1158" t="s">
        <v>5</v>
      </c>
      <c r="D1158" t="str">
        <f>Graph_GenSurg!$M$6</f>
        <v>HPSP20</v>
      </c>
      <c r="E1158" t="str">
        <f t="shared" si="18"/>
        <v>General Surgery HPSP20</v>
      </c>
      <c r="F1158">
        <f>Graph_GenSurg!$A23</f>
        <v>2029</v>
      </c>
      <c r="G1158">
        <f>Graph_GenSurg!$B23</f>
        <v>17</v>
      </c>
      <c r="H1158" s="165">
        <f>Graph_GenSurg!$M23</f>
        <v>1016011.9412183407</v>
      </c>
      <c r="I1158" s="160">
        <f>InputData!$C$3</f>
        <v>0.02</v>
      </c>
      <c r="J1158" s="160">
        <f>InputData!$C$4</f>
        <v>0.01</v>
      </c>
      <c r="K1158" s="160">
        <f>InputData!$C$5</f>
        <v>0.01</v>
      </c>
      <c r="L1158" s="160">
        <f>InputData!$C$6</f>
        <v>6.2100000000000002E-2</v>
      </c>
      <c r="M1158" s="160">
        <f>InputData!$C$7</f>
        <v>0.03</v>
      </c>
      <c r="N1158" s="160">
        <f>InputData!$C$8</f>
        <v>0.02</v>
      </c>
      <c r="O1158" s="160">
        <f>InputData!$C$9</f>
        <v>0.06</v>
      </c>
      <c r="P1158" s="160">
        <f>InputData!$C$10</f>
        <v>0.02</v>
      </c>
      <c r="Q1158" s="160">
        <f>InputData!$C$11</f>
        <v>0.02</v>
      </c>
      <c r="R1158" s="160">
        <f>InputData!$C$12</f>
        <v>0.02</v>
      </c>
      <c r="S1158" s="160">
        <f>InputData!$C$13</f>
        <v>0.9</v>
      </c>
      <c r="T1158" s="116">
        <f>InputData!$C$88</f>
        <v>180000</v>
      </c>
      <c r="U1158" s="116">
        <f>InputData!$C$81</f>
        <v>178500</v>
      </c>
      <c r="V1158" s="116">
        <f>InputData!$C$82</f>
        <v>303960</v>
      </c>
      <c r="W1158" s="116">
        <f>InputData!$C$84</f>
        <v>215220</v>
      </c>
      <c r="X1158" s="116">
        <f>InputData!$C$85</f>
        <v>409020</v>
      </c>
      <c r="Y1158" s="116">
        <f>InputData!$C$116</f>
        <v>140000</v>
      </c>
      <c r="Z1158" s="160">
        <f>InputData!$E$13</f>
        <v>0</v>
      </c>
    </row>
    <row r="1159" spans="1:26" x14ac:dyDescent="0.25">
      <c r="A1159">
        <f>InputData!$K$1</f>
        <v>2013</v>
      </c>
      <c r="B1159" t="str">
        <f>InputData!$G$1</f>
        <v>San Antonio, TX</v>
      </c>
      <c r="C1159" t="s">
        <v>5</v>
      </c>
      <c r="D1159" t="str">
        <f>Graph_GenSurg!$M$6</f>
        <v>HPSP20</v>
      </c>
      <c r="E1159" t="str">
        <f t="shared" si="18"/>
        <v>General Surgery HPSP20</v>
      </c>
      <c r="F1159">
        <f>Graph_GenSurg!$A24</f>
        <v>2030</v>
      </c>
      <c r="G1159">
        <f>Graph_GenSurg!$B24</f>
        <v>18</v>
      </c>
      <c r="H1159" s="165">
        <f>Graph_GenSurg!$M24</f>
        <v>1108598.9865412279</v>
      </c>
      <c r="I1159" s="160">
        <f>InputData!$C$3</f>
        <v>0.02</v>
      </c>
      <c r="J1159" s="160">
        <f>InputData!$C$4</f>
        <v>0.01</v>
      </c>
      <c r="K1159" s="160">
        <f>InputData!$C$5</f>
        <v>0.01</v>
      </c>
      <c r="L1159" s="160">
        <f>InputData!$C$6</f>
        <v>6.2100000000000002E-2</v>
      </c>
      <c r="M1159" s="160">
        <f>InputData!$C$7</f>
        <v>0.03</v>
      </c>
      <c r="N1159" s="160">
        <f>InputData!$C$8</f>
        <v>0.02</v>
      </c>
      <c r="O1159" s="160">
        <f>InputData!$C$9</f>
        <v>0.06</v>
      </c>
      <c r="P1159" s="160">
        <f>InputData!$C$10</f>
        <v>0.02</v>
      </c>
      <c r="Q1159" s="160">
        <f>InputData!$C$11</f>
        <v>0.02</v>
      </c>
      <c r="R1159" s="160">
        <f>InputData!$C$12</f>
        <v>0.02</v>
      </c>
      <c r="S1159" s="160">
        <f>InputData!$C$13</f>
        <v>0.9</v>
      </c>
      <c r="T1159" s="116">
        <f>InputData!$C$88</f>
        <v>180000</v>
      </c>
      <c r="U1159" s="116">
        <f>InputData!$C$81</f>
        <v>178500</v>
      </c>
      <c r="V1159" s="116">
        <f>InputData!$C$82</f>
        <v>303960</v>
      </c>
      <c r="W1159" s="116">
        <f>InputData!$C$84</f>
        <v>215220</v>
      </c>
      <c r="X1159" s="116">
        <f>InputData!$C$85</f>
        <v>409020</v>
      </c>
      <c r="Y1159" s="116">
        <f>InputData!$C$116</f>
        <v>140000</v>
      </c>
      <c r="Z1159" s="160">
        <f>InputData!$E$13</f>
        <v>0</v>
      </c>
    </row>
    <row r="1160" spans="1:26" x14ac:dyDescent="0.25">
      <c r="A1160">
        <f>InputData!$K$1</f>
        <v>2013</v>
      </c>
      <c r="B1160" t="str">
        <f>InputData!$G$1</f>
        <v>San Antonio, TX</v>
      </c>
      <c r="C1160" t="s">
        <v>5</v>
      </c>
      <c r="D1160" t="str">
        <f>Graph_GenSurg!$M$6</f>
        <v>HPSP20</v>
      </c>
      <c r="E1160" t="str">
        <f t="shared" si="18"/>
        <v>General Surgery HPSP20</v>
      </c>
      <c r="F1160">
        <f>Graph_GenSurg!$A25</f>
        <v>2031</v>
      </c>
      <c r="G1160">
        <f>Graph_GenSurg!$B25</f>
        <v>19</v>
      </c>
      <c r="H1160" s="165">
        <f>Graph_GenSurg!$M25</f>
        <v>1198858.0066698822</v>
      </c>
      <c r="I1160" s="160">
        <f>InputData!$C$3</f>
        <v>0.02</v>
      </c>
      <c r="J1160" s="160">
        <f>InputData!$C$4</f>
        <v>0.01</v>
      </c>
      <c r="K1160" s="160">
        <f>InputData!$C$5</f>
        <v>0.01</v>
      </c>
      <c r="L1160" s="160">
        <f>InputData!$C$6</f>
        <v>6.2100000000000002E-2</v>
      </c>
      <c r="M1160" s="160">
        <f>InputData!$C$7</f>
        <v>0.03</v>
      </c>
      <c r="N1160" s="160">
        <f>InputData!$C$8</f>
        <v>0.02</v>
      </c>
      <c r="O1160" s="160">
        <f>InputData!$C$9</f>
        <v>0.06</v>
      </c>
      <c r="P1160" s="160">
        <f>InputData!$C$10</f>
        <v>0.02</v>
      </c>
      <c r="Q1160" s="160">
        <f>InputData!$C$11</f>
        <v>0.02</v>
      </c>
      <c r="R1160" s="160">
        <f>InputData!$C$12</f>
        <v>0.02</v>
      </c>
      <c r="S1160" s="160">
        <f>InputData!$C$13</f>
        <v>0.9</v>
      </c>
      <c r="T1160" s="116">
        <f>InputData!$C$88</f>
        <v>180000</v>
      </c>
      <c r="U1160" s="116">
        <f>InputData!$C$81</f>
        <v>178500</v>
      </c>
      <c r="V1160" s="116">
        <f>InputData!$C$82</f>
        <v>303960</v>
      </c>
      <c r="W1160" s="116">
        <f>InputData!$C$84</f>
        <v>215220</v>
      </c>
      <c r="X1160" s="116">
        <f>InputData!$C$85</f>
        <v>409020</v>
      </c>
      <c r="Y1160" s="116">
        <f>InputData!$C$116</f>
        <v>140000</v>
      </c>
      <c r="Z1160" s="160">
        <f>InputData!$E$13</f>
        <v>0</v>
      </c>
    </row>
    <row r="1161" spans="1:26" x14ac:dyDescent="0.25">
      <c r="A1161">
        <f>InputData!$K$1</f>
        <v>2013</v>
      </c>
      <c r="B1161" t="str">
        <f>InputData!$G$1</f>
        <v>San Antonio, TX</v>
      </c>
      <c r="C1161" t="s">
        <v>5</v>
      </c>
      <c r="D1161" t="str">
        <f>Graph_GenSurg!$M$6</f>
        <v>HPSP20</v>
      </c>
      <c r="E1161" t="str">
        <f t="shared" si="18"/>
        <v>General Surgery HPSP20</v>
      </c>
      <c r="F1161">
        <f>Graph_GenSurg!$A26</f>
        <v>2032</v>
      </c>
      <c r="G1161">
        <f>Graph_GenSurg!$B26</f>
        <v>20</v>
      </c>
      <c r="H1161" s="165">
        <f>Graph_GenSurg!$M26</f>
        <v>1285684.2222434585</v>
      </c>
      <c r="I1161" s="160">
        <f>InputData!$C$3</f>
        <v>0.02</v>
      </c>
      <c r="J1161" s="160">
        <f>InputData!$C$4</f>
        <v>0.01</v>
      </c>
      <c r="K1161" s="160">
        <f>InputData!$C$5</f>
        <v>0.01</v>
      </c>
      <c r="L1161" s="160">
        <f>InputData!$C$6</f>
        <v>6.2100000000000002E-2</v>
      </c>
      <c r="M1161" s="160">
        <f>InputData!$C$7</f>
        <v>0.03</v>
      </c>
      <c r="N1161" s="160">
        <f>InputData!$C$8</f>
        <v>0.02</v>
      </c>
      <c r="O1161" s="160">
        <f>InputData!$C$9</f>
        <v>0.06</v>
      </c>
      <c r="P1161" s="160">
        <f>InputData!$C$10</f>
        <v>0.02</v>
      </c>
      <c r="Q1161" s="160">
        <f>InputData!$C$11</f>
        <v>0.02</v>
      </c>
      <c r="R1161" s="160">
        <f>InputData!$C$12</f>
        <v>0.02</v>
      </c>
      <c r="S1161" s="160">
        <f>InputData!$C$13</f>
        <v>0.9</v>
      </c>
      <c r="T1161" s="116">
        <f>InputData!$C$88</f>
        <v>180000</v>
      </c>
      <c r="U1161" s="116">
        <f>InputData!$C$81</f>
        <v>178500</v>
      </c>
      <c r="V1161" s="116">
        <f>InputData!$C$82</f>
        <v>303960</v>
      </c>
      <c r="W1161" s="116">
        <f>InputData!$C$84</f>
        <v>215220</v>
      </c>
      <c r="X1161" s="116">
        <f>InputData!$C$85</f>
        <v>409020</v>
      </c>
      <c r="Y1161" s="116">
        <f>InputData!$C$116</f>
        <v>140000</v>
      </c>
      <c r="Z1161" s="160">
        <f>InputData!$E$13</f>
        <v>0</v>
      </c>
    </row>
    <row r="1162" spans="1:26" x14ac:dyDescent="0.25">
      <c r="A1162">
        <f>InputData!$K$1</f>
        <v>2013</v>
      </c>
      <c r="B1162" t="str">
        <f>InputData!$G$1</f>
        <v>San Antonio, TX</v>
      </c>
      <c r="C1162" t="s">
        <v>5</v>
      </c>
      <c r="D1162" t="str">
        <f>Graph_GenSurg!$M$6</f>
        <v>HPSP20</v>
      </c>
      <c r="E1162" t="str">
        <f t="shared" si="18"/>
        <v>General Surgery HPSP20</v>
      </c>
      <c r="F1162">
        <f>Graph_GenSurg!$A27</f>
        <v>2033</v>
      </c>
      <c r="G1162">
        <f>Graph_GenSurg!$B27</f>
        <v>21</v>
      </c>
      <c r="H1162" s="165">
        <f>Graph_GenSurg!$M27</f>
        <v>1370899.1640637347</v>
      </c>
      <c r="I1162" s="160">
        <f>InputData!$C$3</f>
        <v>0.02</v>
      </c>
      <c r="J1162" s="160">
        <f>InputData!$C$4</f>
        <v>0.01</v>
      </c>
      <c r="K1162" s="160">
        <f>InputData!$C$5</f>
        <v>0.01</v>
      </c>
      <c r="L1162" s="160">
        <f>InputData!$C$6</f>
        <v>6.2100000000000002E-2</v>
      </c>
      <c r="M1162" s="160">
        <f>InputData!$C$7</f>
        <v>0.03</v>
      </c>
      <c r="N1162" s="160">
        <f>InputData!$C$8</f>
        <v>0.02</v>
      </c>
      <c r="O1162" s="160">
        <f>InputData!$C$9</f>
        <v>0.06</v>
      </c>
      <c r="P1162" s="160">
        <f>InputData!$C$10</f>
        <v>0.02</v>
      </c>
      <c r="Q1162" s="160">
        <f>InputData!$C$11</f>
        <v>0.02</v>
      </c>
      <c r="R1162" s="160">
        <f>InputData!$C$12</f>
        <v>0.02</v>
      </c>
      <c r="S1162" s="160">
        <f>InputData!$C$13</f>
        <v>0.9</v>
      </c>
      <c r="T1162" s="116">
        <f>InputData!$C$88</f>
        <v>180000</v>
      </c>
      <c r="U1162" s="116">
        <f>InputData!$C$81</f>
        <v>178500</v>
      </c>
      <c r="V1162" s="116">
        <f>InputData!$C$82</f>
        <v>303960</v>
      </c>
      <c r="W1162" s="116">
        <f>InputData!$C$84</f>
        <v>215220</v>
      </c>
      <c r="X1162" s="116">
        <f>InputData!$C$85</f>
        <v>409020</v>
      </c>
      <c r="Y1162" s="116">
        <f>InputData!$C$116</f>
        <v>140000</v>
      </c>
      <c r="Z1162" s="160">
        <f>InputData!$E$13</f>
        <v>0</v>
      </c>
    </row>
    <row r="1163" spans="1:26" x14ac:dyDescent="0.25">
      <c r="A1163">
        <f>InputData!$K$1</f>
        <v>2013</v>
      </c>
      <c r="B1163" t="str">
        <f>InputData!$G$1</f>
        <v>San Antonio, TX</v>
      </c>
      <c r="C1163" t="s">
        <v>5</v>
      </c>
      <c r="D1163" t="str">
        <f>Graph_GenSurg!$M$6</f>
        <v>HPSP20</v>
      </c>
      <c r="E1163" t="str">
        <f t="shared" si="18"/>
        <v>General Surgery HPSP20</v>
      </c>
      <c r="F1163">
        <f>Graph_GenSurg!$A28</f>
        <v>2034</v>
      </c>
      <c r="G1163">
        <f>Graph_GenSurg!$B28</f>
        <v>22</v>
      </c>
      <c r="H1163" s="165">
        <f>Graph_GenSurg!$M28</f>
        <v>1452878.1000074015</v>
      </c>
      <c r="I1163" s="160">
        <f>InputData!$C$3</f>
        <v>0.02</v>
      </c>
      <c r="J1163" s="160">
        <f>InputData!$C$4</f>
        <v>0.01</v>
      </c>
      <c r="K1163" s="160">
        <f>InputData!$C$5</f>
        <v>0.01</v>
      </c>
      <c r="L1163" s="160">
        <f>InputData!$C$6</f>
        <v>6.2100000000000002E-2</v>
      </c>
      <c r="M1163" s="160">
        <f>InputData!$C$7</f>
        <v>0.03</v>
      </c>
      <c r="N1163" s="160">
        <f>InputData!$C$8</f>
        <v>0.02</v>
      </c>
      <c r="O1163" s="160">
        <f>InputData!$C$9</f>
        <v>0.06</v>
      </c>
      <c r="P1163" s="160">
        <f>InputData!$C$10</f>
        <v>0.02</v>
      </c>
      <c r="Q1163" s="160">
        <f>InputData!$C$11</f>
        <v>0.02</v>
      </c>
      <c r="R1163" s="160">
        <f>InputData!$C$12</f>
        <v>0.02</v>
      </c>
      <c r="S1163" s="160">
        <f>InputData!$C$13</f>
        <v>0.9</v>
      </c>
      <c r="T1163" s="116">
        <f>InputData!$C$88</f>
        <v>180000</v>
      </c>
      <c r="U1163" s="116">
        <f>InputData!$C$81</f>
        <v>178500</v>
      </c>
      <c r="V1163" s="116">
        <f>InputData!$C$82</f>
        <v>303960</v>
      </c>
      <c r="W1163" s="116">
        <f>InputData!$C$84</f>
        <v>215220</v>
      </c>
      <c r="X1163" s="116">
        <f>InputData!$C$85</f>
        <v>409020</v>
      </c>
      <c r="Y1163" s="116">
        <f>InputData!$C$116</f>
        <v>140000</v>
      </c>
      <c r="Z1163" s="160">
        <f>InputData!$E$13</f>
        <v>0</v>
      </c>
    </row>
    <row r="1164" spans="1:26" x14ac:dyDescent="0.25">
      <c r="A1164">
        <f>InputData!$K$1</f>
        <v>2013</v>
      </c>
      <c r="B1164" t="str">
        <f>InputData!$G$1</f>
        <v>San Antonio, TX</v>
      </c>
      <c r="C1164" t="s">
        <v>5</v>
      </c>
      <c r="D1164" t="str">
        <f>Graph_GenSurg!$M$6</f>
        <v>HPSP20</v>
      </c>
      <c r="E1164" t="str">
        <f t="shared" si="18"/>
        <v>General Surgery HPSP20</v>
      </c>
      <c r="F1164">
        <f>Graph_GenSurg!$A29</f>
        <v>2035</v>
      </c>
      <c r="G1164">
        <f>Graph_GenSurg!$B29</f>
        <v>23</v>
      </c>
      <c r="H1164" s="165">
        <f>Graph_GenSurg!$M29</f>
        <v>1535946.831225906</v>
      </c>
      <c r="I1164" s="160">
        <f>InputData!$C$3</f>
        <v>0.02</v>
      </c>
      <c r="J1164" s="160">
        <f>InputData!$C$4</f>
        <v>0.01</v>
      </c>
      <c r="K1164" s="160">
        <f>InputData!$C$5</f>
        <v>0.01</v>
      </c>
      <c r="L1164" s="160">
        <f>InputData!$C$6</f>
        <v>6.2100000000000002E-2</v>
      </c>
      <c r="M1164" s="160">
        <f>InputData!$C$7</f>
        <v>0.03</v>
      </c>
      <c r="N1164" s="160">
        <f>InputData!$C$8</f>
        <v>0.02</v>
      </c>
      <c r="O1164" s="160">
        <f>InputData!$C$9</f>
        <v>0.06</v>
      </c>
      <c r="P1164" s="160">
        <f>InputData!$C$10</f>
        <v>0.02</v>
      </c>
      <c r="Q1164" s="160">
        <f>InputData!$C$11</f>
        <v>0.02</v>
      </c>
      <c r="R1164" s="160">
        <f>InputData!$C$12</f>
        <v>0.02</v>
      </c>
      <c r="S1164" s="160">
        <f>InputData!$C$13</f>
        <v>0.9</v>
      </c>
      <c r="T1164" s="116">
        <f>InputData!$C$88</f>
        <v>180000</v>
      </c>
      <c r="U1164" s="116">
        <f>InputData!$C$81</f>
        <v>178500</v>
      </c>
      <c r="V1164" s="116">
        <f>InputData!$C$82</f>
        <v>303960</v>
      </c>
      <c r="W1164" s="116">
        <f>InputData!$C$84</f>
        <v>215220</v>
      </c>
      <c r="X1164" s="116">
        <f>InputData!$C$85</f>
        <v>409020</v>
      </c>
      <c r="Y1164" s="116">
        <f>InputData!$C$116</f>
        <v>140000</v>
      </c>
      <c r="Z1164" s="160">
        <f>InputData!$E$13</f>
        <v>0</v>
      </c>
    </row>
    <row r="1165" spans="1:26" x14ac:dyDescent="0.25">
      <c r="A1165">
        <f>InputData!$K$1</f>
        <v>2013</v>
      </c>
      <c r="B1165" t="str">
        <f>InputData!$G$1</f>
        <v>San Antonio, TX</v>
      </c>
      <c r="C1165" t="s">
        <v>5</v>
      </c>
      <c r="D1165" t="str">
        <f>Graph_GenSurg!$M$6</f>
        <v>HPSP20</v>
      </c>
      <c r="E1165" t="str">
        <f t="shared" si="18"/>
        <v>General Surgery HPSP20</v>
      </c>
      <c r="F1165">
        <f>Graph_GenSurg!$A30</f>
        <v>2036</v>
      </c>
      <c r="G1165">
        <f>Graph_GenSurg!$B30</f>
        <v>24</v>
      </c>
      <c r="H1165" s="165">
        <f>Graph_GenSurg!$M30</f>
        <v>1615859.2187782298</v>
      </c>
      <c r="I1165" s="160">
        <f>InputData!$C$3</f>
        <v>0.02</v>
      </c>
      <c r="J1165" s="160">
        <f>InputData!$C$4</f>
        <v>0.01</v>
      </c>
      <c r="K1165" s="160">
        <f>InputData!$C$5</f>
        <v>0.01</v>
      </c>
      <c r="L1165" s="160">
        <f>InputData!$C$6</f>
        <v>6.2100000000000002E-2</v>
      </c>
      <c r="M1165" s="160">
        <f>InputData!$C$7</f>
        <v>0.03</v>
      </c>
      <c r="N1165" s="160">
        <f>InputData!$C$8</f>
        <v>0.02</v>
      </c>
      <c r="O1165" s="160">
        <f>InputData!$C$9</f>
        <v>0.06</v>
      </c>
      <c r="P1165" s="160">
        <f>InputData!$C$10</f>
        <v>0.02</v>
      </c>
      <c r="Q1165" s="160">
        <f>InputData!$C$11</f>
        <v>0.02</v>
      </c>
      <c r="R1165" s="160">
        <f>InputData!$C$12</f>
        <v>0.02</v>
      </c>
      <c r="S1165" s="160">
        <f>InputData!$C$13</f>
        <v>0.9</v>
      </c>
      <c r="T1165" s="116">
        <f>InputData!$C$88</f>
        <v>180000</v>
      </c>
      <c r="U1165" s="116">
        <f>InputData!$C$81</f>
        <v>178500</v>
      </c>
      <c r="V1165" s="116">
        <f>InputData!$C$82</f>
        <v>303960</v>
      </c>
      <c r="W1165" s="116">
        <f>InputData!$C$84</f>
        <v>215220</v>
      </c>
      <c r="X1165" s="116">
        <f>InputData!$C$85</f>
        <v>409020</v>
      </c>
      <c r="Y1165" s="116">
        <f>InputData!$C$116</f>
        <v>140000</v>
      </c>
      <c r="Z1165" s="160">
        <f>InputData!$E$13</f>
        <v>0</v>
      </c>
    </row>
    <row r="1166" spans="1:26" x14ac:dyDescent="0.25">
      <c r="A1166">
        <f>InputData!$K$1</f>
        <v>2013</v>
      </c>
      <c r="B1166" t="str">
        <f>InputData!$G$1</f>
        <v>San Antonio, TX</v>
      </c>
      <c r="C1166" t="s">
        <v>5</v>
      </c>
      <c r="D1166" t="str">
        <f>Graph_GenSurg!$M$6</f>
        <v>HPSP20</v>
      </c>
      <c r="E1166" t="str">
        <f t="shared" si="18"/>
        <v>General Surgery HPSP20</v>
      </c>
      <c r="F1166">
        <f>Graph_GenSurg!$A31</f>
        <v>2037</v>
      </c>
      <c r="G1166">
        <f>Graph_GenSurg!$B31</f>
        <v>25</v>
      </c>
      <c r="H1166" s="165">
        <f>Graph_GenSurg!$M31</f>
        <v>1685680.638741472</v>
      </c>
      <c r="I1166" s="160">
        <f>InputData!$C$3</f>
        <v>0.02</v>
      </c>
      <c r="J1166" s="160">
        <f>InputData!$C$4</f>
        <v>0.01</v>
      </c>
      <c r="K1166" s="160">
        <f>InputData!$C$5</f>
        <v>0.01</v>
      </c>
      <c r="L1166" s="160">
        <f>InputData!$C$6</f>
        <v>6.2100000000000002E-2</v>
      </c>
      <c r="M1166" s="160">
        <f>InputData!$C$7</f>
        <v>0.03</v>
      </c>
      <c r="N1166" s="160">
        <f>InputData!$C$8</f>
        <v>0.02</v>
      </c>
      <c r="O1166" s="160">
        <f>InputData!$C$9</f>
        <v>0.06</v>
      </c>
      <c r="P1166" s="160">
        <f>InputData!$C$10</f>
        <v>0.02</v>
      </c>
      <c r="Q1166" s="160">
        <f>InputData!$C$11</f>
        <v>0.02</v>
      </c>
      <c r="R1166" s="160">
        <f>InputData!$C$12</f>
        <v>0.02</v>
      </c>
      <c r="S1166" s="160">
        <f>InputData!$C$13</f>
        <v>0.9</v>
      </c>
      <c r="T1166" s="116">
        <f>InputData!$C$88</f>
        <v>180000</v>
      </c>
      <c r="U1166" s="116">
        <f>InputData!$C$81</f>
        <v>178500</v>
      </c>
      <c r="V1166" s="116">
        <f>InputData!$C$82</f>
        <v>303960</v>
      </c>
      <c r="W1166" s="116">
        <f>InputData!$C$84</f>
        <v>215220</v>
      </c>
      <c r="X1166" s="116">
        <f>InputData!$C$85</f>
        <v>409020</v>
      </c>
      <c r="Y1166" s="116">
        <f>InputData!$C$116</f>
        <v>140000</v>
      </c>
      <c r="Z1166" s="160">
        <f>InputData!$E$13</f>
        <v>0</v>
      </c>
    </row>
    <row r="1167" spans="1:26" x14ac:dyDescent="0.25">
      <c r="A1167">
        <f>InputData!$K$1</f>
        <v>2013</v>
      </c>
      <c r="B1167" t="str">
        <f>InputData!$G$1</f>
        <v>San Antonio, TX</v>
      </c>
      <c r="C1167" t="s">
        <v>5</v>
      </c>
      <c r="D1167" t="str">
        <f>Graph_GenSurg!$M$6</f>
        <v>HPSP20</v>
      </c>
      <c r="E1167" t="str">
        <f t="shared" si="18"/>
        <v>General Surgery HPSP20</v>
      </c>
      <c r="F1167">
        <f>Graph_GenSurg!$A32</f>
        <v>2038</v>
      </c>
      <c r="G1167">
        <f>Graph_GenSurg!$B32</f>
        <v>26</v>
      </c>
      <c r="H1167" s="165">
        <f>Graph_GenSurg!$M32</f>
        <v>1804236.1418124291</v>
      </c>
      <c r="I1167" s="160">
        <f>InputData!$C$3</f>
        <v>0.02</v>
      </c>
      <c r="J1167" s="160">
        <f>InputData!$C$4</f>
        <v>0.01</v>
      </c>
      <c r="K1167" s="160">
        <f>InputData!$C$5</f>
        <v>0.01</v>
      </c>
      <c r="L1167" s="160">
        <f>InputData!$C$6</f>
        <v>6.2100000000000002E-2</v>
      </c>
      <c r="M1167" s="160">
        <f>InputData!$C$7</f>
        <v>0.03</v>
      </c>
      <c r="N1167" s="160">
        <f>InputData!$C$8</f>
        <v>0.02</v>
      </c>
      <c r="O1167" s="160">
        <f>InputData!$C$9</f>
        <v>0.06</v>
      </c>
      <c r="P1167" s="160">
        <f>InputData!$C$10</f>
        <v>0.02</v>
      </c>
      <c r="Q1167" s="160">
        <f>InputData!$C$11</f>
        <v>0.02</v>
      </c>
      <c r="R1167" s="160">
        <f>InputData!$C$12</f>
        <v>0.02</v>
      </c>
      <c r="S1167" s="160">
        <f>InputData!$C$13</f>
        <v>0.9</v>
      </c>
      <c r="T1167" s="116">
        <f>InputData!$C$88</f>
        <v>180000</v>
      </c>
      <c r="U1167" s="116">
        <f>InputData!$C$81</f>
        <v>178500</v>
      </c>
      <c r="V1167" s="116">
        <f>InputData!$C$82</f>
        <v>303960</v>
      </c>
      <c r="W1167" s="116">
        <f>InputData!$C$84</f>
        <v>215220</v>
      </c>
      <c r="X1167" s="116">
        <f>InputData!$C$85</f>
        <v>409020</v>
      </c>
      <c r="Y1167" s="116">
        <f>InputData!$C$116</f>
        <v>140000</v>
      </c>
      <c r="Z1167" s="160">
        <f>InputData!$E$13</f>
        <v>0</v>
      </c>
    </row>
    <row r="1168" spans="1:26" x14ac:dyDescent="0.25">
      <c r="A1168">
        <f>InputData!$K$1</f>
        <v>2013</v>
      </c>
      <c r="B1168" t="str">
        <f>InputData!$G$1</f>
        <v>San Antonio, TX</v>
      </c>
      <c r="C1168" t="s">
        <v>5</v>
      </c>
      <c r="D1168" t="str">
        <f>Graph_GenSurg!$M$6</f>
        <v>HPSP20</v>
      </c>
      <c r="E1168" t="str">
        <f t="shared" si="18"/>
        <v>General Surgery HPSP20</v>
      </c>
      <c r="F1168">
        <f>Graph_GenSurg!$A33</f>
        <v>2039</v>
      </c>
      <c r="G1168">
        <f>Graph_GenSurg!$B33</f>
        <v>27</v>
      </c>
      <c r="H1168" s="165">
        <f>Graph_GenSurg!$M33</f>
        <v>1920146.7000455626</v>
      </c>
      <c r="I1168" s="160">
        <f>InputData!$C$3</f>
        <v>0.02</v>
      </c>
      <c r="J1168" s="160">
        <f>InputData!$C$4</f>
        <v>0.01</v>
      </c>
      <c r="K1168" s="160">
        <f>InputData!$C$5</f>
        <v>0.01</v>
      </c>
      <c r="L1168" s="160">
        <f>InputData!$C$6</f>
        <v>6.2100000000000002E-2</v>
      </c>
      <c r="M1168" s="160">
        <f>InputData!$C$7</f>
        <v>0.03</v>
      </c>
      <c r="N1168" s="160">
        <f>InputData!$C$8</f>
        <v>0.02</v>
      </c>
      <c r="O1168" s="160">
        <f>InputData!$C$9</f>
        <v>0.06</v>
      </c>
      <c r="P1168" s="160">
        <f>InputData!$C$10</f>
        <v>0.02</v>
      </c>
      <c r="Q1168" s="160">
        <f>InputData!$C$11</f>
        <v>0.02</v>
      </c>
      <c r="R1168" s="160">
        <f>InputData!$C$12</f>
        <v>0.02</v>
      </c>
      <c r="S1168" s="160">
        <f>InputData!$C$13</f>
        <v>0.9</v>
      </c>
      <c r="T1168" s="116">
        <f>InputData!$C$88</f>
        <v>180000</v>
      </c>
      <c r="U1168" s="116">
        <f>InputData!$C$81</f>
        <v>178500</v>
      </c>
      <c r="V1168" s="116">
        <f>InputData!$C$82</f>
        <v>303960</v>
      </c>
      <c r="W1168" s="116">
        <f>InputData!$C$84</f>
        <v>215220</v>
      </c>
      <c r="X1168" s="116">
        <f>InputData!$C$85</f>
        <v>409020</v>
      </c>
      <c r="Y1168" s="116">
        <f>InputData!$C$116</f>
        <v>140000</v>
      </c>
      <c r="Z1168" s="160">
        <f>InputData!$E$13</f>
        <v>0</v>
      </c>
    </row>
    <row r="1169" spans="1:26" x14ac:dyDescent="0.25">
      <c r="A1169">
        <f>InputData!$K$1</f>
        <v>2013</v>
      </c>
      <c r="B1169" t="str">
        <f>InputData!$G$1</f>
        <v>San Antonio, TX</v>
      </c>
      <c r="C1169" t="s">
        <v>5</v>
      </c>
      <c r="D1169" t="str">
        <f>Graph_GenSurg!$M$6</f>
        <v>HPSP20</v>
      </c>
      <c r="E1169" t="str">
        <f t="shared" si="18"/>
        <v>General Surgery HPSP20</v>
      </c>
      <c r="F1169">
        <f>Graph_GenSurg!$A34</f>
        <v>2040</v>
      </c>
      <c r="G1169">
        <f>Graph_GenSurg!$B34</f>
        <v>28</v>
      </c>
      <c r="H1169" s="165">
        <f>Graph_GenSurg!$M34</f>
        <v>2033476.0852673547</v>
      </c>
      <c r="I1169" s="160">
        <f>InputData!$C$3</f>
        <v>0.02</v>
      </c>
      <c r="J1169" s="160">
        <f>InputData!$C$4</f>
        <v>0.01</v>
      </c>
      <c r="K1169" s="160">
        <f>InputData!$C$5</f>
        <v>0.01</v>
      </c>
      <c r="L1169" s="160">
        <f>InputData!$C$6</f>
        <v>6.2100000000000002E-2</v>
      </c>
      <c r="M1169" s="160">
        <f>InputData!$C$7</f>
        <v>0.03</v>
      </c>
      <c r="N1169" s="160">
        <f>InputData!$C$8</f>
        <v>0.02</v>
      </c>
      <c r="O1169" s="160">
        <f>InputData!$C$9</f>
        <v>0.06</v>
      </c>
      <c r="P1169" s="160">
        <f>InputData!$C$10</f>
        <v>0.02</v>
      </c>
      <c r="Q1169" s="160">
        <f>InputData!$C$11</f>
        <v>0.02</v>
      </c>
      <c r="R1169" s="160">
        <f>InputData!$C$12</f>
        <v>0.02</v>
      </c>
      <c r="S1169" s="160">
        <f>InputData!$C$13</f>
        <v>0.9</v>
      </c>
      <c r="T1169" s="116">
        <f>InputData!$C$88</f>
        <v>180000</v>
      </c>
      <c r="U1169" s="116">
        <f>InputData!$C$81</f>
        <v>178500</v>
      </c>
      <c r="V1169" s="116">
        <f>InputData!$C$82</f>
        <v>303960</v>
      </c>
      <c r="W1169" s="116">
        <f>InputData!$C$84</f>
        <v>215220</v>
      </c>
      <c r="X1169" s="116">
        <f>InputData!$C$85</f>
        <v>409020</v>
      </c>
      <c r="Y1169" s="116">
        <f>InputData!$C$116</f>
        <v>140000</v>
      </c>
      <c r="Z1169" s="160">
        <f>InputData!$E$13</f>
        <v>0</v>
      </c>
    </row>
    <row r="1170" spans="1:26" x14ac:dyDescent="0.25">
      <c r="A1170">
        <f>InputData!$K$1</f>
        <v>2013</v>
      </c>
      <c r="B1170" t="str">
        <f>InputData!$G$1</f>
        <v>San Antonio, TX</v>
      </c>
      <c r="C1170" t="s">
        <v>5</v>
      </c>
      <c r="D1170" t="str">
        <f>Graph_GenSurg!$M$6</f>
        <v>HPSP20</v>
      </c>
      <c r="E1170" t="str">
        <f t="shared" si="18"/>
        <v>General Surgery HPSP20</v>
      </c>
      <c r="F1170">
        <f>Graph_GenSurg!$A35</f>
        <v>2041</v>
      </c>
      <c r="G1170">
        <f>Graph_GenSurg!$B35</f>
        <v>29</v>
      </c>
      <c r="H1170" s="165">
        <f>Graph_GenSurg!$M35</f>
        <v>2144286.3722658101</v>
      </c>
      <c r="I1170" s="160">
        <f>InputData!$C$3</f>
        <v>0.02</v>
      </c>
      <c r="J1170" s="160">
        <f>InputData!$C$4</f>
        <v>0.01</v>
      </c>
      <c r="K1170" s="160">
        <f>InputData!$C$5</f>
        <v>0.01</v>
      </c>
      <c r="L1170" s="160">
        <f>InputData!$C$6</f>
        <v>6.2100000000000002E-2</v>
      </c>
      <c r="M1170" s="160">
        <f>InputData!$C$7</f>
        <v>0.03</v>
      </c>
      <c r="N1170" s="160">
        <f>InputData!$C$8</f>
        <v>0.02</v>
      </c>
      <c r="O1170" s="160">
        <f>InputData!$C$9</f>
        <v>0.06</v>
      </c>
      <c r="P1170" s="160">
        <f>InputData!$C$10</f>
        <v>0.02</v>
      </c>
      <c r="Q1170" s="160">
        <f>InputData!$C$11</f>
        <v>0.02</v>
      </c>
      <c r="R1170" s="160">
        <f>InputData!$C$12</f>
        <v>0.02</v>
      </c>
      <c r="S1170" s="160">
        <f>InputData!$C$13</f>
        <v>0.9</v>
      </c>
      <c r="T1170" s="116">
        <f>InputData!$C$88</f>
        <v>180000</v>
      </c>
      <c r="U1170" s="116">
        <f>InputData!$C$81</f>
        <v>178500</v>
      </c>
      <c r="V1170" s="116">
        <f>InputData!$C$82</f>
        <v>303960</v>
      </c>
      <c r="W1170" s="116">
        <f>InputData!$C$84</f>
        <v>215220</v>
      </c>
      <c r="X1170" s="116">
        <f>InputData!$C$85</f>
        <v>409020</v>
      </c>
      <c r="Y1170" s="116">
        <f>InputData!$C$116</f>
        <v>140000</v>
      </c>
      <c r="Z1170" s="160">
        <f>InputData!$E$13</f>
        <v>0</v>
      </c>
    </row>
    <row r="1171" spans="1:26" x14ac:dyDescent="0.25">
      <c r="A1171">
        <f>InputData!$K$1</f>
        <v>2013</v>
      </c>
      <c r="B1171" t="str">
        <f>InputData!$G$1</f>
        <v>San Antonio, TX</v>
      </c>
      <c r="C1171" t="s">
        <v>5</v>
      </c>
      <c r="D1171" t="str">
        <f>Graph_GenSurg!$M$6</f>
        <v>HPSP20</v>
      </c>
      <c r="E1171" t="str">
        <f t="shared" si="18"/>
        <v>General Surgery HPSP20</v>
      </c>
      <c r="F1171">
        <f>Graph_GenSurg!$A36</f>
        <v>2042</v>
      </c>
      <c r="G1171">
        <f>Graph_GenSurg!$B36</f>
        <v>30</v>
      </c>
      <c r="H1171" s="165">
        <f>Graph_GenSurg!$M36</f>
        <v>2252637.9889271441</v>
      </c>
      <c r="I1171" s="160">
        <f>InputData!$C$3</f>
        <v>0.02</v>
      </c>
      <c r="J1171" s="160">
        <f>InputData!$C$4</f>
        <v>0.01</v>
      </c>
      <c r="K1171" s="160">
        <f>InputData!$C$5</f>
        <v>0.01</v>
      </c>
      <c r="L1171" s="160">
        <f>InputData!$C$6</f>
        <v>6.2100000000000002E-2</v>
      </c>
      <c r="M1171" s="160">
        <f>InputData!$C$7</f>
        <v>0.03</v>
      </c>
      <c r="N1171" s="160">
        <f>InputData!$C$8</f>
        <v>0.02</v>
      </c>
      <c r="O1171" s="160">
        <f>InputData!$C$9</f>
        <v>0.06</v>
      </c>
      <c r="P1171" s="160">
        <f>InputData!$C$10</f>
        <v>0.02</v>
      </c>
      <c r="Q1171" s="160">
        <f>InputData!$C$11</f>
        <v>0.02</v>
      </c>
      <c r="R1171" s="160">
        <f>InputData!$C$12</f>
        <v>0.02</v>
      </c>
      <c r="S1171" s="160">
        <f>InputData!$C$13</f>
        <v>0.9</v>
      </c>
      <c r="T1171" s="116">
        <f>InputData!$C$88</f>
        <v>180000</v>
      </c>
      <c r="U1171" s="116">
        <f>InputData!$C$81</f>
        <v>178500</v>
      </c>
      <c r="V1171" s="116">
        <f>InputData!$C$82</f>
        <v>303960</v>
      </c>
      <c r="W1171" s="116">
        <f>InputData!$C$84</f>
        <v>215220</v>
      </c>
      <c r="X1171" s="116">
        <f>InputData!$C$85</f>
        <v>409020</v>
      </c>
      <c r="Y1171" s="116">
        <f>InputData!$C$116</f>
        <v>140000</v>
      </c>
      <c r="Z1171" s="160">
        <f>InputData!$E$13</f>
        <v>0</v>
      </c>
    </row>
    <row r="1172" spans="1:26" x14ac:dyDescent="0.25">
      <c r="A1172">
        <f>InputData!$K$1</f>
        <v>2013</v>
      </c>
      <c r="B1172" t="str">
        <f>InputData!$G$1</f>
        <v>San Antonio, TX</v>
      </c>
      <c r="C1172" t="s">
        <v>5</v>
      </c>
      <c r="D1172" t="str">
        <f>Graph_GenSurg!$N$6</f>
        <v>USUim</v>
      </c>
      <c r="E1172" t="str">
        <f t="shared" si="18"/>
        <v>General Surgery USUim</v>
      </c>
      <c r="F1172">
        <f>Graph_GenSurg!$A7</f>
        <v>2013</v>
      </c>
      <c r="G1172">
        <f>Graph_GenSurg!$B7</f>
        <v>1</v>
      </c>
      <c r="H1172" s="165">
        <f>Graph_GenSurg!$N7</f>
        <v>54056.194799999997</v>
      </c>
      <c r="I1172" s="160">
        <f>InputData!$C$3</f>
        <v>0.02</v>
      </c>
      <c r="J1172" s="160">
        <f>InputData!$C$4</f>
        <v>0.01</v>
      </c>
      <c r="K1172" s="160">
        <f>InputData!$C$5</f>
        <v>0.01</v>
      </c>
      <c r="L1172" s="160">
        <f>InputData!$C$6</f>
        <v>6.2100000000000002E-2</v>
      </c>
      <c r="M1172" s="160">
        <f>InputData!$C$7</f>
        <v>0.03</v>
      </c>
      <c r="N1172" s="160">
        <f>InputData!$C$8</f>
        <v>0.02</v>
      </c>
      <c r="O1172" s="160">
        <f>InputData!$C$9</f>
        <v>0.06</v>
      </c>
      <c r="P1172" s="160">
        <f>InputData!$C$10</f>
        <v>0.02</v>
      </c>
      <c r="Q1172" s="160">
        <f>InputData!$C$11</f>
        <v>0.02</v>
      </c>
      <c r="R1172" s="160">
        <f>InputData!$C$12</f>
        <v>0.02</v>
      </c>
      <c r="S1172" s="160">
        <f>InputData!$C$13</f>
        <v>0.9</v>
      </c>
      <c r="T1172" s="116">
        <f>InputData!$C$88</f>
        <v>180000</v>
      </c>
      <c r="U1172" s="116">
        <f>InputData!$C$81</f>
        <v>178500</v>
      </c>
      <c r="V1172" s="116">
        <f>InputData!$C$82</f>
        <v>303960</v>
      </c>
      <c r="W1172" s="116">
        <f>InputData!$C$84</f>
        <v>215220</v>
      </c>
      <c r="X1172" s="116">
        <f>InputData!$C$85</f>
        <v>409020</v>
      </c>
      <c r="Y1172" s="116">
        <f>InputData!$C$116</f>
        <v>140000</v>
      </c>
      <c r="Z1172" s="160">
        <f>InputData!$E$13</f>
        <v>0</v>
      </c>
    </row>
    <row r="1173" spans="1:26" x14ac:dyDescent="0.25">
      <c r="A1173">
        <f>InputData!$K$1</f>
        <v>2013</v>
      </c>
      <c r="B1173" t="str">
        <f>InputData!$G$1</f>
        <v>San Antonio, TX</v>
      </c>
      <c r="C1173" t="s">
        <v>5</v>
      </c>
      <c r="D1173" t="str">
        <f>Graph_GenSurg!$N$6</f>
        <v>USUim</v>
      </c>
      <c r="E1173" t="str">
        <f t="shared" si="18"/>
        <v>General Surgery USUim</v>
      </c>
      <c r="F1173">
        <f>Graph_GenSurg!$A8</f>
        <v>2014</v>
      </c>
      <c r="G1173">
        <f>Graph_GenSurg!$B8</f>
        <v>2</v>
      </c>
      <c r="H1173" s="165">
        <f>Graph_GenSurg!$N8</f>
        <v>106041.93556527697</v>
      </c>
      <c r="I1173" s="160">
        <f>InputData!$C$3</f>
        <v>0.02</v>
      </c>
      <c r="J1173" s="160">
        <f>InputData!$C$4</f>
        <v>0.01</v>
      </c>
      <c r="K1173" s="160">
        <f>InputData!$C$5</f>
        <v>0.01</v>
      </c>
      <c r="L1173" s="160">
        <f>InputData!$C$6</f>
        <v>6.2100000000000002E-2</v>
      </c>
      <c r="M1173" s="160">
        <f>InputData!$C$7</f>
        <v>0.03</v>
      </c>
      <c r="N1173" s="160">
        <f>InputData!$C$8</f>
        <v>0.02</v>
      </c>
      <c r="O1173" s="160">
        <f>InputData!$C$9</f>
        <v>0.06</v>
      </c>
      <c r="P1173" s="160">
        <f>InputData!$C$10</f>
        <v>0.02</v>
      </c>
      <c r="Q1173" s="160">
        <f>InputData!$C$11</f>
        <v>0.02</v>
      </c>
      <c r="R1173" s="160">
        <f>InputData!$C$12</f>
        <v>0.02</v>
      </c>
      <c r="S1173" s="160">
        <f>InputData!$C$13</f>
        <v>0.9</v>
      </c>
      <c r="T1173" s="116">
        <f>InputData!$C$88</f>
        <v>180000</v>
      </c>
      <c r="U1173" s="116">
        <f>InputData!$C$81</f>
        <v>178500</v>
      </c>
      <c r="V1173" s="116">
        <f>InputData!$C$82</f>
        <v>303960</v>
      </c>
      <c r="W1173" s="116">
        <f>InputData!$C$84</f>
        <v>215220</v>
      </c>
      <c r="X1173" s="116">
        <f>InputData!$C$85</f>
        <v>409020</v>
      </c>
      <c r="Y1173" s="116">
        <f>InputData!$C$116</f>
        <v>140000</v>
      </c>
      <c r="Z1173" s="160">
        <f>InputData!$E$13</f>
        <v>0</v>
      </c>
    </row>
    <row r="1174" spans="1:26" x14ac:dyDescent="0.25">
      <c r="A1174">
        <f>InputData!$K$1</f>
        <v>2013</v>
      </c>
      <c r="B1174" t="str">
        <f>InputData!$G$1</f>
        <v>San Antonio, TX</v>
      </c>
      <c r="C1174" t="s">
        <v>5</v>
      </c>
      <c r="D1174" t="str">
        <f>Graph_GenSurg!$N$6</f>
        <v>USUim</v>
      </c>
      <c r="E1174" t="str">
        <f t="shared" si="18"/>
        <v>General Surgery USUim</v>
      </c>
      <c r="F1174">
        <f>Graph_GenSurg!$A9</f>
        <v>2015</v>
      </c>
      <c r="G1174">
        <f>Graph_GenSurg!$B9</f>
        <v>3</v>
      </c>
      <c r="H1174" s="165">
        <f>Graph_GenSurg!$N9</f>
        <v>157045.52189700573</v>
      </c>
      <c r="I1174" s="160">
        <f>InputData!$C$3</f>
        <v>0.02</v>
      </c>
      <c r="J1174" s="160">
        <f>InputData!$C$4</f>
        <v>0.01</v>
      </c>
      <c r="K1174" s="160">
        <f>InputData!$C$5</f>
        <v>0.01</v>
      </c>
      <c r="L1174" s="160">
        <f>InputData!$C$6</f>
        <v>6.2100000000000002E-2</v>
      </c>
      <c r="M1174" s="160">
        <f>InputData!$C$7</f>
        <v>0.03</v>
      </c>
      <c r="N1174" s="160">
        <f>InputData!$C$8</f>
        <v>0.02</v>
      </c>
      <c r="O1174" s="160">
        <f>InputData!$C$9</f>
        <v>0.06</v>
      </c>
      <c r="P1174" s="160">
        <f>InputData!$C$10</f>
        <v>0.02</v>
      </c>
      <c r="Q1174" s="160">
        <f>InputData!$C$11</f>
        <v>0.02</v>
      </c>
      <c r="R1174" s="160">
        <f>InputData!$C$12</f>
        <v>0.02</v>
      </c>
      <c r="S1174" s="160">
        <f>InputData!$C$13</f>
        <v>0.9</v>
      </c>
      <c r="T1174" s="116">
        <f>InputData!$C$88</f>
        <v>180000</v>
      </c>
      <c r="U1174" s="116">
        <f>InputData!$C$81</f>
        <v>178500</v>
      </c>
      <c r="V1174" s="116">
        <f>InputData!$C$82</f>
        <v>303960</v>
      </c>
      <c r="W1174" s="116">
        <f>InputData!$C$84</f>
        <v>215220</v>
      </c>
      <c r="X1174" s="116">
        <f>InputData!$C$85</f>
        <v>409020</v>
      </c>
      <c r="Y1174" s="116">
        <f>InputData!$C$116</f>
        <v>140000</v>
      </c>
      <c r="Z1174" s="160">
        <f>InputData!$E$13</f>
        <v>0</v>
      </c>
    </row>
    <row r="1175" spans="1:26" x14ac:dyDescent="0.25">
      <c r="A1175">
        <f>InputData!$K$1</f>
        <v>2013</v>
      </c>
      <c r="B1175" t="str">
        <f>InputData!$G$1</f>
        <v>San Antonio, TX</v>
      </c>
      <c r="C1175" t="s">
        <v>5</v>
      </c>
      <c r="D1175" t="str">
        <f>Graph_GenSurg!$N$6</f>
        <v>USUim</v>
      </c>
      <c r="E1175" t="str">
        <f t="shared" si="18"/>
        <v>General Surgery USUim</v>
      </c>
      <c r="F1175">
        <f>Graph_GenSurg!$A10</f>
        <v>2016</v>
      </c>
      <c r="G1175">
        <f>Graph_GenSurg!$B10</f>
        <v>4</v>
      </c>
      <c r="H1175" s="165">
        <f>Graph_GenSurg!$N10</f>
        <v>211251.55229740124</v>
      </c>
      <c r="I1175" s="160">
        <f>InputData!$C$3</f>
        <v>0.02</v>
      </c>
      <c r="J1175" s="160">
        <f>InputData!$C$4</f>
        <v>0.01</v>
      </c>
      <c r="K1175" s="160">
        <f>InputData!$C$5</f>
        <v>0.01</v>
      </c>
      <c r="L1175" s="160">
        <f>InputData!$C$6</f>
        <v>6.2100000000000002E-2</v>
      </c>
      <c r="M1175" s="160">
        <f>InputData!$C$7</f>
        <v>0.03</v>
      </c>
      <c r="N1175" s="160">
        <f>InputData!$C$8</f>
        <v>0.02</v>
      </c>
      <c r="O1175" s="160">
        <f>InputData!$C$9</f>
        <v>0.06</v>
      </c>
      <c r="P1175" s="160">
        <f>InputData!$C$10</f>
        <v>0.02</v>
      </c>
      <c r="Q1175" s="160">
        <f>InputData!$C$11</f>
        <v>0.02</v>
      </c>
      <c r="R1175" s="160">
        <f>InputData!$C$12</f>
        <v>0.02</v>
      </c>
      <c r="S1175" s="160">
        <f>InputData!$C$13</f>
        <v>0.9</v>
      </c>
      <c r="T1175" s="116">
        <f>InputData!$C$88</f>
        <v>180000</v>
      </c>
      <c r="U1175" s="116">
        <f>InputData!$C$81</f>
        <v>178500</v>
      </c>
      <c r="V1175" s="116">
        <f>InputData!$C$82</f>
        <v>303960</v>
      </c>
      <c r="W1175" s="116">
        <f>InputData!$C$84</f>
        <v>215220</v>
      </c>
      <c r="X1175" s="116">
        <f>InputData!$C$85</f>
        <v>409020</v>
      </c>
      <c r="Y1175" s="116">
        <f>InputData!$C$116</f>
        <v>140000</v>
      </c>
      <c r="Z1175" s="160">
        <f>InputData!$E$13</f>
        <v>0</v>
      </c>
    </row>
    <row r="1176" spans="1:26" x14ac:dyDescent="0.25">
      <c r="A1176">
        <f>InputData!$K$1</f>
        <v>2013</v>
      </c>
      <c r="B1176" t="str">
        <f>InputData!$G$1</f>
        <v>San Antonio, TX</v>
      </c>
      <c r="C1176" t="s">
        <v>5</v>
      </c>
      <c r="D1176" t="str">
        <f>Graph_GenSurg!$N$6</f>
        <v>USUim</v>
      </c>
      <c r="E1176" t="str">
        <f t="shared" si="18"/>
        <v>General Surgery USUim</v>
      </c>
      <c r="F1176">
        <f>Graph_GenSurg!$A11</f>
        <v>2017</v>
      </c>
      <c r="G1176">
        <f>Graph_GenSurg!$B11</f>
        <v>5</v>
      </c>
      <c r="H1176" s="165">
        <f>Graph_GenSurg!$N11</f>
        <v>261213.54479899554</v>
      </c>
      <c r="I1176" s="160">
        <f>InputData!$C$3</f>
        <v>0.02</v>
      </c>
      <c r="J1176" s="160">
        <f>InputData!$C$4</f>
        <v>0.01</v>
      </c>
      <c r="K1176" s="160">
        <f>InputData!$C$5</f>
        <v>0.01</v>
      </c>
      <c r="L1176" s="160">
        <f>InputData!$C$6</f>
        <v>6.2100000000000002E-2</v>
      </c>
      <c r="M1176" s="160">
        <f>InputData!$C$7</f>
        <v>0.03</v>
      </c>
      <c r="N1176" s="160">
        <f>InputData!$C$8</f>
        <v>0.02</v>
      </c>
      <c r="O1176" s="160">
        <f>InputData!$C$9</f>
        <v>0.06</v>
      </c>
      <c r="P1176" s="160">
        <f>InputData!$C$10</f>
        <v>0.02</v>
      </c>
      <c r="Q1176" s="160">
        <f>InputData!$C$11</f>
        <v>0.02</v>
      </c>
      <c r="R1176" s="160">
        <f>InputData!$C$12</f>
        <v>0.02</v>
      </c>
      <c r="S1176" s="160">
        <f>InputData!$C$13</f>
        <v>0.9</v>
      </c>
      <c r="T1176" s="116">
        <f>InputData!$C$88</f>
        <v>180000</v>
      </c>
      <c r="U1176" s="116">
        <f>InputData!$C$81</f>
        <v>178500</v>
      </c>
      <c r="V1176" s="116">
        <f>InputData!$C$82</f>
        <v>303960</v>
      </c>
      <c r="W1176" s="116">
        <f>InputData!$C$84</f>
        <v>215220</v>
      </c>
      <c r="X1176" s="116">
        <f>InputData!$C$85</f>
        <v>409020</v>
      </c>
      <c r="Y1176" s="116">
        <f>InputData!$C$116</f>
        <v>140000</v>
      </c>
      <c r="Z1176" s="160">
        <f>InputData!$E$13</f>
        <v>0</v>
      </c>
    </row>
    <row r="1177" spans="1:26" x14ac:dyDescent="0.25">
      <c r="A1177">
        <f>InputData!$K$1</f>
        <v>2013</v>
      </c>
      <c r="B1177" t="str">
        <f>InputData!$G$1</f>
        <v>San Antonio, TX</v>
      </c>
      <c r="C1177" t="s">
        <v>5</v>
      </c>
      <c r="D1177" t="str">
        <f>Graph_GenSurg!$N$6</f>
        <v>USUim</v>
      </c>
      <c r="E1177" t="str">
        <f t="shared" si="18"/>
        <v>General Surgery USUim</v>
      </c>
      <c r="F1177">
        <f>Graph_GenSurg!$A12</f>
        <v>2018</v>
      </c>
      <c r="G1177">
        <f>Graph_GenSurg!$B12</f>
        <v>6</v>
      </c>
      <c r="H1177" s="165">
        <f>Graph_GenSurg!$N12</f>
        <v>311474.37448667729</v>
      </c>
      <c r="I1177" s="160">
        <f>InputData!$C$3</f>
        <v>0.02</v>
      </c>
      <c r="J1177" s="160">
        <f>InputData!$C$4</f>
        <v>0.01</v>
      </c>
      <c r="K1177" s="160">
        <f>InputData!$C$5</f>
        <v>0.01</v>
      </c>
      <c r="L1177" s="160">
        <f>InputData!$C$6</f>
        <v>6.2100000000000002E-2</v>
      </c>
      <c r="M1177" s="160">
        <f>InputData!$C$7</f>
        <v>0.03</v>
      </c>
      <c r="N1177" s="160">
        <f>InputData!$C$8</f>
        <v>0.02</v>
      </c>
      <c r="O1177" s="160">
        <f>InputData!$C$9</f>
        <v>0.06</v>
      </c>
      <c r="P1177" s="160">
        <f>InputData!$C$10</f>
        <v>0.02</v>
      </c>
      <c r="Q1177" s="160">
        <f>InputData!$C$11</f>
        <v>0.02</v>
      </c>
      <c r="R1177" s="160">
        <f>InputData!$C$12</f>
        <v>0.02</v>
      </c>
      <c r="S1177" s="160">
        <f>InputData!$C$13</f>
        <v>0.9</v>
      </c>
      <c r="T1177" s="116">
        <f>InputData!$C$88</f>
        <v>180000</v>
      </c>
      <c r="U1177" s="116">
        <f>InputData!$C$81</f>
        <v>178500</v>
      </c>
      <c r="V1177" s="116">
        <f>InputData!$C$82</f>
        <v>303960</v>
      </c>
      <c r="W1177" s="116">
        <f>InputData!$C$84</f>
        <v>215220</v>
      </c>
      <c r="X1177" s="116">
        <f>InputData!$C$85</f>
        <v>409020</v>
      </c>
      <c r="Y1177" s="116">
        <f>InputData!$C$116</f>
        <v>140000</v>
      </c>
      <c r="Z1177" s="160">
        <f>InputData!$E$13</f>
        <v>0</v>
      </c>
    </row>
    <row r="1178" spans="1:26" x14ac:dyDescent="0.25">
      <c r="A1178">
        <f>InputData!$K$1</f>
        <v>2013</v>
      </c>
      <c r="B1178" t="str">
        <f>InputData!$G$1</f>
        <v>San Antonio, TX</v>
      </c>
      <c r="C1178" t="s">
        <v>5</v>
      </c>
      <c r="D1178" t="str">
        <f>Graph_GenSurg!$N$6</f>
        <v>USUim</v>
      </c>
      <c r="E1178" t="str">
        <f t="shared" si="18"/>
        <v>General Surgery USUim</v>
      </c>
      <c r="F1178">
        <f>Graph_GenSurg!$A13</f>
        <v>2019</v>
      </c>
      <c r="G1178">
        <f>Graph_GenSurg!$B13</f>
        <v>7</v>
      </c>
      <c r="H1178" s="165">
        <f>Graph_GenSurg!$N13</f>
        <v>363115.97670968575</v>
      </c>
      <c r="I1178" s="160">
        <f>InputData!$C$3</f>
        <v>0.02</v>
      </c>
      <c r="J1178" s="160">
        <f>InputData!$C$4</f>
        <v>0.01</v>
      </c>
      <c r="K1178" s="160">
        <f>InputData!$C$5</f>
        <v>0.01</v>
      </c>
      <c r="L1178" s="160">
        <f>InputData!$C$6</f>
        <v>6.2100000000000002E-2</v>
      </c>
      <c r="M1178" s="160">
        <f>InputData!$C$7</f>
        <v>0.03</v>
      </c>
      <c r="N1178" s="160">
        <f>InputData!$C$8</f>
        <v>0.02</v>
      </c>
      <c r="O1178" s="160">
        <f>InputData!$C$9</f>
        <v>0.06</v>
      </c>
      <c r="P1178" s="160">
        <f>InputData!$C$10</f>
        <v>0.02</v>
      </c>
      <c r="Q1178" s="160">
        <f>InputData!$C$11</f>
        <v>0.02</v>
      </c>
      <c r="R1178" s="160">
        <f>InputData!$C$12</f>
        <v>0.02</v>
      </c>
      <c r="S1178" s="160">
        <f>InputData!$C$13</f>
        <v>0.9</v>
      </c>
      <c r="T1178" s="116">
        <f>InputData!$C$88</f>
        <v>180000</v>
      </c>
      <c r="U1178" s="116">
        <f>InputData!$C$81</f>
        <v>178500</v>
      </c>
      <c r="V1178" s="116">
        <f>InputData!$C$82</f>
        <v>303960</v>
      </c>
      <c r="W1178" s="116">
        <f>InputData!$C$84</f>
        <v>215220</v>
      </c>
      <c r="X1178" s="116">
        <f>InputData!$C$85</f>
        <v>409020</v>
      </c>
      <c r="Y1178" s="116">
        <f>InputData!$C$116</f>
        <v>140000</v>
      </c>
      <c r="Z1178" s="160">
        <f>InputData!$E$13</f>
        <v>0</v>
      </c>
    </row>
    <row r="1179" spans="1:26" x14ac:dyDescent="0.25">
      <c r="A1179">
        <f>InputData!$K$1</f>
        <v>2013</v>
      </c>
      <c r="B1179" t="str">
        <f>InputData!$G$1</f>
        <v>San Antonio, TX</v>
      </c>
      <c r="C1179" t="s">
        <v>5</v>
      </c>
      <c r="D1179" t="str">
        <f>Graph_GenSurg!$N$6</f>
        <v>USUim</v>
      </c>
      <c r="E1179" t="str">
        <f t="shared" si="18"/>
        <v>General Surgery USUim</v>
      </c>
      <c r="F1179">
        <f>Graph_GenSurg!$A14</f>
        <v>2020</v>
      </c>
      <c r="G1179">
        <f>Graph_GenSurg!$B14</f>
        <v>8</v>
      </c>
      <c r="H1179" s="165">
        <f>Graph_GenSurg!$N14</f>
        <v>414930.34262192424</v>
      </c>
      <c r="I1179" s="160">
        <f>InputData!$C$3</f>
        <v>0.02</v>
      </c>
      <c r="J1179" s="160">
        <f>InputData!$C$4</f>
        <v>0.01</v>
      </c>
      <c r="K1179" s="160">
        <f>InputData!$C$5</f>
        <v>0.01</v>
      </c>
      <c r="L1179" s="160">
        <f>InputData!$C$6</f>
        <v>6.2100000000000002E-2</v>
      </c>
      <c r="M1179" s="160">
        <f>InputData!$C$7</f>
        <v>0.03</v>
      </c>
      <c r="N1179" s="160">
        <f>InputData!$C$8</f>
        <v>0.02</v>
      </c>
      <c r="O1179" s="160">
        <f>InputData!$C$9</f>
        <v>0.06</v>
      </c>
      <c r="P1179" s="160">
        <f>InputData!$C$10</f>
        <v>0.02</v>
      </c>
      <c r="Q1179" s="160">
        <f>InputData!$C$11</f>
        <v>0.02</v>
      </c>
      <c r="R1179" s="160">
        <f>InputData!$C$12</f>
        <v>0.02</v>
      </c>
      <c r="S1179" s="160">
        <f>InputData!$C$13</f>
        <v>0.9</v>
      </c>
      <c r="T1179" s="116">
        <f>InputData!$C$88</f>
        <v>180000</v>
      </c>
      <c r="U1179" s="116">
        <f>InputData!$C$81</f>
        <v>178500</v>
      </c>
      <c r="V1179" s="116">
        <f>InputData!$C$82</f>
        <v>303960</v>
      </c>
      <c r="W1179" s="116">
        <f>InputData!$C$84</f>
        <v>215220</v>
      </c>
      <c r="X1179" s="116">
        <f>InputData!$C$85</f>
        <v>409020</v>
      </c>
      <c r="Y1179" s="116">
        <f>InputData!$C$116</f>
        <v>140000</v>
      </c>
      <c r="Z1179" s="160">
        <f>InputData!$E$13</f>
        <v>0</v>
      </c>
    </row>
    <row r="1180" spans="1:26" x14ac:dyDescent="0.25">
      <c r="A1180">
        <f>InputData!$K$1</f>
        <v>2013</v>
      </c>
      <c r="B1180" t="str">
        <f>InputData!$G$1</f>
        <v>San Antonio, TX</v>
      </c>
      <c r="C1180" t="s">
        <v>5</v>
      </c>
      <c r="D1180" t="str">
        <f>Graph_GenSurg!$N$6</f>
        <v>USUim</v>
      </c>
      <c r="E1180" t="str">
        <f t="shared" si="18"/>
        <v>General Surgery USUim</v>
      </c>
      <c r="F1180">
        <f>Graph_GenSurg!$A15</f>
        <v>2021</v>
      </c>
      <c r="G1180">
        <f>Graph_GenSurg!$B15</f>
        <v>9</v>
      </c>
      <c r="H1180" s="165">
        <f>Graph_GenSurg!$N15</f>
        <v>467290.95730725891</v>
      </c>
      <c r="I1180" s="160">
        <f>InputData!$C$3</f>
        <v>0.02</v>
      </c>
      <c r="J1180" s="160">
        <f>InputData!$C$4</f>
        <v>0.01</v>
      </c>
      <c r="K1180" s="160">
        <f>InputData!$C$5</f>
        <v>0.01</v>
      </c>
      <c r="L1180" s="160">
        <f>InputData!$C$6</f>
        <v>6.2100000000000002E-2</v>
      </c>
      <c r="M1180" s="160">
        <f>InputData!$C$7</f>
        <v>0.03</v>
      </c>
      <c r="N1180" s="160">
        <f>InputData!$C$8</f>
        <v>0.02</v>
      </c>
      <c r="O1180" s="160">
        <f>InputData!$C$9</f>
        <v>0.06</v>
      </c>
      <c r="P1180" s="160">
        <f>InputData!$C$10</f>
        <v>0.02</v>
      </c>
      <c r="Q1180" s="160">
        <f>InputData!$C$11</f>
        <v>0.02</v>
      </c>
      <c r="R1180" s="160">
        <f>InputData!$C$12</f>
        <v>0.02</v>
      </c>
      <c r="S1180" s="160">
        <f>InputData!$C$13</f>
        <v>0.9</v>
      </c>
      <c r="T1180" s="116">
        <f>InputData!$C$88</f>
        <v>180000</v>
      </c>
      <c r="U1180" s="116">
        <f>InputData!$C$81</f>
        <v>178500</v>
      </c>
      <c r="V1180" s="116">
        <f>InputData!$C$82</f>
        <v>303960</v>
      </c>
      <c r="W1180" s="116">
        <f>InputData!$C$84</f>
        <v>215220</v>
      </c>
      <c r="X1180" s="116">
        <f>InputData!$C$85</f>
        <v>409020</v>
      </c>
      <c r="Y1180" s="116">
        <f>InputData!$C$116</f>
        <v>140000</v>
      </c>
      <c r="Z1180" s="160">
        <f>InputData!$E$13</f>
        <v>0</v>
      </c>
    </row>
    <row r="1181" spans="1:26" x14ac:dyDescent="0.25">
      <c r="A1181">
        <f>InputData!$K$1</f>
        <v>2013</v>
      </c>
      <c r="B1181" t="str">
        <f>InputData!$G$1</f>
        <v>San Antonio, TX</v>
      </c>
      <c r="C1181" t="s">
        <v>5</v>
      </c>
      <c r="D1181" t="str">
        <f>Graph_GenSurg!$N$6</f>
        <v>USUim</v>
      </c>
      <c r="E1181" t="str">
        <f t="shared" si="18"/>
        <v>General Surgery USUim</v>
      </c>
      <c r="F1181">
        <f>Graph_GenSurg!$A16</f>
        <v>2022</v>
      </c>
      <c r="G1181">
        <f>Graph_GenSurg!$B16</f>
        <v>10</v>
      </c>
      <c r="H1181" s="165">
        <f>Graph_GenSurg!$N16</f>
        <v>524763.22436689748</v>
      </c>
      <c r="I1181" s="160">
        <f>InputData!$C$3</f>
        <v>0.02</v>
      </c>
      <c r="J1181" s="160">
        <f>InputData!$C$4</f>
        <v>0.01</v>
      </c>
      <c r="K1181" s="160">
        <f>InputData!$C$5</f>
        <v>0.01</v>
      </c>
      <c r="L1181" s="160">
        <f>InputData!$C$6</f>
        <v>6.2100000000000002E-2</v>
      </c>
      <c r="M1181" s="160">
        <f>InputData!$C$7</f>
        <v>0.03</v>
      </c>
      <c r="N1181" s="160">
        <f>InputData!$C$8</f>
        <v>0.02</v>
      </c>
      <c r="O1181" s="160">
        <f>InputData!$C$9</f>
        <v>0.06</v>
      </c>
      <c r="P1181" s="160">
        <f>InputData!$C$10</f>
        <v>0.02</v>
      </c>
      <c r="Q1181" s="160">
        <f>InputData!$C$11</f>
        <v>0.02</v>
      </c>
      <c r="R1181" s="160">
        <f>InputData!$C$12</f>
        <v>0.02</v>
      </c>
      <c r="S1181" s="160">
        <f>InputData!$C$13</f>
        <v>0.9</v>
      </c>
      <c r="T1181" s="116">
        <f>InputData!$C$88</f>
        <v>180000</v>
      </c>
      <c r="U1181" s="116">
        <f>InputData!$C$81</f>
        <v>178500</v>
      </c>
      <c r="V1181" s="116">
        <f>InputData!$C$82</f>
        <v>303960</v>
      </c>
      <c r="W1181" s="116">
        <f>InputData!$C$84</f>
        <v>215220</v>
      </c>
      <c r="X1181" s="116">
        <f>InputData!$C$85</f>
        <v>409020</v>
      </c>
      <c r="Y1181" s="116">
        <f>InputData!$C$116</f>
        <v>140000</v>
      </c>
      <c r="Z1181" s="160">
        <f>InputData!$E$13</f>
        <v>0</v>
      </c>
    </row>
    <row r="1182" spans="1:26" x14ac:dyDescent="0.25">
      <c r="A1182">
        <f>InputData!$K$1</f>
        <v>2013</v>
      </c>
      <c r="B1182" t="str">
        <f>InputData!$G$1</f>
        <v>San Antonio, TX</v>
      </c>
      <c r="C1182" t="s">
        <v>5</v>
      </c>
      <c r="D1182" t="str">
        <f>Graph_GenSurg!$N$6</f>
        <v>USUim</v>
      </c>
      <c r="E1182" t="str">
        <f t="shared" si="18"/>
        <v>General Surgery USUim</v>
      </c>
      <c r="F1182">
        <f>Graph_GenSurg!$A17</f>
        <v>2023</v>
      </c>
      <c r="G1182">
        <f>Graph_GenSurg!$B17</f>
        <v>11</v>
      </c>
      <c r="H1182" s="165">
        <f>Graph_GenSurg!$N17</f>
        <v>588449.02039398521</v>
      </c>
      <c r="I1182" s="160">
        <f>InputData!$C$3</f>
        <v>0.02</v>
      </c>
      <c r="J1182" s="160">
        <f>InputData!$C$4</f>
        <v>0.01</v>
      </c>
      <c r="K1182" s="160">
        <f>InputData!$C$5</f>
        <v>0.01</v>
      </c>
      <c r="L1182" s="160">
        <f>InputData!$C$6</f>
        <v>6.2100000000000002E-2</v>
      </c>
      <c r="M1182" s="160">
        <f>InputData!$C$7</f>
        <v>0.03</v>
      </c>
      <c r="N1182" s="160">
        <f>InputData!$C$8</f>
        <v>0.02</v>
      </c>
      <c r="O1182" s="160">
        <f>InputData!$C$9</f>
        <v>0.06</v>
      </c>
      <c r="P1182" s="160">
        <f>InputData!$C$10</f>
        <v>0.02</v>
      </c>
      <c r="Q1182" s="160">
        <f>InputData!$C$11</f>
        <v>0.02</v>
      </c>
      <c r="R1182" s="160">
        <f>InputData!$C$12</f>
        <v>0.02</v>
      </c>
      <c r="S1182" s="160">
        <f>InputData!$C$13</f>
        <v>0.9</v>
      </c>
      <c r="T1182" s="116">
        <f>InputData!$C$88</f>
        <v>180000</v>
      </c>
      <c r="U1182" s="116">
        <f>InputData!$C$81</f>
        <v>178500</v>
      </c>
      <c r="V1182" s="116">
        <f>InputData!$C$82</f>
        <v>303960</v>
      </c>
      <c r="W1182" s="116">
        <f>InputData!$C$84</f>
        <v>215220</v>
      </c>
      <c r="X1182" s="116">
        <f>InputData!$C$85</f>
        <v>409020</v>
      </c>
      <c r="Y1182" s="116">
        <f>InputData!$C$116</f>
        <v>140000</v>
      </c>
      <c r="Z1182" s="160">
        <f>InputData!$E$13</f>
        <v>0</v>
      </c>
    </row>
    <row r="1183" spans="1:26" x14ac:dyDescent="0.25">
      <c r="A1183">
        <f>InputData!$K$1</f>
        <v>2013</v>
      </c>
      <c r="B1183" t="str">
        <f>InputData!$G$1</f>
        <v>San Antonio, TX</v>
      </c>
      <c r="C1183" t="s">
        <v>5</v>
      </c>
      <c r="D1183" t="str">
        <f>Graph_GenSurg!$N$6</f>
        <v>USUim</v>
      </c>
      <c r="E1183" t="str">
        <f t="shared" si="18"/>
        <v>General Surgery USUim</v>
      </c>
      <c r="F1183">
        <f>Graph_GenSurg!$A18</f>
        <v>2024</v>
      </c>
      <c r="G1183">
        <f>Graph_GenSurg!$B18</f>
        <v>12</v>
      </c>
      <c r="H1183" s="165">
        <f>Graph_GenSurg!$N18</f>
        <v>649720.24660637928</v>
      </c>
      <c r="I1183" s="160">
        <f>InputData!$C$3</f>
        <v>0.02</v>
      </c>
      <c r="J1183" s="160">
        <f>InputData!$C$4</f>
        <v>0.01</v>
      </c>
      <c r="K1183" s="160">
        <f>InputData!$C$5</f>
        <v>0.01</v>
      </c>
      <c r="L1183" s="160">
        <f>InputData!$C$6</f>
        <v>6.2100000000000002E-2</v>
      </c>
      <c r="M1183" s="160">
        <f>InputData!$C$7</f>
        <v>0.03</v>
      </c>
      <c r="N1183" s="160">
        <f>InputData!$C$8</f>
        <v>0.02</v>
      </c>
      <c r="O1183" s="160">
        <f>InputData!$C$9</f>
        <v>0.06</v>
      </c>
      <c r="P1183" s="160">
        <f>InputData!$C$10</f>
        <v>0.02</v>
      </c>
      <c r="Q1183" s="160">
        <f>InputData!$C$11</f>
        <v>0.02</v>
      </c>
      <c r="R1183" s="160">
        <f>InputData!$C$12</f>
        <v>0.02</v>
      </c>
      <c r="S1183" s="160">
        <f>InputData!$C$13</f>
        <v>0.9</v>
      </c>
      <c r="T1183" s="116">
        <f>InputData!$C$88</f>
        <v>180000</v>
      </c>
      <c r="U1183" s="116">
        <f>InputData!$C$81</f>
        <v>178500</v>
      </c>
      <c r="V1183" s="116">
        <f>InputData!$C$82</f>
        <v>303960</v>
      </c>
      <c r="W1183" s="116">
        <f>InputData!$C$84</f>
        <v>215220</v>
      </c>
      <c r="X1183" s="116">
        <f>InputData!$C$85</f>
        <v>409020</v>
      </c>
      <c r="Y1183" s="116">
        <f>InputData!$C$116</f>
        <v>140000</v>
      </c>
      <c r="Z1183" s="160">
        <f>InputData!$E$13</f>
        <v>0</v>
      </c>
    </row>
    <row r="1184" spans="1:26" x14ac:dyDescent="0.25">
      <c r="A1184">
        <f>InputData!$K$1</f>
        <v>2013</v>
      </c>
      <c r="B1184" t="str">
        <f>InputData!$G$1</f>
        <v>San Antonio, TX</v>
      </c>
      <c r="C1184" t="s">
        <v>5</v>
      </c>
      <c r="D1184" t="str">
        <f>Graph_GenSurg!$N$6</f>
        <v>USUim</v>
      </c>
      <c r="E1184" t="str">
        <f t="shared" si="18"/>
        <v>General Surgery USUim</v>
      </c>
      <c r="F1184">
        <f>Graph_GenSurg!$A19</f>
        <v>2025</v>
      </c>
      <c r="G1184">
        <f>Graph_GenSurg!$B19</f>
        <v>13</v>
      </c>
      <c r="H1184" s="165">
        <f>Graph_GenSurg!$N19</f>
        <v>710146.70996840461</v>
      </c>
      <c r="I1184" s="160">
        <f>InputData!$C$3</f>
        <v>0.02</v>
      </c>
      <c r="J1184" s="160">
        <f>InputData!$C$4</f>
        <v>0.01</v>
      </c>
      <c r="K1184" s="160">
        <f>InputData!$C$5</f>
        <v>0.01</v>
      </c>
      <c r="L1184" s="160">
        <f>InputData!$C$6</f>
        <v>6.2100000000000002E-2</v>
      </c>
      <c r="M1184" s="160">
        <f>InputData!$C$7</f>
        <v>0.03</v>
      </c>
      <c r="N1184" s="160">
        <f>InputData!$C$8</f>
        <v>0.02</v>
      </c>
      <c r="O1184" s="160">
        <f>InputData!$C$9</f>
        <v>0.06</v>
      </c>
      <c r="P1184" s="160">
        <f>InputData!$C$10</f>
        <v>0.02</v>
      </c>
      <c r="Q1184" s="160">
        <f>InputData!$C$11</f>
        <v>0.02</v>
      </c>
      <c r="R1184" s="160">
        <f>InputData!$C$12</f>
        <v>0.02</v>
      </c>
      <c r="S1184" s="160">
        <f>InputData!$C$13</f>
        <v>0.9</v>
      </c>
      <c r="T1184" s="116">
        <f>InputData!$C$88</f>
        <v>180000</v>
      </c>
      <c r="U1184" s="116">
        <f>InputData!$C$81</f>
        <v>178500</v>
      </c>
      <c r="V1184" s="116">
        <f>InputData!$C$82</f>
        <v>303960</v>
      </c>
      <c r="W1184" s="116">
        <f>InputData!$C$84</f>
        <v>215220</v>
      </c>
      <c r="X1184" s="116">
        <f>InputData!$C$85</f>
        <v>409020</v>
      </c>
      <c r="Y1184" s="116">
        <f>InputData!$C$116</f>
        <v>140000</v>
      </c>
      <c r="Z1184" s="160">
        <f>InputData!$E$13</f>
        <v>0</v>
      </c>
    </row>
    <row r="1185" spans="1:26" x14ac:dyDescent="0.25">
      <c r="A1185">
        <f>InputData!$K$1</f>
        <v>2013</v>
      </c>
      <c r="B1185" t="str">
        <f>InputData!$G$1</f>
        <v>San Antonio, TX</v>
      </c>
      <c r="C1185" t="s">
        <v>5</v>
      </c>
      <c r="D1185" t="str">
        <f>Graph_GenSurg!$N$6</f>
        <v>USUim</v>
      </c>
      <c r="E1185" t="str">
        <f t="shared" si="18"/>
        <v>General Surgery USUim</v>
      </c>
      <c r="F1185">
        <f>Graph_GenSurg!$A20</f>
        <v>2026</v>
      </c>
      <c r="G1185">
        <f>Graph_GenSurg!$B20</f>
        <v>14</v>
      </c>
      <c r="H1185" s="165">
        <f>Graph_GenSurg!$N20</f>
        <v>768281.88741084014</v>
      </c>
      <c r="I1185" s="160">
        <f>InputData!$C$3</f>
        <v>0.02</v>
      </c>
      <c r="J1185" s="160">
        <f>InputData!$C$4</f>
        <v>0.01</v>
      </c>
      <c r="K1185" s="160">
        <f>InputData!$C$5</f>
        <v>0.01</v>
      </c>
      <c r="L1185" s="160">
        <f>InputData!$C$6</f>
        <v>6.2100000000000002E-2</v>
      </c>
      <c r="M1185" s="160">
        <f>InputData!$C$7</f>
        <v>0.03</v>
      </c>
      <c r="N1185" s="160">
        <f>InputData!$C$8</f>
        <v>0.02</v>
      </c>
      <c r="O1185" s="160">
        <f>InputData!$C$9</f>
        <v>0.06</v>
      </c>
      <c r="P1185" s="160">
        <f>InputData!$C$10</f>
        <v>0.02</v>
      </c>
      <c r="Q1185" s="160">
        <f>InputData!$C$11</f>
        <v>0.02</v>
      </c>
      <c r="R1185" s="160">
        <f>InputData!$C$12</f>
        <v>0.02</v>
      </c>
      <c r="S1185" s="160">
        <f>InputData!$C$13</f>
        <v>0.9</v>
      </c>
      <c r="T1185" s="116">
        <f>InputData!$C$88</f>
        <v>180000</v>
      </c>
      <c r="U1185" s="116">
        <f>InputData!$C$81</f>
        <v>178500</v>
      </c>
      <c r="V1185" s="116">
        <f>InputData!$C$82</f>
        <v>303960</v>
      </c>
      <c r="W1185" s="116">
        <f>InputData!$C$84</f>
        <v>215220</v>
      </c>
      <c r="X1185" s="116">
        <f>InputData!$C$85</f>
        <v>409020</v>
      </c>
      <c r="Y1185" s="116">
        <f>InputData!$C$116</f>
        <v>140000</v>
      </c>
      <c r="Z1185" s="160">
        <f>InputData!$E$13</f>
        <v>0</v>
      </c>
    </row>
    <row r="1186" spans="1:26" x14ac:dyDescent="0.25">
      <c r="A1186">
        <f>InputData!$K$1</f>
        <v>2013</v>
      </c>
      <c r="B1186" t="str">
        <f>InputData!$G$1</f>
        <v>San Antonio, TX</v>
      </c>
      <c r="C1186" t="s">
        <v>5</v>
      </c>
      <c r="D1186" t="str">
        <f>Graph_GenSurg!$N$6</f>
        <v>USUim</v>
      </c>
      <c r="E1186" t="str">
        <f t="shared" si="18"/>
        <v>General Surgery USUim</v>
      </c>
      <c r="F1186">
        <f>Graph_GenSurg!$A21</f>
        <v>2027</v>
      </c>
      <c r="G1186">
        <f>Graph_GenSurg!$B21</f>
        <v>15</v>
      </c>
      <c r="H1186" s="165">
        <f>Graph_GenSurg!$N21</f>
        <v>826352.17485501105</v>
      </c>
      <c r="I1186" s="160">
        <f>InputData!$C$3</f>
        <v>0.02</v>
      </c>
      <c r="J1186" s="160">
        <f>InputData!$C$4</f>
        <v>0.01</v>
      </c>
      <c r="K1186" s="160">
        <f>InputData!$C$5</f>
        <v>0.01</v>
      </c>
      <c r="L1186" s="160">
        <f>InputData!$C$6</f>
        <v>6.2100000000000002E-2</v>
      </c>
      <c r="M1186" s="160">
        <f>InputData!$C$7</f>
        <v>0.03</v>
      </c>
      <c r="N1186" s="160">
        <f>InputData!$C$8</f>
        <v>0.02</v>
      </c>
      <c r="O1186" s="160">
        <f>InputData!$C$9</f>
        <v>0.06</v>
      </c>
      <c r="P1186" s="160">
        <f>InputData!$C$10</f>
        <v>0.02</v>
      </c>
      <c r="Q1186" s="160">
        <f>InputData!$C$11</f>
        <v>0.02</v>
      </c>
      <c r="R1186" s="160">
        <f>InputData!$C$12</f>
        <v>0.02</v>
      </c>
      <c r="S1186" s="160">
        <f>InputData!$C$13</f>
        <v>0.9</v>
      </c>
      <c r="T1186" s="116">
        <f>InputData!$C$88</f>
        <v>180000</v>
      </c>
      <c r="U1186" s="116">
        <f>InputData!$C$81</f>
        <v>178500</v>
      </c>
      <c r="V1186" s="116">
        <f>InputData!$C$82</f>
        <v>303960</v>
      </c>
      <c r="W1186" s="116">
        <f>InputData!$C$84</f>
        <v>215220</v>
      </c>
      <c r="X1186" s="116">
        <f>InputData!$C$85</f>
        <v>409020</v>
      </c>
      <c r="Y1186" s="116">
        <f>InputData!$C$116</f>
        <v>140000</v>
      </c>
      <c r="Z1186" s="160">
        <f>InputData!$E$13</f>
        <v>0</v>
      </c>
    </row>
    <row r="1187" spans="1:26" x14ac:dyDescent="0.25">
      <c r="A1187">
        <f>InputData!$K$1</f>
        <v>2013</v>
      </c>
      <c r="B1187" t="str">
        <f>InputData!$G$1</f>
        <v>San Antonio, TX</v>
      </c>
      <c r="C1187" t="s">
        <v>5</v>
      </c>
      <c r="D1187" t="str">
        <f>Graph_GenSurg!$N$6</f>
        <v>USUim</v>
      </c>
      <c r="E1187" t="str">
        <f t="shared" si="18"/>
        <v>General Surgery USUim</v>
      </c>
      <c r="F1187">
        <f>Graph_GenSurg!$A22</f>
        <v>2028</v>
      </c>
      <c r="G1187">
        <f>Graph_GenSurg!$B22</f>
        <v>16</v>
      </c>
      <c r="H1187" s="165">
        <f>Graph_GenSurg!$N22</f>
        <v>882219.71152208454</v>
      </c>
      <c r="I1187" s="160">
        <f>InputData!$C$3</f>
        <v>0.02</v>
      </c>
      <c r="J1187" s="160">
        <f>InputData!$C$4</f>
        <v>0.01</v>
      </c>
      <c r="K1187" s="160">
        <f>InputData!$C$5</f>
        <v>0.01</v>
      </c>
      <c r="L1187" s="160">
        <f>InputData!$C$6</f>
        <v>6.2100000000000002E-2</v>
      </c>
      <c r="M1187" s="160">
        <f>InputData!$C$7</f>
        <v>0.03</v>
      </c>
      <c r="N1187" s="160">
        <f>InputData!$C$8</f>
        <v>0.02</v>
      </c>
      <c r="O1187" s="160">
        <f>InputData!$C$9</f>
        <v>0.06</v>
      </c>
      <c r="P1187" s="160">
        <f>InputData!$C$10</f>
        <v>0.02</v>
      </c>
      <c r="Q1187" s="160">
        <f>InputData!$C$11</f>
        <v>0.02</v>
      </c>
      <c r="R1187" s="160">
        <f>InputData!$C$12</f>
        <v>0.02</v>
      </c>
      <c r="S1187" s="160">
        <f>InputData!$C$13</f>
        <v>0.9</v>
      </c>
      <c r="T1187" s="116">
        <f>InputData!$C$88</f>
        <v>180000</v>
      </c>
      <c r="U1187" s="116">
        <f>InputData!$C$81</f>
        <v>178500</v>
      </c>
      <c r="V1187" s="116">
        <f>InputData!$C$82</f>
        <v>303960</v>
      </c>
      <c r="W1187" s="116">
        <f>InputData!$C$84</f>
        <v>215220</v>
      </c>
      <c r="X1187" s="116">
        <f>InputData!$C$85</f>
        <v>409020</v>
      </c>
      <c r="Y1187" s="116">
        <f>InputData!$C$116</f>
        <v>140000</v>
      </c>
      <c r="Z1187" s="160">
        <f>InputData!$E$13</f>
        <v>0</v>
      </c>
    </row>
    <row r="1188" spans="1:26" x14ac:dyDescent="0.25">
      <c r="A1188">
        <f>InputData!$K$1</f>
        <v>2013</v>
      </c>
      <c r="B1188" t="str">
        <f>InputData!$G$1</f>
        <v>San Antonio, TX</v>
      </c>
      <c r="C1188" t="s">
        <v>5</v>
      </c>
      <c r="D1188" t="str">
        <f>Graph_GenSurg!$N$6</f>
        <v>USUim</v>
      </c>
      <c r="E1188" t="str">
        <f t="shared" si="18"/>
        <v>General Surgery USUim</v>
      </c>
      <c r="F1188">
        <f>Graph_GenSurg!$A23</f>
        <v>2029</v>
      </c>
      <c r="G1188">
        <f>Graph_GenSurg!$B23</f>
        <v>17</v>
      </c>
      <c r="H1188" s="165">
        <f>Graph_GenSurg!$N23</f>
        <v>1007454.018888279</v>
      </c>
      <c r="I1188" s="160">
        <f>InputData!$C$3</f>
        <v>0.02</v>
      </c>
      <c r="J1188" s="160">
        <f>InputData!$C$4</f>
        <v>0.01</v>
      </c>
      <c r="K1188" s="160">
        <f>InputData!$C$5</f>
        <v>0.01</v>
      </c>
      <c r="L1188" s="160">
        <f>InputData!$C$6</f>
        <v>6.2100000000000002E-2</v>
      </c>
      <c r="M1188" s="160">
        <f>InputData!$C$7</f>
        <v>0.03</v>
      </c>
      <c r="N1188" s="160">
        <f>InputData!$C$8</f>
        <v>0.02</v>
      </c>
      <c r="O1188" s="160">
        <f>InputData!$C$9</f>
        <v>0.06</v>
      </c>
      <c r="P1188" s="160">
        <f>InputData!$C$10</f>
        <v>0.02</v>
      </c>
      <c r="Q1188" s="160">
        <f>InputData!$C$11</f>
        <v>0.02</v>
      </c>
      <c r="R1188" s="160">
        <f>InputData!$C$12</f>
        <v>0.02</v>
      </c>
      <c r="S1188" s="160">
        <f>InputData!$C$13</f>
        <v>0.9</v>
      </c>
      <c r="T1188" s="116">
        <f>InputData!$C$88</f>
        <v>180000</v>
      </c>
      <c r="U1188" s="116">
        <f>InputData!$C$81</f>
        <v>178500</v>
      </c>
      <c r="V1188" s="116">
        <f>InputData!$C$82</f>
        <v>303960</v>
      </c>
      <c r="W1188" s="116">
        <f>InputData!$C$84</f>
        <v>215220</v>
      </c>
      <c r="X1188" s="116">
        <f>InputData!$C$85</f>
        <v>409020</v>
      </c>
      <c r="Y1188" s="116">
        <f>InputData!$C$116</f>
        <v>140000</v>
      </c>
      <c r="Z1188" s="160">
        <f>InputData!$E$13</f>
        <v>0</v>
      </c>
    </row>
    <row r="1189" spans="1:26" x14ac:dyDescent="0.25">
      <c r="A1189">
        <f>InputData!$K$1</f>
        <v>2013</v>
      </c>
      <c r="B1189" t="str">
        <f>InputData!$G$1</f>
        <v>San Antonio, TX</v>
      </c>
      <c r="C1189" t="s">
        <v>5</v>
      </c>
      <c r="D1189" t="str">
        <f>Graph_GenSurg!$N$6</f>
        <v>USUim</v>
      </c>
      <c r="E1189" t="str">
        <f t="shared" si="18"/>
        <v>General Surgery USUim</v>
      </c>
      <c r="F1189">
        <f>Graph_GenSurg!$A24</f>
        <v>2030</v>
      </c>
      <c r="G1189">
        <f>Graph_GenSurg!$B24</f>
        <v>18</v>
      </c>
      <c r="H1189" s="165">
        <f>Graph_GenSurg!$N24</f>
        <v>1130168.4961844955</v>
      </c>
      <c r="I1189" s="160">
        <f>InputData!$C$3</f>
        <v>0.02</v>
      </c>
      <c r="J1189" s="160">
        <f>InputData!$C$4</f>
        <v>0.01</v>
      </c>
      <c r="K1189" s="160">
        <f>InputData!$C$5</f>
        <v>0.01</v>
      </c>
      <c r="L1189" s="160">
        <f>InputData!$C$6</f>
        <v>6.2100000000000002E-2</v>
      </c>
      <c r="M1189" s="160">
        <f>InputData!$C$7</f>
        <v>0.03</v>
      </c>
      <c r="N1189" s="160">
        <f>InputData!$C$8</f>
        <v>0.02</v>
      </c>
      <c r="O1189" s="160">
        <f>InputData!$C$9</f>
        <v>0.06</v>
      </c>
      <c r="P1189" s="160">
        <f>InputData!$C$10</f>
        <v>0.02</v>
      </c>
      <c r="Q1189" s="160">
        <f>InputData!$C$11</f>
        <v>0.02</v>
      </c>
      <c r="R1189" s="160">
        <f>InputData!$C$12</f>
        <v>0.02</v>
      </c>
      <c r="S1189" s="160">
        <f>InputData!$C$13</f>
        <v>0.9</v>
      </c>
      <c r="T1189" s="116">
        <f>InputData!$C$88</f>
        <v>180000</v>
      </c>
      <c r="U1189" s="116">
        <f>InputData!$C$81</f>
        <v>178500</v>
      </c>
      <c r="V1189" s="116">
        <f>InputData!$C$82</f>
        <v>303960</v>
      </c>
      <c r="W1189" s="116">
        <f>InputData!$C$84</f>
        <v>215220</v>
      </c>
      <c r="X1189" s="116">
        <f>InputData!$C$85</f>
        <v>409020</v>
      </c>
      <c r="Y1189" s="116">
        <f>InputData!$C$116</f>
        <v>140000</v>
      </c>
      <c r="Z1189" s="160">
        <f>InputData!$E$13</f>
        <v>0</v>
      </c>
    </row>
    <row r="1190" spans="1:26" x14ac:dyDescent="0.25">
      <c r="A1190">
        <f>InputData!$K$1</f>
        <v>2013</v>
      </c>
      <c r="B1190" t="str">
        <f>InputData!$G$1</f>
        <v>San Antonio, TX</v>
      </c>
      <c r="C1190" t="s">
        <v>5</v>
      </c>
      <c r="D1190" t="str">
        <f>Graph_GenSurg!$N$6</f>
        <v>USUim</v>
      </c>
      <c r="E1190" t="str">
        <f t="shared" si="18"/>
        <v>General Surgery USUim</v>
      </c>
      <c r="F1190">
        <f>Graph_GenSurg!$A25</f>
        <v>2031</v>
      </c>
      <c r="G1190">
        <f>Graph_GenSurg!$B25</f>
        <v>19</v>
      </c>
      <c r="H1190" s="165">
        <f>Graph_GenSurg!$N25</f>
        <v>1250414.4233604418</v>
      </c>
      <c r="I1190" s="160">
        <f>InputData!$C$3</f>
        <v>0.02</v>
      </c>
      <c r="J1190" s="160">
        <f>InputData!$C$4</f>
        <v>0.01</v>
      </c>
      <c r="K1190" s="160">
        <f>InputData!$C$5</f>
        <v>0.01</v>
      </c>
      <c r="L1190" s="160">
        <f>InputData!$C$6</f>
        <v>6.2100000000000002E-2</v>
      </c>
      <c r="M1190" s="160">
        <f>InputData!$C$7</f>
        <v>0.03</v>
      </c>
      <c r="N1190" s="160">
        <f>InputData!$C$8</f>
        <v>0.02</v>
      </c>
      <c r="O1190" s="160">
        <f>InputData!$C$9</f>
        <v>0.06</v>
      </c>
      <c r="P1190" s="160">
        <f>InputData!$C$10</f>
        <v>0.02</v>
      </c>
      <c r="Q1190" s="160">
        <f>InputData!$C$11</f>
        <v>0.02</v>
      </c>
      <c r="R1190" s="160">
        <f>InputData!$C$12</f>
        <v>0.02</v>
      </c>
      <c r="S1190" s="160">
        <f>InputData!$C$13</f>
        <v>0.9</v>
      </c>
      <c r="T1190" s="116">
        <f>InputData!$C$88</f>
        <v>180000</v>
      </c>
      <c r="U1190" s="116">
        <f>InputData!$C$81</f>
        <v>178500</v>
      </c>
      <c r="V1190" s="116">
        <f>InputData!$C$82</f>
        <v>303960</v>
      </c>
      <c r="W1190" s="116">
        <f>InputData!$C$84</f>
        <v>215220</v>
      </c>
      <c r="X1190" s="116">
        <f>InputData!$C$85</f>
        <v>409020</v>
      </c>
      <c r="Y1190" s="116">
        <f>InputData!$C$116</f>
        <v>140000</v>
      </c>
      <c r="Z1190" s="160">
        <f>InputData!$E$13</f>
        <v>0</v>
      </c>
    </row>
    <row r="1191" spans="1:26" x14ac:dyDescent="0.25">
      <c r="A1191">
        <f>InputData!$K$1</f>
        <v>2013</v>
      </c>
      <c r="B1191" t="str">
        <f>InputData!$G$1</f>
        <v>San Antonio, TX</v>
      </c>
      <c r="C1191" t="s">
        <v>5</v>
      </c>
      <c r="D1191" t="str">
        <f>Graph_GenSurg!$N$6</f>
        <v>USUim</v>
      </c>
      <c r="E1191" t="str">
        <f t="shared" si="18"/>
        <v>General Surgery USUim</v>
      </c>
      <c r="F1191">
        <f>Graph_GenSurg!$A26</f>
        <v>2032</v>
      </c>
      <c r="G1191">
        <f>Graph_GenSurg!$B26</f>
        <v>20</v>
      </c>
      <c r="H1191" s="165">
        <f>Graph_GenSurg!$N26</f>
        <v>1368242.0203664133</v>
      </c>
      <c r="I1191" s="160">
        <f>InputData!$C$3</f>
        <v>0.02</v>
      </c>
      <c r="J1191" s="160">
        <f>InputData!$C$4</f>
        <v>0.01</v>
      </c>
      <c r="K1191" s="160">
        <f>InputData!$C$5</f>
        <v>0.01</v>
      </c>
      <c r="L1191" s="160">
        <f>InputData!$C$6</f>
        <v>6.2100000000000002E-2</v>
      </c>
      <c r="M1191" s="160">
        <f>InputData!$C$7</f>
        <v>0.03</v>
      </c>
      <c r="N1191" s="160">
        <f>InputData!$C$8</f>
        <v>0.02</v>
      </c>
      <c r="O1191" s="160">
        <f>InputData!$C$9</f>
        <v>0.06</v>
      </c>
      <c r="P1191" s="160">
        <f>InputData!$C$10</f>
        <v>0.02</v>
      </c>
      <c r="Q1191" s="160">
        <f>InputData!$C$11</f>
        <v>0.02</v>
      </c>
      <c r="R1191" s="160">
        <f>InputData!$C$12</f>
        <v>0.02</v>
      </c>
      <c r="S1191" s="160">
        <f>InputData!$C$13</f>
        <v>0.9</v>
      </c>
      <c r="T1191" s="116">
        <f>InputData!$C$88</f>
        <v>180000</v>
      </c>
      <c r="U1191" s="116">
        <f>InputData!$C$81</f>
        <v>178500</v>
      </c>
      <c r="V1191" s="116">
        <f>InputData!$C$82</f>
        <v>303960</v>
      </c>
      <c r="W1191" s="116">
        <f>InputData!$C$84</f>
        <v>215220</v>
      </c>
      <c r="X1191" s="116">
        <f>InputData!$C$85</f>
        <v>409020</v>
      </c>
      <c r="Y1191" s="116">
        <f>InputData!$C$116</f>
        <v>140000</v>
      </c>
      <c r="Z1191" s="160">
        <f>InputData!$E$13</f>
        <v>0</v>
      </c>
    </row>
    <row r="1192" spans="1:26" x14ac:dyDescent="0.25">
      <c r="A1192">
        <f>InputData!$K$1</f>
        <v>2013</v>
      </c>
      <c r="B1192" t="str">
        <f>InputData!$G$1</f>
        <v>San Antonio, TX</v>
      </c>
      <c r="C1192" t="s">
        <v>5</v>
      </c>
      <c r="D1192" t="str">
        <f>Graph_GenSurg!$N$6</f>
        <v>USUim</v>
      </c>
      <c r="E1192" t="str">
        <f t="shared" si="18"/>
        <v>General Surgery USUim</v>
      </c>
      <c r="F1192">
        <f>Graph_GenSurg!$A27</f>
        <v>2033</v>
      </c>
      <c r="G1192">
        <f>Graph_GenSurg!$B27</f>
        <v>21</v>
      </c>
      <c r="H1192" s="165">
        <f>Graph_GenSurg!$N27</f>
        <v>1483700.4695252702</v>
      </c>
      <c r="I1192" s="160">
        <f>InputData!$C$3</f>
        <v>0.02</v>
      </c>
      <c r="J1192" s="160">
        <f>InputData!$C$4</f>
        <v>0.01</v>
      </c>
      <c r="K1192" s="160">
        <f>InputData!$C$5</f>
        <v>0.01</v>
      </c>
      <c r="L1192" s="160">
        <f>InputData!$C$6</f>
        <v>6.2100000000000002E-2</v>
      </c>
      <c r="M1192" s="160">
        <f>InputData!$C$7</f>
        <v>0.03</v>
      </c>
      <c r="N1192" s="160">
        <f>InputData!$C$8</f>
        <v>0.02</v>
      </c>
      <c r="O1192" s="160">
        <f>InputData!$C$9</f>
        <v>0.06</v>
      </c>
      <c r="P1192" s="160">
        <f>InputData!$C$10</f>
        <v>0.02</v>
      </c>
      <c r="Q1192" s="160">
        <f>InputData!$C$11</f>
        <v>0.02</v>
      </c>
      <c r="R1192" s="160">
        <f>InputData!$C$12</f>
        <v>0.02</v>
      </c>
      <c r="S1192" s="160">
        <f>InputData!$C$13</f>
        <v>0.9</v>
      </c>
      <c r="T1192" s="116">
        <f>InputData!$C$88</f>
        <v>180000</v>
      </c>
      <c r="U1192" s="116">
        <f>InputData!$C$81</f>
        <v>178500</v>
      </c>
      <c r="V1192" s="116">
        <f>InputData!$C$82</f>
        <v>303960</v>
      </c>
      <c r="W1192" s="116">
        <f>InputData!$C$84</f>
        <v>215220</v>
      </c>
      <c r="X1192" s="116">
        <f>InputData!$C$85</f>
        <v>409020</v>
      </c>
      <c r="Y1192" s="116">
        <f>InputData!$C$116</f>
        <v>140000</v>
      </c>
      <c r="Z1192" s="160">
        <f>InputData!$E$13</f>
        <v>0</v>
      </c>
    </row>
    <row r="1193" spans="1:26" x14ac:dyDescent="0.25">
      <c r="A1193">
        <f>InputData!$K$1</f>
        <v>2013</v>
      </c>
      <c r="B1193" t="str">
        <f>InputData!$G$1</f>
        <v>San Antonio, TX</v>
      </c>
      <c r="C1193" t="s">
        <v>5</v>
      </c>
      <c r="D1193" t="str">
        <f>Graph_GenSurg!$N$6</f>
        <v>USUim</v>
      </c>
      <c r="E1193" t="str">
        <f t="shared" si="18"/>
        <v>General Surgery USUim</v>
      </c>
      <c r="F1193">
        <f>Graph_GenSurg!$A28</f>
        <v>2034</v>
      </c>
      <c r="G1193">
        <f>Graph_GenSurg!$B28</f>
        <v>22</v>
      </c>
      <c r="H1193" s="165">
        <f>Graph_GenSurg!$N28</f>
        <v>1596837.937419507</v>
      </c>
      <c r="I1193" s="160">
        <f>InputData!$C$3</f>
        <v>0.02</v>
      </c>
      <c r="J1193" s="160">
        <f>InputData!$C$4</f>
        <v>0.01</v>
      </c>
      <c r="K1193" s="160">
        <f>InputData!$C$5</f>
        <v>0.01</v>
      </c>
      <c r="L1193" s="160">
        <f>InputData!$C$6</f>
        <v>6.2100000000000002E-2</v>
      </c>
      <c r="M1193" s="160">
        <f>InputData!$C$7</f>
        <v>0.03</v>
      </c>
      <c r="N1193" s="160">
        <f>InputData!$C$8</f>
        <v>0.02</v>
      </c>
      <c r="O1193" s="160">
        <f>InputData!$C$9</f>
        <v>0.06</v>
      </c>
      <c r="P1193" s="160">
        <f>InputData!$C$10</f>
        <v>0.02</v>
      </c>
      <c r="Q1193" s="160">
        <f>InputData!$C$11</f>
        <v>0.02</v>
      </c>
      <c r="R1193" s="160">
        <f>InputData!$C$12</f>
        <v>0.02</v>
      </c>
      <c r="S1193" s="160">
        <f>InputData!$C$13</f>
        <v>0.9</v>
      </c>
      <c r="T1193" s="116">
        <f>InputData!$C$88</f>
        <v>180000</v>
      </c>
      <c r="U1193" s="116">
        <f>InputData!$C$81</f>
        <v>178500</v>
      </c>
      <c r="V1193" s="116">
        <f>InputData!$C$82</f>
        <v>303960</v>
      </c>
      <c r="W1193" s="116">
        <f>InputData!$C$84</f>
        <v>215220</v>
      </c>
      <c r="X1193" s="116">
        <f>InputData!$C$85</f>
        <v>409020</v>
      </c>
      <c r="Y1193" s="116">
        <f>InputData!$C$116</f>
        <v>140000</v>
      </c>
      <c r="Z1193" s="160">
        <f>InputData!$E$13</f>
        <v>0</v>
      </c>
    </row>
    <row r="1194" spans="1:26" x14ac:dyDescent="0.25">
      <c r="A1194">
        <f>InputData!$K$1</f>
        <v>2013</v>
      </c>
      <c r="B1194" t="str">
        <f>InputData!$G$1</f>
        <v>San Antonio, TX</v>
      </c>
      <c r="C1194" t="s">
        <v>5</v>
      </c>
      <c r="D1194" t="str">
        <f>Graph_GenSurg!$N$6</f>
        <v>USUim</v>
      </c>
      <c r="E1194" t="str">
        <f t="shared" si="18"/>
        <v>General Surgery USUim</v>
      </c>
      <c r="F1194">
        <f>Graph_GenSurg!$A29</f>
        <v>2035</v>
      </c>
      <c r="G1194">
        <f>Graph_GenSurg!$B29</f>
        <v>23</v>
      </c>
      <c r="H1194" s="165">
        <f>Graph_GenSurg!$N29</f>
        <v>1707701.5963042667</v>
      </c>
      <c r="I1194" s="160">
        <f>InputData!$C$3</f>
        <v>0.02</v>
      </c>
      <c r="J1194" s="160">
        <f>InputData!$C$4</f>
        <v>0.01</v>
      </c>
      <c r="K1194" s="160">
        <f>InputData!$C$5</f>
        <v>0.01</v>
      </c>
      <c r="L1194" s="160">
        <f>InputData!$C$6</f>
        <v>6.2100000000000002E-2</v>
      </c>
      <c r="M1194" s="160">
        <f>InputData!$C$7</f>
        <v>0.03</v>
      </c>
      <c r="N1194" s="160">
        <f>InputData!$C$8</f>
        <v>0.02</v>
      </c>
      <c r="O1194" s="160">
        <f>InputData!$C$9</f>
        <v>0.06</v>
      </c>
      <c r="P1194" s="160">
        <f>InputData!$C$10</f>
        <v>0.02</v>
      </c>
      <c r="Q1194" s="160">
        <f>InputData!$C$11</f>
        <v>0.02</v>
      </c>
      <c r="R1194" s="160">
        <f>InputData!$C$12</f>
        <v>0.02</v>
      </c>
      <c r="S1194" s="160">
        <f>InputData!$C$13</f>
        <v>0.9</v>
      </c>
      <c r="T1194" s="116">
        <f>InputData!$C$88</f>
        <v>180000</v>
      </c>
      <c r="U1194" s="116">
        <f>InputData!$C$81</f>
        <v>178500</v>
      </c>
      <c r="V1194" s="116">
        <f>InputData!$C$82</f>
        <v>303960</v>
      </c>
      <c r="W1194" s="116">
        <f>InputData!$C$84</f>
        <v>215220</v>
      </c>
      <c r="X1194" s="116">
        <f>InputData!$C$85</f>
        <v>409020</v>
      </c>
      <c r="Y1194" s="116">
        <f>InputData!$C$116</f>
        <v>140000</v>
      </c>
      <c r="Z1194" s="160">
        <f>InputData!$E$13</f>
        <v>0</v>
      </c>
    </row>
    <row r="1195" spans="1:26" x14ac:dyDescent="0.25">
      <c r="A1195">
        <f>InputData!$K$1</f>
        <v>2013</v>
      </c>
      <c r="B1195" t="str">
        <f>InputData!$G$1</f>
        <v>San Antonio, TX</v>
      </c>
      <c r="C1195" t="s">
        <v>5</v>
      </c>
      <c r="D1195" t="str">
        <f>Graph_GenSurg!$N$6</f>
        <v>USUim</v>
      </c>
      <c r="E1195" t="str">
        <f t="shared" si="18"/>
        <v>General Surgery USUim</v>
      </c>
      <c r="F1195">
        <f>Graph_GenSurg!$A30</f>
        <v>2036</v>
      </c>
      <c r="G1195">
        <f>Graph_GenSurg!$B30</f>
        <v>24</v>
      </c>
      <c r="H1195" s="165">
        <f>Graph_GenSurg!$N30</f>
        <v>1816337.6450569041</v>
      </c>
      <c r="I1195" s="160">
        <f>InputData!$C$3</f>
        <v>0.02</v>
      </c>
      <c r="J1195" s="160">
        <f>InputData!$C$4</f>
        <v>0.01</v>
      </c>
      <c r="K1195" s="160">
        <f>InputData!$C$5</f>
        <v>0.01</v>
      </c>
      <c r="L1195" s="160">
        <f>InputData!$C$6</f>
        <v>6.2100000000000002E-2</v>
      </c>
      <c r="M1195" s="160">
        <f>InputData!$C$7</f>
        <v>0.03</v>
      </c>
      <c r="N1195" s="160">
        <f>InputData!$C$8</f>
        <v>0.02</v>
      </c>
      <c r="O1195" s="160">
        <f>InputData!$C$9</f>
        <v>0.06</v>
      </c>
      <c r="P1195" s="160">
        <f>InputData!$C$10</f>
        <v>0.02</v>
      </c>
      <c r="Q1195" s="160">
        <f>InputData!$C$11</f>
        <v>0.02</v>
      </c>
      <c r="R1195" s="160">
        <f>InputData!$C$12</f>
        <v>0.02</v>
      </c>
      <c r="S1195" s="160">
        <f>InputData!$C$13</f>
        <v>0.9</v>
      </c>
      <c r="T1195" s="116">
        <f>InputData!$C$88</f>
        <v>180000</v>
      </c>
      <c r="U1195" s="116">
        <f>InputData!$C$81</f>
        <v>178500</v>
      </c>
      <c r="V1195" s="116">
        <f>InputData!$C$82</f>
        <v>303960</v>
      </c>
      <c r="W1195" s="116">
        <f>InputData!$C$84</f>
        <v>215220</v>
      </c>
      <c r="X1195" s="116">
        <f>InputData!$C$85</f>
        <v>409020</v>
      </c>
      <c r="Y1195" s="116">
        <f>InputData!$C$116</f>
        <v>140000</v>
      </c>
      <c r="Z1195" s="160">
        <f>InputData!$E$13</f>
        <v>0</v>
      </c>
    </row>
    <row r="1196" spans="1:26" x14ac:dyDescent="0.25">
      <c r="A1196">
        <f>InputData!$K$1</f>
        <v>2013</v>
      </c>
      <c r="B1196" t="str">
        <f>InputData!$G$1</f>
        <v>San Antonio, TX</v>
      </c>
      <c r="C1196" t="s">
        <v>5</v>
      </c>
      <c r="D1196" t="str">
        <f>Graph_GenSurg!$N$6</f>
        <v>USUim</v>
      </c>
      <c r="E1196" t="str">
        <f t="shared" si="18"/>
        <v>General Surgery USUim</v>
      </c>
      <c r="F1196">
        <f>Graph_GenSurg!$A31</f>
        <v>2037</v>
      </c>
      <c r="G1196">
        <f>Graph_GenSurg!$B31</f>
        <v>25</v>
      </c>
      <c r="H1196" s="165">
        <f>Graph_GenSurg!$N31</f>
        <v>1922791.3296734532</v>
      </c>
      <c r="I1196" s="160">
        <f>InputData!$C$3</f>
        <v>0.02</v>
      </c>
      <c r="J1196" s="160">
        <f>InputData!$C$4</f>
        <v>0.01</v>
      </c>
      <c r="K1196" s="160">
        <f>InputData!$C$5</f>
        <v>0.01</v>
      </c>
      <c r="L1196" s="160">
        <f>InputData!$C$6</f>
        <v>6.2100000000000002E-2</v>
      </c>
      <c r="M1196" s="160">
        <f>InputData!$C$7</f>
        <v>0.03</v>
      </c>
      <c r="N1196" s="160">
        <f>InputData!$C$8</f>
        <v>0.02</v>
      </c>
      <c r="O1196" s="160">
        <f>InputData!$C$9</f>
        <v>0.06</v>
      </c>
      <c r="P1196" s="160">
        <f>InputData!$C$10</f>
        <v>0.02</v>
      </c>
      <c r="Q1196" s="160">
        <f>InputData!$C$11</f>
        <v>0.02</v>
      </c>
      <c r="R1196" s="160">
        <f>InputData!$C$12</f>
        <v>0.02</v>
      </c>
      <c r="S1196" s="160">
        <f>InputData!$C$13</f>
        <v>0.9</v>
      </c>
      <c r="T1196" s="116">
        <f>InputData!$C$88</f>
        <v>180000</v>
      </c>
      <c r="U1196" s="116">
        <f>InputData!$C$81</f>
        <v>178500</v>
      </c>
      <c r="V1196" s="116">
        <f>InputData!$C$82</f>
        <v>303960</v>
      </c>
      <c r="W1196" s="116">
        <f>InputData!$C$84</f>
        <v>215220</v>
      </c>
      <c r="X1196" s="116">
        <f>InputData!$C$85</f>
        <v>409020</v>
      </c>
      <c r="Y1196" s="116">
        <f>InputData!$C$116</f>
        <v>140000</v>
      </c>
      <c r="Z1196" s="160">
        <f>InputData!$E$13</f>
        <v>0</v>
      </c>
    </row>
    <row r="1197" spans="1:26" x14ac:dyDescent="0.25">
      <c r="A1197">
        <f>InputData!$K$1</f>
        <v>2013</v>
      </c>
      <c r="B1197" t="str">
        <f>InputData!$G$1</f>
        <v>San Antonio, TX</v>
      </c>
      <c r="C1197" t="s">
        <v>5</v>
      </c>
      <c r="D1197" t="str">
        <f>Graph_GenSurg!$N$6</f>
        <v>USUim</v>
      </c>
      <c r="E1197" t="str">
        <f t="shared" si="18"/>
        <v>General Surgery USUim</v>
      </c>
      <c r="F1197">
        <f>Graph_GenSurg!$A32</f>
        <v>2038</v>
      </c>
      <c r="G1197">
        <f>Graph_GenSurg!$B32</f>
        <v>26</v>
      </c>
      <c r="H1197" s="165">
        <f>Graph_GenSurg!$N32</f>
        <v>2027106.9633221193</v>
      </c>
      <c r="I1197" s="160">
        <f>InputData!$C$3</f>
        <v>0.02</v>
      </c>
      <c r="J1197" s="160">
        <f>InputData!$C$4</f>
        <v>0.01</v>
      </c>
      <c r="K1197" s="160">
        <f>InputData!$C$5</f>
        <v>0.01</v>
      </c>
      <c r="L1197" s="160">
        <f>InputData!$C$6</f>
        <v>6.2100000000000002E-2</v>
      </c>
      <c r="M1197" s="160">
        <f>InputData!$C$7</f>
        <v>0.03</v>
      </c>
      <c r="N1197" s="160">
        <f>InputData!$C$8</f>
        <v>0.02</v>
      </c>
      <c r="O1197" s="160">
        <f>InputData!$C$9</f>
        <v>0.06</v>
      </c>
      <c r="P1197" s="160">
        <f>InputData!$C$10</f>
        <v>0.02</v>
      </c>
      <c r="Q1197" s="160">
        <f>InputData!$C$11</f>
        <v>0.02</v>
      </c>
      <c r="R1197" s="160">
        <f>InputData!$C$12</f>
        <v>0.02</v>
      </c>
      <c r="S1197" s="160">
        <f>InputData!$C$13</f>
        <v>0.9</v>
      </c>
      <c r="T1197" s="116">
        <f>InputData!$C$88</f>
        <v>180000</v>
      </c>
      <c r="U1197" s="116">
        <f>InputData!$C$81</f>
        <v>178500</v>
      </c>
      <c r="V1197" s="116">
        <f>InputData!$C$82</f>
        <v>303960</v>
      </c>
      <c r="W1197" s="116">
        <f>InputData!$C$84</f>
        <v>215220</v>
      </c>
      <c r="X1197" s="116">
        <f>InputData!$C$85</f>
        <v>409020</v>
      </c>
      <c r="Y1197" s="116">
        <f>InputData!$C$116</f>
        <v>140000</v>
      </c>
      <c r="Z1197" s="160">
        <f>InputData!$E$13</f>
        <v>0</v>
      </c>
    </row>
    <row r="1198" spans="1:26" x14ac:dyDescent="0.25">
      <c r="A1198">
        <f>InputData!$K$1</f>
        <v>2013</v>
      </c>
      <c r="B1198" t="str">
        <f>InputData!$G$1</f>
        <v>San Antonio, TX</v>
      </c>
      <c r="C1198" t="s">
        <v>5</v>
      </c>
      <c r="D1198" t="str">
        <f>Graph_GenSurg!$N$6</f>
        <v>USUim</v>
      </c>
      <c r="E1198" t="str">
        <f t="shared" si="18"/>
        <v>General Surgery USUim</v>
      </c>
      <c r="F1198">
        <f>Graph_GenSurg!$A33</f>
        <v>2039</v>
      </c>
      <c r="G1198">
        <f>Graph_GenSurg!$B33</f>
        <v>27</v>
      </c>
      <c r="H1198" s="165">
        <f>Graph_GenSurg!$N33</f>
        <v>2129327.9459636728</v>
      </c>
      <c r="I1198" s="160">
        <f>InputData!$C$3</f>
        <v>0.02</v>
      </c>
      <c r="J1198" s="160">
        <f>InputData!$C$4</f>
        <v>0.01</v>
      </c>
      <c r="K1198" s="160">
        <f>InputData!$C$5</f>
        <v>0.01</v>
      </c>
      <c r="L1198" s="160">
        <f>InputData!$C$6</f>
        <v>6.2100000000000002E-2</v>
      </c>
      <c r="M1198" s="160">
        <f>InputData!$C$7</f>
        <v>0.03</v>
      </c>
      <c r="N1198" s="160">
        <f>InputData!$C$8</f>
        <v>0.02</v>
      </c>
      <c r="O1198" s="160">
        <f>InputData!$C$9</f>
        <v>0.06</v>
      </c>
      <c r="P1198" s="160">
        <f>InputData!$C$10</f>
        <v>0.02</v>
      </c>
      <c r="Q1198" s="160">
        <f>InputData!$C$11</f>
        <v>0.02</v>
      </c>
      <c r="R1198" s="160">
        <f>InputData!$C$12</f>
        <v>0.02</v>
      </c>
      <c r="S1198" s="160">
        <f>InputData!$C$13</f>
        <v>0.9</v>
      </c>
      <c r="T1198" s="116">
        <f>InputData!$C$88</f>
        <v>180000</v>
      </c>
      <c r="U1198" s="116">
        <f>InputData!$C$81</f>
        <v>178500</v>
      </c>
      <c r="V1198" s="116">
        <f>InputData!$C$82</f>
        <v>303960</v>
      </c>
      <c r="W1198" s="116">
        <f>InputData!$C$84</f>
        <v>215220</v>
      </c>
      <c r="X1198" s="116">
        <f>InputData!$C$85</f>
        <v>409020</v>
      </c>
      <c r="Y1198" s="116">
        <f>InputData!$C$116</f>
        <v>140000</v>
      </c>
      <c r="Z1198" s="160">
        <f>InputData!$E$13</f>
        <v>0</v>
      </c>
    </row>
    <row r="1199" spans="1:26" x14ac:dyDescent="0.25">
      <c r="A1199">
        <f>InputData!$K$1</f>
        <v>2013</v>
      </c>
      <c r="B1199" t="str">
        <f>InputData!$G$1</f>
        <v>San Antonio, TX</v>
      </c>
      <c r="C1199" t="s">
        <v>5</v>
      </c>
      <c r="D1199" t="str">
        <f>Graph_GenSurg!$N$6</f>
        <v>USUim</v>
      </c>
      <c r="E1199" t="str">
        <f t="shared" si="18"/>
        <v>General Surgery USUim</v>
      </c>
      <c r="F1199">
        <f>Graph_GenSurg!$A34</f>
        <v>2040</v>
      </c>
      <c r="G1199">
        <f>Graph_GenSurg!$B34</f>
        <v>28</v>
      </c>
      <c r="H1199" s="165">
        <f>Graph_GenSurg!$N34</f>
        <v>2229496.7835484045</v>
      </c>
      <c r="I1199" s="160">
        <f>InputData!$C$3</f>
        <v>0.02</v>
      </c>
      <c r="J1199" s="160">
        <f>InputData!$C$4</f>
        <v>0.01</v>
      </c>
      <c r="K1199" s="160">
        <f>InputData!$C$5</f>
        <v>0.01</v>
      </c>
      <c r="L1199" s="160">
        <f>InputData!$C$6</f>
        <v>6.2100000000000002E-2</v>
      </c>
      <c r="M1199" s="160">
        <f>InputData!$C$7</f>
        <v>0.03</v>
      </c>
      <c r="N1199" s="160">
        <f>InputData!$C$8</f>
        <v>0.02</v>
      </c>
      <c r="O1199" s="160">
        <f>InputData!$C$9</f>
        <v>0.06</v>
      </c>
      <c r="P1199" s="160">
        <f>InputData!$C$10</f>
        <v>0.02</v>
      </c>
      <c r="Q1199" s="160">
        <f>InputData!$C$11</f>
        <v>0.02</v>
      </c>
      <c r="R1199" s="160">
        <f>InputData!$C$12</f>
        <v>0.02</v>
      </c>
      <c r="S1199" s="160">
        <f>InputData!$C$13</f>
        <v>0.9</v>
      </c>
      <c r="T1199" s="116">
        <f>InputData!$C$88</f>
        <v>180000</v>
      </c>
      <c r="U1199" s="116">
        <f>InputData!$C$81</f>
        <v>178500</v>
      </c>
      <c r="V1199" s="116">
        <f>InputData!$C$82</f>
        <v>303960</v>
      </c>
      <c r="W1199" s="116">
        <f>InputData!$C$84</f>
        <v>215220</v>
      </c>
      <c r="X1199" s="116">
        <f>InputData!$C$85</f>
        <v>409020</v>
      </c>
      <c r="Y1199" s="116">
        <f>InputData!$C$116</f>
        <v>140000</v>
      </c>
      <c r="Z1199" s="160">
        <f>InputData!$E$13</f>
        <v>0</v>
      </c>
    </row>
    <row r="1200" spans="1:26" x14ac:dyDescent="0.25">
      <c r="A1200">
        <f>InputData!$K$1</f>
        <v>2013</v>
      </c>
      <c r="B1200" t="str">
        <f>InputData!$G$1</f>
        <v>San Antonio, TX</v>
      </c>
      <c r="C1200" t="s">
        <v>5</v>
      </c>
      <c r="D1200" t="str">
        <f>Graph_GenSurg!$N$6</f>
        <v>USUim</v>
      </c>
      <c r="E1200" t="str">
        <f t="shared" si="18"/>
        <v>General Surgery USUim</v>
      </c>
      <c r="F1200">
        <f>Graph_GenSurg!$A35</f>
        <v>2041</v>
      </c>
      <c r="G1200">
        <f>Graph_GenSurg!$B35</f>
        <v>29</v>
      </c>
      <c r="H1200" s="165">
        <f>Graph_GenSurg!$N35</f>
        <v>2327655.106799067</v>
      </c>
      <c r="I1200" s="160">
        <f>InputData!$C$3</f>
        <v>0.02</v>
      </c>
      <c r="J1200" s="160">
        <f>InputData!$C$4</f>
        <v>0.01</v>
      </c>
      <c r="K1200" s="160">
        <f>InputData!$C$5</f>
        <v>0.01</v>
      </c>
      <c r="L1200" s="160">
        <f>InputData!$C$6</f>
        <v>6.2100000000000002E-2</v>
      </c>
      <c r="M1200" s="160">
        <f>InputData!$C$7</f>
        <v>0.03</v>
      </c>
      <c r="N1200" s="160">
        <f>InputData!$C$8</f>
        <v>0.02</v>
      </c>
      <c r="O1200" s="160">
        <f>InputData!$C$9</f>
        <v>0.06</v>
      </c>
      <c r="P1200" s="160">
        <f>InputData!$C$10</f>
        <v>0.02</v>
      </c>
      <c r="Q1200" s="160">
        <f>InputData!$C$11</f>
        <v>0.02</v>
      </c>
      <c r="R1200" s="160">
        <f>InputData!$C$12</f>
        <v>0.02</v>
      </c>
      <c r="S1200" s="160">
        <f>InputData!$C$13</f>
        <v>0.9</v>
      </c>
      <c r="T1200" s="116">
        <f>InputData!$C$88</f>
        <v>180000</v>
      </c>
      <c r="U1200" s="116">
        <f>InputData!$C$81</f>
        <v>178500</v>
      </c>
      <c r="V1200" s="116">
        <f>InputData!$C$82</f>
        <v>303960</v>
      </c>
      <c r="W1200" s="116">
        <f>InputData!$C$84</f>
        <v>215220</v>
      </c>
      <c r="X1200" s="116">
        <f>InputData!$C$85</f>
        <v>409020</v>
      </c>
      <c r="Y1200" s="116">
        <f>InputData!$C$116</f>
        <v>140000</v>
      </c>
      <c r="Z1200" s="160">
        <f>InputData!$E$13</f>
        <v>0</v>
      </c>
    </row>
    <row r="1201" spans="1:26" x14ac:dyDescent="0.25">
      <c r="A1201">
        <f>InputData!$K$1</f>
        <v>2013</v>
      </c>
      <c r="B1201" t="str">
        <f>InputData!$G$1</f>
        <v>San Antonio, TX</v>
      </c>
      <c r="C1201" t="s">
        <v>5</v>
      </c>
      <c r="D1201" t="str">
        <f>Graph_GenSurg!$N$6</f>
        <v>USUim</v>
      </c>
      <c r="E1201" t="str">
        <f t="shared" si="18"/>
        <v>General Surgery USUim</v>
      </c>
      <c r="F1201">
        <f>Graph_GenSurg!$A36</f>
        <v>2042</v>
      </c>
      <c r="G1201">
        <f>Graph_GenSurg!$B36</f>
        <v>30</v>
      </c>
      <c r="H1201" s="165">
        <f>Graph_GenSurg!$N36</f>
        <v>2423843.6895890217</v>
      </c>
      <c r="I1201" s="160">
        <f>InputData!$C$3</f>
        <v>0.02</v>
      </c>
      <c r="J1201" s="160">
        <f>InputData!$C$4</f>
        <v>0.01</v>
      </c>
      <c r="K1201" s="160">
        <f>InputData!$C$5</f>
        <v>0.01</v>
      </c>
      <c r="L1201" s="160">
        <f>InputData!$C$6</f>
        <v>6.2100000000000002E-2</v>
      </c>
      <c r="M1201" s="160">
        <f>InputData!$C$7</f>
        <v>0.03</v>
      </c>
      <c r="N1201" s="160">
        <f>InputData!$C$8</f>
        <v>0.02</v>
      </c>
      <c r="O1201" s="160">
        <f>InputData!$C$9</f>
        <v>0.06</v>
      </c>
      <c r="P1201" s="160">
        <f>InputData!$C$10</f>
        <v>0.02</v>
      </c>
      <c r="Q1201" s="160">
        <f>InputData!$C$11</f>
        <v>0.02</v>
      </c>
      <c r="R1201" s="160">
        <f>InputData!$C$12</f>
        <v>0.02</v>
      </c>
      <c r="S1201" s="160">
        <f>InputData!$C$13</f>
        <v>0.9</v>
      </c>
      <c r="T1201" s="116">
        <f>InputData!$C$88</f>
        <v>180000</v>
      </c>
      <c r="U1201" s="116">
        <f>InputData!$C$81</f>
        <v>178500</v>
      </c>
      <c r="V1201" s="116">
        <f>InputData!$C$82</f>
        <v>303960</v>
      </c>
      <c r="W1201" s="116">
        <f>InputData!$C$84</f>
        <v>215220</v>
      </c>
      <c r="X1201" s="116">
        <f>InputData!$C$85</f>
        <v>409020</v>
      </c>
      <c r="Y1201" s="116">
        <f>InputData!$C$116</f>
        <v>140000</v>
      </c>
      <c r="Z1201" s="160">
        <f>InputData!$E$13</f>
        <v>0</v>
      </c>
    </row>
    <row r="1202" spans="1:26" x14ac:dyDescent="0.25">
      <c r="A1202">
        <f>InputData!$K$1</f>
        <v>2013</v>
      </c>
      <c r="B1202" t="str">
        <f>InputData!$G$1</f>
        <v>San Antonio, TX</v>
      </c>
      <c r="C1202" t="s">
        <v>5</v>
      </c>
      <c r="D1202" t="str">
        <f>Graph_GenSurg!$O$6</f>
        <v>HPSPim</v>
      </c>
      <c r="E1202" t="str">
        <f t="shared" si="18"/>
        <v>General Surgery HPSPim</v>
      </c>
      <c r="F1202">
        <f>Graph_GenSurg!$A7</f>
        <v>2013</v>
      </c>
      <c r="G1202">
        <f>Graph_GenSurg!$B7</f>
        <v>1</v>
      </c>
      <c r="H1202" s="165">
        <f>Graph_GenSurg!$O7</f>
        <v>43551.744866529771</v>
      </c>
      <c r="I1202" s="160">
        <f>InputData!$C$3</f>
        <v>0.02</v>
      </c>
      <c r="J1202" s="160">
        <f>InputData!$C$4</f>
        <v>0.01</v>
      </c>
      <c r="K1202" s="160">
        <f>InputData!$C$5</f>
        <v>0.01</v>
      </c>
      <c r="L1202" s="160">
        <f>InputData!$C$6</f>
        <v>6.2100000000000002E-2</v>
      </c>
      <c r="M1202" s="160">
        <f>InputData!$C$7</f>
        <v>0.03</v>
      </c>
      <c r="N1202" s="160">
        <f>InputData!$C$8</f>
        <v>0.02</v>
      </c>
      <c r="O1202" s="160">
        <f>InputData!$C$9</f>
        <v>0.06</v>
      </c>
      <c r="P1202" s="160">
        <f>InputData!$C$10</f>
        <v>0.02</v>
      </c>
      <c r="Q1202" s="160">
        <f>InputData!$C$11</f>
        <v>0.02</v>
      </c>
      <c r="R1202" s="160">
        <f>InputData!$C$12</f>
        <v>0.02</v>
      </c>
      <c r="S1202" s="160">
        <f>InputData!$C$13</f>
        <v>0.9</v>
      </c>
      <c r="T1202" s="116">
        <f>InputData!$C$88</f>
        <v>180000</v>
      </c>
      <c r="U1202" s="116">
        <f>InputData!$C$81</f>
        <v>178500</v>
      </c>
      <c r="V1202" s="116">
        <f>InputData!$C$82</f>
        <v>303960</v>
      </c>
      <c r="W1202" s="116">
        <f>InputData!$C$84</f>
        <v>215220</v>
      </c>
      <c r="X1202" s="116">
        <f>InputData!$C$85</f>
        <v>409020</v>
      </c>
      <c r="Y1202" s="116">
        <f>InputData!$C$116</f>
        <v>140000</v>
      </c>
      <c r="Z1202" s="160">
        <f>InputData!$E$13</f>
        <v>0</v>
      </c>
    </row>
    <row r="1203" spans="1:26" x14ac:dyDescent="0.25">
      <c r="A1203">
        <f>InputData!$K$1</f>
        <v>2013</v>
      </c>
      <c r="B1203" t="str">
        <f>InputData!$G$1</f>
        <v>San Antonio, TX</v>
      </c>
      <c r="C1203" t="s">
        <v>5</v>
      </c>
      <c r="D1203" t="str">
        <f>Graph_GenSurg!$O$6</f>
        <v>HPSPim</v>
      </c>
      <c r="E1203" t="str">
        <f t="shared" si="18"/>
        <v>General Surgery HPSPim</v>
      </c>
      <c r="F1203">
        <f>Graph_GenSurg!$A8</f>
        <v>2014</v>
      </c>
      <c r="G1203">
        <f>Graph_GenSurg!$B8</f>
        <v>2</v>
      </c>
      <c r="H1203" s="165">
        <f>Graph_GenSurg!$O8</f>
        <v>69389.851463288214</v>
      </c>
      <c r="I1203" s="160">
        <f>InputData!$C$3</f>
        <v>0.02</v>
      </c>
      <c r="J1203" s="160">
        <f>InputData!$C$4</f>
        <v>0.01</v>
      </c>
      <c r="K1203" s="160">
        <f>InputData!$C$5</f>
        <v>0.01</v>
      </c>
      <c r="L1203" s="160">
        <f>InputData!$C$6</f>
        <v>6.2100000000000002E-2</v>
      </c>
      <c r="M1203" s="160">
        <f>InputData!$C$7</f>
        <v>0.03</v>
      </c>
      <c r="N1203" s="160">
        <f>InputData!$C$8</f>
        <v>0.02</v>
      </c>
      <c r="O1203" s="160">
        <f>InputData!$C$9</f>
        <v>0.06</v>
      </c>
      <c r="P1203" s="160">
        <f>InputData!$C$10</f>
        <v>0.02</v>
      </c>
      <c r="Q1203" s="160">
        <f>InputData!$C$11</f>
        <v>0.02</v>
      </c>
      <c r="R1203" s="160">
        <f>InputData!$C$12</f>
        <v>0.02</v>
      </c>
      <c r="S1203" s="160">
        <f>InputData!$C$13</f>
        <v>0.9</v>
      </c>
      <c r="T1203" s="116">
        <f>InputData!$C$88</f>
        <v>180000</v>
      </c>
      <c r="U1203" s="116">
        <f>InputData!$C$81</f>
        <v>178500</v>
      </c>
      <c r="V1203" s="116">
        <f>InputData!$C$82</f>
        <v>303960</v>
      </c>
      <c r="W1203" s="116">
        <f>InputData!$C$84</f>
        <v>215220</v>
      </c>
      <c r="X1203" s="116">
        <f>InputData!$C$85</f>
        <v>409020</v>
      </c>
      <c r="Y1203" s="116">
        <f>InputData!$C$116</f>
        <v>140000</v>
      </c>
      <c r="Z1203" s="160">
        <f>InputData!$E$13</f>
        <v>0</v>
      </c>
    </row>
    <row r="1204" spans="1:26" x14ac:dyDescent="0.25">
      <c r="A1204">
        <f>InputData!$K$1</f>
        <v>2013</v>
      </c>
      <c r="B1204" t="str">
        <f>InputData!$G$1</f>
        <v>San Antonio, TX</v>
      </c>
      <c r="C1204" t="s">
        <v>5</v>
      </c>
      <c r="D1204" t="str">
        <f>Graph_GenSurg!$O$6</f>
        <v>HPSPim</v>
      </c>
      <c r="E1204" t="str">
        <f t="shared" si="18"/>
        <v>General Surgery HPSPim</v>
      </c>
      <c r="F1204">
        <f>Graph_GenSurg!$A9</f>
        <v>2015</v>
      </c>
      <c r="G1204">
        <f>Graph_GenSurg!$B9</f>
        <v>3</v>
      </c>
      <c r="H1204" s="165">
        <f>Graph_GenSurg!$O9</f>
        <v>94384.024082394724</v>
      </c>
      <c r="I1204" s="160">
        <f>InputData!$C$3</f>
        <v>0.02</v>
      </c>
      <c r="J1204" s="160">
        <f>InputData!$C$4</f>
        <v>0.01</v>
      </c>
      <c r="K1204" s="160">
        <f>InputData!$C$5</f>
        <v>0.01</v>
      </c>
      <c r="L1204" s="160">
        <f>InputData!$C$6</f>
        <v>6.2100000000000002E-2</v>
      </c>
      <c r="M1204" s="160">
        <f>InputData!$C$7</f>
        <v>0.03</v>
      </c>
      <c r="N1204" s="160">
        <f>InputData!$C$8</f>
        <v>0.02</v>
      </c>
      <c r="O1204" s="160">
        <f>InputData!$C$9</f>
        <v>0.06</v>
      </c>
      <c r="P1204" s="160">
        <f>InputData!$C$10</f>
        <v>0.02</v>
      </c>
      <c r="Q1204" s="160">
        <f>InputData!$C$11</f>
        <v>0.02</v>
      </c>
      <c r="R1204" s="160">
        <f>InputData!$C$12</f>
        <v>0.02</v>
      </c>
      <c r="S1204" s="160">
        <f>InputData!$C$13</f>
        <v>0.9</v>
      </c>
      <c r="T1204" s="116">
        <f>InputData!$C$88</f>
        <v>180000</v>
      </c>
      <c r="U1204" s="116">
        <f>InputData!$C$81</f>
        <v>178500</v>
      </c>
      <c r="V1204" s="116">
        <f>InputData!$C$82</f>
        <v>303960</v>
      </c>
      <c r="W1204" s="116">
        <f>InputData!$C$84</f>
        <v>215220</v>
      </c>
      <c r="X1204" s="116">
        <f>InputData!$C$85</f>
        <v>409020</v>
      </c>
      <c r="Y1204" s="116">
        <f>InputData!$C$116</f>
        <v>140000</v>
      </c>
      <c r="Z1204" s="160">
        <f>InputData!$E$13</f>
        <v>0</v>
      </c>
    </row>
    <row r="1205" spans="1:26" x14ac:dyDescent="0.25">
      <c r="A1205">
        <f>InputData!$K$1</f>
        <v>2013</v>
      </c>
      <c r="B1205" t="str">
        <f>InputData!$G$1</f>
        <v>San Antonio, TX</v>
      </c>
      <c r="C1205" t="s">
        <v>5</v>
      </c>
      <c r="D1205" t="str">
        <f>Graph_GenSurg!$O$6</f>
        <v>HPSPim</v>
      </c>
      <c r="E1205" t="str">
        <f t="shared" si="18"/>
        <v>General Surgery HPSPim</v>
      </c>
      <c r="F1205">
        <f>Graph_GenSurg!$A10</f>
        <v>2016</v>
      </c>
      <c r="G1205">
        <f>Graph_GenSurg!$B10</f>
        <v>4</v>
      </c>
      <c r="H1205" s="165">
        <f>Graph_GenSurg!$O10</f>
        <v>119127.82998672797</v>
      </c>
      <c r="I1205" s="160">
        <f>InputData!$C$3</f>
        <v>0.02</v>
      </c>
      <c r="J1205" s="160">
        <f>InputData!$C$4</f>
        <v>0.01</v>
      </c>
      <c r="K1205" s="160">
        <f>InputData!$C$5</f>
        <v>0.01</v>
      </c>
      <c r="L1205" s="160">
        <f>InputData!$C$6</f>
        <v>6.2100000000000002E-2</v>
      </c>
      <c r="M1205" s="160">
        <f>InputData!$C$7</f>
        <v>0.03</v>
      </c>
      <c r="N1205" s="160">
        <f>InputData!$C$8</f>
        <v>0.02</v>
      </c>
      <c r="O1205" s="160">
        <f>InputData!$C$9</f>
        <v>0.06</v>
      </c>
      <c r="P1205" s="160">
        <f>InputData!$C$10</f>
        <v>0.02</v>
      </c>
      <c r="Q1205" s="160">
        <f>InputData!$C$11</f>
        <v>0.02</v>
      </c>
      <c r="R1205" s="160">
        <f>InputData!$C$12</f>
        <v>0.02</v>
      </c>
      <c r="S1205" s="160">
        <f>InputData!$C$13</f>
        <v>0.9</v>
      </c>
      <c r="T1205" s="116">
        <f>InputData!$C$88</f>
        <v>180000</v>
      </c>
      <c r="U1205" s="116">
        <f>InputData!$C$81</f>
        <v>178500</v>
      </c>
      <c r="V1205" s="116">
        <f>InputData!$C$82</f>
        <v>303960</v>
      </c>
      <c r="W1205" s="116">
        <f>InputData!$C$84</f>
        <v>215220</v>
      </c>
      <c r="X1205" s="116">
        <f>InputData!$C$85</f>
        <v>409020</v>
      </c>
      <c r="Y1205" s="116">
        <f>InputData!$C$116</f>
        <v>140000</v>
      </c>
      <c r="Z1205" s="160">
        <f>InputData!$E$13</f>
        <v>0</v>
      </c>
    </row>
    <row r="1206" spans="1:26" x14ac:dyDescent="0.25">
      <c r="A1206">
        <f>InputData!$K$1</f>
        <v>2013</v>
      </c>
      <c r="B1206" t="str">
        <f>InputData!$G$1</f>
        <v>San Antonio, TX</v>
      </c>
      <c r="C1206" t="s">
        <v>5</v>
      </c>
      <c r="D1206" t="str">
        <f>Graph_GenSurg!$O$6</f>
        <v>HPSPim</v>
      </c>
      <c r="E1206" t="str">
        <f t="shared" si="18"/>
        <v>General Surgery HPSPim</v>
      </c>
      <c r="F1206">
        <f>Graph_GenSurg!$A11</f>
        <v>2017</v>
      </c>
      <c r="G1206">
        <f>Graph_GenSurg!$B11</f>
        <v>5</v>
      </c>
      <c r="H1206" s="165">
        <f>Graph_GenSurg!$O11</f>
        <v>169089.82248832227</v>
      </c>
      <c r="I1206" s="160">
        <f>InputData!$C$3</f>
        <v>0.02</v>
      </c>
      <c r="J1206" s="160">
        <f>InputData!$C$4</f>
        <v>0.01</v>
      </c>
      <c r="K1206" s="160">
        <f>InputData!$C$5</f>
        <v>0.01</v>
      </c>
      <c r="L1206" s="160">
        <f>InputData!$C$6</f>
        <v>6.2100000000000002E-2</v>
      </c>
      <c r="M1206" s="160">
        <f>InputData!$C$7</f>
        <v>0.03</v>
      </c>
      <c r="N1206" s="160">
        <f>InputData!$C$8</f>
        <v>0.02</v>
      </c>
      <c r="O1206" s="160">
        <f>InputData!$C$9</f>
        <v>0.06</v>
      </c>
      <c r="P1206" s="160">
        <f>InputData!$C$10</f>
        <v>0.02</v>
      </c>
      <c r="Q1206" s="160">
        <f>InputData!$C$11</f>
        <v>0.02</v>
      </c>
      <c r="R1206" s="160">
        <f>InputData!$C$12</f>
        <v>0.02</v>
      </c>
      <c r="S1206" s="160">
        <f>InputData!$C$13</f>
        <v>0.9</v>
      </c>
      <c r="T1206" s="116">
        <f>InputData!$C$88</f>
        <v>180000</v>
      </c>
      <c r="U1206" s="116">
        <f>InputData!$C$81</f>
        <v>178500</v>
      </c>
      <c r="V1206" s="116">
        <f>InputData!$C$82</f>
        <v>303960</v>
      </c>
      <c r="W1206" s="116">
        <f>InputData!$C$84</f>
        <v>215220</v>
      </c>
      <c r="X1206" s="116">
        <f>InputData!$C$85</f>
        <v>409020</v>
      </c>
      <c r="Y1206" s="116">
        <f>InputData!$C$116</f>
        <v>140000</v>
      </c>
      <c r="Z1206" s="160">
        <f>InputData!$E$13</f>
        <v>0</v>
      </c>
    </row>
    <row r="1207" spans="1:26" x14ac:dyDescent="0.25">
      <c r="A1207">
        <f>InputData!$K$1</f>
        <v>2013</v>
      </c>
      <c r="B1207" t="str">
        <f>InputData!$G$1</f>
        <v>San Antonio, TX</v>
      </c>
      <c r="C1207" t="s">
        <v>5</v>
      </c>
      <c r="D1207" t="str">
        <f>Graph_GenSurg!$O$6</f>
        <v>HPSPim</v>
      </c>
      <c r="E1207" t="str">
        <f t="shared" si="18"/>
        <v>General Surgery HPSPim</v>
      </c>
      <c r="F1207">
        <f>Graph_GenSurg!$A12</f>
        <v>2018</v>
      </c>
      <c r="G1207">
        <f>Graph_GenSurg!$B12</f>
        <v>6</v>
      </c>
      <c r="H1207" s="165">
        <f>Graph_GenSurg!$O12</f>
        <v>219350.65217600405</v>
      </c>
      <c r="I1207" s="160">
        <f>InputData!$C$3</f>
        <v>0.02</v>
      </c>
      <c r="J1207" s="160">
        <f>InputData!$C$4</f>
        <v>0.01</v>
      </c>
      <c r="K1207" s="160">
        <f>InputData!$C$5</f>
        <v>0.01</v>
      </c>
      <c r="L1207" s="160">
        <f>InputData!$C$6</f>
        <v>6.2100000000000002E-2</v>
      </c>
      <c r="M1207" s="160">
        <f>InputData!$C$7</f>
        <v>0.03</v>
      </c>
      <c r="N1207" s="160">
        <f>InputData!$C$8</f>
        <v>0.02</v>
      </c>
      <c r="O1207" s="160">
        <f>InputData!$C$9</f>
        <v>0.06</v>
      </c>
      <c r="P1207" s="160">
        <f>InputData!$C$10</f>
        <v>0.02</v>
      </c>
      <c r="Q1207" s="160">
        <f>InputData!$C$11</f>
        <v>0.02</v>
      </c>
      <c r="R1207" s="160">
        <f>InputData!$C$12</f>
        <v>0.02</v>
      </c>
      <c r="S1207" s="160">
        <f>InputData!$C$13</f>
        <v>0.9</v>
      </c>
      <c r="T1207" s="116">
        <f>InputData!$C$88</f>
        <v>180000</v>
      </c>
      <c r="U1207" s="116">
        <f>InputData!$C$81</f>
        <v>178500</v>
      </c>
      <c r="V1207" s="116">
        <f>InputData!$C$82</f>
        <v>303960</v>
      </c>
      <c r="W1207" s="116">
        <f>InputData!$C$84</f>
        <v>215220</v>
      </c>
      <c r="X1207" s="116">
        <f>InputData!$C$85</f>
        <v>409020</v>
      </c>
      <c r="Y1207" s="116">
        <f>InputData!$C$116</f>
        <v>140000</v>
      </c>
      <c r="Z1207" s="160">
        <f>InputData!$E$13</f>
        <v>0</v>
      </c>
    </row>
    <row r="1208" spans="1:26" x14ac:dyDescent="0.25">
      <c r="A1208">
        <f>InputData!$K$1</f>
        <v>2013</v>
      </c>
      <c r="B1208" t="str">
        <f>InputData!$G$1</f>
        <v>San Antonio, TX</v>
      </c>
      <c r="C1208" t="s">
        <v>5</v>
      </c>
      <c r="D1208" t="str">
        <f>Graph_GenSurg!$O$6</f>
        <v>HPSPim</v>
      </c>
      <c r="E1208" t="str">
        <f t="shared" si="18"/>
        <v>General Surgery HPSPim</v>
      </c>
      <c r="F1208">
        <f>Graph_GenSurg!$A13</f>
        <v>2019</v>
      </c>
      <c r="G1208">
        <f>Graph_GenSurg!$B13</f>
        <v>7</v>
      </c>
      <c r="H1208" s="165">
        <f>Graph_GenSurg!$O13</f>
        <v>270992.25439901254</v>
      </c>
      <c r="I1208" s="160">
        <f>InputData!$C$3</f>
        <v>0.02</v>
      </c>
      <c r="J1208" s="160">
        <f>InputData!$C$4</f>
        <v>0.01</v>
      </c>
      <c r="K1208" s="160">
        <f>InputData!$C$5</f>
        <v>0.01</v>
      </c>
      <c r="L1208" s="160">
        <f>InputData!$C$6</f>
        <v>6.2100000000000002E-2</v>
      </c>
      <c r="M1208" s="160">
        <f>InputData!$C$7</f>
        <v>0.03</v>
      </c>
      <c r="N1208" s="160">
        <f>InputData!$C$8</f>
        <v>0.02</v>
      </c>
      <c r="O1208" s="160">
        <f>InputData!$C$9</f>
        <v>0.06</v>
      </c>
      <c r="P1208" s="160">
        <f>InputData!$C$10</f>
        <v>0.02</v>
      </c>
      <c r="Q1208" s="160">
        <f>InputData!$C$11</f>
        <v>0.02</v>
      </c>
      <c r="R1208" s="160">
        <f>InputData!$C$12</f>
        <v>0.02</v>
      </c>
      <c r="S1208" s="160">
        <f>InputData!$C$13</f>
        <v>0.9</v>
      </c>
      <c r="T1208" s="116">
        <f>InputData!$C$88</f>
        <v>180000</v>
      </c>
      <c r="U1208" s="116">
        <f>InputData!$C$81</f>
        <v>178500</v>
      </c>
      <c r="V1208" s="116">
        <f>InputData!$C$82</f>
        <v>303960</v>
      </c>
      <c r="W1208" s="116">
        <f>InputData!$C$84</f>
        <v>215220</v>
      </c>
      <c r="X1208" s="116">
        <f>InputData!$C$85</f>
        <v>409020</v>
      </c>
      <c r="Y1208" s="116">
        <f>InputData!$C$116</f>
        <v>140000</v>
      </c>
      <c r="Z1208" s="160">
        <f>InputData!$E$13</f>
        <v>0</v>
      </c>
    </row>
    <row r="1209" spans="1:26" x14ac:dyDescent="0.25">
      <c r="A1209">
        <f>InputData!$K$1</f>
        <v>2013</v>
      </c>
      <c r="B1209" t="str">
        <f>InputData!$G$1</f>
        <v>San Antonio, TX</v>
      </c>
      <c r="C1209" t="s">
        <v>5</v>
      </c>
      <c r="D1209" t="str">
        <f>Graph_GenSurg!$O$6</f>
        <v>HPSPim</v>
      </c>
      <c r="E1209" t="str">
        <f t="shared" si="18"/>
        <v>General Surgery HPSPim</v>
      </c>
      <c r="F1209">
        <f>Graph_GenSurg!$A14</f>
        <v>2020</v>
      </c>
      <c r="G1209">
        <f>Graph_GenSurg!$B14</f>
        <v>8</v>
      </c>
      <c r="H1209" s="165">
        <f>Graph_GenSurg!$O14</f>
        <v>322806.62031125103</v>
      </c>
      <c r="I1209" s="160">
        <f>InputData!$C$3</f>
        <v>0.02</v>
      </c>
      <c r="J1209" s="160">
        <f>InputData!$C$4</f>
        <v>0.01</v>
      </c>
      <c r="K1209" s="160">
        <f>InputData!$C$5</f>
        <v>0.01</v>
      </c>
      <c r="L1209" s="160">
        <f>InputData!$C$6</f>
        <v>6.2100000000000002E-2</v>
      </c>
      <c r="M1209" s="160">
        <f>InputData!$C$7</f>
        <v>0.03</v>
      </c>
      <c r="N1209" s="160">
        <f>InputData!$C$8</f>
        <v>0.02</v>
      </c>
      <c r="O1209" s="160">
        <f>InputData!$C$9</f>
        <v>0.06</v>
      </c>
      <c r="P1209" s="160">
        <f>InputData!$C$10</f>
        <v>0.02</v>
      </c>
      <c r="Q1209" s="160">
        <f>InputData!$C$11</f>
        <v>0.02</v>
      </c>
      <c r="R1209" s="160">
        <f>InputData!$C$12</f>
        <v>0.02</v>
      </c>
      <c r="S1209" s="160">
        <f>InputData!$C$13</f>
        <v>0.9</v>
      </c>
      <c r="T1209" s="116">
        <f>InputData!$C$88</f>
        <v>180000</v>
      </c>
      <c r="U1209" s="116">
        <f>InputData!$C$81</f>
        <v>178500</v>
      </c>
      <c r="V1209" s="116">
        <f>InputData!$C$82</f>
        <v>303960</v>
      </c>
      <c r="W1209" s="116">
        <f>InputData!$C$84</f>
        <v>215220</v>
      </c>
      <c r="X1209" s="116">
        <f>InputData!$C$85</f>
        <v>409020</v>
      </c>
      <c r="Y1209" s="116">
        <f>InputData!$C$116</f>
        <v>140000</v>
      </c>
      <c r="Z1209" s="160">
        <f>InputData!$E$13</f>
        <v>0</v>
      </c>
    </row>
    <row r="1210" spans="1:26" x14ac:dyDescent="0.25">
      <c r="A1210">
        <f>InputData!$K$1</f>
        <v>2013</v>
      </c>
      <c r="B1210" t="str">
        <f>InputData!$G$1</f>
        <v>San Antonio, TX</v>
      </c>
      <c r="C1210" t="s">
        <v>5</v>
      </c>
      <c r="D1210" t="str">
        <f>Graph_GenSurg!$O$6</f>
        <v>HPSPim</v>
      </c>
      <c r="E1210" t="str">
        <f t="shared" si="18"/>
        <v>General Surgery HPSPim</v>
      </c>
      <c r="F1210">
        <f>Graph_GenSurg!$A15</f>
        <v>2021</v>
      </c>
      <c r="G1210">
        <f>Graph_GenSurg!$B15</f>
        <v>9</v>
      </c>
      <c r="H1210" s="165">
        <f>Graph_GenSurg!$O15</f>
        <v>375167.2349965857</v>
      </c>
      <c r="I1210" s="160">
        <f>InputData!$C$3</f>
        <v>0.02</v>
      </c>
      <c r="J1210" s="160">
        <f>InputData!$C$4</f>
        <v>0.01</v>
      </c>
      <c r="K1210" s="160">
        <f>InputData!$C$5</f>
        <v>0.01</v>
      </c>
      <c r="L1210" s="160">
        <f>InputData!$C$6</f>
        <v>6.2100000000000002E-2</v>
      </c>
      <c r="M1210" s="160">
        <f>InputData!$C$7</f>
        <v>0.03</v>
      </c>
      <c r="N1210" s="160">
        <f>InputData!$C$8</f>
        <v>0.02</v>
      </c>
      <c r="O1210" s="160">
        <f>InputData!$C$9</f>
        <v>0.06</v>
      </c>
      <c r="P1210" s="160">
        <f>InputData!$C$10</f>
        <v>0.02</v>
      </c>
      <c r="Q1210" s="160">
        <f>InputData!$C$11</f>
        <v>0.02</v>
      </c>
      <c r="R1210" s="160">
        <f>InputData!$C$12</f>
        <v>0.02</v>
      </c>
      <c r="S1210" s="160">
        <f>InputData!$C$13</f>
        <v>0.9</v>
      </c>
      <c r="T1210" s="116">
        <f>InputData!$C$88</f>
        <v>180000</v>
      </c>
      <c r="U1210" s="116">
        <f>InputData!$C$81</f>
        <v>178500</v>
      </c>
      <c r="V1210" s="116">
        <f>InputData!$C$82</f>
        <v>303960</v>
      </c>
      <c r="W1210" s="116">
        <f>InputData!$C$84</f>
        <v>215220</v>
      </c>
      <c r="X1210" s="116">
        <f>InputData!$C$85</f>
        <v>409020</v>
      </c>
      <c r="Y1210" s="116">
        <f>InputData!$C$116</f>
        <v>140000</v>
      </c>
      <c r="Z1210" s="160">
        <f>InputData!$E$13</f>
        <v>0</v>
      </c>
    </row>
    <row r="1211" spans="1:26" x14ac:dyDescent="0.25">
      <c r="A1211">
        <f>InputData!$K$1</f>
        <v>2013</v>
      </c>
      <c r="B1211" t="str">
        <f>InputData!$G$1</f>
        <v>San Antonio, TX</v>
      </c>
      <c r="C1211" t="s">
        <v>5</v>
      </c>
      <c r="D1211" t="str">
        <f>Graph_GenSurg!$O$6</f>
        <v>HPSPim</v>
      </c>
      <c r="E1211" t="str">
        <f t="shared" si="18"/>
        <v>General Surgery HPSPim</v>
      </c>
      <c r="F1211">
        <f>Graph_GenSurg!$A16</f>
        <v>2022</v>
      </c>
      <c r="G1211">
        <f>Graph_GenSurg!$B16</f>
        <v>10</v>
      </c>
      <c r="H1211" s="165">
        <f>Graph_GenSurg!$O16</f>
        <v>432639.50205622433</v>
      </c>
      <c r="I1211" s="160">
        <f>InputData!$C$3</f>
        <v>0.02</v>
      </c>
      <c r="J1211" s="160">
        <f>InputData!$C$4</f>
        <v>0.01</v>
      </c>
      <c r="K1211" s="160">
        <f>InputData!$C$5</f>
        <v>0.01</v>
      </c>
      <c r="L1211" s="160">
        <f>InputData!$C$6</f>
        <v>6.2100000000000002E-2</v>
      </c>
      <c r="M1211" s="160">
        <f>InputData!$C$7</f>
        <v>0.03</v>
      </c>
      <c r="N1211" s="160">
        <f>InputData!$C$8</f>
        <v>0.02</v>
      </c>
      <c r="O1211" s="160">
        <f>InputData!$C$9</f>
        <v>0.06</v>
      </c>
      <c r="P1211" s="160">
        <f>InputData!$C$10</f>
        <v>0.02</v>
      </c>
      <c r="Q1211" s="160">
        <f>InputData!$C$11</f>
        <v>0.02</v>
      </c>
      <c r="R1211" s="160">
        <f>InputData!$C$12</f>
        <v>0.02</v>
      </c>
      <c r="S1211" s="160">
        <f>InputData!$C$13</f>
        <v>0.9</v>
      </c>
      <c r="T1211" s="116">
        <f>InputData!$C$88</f>
        <v>180000</v>
      </c>
      <c r="U1211" s="116">
        <f>InputData!$C$81</f>
        <v>178500</v>
      </c>
      <c r="V1211" s="116">
        <f>InputData!$C$82</f>
        <v>303960</v>
      </c>
      <c r="W1211" s="116">
        <f>InputData!$C$84</f>
        <v>215220</v>
      </c>
      <c r="X1211" s="116">
        <f>InputData!$C$85</f>
        <v>409020</v>
      </c>
      <c r="Y1211" s="116">
        <f>InputData!$C$116</f>
        <v>140000</v>
      </c>
      <c r="Z1211" s="160">
        <f>InputData!$E$13</f>
        <v>0</v>
      </c>
    </row>
    <row r="1212" spans="1:26" x14ac:dyDescent="0.25">
      <c r="A1212">
        <f>InputData!$K$1</f>
        <v>2013</v>
      </c>
      <c r="B1212" t="str">
        <f>InputData!$G$1</f>
        <v>San Antonio, TX</v>
      </c>
      <c r="C1212" t="s">
        <v>5</v>
      </c>
      <c r="D1212" t="str">
        <f>Graph_GenSurg!$O$6</f>
        <v>HPSPim</v>
      </c>
      <c r="E1212" t="str">
        <f t="shared" si="18"/>
        <v>General Surgery HPSPim</v>
      </c>
      <c r="F1212">
        <f>Graph_GenSurg!$A17</f>
        <v>2023</v>
      </c>
      <c r="G1212">
        <f>Graph_GenSurg!$B17</f>
        <v>11</v>
      </c>
      <c r="H1212" s="165">
        <f>Graph_GenSurg!$O17</f>
        <v>496325.29808331205</v>
      </c>
      <c r="I1212" s="160">
        <f>InputData!$C$3</f>
        <v>0.02</v>
      </c>
      <c r="J1212" s="160">
        <f>InputData!$C$4</f>
        <v>0.01</v>
      </c>
      <c r="K1212" s="160">
        <f>InputData!$C$5</f>
        <v>0.01</v>
      </c>
      <c r="L1212" s="160">
        <f>InputData!$C$6</f>
        <v>6.2100000000000002E-2</v>
      </c>
      <c r="M1212" s="160">
        <f>InputData!$C$7</f>
        <v>0.03</v>
      </c>
      <c r="N1212" s="160">
        <f>InputData!$C$8</f>
        <v>0.02</v>
      </c>
      <c r="O1212" s="160">
        <f>InputData!$C$9</f>
        <v>0.06</v>
      </c>
      <c r="P1212" s="160">
        <f>InputData!$C$10</f>
        <v>0.02</v>
      </c>
      <c r="Q1212" s="160">
        <f>InputData!$C$11</f>
        <v>0.02</v>
      </c>
      <c r="R1212" s="160">
        <f>InputData!$C$12</f>
        <v>0.02</v>
      </c>
      <c r="S1212" s="160">
        <f>InputData!$C$13</f>
        <v>0.9</v>
      </c>
      <c r="T1212" s="116">
        <f>InputData!$C$88</f>
        <v>180000</v>
      </c>
      <c r="U1212" s="116">
        <f>InputData!$C$81</f>
        <v>178500</v>
      </c>
      <c r="V1212" s="116">
        <f>InputData!$C$82</f>
        <v>303960</v>
      </c>
      <c r="W1212" s="116">
        <f>InputData!$C$84</f>
        <v>215220</v>
      </c>
      <c r="X1212" s="116">
        <f>InputData!$C$85</f>
        <v>409020</v>
      </c>
      <c r="Y1212" s="116">
        <f>InputData!$C$116</f>
        <v>140000</v>
      </c>
      <c r="Z1212" s="160">
        <f>InputData!$E$13</f>
        <v>0</v>
      </c>
    </row>
    <row r="1213" spans="1:26" x14ac:dyDescent="0.25">
      <c r="A1213">
        <f>InputData!$K$1</f>
        <v>2013</v>
      </c>
      <c r="B1213" t="str">
        <f>InputData!$G$1</f>
        <v>San Antonio, TX</v>
      </c>
      <c r="C1213" t="s">
        <v>5</v>
      </c>
      <c r="D1213" t="str">
        <f>Graph_GenSurg!$O$6</f>
        <v>HPSPim</v>
      </c>
      <c r="E1213" t="str">
        <f t="shared" si="18"/>
        <v>General Surgery HPSPim</v>
      </c>
      <c r="F1213">
        <f>Graph_GenSurg!$A18</f>
        <v>2024</v>
      </c>
      <c r="G1213">
        <f>Graph_GenSurg!$B18</f>
        <v>12</v>
      </c>
      <c r="H1213" s="165">
        <f>Graph_GenSurg!$O18</f>
        <v>557596.52429570619</v>
      </c>
      <c r="I1213" s="160">
        <f>InputData!$C$3</f>
        <v>0.02</v>
      </c>
      <c r="J1213" s="160">
        <f>InputData!$C$4</f>
        <v>0.01</v>
      </c>
      <c r="K1213" s="160">
        <f>InputData!$C$5</f>
        <v>0.01</v>
      </c>
      <c r="L1213" s="160">
        <f>InputData!$C$6</f>
        <v>6.2100000000000002E-2</v>
      </c>
      <c r="M1213" s="160">
        <f>InputData!$C$7</f>
        <v>0.03</v>
      </c>
      <c r="N1213" s="160">
        <f>InputData!$C$8</f>
        <v>0.02</v>
      </c>
      <c r="O1213" s="160">
        <f>InputData!$C$9</f>
        <v>0.06</v>
      </c>
      <c r="P1213" s="160">
        <f>InputData!$C$10</f>
        <v>0.02</v>
      </c>
      <c r="Q1213" s="160">
        <f>InputData!$C$11</f>
        <v>0.02</v>
      </c>
      <c r="R1213" s="160">
        <f>InputData!$C$12</f>
        <v>0.02</v>
      </c>
      <c r="S1213" s="160">
        <f>InputData!$C$13</f>
        <v>0.9</v>
      </c>
      <c r="T1213" s="116">
        <f>InputData!$C$88</f>
        <v>180000</v>
      </c>
      <c r="U1213" s="116">
        <f>InputData!$C$81</f>
        <v>178500</v>
      </c>
      <c r="V1213" s="116">
        <f>InputData!$C$82</f>
        <v>303960</v>
      </c>
      <c r="W1213" s="116">
        <f>InputData!$C$84</f>
        <v>215220</v>
      </c>
      <c r="X1213" s="116">
        <f>InputData!$C$85</f>
        <v>409020</v>
      </c>
      <c r="Y1213" s="116">
        <f>InputData!$C$116</f>
        <v>140000</v>
      </c>
      <c r="Z1213" s="160">
        <f>InputData!$E$13</f>
        <v>0</v>
      </c>
    </row>
    <row r="1214" spans="1:26" x14ac:dyDescent="0.25">
      <c r="A1214">
        <f>InputData!$K$1</f>
        <v>2013</v>
      </c>
      <c r="B1214" t="str">
        <f>InputData!$G$1</f>
        <v>San Antonio, TX</v>
      </c>
      <c r="C1214" t="s">
        <v>5</v>
      </c>
      <c r="D1214" t="str">
        <f>Graph_GenSurg!$O$6</f>
        <v>HPSPim</v>
      </c>
      <c r="E1214" t="str">
        <f t="shared" si="18"/>
        <v>General Surgery HPSPim</v>
      </c>
      <c r="F1214">
        <f>Graph_GenSurg!$A19</f>
        <v>2025</v>
      </c>
      <c r="G1214">
        <f>Graph_GenSurg!$B19</f>
        <v>13</v>
      </c>
      <c r="H1214" s="165">
        <f>Graph_GenSurg!$O19</f>
        <v>618022.98765773152</v>
      </c>
      <c r="I1214" s="160">
        <f>InputData!$C$3</f>
        <v>0.02</v>
      </c>
      <c r="J1214" s="160">
        <f>InputData!$C$4</f>
        <v>0.01</v>
      </c>
      <c r="K1214" s="160">
        <f>InputData!$C$5</f>
        <v>0.01</v>
      </c>
      <c r="L1214" s="160">
        <f>InputData!$C$6</f>
        <v>6.2100000000000002E-2</v>
      </c>
      <c r="M1214" s="160">
        <f>InputData!$C$7</f>
        <v>0.03</v>
      </c>
      <c r="N1214" s="160">
        <f>InputData!$C$8</f>
        <v>0.02</v>
      </c>
      <c r="O1214" s="160">
        <f>InputData!$C$9</f>
        <v>0.06</v>
      </c>
      <c r="P1214" s="160">
        <f>InputData!$C$10</f>
        <v>0.02</v>
      </c>
      <c r="Q1214" s="160">
        <f>InputData!$C$11</f>
        <v>0.02</v>
      </c>
      <c r="R1214" s="160">
        <f>InputData!$C$12</f>
        <v>0.02</v>
      </c>
      <c r="S1214" s="160">
        <f>InputData!$C$13</f>
        <v>0.9</v>
      </c>
      <c r="T1214" s="116">
        <f>InputData!$C$88</f>
        <v>180000</v>
      </c>
      <c r="U1214" s="116">
        <f>InputData!$C$81</f>
        <v>178500</v>
      </c>
      <c r="V1214" s="116">
        <f>InputData!$C$82</f>
        <v>303960</v>
      </c>
      <c r="W1214" s="116">
        <f>InputData!$C$84</f>
        <v>215220</v>
      </c>
      <c r="X1214" s="116">
        <f>InputData!$C$85</f>
        <v>409020</v>
      </c>
      <c r="Y1214" s="116">
        <f>InputData!$C$116</f>
        <v>140000</v>
      </c>
      <c r="Z1214" s="160">
        <f>InputData!$E$13</f>
        <v>0</v>
      </c>
    </row>
    <row r="1215" spans="1:26" x14ac:dyDescent="0.25">
      <c r="A1215">
        <f>InputData!$K$1</f>
        <v>2013</v>
      </c>
      <c r="B1215" t="str">
        <f>InputData!$G$1</f>
        <v>San Antonio, TX</v>
      </c>
      <c r="C1215" t="s">
        <v>5</v>
      </c>
      <c r="D1215" t="str">
        <f>Graph_GenSurg!$O$6</f>
        <v>HPSPim</v>
      </c>
      <c r="E1215" t="str">
        <f t="shared" si="18"/>
        <v>General Surgery HPSPim</v>
      </c>
      <c r="F1215">
        <f>Graph_GenSurg!$A20</f>
        <v>2026</v>
      </c>
      <c r="G1215">
        <f>Graph_GenSurg!$B20</f>
        <v>14</v>
      </c>
      <c r="H1215" s="165">
        <f>Graph_GenSurg!$O20</f>
        <v>751135.41100229369</v>
      </c>
      <c r="I1215" s="160">
        <f>InputData!$C$3</f>
        <v>0.02</v>
      </c>
      <c r="J1215" s="160">
        <f>InputData!$C$4</f>
        <v>0.01</v>
      </c>
      <c r="K1215" s="160">
        <f>InputData!$C$5</f>
        <v>0.01</v>
      </c>
      <c r="L1215" s="160">
        <f>InputData!$C$6</f>
        <v>6.2100000000000002E-2</v>
      </c>
      <c r="M1215" s="160">
        <f>InputData!$C$7</f>
        <v>0.03</v>
      </c>
      <c r="N1215" s="160">
        <f>InputData!$C$8</f>
        <v>0.02</v>
      </c>
      <c r="O1215" s="160">
        <f>InputData!$C$9</f>
        <v>0.06</v>
      </c>
      <c r="P1215" s="160">
        <f>InputData!$C$10</f>
        <v>0.02</v>
      </c>
      <c r="Q1215" s="160">
        <f>InputData!$C$11</f>
        <v>0.02</v>
      </c>
      <c r="R1215" s="160">
        <f>InputData!$C$12</f>
        <v>0.02</v>
      </c>
      <c r="S1215" s="160">
        <f>InputData!$C$13</f>
        <v>0.9</v>
      </c>
      <c r="T1215" s="116">
        <f>InputData!$C$88</f>
        <v>180000</v>
      </c>
      <c r="U1215" s="116">
        <f>InputData!$C$81</f>
        <v>178500</v>
      </c>
      <c r="V1215" s="116">
        <f>InputData!$C$82</f>
        <v>303960</v>
      </c>
      <c r="W1215" s="116">
        <f>InputData!$C$84</f>
        <v>215220</v>
      </c>
      <c r="X1215" s="116">
        <f>InputData!$C$85</f>
        <v>409020</v>
      </c>
      <c r="Y1215" s="116">
        <f>InputData!$C$116</f>
        <v>140000</v>
      </c>
      <c r="Z1215" s="160">
        <f>InputData!$E$13</f>
        <v>0</v>
      </c>
    </row>
    <row r="1216" spans="1:26" x14ac:dyDescent="0.25">
      <c r="A1216">
        <f>InputData!$K$1</f>
        <v>2013</v>
      </c>
      <c r="B1216" t="str">
        <f>InputData!$G$1</f>
        <v>San Antonio, TX</v>
      </c>
      <c r="C1216" t="s">
        <v>5</v>
      </c>
      <c r="D1216" t="str">
        <f>Graph_GenSurg!$O$6</f>
        <v>HPSPim</v>
      </c>
      <c r="E1216" t="str">
        <f t="shared" si="18"/>
        <v>General Surgery HPSPim</v>
      </c>
      <c r="F1216">
        <f>Graph_GenSurg!$A21</f>
        <v>2027</v>
      </c>
      <c r="G1216">
        <f>Graph_GenSurg!$B21</f>
        <v>15</v>
      </c>
      <c r="H1216" s="165">
        <f>Graph_GenSurg!$O21</f>
        <v>881567.57320262177</v>
      </c>
      <c r="I1216" s="160">
        <f>InputData!$C$3</f>
        <v>0.02</v>
      </c>
      <c r="J1216" s="160">
        <f>InputData!$C$4</f>
        <v>0.01</v>
      </c>
      <c r="K1216" s="160">
        <f>InputData!$C$5</f>
        <v>0.01</v>
      </c>
      <c r="L1216" s="160">
        <f>InputData!$C$6</f>
        <v>6.2100000000000002E-2</v>
      </c>
      <c r="M1216" s="160">
        <f>InputData!$C$7</f>
        <v>0.03</v>
      </c>
      <c r="N1216" s="160">
        <f>InputData!$C$8</f>
        <v>0.02</v>
      </c>
      <c r="O1216" s="160">
        <f>InputData!$C$9</f>
        <v>0.06</v>
      </c>
      <c r="P1216" s="160">
        <f>InputData!$C$10</f>
        <v>0.02</v>
      </c>
      <c r="Q1216" s="160">
        <f>InputData!$C$11</f>
        <v>0.02</v>
      </c>
      <c r="R1216" s="160">
        <f>InputData!$C$12</f>
        <v>0.02</v>
      </c>
      <c r="S1216" s="160">
        <f>InputData!$C$13</f>
        <v>0.9</v>
      </c>
      <c r="T1216" s="116">
        <f>InputData!$C$88</f>
        <v>180000</v>
      </c>
      <c r="U1216" s="116">
        <f>InputData!$C$81</f>
        <v>178500</v>
      </c>
      <c r="V1216" s="116">
        <f>InputData!$C$82</f>
        <v>303960</v>
      </c>
      <c r="W1216" s="116">
        <f>InputData!$C$84</f>
        <v>215220</v>
      </c>
      <c r="X1216" s="116">
        <f>InputData!$C$85</f>
        <v>409020</v>
      </c>
      <c r="Y1216" s="116">
        <f>InputData!$C$116</f>
        <v>140000</v>
      </c>
      <c r="Z1216" s="160">
        <f>InputData!$E$13</f>
        <v>0</v>
      </c>
    </row>
    <row r="1217" spans="1:26" x14ac:dyDescent="0.25">
      <c r="A1217">
        <f>InputData!$K$1</f>
        <v>2013</v>
      </c>
      <c r="B1217" t="str">
        <f>InputData!$G$1</f>
        <v>San Antonio, TX</v>
      </c>
      <c r="C1217" t="s">
        <v>5</v>
      </c>
      <c r="D1217" t="str">
        <f>Graph_GenSurg!$O$6</f>
        <v>HPSPim</v>
      </c>
      <c r="E1217" t="str">
        <f t="shared" si="18"/>
        <v>General Surgery HPSPim</v>
      </c>
      <c r="F1217">
        <f>Graph_GenSurg!$A22</f>
        <v>2028</v>
      </c>
      <c r="G1217">
        <f>Graph_GenSurg!$B22</f>
        <v>16</v>
      </c>
      <c r="H1217" s="165">
        <f>Graph_GenSurg!$O22</f>
        <v>1009374.0734559153</v>
      </c>
      <c r="I1217" s="160">
        <f>InputData!$C$3</f>
        <v>0.02</v>
      </c>
      <c r="J1217" s="160">
        <f>InputData!$C$4</f>
        <v>0.01</v>
      </c>
      <c r="K1217" s="160">
        <f>InputData!$C$5</f>
        <v>0.01</v>
      </c>
      <c r="L1217" s="160">
        <f>InputData!$C$6</f>
        <v>6.2100000000000002E-2</v>
      </c>
      <c r="M1217" s="160">
        <f>InputData!$C$7</f>
        <v>0.03</v>
      </c>
      <c r="N1217" s="160">
        <f>InputData!$C$8</f>
        <v>0.02</v>
      </c>
      <c r="O1217" s="160">
        <f>InputData!$C$9</f>
        <v>0.06</v>
      </c>
      <c r="P1217" s="160">
        <f>InputData!$C$10</f>
        <v>0.02</v>
      </c>
      <c r="Q1217" s="160">
        <f>InputData!$C$11</f>
        <v>0.02</v>
      </c>
      <c r="R1217" s="160">
        <f>InputData!$C$12</f>
        <v>0.02</v>
      </c>
      <c r="S1217" s="160">
        <f>InputData!$C$13</f>
        <v>0.9</v>
      </c>
      <c r="T1217" s="116">
        <f>InputData!$C$88</f>
        <v>180000</v>
      </c>
      <c r="U1217" s="116">
        <f>InputData!$C$81</f>
        <v>178500</v>
      </c>
      <c r="V1217" s="116">
        <f>InputData!$C$82</f>
        <v>303960</v>
      </c>
      <c r="W1217" s="116">
        <f>InputData!$C$84</f>
        <v>215220</v>
      </c>
      <c r="X1217" s="116">
        <f>InputData!$C$85</f>
        <v>409020</v>
      </c>
      <c r="Y1217" s="116">
        <f>InputData!$C$116</f>
        <v>140000</v>
      </c>
      <c r="Z1217" s="160">
        <f>InputData!$E$13</f>
        <v>0</v>
      </c>
    </row>
    <row r="1218" spans="1:26" x14ac:dyDescent="0.25">
      <c r="A1218">
        <f>InputData!$K$1</f>
        <v>2013</v>
      </c>
      <c r="B1218" t="str">
        <f>InputData!$G$1</f>
        <v>San Antonio, TX</v>
      </c>
      <c r="C1218" t="s">
        <v>5</v>
      </c>
      <c r="D1218" t="str">
        <f>Graph_GenSurg!$O$6</f>
        <v>HPSPim</v>
      </c>
      <c r="E1218" t="str">
        <f t="shared" si="18"/>
        <v>General Surgery HPSPim</v>
      </c>
      <c r="F1218">
        <f>Graph_GenSurg!$A23</f>
        <v>2029</v>
      </c>
      <c r="G1218">
        <f>Graph_GenSurg!$B23</f>
        <v>17</v>
      </c>
      <c r="H1218" s="165">
        <f>Graph_GenSurg!$O23</f>
        <v>1134608.3808221098</v>
      </c>
      <c r="I1218" s="160">
        <f>InputData!$C$3</f>
        <v>0.02</v>
      </c>
      <c r="J1218" s="160">
        <f>InputData!$C$4</f>
        <v>0.01</v>
      </c>
      <c r="K1218" s="160">
        <f>InputData!$C$5</f>
        <v>0.01</v>
      </c>
      <c r="L1218" s="160">
        <f>InputData!$C$6</f>
        <v>6.2100000000000002E-2</v>
      </c>
      <c r="M1218" s="160">
        <f>InputData!$C$7</f>
        <v>0.03</v>
      </c>
      <c r="N1218" s="160">
        <f>InputData!$C$8</f>
        <v>0.02</v>
      </c>
      <c r="O1218" s="160">
        <f>InputData!$C$9</f>
        <v>0.06</v>
      </c>
      <c r="P1218" s="160">
        <f>InputData!$C$10</f>
        <v>0.02</v>
      </c>
      <c r="Q1218" s="160">
        <f>InputData!$C$11</f>
        <v>0.02</v>
      </c>
      <c r="R1218" s="160">
        <f>InputData!$C$12</f>
        <v>0.02</v>
      </c>
      <c r="S1218" s="160">
        <f>InputData!$C$13</f>
        <v>0.9</v>
      </c>
      <c r="T1218" s="116">
        <f>InputData!$C$88</f>
        <v>180000</v>
      </c>
      <c r="U1218" s="116">
        <f>InputData!$C$81</f>
        <v>178500</v>
      </c>
      <c r="V1218" s="116">
        <f>InputData!$C$82</f>
        <v>303960</v>
      </c>
      <c r="W1218" s="116">
        <f>InputData!$C$84</f>
        <v>215220</v>
      </c>
      <c r="X1218" s="116">
        <f>InputData!$C$85</f>
        <v>409020</v>
      </c>
      <c r="Y1218" s="116">
        <f>InputData!$C$116</f>
        <v>140000</v>
      </c>
      <c r="Z1218" s="160">
        <f>InputData!$E$13</f>
        <v>0</v>
      </c>
    </row>
    <row r="1219" spans="1:26" x14ac:dyDescent="0.25">
      <c r="A1219">
        <f>InputData!$K$1</f>
        <v>2013</v>
      </c>
      <c r="B1219" t="str">
        <f>InputData!$G$1</f>
        <v>San Antonio, TX</v>
      </c>
      <c r="C1219" t="s">
        <v>5</v>
      </c>
      <c r="D1219" t="str">
        <f>Graph_GenSurg!$O$6</f>
        <v>HPSPim</v>
      </c>
      <c r="E1219" t="str">
        <f t="shared" ref="E1219:E1282" si="19">C1219 &amp; " " &amp; D1219</f>
        <v>General Surgery HPSPim</v>
      </c>
      <c r="F1219">
        <f>Graph_GenSurg!$A24</f>
        <v>2030</v>
      </c>
      <c r="G1219">
        <f>Graph_GenSurg!$B24</f>
        <v>18</v>
      </c>
      <c r="H1219" s="165">
        <f>Graph_GenSurg!$O24</f>
        <v>1257322.8581183262</v>
      </c>
      <c r="I1219" s="160">
        <f>InputData!$C$3</f>
        <v>0.02</v>
      </c>
      <c r="J1219" s="160">
        <f>InputData!$C$4</f>
        <v>0.01</v>
      </c>
      <c r="K1219" s="160">
        <f>InputData!$C$5</f>
        <v>0.01</v>
      </c>
      <c r="L1219" s="160">
        <f>InputData!$C$6</f>
        <v>6.2100000000000002E-2</v>
      </c>
      <c r="M1219" s="160">
        <f>InputData!$C$7</f>
        <v>0.03</v>
      </c>
      <c r="N1219" s="160">
        <f>InputData!$C$8</f>
        <v>0.02</v>
      </c>
      <c r="O1219" s="160">
        <f>InputData!$C$9</f>
        <v>0.06</v>
      </c>
      <c r="P1219" s="160">
        <f>InputData!$C$10</f>
        <v>0.02</v>
      </c>
      <c r="Q1219" s="160">
        <f>InputData!$C$11</f>
        <v>0.02</v>
      </c>
      <c r="R1219" s="160">
        <f>InputData!$C$12</f>
        <v>0.02</v>
      </c>
      <c r="S1219" s="160">
        <f>InputData!$C$13</f>
        <v>0.9</v>
      </c>
      <c r="T1219" s="116">
        <f>InputData!$C$88</f>
        <v>180000</v>
      </c>
      <c r="U1219" s="116">
        <f>InputData!$C$81</f>
        <v>178500</v>
      </c>
      <c r="V1219" s="116">
        <f>InputData!$C$82</f>
        <v>303960</v>
      </c>
      <c r="W1219" s="116">
        <f>InputData!$C$84</f>
        <v>215220</v>
      </c>
      <c r="X1219" s="116">
        <f>InputData!$C$85</f>
        <v>409020</v>
      </c>
      <c r="Y1219" s="116">
        <f>InputData!$C$116</f>
        <v>140000</v>
      </c>
      <c r="Z1219" s="160">
        <f>InputData!$E$13</f>
        <v>0</v>
      </c>
    </row>
    <row r="1220" spans="1:26" x14ac:dyDescent="0.25">
      <c r="A1220">
        <f>InputData!$K$1</f>
        <v>2013</v>
      </c>
      <c r="B1220" t="str">
        <f>InputData!$G$1</f>
        <v>San Antonio, TX</v>
      </c>
      <c r="C1220" t="s">
        <v>5</v>
      </c>
      <c r="D1220" t="str">
        <f>Graph_GenSurg!$O$6</f>
        <v>HPSPim</v>
      </c>
      <c r="E1220" t="str">
        <f t="shared" si="19"/>
        <v>General Surgery HPSPim</v>
      </c>
      <c r="F1220">
        <f>Graph_GenSurg!$A25</f>
        <v>2031</v>
      </c>
      <c r="G1220">
        <f>Graph_GenSurg!$B25</f>
        <v>19</v>
      </c>
      <c r="H1220" s="165">
        <f>Graph_GenSurg!$O25</f>
        <v>1377568.7852942725</v>
      </c>
      <c r="I1220" s="160">
        <f>InputData!$C$3</f>
        <v>0.02</v>
      </c>
      <c r="J1220" s="160">
        <f>InputData!$C$4</f>
        <v>0.01</v>
      </c>
      <c r="K1220" s="160">
        <f>InputData!$C$5</f>
        <v>0.01</v>
      </c>
      <c r="L1220" s="160">
        <f>InputData!$C$6</f>
        <v>6.2100000000000002E-2</v>
      </c>
      <c r="M1220" s="160">
        <f>InputData!$C$7</f>
        <v>0.03</v>
      </c>
      <c r="N1220" s="160">
        <f>InputData!$C$8</f>
        <v>0.02</v>
      </c>
      <c r="O1220" s="160">
        <f>InputData!$C$9</f>
        <v>0.06</v>
      </c>
      <c r="P1220" s="160">
        <f>InputData!$C$10</f>
        <v>0.02</v>
      </c>
      <c r="Q1220" s="160">
        <f>InputData!$C$11</f>
        <v>0.02</v>
      </c>
      <c r="R1220" s="160">
        <f>InputData!$C$12</f>
        <v>0.02</v>
      </c>
      <c r="S1220" s="160">
        <f>InputData!$C$13</f>
        <v>0.9</v>
      </c>
      <c r="T1220" s="116">
        <f>InputData!$C$88</f>
        <v>180000</v>
      </c>
      <c r="U1220" s="116">
        <f>InputData!$C$81</f>
        <v>178500</v>
      </c>
      <c r="V1220" s="116">
        <f>InputData!$C$82</f>
        <v>303960</v>
      </c>
      <c r="W1220" s="116">
        <f>InputData!$C$84</f>
        <v>215220</v>
      </c>
      <c r="X1220" s="116">
        <f>InputData!$C$85</f>
        <v>409020</v>
      </c>
      <c r="Y1220" s="116">
        <f>InputData!$C$116</f>
        <v>140000</v>
      </c>
      <c r="Z1220" s="160">
        <f>InputData!$E$13</f>
        <v>0</v>
      </c>
    </row>
    <row r="1221" spans="1:26" x14ac:dyDescent="0.25">
      <c r="A1221">
        <f>InputData!$K$1</f>
        <v>2013</v>
      </c>
      <c r="B1221" t="str">
        <f>InputData!$G$1</f>
        <v>San Antonio, TX</v>
      </c>
      <c r="C1221" t="s">
        <v>5</v>
      </c>
      <c r="D1221" t="str">
        <f>Graph_GenSurg!$O$6</f>
        <v>HPSPim</v>
      </c>
      <c r="E1221" t="str">
        <f t="shared" si="19"/>
        <v>General Surgery HPSPim</v>
      </c>
      <c r="F1221">
        <f>Graph_GenSurg!$A26</f>
        <v>2032</v>
      </c>
      <c r="G1221">
        <f>Graph_GenSurg!$B26</f>
        <v>20</v>
      </c>
      <c r="H1221" s="165">
        <f>Graph_GenSurg!$O26</f>
        <v>1495396.3823002439</v>
      </c>
      <c r="I1221" s="160">
        <f>InputData!$C$3</f>
        <v>0.02</v>
      </c>
      <c r="J1221" s="160">
        <f>InputData!$C$4</f>
        <v>0.01</v>
      </c>
      <c r="K1221" s="160">
        <f>InputData!$C$5</f>
        <v>0.01</v>
      </c>
      <c r="L1221" s="160">
        <f>InputData!$C$6</f>
        <v>6.2100000000000002E-2</v>
      </c>
      <c r="M1221" s="160">
        <f>InputData!$C$7</f>
        <v>0.03</v>
      </c>
      <c r="N1221" s="160">
        <f>InputData!$C$8</f>
        <v>0.02</v>
      </c>
      <c r="O1221" s="160">
        <f>InputData!$C$9</f>
        <v>0.06</v>
      </c>
      <c r="P1221" s="160">
        <f>InputData!$C$10</f>
        <v>0.02</v>
      </c>
      <c r="Q1221" s="160">
        <f>InputData!$C$11</f>
        <v>0.02</v>
      </c>
      <c r="R1221" s="160">
        <f>InputData!$C$12</f>
        <v>0.02</v>
      </c>
      <c r="S1221" s="160">
        <f>InputData!$C$13</f>
        <v>0.9</v>
      </c>
      <c r="T1221" s="116">
        <f>InputData!$C$88</f>
        <v>180000</v>
      </c>
      <c r="U1221" s="116">
        <f>InputData!$C$81</f>
        <v>178500</v>
      </c>
      <c r="V1221" s="116">
        <f>InputData!$C$82</f>
        <v>303960</v>
      </c>
      <c r="W1221" s="116">
        <f>InputData!$C$84</f>
        <v>215220</v>
      </c>
      <c r="X1221" s="116">
        <f>InputData!$C$85</f>
        <v>409020</v>
      </c>
      <c r="Y1221" s="116">
        <f>InputData!$C$116</f>
        <v>140000</v>
      </c>
      <c r="Z1221" s="160">
        <f>InputData!$E$13</f>
        <v>0</v>
      </c>
    </row>
    <row r="1222" spans="1:26" x14ac:dyDescent="0.25">
      <c r="A1222">
        <f>InputData!$K$1</f>
        <v>2013</v>
      </c>
      <c r="B1222" t="str">
        <f>InputData!$G$1</f>
        <v>San Antonio, TX</v>
      </c>
      <c r="C1222" t="s">
        <v>5</v>
      </c>
      <c r="D1222" t="str">
        <f>Graph_GenSurg!$O$6</f>
        <v>HPSPim</v>
      </c>
      <c r="E1222" t="str">
        <f t="shared" si="19"/>
        <v>General Surgery HPSPim</v>
      </c>
      <c r="F1222">
        <f>Graph_GenSurg!$A27</f>
        <v>2033</v>
      </c>
      <c r="G1222">
        <f>Graph_GenSurg!$B27</f>
        <v>21</v>
      </c>
      <c r="H1222" s="165">
        <f>Graph_GenSurg!$O27</f>
        <v>1610854.8314591008</v>
      </c>
      <c r="I1222" s="160">
        <f>InputData!$C$3</f>
        <v>0.02</v>
      </c>
      <c r="J1222" s="160">
        <f>InputData!$C$4</f>
        <v>0.01</v>
      </c>
      <c r="K1222" s="160">
        <f>InputData!$C$5</f>
        <v>0.01</v>
      </c>
      <c r="L1222" s="160">
        <f>InputData!$C$6</f>
        <v>6.2100000000000002E-2</v>
      </c>
      <c r="M1222" s="160">
        <f>InputData!$C$7</f>
        <v>0.03</v>
      </c>
      <c r="N1222" s="160">
        <f>InputData!$C$8</f>
        <v>0.02</v>
      </c>
      <c r="O1222" s="160">
        <f>InputData!$C$9</f>
        <v>0.06</v>
      </c>
      <c r="P1222" s="160">
        <f>InputData!$C$10</f>
        <v>0.02</v>
      </c>
      <c r="Q1222" s="160">
        <f>InputData!$C$11</f>
        <v>0.02</v>
      </c>
      <c r="R1222" s="160">
        <f>InputData!$C$12</f>
        <v>0.02</v>
      </c>
      <c r="S1222" s="160">
        <f>InputData!$C$13</f>
        <v>0.9</v>
      </c>
      <c r="T1222" s="116">
        <f>InputData!$C$88</f>
        <v>180000</v>
      </c>
      <c r="U1222" s="116">
        <f>InputData!$C$81</f>
        <v>178500</v>
      </c>
      <c r="V1222" s="116">
        <f>InputData!$C$82</f>
        <v>303960</v>
      </c>
      <c r="W1222" s="116">
        <f>InputData!$C$84</f>
        <v>215220</v>
      </c>
      <c r="X1222" s="116">
        <f>InputData!$C$85</f>
        <v>409020</v>
      </c>
      <c r="Y1222" s="116">
        <f>InputData!$C$116</f>
        <v>140000</v>
      </c>
      <c r="Z1222" s="160">
        <f>InputData!$E$13</f>
        <v>0</v>
      </c>
    </row>
    <row r="1223" spans="1:26" x14ac:dyDescent="0.25">
      <c r="A1223">
        <f>InputData!$K$1</f>
        <v>2013</v>
      </c>
      <c r="B1223" t="str">
        <f>InputData!$G$1</f>
        <v>San Antonio, TX</v>
      </c>
      <c r="C1223" t="s">
        <v>5</v>
      </c>
      <c r="D1223" t="str">
        <f>Graph_GenSurg!$O$6</f>
        <v>HPSPim</v>
      </c>
      <c r="E1223" t="str">
        <f t="shared" si="19"/>
        <v>General Surgery HPSPim</v>
      </c>
      <c r="F1223">
        <f>Graph_GenSurg!$A28</f>
        <v>2034</v>
      </c>
      <c r="G1223">
        <f>Graph_GenSurg!$B28</f>
        <v>22</v>
      </c>
      <c r="H1223" s="165">
        <f>Graph_GenSurg!$O28</f>
        <v>1723992.2993533376</v>
      </c>
      <c r="I1223" s="160">
        <f>InputData!$C$3</f>
        <v>0.02</v>
      </c>
      <c r="J1223" s="160">
        <f>InputData!$C$4</f>
        <v>0.01</v>
      </c>
      <c r="K1223" s="160">
        <f>InputData!$C$5</f>
        <v>0.01</v>
      </c>
      <c r="L1223" s="160">
        <f>InputData!$C$6</f>
        <v>6.2100000000000002E-2</v>
      </c>
      <c r="M1223" s="160">
        <f>InputData!$C$7</f>
        <v>0.03</v>
      </c>
      <c r="N1223" s="160">
        <f>InputData!$C$8</f>
        <v>0.02</v>
      </c>
      <c r="O1223" s="160">
        <f>InputData!$C$9</f>
        <v>0.06</v>
      </c>
      <c r="P1223" s="160">
        <f>InputData!$C$10</f>
        <v>0.02</v>
      </c>
      <c r="Q1223" s="160">
        <f>InputData!$C$11</f>
        <v>0.02</v>
      </c>
      <c r="R1223" s="160">
        <f>InputData!$C$12</f>
        <v>0.02</v>
      </c>
      <c r="S1223" s="160">
        <f>InputData!$C$13</f>
        <v>0.9</v>
      </c>
      <c r="T1223" s="116">
        <f>InputData!$C$88</f>
        <v>180000</v>
      </c>
      <c r="U1223" s="116">
        <f>InputData!$C$81</f>
        <v>178500</v>
      </c>
      <c r="V1223" s="116">
        <f>InputData!$C$82</f>
        <v>303960</v>
      </c>
      <c r="W1223" s="116">
        <f>InputData!$C$84</f>
        <v>215220</v>
      </c>
      <c r="X1223" s="116">
        <f>InputData!$C$85</f>
        <v>409020</v>
      </c>
      <c r="Y1223" s="116">
        <f>InputData!$C$116</f>
        <v>140000</v>
      </c>
      <c r="Z1223" s="160">
        <f>InputData!$E$13</f>
        <v>0</v>
      </c>
    </row>
    <row r="1224" spans="1:26" x14ac:dyDescent="0.25">
      <c r="A1224">
        <f>InputData!$K$1</f>
        <v>2013</v>
      </c>
      <c r="B1224" t="str">
        <f>InputData!$G$1</f>
        <v>San Antonio, TX</v>
      </c>
      <c r="C1224" t="s">
        <v>5</v>
      </c>
      <c r="D1224" t="str">
        <f>Graph_GenSurg!$O$6</f>
        <v>HPSPim</v>
      </c>
      <c r="E1224" t="str">
        <f t="shared" si="19"/>
        <v>General Surgery HPSPim</v>
      </c>
      <c r="F1224">
        <f>Graph_GenSurg!$A29</f>
        <v>2035</v>
      </c>
      <c r="G1224">
        <f>Graph_GenSurg!$B29</f>
        <v>23</v>
      </c>
      <c r="H1224" s="165">
        <f>Graph_GenSurg!$O29</f>
        <v>1834855.9582380974</v>
      </c>
      <c r="I1224" s="160">
        <f>InputData!$C$3</f>
        <v>0.02</v>
      </c>
      <c r="J1224" s="160">
        <f>InputData!$C$4</f>
        <v>0.01</v>
      </c>
      <c r="K1224" s="160">
        <f>InputData!$C$5</f>
        <v>0.01</v>
      </c>
      <c r="L1224" s="160">
        <f>InputData!$C$6</f>
        <v>6.2100000000000002E-2</v>
      </c>
      <c r="M1224" s="160">
        <f>InputData!$C$7</f>
        <v>0.03</v>
      </c>
      <c r="N1224" s="160">
        <f>InputData!$C$8</f>
        <v>0.02</v>
      </c>
      <c r="O1224" s="160">
        <f>InputData!$C$9</f>
        <v>0.06</v>
      </c>
      <c r="P1224" s="160">
        <f>InputData!$C$10</f>
        <v>0.02</v>
      </c>
      <c r="Q1224" s="160">
        <f>InputData!$C$11</f>
        <v>0.02</v>
      </c>
      <c r="R1224" s="160">
        <f>InputData!$C$12</f>
        <v>0.02</v>
      </c>
      <c r="S1224" s="160">
        <f>InputData!$C$13</f>
        <v>0.9</v>
      </c>
      <c r="T1224" s="116">
        <f>InputData!$C$88</f>
        <v>180000</v>
      </c>
      <c r="U1224" s="116">
        <f>InputData!$C$81</f>
        <v>178500</v>
      </c>
      <c r="V1224" s="116">
        <f>InputData!$C$82</f>
        <v>303960</v>
      </c>
      <c r="W1224" s="116">
        <f>InputData!$C$84</f>
        <v>215220</v>
      </c>
      <c r="X1224" s="116">
        <f>InputData!$C$85</f>
        <v>409020</v>
      </c>
      <c r="Y1224" s="116">
        <f>InputData!$C$116</f>
        <v>140000</v>
      </c>
      <c r="Z1224" s="160">
        <f>InputData!$E$13</f>
        <v>0</v>
      </c>
    </row>
    <row r="1225" spans="1:26" x14ac:dyDescent="0.25">
      <c r="A1225">
        <f>InputData!$K$1</f>
        <v>2013</v>
      </c>
      <c r="B1225" t="str">
        <f>InputData!$G$1</f>
        <v>San Antonio, TX</v>
      </c>
      <c r="C1225" t="s">
        <v>5</v>
      </c>
      <c r="D1225" t="str">
        <f>Graph_GenSurg!$O$6</f>
        <v>HPSPim</v>
      </c>
      <c r="E1225" t="str">
        <f t="shared" si="19"/>
        <v>General Surgery HPSPim</v>
      </c>
      <c r="F1225">
        <f>Graph_GenSurg!$A30</f>
        <v>2036</v>
      </c>
      <c r="G1225">
        <f>Graph_GenSurg!$B30</f>
        <v>24</v>
      </c>
      <c r="H1225" s="165">
        <f>Graph_GenSurg!$O30</f>
        <v>1943492.0069907347</v>
      </c>
      <c r="I1225" s="160">
        <f>InputData!$C$3</f>
        <v>0.02</v>
      </c>
      <c r="J1225" s="160">
        <f>InputData!$C$4</f>
        <v>0.01</v>
      </c>
      <c r="K1225" s="160">
        <f>InputData!$C$5</f>
        <v>0.01</v>
      </c>
      <c r="L1225" s="160">
        <f>InputData!$C$6</f>
        <v>6.2100000000000002E-2</v>
      </c>
      <c r="M1225" s="160">
        <f>InputData!$C$7</f>
        <v>0.03</v>
      </c>
      <c r="N1225" s="160">
        <f>InputData!$C$8</f>
        <v>0.02</v>
      </c>
      <c r="O1225" s="160">
        <f>InputData!$C$9</f>
        <v>0.06</v>
      </c>
      <c r="P1225" s="160">
        <f>InputData!$C$10</f>
        <v>0.02</v>
      </c>
      <c r="Q1225" s="160">
        <f>InputData!$C$11</f>
        <v>0.02</v>
      </c>
      <c r="R1225" s="160">
        <f>InputData!$C$12</f>
        <v>0.02</v>
      </c>
      <c r="S1225" s="160">
        <f>InputData!$C$13</f>
        <v>0.9</v>
      </c>
      <c r="T1225" s="116">
        <f>InputData!$C$88</f>
        <v>180000</v>
      </c>
      <c r="U1225" s="116">
        <f>InputData!$C$81</f>
        <v>178500</v>
      </c>
      <c r="V1225" s="116">
        <f>InputData!$C$82</f>
        <v>303960</v>
      </c>
      <c r="W1225" s="116">
        <f>InputData!$C$84</f>
        <v>215220</v>
      </c>
      <c r="X1225" s="116">
        <f>InputData!$C$85</f>
        <v>409020</v>
      </c>
      <c r="Y1225" s="116">
        <f>InputData!$C$116</f>
        <v>140000</v>
      </c>
      <c r="Z1225" s="160">
        <f>InputData!$E$13</f>
        <v>0</v>
      </c>
    </row>
    <row r="1226" spans="1:26" x14ac:dyDescent="0.25">
      <c r="A1226">
        <f>InputData!$K$1</f>
        <v>2013</v>
      </c>
      <c r="B1226" t="str">
        <f>InputData!$G$1</f>
        <v>San Antonio, TX</v>
      </c>
      <c r="C1226" t="s">
        <v>5</v>
      </c>
      <c r="D1226" t="str">
        <f>Graph_GenSurg!$O$6</f>
        <v>HPSPim</v>
      </c>
      <c r="E1226" t="str">
        <f t="shared" si="19"/>
        <v>General Surgery HPSPim</v>
      </c>
      <c r="F1226">
        <f>Graph_GenSurg!$A31</f>
        <v>2037</v>
      </c>
      <c r="G1226">
        <f>Graph_GenSurg!$B31</f>
        <v>25</v>
      </c>
      <c r="H1226" s="165">
        <f>Graph_GenSurg!$O31</f>
        <v>2049945.6916072839</v>
      </c>
      <c r="I1226" s="160">
        <f>InputData!$C$3</f>
        <v>0.02</v>
      </c>
      <c r="J1226" s="160">
        <f>InputData!$C$4</f>
        <v>0.01</v>
      </c>
      <c r="K1226" s="160">
        <f>InputData!$C$5</f>
        <v>0.01</v>
      </c>
      <c r="L1226" s="160">
        <f>InputData!$C$6</f>
        <v>6.2100000000000002E-2</v>
      </c>
      <c r="M1226" s="160">
        <f>InputData!$C$7</f>
        <v>0.03</v>
      </c>
      <c r="N1226" s="160">
        <f>InputData!$C$8</f>
        <v>0.02</v>
      </c>
      <c r="O1226" s="160">
        <f>InputData!$C$9</f>
        <v>0.06</v>
      </c>
      <c r="P1226" s="160">
        <f>InputData!$C$10</f>
        <v>0.02</v>
      </c>
      <c r="Q1226" s="160">
        <f>InputData!$C$11</f>
        <v>0.02</v>
      </c>
      <c r="R1226" s="160">
        <f>InputData!$C$12</f>
        <v>0.02</v>
      </c>
      <c r="S1226" s="160">
        <f>InputData!$C$13</f>
        <v>0.9</v>
      </c>
      <c r="T1226" s="116">
        <f>InputData!$C$88</f>
        <v>180000</v>
      </c>
      <c r="U1226" s="116">
        <f>InputData!$C$81</f>
        <v>178500</v>
      </c>
      <c r="V1226" s="116">
        <f>InputData!$C$82</f>
        <v>303960</v>
      </c>
      <c r="W1226" s="116">
        <f>InputData!$C$84</f>
        <v>215220</v>
      </c>
      <c r="X1226" s="116">
        <f>InputData!$C$85</f>
        <v>409020</v>
      </c>
      <c r="Y1226" s="116">
        <f>InputData!$C$116</f>
        <v>140000</v>
      </c>
      <c r="Z1226" s="160">
        <f>InputData!$E$13</f>
        <v>0</v>
      </c>
    </row>
    <row r="1227" spans="1:26" x14ac:dyDescent="0.25">
      <c r="A1227">
        <f>InputData!$K$1</f>
        <v>2013</v>
      </c>
      <c r="B1227" t="str">
        <f>InputData!$G$1</f>
        <v>San Antonio, TX</v>
      </c>
      <c r="C1227" t="s">
        <v>5</v>
      </c>
      <c r="D1227" t="str">
        <f>Graph_GenSurg!$O$6</f>
        <v>HPSPim</v>
      </c>
      <c r="E1227" t="str">
        <f t="shared" si="19"/>
        <v>General Surgery HPSPim</v>
      </c>
      <c r="F1227">
        <f>Graph_GenSurg!$A32</f>
        <v>2038</v>
      </c>
      <c r="G1227">
        <f>Graph_GenSurg!$B32</f>
        <v>26</v>
      </c>
      <c r="H1227" s="165">
        <f>Graph_GenSurg!$O32</f>
        <v>2154261.32525595</v>
      </c>
      <c r="I1227" s="160">
        <f>InputData!$C$3</f>
        <v>0.02</v>
      </c>
      <c r="J1227" s="160">
        <f>InputData!$C$4</f>
        <v>0.01</v>
      </c>
      <c r="K1227" s="160">
        <f>InputData!$C$5</f>
        <v>0.01</v>
      </c>
      <c r="L1227" s="160">
        <f>InputData!$C$6</f>
        <v>6.2100000000000002E-2</v>
      </c>
      <c r="M1227" s="160">
        <f>InputData!$C$7</f>
        <v>0.03</v>
      </c>
      <c r="N1227" s="160">
        <f>InputData!$C$8</f>
        <v>0.02</v>
      </c>
      <c r="O1227" s="160">
        <f>InputData!$C$9</f>
        <v>0.06</v>
      </c>
      <c r="P1227" s="160">
        <f>InputData!$C$10</f>
        <v>0.02</v>
      </c>
      <c r="Q1227" s="160">
        <f>InputData!$C$11</f>
        <v>0.02</v>
      </c>
      <c r="R1227" s="160">
        <f>InputData!$C$12</f>
        <v>0.02</v>
      </c>
      <c r="S1227" s="160">
        <f>InputData!$C$13</f>
        <v>0.9</v>
      </c>
      <c r="T1227" s="116">
        <f>InputData!$C$88</f>
        <v>180000</v>
      </c>
      <c r="U1227" s="116">
        <f>InputData!$C$81</f>
        <v>178500</v>
      </c>
      <c r="V1227" s="116">
        <f>InputData!$C$82</f>
        <v>303960</v>
      </c>
      <c r="W1227" s="116">
        <f>InputData!$C$84</f>
        <v>215220</v>
      </c>
      <c r="X1227" s="116">
        <f>InputData!$C$85</f>
        <v>409020</v>
      </c>
      <c r="Y1227" s="116">
        <f>InputData!$C$116</f>
        <v>140000</v>
      </c>
      <c r="Z1227" s="160">
        <f>InputData!$E$13</f>
        <v>0</v>
      </c>
    </row>
    <row r="1228" spans="1:26" x14ac:dyDescent="0.25">
      <c r="A1228">
        <f>InputData!$K$1</f>
        <v>2013</v>
      </c>
      <c r="B1228" t="str">
        <f>InputData!$G$1</f>
        <v>San Antonio, TX</v>
      </c>
      <c r="C1228" t="s">
        <v>5</v>
      </c>
      <c r="D1228" t="str">
        <f>Graph_GenSurg!$O$6</f>
        <v>HPSPim</v>
      </c>
      <c r="E1228" t="str">
        <f t="shared" si="19"/>
        <v>General Surgery HPSPim</v>
      </c>
      <c r="F1228">
        <f>Graph_GenSurg!$A33</f>
        <v>2039</v>
      </c>
      <c r="G1228">
        <f>Graph_GenSurg!$B33</f>
        <v>27</v>
      </c>
      <c r="H1228" s="165">
        <f>Graph_GenSurg!$O33</f>
        <v>2256482.3078975035</v>
      </c>
      <c r="I1228" s="160">
        <f>InputData!$C$3</f>
        <v>0.02</v>
      </c>
      <c r="J1228" s="160">
        <f>InputData!$C$4</f>
        <v>0.01</v>
      </c>
      <c r="K1228" s="160">
        <f>InputData!$C$5</f>
        <v>0.01</v>
      </c>
      <c r="L1228" s="160">
        <f>InputData!$C$6</f>
        <v>6.2100000000000002E-2</v>
      </c>
      <c r="M1228" s="160">
        <f>InputData!$C$7</f>
        <v>0.03</v>
      </c>
      <c r="N1228" s="160">
        <f>InputData!$C$8</f>
        <v>0.02</v>
      </c>
      <c r="O1228" s="160">
        <f>InputData!$C$9</f>
        <v>0.06</v>
      </c>
      <c r="P1228" s="160">
        <f>InputData!$C$10</f>
        <v>0.02</v>
      </c>
      <c r="Q1228" s="160">
        <f>InputData!$C$11</f>
        <v>0.02</v>
      </c>
      <c r="R1228" s="160">
        <f>InputData!$C$12</f>
        <v>0.02</v>
      </c>
      <c r="S1228" s="160">
        <f>InputData!$C$13</f>
        <v>0.9</v>
      </c>
      <c r="T1228" s="116">
        <f>InputData!$C$88</f>
        <v>180000</v>
      </c>
      <c r="U1228" s="116">
        <f>InputData!$C$81</f>
        <v>178500</v>
      </c>
      <c r="V1228" s="116">
        <f>InputData!$C$82</f>
        <v>303960</v>
      </c>
      <c r="W1228" s="116">
        <f>InputData!$C$84</f>
        <v>215220</v>
      </c>
      <c r="X1228" s="116">
        <f>InputData!$C$85</f>
        <v>409020</v>
      </c>
      <c r="Y1228" s="116">
        <f>InputData!$C$116</f>
        <v>140000</v>
      </c>
      <c r="Z1228" s="160">
        <f>InputData!$E$13</f>
        <v>0</v>
      </c>
    </row>
    <row r="1229" spans="1:26" x14ac:dyDescent="0.25">
      <c r="A1229">
        <f>InputData!$K$1</f>
        <v>2013</v>
      </c>
      <c r="B1229" t="str">
        <f>InputData!$G$1</f>
        <v>San Antonio, TX</v>
      </c>
      <c r="C1229" t="s">
        <v>5</v>
      </c>
      <c r="D1229" t="str">
        <f>Graph_GenSurg!$O$6</f>
        <v>HPSPim</v>
      </c>
      <c r="E1229" t="str">
        <f t="shared" si="19"/>
        <v>General Surgery HPSPim</v>
      </c>
      <c r="F1229">
        <f>Graph_GenSurg!$A34</f>
        <v>2040</v>
      </c>
      <c r="G1229">
        <f>Graph_GenSurg!$B34</f>
        <v>28</v>
      </c>
      <c r="H1229" s="165">
        <f>Graph_GenSurg!$O34</f>
        <v>2356651.1454822351</v>
      </c>
      <c r="I1229" s="160">
        <f>InputData!$C$3</f>
        <v>0.02</v>
      </c>
      <c r="J1229" s="160">
        <f>InputData!$C$4</f>
        <v>0.01</v>
      </c>
      <c r="K1229" s="160">
        <f>InputData!$C$5</f>
        <v>0.01</v>
      </c>
      <c r="L1229" s="160">
        <f>InputData!$C$6</f>
        <v>6.2100000000000002E-2</v>
      </c>
      <c r="M1229" s="160">
        <f>InputData!$C$7</f>
        <v>0.03</v>
      </c>
      <c r="N1229" s="160">
        <f>InputData!$C$8</f>
        <v>0.02</v>
      </c>
      <c r="O1229" s="160">
        <f>InputData!$C$9</f>
        <v>0.06</v>
      </c>
      <c r="P1229" s="160">
        <f>InputData!$C$10</f>
        <v>0.02</v>
      </c>
      <c r="Q1229" s="160">
        <f>InputData!$C$11</f>
        <v>0.02</v>
      </c>
      <c r="R1229" s="160">
        <f>InputData!$C$12</f>
        <v>0.02</v>
      </c>
      <c r="S1229" s="160">
        <f>InputData!$C$13</f>
        <v>0.9</v>
      </c>
      <c r="T1229" s="116">
        <f>InputData!$C$88</f>
        <v>180000</v>
      </c>
      <c r="U1229" s="116">
        <f>InputData!$C$81</f>
        <v>178500</v>
      </c>
      <c r="V1229" s="116">
        <f>InputData!$C$82</f>
        <v>303960</v>
      </c>
      <c r="W1229" s="116">
        <f>InputData!$C$84</f>
        <v>215220</v>
      </c>
      <c r="X1229" s="116">
        <f>InputData!$C$85</f>
        <v>409020</v>
      </c>
      <c r="Y1229" s="116">
        <f>InputData!$C$116</f>
        <v>140000</v>
      </c>
      <c r="Z1229" s="160">
        <f>InputData!$E$13</f>
        <v>0</v>
      </c>
    </row>
    <row r="1230" spans="1:26" x14ac:dyDescent="0.25">
      <c r="A1230">
        <f>InputData!$K$1</f>
        <v>2013</v>
      </c>
      <c r="B1230" t="str">
        <f>InputData!$G$1</f>
        <v>San Antonio, TX</v>
      </c>
      <c r="C1230" t="s">
        <v>5</v>
      </c>
      <c r="D1230" t="str">
        <f>Graph_GenSurg!$O$6</f>
        <v>HPSPim</v>
      </c>
      <c r="E1230" t="str">
        <f t="shared" si="19"/>
        <v>General Surgery HPSPim</v>
      </c>
      <c r="F1230">
        <f>Graph_GenSurg!$A35</f>
        <v>2041</v>
      </c>
      <c r="G1230">
        <f>Graph_GenSurg!$B35</f>
        <v>29</v>
      </c>
      <c r="H1230" s="165">
        <f>Graph_GenSurg!$O35</f>
        <v>2454809.4687328977</v>
      </c>
      <c r="I1230" s="160">
        <f>InputData!$C$3</f>
        <v>0.02</v>
      </c>
      <c r="J1230" s="160">
        <f>InputData!$C$4</f>
        <v>0.01</v>
      </c>
      <c r="K1230" s="160">
        <f>InputData!$C$5</f>
        <v>0.01</v>
      </c>
      <c r="L1230" s="160">
        <f>InputData!$C$6</f>
        <v>6.2100000000000002E-2</v>
      </c>
      <c r="M1230" s="160">
        <f>InputData!$C$7</f>
        <v>0.03</v>
      </c>
      <c r="N1230" s="160">
        <f>InputData!$C$8</f>
        <v>0.02</v>
      </c>
      <c r="O1230" s="160">
        <f>InputData!$C$9</f>
        <v>0.06</v>
      </c>
      <c r="P1230" s="160">
        <f>InputData!$C$10</f>
        <v>0.02</v>
      </c>
      <c r="Q1230" s="160">
        <f>InputData!$C$11</f>
        <v>0.02</v>
      </c>
      <c r="R1230" s="160">
        <f>InputData!$C$12</f>
        <v>0.02</v>
      </c>
      <c r="S1230" s="160">
        <f>InputData!$C$13</f>
        <v>0.9</v>
      </c>
      <c r="T1230" s="116">
        <f>InputData!$C$88</f>
        <v>180000</v>
      </c>
      <c r="U1230" s="116">
        <f>InputData!$C$81</f>
        <v>178500</v>
      </c>
      <c r="V1230" s="116">
        <f>InputData!$C$82</f>
        <v>303960</v>
      </c>
      <c r="W1230" s="116">
        <f>InputData!$C$84</f>
        <v>215220</v>
      </c>
      <c r="X1230" s="116">
        <f>InputData!$C$85</f>
        <v>409020</v>
      </c>
      <c r="Y1230" s="116">
        <f>InputData!$C$116</f>
        <v>140000</v>
      </c>
      <c r="Z1230" s="160">
        <f>InputData!$E$13</f>
        <v>0</v>
      </c>
    </row>
    <row r="1231" spans="1:26" x14ac:dyDescent="0.25">
      <c r="A1231">
        <f>InputData!$K$1</f>
        <v>2013</v>
      </c>
      <c r="B1231" t="str">
        <f>InputData!$G$1</f>
        <v>San Antonio, TX</v>
      </c>
      <c r="C1231" t="s">
        <v>5</v>
      </c>
      <c r="D1231" t="str">
        <f>Graph_GenSurg!$O$6</f>
        <v>HPSPim</v>
      </c>
      <c r="E1231" t="str">
        <f t="shared" si="19"/>
        <v>General Surgery HPSPim</v>
      </c>
      <c r="F1231">
        <f>Graph_GenSurg!$A36</f>
        <v>2042</v>
      </c>
      <c r="G1231">
        <f>Graph_GenSurg!$B36</f>
        <v>30</v>
      </c>
      <c r="H1231" s="165">
        <f>Graph_GenSurg!$O36</f>
        <v>2550998.0515228524</v>
      </c>
      <c r="I1231" s="160">
        <f>InputData!$C$3</f>
        <v>0.02</v>
      </c>
      <c r="J1231" s="160">
        <f>InputData!$C$4</f>
        <v>0.01</v>
      </c>
      <c r="K1231" s="160">
        <f>InputData!$C$5</f>
        <v>0.01</v>
      </c>
      <c r="L1231" s="160">
        <f>InputData!$C$6</f>
        <v>6.2100000000000002E-2</v>
      </c>
      <c r="M1231" s="160">
        <f>InputData!$C$7</f>
        <v>0.03</v>
      </c>
      <c r="N1231" s="160">
        <f>InputData!$C$8</f>
        <v>0.02</v>
      </c>
      <c r="O1231" s="160">
        <f>InputData!$C$9</f>
        <v>0.06</v>
      </c>
      <c r="P1231" s="160">
        <f>InputData!$C$10</f>
        <v>0.02</v>
      </c>
      <c r="Q1231" s="160">
        <f>InputData!$C$11</f>
        <v>0.02</v>
      </c>
      <c r="R1231" s="160">
        <f>InputData!$C$12</f>
        <v>0.02</v>
      </c>
      <c r="S1231" s="160">
        <f>InputData!$C$13</f>
        <v>0.9</v>
      </c>
      <c r="T1231" s="116">
        <f>InputData!$C$88</f>
        <v>180000</v>
      </c>
      <c r="U1231" s="116">
        <f>InputData!$C$81</f>
        <v>178500</v>
      </c>
      <c r="V1231" s="116">
        <f>InputData!$C$82</f>
        <v>303960</v>
      </c>
      <c r="W1231" s="116">
        <f>InputData!$C$84</f>
        <v>215220</v>
      </c>
      <c r="X1231" s="116">
        <f>InputData!$C$85</f>
        <v>409020</v>
      </c>
      <c r="Y1231" s="116">
        <f>InputData!$C$116</f>
        <v>140000</v>
      </c>
      <c r="Z1231" s="160">
        <f>InputData!$E$13</f>
        <v>0</v>
      </c>
    </row>
    <row r="1232" spans="1:26" x14ac:dyDescent="0.25">
      <c r="A1232">
        <f>InputData!$K$1</f>
        <v>2013</v>
      </c>
      <c r="B1232" t="str">
        <f>InputData!$G$1</f>
        <v>San Antonio, TX</v>
      </c>
      <c r="C1232" t="s">
        <v>227</v>
      </c>
      <c r="D1232" t="str">
        <f>Graph_Ophtha!$C$6</f>
        <v>USU30</v>
      </c>
      <c r="E1232" t="str">
        <f t="shared" si="19"/>
        <v>Ophthalmology USU30</v>
      </c>
      <c r="F1232">
        <f>Graph_Ophtha!$A7</f>
        <v>2013</v>
      </c>
      <c r="G1232">
        <f>Graph_Ophtha!$B7</f>
        <v>1</v>
      </c>
      <c r="H1232" s="165">
        <f>Graph_Ophtha!$C7</f>
        <v>54056.194799999997</v>
      </c>
      <c r="I1232" s="160">
        <f>InputData!$C$3</f>
        <v>0.02</v>
      </c>
      <c r="J1232" s="160">
        <f>InputData!$C$4</f>
        <v>0.01</v>
      </c>
      <c r="K1232" s="160">
        <f>InputData!$C$5</f>
        <v>0.01</v>
      </c>
      <c r="L1232" s="160">
        <f>InputData!$C$6</f>
        <v>6.2100000000000002E-2</v>
      </c>
      <c r="M1232" s="160">
        <f>InputData!$C$7</f>
        <v>0.03</v>
      </c>
      <c r="N1232" s="160">
        <f>InputData!$C$8</f>
        <v>0.02</v>
      </c>
      <c r="O1232" s="160">
        <f>InputData!$C$9</f>
        <v>0.06</v>
      </c>
      <c r="P1232" s="160">
        <f>InputData!$C$10</f>
        <v>0.02</v>
      </c>
      <c r="Q1232" s="160">
        <f>InputData!$C$11</f>
        <v>0.02</v>
      </c>
      <c r="R1232" s="160">
        <f>InputData!$C$12</f>
        <v>0.02</v>
      </c>
      <c r="S1232" s="160">
        <f>InputData!$C$13</f>
        <v>0.9</v>
      </c>
      <c r="T1232" s="116">
        <f>InputData!$C$88</f>
        <v>180000</v>
      </c>
      <c r="U1232" s="116">
        <f>InputData!$C$81</f>
        <v>178500</v>
      </c>
      <c r="V1232" s="116">
        <f>InputData!$C$82</f>
        <v>303960</v>
      </c>
      <c r="W1232" s="116">
        <f>InputData!$C$84</f>
        <v>215220</v>
      </c>
      <c r="X1232" s="116">
        <f>InputData!$C$85</f>
        <v>409020</v>
      </c>
      <c r="Y1232" s="116">
        <f>InputData!$C$116</f>
        <v>140000</v>
      </c>
      <c r="Z1232" s="160">
        <f>InputData!$E$13</f>
        <v>0</v>
      </c>
    </row>
    <row r="1233" spans="1:26" x14ac:dyDescent="0.25">
      <c r="A1233">
        <f>InputData!$K$1</f>
        <v>2013</v>
      </c>
      <c r="B1233" t="str">
        <f>InputData!$G$1</f>
        <v>San Antonio, TX</v>
      </c>
      <c r="C1233" t="s">
        <v>227</v>
      </c>
      <c r="D1233" t="str">
        <f>Graph_Ophtha!$C$6</f>
        <v>USU30</v>
      </c>
      <c r="E1233" t="str">
        <f t="shared" si="19"/>
        <v>Ophthalmology USU30</v>
      </c>
      <c r="F1233">
        <f>Graph_Ophtha!$A8</f>
        <v>2014</v>
      </c>
      <c r="G1233">
        <f>Graph_Ophtha!$B8</f>
        <v>2</v>
      </c>
      <c r="H1233" s="165">
        <f>Graph_Ophtha!$C8</f>
        <v>106041.93556527697</v>
      </c>
      <c r="I1233" s="160">
        <f>InputData!$C$3</f>
        <v>0.02</v>
      </c>
      <c r="J1233" s="160">
        <f>InputData!$C$4</f>
        <v>0.01</v>
      </c>
      <c r="K1233" s="160">
        <f>InputData!$C$5</f>
        <v>0.01</v>
      </c>
      <c r="L1233" s="160">
        <f>InputData!$C$6</f>
        <v>6.2100000000000002E-2</v>
      </c>
      <c r="M1233" s="160">
        <f>InputData!$C$7</f>
        <v>0.03</v>
      </c>
      <c r="N1233" s="160">
        <f>InputData!$C$8</f>
        <v>0.02</v>
      </c>
      <c r="O1233" s="160">
        <f>InputData!$C$9</f>
        <v>0.06</v>
      </c>
      <c r="P1233" s="160">
        <f>InputData!$C$10</f>
        <v>0.02</v>
      </c>
      <c r="Q1233" s="160">
        <f>InputData!$C$11</f>
        <v>0.02</v>
      </c>
      <c r="R1233" s="160">
        <f>InputData!$C$12</f>
        <v>0.02</v>
      </c>
      <c r="S1233" s="160">
        <f>InputData!$C$13</f>
        <v>0.9</v>
      </c>
      <c r="T1233" s="116">
        <f>InputData!$C$88</f>
        <v>180000</v>
      </c>
      <c r="U1233" s="116">
        <f>InputData!$C$81</f>
        <v>178500</v>
      </c>
      <c r="V1233" s="116">
        <f>InputData!$C$82</f>
        <v>303960</v>
      </c>
      <c r="W1233" s="116">
        <f>InputData!$C$84</f>
        <v>215220</v>
      </c>
      <c r="X1233" s="116">
        <f>InputData!$C$85</f>
        <v>409020</v>
      </c>
      <c r="Y1233" s="116">
        <f>InputData!$C$116</f>
        <v>140000</v>
      </c>
      <c r="Z1233" s="160">
        <f>InputData!$E$13</f>
        <v>0</v>
      </c>
    </row>
    <row r="1234" spans="1:26" x14ac:dyDescent="0.25">
      <c r="A1234">
        <f>InputData!$K$1</f>
        <v>2013</v>
      </c>
      <c r="B1234" t="str">
        <f>InputData!$G$1</f>
        <v>San Antonio, TX</v>
      </c>
      <c r="C1234" t="s">
        <v>227</v>
      </c>
      <c r="D1234" t="str">
        <f>Graph_Ophtha!$C$6</f>
        <v>USU30</v>
      </c>
      <c r="E1234" t="str">
        <f t="shared" si="19"/>
        <v>Ophthalmology USU30</v>
      </c>
      <c r="F1234">
        <f>Graph_Ophtha!$A9</f>
        <v>2015</v>
      </c>
      <c r="G1234">
        <f>Graph_Ophtha!$B9</f>
        <v>3</v>
      </c>
      <c r="H1234" s="165">
        <f>Graph_Ophtha!$C9</f>
        <v>157045.52189700573</v>
      </c>
      <c r="I1234" s="160">
        <f>InputData!$C$3</f>
        <v>0.02</v>
      </c>
      <c r="J1234" s="160">
        <f>InputData!$C$4</f>
        <v>0.01</v>
      </c>
      <c r="K1234" s="160">
        <f>InputData!$C$5</f>
        <v>0.01</v>
      </c>
      <c r="L1234" s="160">
        <f>InputData!$C$6</f>
        <v>6.2100000000000002E-2</v>
      </c>
      <c r="M1234" s="160">
        <f>InputData!$C$7</f>
        <v>0.03</v>
      </c>
      <c r="N1234" s="160">
        <f>InputData!$C$8</f>
        <v>0.02</v>
      </c>
      <c r="O1234" s="160">
        <f>InputData!$C$9</f>
        <v>0.06</v>
      </c>
      <c r="P1234" s="160">
        <f>InputData!$C$10</f>
        <v>0.02</v>
      </c>
      <c r="Q1234" s="160">
        <f>InputData!$C$11</f>
        <v>0.02</v>
      </c>
      <c r="R1234" s="160">
        <f>InputData!$C$12</f>
        <v>0.02</v>
      </c>
      <c r="S1234" s="160">
        <f>InputData!$C$13</f>
        <v>0.9</v>
      </c>
      <c r="T1234" s="116">
        <f>InputData!$C$88</f>
        <v>180000</v>
      </c>
      <c r="U1234" s="116">
        <f>InputData!$C$81</f>
        <v>178500</v>
      </c>
      <c r="V1234" s="116">
        <f>InputData!$C$82</f>
        <v>303960</v>
      </c>
      <c r="W1234" s="116">
        <f>InputData!$C$84</f>
        <v>215220</v>
      </c>
      <c r="X1234" s="116">
        <f>InputData!$C$85</f>
        <v>409020</v>
      </c>
      <c r="Y1234" s="116">
        <f>InputData!$C$116</f>
        <v>140000</v>
      </c>
      <c r="Z1234" s="160">
        <f>InputData!$E$13</f>
        <v>0</v>
      </c>
    </row>
    <row r="1235" spans="1:26" x14ac:dyDescent="0.25">
      <c r="A1235">
        <f>InputData!$K$1</f>
        <v>2013</v>
      </c>
      <c r="B1235" t="str">
        <f>InputData!$G$1</f>
        <v>San Antonio, TX</v>
      </c>
      <c r="C1235" t="s">
        <v>227</v>
      </c>
      <c r="D1235" t="str">
        <f>Graph_Ophtha!$C$6</f>
        <v>USU30</v>
      </c>
      <c r="E1235" t="str">
        <f t="shared" si="19"/>
        <v>Ophthalmology USU30</v>
      </c>
      <c r="F1235">
        <f>Graph_Ophtha!$A10</f>
        <v>2016</v>
      </c>
      <c r="G1235">
        <f>Graph_Ophtha!$B10</f>
        <v>4</v>
      </c>
      <c r="H1235" s="165">
        <f>Graph_Ophtha!$C10</f>
        <v>211251.55229740124</v>
      </c>
      <c r="I1235" s="160">
        <f>InputData!$C$3</f>
        <v>0.02</v>
      </c>
      <c r="J1235" s="160">
        <f>InputData!$C$4</f>
        <v>0.01</v>
      </c>
      <c r="K1235" s="160">
        <f>InputData!$C$5</f>
        <v>0.01</v>
      </c>
      <c r="L1235" s="160">
        <f>InputData!$C$6</f>
        <v>6.2100000000000002E-2</v>
      </c>
      <c r="M1235" s="160">
        <f>InputData!$C$7</f>
        <v>0.03</v>
      </c>
      <c r="N1235" s="160">
        <f>InputData!$C$8</f>
        <v>0.02</v>
      </c>
      <c r="O1235" s="160">
        <f>InputData!$C$9</f>
        <v>0.06</v>
      </c>
      <c r="P1235" s="160">
        <f>InputData!$C$10</f>
        <v>0.02</v>
      </c>
      <c r="Q1235" s="160">
        <f>InputData!$C$11</f>
        <v>0.02</v>
      </c>
      <c r="R1235" s="160">
        <f>InputData!$C$12</f>
        <v>0.02</v>
      </c>
      <c r="S1235" s="160">
        <f>InputData!$C$13</f>
        <v>0.9</v>
      </c>
      <c r="T1235" s="116">
        <f>InputData!$C$88</f>
        <v>180000</v>
      </c>
      <c r="U1235" s="116">
        <f>InputData!$C$81</f>
        <v>178500</v>
      </c>
      <c r="V1235" s="116">
        <f>InputData!$C$82</f>
        <v>303960</v>
      </c>
      <c r="W1235" s="116">
        <f>InputData!$C$84</f>
        <v>215220</v>
      </c>
      <c r="X1235" s="116">
        <f>InputData!$C$85</f>
        <v>409020</v>
      </c>
      <c r="Y1235" s="116">
        <f>InputData!$C$116</f>
        <v>140000</v>
      </c>
      <c r="Z1235" s="160">
        <f>InputData!$E$13</f>
        <v>0</v>
      </c>
    </row>
    <row r="1236" spans="1:26" x14ac:dyDescent="0.25">
      <c r="A1236">
        <f>InputData!$K$1</f>
        <v>2013</v>
      </c>
      <c r="B1236" t="str">
        <f>InputData!$G$1</f>
        <v>San Antonio, TX</v>
      </c>
      <c r="C1236" t="s">
        <v>227</v>
      </c>
      <c r="D1236" t="str">
        <f>Graph_Ophtha!$C$6</f>
        <v>USU30</v>
      </c>
      <c r="E1236" t="str">
        <f t="shared" si="19"/>
        <v>Ophthalmology USU30</v>
      </c>
      <c r="F1236">
        <f>Graph_Ophtha!$A11</f>
        <v>2017</v>
      </c>
      <c r="G1236">
        <f>Graph_Ophtha!$B11</f>
        <v>5</v>
      </c>
      <c r="H1236" s="165">
        <f>Graph_Ophtha!$C11</f>
        <v>261213.54479899554</v>
      </c>
      <c r="I1236" s="160">
        <f>InputData!$C$3</f>
        <v>0.02</v>
      </c>
      <c r="J1236" s="160">
        <f>InputData!$C$4</f>
        <v>0.01</v>
      </c>
      <c r="K1236" s="160">
        <f>InputData!$C$5</f>
        <v>0.01</v>
      </c>
      <c r="L1236" s="160">
        <f>InputData!$C$6</f>
        <v>6.2100000000000002E-2</v>
      </c>
      <c r="M1236" s="160">
        <f>InputData!$C$7</f>
        <v>0.03</v>
      </c>
      <c r="N1236" s="160">
        <f>InputData!$C$8</f>
        <v>0.02</v>
      </c>
      <c r="O1236" s="160">
        <f>InputData!$C$9</f>
        <v>0.06</v>
      </c>
      <c r="P1236" s="160">
        <f>InputData!$C$10</f>
        <v>0.02</v>
      </c>
      <c r="Q1236" s="160">
        <f>InputData!$C$11</f>
        <v>0.02</v>
      </c>
      <c r="R1236" s="160">
        <f>InputData!$C$12</f>
        <v>0.02</v>
      </c>
      <c r="S1236" s="160">
        <f>InputData!$C$13</f>
        <v>0.9</v>
      </c>
      <c r="T1236" s="116">
        <f>InputData!$C$88</f>
        <v>180000</v>
      </c>
      <c r="U1236" s="116">
        <f>InputData!$C$81</f>
        <v>178500</v>
      </c>
      <c r="V1236" s="116">
        <f>InputData!$C$82</f>
        <v>303960</v>
      </c>
      <c r="W1236" s="116">
        <f>InputData!$C$84</f>
        <v>215220</v>
      </c>
      <c r="X1236" s="116">
        <f>InputData!$C$85</f>
        <v>409020</v>
      </c>
      <c r="Y1236" s="116">
        <f>InputData!$C$116</f>
        <v>140000</v>
      </c>
      <c r="Z1236" s="160">
        <f>InputData!$E$13</f>
        <v>0</v>
      </c>
    </row>
    <row r="1237" spans="1:26" x14ac:dyDescent="0.25">
      <c r="A1237">
        <f>InputData!$K$1</f>
        <v>2013</v>
      </c>
      <c r="B1237" t="str">
        <f>InputData!$G$1</f>
        <v>San Antonio, TX</v>
      </c>
      <c r="C1237" t="s">
        <v>227</v>
      </c>
      <c r="D1237" t="str">
        <f>Graph_Ophtha!$C$6</f>
        <v>USU30</v>
      </c>
      <c r="E1237" t="str">
        <f t="shared" si="19"/>
        <v>Ophthalmology USU30</v>
      </c>
      <c r="F1237">
        <f>Graph_Ophtha!$A12</f>
        <v>2018</v>
      </c>
      <c r="G1237">
        <f>Graph_Ophtha!$B12</f>
        <v>6</v>
      </c>
      <c r="H1237" s="165">
        <f>Graph_Ophtha!$C12</f>
        <v>311474.37448667729</v>
      </c>
      <c r="I1237" s="160">
        <f>InputData!$C$3</f>
        <v>0.02</v>
      </c>
      <c r="J1237" s="160">
        <f>InputData!$C$4</f>
        <v>0.01</v>
      </c>
      <c r="K1237" s="160">
        <f>InputData!$C$5</f>
        <v>0.01</v>
      </c>
      <c r="L1237" s="160">
        <f>InputData!$C$6</f>
        <v>6.2100000000000002E-2</v>
      </c>
      <c r="M1237" s="160">
        <f>InputData!$C$7</f>
        <v>0.03</v>
      </c>
      <c r="N1237" s="160">
        <f>InputData!$C$8</f>
        <v>0.02</v>
      </c>
      <c r="O1237" s="160">
        <f>InputData!$C$9</f>
        <v>0.06</v>
      </c>
      <c r="P1237" s="160">
        <f>InputData!$C$10</f>
        <v>0.02</v>
      </c>
      <c r="Q1237" s="160">
        <f>InputData!$C$11</f>
        <v>0.02</v>
      </c>
      <c r="R1237" s="160">
        <f>InputData!$C$12</f>
        <v>0.02</v>
      </c>
      <c r="S1237" s="160">
        <f>InputData!$C$13</f>
        <v>0.9</v>
      </c>
      <c r="T1237" s="116">
        <f>InputData!$C$88</f>
        <v>180000</v>
      </c>
      <c r="U1237" s="116">
        <f>InputData!$C$81</f>
        <v>178500</v>
      </c>
      <c r="V1237" s="116">
        <f>InputData!$C$82</f>
        <v>303960</v>
      </c>
      <c r="W1237" s="116">
        <f>InputData!$C$84</f>
        <v>215220</v>
      </c>
      <c r="X1237" s="116">
        <f>InputData!$C$85</f>
        <v>409020</v>
      </c>
      <c r="Y1237" s="116">
        <f>InputData!$C$116</f>
        <v>140000</v>
      </c>
      <c r="Z1237" s="160">
        <f>InputData!$E$13</f>
        <v>0</v>
      </c>
    </row>
    <row r="1238" spans="1:26" x14ac:dyDescent="0.25">
      <c r="A1238">
        <f>InputData!$K$1</f>
        <v>2013</v>
      </c>
      <c r="B1238" t="str">
        <f>InputData!$G$1</f>
        <v>San Antonio, TX</v>
      </c>
      <c r="C1238" t="s">
        <v>227</v>
      </c>
      <c r="D1238" t="str">
        <f>Graph_Ophtha!$C$6</f>
        <v>USU30</v>
      </c>
      <c r="E1238" t="str">
        <f t="shared" si="19"/>
        <v>Ophthalmology USU30</v>
      </c>
      <c r="F1238">
        <f>Graph_Ophtha!$A13</f>
        <v>2019</v>
      </c>
      <c r="G1238">
        <f>Graph_Ophtha!$B13</f>
        <v>7</v>
      </c>
      <c r="H1238" s="165">
        <f>Graph_Ophtha!$C13</f>
        <v>363115.97670968575</v>
      </c>
      <c r="I1238" s="160">
        <f>InputData!$C$3</f>
        <v>0.02</v>
      </c>
      <c r="J1238" s="160">
        <f>InputData!$C$4</f>
        <v>0.01</v>
      </c>
      <c r="K1238" s="160">
        <f>InputData!$C$5</f>
        <v>0.01</v>
      </c>
      <c r="L1238" s="160">
        <f>InputData!$C$6</f>
        <v>6.2100000000000002E-2</v>
      </c>
      <c r="M1238" s="160">
        <f>InputData!$C$7</f>
        <v>0.03</v>
      </c>
      <c r="N1238" s="160">
        <f>InputData!$C$8</f>
        <v>0.02</v>
      </c>
      <c r="O1238" s="160">
        <f>InputData!$C$9</f>
        <v>0.06</v>
      </c>
      <c r="P1238" s="160">
        <f>InputData!$C$10</f>
        <v>0.02</v>
      </c>
      <c r="Q1238" s="160">
        <f>InputData!$C$11</f>
        <v>0.02</v>
      </c>
      <c r="R1238" s="160">
        <f>InputData!$C$12</f>
        <v>0.02</v>
      </c>
      <c r="S1238" s="160">
        <f>InputData!$C$13</f>
        <v>0.9</v>
      </c>
      <c r="T1238" s="116">
        <f>InputData!$C$88</f>
        <v>180000</v>
      </c>
      <c r="U1238" s="116">
        <f>InputData!$C$81</f>
        <v>178500</v>
      </c>
      <c r="V1238" s="116">
        <f>InputData!$C$82</f>
        <v>303960</v>
      </c>
      <c r="W1238" s="116">
        <f>InputData!$C$84</f>
        <v>215220</v>
      </c>
      <c r="X1238" s="116">
        <f>InputData!$C$85</f>
        <v>409020</v>
      </c>
      <c r="Y1238" s="116">
        <f>InputData!$C$116</f>
        <v>140000</v>
      </c>
      <c r="Z1238" s="160">
        <f>InputData!$E$13</f>
        <v>0</v>
      </c>
    </row>
    <row r="1239" spans="1:26" x14ac:dyDescent="0.25">
      <c r="A1239">
        <f>InputData!$K$1</f>
        <v>2013</v>
      </c>
      <c r="B1239" t="str">
        <f>InputData!$G$1</f>
        <v>San Antonio, TX</v>
      </c>
      <c r="C1239" t="s">
        <v>227</v>
      </c>
      <c r="D1239" t="str">
        <f>Graph_Ophtha!$C$6</f>
        <v>USU30</v>
      </c>
      <c r="E1239" t="str">
        <f t="shared" si="19"/>
        <v>Ophthalmology USU30</v>
      </c>
      <c r="F1239">
        <f>Graph_Ophtha!$A14</f>
        <v>2020</v>
      </c>
      <c r="G1239">
        <f>Graph_Ophtha!$B14</f>
        <v>8</v>
      </c>
      <c r="H1239" s="165">
        <f>Graph_Ophtha!$C14</f>
        <v>414930.34262192424</v>
      </c>
      <c r="I1239" s="160">
        <f>InputData!$C$3</f>
        <v>0.02</v>
      </c>
      <c r="J1239" s="160">
        <f>InputData!$C$4</f>
        <v>0.01</v>
      </c>
      <c r="K1239" s="160">
        <f>InputData!$C$5</f>
        <v>0.01</v>
      </c>
      <c r="L1239" s="160">
        <f>InputData!$C$6</f>
        <v>6.2100000000000002E-2</v>
      </c>
      <c r="M1239" s="160">
        <f>InputData!$C$7</f>
        <v>0.03</v>
      </c>
      <c r="N1239" s="160">
        <f>InputData!$C$8</f>
        <v>0.02</v>
      </c>
      <c r="O1239" s="160">
        <f>InputData!$C$9</f>
        <v>0.06</v>
      </c>
      <c r="P1239" s="160">
        <f>InputData!$C$10</f>
        <v>0.02</v>
      </c>
      <c r="Q1239" s="160">
        <f>InputData!$C$11</f>
        <v>0.02</v>
      </c>
      <c r="R1239" s="160">
        <f>InputData!$C$12</f>
        <v>0.02</v>
      </c>
      <c r="S1239" s="160">
        <f>InputData!$C$13</f>
        <v>0.9</v>
      </c>
      <c r="T1239" s="116">
        <f>InputData!$C$88</f>
        <v>180000</v>
      </c>
      <c r="U1239" s="116">
        <f>InputData!$C$81</f>
        <v>178500</v>
      </c>
      <c r="V1239" s="116">
        <f>InputData!$C$82</f>
        <v>303960</v>
      </c>
      <c r="W1239" s="116">
        <f>InputData!$C$84</f>
        <v>215220</v>
      </c>
      <c r="X1239" s="116">
        <f>InputData!$C$85</f>
        <v>409020</v>
      </c>
      <c r="Y1239" s="116">
        <f>InputData!$C$116</f>
        <v>140000</v>
      </c>
      <c r="Z1239" s="160">
        <f>InputData!$E$13</f>
        <v>0</v>
      </c>
    </row>
    <row r="1240" spans="1:26" x14ac:dyDescent="0.25">
      <c r="A1240">
        <f>InputData!$K$1</f>
        <v>2013</v>
      </c>
      <c r="B1240" t="str">
        <f>InputData!$G$1</f>
        <v>San Antonio, TX</v>
      </c>
      <c r="C1240" t="s">
        <v>227</v>
      </c>
      <c r="D1240" t="str">
        <f>Graph_Ophtha!$C$6</f>
        <v>USU30</v>
      </c>
      <c r="E1240" t="str">
        <f t="shared" si="19"/>
        <v>Ophthalmology USU30</v>
      </c>
      <c r="F1240">
        <f>Graph_Ophtha!$A15</f>
        <v>2021</v>
      </c>
      <c r="G1240">
        <f>Graph_Ophtha!$B15</f>
        <v>9</v>
      </c>
      <c r="H1240" s="165">
        <f>Graph_Ophtha!$C15</f>
        <v>474661.52056107915</v>
      </c>
      <c r="I1240" s="160">
        <f>InputData!$C$3</f>
        <v>0.02</v>
      </c>
      <c r="J1240" s="160">
        <f>InputData!$C$4</f>
        <v>0.01</v>
      </c>
      <c r="K1240" s="160">
        <f>InputData!$C$5</f>
        <v>0.01</v>
      </c>
      <c r="L1240" s="160">
        <f>InputData!$C$6</f>
        <v>6.2100000000000002E-2</v>
      </c>
      <c r="M1240" s="160">
        <f>InputData!$C$7</f>
        <v>0.03</v>
      </c>
      <c r="N1240" s="160">
        <f>InputData!$C$8</f>
        <v>0.02</v>
      </c>
      <c r="O1240" s="160">
        <f>InputData!$C$9</f>
        <v>0.06</v>
      </c>
      <c r="P1240" s="160">
        <f>InputData!$C$10</f>
        <v>0.02</v>
      </c>
      <c r="Q1240" s="160">
        <f>InputData!$C$11</f>
        <v>0.02</v>
      </c>
      <c r="R1240" s="160">
        <f>InputData!$C$12</f>
        <v>0.02</v>
      </c>
      <c r="S1240" s="160">
        <f>InputData!$C$13</f>
        <v>0.9</v>
      </c>
      <c r="T1240" s="116">
        <f>InputData!$C$88</f>
        <v>180000</v>
      </c>
      <c r="U1240" s="116">
        <f>InputData!$C$81</f>
        <v>178500</v>
      </c>
      <c r="V1240" s="116">
        <f>InputData!$C$82</f>
        <v>303960</v>
      </c>
      <c r="W1240" s="116">
        <f>InputData!$C$84</f>
        <v>215220</v>
      </c>
      <c r="X1240" s="116">
        <f>InputData!$C$85</f>
        <v>409020</v>
      </c>
      <c r="Y1240" s="116">
        <f>InputData!$C$116</f>
        <v>140000</v>
      </c>
      <c r="Z1240" s="160">
        <f>InputData!$E$13</f>
        <v>0</v>
      </c>
    </row>
    <row r="1241" spans="1:26" x14ac:dyDescent="0.25">
      <c r="A1241">
        <f>InputData!$K$1</f>
        <v>2013</v>
      </c>
      <c r="B1241" t="str">
        <f>InputData!$G$1</f>
        <v>San Antonio, TX</v>
      </c>
      <c r="C1241" t="s">
        <v>227</v>
      </c>
      <c r="D1241" t="str">
        <f>Graph_Ophtha!$C$6</f>
        <v>USU30</v>
      </c>
      <c r="E1241" t="str">
        <f t="shared" si="19"/>
        <v>Ophthalmology USU30</v>
      </c>
      <c r="F1241">
        <f>Graph_Ophtha!$A16</f>
        <v>2022</v>
      </c>
      <c r="G1241">
        <f>Graph_Ophtha!$B16</f>
        <v>10</v>
      </c>
      <c r="H1241" s="165">
        <f>Graph_Ophtha!$C16</f>
        <v>533314.72387588245</v>
      </c>
      <c r="I1241" s="160">
        <f>InputData!$C$3</f>
        <v>0.02</v>
      </c>
      <c r="J1241" s="160">
        <f>InputData!$C$4</f>
        <v>0.01</v>
      </c>
      <c r="K1241" s="160">
        <f>InputData!$C$5</f>
        <v>0.01</v>
      </c>
      <c r="L1241" s="160">
        <f>InputData!$C$6</f>
        <v>6.2100000000000002E-2</v>
      </c>
      <c r="M1241" s="160">
        <f>InputData!$C$7</f>
        <v>0.03</v>
      </c>
      <c r="N1241" s="160">
        <f>InputData!$C$8</f>
        <v>0.02</v>
      </c>
      <c r="O1241" s="160">
        <f>InputData!$C$9</f>
        <v>0.06</v>
      </c>
      <c r="P1241" s="160">
        <f>InputData!$C$10</f>
        <v>0.02</v>
      </c>
      <c r="Q1241" s="160">
        <f>InputData!$C$11</f>
        <v>0.02</v>
      </c>
      <c r="R1241" s="160">
        <f>InputData!$C$12</f>
        <v>0.02</v>
      </c>
      <c r="S1241" s="160">
        <f>InputData!$C$13</f>
        <v>0.9</v>
      </c>
      <c r="T1241" s="116">
        <f>InputData!$C$88</f>
        <v>180000</v>
      </c>
      <c r="U1241" s="116">
        <f>InputData!$C$81</f>
        <v>178500</v>
      </c>
      <c r="V1241" s="116">
        <f>InputData!$C$82</f>
        <v>303960</v>
      </c>
      <c r="W1241" s="116">
        <f>InputData!$C$84</f>
        <v>215220</v>
      </c>
      <c r="X1241" s="116">
        <f>InputData!$C$85</f>
        <v>409020</v>
      </c>
      <c r="Y1241" s="116">
        <f>InputData!$C$116</f>
        <v>140000</v>
      </c>
      <c r="Z1241" s="160">
        <f>InputData!$E$13</f>
        <v>0</v>
      </c>
    </row>
    <row r="1242" spans="1:26" x14ac:dyDescent="0.25">
      <c r="A1242">
        <f>InputData!$K$1</f>
        <v>2013</v>
      </c>
      <c r="B1242" t="str">
        <f>InputData!$G$1</f>
        <v>San Antonio, TX</v>
      </c>
      <c r="C1242" t="s">
        <v>227</v>
      </c>
      <c r="D1242" t="str">
        <f>Graph_Ophtha!$C$6</f>
        <v>USU30</v>
      </c>
      <c r="E1242" t="str">
        <f t="shared" si="19"/>
        <v>Ophthalmology USU30</v>
      </c>
      <c r="F1242">
        <f>Graph_Ophtha!$A17</f>
        <v>2023</v>
      </c>
      <c r="G1242">
        <f>Graph_Ophtha!$B17</f>
        <v>11</v>
      </c>
      <c r="H1242" s="165">
        <f>Graph_Ophtha!$C17</f>
        <v>597000.51990297018</v>
      </c>
      <c r="I1242" s="160">
        <f>InputData!$C$3</f>
        <v>0.02</v>
      </c>
      <c r="J1242" s="160">
        <f>InputData!$C$4</f>
        <v>0.01</v>
      </c>
      <c r="K1242" s="160">
        <f>InputData!$C$5</f>
        <v>0.01</v>
      </c>
      <c r="L1242" s="160">
        <f>InputData!$C$6</f>
        <v>6.2100000000000002E-2</v>
      </c>
      <c r="M1242" s="160">
        <f>InputData!$C$7</f>
        <v>0.03</v>
      </c>
      <c r="N1242" s="160">
        <f>InputData!$C$8</f>
        <v>0.02</v>
      </c>
      <c r="O1242" s="160">
        <f>InputData!$C$9</f>
        <v>0.06</v>
      </c>
      <c r="P1242" s="160">
        <f>InputData!$C$10</f>
        <v>0.02</v>
      </c>
      <c r="Q1242" s="160">
        <f>InputData!$C$11</f>
        <v>0.02</v>
      </c>
      <c r="R1242" s="160">
        <f>InputData!$C$12</f>
        <v>0.02</v>
      </c>
      <c r="S1242" s="160">
        <f>InputData!$C$13</f>
        <v>0.9</v>
      </c>
      <c r="T1242" s="116">
        <f>InputData!$C$88</f>
        <v>180000</v>
      </c>
      <c r="U1242" s="116">
        <f>InputData!$C$81</f>
        <v>178500</v>
      </c>
      <c r="V1242" s="116">
        <f>InputData!$C$82</f>
        <v>303960</v>
      </c>
      <c r="W1242" s="116">
        <f>InputData!$C$84</f>
        <v>215220</v>
      </c>
      <c r="X1242" s="116">
        <f>InputData!$C$85</f>
        <v>409020</v>
      </c>
      <c r="Y1242" s="116">
        <f>InputData!$C$116</f>
        <v>140000</v>
      </c>
      <c r="Z1242" s="160">
        <f>InputData!$E$13</f>
        <v>0</v>
      </c>
    </row>
    <row r="1243" spans="1:26" x14ac:dyDescent="0.25">
      <c r="A1243">
        <f>InputData!$K$1</f>
        <v>2013</v>
      </c>
      <c r="B1243" t="str">
        <f>InputData!$G$1</f>
        <v>San Antonio, TX</v>
      </c>
      <c r="C1243" t="s">
        <v>227</v>
      </c>
      <c r="D1243" t="str">
        <f>Graph_Ophtha!$C$6</f>
        <v>USU30</v>
      </c>
      <c r="E1243" t="str">
        <f t="shared" si="19"/>
        <v>Ophthalmology USU30</v>
      </c>
      <c r="F1243">
        <f>Graph_Ophtha!$A18</f>
        <v>2024</v>
      </c>
      <c r="G1243">
        <f>Graph_Ophtha!$B18</f>
        <v>12</v>
      </c>
      <c r="H1243" s="165">
        <f>Graph_Ophtha!$C18</f>
        <v>658271.74611536425</v>
      </c>
      <c r="I1243" s="160">
        <f>InputData!$C$3</f>
        <v>0.02</v>
      </c>
      <c r="J1243" s="160">
        <f>InputData!$C$4</f>
        <v>0.01</v>
      </c>
      <c r="K1243" s="160">
        <f>InputData!$C$5</f>
        <v>0.01</v>
      </c>
      <c r="L1243" s="160">
        <f>InputData!$C$6</f>
        <v>6.2100000000000002E-2</v>
      </c>
      <c r="M1243" s="160">
        <f>InputData!$C$7</f>
        <v>0.03</v>
      </c>
      <c r="N1243" s="160">
        <f>InputData!$C$8</f>
        <v>0.02</v>
      </c>
      <c r="O1243" s="160">
        <f>InputData!$C$9</f>
        <v>0.06</v>
      </c>
      <c r="P1243" s="160">
        <f>InputData!$C$10</f>
        <v>0.02</v>
      </c>
      <c r="Q1243" s="160">
        <f>InputData!$C$11</f>
        <v>0.02</v>
      </c>
      <c r="R1243" s="160">
        <f>InputData!$C$12</f>
        <v>0.02</v>
      </c>
      <c r="S1243" s="160">
        <f>InputData!$C$13</f>
        <v>0.9</v>
      </c>
      <c r="T1243" s="116">
        <f>InputData!$C$88</f>
        <v>180000</v>
      </c>
      <c r="U1243" s="116">
        <f>InputData!$C$81</f>
        <v>178500</v>
      </c>
      <c r="V1243" s="116">
        <f>InputData!$C$82</f>
        <v>303960</v>
      </c>
      <c r="W1243" s="116">
        <f>InputData!$C$84</f>
        <v>215220</v>
      </c>
      <c r="X1243" s="116">
        <f>InputData!$C$85</f>
        <v>409020</v>
      </c>
      <c r="Y1243" s="116">
        <f>InputData!$C$116</f>
        <v>140000</v>
      </c>
      <c r="Z1243" s="160">
        <f>InputData!$E$13</f>
        <v>0</v>
      </c>
    </row>
    <row r="1244" spans="1:26" x14ac:dyDescent="0.25">
      <c r="A1244">
        <f>InputData!$K$1</f>
        <v>2013</v>
      </c>
      <c r="B1244" t="str">
        <f>InputData!$G$1</f>
        <v>San Antonio, TX</v>
      </c>
      <c r="C1244" t="s">
        <v>227</v>
      </c>
      <c r="D1244" t="str">
        <f>Graph_Ophtha!$C$6</f>
        <v>USU30</v>
      </c>
      <c r="E1244" t="str">
        <f t="shared" si="19"/>
        <v>Ophthalmology USU30</v>
      </c>
      <c r="F1244">
        <f>Graph_Ophtha!$A19</f>
        <v>2025</v>
      </c>
      <c r="G1244">
        <f>Graph_Ophtha!$B19</f>
        <v>13</v>
      </c>
      <c r="H1244" s="165">
        <f>Graph_Ophtha!$C19</f>
        <v>718698.20947738958</v>
      </c>
      <c r="I1244" s="160">
        <f>InputData!$C$3</f>
        <v>0.02</v>
      </c>
      <c r="J1244" s="160">
        <f>InputData!$C$4</f>
        <v>0.01</v>
      </c>
      <c r="K1244" s="160">
        <f>InputData!$C$5</f>
        <v>0.01</v>
      </c>
      <c r="L1244" s="160">
        <f>InputData!$C$6</f>
        <v>6.2100000000000002E-2</v>
      </c>
      <c r="M1244" s="160">
        <f>InputData!$C$7</f>
        <v>0.03</v>
      </c>
      <c r="N1244" s="160">
        <f>InputData!$C$8</f>
        <v>0.02</v>
      </c>
      <c r="O1244" s="160">
        <f>InputData!$C$9</f>
        <v>0.06</v>
      </c>
      <c r="P1244" s="160">
        <f>InputData!$C$10</f>
        <v>0.02</v>
      </c>
      <c r="Q1244" s="160">
        <f>InputData!$C$11</f>
        <v>0.02</v>
      </c>
      <c r="R1244" s="160">
        <f>InputData!$C$12</f>
        <v>0.02</v>
      </c>
      <c r="S1244" s="160">
        <f>InputData!$C$13</f>
        <v>0.9</v>
      </c>
      <c r="T1244" s="116">
        <f>InputData!$C$88</f>
        <v>180000</v>
      </c>
      <c r="U1244" s="116">
        <f>InputData!$C$81</f>
        <v>178500</v>
      </c>
      <c r="V1244" s="116">
        <f>InputData!$C$82</f>
        <v>303960</v>
      </c>
      <c r="W1244" s="116">
        <f>InputData!$C$84</f>
        <v>215220</v>
      </c>
      <c r="X1244" s="116">
        <f>InputData!$C$85</f>
        <v>409020</v>
      </c>
      <c r="Y1244" s="116">
        <f>InputData!$C$116</f>
        <v>140000</v>
      </c>
      <c r="Z1244" s="160">
        <f>InputData!$E$13</f>
        <v>0</v>
      </c>
    </row>
    <row r="1245" spans="1:26" x14ac:dyDescent="0.25">
      <c r="A1245">
        <f>InputData!$K$1</f>
        <v>2013</v>
      </c>
      <c r="B1245" t="str">
        <f>InputData!$G$1</f>
        <v>San Antonio, TX</v>
      </c>
      <c r="C1245" t="s">
        <v>227</v>
      </c>
      <c r="D1245" t="str">
        <f>Graph_Ophtha!$C$6</f>
        <v>USU30</v>
      </c>
      <c r="E1245" t="str">
        <f t="shared" si="19"/>
        <v>Ophthalmology USU30</v>
      </c>
      <c r="F1245">
        <f>Graph_Ophtha!$A20</f>
        <v>2026</v>
      </c>
      <c r="G1245">
        <f>Graph_Ophtha!$B20</f>
        <v>14</v>
      </c>
      <c r="H1245" s="165">
        <f>Graph_Ophtha!$C20</f>
        <v>776833.3869198251</v>
      </c>
      <c r="I1245" s="160">
        <f>InputData!$C$3</f>
        <v>0.02</v>
      </c>
      <c r="J1245" s="160">
        <f>InputData!$C$4</f>
        <v>0.01</v>
      </c>
      <c r="K1245" s="160">
        <f>InputData!$C$5</f>
        <v>0.01</v>
      </c>
      <c r="L1245" s="160">
        <f>InputData!$C$6</f>
        <v>6.2100000000000002E-2</v>
      </c>
      <c r="M1245" s="160">
        <f>InputData!$C$7</f>
        <v>0.03</v>
      </c>
      <c r="N1245" s="160">
        <f>InputData!$C$8</f>
        <v>0.02</v>
      </c>
      <c r="O1245" s="160">
        <f>InputData!$C$9</f>
        <v>0.06</v>
      </c>
      <c r="P1245" s="160">
        <f>InputData!$C$10</f>
        <v>0.02</v>
      </c>
      <c r="Q1245" s="160">
        <f>InputData!$C$11</f>
        <v>0.02</v>
      </c>
      <c r="R1245" s="160">
        <f>InputData!$C$12</f>
        <v>0.02</v>
      </c>
      <c r="S1245" s="160">
        <f>InputData!$C$13</f>
        <v>0.9</v>
      </c>
      <c r="T1245" s="116">
        <f>InputData!$C$88</f>
        <v>180000</v>
      </c>
      <c r="U1245" s="116">
        <f>InputData!$C$81</f>
        <v>178500</v>
      </c>
      <c r="V1245" s="116">
        <f>InputData!$C$82</f>
        <v>303960</v>
      </c>
      <c r="W1245" s="116">
        <f>InputData!$C$84</f>
        <v>215220</v>
      </c>
      <c r="X1245" s="116">
        <f>InputData!$C$85</f>
        <v>409020</v>
      </c>
      <c r="Y1245" s="116">
        <f>InputData!$C$116</f>
        <v>140000</v>
      </c>
      <c r="Z1245" s="160">
        <f>InputData!$E$13</f>
        <v>0</v>
      </c>
    </row>
    <row r="1246" spans="1:26" x14ac:dyDescent="0.25">
      <c r="A1246">
        <f>InputData!$K$1</f>
        <v>2013</v>
      </c>
      <c r="B1246" t="str">
        <f>InputData!$G$1</f>
        <v>San Antonio, TX</v>
      </c>
      <c r="C1246" t="s">
        <v>227</v>
      </c>
      <c r="D1246" t="str">
        <f>Graph_Ophtha!$C$6</f>
        <v>USU30</v>
      </c>
      <c r="E1246" t="str">
        <f t="shared" si="19"/>
        <v>Ophthalmology USU30</v>
      </c>
      <c r="F1246">
        <f>Graph_Ophtha!$A21</f>
        <v>2027</v>
      </c>
      <c r="G1246">
        <f>Graph_Ophtha!$B21</f>
        <v>15</v>
      </c>
      <c r="H1246" s="165">
        <f>Graph_Ophtha!$C21</f>
        <v>834903.67436399602</v>
      </c>
      <c r="I1246" s="160">
        <f>InputData!$C$3</f>
        <v>0.02</v>
      </c>
      <c r="J1246" s="160">
        <f>InputData!$C$4</f>
        <v>0.01</v>
      </c>
      <c r="K1246" s="160">
        <f>InputData!$C$5</f>
        <v>0.01</v>
      </c>
      <c r="L1246" s="160">
        <f>InputData!$C$6</f>
        <v>6.2100000000000002E-2</v>
      </c>
      <c r="M1246" s="160">
        <f>InputData!$C$7</f>
        <v>0.03</v>
      </c>
      <c r="N1246" s="160">
        <f>InputData!$C$8</f>
        <v>0.02</v>
      </c>
      <c r="O1246" s="160">
        <f>InputData!$C$9</f>
        <v>0.06</v>
      </c>
      <c r="P1246" s="160">
        <f>InputData!$C$10</f>
        <v>0.02</v>
      </c>
      <c r="Q1246" s="160">
        <f>InputData!$C$11</f>
        <v>0.02</v>
      </c>
      <c r="R1246" s="160">
        <f>InputData!$C$12</f>
        <v>0.02</v>
      </c>
      <c r="S1246" s="160">
        <f>InputData!$C$13</f>
        <v>0.9</v>
      </c>
      <c r="T1246" s="116">
        <f>InputData!$C$88</f>
        <v>180000</v>
      </c>
      <c r="U1246" s="116">
        <f>InputData!$C$81</f>
        <v>178500</v>
      </c>
      <c r="V1246" s="116">
        <f>InputData!$C$82</f>
        <v>303960</v>
      </c>
      <c r="W1246" s="116">
        <f>InputData!$C$84</f>
        <v>215220</v>
      </c>
      <c r="X1246" s="116">
        <f>InputData!$C$85</f>
        <v>409020</v>
      </c>
      <c r="Y1246" s="116">
        <f>InputData!$C$116</f>
        <v>140000</v>
      </c>
      <c r="Z1246" s="160">
        <f>InputData!$E$13</f>
        <v>0</v>
      </c>
    </row>
    <row r="1247" spans="1:26" x14ac:dyDescent="0.25">
      <c r="A1247">
        <f>InputData!$K$1</f>
        <v>2013</v>
      </c>
      <c r="B1247" t="str">
        <f>InputData!$G$1</f>
        <v>San Antonio, TX</v>
      </c>
      <c r="C1247" t="s">
        <v>227</v>
      </c>
      <c r="D1247" t="str">
        <f>Graph_Ophtha!$C$6</f>
        <v>USU30</v>
      </c>
      <c r="E1247" t="str">
        <f t="shared" si="19"/>
        <v>Ophthalmology USU30</v>
      </c>
      <c r="F1247">
        <f>Graph_Ophtha!$A22</f>
        <v>2028</v>
      </c>
      <c r="G1247">
        <f>Graph_Ophtha!$B22</f>
        <v>16</v>
      </c>
      <c r="H1247" s="165">
        <f>Graph_Ophtha!$C22</f>
        <v>911525.4134748918</v>
      </c>
      <c r="I1247" s="160">
        <f>InputData!$C$3</f>
        <v>0.02</v>
      </c>
      <c r="J1247" s="160">
        <f>InputData!$C$4</f>
        <v>0.01</v>
      </c>
      <c r="K1247" s="160">
        <f>InputData!$C$5</f>
        <v>0.01</v>
      </c>
      <c r="L1247" s="160">
        <f>InputData!$C$6</f>
        <v>6.2100000000000002E-2</v>
      </c>
      <c r="M1247" s="160">
        <f>InputData!$C$7</f>
        <v>0.03</v>
      </c>
      <c r="N1247" s="160">
        <f>InputData!$C$8</f>
        <v>0.02</v>
      </c>
      <c r="O1247" s="160">
        <f>InputData!$C$9</f>
        <v>0.06</v>
      </c>
      <c r="P1247" s="160">
        <f>InputData!$C$10</f>
        <v>0.02</v>
      </c>
      <c r="Q1247" s="160">
        <f>InputData!$C$11</f>
        <v>0.02</v>
      </c>
      <c r="R1247" s="160">
        <f>InputData!$C$12</f>
        <v>0.02</v>
      </c>
      <c r="S1247" s="160">
        <f>InputData!$C$13</f>
        <v>0.9</v>
      </c>
      <c r="T1247" s="116">
        <f>InputData!$C$88</f>
        <v>180000</v>
      </c>
      <c r="U1247" s="116">
        <f>InputData!$C$81</f>
        <v>178500</v>
      </c>
      <c r="V1247" s="116">
        <f>InputData!$C$82</f>
        <v>303960</v>
      </c>
      <c r="W1247" s="116">
        <f>InputData!$C$84</f>
        <v>215220</v>
      </c>
      <c r="X1247" s="116">
        <f>InputData!$C$85</f>
        <v>409020</v>
      </c>
      <c r="Y1247" s="116">
        <f>InputData!$C$116</f>
        <v>140000</v>
      </c>
      <c r="Z1247" s="160">
        <f>InputData!$E$13</f>
        <v>0</v>
      </c>
    </row>
    <row r="1248" spans="1:26" x14ac:dyDescent="0.25">
      <c r="A1248">
        <f>InputData!$K$1</f>
        <v>2013</v>
      </c>
      <c r="B1248" t="str">
        <f>InputData!$G$1</f>
        <v>San Antonio, TX</v>
      </c>
      <c r="C1248" t="s">
        <v>227</v>
      </c>
      <c r="D1248" t="str">
        <f>Graph_Ophtha!$C$6</f>
        <v>USU30</v>
      </c>
      <c r="E1248" t="str">
        <f t="shared" si="19"/>
        <v>Ophthalmology USU30</v>
      </c>
      <c r="F1248">
        <f>Graph_Ophtha!$A23</f>
        <v>2029</v>
      </c>
      <c r="G1248">
        <f>Graph_Ophtha!$B23</f>
        <v>17</v>
      </c>
      <c r="H1248" s="165">
        <f>Graph_Ophtha!$C23</f>
        <v>987866.92202686938</v>
      </c>
      <c r="I1248" s="160">
        <f>InputData!$C$3</f>
        <v>0.02</v>
      </c>
      <c r="J1248" s="160">
        <f>InputData!$C$4</f>
        <v>0.01</v>
      </c>
      <c r="K1248" s="160">
        <f>InputData!$C$5</f>
        <v>0.01</v>
      </c>
      <c r="L1248" s="160">
        <f>InputData!$C$6</f>
        <v>6.2100000000000002E-2</v>
      </c>
      <c r="M1248" s="160">
        <f>InputData!$C$7</f>
        <v>0.03</v>
      </c>
      <c r="N1248" s="160">
        <f>InputData!$C$8</f>
        <v>0.02</v>
      </c>
      <c r="O1248" s="160">
        <f>InputData!$C$9</f>
        <v>0.06</v>
      </c>
      <c r="P1248" s="160">
        <f>InputData!$C$10</f>
        <v>0.02</v>
      </c>
      <c r="Q1248" s="160">
        <f>InputData!$C$11</f>
        <v>0.02</v>
      </c>
      <c r="R1248" s="160">
        <f>InputData!$C$12</f>
        <v>0.02</v>
      </c>
      <c r="S1248" s="160">
        <f>InputData!$C$13</f>
        <v>0.9</v>
      </c>
      <c r="T1248" s="116">
        <f>InputData!$C$88</f>
        <v>180000</v>
      </c>
      <c r="U1248" s="116">
        <f>InputData!$C$81</f>
        <v>178500</v>
      </c>
      <c r="V1248" s="116">
        <f>InputData!$C$82</f>
        <v>303960</v>
      </c>
      <c r="W1248" s="116">
        <f>InputData!$C$84</f>
        <v>215220</v>
      </c>
      <c r="X1248" s="116">
        <f>InputData!$C$85</f>
        <v>409020</v>
      </c>
      <c r="Y1248" s="116">
        <f>InputData!$C$116</f>
        <v>140000</v>
      </c>
      <c r="Z1248" s="160">
        <f>InputData!$E$13</f>
        <v>0</v>
      </c>
    </row>
    <row r="1249" spans="1:26" x14ac:dyDescent="0.25">
      <c r="A1249">
        <f>InputData!$K$1</f>
        <v>2013</v>
      </c>
      <c r="B1249" t="str">
        <f>InputData!$G$1</f>
        <v>San Antonio, TX</v>
      </c>
      <c r="C1249" t="s">
        <v>227</v>
      </c>
      <c r="D1249" t="str">
        <f>Graph_Ophtha!$C$6</f>
        <v>USU30</v>
      </c>
      <c r="E1249" t="str">
        <f t="shared" si="19"/>
        <v>Ophthalmology USU30</v>
      </c>
      <c r="F1249">
        <f>Graph_Ophtha!$A24</f>
        <v>2030</v>
      </c>
      <c r="G1249">
        <f>Graph_Ophtha!$B24</f>
        <v>18</v>
      </c>
      <c r="H1249" s="165">
        <f>Graph_Ophtha!$C24</f>
        <v>1061272.8205898602</v>
      </c>
      <c r="I1249" s="160">
        <f>InputData!$C$3</f>
        <v>0.02</v>
      </c>
      <c r="J1249" s="160">
        <f>InputData!$C$4</f>
        <v>0.01</v>
      </c>
      <c r="K1249" s="160">
        <f>InputData!$C$5</f>
        <v>0.01</v>
      </c>
      <c r="L1249" s="160">
        <f>InputData!$C$6</f>
        <v>6.2100000000000002E-2</v>
      </c>
      <c r="M1249" s="160">
        <f>InputData!$C$7</f>
        <v>0.03</v>
      </c>
      <c r="N1249" s="160">
        <f>InputData!$C$8</f>
        <v>0.02</v>
      </c>
      <c r="O1249" s="160">
        <f>InputData!$C$9</f>
        <v>0.06</v>
      </c>
      <c r="P1249" s="160">
        <f>InputData!$C$10</f>
        <v>0.02</v>
      </c>
      <c r="Q1249" s="160">
        <f>InputData!$C$11</f>
        <v>0.02</v>
      </c>
      <c r="R1249" s="160">
        <f>InputData!$C$12</f>
        <v>0.02</v>
      </c>
      <c r="S1249" s="160">
        <f>InputData!$C$13</f>
        <v>0.9</v>
      </c>
      <c r="T1249" s="116">
        <f>InputData!$C$88</f>
        <v>180000</v>
      </c>
      <c r="U1249" s="116">
        <f>InputData!$C$81</f>
        <v>178500</v>
      </c>
      <c r="V1249" s="116">
        <f>InputData!$C$82</f>
        <v>303960</v>
      </c>
      <c r="W1249" s="116">
        <f>InputData!$C$84</f>
        <v>215220</v>
      </c>
      <c r="X1249" s="116">
        <f>InputData!$C$85</f>
        <v>409020</v>
      </c>
      <c r="Y1249" s="116">
        <f>InputData!$C$116</f>
        <v>140000</v>
      </c>
      <c r="Z1249" s="160">
        <f>InputData!$E$13</f>
        <v>0</v>
      </c>
    </row>
    <row r="1250" spans="1:26" x14ac:dyDescent="0.25">
      <c r="A1250">
        <f>InputData!$K$1</f>
        <v>2013</v>
      </c>
      <c r="B1250" t="str">
        <f>InputData!$G$1</f>
        <v>San Antonio, TX</v>
      </c>
      <c r="C1250" t="s">
        <v>227</v>
      </c>
      <c r="D1250" t="str">
        <f>Graph_Ophtha!$C$6</f>
        <v>USU30</v>
      </c>
      <c r="E1250" t="str">
        <f t="shared" si="19"/>
        <v>Ophthalmology USU30</v>
      </c>
      <c r="F1250">
        <f>Graph_Ophtha!$A25</f>
        <v>2031</v>
      </c>
      <c r="G1250">
        <f>Graph_Ophtha!$B25</f>
        <v>19</v>
      </c>
      <c r="H1250" s="165">
        <f>Graph_Ophtha!$C25</f>
        <v>1133134.2945309146</v>
      </c>
      <c r="I1250" s="160">
        <f>InputData!$C$3</f>
        <v>0.02</v>
      </c>
      <c r="J1250" s="160">
        <f>InputData!$C$4</f>
        <v>0.01</v>
      </c>
      <c r="K1250" s="160">
        <f>InputData!$C$5</f>
        <v>0.01</v>
      </c>
      <c r="L1250" s="160">
        <f>InputData!$C$6</f>
        <v>6.2100000000000002E-2</v>
      </c>
      <c r="M1250" s="160">
        <f>InputData!$C$7</f>
        <v>0.03</v>
      </c>
      <c r="N1250" s="160">
        <f>InputData!$C$8</f>
        <v>0.02</v>
      </c>
      <c r="O1250" s="160">
        <f>InputData!$C$9</f>
        <v>0.06</v>
      </c>
      <c r="P1250" s="160">
        <f>InputData!$C$10</f>
        <v>0.02</v>
      </c>
      <c r="Q1250" s="160">
        <f>InputData!$C$11</f>
        <v>0.02</v>
      </c>
      <c r="R1250" s="160">
        <f>InputData!$C$12</f>
        <v>0.02</v>
      </c>
      <c r="S1250" s="160">
        <f>InputData!$C$13</f>
        <v>0.9</v>
      </c>
      <c r="T1250" s="116">
        <f>InputData!$C$88</f>
        <v>180000</v>
      </c>
      <c r="U1250" s="116">
        <f>InputData!$C$81</f>
        <v>178500</v>
      </c>
      <c r="V1250" s="116">
        <f>InputData!$C$82</f>
        <v>303960</v>
      </c>
      <c r="W1250" s="116">
        <f>InputData!$C$84</f>
        <v>215220</v>
      </c>
      <c r="X1250" s="116">
        <f>InputData!$C$85</f>
        <v>409020</v>
      </c>
      <c r="Y1250" s="116">
        <f>InputData!$C$116</f>
        <v>140000</v>
      </c>
      <c r="Z1250" s="160">
        <f>InputData!$E$13</f>
        <v>0</v>
      </c>
    </row>
    <row r="1251" spans="1:26" x14ac:dyDescent="0.25">
      <c r="A1251">
        <f>InputData!$K$1</f>
        <v>2013</v>
      </c>
      <c r="B1251" t="str">
        <f>InputData!$G$1</f>
        <v>San Antonio, TX</v>
      </c>
      <c r="C1251" t="s">
        <v>227</v>
      </c>
      <c r="D1251" t="str">
        <f>Graph_Ophtha!$C$6</f>
        <v>USU30</v>
      </c>
      <c r="E1251" t="str">
        <f t="shared" si="19"/>
        <v>Ophthalmology USU30</v>
      </c>
      <c r="F1251">
        <f>Graph_Ophtha!$A26</f>
        <v>2032</v>
      </c>
      <c r="G1251">
        <f>Graph_Ophtha!$B26</f>
        <v>20</v>
      </c>
      <c r="H1251" s="165">
        <f>Graph_Ophtha!$C26</f>
        <v>1202232.45084336</v>
      </c>
      <c r="I1251" s="160">
        <f>InputData!$C$3</f>
        <v>0.02</v>
      </c>
      <c r="J1251" s="160">
        <f>InputData!$C$4</f>
        <v>0.01</v>
      </c>
      <c r="K1251" s="160">
        <f>InputData!$C$5</f>
        <v>0.01</v>
      </c>
      <c r="L1251" s="160">
        <f>InputData!$C$6</f>
        <v>6.2100000000000002E-2</v>
      </c>
      <c r="M1251" s="160">
        <f>InputData!$C$7</f>
        <v>0.03</v>
      </c>
      <c r="N1251" s="160">
        <f>InputData!$C$8</f>
        <v>0.02</v>
      </c>
      <c r="O1251" s="160">
        <f>InputData!$C$9</f>
        <v>0.06</v>
      </c>
      <c r="P1251" s="160">
        <f>InputData!$C$10</f>
        <v>0.02</v>
      </c>
      <c r="Q1251" s="160">
        <f>InputData!$C$11</f>
        <v>0.02</v>
      </c>
      <c r="R1251" s="160">
        <f>InputData!$C$12</f>
        <v>0.02</v>
      </c>
      <c r="S1251" s="160">
        <f>InputData!$C$13</f>
        <v>0.9</v>
      </c>
      <c r="T1251" s="116">
        <f>InputData!$C$88</f>
        <v>180000</v>
      </c>
      <c r="U1251" s="116">
        <f>InputData!$C$81</f>
        <v>178500</v>
      </c>
      <c r="V1251" s="116">
        <f>InputData!$C$82</f>
        <v>303960</v>
      </c>
      <c r="W1251" s="116">
        <f>InputData!$C$84</f>
        <v>215220</v>
      </c>
      <c r="X1251" s="116">
        <f>InputData!$C$85</f>
        <v>409020</v>
      </c>
      <c r="Y1251" s="116">
        <f>InputData!$C$116</f>
        <v>140000</v>
      </c>
      <c r="Z1251" s="160">
        <f>InputData!$E$13</f>
        <v>0</v>
      </c>
    </row>
    <row r="1252" spans="1:26" x14ac:dyDescent="0.25">
      <c r="A1252">
        <f>InputData!$K$1</f>
        <v>2013</v>
      </c>
      <c r="B1252" t="str">
        <f>InputData!$G$1</f>
        <v>San Antonio, TX</v>
      </c>
      <c r="C1252" t="s">
        <v>227</v>
      </c>
      <c r="D1252" t="str">
        <f>Graph_Ophtha!$C$6</f>
        <v>USU30</v>
      </c>
      <c r="E1252" t="str">
        <f t="shared" si="19"/>
        <v>Ophthalmology USU30</v>
      </c>
      <c r="F1252">
        <f>Graph_Ophtha!$A27</f>
        <v>2033</v>
      </c>
      <c r="G1252">
        <f>Graph_Ophtha!$B27</f>
        <v>21</v>
      </c>
      <c r="H1252" s="165">
        <f>Graph_Ophtha!$C27</f>
        <v>1270481.9780365375</v>
      </c>
      <c r="I1252" s="160">
        <f>InputData!$C$3</f>
        <v>0.02</v>
      </c>
      <c r="J1252" s="160">
        <f>InputData!$C$4</f>
        <v>0.01</v>
      </c>
      <c r="K1252" s="160">
        <f>InputData!$C$5</f>
        <v>0.01</v>
      </c>
      <c r="L1252" s="160">
        <f>InputData!$C$6</f>
        <v>6.2100000000000002E-2</v>
      </c>
      <c r="M1252" s="160">
        <f>InputData!$C$7</f>
        <v>0.03</v>
      </c>
      <c r="N1252" s="160">
        <f>InputData!$C$8</f>
        <v>0.02</v>
      </c>
      <c r="O1252" s="160">
        <f>InputData!$C$9</f>
        <v>0.06</v>
      </c>
      <c r="P1252" s="160">
        <f>InputData!$C$10</f>
        <v>0.02</v>
      </c>
      <c r="Q1252" s="160">
        <f>InputData!$C$11</f>
        <v>0.02</v>
      </c>
      <c r="R1252" s="160">
        <f>InputData!$C$12</f>
        <v>0.02</v>
      </c>
      <c r="S1252" s="160">
        <f>InputData!$C$13</f>
        <v>0.9</v>
      </c>
      <c r="T1252" s="116">
        <f>InputData!$C$88</f>
        <v>180000</v>
      </c>
      <c r="U1252" s="116">
        <f>InputData!$C$81</f>
        <v>178500</v>
      </c>
      <c r="V1252" s="116">
        <f>InputData!$C$82</f>
        <v>303960</v>
      </c>
      <c r="W1252" s="116">
        <f>InputData!$C$84</f>
        <v>215220</v>
      </c>
      <c r="X1252" s="116">
        <f>InputData!$C$85</f>
        <v>409020</v>
      </c>
      <c r="Y1252" s="116">
        <f>InputData!$C$116</f>
        <v>140000</v>
      </c>
      <c r="Z1252" s="160">
        <f>InputData!$E$13</f>
        <v>0</v>
      </c>
    </row>
    <row r="1253" spans="1:26" x14ac:dyDescent="0.25">
      <c r="A1253">
        <f>InputData!$K$1</f>
        <v>2013</v>
      </c>
      <c r="B1253" t="str">
        <f>InputData!$G$1</f>
        <v>San Antonio, TX</v>
      </c>
      <c r="C1253" t="s">
        <v>227</v>
      </c>
      <c r="D1253" t="str">
        <f>Graph_Ophtha!$C$6</f>
        <v>USU30</v>
      </c>
      <c r="E1253" t="str">
        <f t="shared" si="19"/>
        <v>Ophthalmology USU30</v>
      </c>
      <c r="F1253">
        <f>Graph_Ophtha!$A28</f>
        <v>2034</v>
      </c>
      <c r="G1253">
        <f>Graph_Ophtha!$B28</f>
        <v>22</v>
      </c>
      <c r="H1253" s="165">
        <f>Graph_Ophtha!$C28</f>
        <v>1336106.981097888</v>
      </c>
      <c r="I1253" s="160">
        <f>InputData!$C$3</f>
        <v>0.02</v>
      </c>
      <c r="J1253" s="160">
        <f>InputData!$C$4</f>
        <v>0.01</v>
      </c>
      <c r="K1253" s="160">
        <f>InputData!$C$5</f>
        <v>0.01</v>
      </c>
      <c r="L1253" s="160">
        <f>InputData!$C$6</f>
        <v>6.2100000000000002E-2</v>
      </c>
      <c r="M1253" s="160">
        <f>InputData!$C$7</f>
        <v>0.03</v>
      </c>
      <c r="N1253" s="160">
        <f>InputData!$C$8</f>
        <v>0.02</v>
      </c>
      <c r="O1253" s="160">
        <f>InputData!$C$9</f>
        <v>0.06</v>
      </c>
      <c r="P1253" s="160">
        <f>InputData!$C$10</f>
        <v>0.02</v>
      </c>
      <c r="Q1253" s="160">
        <f>InputData!$C$11</f>
        <v>0.02</v>
      </c>
      <c r="R1253" s="160">
        <f>InputData!$C$12</f>
        <v>0.02</v>
      </c>
      <c r="S1253" s="160">
        <f>InputData!$C$13</f>
        <v>0.9</v>
      </c>
      <c r="T1253" s="116">
        <f>InputData!$C$88</f>
        <v>180000</v>
      </c>
      <c r="U1253" s="116">
        <f>InputData!$C$81</f>
        <v>178500</v>
      </c>
      <c r="V1253" s="116">
        <f>InputData!$C$82</f>
        <v>303960</v>
      </c>
      <c r="W1253" s="116">
        <f>InputData!$C$84</f>
        <v>215220</v>
      </c>
      <c r="X1253" s="116">
        <f>InputData!$C$85</f>
        <v>409020</v>
      </c>
      <c r="Y1253" s="116">
        <f>InputData!$C$116</f>
        <v>140000</v>
      </c>
      <c r="Z1253" s="160">
        <f>InputData!$E$13</f>
        <v>0</v>
      </c>
    </row>
    <row r="1254" spans="1:26" x14ac:dyDescent="0.25">
      <c r="A1254">
        <f>InputData!$K$1</f>
        <v>2013</v>
      </c>
      <c r="B1254" t="str">
        <f>InputData!$G$1</f>
        <v>San Antonio, TX</v>
      </c>
      <c r="C1254" t="s">
        <v>227</v>
      </c>
      <c r="D1254" t="str">
        <f>Graph_Ophtha!$C$6</f>
        <v>USU30</v>
      </c>
      <c r="E1254" t="str">
        <f t="shared" si="19"/>
        <v>Ophthalmology USU30</v>
      </c>
      <c r="F1254">
        <f>Graph_Ophtha!$A29</f>
        <v>2035</v>
      </c>
      <c r="G1254">
        <f>Graph_Ophtha!$B29</f>
        <v>23</v>
      </c>
      <c r="H1254" s="165">
        <f>Graph_Ophtha!$C29</f>
        <v>1403141.9443251938</v>
      </c>
      <c r="I1254" s="160">
        <f>InputData!$C$3</f>
        <v>0.02</v>
      </c>
      <c r="J1254" s="160">
        <f>InputData!$C$4</f>
        <v>0.01</v>
      </c>
      <c r="K1254" s="160">
        <f>InputData!$C$5</f>
        <v>0.01</v>
      </c>
      <c r="L1254" s="160">
        <f>InputData!$C$6</f>
        <v>6.2100000000000002E-2</v>
      </c>
      <c r="M1254" s="160">
        <f>InputData!$C$7</f>
        <v>0.03</v>
      </c>
      <c r="N1254" s="160">
        <f>InputData!$C$8</f>
        <v>0.02</v>
      </c>
      <c r="O1254" s="160">
        <f>InputData!$C$9</f>
        <v>0.06</v>
      </c>
      <c r="P1254" s="160">
        <f>InputData!$C$10</f>
        <v>0.02</v>
      </c>
      <c r="Q1254" s="160">
        <f>InputData!$C$11</f>
        <v>0.02</v>
      </c>
      <c r="R1254" s="160">
        <f>InputData!$C$12</f>
        <v>0.02</v>
      </c>
      <c r="S1254" s="160">
        <f>InputData!$C$13</f>
        <v>0.9</v>
      </c>
      <c r="T1254" s="116">
        <f>InputData!$C$88</f>
        <v>180000</v>
      </c>
      <c r="U1254" s="116">
        <f>InputData!$C$81</f>
        <v>178500</v>
      </c>
      <c r="V1254" s="116">
        <f>InputData!$C$82</f>
        <v>303960</v>
      </c>
      <c r="W1254" s="116">
        <f>InputData!$C$84</f>
        <v>215220</v>
      </c>
      <c r="X1254" s="116">
        <f>InputData!$C$85</f>
        <v>409020</v>
      </c>
      <c r="Y1254" s="116">
        <f>InputData!$C$116</f>
        <v>140000</v>
      </c>
      <c r="Z1254" s="160">
        <f>InputData!$E$13</f>
        <v>0</v>
      </c>
    </row>
    <row r="1255" spans="1:26" x14ac:dyDescent="0.25">
      <c r="A1255">
        <f>InputData!$K$1</f>
        <v>2013</v>
      </c>
      <c r="B1255" t="str">
        <f>InputData!$G$1</f>
        <v>San Antonio, TX</v>
      </c>
      <c r="C1255" t="s">
        <v>227</v>
      </c>
      <c r="D1255" t="str">
        <f>Graph_Ophtha!$C$6</f>
        <v>USU30</v>
      </c>
      <c r="E1255" t="str">
        <f t="shared" si="19"/>
        <v>Ophthalmology USU30</v>
      </c>
      <c r="F1255">
        <f>Graph_Ophtha!$A30</f>
        <v>2036</v>
      </c>
      <c r="G1255">
        <f>Graph_Ophtha!$B30</f>
        <v>24</v>
      </c>
      <c r="H1255" s="165">
        <f>Graph_Ophtha!$C30</f>
        <v>1467593.1517484181</v>
      </c>
      <c r="I1255" s="160">
        <f>InputData!$C$3</f>
        <v>0.02</v>
      </c>
      <c r="J1255" s="160">
        <f>InputData!$C$4</f>
        <v>0.01</v>
      </c>
      <c r="K1255" s="160">
        <f>InputData!$C$5</f>
        <v>0.01</v>
      </c>
      <c r="L1255" s="160">
        <f>InputData!$C$6</f>
        <v>6.2100000000000002E-2</v>
      </c>
      <c r="M1255" s="160">
        <f>InputData!$C$7</f>
        <v>0.03</v>
      </c>
      <c r="N1255" s="160">
        <f>InputData!$C$8</f>
        <v>0.02</v>
      </c>
      <c r="O1255" s="160">
        <f>InputData!$C$9</f>
        <v>0.06</v>
      </c>
      <c r="P1255" s="160">
        <f>InputData!$C$10</f>
        <v>0.02</v>
      </c>
      <c r="Q1255" s="160">
        <f>InputData!$C$11</f>
        <v>0.02</v>
      </c>
      <c r="R1255" s="160">
        <f>InputData!$C$12</f>
        <v>0.02</v>
      </c>
      <c r="S1255" s="160">
        <f>InputData!$C$13</f>
        <v>0.9</v>
      </c>
      <c r="T1255" s="116">
        <f>InputData!$C$88</f>
        <v>180000</v>
      </c>
      <c r="U1255" s="116">
        <f>InputData!$C$81</f>
        <v>178500</v>
      </c>
      <c r="V1255" s="116">
        <f>InputData!$C$82</f>
        <v>303960</v>
      </c>
      <c r="W1255" s="116">
        <f>InputData!$C$84</f>
        <v>215220</v>
      </c>
      <c r="X1255" s="116">
        <f>InputData!$C$85</f>
        <v>409020</v>
      </c>
      <c r="Y1255" s="116">
        <f>InputData!$C$116</f>
        <v>140000</v>
      </c>
      <c r="Z1255" s="160">
        <f>InputData!$E$13</f>
        <v>0</v>
      </c>
    </row>
    <row r="1256" spans="1:26" x14ac:dyDescent="0.25">
      <c r="A1256">
        <f>InputData!$K$1</f>
        <v>2013</v>
      </c>
      <c r="B1256" t="str">
        <f>InputData!$G$1</f>
        <v>San Antonio, TX</v>
      </c>
      <c r="C1256" t="s">
        <v>227</v>
      </c>
      <c r="D1256" t="str">
        <f>Graph_Ophtha!$C$6</f>
        <v>USU30</v>
      </c>
      <c r="E1256" t="str">
        <f t="shared" si="19"/>
        <v>Ophthalmology USU30</v>
      </c>
      <c r="F1256">
        <f>Graph_Ophtha!$A31</f>
        <v>2037</v>
      </c>
      <c r="G1256">
        <f>Graph_Ophtha!$B31</f>
        <v>25</v>
      </c>
      <c r="H1256" s="165">
        <f>Graph_Ophtha!$C31</f>
        <v>1532395.3463698246</v>
      </c>
      <c r="I1256" s="160">
        <f>InputData!$C$3</f>
        <v>0.02</v>
      </c>
      <c r="J1256" s="160">
        <f>InputData!$C$4</f>
        <v>0.01</v>
      </c>
      <c r="K1256" s="160">
        <f>InputData!$C$5</f>
        <v>0.01</v>
      </c>
      <c r="L1256" s="160">
        <f>InputData!$C$6</f>
        <v>6.2100000000000002E-2</v>
      </c>
      <c r="M1256" s="160">
        <f>InputData!$C$7</f>
        <v>0.03</v>
      </c>
      <c r="N1256" s="160">
        <f>InputData!$C$8</f>
        <v>0.02</v>
      </c>
      <c r="O1256" s="160">
        <f>InputData!$C$9</f>
        <v>0.06</v>
      </c>
      <c r="P1256" s="160">
        <f>InputData!$C$10</f>
        <v>0.02</v>
      </c>
      <c r="Q1256" s="160">
        <f>InputData!$C$11</f>
        <v>0.02</v>
      </c>
      <c r="R1256" s="160">
        <f>InputData!$C$12</f>
        <v>0.02</v>
      </c>
      <c r="S1256" s="160">
        <f>InputData!$C$13</f>
        <v>0.9</v>
      </c>
      <c r="T1256" s="116">
        <f>InputData!$C$88</f>
        <v>180000</v>
      </c>
      <c r="U1256" s="116">
        <f>InputData!$C$81</f>
        <v>178500</v>
      </c>
      <c r="V1256" s="116">
        <f>InputData!$C$82</f>
        <v>303960</v>
      </c>
      <c r="W1256" s="116">
        <f>InputData!$C$84</f>
        <v>215220</v>
      </c>
      <c r="X1256" s="116">
        <f>InputData!$C$85</f>
        <v>409020</v>
      </c>
      <c r="Y1256" s="116">
        <f>InputData!$C$116</f>
        <v>140000</v>
      </c>
      <c r="Z1256" s="160">
        <f>InputData!$E$13</f>
        <v>0</v>
      </c>
    </row>
    <row r="1257" spans="1:26" x14ac:dyDescent="0.25">
      <c r="A1257">
        <f>InputData!$K$1</f>
        <v>2013</v>
      </c>
      <c r="B1257" t="str">
        <f>InputData!$G$1</f>
        <v>San Antonio, TX</v>
      </c>
      <c r="C1257" t="s">
        <v>227</v>
      </c>
      <c r="D1257" t="str">
        <f>Graph_Ophtha!$C$6</f>
        <v>USU30</v>
      </c>
      <c r="E1257" t="str">
        <f t="shared" si="19"/>
        <v>Ophthalmology USU30</v>
      </c>
      <c r="F1257">
        <f>Graph_Ophtha!$A32</f>
        <v>2038</v>
      </c>
      <c r="G1257">
        <f>Graph_Ophtha!$B32</f>
        <v>26</v>
      </c>
      <c r="H1257" s="165">
        <f>Graph_Ophtha!$C32</f>
        <v>1594699.6802598776</v>
      </c>
      <c r="I1257" s="160">
        <f>InputData!$C$3</f>
        <v>0.02</v>
      </c>
      <c r="J1257" s="160">
        <f>InputData!$C$4</f>
        <v>0.01</v>
      </c>
      <c r="K1257" s="160">
        <f>InputData!$C$5</f>
        <v>0.01</v>
      </c>
      <c r="L1257" s="160">
        <f>InputData!$C$6</f>
        <v>6.2100000000000002E-2</v>
      </c>
      <c r="M1257" s="160">
        <f>InputData!$C$7</f>
        <v>0.03</v>
      </c>
      <c r="N1257" s="160">
        <f>InputData!$C$8</f>
        <v>0.02</v>
      </c>
      <c r="O1257" s="160">
        <f>InputData!$C$9</f>
        <v>0.06</v>
      </c>
      <c r="P1257" s="160">
        <f>InputData!$C$10</f>
        <v>0.02</v>
      </c>
      <c r="Q1257" s="160">
        <f>InputData!$C$11</f>
        <v>0.02</v>
      </c>
      <c r="R1257" s="160">
        <f>InputData!$C$12</f>
        <v>0.02</v>
      </c>
      <c r="S1257" s="160">
        <f>InputData!$C$13</f>
        <v>0.9</v>
      </c>
      <c r="T1257" s="116">
        <f>InputData!$C$88</f>
        <v>180000</v>
      </c>
      <c r="U1257" s="116">
        <f>InputData!$C$81</f>
        <v>178500</v>
      </c>
      <c r="V1257" s="116">
        <f>InputData!$C$82</f>
        <v>303960</v>
      </c>
      <c r="W1257" s="116">
        <f>InputData!$C$84</f>
        <v>215220</v>
      </c>
      <c r="X1257" s="116">
        <f>InputData!$C$85</f>
        <v>409020</v>
      </c>
      <c r="Y1257" s="116">
        <f>InputData!$C$116</f>
        <v>140000</v>
      </c>
      <c r="Z1257" s="160">
        <f>InputData!$E$13</f>
        <v>0</v>
      </c>
    </row>
    <row r="1258" spans="1:26" x14ac:dyDescent="0.25">
      <c r="A1258">
        <f>InputData!$K$1</f>
        <v>2013</v>
      </c>
      <c r="B1258" t="str">
        <f>InputData!$G$1</f>
        <v>San Antonio, TX</v>
      </c>
      <c r="C1258" t="s">
        <v>227</v>
      </c>
      <c r="D1258" t="str">
        <f>Graph_Ophtha!$C$6</f>
        <v>USU30</v>
      </c>
      <c r="E1258" t="str">
        <f t="shared" si="19"/>
        <v>Ophthalmology USU30</v>
      </c>
      <c r="F1258">
        <f>Graph_Ophtha!$A33</f>
        <v>2039</v>
      </c>
      <c r="G1258">
        <f>Graph_Ophtha!$B33</f>
        <v>27</v>
      </c>
      <c r="H1258" s="165">
        <f>Graph_Ophtha!$C33</f>
        <v>1656098.3579323683</v>
      </c>
      <c r="I1258" s="160">
        <f>InputData!$C$3</f>
        <v>0.02</v>
      </c>
      <c r="J1258" s="160">
        <f>InputData!$C$4</f>
        <v>0.01</v>
      </c>
      <c r="K1258" s="160">
        <f>InputData!$C$5</f>
        <v>0.01</v>
      </c>
      <c r="L1258" s="160">
        <f>InputData!$C$6</f>
        <v>6.2100000000000002E-2</v>
      </c>
      <c r="M1258" s="160">
        <f>InputData!$C$7</f>
        <v>0.03</v>
      </c>
      <c r="N1258" s="160">
        <f>InputData!$C$8</f>
        <v>0.02</v>
      </c>
      <c r="O1258" s="160">
        <f>InputData!$C$9</f>
        <v>0.06</v>
      </c>
      <c r="P1258" s="160">
        <f>InputData!$C$10</f>
        <v>0.02</v>
      </c>
      <c r="Q1258" s="160">
        <f>InputData!$C$11</f>
        <v>0.02</v>
      </c>
      <c r="R1258" s="160">
        <f>InputData!$C$12</f>
        <v>0.02</v>
      </c>
      <c r="S1258" s="160">
        <f>InputData!$C$13</f>
        <v>0.9</v>
      </c>
      <c r="T1258" s="116">
        <f>InputData!$C$88</f>
        <v>180000</v>
      </c>
      <c r="U1258" s="116">
        <f>InputData!$C$81</f>
        <v>178500</v>
      </c>
      <c r="V1258" s="116">
        <f>InputData!$C$82</f>
        <v>303960</v>
      </c>
      <c r="W1258" s="116">
        <f>InputData!$C$84</f>
        <v>215220</v>
      </c>
      <c r="X1258" s="116">
        <f>InputData!$C$85</f>
        <v>409020</v>
      </c>
      <c r="Y1258" s="116">
        <f>InputData!$C$116</f>
        <v>140000</v>
      </c>
      <c r="Z1258" s="160">
        <f>InputData!$E$13</f>
        <v>0</v>
      </c>
    </row>
    <row r="1259" spans="1:26" x14ac:dyDescent="0.25">
      <c r="A1259">
        <f>InputData!$K$1</f>
        <v>2013</v>
      </c>
      <c r="B1259" t="str">
        <f>InputData!$G$1</f>
        <v>San Antonio, TX</v>
      </c>
      <c r="C1259" t="s">
        <v>227</v>
      </c>
      <c r="D1259" t="str">
        <f>Graph_Ophtha!$C$6</f>
        <v>USU30</v>
      </c>
      <c r="E1259" t="str">
        <f t="shared" si="19"/>
        <v>Ophthalmology USU30</v>
      </c>
      <c r="F1259">
        <f>Graph_Ophtha!$A34</f>
        <v>2040</v>
      </c>
      <c r="G1259">
        <f>Graph_Ophtha!$B34</f>
        <v>28</v>
      </c>
      <c r="H1259" s="165">
        <f>Graph_Ophtha!$C34</f>
        <v>1715130.3353787577</v>
      </c>
      <c r="I1259" s="160">
        <f>InputData!$C$3</f>
        <v>0.02</v>
      </c>
      <c r="J1259" s="160">
        <f>InputData!$C$4</f>
        <v>0.01</v>
      </c>
      <c r="K1259" s="160">
        <f>InputData!$C$5</f>
        <v>0.01</v>
      </c>
      <c r="L1259" s="160">
        <f>InputData!$C$6</f>
        <v>6.2100000000000002E-2</v>
      </c>
      <c r="M1259" s="160">
        <f>InputData!$C$7</f>
        <v>0.03</v>
      </c>
      <c r="N1259" s="160">
        <f>InputData!$C$8</f>
        <v>0.02</v>
      </c>
      <c r="O1259" s="160">
        <f>InputData!$C$9</f>
        <v>0.06</v>
      </c>
      <c r="P1259" s="160">
        <f>InputData!$C$10</f>
        <v>0.02</v>
      </c>
      <c r="Q1259" s="160">
        <f>InputData!$C$11</f>
        <v>0.02</v>
      </c>
      <c r="R1259" s="160">
        <f>InputData!$C$12</f>
        <v>0.02</v>
      </c>
      <c r="S1259" s="160">
        <f>InputData!$C$13</f>
        <v>0.9</v>
      </c>
      <c r="T1259" s="116">
        <f>InputData!$C$88</f>
        <v>180000</v>
      </c>
      <c r="U1259" s="116">
        <f>InputData!$C$81</f>
        <v>178500</v>
      </c>
      <c r="V1259" s="116">
        <f>InputData!$C$82</f>
        <v>303960</v>
      </c>
      <c r="W1259" s="116">
        <f>InputData!$C$84</f>
        <v>215220</v>
      </c>
      <c r="X1259" s="116">
        <f>InputData!$C$85</f>
        <v>409020</v>
      </c>
      <c r="Y1259" s="116">
        <f>InputData!$C$116</f>
        <v>140000</v>
      </c>
      <c r="Z1259" s="160">
        <f>InputData!$E$13</f>
        <v>0</v>
      </c>
    </row>
    <row r="1260" spans="1:26" x14ac:dyDescent="0.25">
      <c r="A1260">
        <f>InputData!$K$1</f>
        <v>2013</v>
      </c>
      <c r="B1260" t="str">
        <f>InputData!$G$1</f>
        <v>San Antonio, TX</v>
      </c>
      <c r="C1260" t="s">
        <v>227</v>
      </c>
      <c r="D1260" t="str">
        <f>Graph_Ophtha!$C$6</f>
        <v>USU30</v>
      </c>
      <c r="E1260" t="str">
        <f t="shared" si="19"/>
        <v>Ophthalmology USU30</v>
      </c>
      <c r="F1260">
        <f>Graph_Ophtha!$A35</f>
        <v>2041</v>
      </c>
      <c r="G1260">
        <f>Graph_Ophtha!$B35</f>
        <v>29</v>
      </c>
      <c r="H1260" s="165">
        <f>Graph_Ophtha!$C35</f>
        <v>1771886.8972263935</v>
      </c>
      <c r="I1260" s="160">
        <f>InputData!$C$3</f>
        <v>0.02</v>
      </c>
      <c r="J1260" s="160">
        <f>InputData!$C$4</f>
        <v>0.01</v>
      </c>
      <c r="K1260" s="160">
        <f>InputData!$C$5</f>
        <v>0.01</v>
      </c>
      <c r="L1260" s="160">
        <f>InputData!$C$6</f>
        <v>6.2100000000000002E-2</v>
      </c>
      <c r="M1260" s="160">
        <f>InputData!$C$7</f>
        <v>0.03</v>
      </c>
      <c r="N1260" s="160">
        <f>InputData!$C$8</f>
        <v>0.02</v>
      </c>
      <c r="O1260" s="160">
        <f>InputData!$C$9</f>
        <v>0.06</v>
      </c>
      <c r="P1260" s="160">
        <f>InputData!$C$10</f>
        <v>0.02</v>
      </c>
      <c r="Q1260" s="160">
        <f>InputData!$C$11</f>
        <v>0.02</v>
      </c>
      <c r="R1260" s="160">
        <f>InputData!$C$12</f>
        <v>0.02</v>
      </c>
      <c r="S1260" s="160">
        <f>InputData!$C$13</f>
        <v>0.9</v>
      </c>
      <c r="T1260" s="116">
        <f>InputData!$C$88</f>
        <v>180000</v>
      </c>
      <c r="U1260" s="116">
        <f>InputData!$C$81</f>
        <v>178500</v>
      </c>
      <c r="V1260" s="116">
        <f>InputData!$C$82</f>
        <v>303960</v>
      </c>
      <c r="W1260" s="116">
        <f>InputData!$C$84</f>
        <v>215220</v>
      </c>
      <c r="X1260" s="116">
        <f>InputData!$C$85</f>
        <v>409020</v>
      </c>
      <c r="Y1260" s="116">
        <f>InputData!$C$116</f>
        <v>140000</v>
      </c>
      <c r="Z1260" s="160">
        <f>InputData!$E$13</f>
        <v>0</v>
      </c>
    </row>
    <row r="1261" spans="1:26" x14ac:dyDescent="0.25">
      <c r="A1261">
        <f>InputData!$K$1</f>
        <v>2013</v>
      </c>
      <c r="B1261" t="str">
        <f>InputData!$G$1</f>
        <v>San Antonio, TX</v>
      </c>
      <c r="C1261" t="s">
        <v>227</v>
      </c>
      <c r="D1261" t="str">
        <f>Graph_Ophtha!$C$6</f>
        <v>USU30</v>
      </c>
      <c r="E1261" t="str">
        <f t="shared" si="19"/>
        <v>Ophthalmology USU30</v>
      </c>
      <c r="F1261">
        <f>Graph_Ophtha!$A36</f>
        <v>2042</v>
      </c>
      <c r="G1261">
        <f>Graph_Ophtha!$B36</f>
        <v>30</v>
      </c>
      <c r="H1261" s="165">
        <f>Graph_Ophtha!$C36</f>
        <v>1826455.8055583576</v>
      </c>
      <c r="I1261" s="160">
        <f>InputData!$C$3</f>
        <v>0.02</v>
      </c>
      <c r="J1261" s="160">
        <f>InputData!$C$4</f>
        <v>0.01</v>
      </c>
      <c r="K1261" s="160">
        <f>InputData!$C$5</f>
        <v>0.01</v>
      </c>
      <c r="L1261" s="160">
        <f>InputData!$C$6</f>
        <v>6.2100000000000002E-2</v>
      </c>
      <c r="M1261" s="160">
        <f>InputData!$C$7</f>
        <v>0.03</v>
      </c>
      <c r="N1261" s="160">
        <f>InputData!$C$8</f>
        <v>0.02</v>
      </c>
      <c r="O1261" s="160">
        <f>InputData!$C$9</f>
        <v>0.06</v>
      </c>
      <c r="P1261" s="160">
        <f>InputData!$C$10</f>
        <v>0.02</v>
      </c>
      <c r="Q1261" s="160">
        <f>InputData!$C$11</f>
        <v>0.02</v>
      </c>
      <c r="R1261" s="160">
        <f>InputData!$C$12</f>
        <v>0.02</v>
      </c>
      <c r="S1261" s="160">
        <f>InputData!$C$13</f>
        <v>0.9</v>
      </c>
      <c r="T1261" s="116">
        <f>InputData!$C$88</f>
        <v>180000</v>
      </c>
      <c r="U1261" s="116">
        <f>InputData!$C$81</f>
        <v>178500</v>
      </c>
      <c r="V1261" s="116">
        <f>InputData!$C$82</f>
        <v>303960</v>
      </c>
      <c r="W1261" s="116">
        <f>InputData!$C$84</f>
        <v>215220</v>
      </c>
      <c r="X1261" s="116">
        <f>InputData!$C$85</f>
        <v>409020</v>
      </c>
      <c r="Y1261" s="116">
        <f>InputData!$C$116</f>
        <v>140000</v>
      </c>
      <c r="Z1261" s="160">
        <f>InputData!$E$13</f>
        <v>0</v>
      </c>
    </row>
    <row r="1262" spans="1:26" x14ac:dyDescent="0.25">
      <c r="A1262">
        <f>InputData!$K$1</f>
        <v>2013</v>
      </c>
      <c r="B1262" t="str">
        <f>InputData!$G$1</f>
        <v>San Antonio, TX</v>
      </c>
      <c r="C1262" t="s">
        <v>227</v>
      </c>
      <c r="D1262" t="str">
        <f>Graph_Ophtha!$D$6</f>
        <v>HPSP30</v>
      </c>
      <c r="E1262" t="str">
        <f t="shared" si="19"/>
        <v>Ophthalmology HPSP30</v>
      </c>
      <c r="F1262">
        <f>Graph_Ophtha!$A7</f>
        <v>2013</v>
      </c>
      <c r="G1262">
        <f>Graph_Ophtha!$B7</f>
        <v>1</v>
      </c>
      <c r="H1262" s="165">
        <f>Graph_Ophtha!$D7</f>
        <v>43551.744866529771</v>
      </c>
      <c r="I1262" s="160">
        <f>InputData!$C$3</f>
        <v>0.02</v>
      </c>
      <c r="J1262" s="160">
        <f>InputData!$C$4</f>
        <v>0.01</v>
      </c>
      <c r="K1262" s="160">
        <f>InputData!$C$5</f>
        <v>0.01</v>
      </c>
      <c r="L1262" s="160">
        <f>InputData!$C$6</f>
        <v>6.2100000000000002E-2</v>
      </c>
      <c r="M1262" s="160">
        <f>InputData!$C$7</f>
        <v>0.03</v>
      </c>
      <c r="N1262" s="160">
        <f>InputData!$C$8</f>
        <v>0.02</v>
      </c>
      <c r="O1262" s="160">
        <f>InputData!$C$9</f>
        <v>0.06</v>
      </c>
      <c r="P1262" s="160">
        <f>InputData!$C$10</f>
        <v>0.02</v>
      </c>
      <c r="Q1262" s="160">
        <f>InputData!$C$11</f>
        <v>0.02</v>
      </c>
      <c r="R1262" s="160">
        <f>InputData!$C$12</f>
        <v>0.02</v>
      </c>
      <c r="S1262" s="160">
        <f>InputData!$C$13</f>
        <v>0.9</v>
      </c>
      <c r="T1262" s="116">
        <f>InputData!$C$88</f>
        <v>180000</v>
      </c>
      <c r="U1262" s="116">
        <f>InputData!$C$81</f>
        <v>178500</v>
      </c>
      <c r="V1262" s="116">
        <f>InputData!$C$82</f>
        <v>303960</v>
      </c>
      <c r="W1262" s="116">
        <f>InputData!$C$84</f>
        <v>215220</v>
      </c>
      <c r="X1262" s="116">
        <f>InputData!$C$85</f>
        <v>409020</v>
      </c>
      <c r="Y1262" s="116">
        <f>InputData!$C$116</f>
        <v>140000</v>
      </c>
      <c r="Z1262" s="160">
        <f>InputData!$E$13</f>
        <v>0</v>
      </c>
    </row>
    <row r="1263" spans="1:26" x14ac:dyDescent="0.25">
      <c r="A1263">
        <f>InputData!$K$1</f>
        <v>2013</v>
      </c>
      <c r="B1263" t="str">
        <f>InputData!$G$1</f>
        <v>San Antonio, TX</v>
      </c>
      <c r="C1263" t="s">
        <v>227</v>
      </c>
      <c r="D1263" t="str">
        <f>Graph_Ophtha!$D$6</f>
        <v>HPSP30</v>
      </c>
      <c r="E1263" t="str">
        <f t="shared" si="19"/>
        <v>Ophthalmology HPSP30</v>
      </c>
      <c r="F1263">
        <f>Graph_Ophtha!$A8</f>
        <v>2014</v>
      </c>
      <c r="G1263">
        <f>Graph_Ophtha!$B8</f>
        <v>2</v>
      </c>
      <c r="H1263" s="165">
        <f>Graph_Ophtha!$D8</f>
        <v>69389.851463288214</v>
      </c>
      <c r="I1263" s="160">
        <f>InputData!$C$3</f>
        <v>0.02</v>
      </c>
      <c r="J1263" s="160">
        <f>InputData!$C$4</f>
        <v>0.01</v>
      </c>
      <c r="K1263" s="160">
        <f>InputData!$C$5</f>
        <v>0.01</v>
      </c>
      <c r="L1263" s="160">
        <f>InputData!$C$6</f>
        <v>6.2100000000000002E-2</v>
      </c>
      <c r="M1263" s="160">
        <f>InputData!$C$7</f>
        <v>0.03</v>
      </c>
      <c r="N1263" s="160">
        <f>InputData!$C$8</f>
        <v>0.02</v>
      </c>
      <c r="O1263" s="160">
        <f>InputData!$C$9</f>
        <v>0.06</v>
      </c>
      <c r="P1263" s="160">
        <f>InputData!$C$10</f>
        <v>0.02</v>
      </c>
      <c r="Q1263" s="160">
        <f>InputData!$C$11</f>
        <v>0.02</v>
      </c>
      <c r="R1263" s="160">
        <f>InputData!$C$12</f>
        <v>0.02</v>
      </c>
      <c r="S1263" s="160">
        <f>InputData!$C$13</f>
        <v>0.9</v>
      </c>
      <c r="T1263" s="116">
        <f>InputData!$C$88</f>
        <v>180000</v>
      </c>
      <c r="U1263" s="116">
        <f>InputData!$C$81</f>
        <v>178500</v>
      </c>
      <c r="V1263" s="116">
        <f>InputData!$C$82</f>
        <v>303960</v>
      </c>
      <c r="W1263" s="116">
        <f>InputData!$C$84</f>
        <v>215220</v>
      </c>
      <c r="X1263" s="116">
        <f>InputData!$C$85</f>
        <v>409020</v>
      </c>
      <c r="Y1263" s="116">
        <f>InputData!$C$116</f>
        <v>140000</v>
      </c>
      <c r="Z1263" s="160">
        <f>InputData!$E$13</f>
        <v>0</v>
      </c>
    </row>
    <row r="1264" spans="1:26" x14ac:dyDescent="0.25">
      <c r="A1264">
        <f>InputData!$K$1</f>
        <v>2013</v>
      </c>
      <c r="B1264" t="str">
        <f>InputData!$G$1</f>
        <v>San Antonio, TX</v>
      </c>
      <c r="C1264" t="s">
        <v>227</v>
      </c>
      <c r="D1264" t="str">
        <f>Graph_Ophtha!$D$6</f>
        <v>HPSP30</v>
      </c>
      <c r="E1264" t="str">
        <f t="shared" si="19"/>
        <v>Ophthalmology HPSP30</v>
      </c>
      <c r="F1264">
        <f>Graph_Ophtha!$A9</f>
        <v>2015</v>
      </c>
      <c r="G1264">
        <f>Graph_Ophtha!$B9</f>
        <v>3</v>
      </c>
      <c r="H1264" s="165">
        <f>Graph_Ophtha!$D9</f>
        <v>94384.024082394724</v>
      </c>
      <c r="I1264" s="160">
        <f>InputData!$C$3</f>
        <v>0.02</v>
      </c>
      <c r="J1264" s="160">
        <f>InputData!$C$4</f>
        <v>0.01</v>
      </c>
      <c r="K1264" s="160">
        <f>InputData!$C$5</f>
        <v>0.01</v>
      </c>
      <c r="L1264" s="160">
        <f>InputData!$C$6</f>
        <v>6.2100000000000002E-2</v>
      </c>
      <c r="M1264" s="160">
        <f>InputData!$C$7</f>
        <v>0.03</v>
      </c>
      <c r="N1264" s="160">
        <f>InputData!$C$8</f>
        <v>0.02</v>
      </c>
      <c r="O1264" s="160">
        <f>InputData!$C$9</f>
        <v>0.06</v>
      </c>
      <c r="P1264" s="160">
        <f>InputData!$C$10</f>
        <v>0.02</v>
      </c>
      <c r="Q1264" s="160">
        <f>InputData!$C$11</f>
        <v>0.02</v>
      </c>
      <c r="R1264" s="160">
        <f>InputData!$C$12</f>
        <v>0.02</v>
      </c>
      <c r="S1264" s="160">
        <f>InputData!$C$13</f>
        <v>0.9</v>
      </c>
      <c r="T1264" s="116">
        <f>InputData!$C$88</f>
        <v>180000</v>
      </c>
      <c r="U1264" s="116">
        <f>InputData!$C$81</f>
        <v>178500</v>
      </c>
      <c r="V1264" s="116">
        <f>InputData!$C$82</f>
        <v>303960</v>
      </c>
      <c r="W1264" s="116">
        <f>InputData!$C$84</f>
        <v>215220</v>
      </c>
      <c r="X1264" s="116">
        <f>InputData!$C$85</f>
        <v>409020</v>
      </c>
      <c r="Y1264" s="116">
        <f>InputData!$C$116</f>
        <v>140000</v>
      </c>
      <c r="Z1264" s="160">
        <f>InputData!$E$13</f>
        <v>0</v>
      </c>
    </row>
    <row r="1265" spans="1:26" x14ac:dyDescent="0.25">
      <c r="A1265">
        <f>InputData!$K$1</f>
        <v>2013</v>
      </c>
      <c r="B1265" t="str">
        <f>InputData!$G$1</f>
        <v>San Antonio, TX</v>
      </c>
      <c r="C1265" t="s">
        <v>227</v>
      </c>
      <c r="D1265" t="str">
        <f>Graph_Ophtha!$D$6</f>
        <v>HPSP30</v>
      </c>
      <c r="E1265" t="str">
        <f t="shared" si="19"/>
        <v>Ophthalmology HPSP30</v>
      </c>
      <c r="F1265">
        <f>Graph_Ophtha!$A10</f>
        <v>2016</v>
      </c>
      <c r="G1265">
        <f>Graph_Ophtha!$B10</f>
        <v>4</v>
      </c>
      <c r="H1265" s="165">
        <f>Graph_Ophtha!$D10</f>
        <v>119127.82998672797</v>
      </c>
      <c r="I1265" s="160">
        <f>InputData!$C$3</f>
        <v>0.02</v>
      </c>
      <c r="J1265" s="160">
        <f>InputData!$C$4</f>
        <v>0.01</v>
      </c>
      <c r="K1265" s="160">
        <f>InputData!$C$5</f>
        <v>0.01</v>
      </c>
      <c r="L1265" s="160">
        <f>InputData!$C$6</f>
        <v>6.2100000000000002E-2</v>
      </c>
      <c r="M1265" s="160">
        <f>InputData!$C$7</f>
        <v>0.03</v>
      </c>
      <c r="N1265" s="160">
        <f>InputData!$C$8</f>
        <v>0.02</v>
      </c>
      <c r="O1265" s="160">
        <f>InputData!$C$9</f>
        <v>0.06</v>
      </c>
      <c r="P1265" s="160">
        <f>InputData!$C$10</f>
        <v>0.02</v>
      </c>
      <c r="Q1265" s="160">
        <f>InputData!$C$11</f>
        <v>0.02</v>
      </c>
      <c r="R1265" s="160">
        <f>InputData!$C$12</f>
        <v>0.02</v>
      </c>
      <c r="S1265" s="160">
        <f>InputData!$C$13</f>
        <v>0.9</v>
      </c>
      <c r="T1265" s="116">
        <f>InputData!$C$88</f>
        <v>180000</v>
      </c>
      <c r="U1265" s="116">
        <f>InputData!$C$81</f>
        <v>178500</v>
      </c>
      <c r="V1265" s="116">
        <f>InputData!$C$82</f>
        <v>303960</v>
      </c>
      <c r="W1265" s="116">
        <f>InputData!$C$84</f>
        <v>215220</v>
      </c>
      <c r="X1265" s="116">
        <f>InputData!$C$85</f>
        <v>409020</v>
      </c>
      <c r="Y1265" s="116">
        <f>InputData!$C$116</f>
        <v>140000</v>
      </c>
      <c r="Z1265" s="160">
        <f>InputData!$E$13</f>
        <v>0</v>
      </c>
    </row>
    <row r="1266" spans="1:26" x14ac:dyDescent="0.25">
      <c r="A1266">
        <f>InputData!$K$1</f>
        <v>2013</v>
      </c>
      <c r="B1266" t="str">
        <f>InputData!$G$1</f>
        <v>San Antonio, TX</v>
      </c>
      <c r="C1266" t="s">
        <v>227</v>
      </c>
      <c r="D1266" t="str">
        <f>Graph_Ophtha!$D$6</f>
        <v>HPSP30</v>
      </c>
      <c r="E1266" t="str">
        <f t="shared" si="19"/>
        <v>Ophthalmology HPSP30</v>
      </c>
      <c r="F1266">
        <f>Graph_Ophtha!$A11</f>
        <v>2017</v>
      </c>
      <c r="G1266">
        <f>Graph_Ophtha!$B11</f>
        <v>5</v>
      </c>
      <c r="H1266" s="165">
        <f>Graph_Ophtha!$D11</f>
        <v>169089.82248832227</v>
      </c>
      <c r="I1266" s="160">
        <f>InputData!$C$3</f>
        <v>0.02</v>
      </c>
      <c r="J1266" s="160">
        <f>InputData!$C$4</f>
        <v>0.01</v>
      </c>
      <c r="K1266" s="160">
        <f>InputData!$C$5</f>
        <v>0.01</v>
      </c>
      <c r="L1266" s="160">
        <f>InputData!$C$6</f>
        <v>6.2100000000000002E-2</v>
      </c>
      <c r="M1266" s="160">
        <f>InputData!$C$7</f>
        <v>0.03</v>
      </c>
      <c r="N1266" s="160">
        <f>InputData!$C$8</f>
        <v>0.02</v>
      </c>
      <c r="O1266" s="160">
        <f>InputData!$C$9</f>
        <v>0.06</v>
      </c>
      <c r="P1266" s="160">
        <f>InputData!$C$10</f>
        <v>0.02</v>
      </c>
      <c r="Q1266" s="160">
        <f>InputData!$C$11</f>
        <v>0.02</v>
      </c>
      <c r="R1266" s="160">
        <f>InputData!$C$12</f>
        <v>0.02</v>
      </c>
      <c r="S1266" s="160">
        <f>InputData!$C$13</f>
        <v>0.9</v>
      </c>
      <c r="T1266" s="116">
        <f>InputData!$C$88</f>
        <v>180000</v>
      </c>
      <c r="U1266" s="116">
        <f>InputData!$C$81</f>
        <v>178500</v>
      </c>
      <c r="V1266" s="116">
        <f>InputData!$C$82</f>
        <v>303960</v>
      </c>
      <c r="W1266" s="116">
        <f>InputData!$C$84</f>
        <v>215220</v>
      </c>
      <c r="X1266" s="116">
        <f>InputData!$C$85</f>
        <v>409020</v>
      </c>
      <c r="Y1266" s="116">
        <f>InputData!$C$116</f>
        <v>140000</v>
      </c>
      <c r="Z1266" s="160">
        <f>InputData!$E$13</f>
        <v>0</v>
      </c>
    </row>
    <row r="1267" spans="1:26" x14ac:dyDescent="0.25">
      <c r="A1267">
        <f>InputData!$K$1</f>
        <v>2013</v>
      </c>
      <c r="B1267" t="str">
        <f>InputData!$G$1</f>
        <v>San Antonio, TX</v>
      </c>
      <c r="C1267" t="s">
        <v>227</v>
      </c>
      <c r="D1267" t="str">
        <f>Graph_Ophtha!$D$6</f>
        <v>HPSP30</v>
      </c>
      <c r="E1267" t="str">
        <f t="shared" si="19"/>
        <v>Ophthalmology HPSP30</v>
      </c>
      <c r="F1267">
        <f>Graph_Ophtha!$A12</f>
        <v>2018</v>
      </c>
      <c r="G1267">
        <f>Graph_Ophtha!$B12</f>
        <v>6</v>
      </c>
      <c r="H1267" s="165">
        <f>Graph_Ophtha!$D12</f>
        <v>219350.65217600405</v>
      </c>
      <c r="I1267" s="160">
        <f>InputData!$C$3</f>
        <v>0.02</v>
      </c>
      <c r="J1267" s="160">
        <f>InputData!$C$4</f>
        <v>0.01</v>
      </c>
      <c r="K1267" s="160">
        <f>InputData!$C$5</f>
        <v>0.01</v>
      </c>
      <c r="L1267" s="160">
        <f>InputData!$C$6</f>
        <v>6.2100000000000002E-2</v>
      </c>
      <c r="M1267" s="160">
        <f>InputData!$C$7</f>
        <v>0.03</v>
      </c>
      <c r="N1267" s="160">
        <f>InputData!$C$8</f>
        <v>0.02</v>
      </c>
      <c r="O1267" s="160">
        <f>InputData!$C$9</f>
        <v>0.06</v>
      </c>
      <c r="P1267" s="160">
        <f>InputData!$C$10</f>
        <v>0.02</v>
      </c>
      <c r="Q1267" s="160">
        <f>InputData!$C$11</f>
        <v>0.02</v>
      </c>
      <c r="R1267" s="160">
        <f>InputData!$C$12</f>
        <v>0.02</v>
      </c>
      <c r="S1267" s="160">
        <f>InputData!$C$13</f>
        <v>0.9</v>
      </c>
      <c r="T1267" s="116">
        <f>InputData!$C$88</f>
        <v>180000</v>
      </c>
      <c r="U1267" s="116">
        <f>InputData!$C$81</f>
        <v>178500</v>
      </c>
      <c r="V1267" s="116">
        <f>InputData!$C$82</f>
        <v>303960</v>
      </c>
      <c r="W1267" s="116">
        <f>InputData!$C$84</f>
        <v>215220</v>
      </c>
      <c r="X1267" s="116">
        <f>InputData!$C$85</f>
        <v>409020</v>
      </c>
      <c r="Y1267" s="116">
        <f>InputData!$C$116</f>
        <v>140000</v>
      </c>
      <c r="Z1267" s="160">
        <f>InputData!$E$13</f>
        <v>0</v>
      </c>
    </row>
    <row r="1268" spans="1:26" x14ac:dyDescent="0.25">
      <c r="A1268">
        <f>InputData!$K$1</f>
        <v>2013</v>
      </c>
      <c r="B1268" t="str">
        <f>InputData!$G$1</f>
        <v>San Antonio, TX</v>
      </c>
      <c r="C1268" t="s">
        <v>227</v>
      </c>
      <c r="D1268" t="str">
        <f>Graph_Ophtha!$D$6</f>
        <v>HPSP30</v>
      </c>
      <c r="E1268" t="str">
        <f t="shared" si="19"/>
        <v>Ophthalmology HPSP30</v>
      </c>
      <c r="F1268">
        <f>Graph_Ophtha!$A13</f>
        <v>2019</v>
      </c>
      <c r="G1268">
        <f>Graph_Ophtha!$B13</f>
        <v>7</v>
      </c>
      <c r="H1268" s="165">
        <f>Graph_Ophtha!$D13</f>
        <v>270992.25439901254</v>
      </c>
      <c r="I1268" s="160">
        <f>InputData!$C$3</f>
        <v>0.02</v>
      </c>
      <c r="J1268" s="160">
        <f>InputData!$C$4</f>
        <v>0.01</v>
      </c>
      <c r="K1268" s="160">
        <f>InputData!$C$5</f>
        <v>0.01</v>
      </c>
      <c r="L1268" s="160">
        <f>InputData!$C$6</f>
        <v>6.2100000000000002E-2</v>
      </c>
      <c r="M1268" s="160">
        <f>InputData!$C$7</f>
        <v>0.03</v>
      </c>
      <c r="N1268" s="160">
        <f>InputData!$C$8</f>
        <v>0.02</v>
      </c>
      <c r="O1268" s="160">
        <f>InputData!$C$9</f>
        <v>0.06</v>
      </c>
      <c r="P1268" s="160">
        <f>InputData!$C$10</f>
        <v>0.02</v>
      </c>
      <c r="Q1268" s="160">
        <f>InputData!$C$11</f>
        <v>0.02</v>
      </c>
      <c r="R1268" s="160">
        <f>InputData!$C$12</f>
        <v>0.02</v>
      </c>
      <c r="S1268" s="160">
        <f>InputData!$C$13</f>
        <v>0.9</v>
      </c>
      <c r="T1268" s="116">
        <f>InputData!$C$88</f>
        <v>180000</v>
      </c>
      <c r="U1268" s="116">
        <f>InputData!$C$81</f>
        <v>178500</v>
      </c>
      <c r="V1268" s="116">
        <f>InputData!$C$82</f>
        <v>303960</v>
      </c>
      <c r="W1268" s="116">
        <f>InputData!$C$84</f>
        <v>215220</v>
      </c>
      <c r="X1268" s="116">
        <f>InputData!$C$85</f>
        <v>409020</v>
      </c>
      <c r="Y1268" s="116">
        <f>InputData!$C$116</f>
        <v>140000</v>
      </c>
      <c r="Z1268" s="160">
        <f>InputData!$E$13</f>
        <v>0</v>
      </c>
    </row>
    <row r="1269" spans="1:26" x14ac:dyDescent="0.25">
      <c r="A1269">
        <f>InputData!$K$1</f>
        <v>2013</v>
      </c>
      <c r="B1269" t="str">
        <f>InputData!$G$1</f>
        <v>San Antonio, TX</v>
      </c>
      <c r="C1269" t="s">
        <v>227</v>
      </c>
      <c r="D1269" t="str">
        <f>Graph_Ophtha!$D$6</f>
        <v>HPSP30</v>
      </c>
      <c r="E1269" t="str">
        <f t="shared" si="19"/>
        <v>Ophthalmology HPSP30</v>
      </c>
      <c r="F1269">
        <f>Graph_Ophtha!$A14</f>
        <v>2020</v>
      </c>
      <c r="G1269">
        <f>Graph_Ophtha!$B14</f>
        <v>8</v>
      </c>
      <c r="H1269" s="165">
        <f>Graph_Ophtha!$D14</f>
        <v>322806.62031125103</v>
      </c>
      <c r="I1269" s="160">
        <f>InputData!$C$3</f>
        <v>0.02</v>
      </c>
      <c r="J1269" s="160">
        <f>InputData!$C$4</f>
        <v>0.01</v>
      </c>
      <c r="K1269" s="160">
        <f>InputData!$C$5</f>
        <v>0.01</v>
      </c>
      <c r="L1269" s="160">
        <f>InputData!$C$6</f>
        <v>6.2100000000000002E-2</v>
      </c>
      <c r="M1269" s="160">
        <f>InputData!$C$7</f>
        <v>0.03</v>
      </c>
      <c r="N1269" s="160">
        <f>InputData!$C$8</f>
        <v>0.02</v>
      </c>
      <c r="O1269" s="160">
        <f>InputData!$C$9</f>
        <v>0.06</v>
      </c>
      <c r="P1269" s="160">
        <f>InputData!$C$10</f>
        <v>0.02</v>
      </c>
      <c r="Q1269" s="160">
        <f>InputData!$C$11</f>
        <v>0.02</v>
      </c>
      <c r="R1269" s="160">
        <f>InputData!$C$12</f>
        <v>0.02</v>
      </c>
      <c r="S1269" s="160">
        <f>InputData!$C$13</f>
        <v>0.9</v>
      </c>
      <c r="T1269" s="116">
        <f>InputData!$C$88</f>
        <v>180000</v>
      </c>
      <c r="U1269" s="116">
        <f>InputData!$C$81</f>
        <v>178500</v>
      </c>
      <c r="V1269" s="116">
        <f>InputData!$C$82</f>
        <v>303960</v>
      </c>
      <c r="W1269" s="116">
        <f>InputData!$C$84</f>
        <v>215220</v>
      </c>
      <c r="X1269" s="116">
        <f>InputData!$C$85</f>
        <v>409020</v>
      </c>
      <c r="Y1269" s="116">
        <f>InputData!$C$116</f>
        <v>140000</v>
      </c>
      <c r="Z1269" s="160">
        <f>InputData!$E$13</f>
        <v>0</v>
      </c>
    </row>
    <row r="1270" spans="1:26" x14ac:dyDescent="0.25">
      <c r="A1270">
        <f>InputData!$K$1</f>
        <v>2013</v>
      </c>
      <c r="B1270" t="str">
        <f>InputData!$G$1</f>
        <v>San Antonio, TX</v>
      </c>
      <c r="C1270" t="s">
        <v>227</v>
      </c>
      <c r="D1270" t="str">
        <f>Graph_Ophtha!$D$6</f>
        <v>HPSP30</v>
      </c>
      <c r="E1270" t="str">
        <f t="shared" si="19"/>
        <v>Ophthalmology HPSP30</v>
      </c>
      <c r="F1270">
        <f>Graph_Ophtha!$A15</f>
        <v>2021</v>
      </c>
      <c r="G1270">
        <f>Graph_Ophtha!$B15</f>
        <v>9</v>
      </c>
      <c r="H1270" s="165">
        <f>Graph_Ophtha!$D15</f>
        <v>382537.79825040593</v>
      </c>
      <c r="I1270" s="160">
        <f>InputData!$C$3</f>
        <v>0.02</v>
      </c>
      <c r="J1270" s="160">
        <f>InputData!$C$4</f>
        <v>0.01</v>
      </c>
      <c r="K1270" s="160">
        <f>InputData!$C$5</f>
        <v>0.01</v>
      </c>
      <c r="L1270" s="160">
        <f>InputData!$C$6</f>
        <v>6.2100000000000002E-2</v>
      </c>
      <c r="M1270" s="160">
        <f>InputData!$C$7</f>
        <v>0.03</v>
      </c>
      <c r="N1270" s="160">
        <f>InputData!$C$8</f>
        <v>0.02</v>
      </c>
      <c r="O1270" s="160">
        <f>InputData!$C$9</f>
        <v>0.06</v>
      </c>
      <c r="P1270" s="160">
        <f>InputData!$C$10</f>
        <v>0.02</v>
      </c>
      <c r="Q1270" s="160">
        <f>InputData!$C$11</f>
        <v>0.02</v>
      </c>
      <c r="R1270" s="160">
        <f>InputData!$C$12</f>
        <v>0.02</v>
      </c>
      <c r="S1270" s="160">
        <f>InputData!$C$13</f>
        <v>0.9</v>
      </c>
      <c r="T1270" s="116">
        <f>InputData!$C$88</f>
        <v>180000</v>
      </c>
      <c r="U1270" s="116">
        <f>InputData!$C$81</f>
        <v>178500</v>
      </c>
      <c r="V1270" s="116">
        <f>InputData!$C$82</f>
        <v>303960</v>
      </c>
      <c r="W1270" s="116">
        <f>InputData!$C$84</f>
        <v>215220</v>
      </c>
      <c r="X1270" s="116">
        <f>InputData!$C$85</f>
        <v>409020</v>
      </c>
      <c r="Y1270" s="116">
        <f>InputData!$C$116</f>
        <v>140000</v>
      </c>
      <c r="Z1270" s="160">
        <f>InputData!$E$13</f>
        <v>0</v>
      </c>
    </row>
    <row r="1271" spans="1:26" x14ac:dyDescent="0.25">
      <c r="A1271">
        <f>InputData!$K$1</f>
        <v>2013</v>
      </c>
      <c r="B1271" t="str">
        <f>InputData!$G$1</f>
        <v>San Antonio, TX</v>
      </c>
      <c r="C1271" t="s">
        <v>227</v>
      </c>
      <c r="D1271" t="str">
        <f>Graph_Ophtha!$D$6</f>
        <v>HPSP30</v>
      </c>
      <c r="E1271" t="str">
        <f t="shared" si="19"/>
        <v>Ophthalmology HPSP30</v>
      </c>
      <c r="F1271">
        <f>Graph_Ophtha!$A16</f>
        <v>2022</v>
      </c>
      <c r="G1271">
        <f>Graph_Ophtha!$B16</f>
        <v>10</v>
      </c>
      <c r="H1271" s="165">
        <f>Graph_Ophtha!$D16</f>
        <v>441191.00156520924</v>
      </c>
      <c r="I1271" s="160">
        <f>InputData!$C$3</f>
        <v>0.02</v>
      </c>
      <c r="J1271" s="160">
        <f>InputData!$C$4</f>
        <v>0.01</v>
      </c>
      <c r="K1271" s="160">
        <f>InputData!$C$5</f>
        <v>0.01</v>
      </c>
      <c r="L1271" s="160">
        <f>InputData!$C$6</f>
        <v>6.2100000000000002E-2</v>
      </c>
      <c r="M1271" s="160">
        <f>InputData!$C$7</f>
        <v>0.03</v>
      </c>
      <c r="N1271" s="160">
        <f>InputData!$C$8</f>
        <v>0.02</v>
      </c>
      <c r="O1271" s="160">
        <f>InputData!$C$9</f>
        <v>0.06</v>
      </c>
      <c r="P1271" s="160">
        <f>InputData!$C$10</f>
        <v>0.02</v>
      </c>
      <c r="Q1271" s="160">
        <f>InputData!$C$11</f>
        <v>0.02</v>
      </c>
      <c r="R1271" s="160">
        <f>InputData!$C$12</f>
        <v>0.02</v>
      </c>
      <c r="S1271" s="160">
        <f>InputData!$C$13</f>
        <v>0.9</v>
      </c>
      <c r="T1271" s="116">
        <f>InputData!$C$88</f>
        <v>180000</v>
      </c>
      <c r="U1271" s="116">
        <f>InputData!$C$81</f>
        <v>178500</v>
      </c>
      <c r="V1271" s="116">
        <f>InputData!$C$82</f>
        <v>303960</v>
      </c>
      <c r="W1271" s="116">
        <f>InputData!$C$84</f>
        <v>215220</v>
      </c>
      <c r="X1271" s="116">
        <f>InputData!$C$85</f>
        <v>409020</v>
      </c>
      <c r="Y1271" s="116">
        <f>InputData!$C$116</f>
        <v>140000</v>
      </c>
      <c r="Z1271" s="160">
        <f>InputData!$E$13</f>
        <v>0</v>
      </c>
    </row>
    <row r="1272" spans="1:26" x14ac:dyDescent="0.25">
      <c r="A1272">
        <f>InputData!$K$1</f>
        <v>2013</v>
      </c>
      <c r="B1272" t="str">
        <f>InputData!$G$1</f>
        <v>San Antonio, TX</v>
      </c>
      <c r="C1272" t="s">
        <v>227</v>
      </c>
      <c r="D1272" t="str">
        <f>Graph_Ophtha!$D$6</f>
        <v>HPSP30</v>
      </c>
      <c r="E1272" t="str">
        <f t="shared" si="19"/>
        <v>Ophthalmology HPSP30</v>
      </c>
      <c r="F1272">
        <f>Graph_Ophtha!$A17</f>
        <v>2023</v>
      </c>
      <c r="G1272">
        <f>Graph_Ophtha!$B17</f>
        <v>11</v>
      </c>
      <c r="H1272" s="165">
        <f>Graph_Ophtha!$D17</f>
        <v>504876.79759229696</v>
      </c>
      <c r="I1272" s="160">
        <f>InputData!$C$3</f>
        <v>0.02</v>
      </c>
      <c r="J1272" s="160">
        <f>InputData!$C$4</f>
        <v>0.01</v>
      </c>
      <c r="K1272" s="160">
        <f>InputData!$C$5</f>
        <v>0.01</v>
      </c>
      <c r="L1272" s="160">
        <f>InputData!$C$6</f>
        <v>6.2100000000000002E-2</v>
      </c>
      <c r="M1272" s="160">
        <f>InputData!$C$7</f>
        <v>0.03</v>
      </c>
      <c r="N1272" s="160">
        <f>InputData!$C$8</f>
        <v>0.02</v>
      </c>
      <c r="O1272" s="160">
        <f>InputData!$C$9</f>
        <v>0.06</v>
      </c>
      <c r="P1272" s="160">
        <f>InputData!$C$10</f>
        <v>0.02</v>
      </c>
      <c r="Q1272" s="160">
        <f>InputData!$C$11</f>
        <v>0.02</v>
      </c>
      <c r="R1272" s="160">
        <f>InputData!$C$12</f>
        <v>0.02</v>
      </c>
      <c r="S1272" s="160">
        <f>InputData!$C$13</f>
        <v>0.9</v>
      </c>
      <c r="T1272" s="116">
        <f>InputData!$C$88</f>
        <v>180000</v>
      </c>
      <c r="U1272" s="116">
        <f>InputData!$C$81</f>
        <v>178500</v>
      </c>
      <c r="V1272" s="116">
        <f>InputData!$C$82</f>
        <v>303960</v>
      </c>
      <c r="W1272" s="116">
        <f>InputData!$C$84</f>
        <v>215220</v>
      </c>
      <c r="X1272" s="116">
        <f>InputData!$C$85</f>
        <v>409020</v>
      </c>
      <c r="Y1272" s="116">
        <f>InputData!$C$116</f>
        <v>140000</v>
      </c>
      <c r="Z1272" s="160">
        <f>InputData!$E$13</f>
        <v>0</v>
      </c>
    </row>
    <row r="1273" spans="1:26" x14ac:dyDescent="0.25">
      <c r="A1273">
        <f>InputData!$K$1</f>
        <v>2013</v>
      </c>
      <c r="B1273" t="str">
        <f>InputData!$G$1</f>
        <v>San Antonio, TX</v>
      </c>
      <c r="C1273" t="s">
        <v>227</v>
      </c>
      <c r="D1273" t="str">
        <f>Graph_Ophtha!$D$6</f>
        <v>HPSP30</v>
      </c>
      <c r="E1273" t="str">
        <f t="shared" si="19"/>
        <v>Ophthalmology HPSP30</v>
      </c>
      <c r="F1273">
        <f>Graph_Ophtha!$A18</f>
        <v>2024</v>
      </c>
      <c r="G1273">
        <f>Graph_Ophtha!$B18</f>
        <v>12</v>
      </c>
      <c r="H1273" s="165">
        <f>Graph_Ophtha!$D18</f>
        <v>566148.02380469104</v>
      </c>
      <c r="I1273" s="160">
        <f>InputData!$C$3</f>
        <v>0.02</v>
      </c>
      <c r="J1273" s="160">
        <f>InputData!$C$4</f>
        <v>0.01</v>
      </c>
      <c r="K1273" s="160">
        <f>InputData!$C$5</f>
        <v>0.01</v>
      </c>
      <c r="L1273" s="160">
        <f>InputData!$C$6</f>
        <v>6.2100000000000002E-2</v>
      </c>
      <c r="M1273" s="160">
        <f>InputData!$C$7</f>
        <v>0.03</v>
      </c>
      <c r="N1273" s="160">
        <f>InputData!$C$8</f>
        <v>0.02</v>
      </c>
      <c r="O1273" s="160">
        <f>InputData!$C$9</f>
        <v>0.06</v>
      </c>
      <c r="P1273" s="160">
        <f>InputData!$C$10</f>
        <v>0.02</v>
      </c>
      <c r="Q1273" s="160">
        <f>InputData!$C$11</f>
        <v>0.02</v>
      </c>
      <c r="R1273" s="160">
        <f>InputData!$C$12</f>
        <v>0.02</v>
      </c>
      <c r="S1273" s="160">
        <f>InputData!$C$13</f>
        <v>0.9</v>
      </c>
      <c r="T1273" s="116">
        <f>InputData!$C$88</f>
        <v>180000</v>
      </c>
      <c r="U1273" s="116">
        <f>InputData!$C$81</f>
        <v>178500</v>
      </c>
      <c r="V1273" s="116">
        <f>InputData!$C$82</f>
        <v>303960</v>
      </c>
      <c r="W1273" s="116">
        <f>InputData!$C$84</f>
        <v>215220</v>
      </c>
      <c r="X1273" s="116">
        <f>InputData!$C$85</f>
        <v>409020</v>
      </c>
      <c r="Y1273" s="116">
        <f>InputData!$C$116</f>
        <v>140000</v>
      </c>
      <c r="Z1273" s="160">
        <f>InputData!$E$13</f>
        <v>0</v>
      </c>
    </row>
    <row r="1274" spans="1:26" x14ac:dyDescent="0.25">
      <c r="A1274">
        <f>InputData!$K$1</f>
        <v>2013</v>
      </c>
      <c r="B1274" t="str">
        <f>InputData!$G$1</f>
        <v>San Antonio, TX</v>
      </c>
      <c r="C1274" t="s">
        <v>227</v>
      </c>
      <c r="D1274" t="str">
        <f>Graph_Ophtha!$D$6</f>
        <v>HPSP30</v>
      </c>
      <c r="E1274" t="str">
        <f t="shared" si="19"/>
        <v>Ophthalmology HPSP30</v>
      </c>
      <c r="F1274">
        <f>Graph_Ophtha!$A19</f>
        <v>2025</v>
      </c>
      <c r="G1274">
        <f>Graph_Ophtha!$B19</f>
        <v>13</v>
      </c>
      <c r="H1274" s="165">
        <f>Graph_Ophtha!$D19</f>
        <v>649910.06493425183</v>
      </c>
      <c r="I1274" s="160">
        <f>InputData!$C$3</f>
        <v>0.02</v>
      </c>
      <c r="J1274" s="160">
        <f>InputData!$C$4</f>
        <v>0.01</v>
      </c>
      <c r="K1274" s="160">
        <f>InputData!$C$5</f>
        <v>0.01</v>
      </c>
      <c r="L1274" s="160">
        <f>InputData!$C$6</f>
        <v>6.2100000000000002E-2</v>
      </c>
      <c r="M1274" s="160">
        <f>InputData!$C$7</f>
        <v>0.03</v>
      </c>
      <c r="N1274" s="160">
        <f>InputData!$C$8</f>
        <v>0.02</v>
      </c>
      <c r="O1274" s="160">
        <f>InputData!$C$9</f>
        <v>0.06</v>
      </c>
      <c r="P1274" s="160">
        <f>InputData!$C$10</f>
        <v>0.02</v>
      </c>
      <c r="Q1274" s="160">
        <f>InputData!$C$11</f>
        <v>0.02</v>
      </c>
      <c r="R1274" s="160">
        <f>InputData!$C$12</f>
        <v>0.02</v>
      </c>
      <c r="S1274" s="160">
        <f>InputData!$C$13</f>
        <v>0.9</v>
      </c>
      <c r="T1274" s="116">
        <f>InputData!$C$88</f>
        <v>180000</v>
      </c>
      <c r="U1274" s="116">
        <f>InputData!$C$81</f>
        <v>178500</v>
      </c>
      <c r="V1274" s="116">
        <f>InputData!$C$82</f>
        <v>303960</v>
      </c>
      <c r="W1274" s="116">
        <f>InputData!$C$84</f>
        <v>215220</v>
      </c>
      <c r="X1274" s="116">
        <f>InputData!$C$85</f>
        <v>409020</v>
      </c>
      <c r="Y1274" s="116">
        <f>InputData!$C$116</f>
        <v>140000</v>
      </c>
      <c r="Z1274" s="160">
        <f>InputData!$E$13</f>
        <v>0</v>
      </c>
    </row>
    <row r="1275" spans="1:26" x14ac:dyDescent="0.25">
      <c r="A1275">
        <f>InputData!$K$1</f>
        <v>2013</v>
      </c>
      <c r="B1275" t="str">
        <f>InputData!$G$1</f>
        <v>San Antonio, TX</v>
      </c>
      <c r="C1275" t="s">
        <v>227</v>
      </c>
      <c r="D1275" t="str">
        <f>Graph_Ophtha!$D$6</f>
        <v>HPSP30</v>
      </c>
      <c r="E1275" t="str">
        <f t="shared" si="19"/>
        <v>Ophthalmology HPSP30</v>
      </c>
      <c r="F1275">
        <f>Graph_Ophtha!$A20</f>
        <v>2026</v>
      </c>
      <c r="G1275">
        <f>Graph_Ophtha!$B20</f>
        <v>14</v>
      </c>
      <c r="H1275" s="165">
        <f>Graph_Ophtha!$D20</f>
        <v>730451.56207811472</v>
      </c>
      <c r="I1275" s="160">
        <f>InputData!$C$3</f>
        <v>0.02</v>
      </c>
      <c r="J1275" s="160">
        <f>InputData!$C$4</f>
        <v>0.01</v>
      </c>
      <c r="K1275" s="160">
        <f>InputData!$C$5</f>
        <v>0.01</v>
      </c>
      <c r="L1275" s="160">
        <f>InputData!$C$6</f>
        <v>6.2100000000000002E-2</v>
      </c>
      <c r="M1275" s="160">
        <f>InputData!$C$7</f>
        <v>0.03</v>
      </c>
      <c r="N1275" s="160">
        <f>InputData!$C$8</f>
        <v>0.02</v>
      </c>
      <c r="O1275" s="160">
        <f>InputData!$C$9</f>
        <v>0.06</v>
      </c>
      <c r="P1275" s="160">
        <f>InputData!$C$10</f>
        <v>0.02</v>
      </c>
      <c r="Q1275" s="160">
        <f>InputData!$C$11</f>
        <v>0.02</v>
      </c>
      <c r="R1275" s="160">
        <f>InputData!$C$12</f>
        <v>0.02</v>
      </c>
      <c r="S1275" s="160">
        <f>InputData!$C$13</f>
        <v>0.9</v>
      </c>
      <c r="T1275" s="116">
        <f>InputData!$C$88</f>
        <v>180000</v>
      </c>
      <c r="U1275" s="116">
        <f>InputData!$C$81</f>
        <v>178500</v>
      </c>
      <c r="V1275" s="116">
        <f>InputData!$C$82</f>
        <v>303960</v>
      </c>
      <c r="W1275" s="116">
        <f>InputData!$C$84</f>
        <v>215220</v>
      </c>
      <c r="X1275" s="116">
        <f>InputData!$C$85</f>
        <v>409020</v>
      </c>
      <c r="Y1275" s="116">
        <f>InputData!$C$116</f>
        <v>140000</v>
      </c>
      <c r="Z1275" s="160">
        <f>InputData!$E$13</f>
        <v>0</v>
      </c>
    </row>
    <row r="1276" spans="1:26" x14ac:dyDescent="0.25">
      <c r="A1276">
        <f>InputData!$K$1</f>
        <v>2013</v>
      </c>
      <c r="B1276" t="str">
        <f>InputData!$G$1</f>
        <v>San Antonio, TX</v>
      </c>
      <c r="C1276" t="s">
        <v>227</v>
      </c>
      <c r="D1276" t="str">
        <f>Graph_Ophtha!$D$6</f>
        <v>HPSP30</v>
      </c>
      <c r="E1276" t="str">
        <f t="shared" si="19"/>
        <v>Ophthalmology HPSP30</v>
      </c>
      <c r="F1276">
        <f>Graph_Ophtha!$A21</f>
        <v>2027</v>
      </c>
      <c r="G1276">
        <f>Graph_Ophtha!$B21</f>
        <v>15</v>
      </c>
      <c r="H1276" s="165">
        <f>Graph_Ophtha!$D21</f>
        <v>810137.25824792241</v>
      </c>
      <c r="I1276" s="160">
        <f>InputData!$C$3</f>
        <v>0.02</v>
      </c>
      <c r="J1276" s="160">
        <f>InputData!$C$4</f>
        <v>0.01</v>
      </c>
      <c r="K1276" s="160">
        <f>InputData!$C$5</f>
        <v>0.01</v>
      </c>
      <c r="L1276" s="160">
        <f>InputData!$C$6</f>
        <v>6.2100000000000002E-2</v>
      </c>
      <c r="M1276" s="160">
        <f>InputData!$C$7</f>
        <v>0.03</v>
      </c>
      <c r="N1276" s="160">
        <f>InputData!$C$8</f>
        <v>0.02</v>
      </c>
      <c r="O1276" s="160">
        <f>InputData!$C$9</f>
        <v>0.06</v>
      </c>
      <c r="P1276" s="160">
        <f>InputData!$C$10</f>
        <v>0.02</v>
      </c>
      <c r="Q1276" s="160">
        <f>InputData!$C$11</f>
        <v>0.02</v>
      </c>
      <c r="R1276" s="160">
        <f>InputData!$C$12</f>
        <v>0.02</v>
      </c>
      <c r="S1276" s="160">
        <f>InputData!$C$13</f>
        <v>0.9</v>
      </c>
      <c r="T1276" s="116">
        <f>InputData!$C$88</f>
        <v>180000</v>
      </c>
      <c r="U1276" s="116">
        <f>InputData!$C$81</f>
        <v>178500</v>
      </c>
      <c r="V1276" s="116">
        <f>InputData!$C$82</f>
        <v>303960</v>
      </c>
      <c r="W1276" s="116">
        <f>InputData!$C$84</f>
        <v>215220</v>
      </c>
      <c r="X1276" s="116">
        <f>InputData!$C$85</f>
        <v>409020</v>
      </c>
      <c r="Y1276" s="116">
        <f>InputData!$C$116</f>
        <v>140000</v>
      </c>
      <c r="Z1276" s="160">
        <f>InputData!$E$13</f>
        <v>0</v>
      </c>
    </row>
    <row r="1277" spans="1:26" x14ac:dyDescent="0.25">
      <c r="A1277">
        <f>InputData!$K$1</f>
        <v>2013</v>
      </c>
      <c r="B1277" t="str">
        <f>InputData!$G$1</f>
        <v>San Antonio, TX</v>
      </c>
      <c r="C1277" t="s">
        <v>227</v>
      </c>
      <c r="D1277" t="str">
        <f>Graph_Ophtha!$D$6</f>
        <v>HPSP30</v>
      </c>
      <c r="E1277" t="str">
        <f t="shared" si="19"/>
        <v>Ophthalmology HPSP30</v>
      </c>
      <c r="F1277">
        <f>Graph_Ophtha!$A22</f>
        <v>2028</v>
      </c>
      <c r="G1277">
        <f>Graph_Ophtha!$B22</f>
        <v>16</v>
      </c>
      <c r="H1277" s="165">
        <f>Graph_Ophtha!$D22</f>
        <v>886758.99735881819</v>
      </c>
      <c r="I1277" s="160">
        <f>InputData!$C$3</f>
        <v>0.02</v>
      </c>
      <c r="J1277" s="160">
        <f>InputData!$C$4</f>
        <v>0.01</v>
      </c>
      <c r="K1277" s="160">
        <f>InputData!$C$5</f>
        <v>0.01</v>
      </c>
      <c r="L1277" s="160">
        <f>InputData!$C$6</f>
        <v>6.2100000000000002E-2</v>
      </c>
      <c r="M1277" s="160">
        <f>InputData!$C$7</f>
        <v>0.03</v>
      </c>
      <c r="N1277" s="160">
        <f>InputData!$C$8</f>
        <v>0.02</v>
      </c>
      <c r="O1277" s="160">
        <f>InputData!$C$9</f>
        <v>0.06</v>
      </c>
      <c r="P1277" s="160">
        <f>InputData!$C$10</f>
        <v>0.02</v>
      </c>
      <c r="Q1277" s="160">
        <f>InputData!$C$11</f>
        <v>0.02</v>
      </c>
      <c r="R1277" s="160">
        <f>InputData!$C$12</f>
        <v>0.02</v>
      </c>
      <c r="S1277" s="160">
        <f>InputData!$C$13</f>
        <v>0.9</v>
      </c>
      <c r="T1277" s="116">
        <f>InputData!$C$88</f>
        <v>180000</v>
      </c>
      <c r="U1277" s="116">
        <f>InputData!$C$81</f>
        <v>178500</v>
      </c>
      <c r="V1277" s="116">
        <f>InputData!$C$82</f>
        <v>303960</v>
      </c>
      <c r="W1277" s="116">
        <f>InputData!$C$84</f>
        <v>215220</v>
      </c>
      <c r="X1277" s="116">
        <f>InputData!$C$85</f>
        <v>409020</v>
      </c>
      <c r="Y1277" s="116">
        <f>InputData!$C$116</f>
        <v>140000</v>
      </c>
      <c r="Z1277" s="160">
        <f>InputData!$E$13</f>
        <v>0</v>
      </c>
    </row>
    <row r="1278" spans="1:26" x14ac:dyDescent="0.25">
      <c r="A1278">
        <f>InputData!$K$1</f>
        <v>2013</v>
      </c>
      <c r="B1278" t="str">
        <f>InputData!$G$1</f>
        <v>San Antonio, TX</v>
      </c>
      <c r="C1278" t="s">
        <v>227</v>
      </c>
      <c r="D1278" t="str">
        <f>Graph_Ophtha!$D$6</f>
        <v>HPSP30</v>
      </c>
      <c r="E1278" t="str">
        <f t="shared" si="19"/>
        <v>Ophthalmology HPSP30</v>
      </c>
      <c r="F1278">
        <f>Graph_Ophtha!$A23</f>
        <v>2029</v>
      </c>
      <c r="G1278">
        <f>Graph_Ophtha!$B23</f>
        <v>17</v>
      </c>
      <c r="H1278" s="165">
        <f>Graph_Ophtha!$D23</f>
        <v>963100.50591079576</v>
      </c>
      <c r="I1278" s="160">
        <f>InputData!$C$3</f>
        <v>0.02</v>
      </c>
      <c r="J1278" s="160">
        <f>InputData!$C$4</f>
        <v>0.01</v>
      </c>
      <c r="K1278" s="160">
        <f>InputData!$C$5</f>
        <v>0.01</v>
      </c>
      <c r="L1278" s="160">
        <f>InputData!$C$6</f>
        <v>6.2100000000000002E-2</v>
      </c>
      <c r="M1278" s="160">
        <f>InputData!$C$7</f>
        <v>0.03</v>
      </c>
      <c r="N1278" s="160">
        <f>InputData!$C$8</f>
        <v>0.02</v>
      </c>
      <c r="O1278" s="160">
        <f>InputData!$C$9</f>
        <v>0.06</v>
      </c>
      <c r="P1278" s="160">
        <f>InputData!$C$10</f>
        <v>0.02</v>
      </c>
      <c r="Q1278" s="160">
        <f>InputData!$C$11</f>
        <v>0.02</v>
      </c>
      <c r="R1278" s="160">
        <f>InputData!$C$12</f>
        <v>0.02</v>
      </c>
      <c r="S1278" s="160">
        <f>InputData!$C$13</f>
        <v>0.9</v>
      </c>
      <c r="T1278" s="116">
        <f>InputData!$C$88</f>
        <v>180000</v>
      </c>
      <c r="U1278" s="116">
        <f>InputData!$C$81</f>
        <v>178500</v>
      </c>
      <c r="V1278" s="116">
        <f>InputData!$C$82</f>
        <v>303960</v>
      </c>
      <c r="W1278" s="116">
        <f>InputData!$C$84</f>
        <v>215220</v>
      </c>
      <c r="X1278" s="116">
        <f>InputData!$C$85</f>
        <v>409020</v>
      </c>
      <c r="Y1278" s="116">
        <f>InputData!$C$116</f>
        <v>140000</v>
      </c>
      <c r="Z1278" s="160">
        <f>InputData!$E$13</f>
        <v>0</v>
      </c>
    </row>
    <row r="1279" spans="1:26" x14ac:dyDescent="0.25">
      <c r="A1279">
        <f>InputData!$K$1</f>
        <v>2013</v>
      </c>
      <c r="B1279" t="str">
        <f>InputData!$G$1</f>
        <v>San Antonio, TX</v>
      </c>
      <c r="C1279" t="s">
        <v>227</v>
      </c>
      <c r="D1279" t="str">
        <f>Graph_Ophtha!$D$6</f>
        <v>HPSP30</v>
      </c>
      <c r="E1279" t="str">
        <f t="shared" si="19"/>
        <v>Ophthalmology HPSP30</v>
      </c>
      <c r="F1279">
        <f>Graph_Ophtha!$A24</f>
        <v>2030</v>
      </c>
      <c r="G1279">
        <f>Graph_Ophtha!$B24</f>
        <v>18</v>
      </c>
      <c r="H1279" s="165">
        <f>Graph_Ophtha!$D24</f>
        <v>1036506.4044737867</v>
      </c>
      <c r="I1279" s="160">
        <f>InputData!$C$3</f>
        <v>0.02</v>
      </c>
      <c r="J1279" s="160">
        <f>InputData!$C$4</f>
        <v>0.01</v>
      </c>
      <c r="K1279" s="160">
        <f>InputData!$C$5</f>
        <v>0.01</v>
      </c>
      <c r="L1279" s="160">
        <f>InputData!$C$6</f>
        <v>6.2100000000000002E-2</v>
      </c>
      <c r="M1279" s="160">
        <f>InputData!$C$7</f>
        <v>0.03</v>
      </c>
      <c r="N1279" s="160">
        <f>InputData!$C$8</f>
        <v>0.02</v>
      </c>
      <c r="O1279" s="160">
        <f>InputData!$C$9</f>
        <v>0.06</v>
      </c>
      <c r="P1279" s="160">
        <f>InputData!$C$10</f>
        <v>0.02</v>
      </c>
      <c r="Q1279" s="160">
        <f>InputData!$C$11</f>
        <v>0.02</v>
      </c>
      <c r="R1279" s="160">
        <f>InputData!$C$12</f>
        <v>0.02</v>
      </c>
      <c r="S1279" s="160">
        <f>InputData!$C$13</f>
        <v>0.9</v>
      </c>
      <c r="T1279" s="116">
        <f>InputData!$C$88</f>
        <v>180000</v>
      </c>
      <c r="U1279" s="116">
        <f>InputData!$C$81</f>
        <v>178500</v>
      </c>
      <c r="V1279" s="116">
        <f>InputData!$C$82</f>
        <v>303960</v>
      </c>
      <c r="W1279" s="116">
        <f>InputData!$C$84</f>
        <v>215220</v>
      </c>
      <c r="X1279" s="116">
        <f>InputData!$C$85</f>
        <v>409020</v>
      </c>
      <c r="Y1279" s="116">
        <f>InputData!$C$116</f>
        <v>140000</v>
      </c>
      <c r="Z1279" s="160">
        <f>InputData!$E$13</f>
        <v>0</v>
      </c>
    </row>
    <row r="1280" spans="1:26" x14ac:dyDescent="0.25">
      <c r="A1280">
        <f>InputData!$K$1</f>
        <v>2013</v>
      </c>
      <c r="B1280" t="str">
        <f>InputData!$G$1</f>
        <v>San Antonio, TX</v>
      </c>
      <c r="C1280" t="s">
        <v>227</v>
      </c>
      <c r="D1280" t="str">
        <f>Graph_Ophtha!$D$6</f>
        <v>HPSP30</v>
      </c>
      <c r="E1280" t="str">
        <f t="shared" si="19"/>
        <v>Ophthalmology HPSP30</v>
      </c>
      <c r="F1280">
        <f>Graph_Ophtha!$A25</f>
        <v>2031</v>
      </c>
      <c r="G1280">
        <f>Graph_Ophtha!$B25</f>
        <v>19</v>
      </c>
      <c r="H1280" s="165">
        <f>Graph_Ophtha!$D25</f>
        <v>1108367.8784148411</v>
      </c>
      <c r="I1280" s="160">
        <f>InputData!$C$3</f>
        <v>0.02</v>
      </c>
      <c r="J1280" s="160">
        <f>InputData!$C$4</f>
        <v>0.01</v>
      </c>
      <c r="K1280" s="160">
        <f>InputData!$C$5</f>
        <v>0.01</v>
      </c>
      <c r="L1280" s="160">
        <f>InputData!$C$6</f>
        <v>6.2100000000000002E-2</v>
      </c>
      <c r="M1280" s="160">
        <f>InputData!$C$7</f>
        <v>0.03</v>
      </c>
      <c r="N1280" s="160">
        <f>InputData!$C$8</f>
        <v>0.02</v>
      </c>
      <c r="O1280" s="160">
        <f>InputData!$C$9</f>
        <v>0.06</v>
      </c>
      <c r="P1280" s="160">
        <f>InputData!$C$10</f>
        <v>0.02</v>
      </c>
      <c r="Q1280" s="160">
        <f>InputData!$C$11</f>
        <v>0.02</v>
      </c>
      <c r="R1280" s="160">
        <f>InputData!$C$12</f>
        <v>0.02</v>
      </c>
      <c r="S1280" s="160">
        <f>InputData!$C$13</f>
        <v>0.9</v>
      </c>
      <c r="T1280" s="116">
        <f>InputData!$C$88</f>
        <v>180000</v>
      </c>
      <c r="U1280" s="116">
        <f>InputData!$C$81</f>
        <v>178500</v>
      </c>
      <c r="V1280" s="116">
        <f>InputData!$C$82</f>
        <v>303960</v>
      </c>
      <c r="W1280" s="116">
        <f>InputData!$C$84</f>
        <v>215220</v>
      </c>
      <c r="X1280" s="116">
        <f>InputData!$C$85</f>
        <v>409020</v>
      </c>
      <c r="Y1280" s="116">
        <f>InputData!$C$116</f>
        <v>140000</v>
      </c>
      <c r="Z1280" s="160">
        <f>InputData!$E$13</f>
        <v>0</v>
      </c>
    </row>
    <row r="1281" spans="1:26" x14ac:dyDescent="0.25">
      <c r="A1281">
        <f>InputData!$K$1</f>
        <v>2013</v>
      </c>
      <c r="B1281" t="str">
        <f>InputData!$G$1</f>
        <v>San Antonio, TX</v>
      </c>
      <c r="C1281" t="s">
        <v>227</v>
      </c>
      <c r="D1281" t="str">
        <f>Graph_Ophtha!$D$6</f>
        <v>HPSP30</v>
      </c>
      <c r="E1281" t="str">
        <f t="shared" si="19"/>
        <v>Ophthalmology HPSP30</v>
      </c>
      <c r="F1281">
        <f>Graph_Ophtha!$A26</f>
        <v>2032</v>
      </c>
      <c r="G1281">
        <f>Graph_Ophtha!$B26</f>
        <v>20</v>
      </c>
      <c r="H1281" s="165">
        <f>Graph_Ophtha!$D26</f>
        <v>1177466.0347272865</v>
      </c>
      <c r="I1281" s="160">
        <f>InputData!$C$3</f>
        <v>0.02</v>
      </c>
      <c r="J1281" s="160">
        <f>InputData!$C$4</f>
        <v>0.01</v>
      </c>
      <c r="K1281" s="160">
        <f>InputData!$C$5</f>
        <v>0.01</v>
      </c>
      <c r="L1281" s="160">
        <f>InputData!$C$6</f>
        <v>6.2100000000000002E-2</v>
      </c>
      <c r="M1281" s="160">
        <f>InputData!$C$7</f>
        <v>0.03</v>
      </c>
      <c r="N1281" s="160">
        <f>InputData!$C$8</f>
        <v>0.02</v>
      </c>
      <c r="O1281" s="160">
        <f>InputData!$C$9</f>
        <v>0.06</v>
      </c>
      <c r="P1281" s="160">
        <f>InputData!$C$10</f>
        <v>0.02</v>
      </c>
      <c r="Q1281" s="160">
        <f>InputData!$C$11</f>
        <v>0.02</v>
      </c>
      <c r="R1281" s="160">
        <f>InputData!$C$12</f>
        <v>0.02</v>
      </c>
      <c r="S1281" s="160">
        <f>InputData!$C$13</f>
        <v>0.9</v>
      </c>
      <c r="T1281" s="116">
        <f>InputData!$C$88</f>
        <v>180000</v>
      </c>
      <c r="U1281" s="116">
        <f>InputData!$C$81</f>
        <v>178500</v>
      </c>
      <c r="V1281" s="116">
        <f>InputData!$C$82</f>
        <v>303960</v>
      </c>
      <c r="W1281" s="116">
        <f>InputData!$C$84</f>
        <v>215220</v>
      </c>
      <c r="X1281" s="116">
        <f>InputData!$C$85</f>
        <v>409020</v>
      </c>
      <c r="Y1281" s="116">
        <f>InputData!$C$116</f>
        <v>140000</v>
      </c>
      <c r="Z1281" s="160">
        <f>InputData!$E$13</f>
        <v>0</v>
      </c>
    </row>
    <row r="1282" spans="1:26" x14ac:dyDescent="0.25">
      <c r="A1282">
        <f>InputData!$K$1</f>
        <v>2013</v>
      </c>
      <c r="B1282" t="str">
        <f>InputData!$G$1</f>
        <v>San Antonio, TX</v>
      </c>
      <c r="C1282" t="s">
        <v>227</v>
      </c>
      <c r="D1282" t="str">
        <f>Graph_Ophtha!$D$6</f>
        <v>HPSP30</v>
      </c>
      <c r="E1282" t="str">
        <f t="shared" si="19"/>
        <v>Ophthalmology HPSP30</v>
      </c>
      <c r="F1282">
        <f>Graph_Ophtha!$A27</f>
        <v>2033</v>
      </c>
      <c r="G1282">
        <f>Graph_Ophtha!$B27</f>
        <v>21</v>
      </c>
      <c r="H1282" s="165">
        <f>Graph_Ophtha!$D27</f>
        <v>1245715.561920464</v>
      </c>
      <c r="I1282" s="160">
        <f>InputData!$C$3</f>
        <v>0.02</v>
      </c>
      <c r="J1282" s="160">
        <f>InputData!$C$4</f>
        <v>0.01</v>
      </c>
      <c r="K1282" s="160">
        <f>InputData!$C$5</f>
        <v>0.01</v>
      </c>
      <c r="L1282" s="160">
        <f>InputData!$C$6</f>
        <v>6.2100000000000002E-2</v>
      </c>
      <c r="M1282" s="160">
        <f>InputData!$C$7</f>
        <v>0.03</v>
      </c>
      <c r="N1282" s="160">
        <f>InputData!$C$8</f>
        <v>0.02</v>
      </c>
      <c r="O1282" s="160">
        <f>InputData!$C$9</f>
        <v>0.06</v>
      </c>
      <c r="P1282" s="160">
        <f>InputData!$C$10</f>
        <v>0.02</v>
      </c>
      <c r="Q1282" s="160">
        <f>InputData!$C$11</f>
        <v>0.02</v>
      </c>
      <c r="R1282" s="160">
        <f>InputData!$C$12</f>
        <v>0.02</v>
      </c>
      <c r="S1282" s="160">
        <f>InputData!$C$13</f>
        <v>0.9</v>
      </c>
      <c r="T1282" s="116">
        <f>InputData!$C$88</f>
        <v>180000</v>
      </c>
      <c r="U1282" s="116">
        <f>InputData!$C$81</f>
        <v>178500</v>
      </c>
      <c r="V1282" s="116">
        <f>InputData!$C$82</f>
        <v>303960</v>
      </c>
      <c r="W1282" s="116">
        <f>InputData!$C$84</f>
        <v>215220</v>
      </c>
      <c r="X1282" s="116">
        <f>InputData!$C$85</f>
        <v>409020</v>
      </c>
      <c r="Y1282" s="116">
        <f>InputData!$C$116</f>
        <v>140000</v>
      </c>
      <c r="Z1282" s="160">
        <f>InputData!$E$13</f>
        <v>0</v>
      </c>
    </row>
    <row r="1283" spans="1:26" x14ac:dyDescent="0.25">
      <c r="A1283">
        <f>InputData!$K$1</f>
        <v>2013</v>
      </c>
      <c r="B1283" t="str">
        <f>InputData!$G$1</f>
        <v>San Antonio, TX</v>
      </c>
      <c r="C1283" t="s">
        <v>227</v>
      </c>
      <c r="D1283" t="str">
        <f>Graph_Ophtha!$D$6</f>
        <v>HPSP30</v>
      </c>
      <c r="E1283" t="str">
        <f t="shared" ref="E1283:E1346" si="20">C1283 &amp; " " &amp; D1283</f>
        <v>Ophthalmology HPSP30</v>
      </c>
      <c r="F1283">
        <f>Graph_Ophtha!$A28</f>
        <v>2034</v>
      </c>
      <c r="G1283">
        <f>Graph_Ophtha!$B28</f>
        <v>22</v>
      </c>
      <c r="H1283" s="165">
        <f>Graph_Ophtha!$D28</f>
        <v>1311340.5649818145</v>
      </c>
      <c r="I1283" s="160">
        <f>InputData!$C$3</f>
        <v>0.02</v>
      </c>
      <c r="J1283" s="160">
        <f>InputData!$C$4</f>
        <v>0.01</v>
      </c>
      <c r="K1283" s="160">
        <f>InputData!$C$5</f>
        <v>0.01</v>
      </c>
      <c r="L1283" s="160">
        <f>InputData!$C$6</f>
        <v>6.2100000000000002E-2</v>
      </c>
      <c r="M1283" s="160">
        <f>InputData!$C$7</f>
        <v>0.03</v>
      </c>
      <c r="N1283" s="160">
        <f>InputData!$C$8</f>
        <v>0.02</v>
      </c>
      <c r="O1283" s="160">
        <f>InputData!$C$9</f>
        <v>0.06</v>
      </c>
      <c r="P1283" s="160">
        <f>InputData!$C$10</f>
        <v>0.02</v>
      </c>
      <c r="Q1283" s="160">
        <f>InputData!$C$11</f>
        <v>0.02</v>
      </c>
      <c r="R1283" s="160">
        <f>InputData!$C$12</f>
        <v>0.02</v>
      </c>
      <c r="S1283" s="160">
        <f>InputData!$C$13</f>
        <v>0.9</v>
      </c>
      <c r="T1283" s="116">
        <f>InputData!$C$88</f>
        <v>180000</v>
      </c>
      <c r="U1283" s="116">
        <f>InputData!$C$81</f>
        <v>178500</v>
      </c>
      <c r="V1283" s="116">
        <f>InputData!$C$82</f>
        <v>303960</v>
      </c>
      <c r="W1283" s="116">
        <f>InputData!$C$84</f>
        <v>215220</v>
      </c>
      <c r="X1283" s="116">
        <f>InputData!$C$85</f>
        <v>409020</v>
      </c>
      <c r="Y1283" s="116">
        <f>InputData!$C$116</f>
        <v>140000</v>
      </c>
      <c r="Z1283" s="160">
        <f>InputData!$E$13</f>
        <v>0</v>
      </c>
    </row>
    <row r="1284" spans="1:26" x14ac:dyDescent="0.25">
      <c r="A1284">
        <f>InputData!$K$1</f>
        <v>2013</v>
      </c>
      <c r="B1284" t="str">
        <f>InputData!$G$1</f>
        <v>San Antonio, TX</v>
      </c>
      <c r="C1284" t="s">
        <v>227</v>
      </c>
      <c r="D1284" t="str">
        <f>Graph_Ophtha!$D$6</f>
        <v>HPSP30</v>
      </c>
      <c r="E1284" t="str">
        <f t="shared" si="20"/>
        <v>Ophthalmology HPSP30</v>
      </c>
      <c r="F1284">
        <f>Graph_Ophtha!$A29</f>
        <v>2035</v>
      </c>
      <c r="G1284">
        <f>Graph_Ophtha!$B29</f>
        <v>23</v>
      </c>
      <c r="H1284" s="165">
        <f>Graph_Ophtha!$D29</f>
        <v>1378375.5282091203</v>
      </c>
      <c r="I1284" s="160">
        <f>InputData!$C$3</f>
        <v>0.02</v>
      </c>
      <c r="J1284" s="160">
        <f>InputData!$C$4</f>
        <v>0.01</v>
      </c>
      <c r="K1284" s="160">
        <f>InputData!$C$5</f>
        <v>0.01</v>
      </c>
      <c r="L1284" s="160">
        <f>InputData!$C$6</f>
        <v>6.2100000000000002E-2</v>
      </c>
      <c r="M1284" s="160">
        <f>InputData!$C$7</f>
        <v>0.03</v>
      </c>
      <c r="N1284" s="160">
        <f>InputData!$C$8</f>
        <v>0.02</v>
      </c>
      <c r="O1284" s="160">
        <f>InputData!$C$9</f>
        <v>0.06</v>
      </c>
      <c r="P1284" s="160">
        <f>InputData!$C$10</f>
        <v>0.02</v>
      </c>
      <c r="Q1284" s="160">
        <f>InputData!$C$11</f>
        <v>0.02</v>
      </c>
      <c r="R1284" s="160">
        <f>InputData!$C$12</f>
        <v>0.02</v>
      </c>
      <c r="S1284" s="160">
        <f>InputData!$C$13</f>
        <v>0.9</v>
      </c>
      <c r="T1284" s="116">
        <f>InputData!$C$88</f>
        <v>180000</v>
      </c>
      <c r="U1284" s="116">
        <f>InputData!$C$81</f>
        <v>178500</v>
      </c>
      <c r="V1284" s="116">
        <f>InputData!$C$82</f>
        <v>303960</v>
      </c>
      <c r="W1284" s="116">
        <f>InputData!$C$84</f>
        <v>215220</v>
      </c>
      <c r="X1284" s="116">
        <f>InputData!$C$85</f>
        <v>409020</v>
      </c>
      <c r="Y1284" s="116">
        <f>InputData!$C$116</f>
        <v>140000</v>
      </c>
      <c r="Z1284" s="160">
        <f>InputData!$E$13</f>
        <v>0</v>
      </c>
    </row>
    <row r="1285" spans="1:26" x14ac:dyDescent="0.25">
      <c r="A1285">
        <f>InputData!$K$1</f>
        <v>2013</v>
      </c>
      <c r="B1285" t="str">
        <f>InputData!$G$1</f>
        <v>San Antonio, TX</v>
      </c>
      <c r="C1285" t="s">
        <v>227</v>
      </c>
      <c r="D1285" t="str">
        <f>Graph_Ophtha!$D$6</f>
        <v>HPSP30</v>
      </c>
      <c r="E1285" t="str">
        <f t="shared" si="20"/>
        <v>Ophthalmology HPSP30</v>
      </c>
      <c r="F1285">
        <f>Graph_Ophtha!$A30</f>
        <v>2036</v>
      </c>
      <c r="G1285">
        <f>Graph_Ophtha!$B30</f>
        <v>24</v>
      </c>
      <c r="H1285" s="165">
        <f>Graph_Ophtha!$D30</f>
        <v>1442826.7356323446</v>
      </c>
      <c r="I1285" s="160">
        <f>InputData!$C$3</f>
        <v>0.02</v>
      </c>
      <c r="J1285" s="160">
        <f>InputData!$C$4</f>
        <v>0.01</v>
      </c>
      <c r="K1285" s="160">
        <f>InputData!$C$5</f>
        <v>0.01</v>
      </c>
      <c r="L1285" s="160">
        <f>InputData!$C$6</f>
        <v>6.2100000000000002E-2</v>
      </c>
      <c r="M1285" s="160">
        <f>InputData!$C$7</f>
        <v>0.03</v>
      </c>
      <c r="N1285" s="160">
        <f>InputData!$C$8</f>
        <v>0.02</v>
      </c>
      <c r="O1285" s="160">
        <f>InputData!$C$9</f>
        <v>0.06</v>
      </c>
      <c r="P1285" s="160">
        <f>InputData!$C$10</f>
        <v>0.02</v>
      </c>
      <c r="Q1285" s="160">
        <f>InputData!$C$11</f>
        <v>0.02</v>
      </c>
      <c r="R1285" s="160">
        <f>InputData!$C$12</f>
        <v>0.02</v>
      </c>
      <c r="S1285" s="160">
        <f>InputData!$C$13</f>
        <v>0.9</v>
      </c>
      <c r="T1285" s="116">
        <f>InputData!$C$88</f>
        <v>180000</v>
      </c>
      <c r="U1285" s="116">
        <f>InputData!$C$81</f>
        <v>178500</v>
      </c>
      <c r="V1285" s="116">
        <f>InputData!$C$82</f>
        <v>303960</v>
      </c>
      <c r="W1285" s="116">
        <f>InputData!$C$84</f>
        <v>215220</v>
      </c>
      <c r="X1285" s="116">
        <f>InputData!$C$85</f>
        <v>409020</v>
      </c>
      <c r="Y1285" s="116">
        <f>InputData!$C$116</f>
        <v>140000</v>
      </c>
      <c r="Z1285" s="160">
        <f>InputData!$E$13</f>
        <v>0</v>
      </c>
    </row>
    <row r="1286" spans="1:26" x14ac:dyDescent="0.25">
      <c r="A1286">
        <f>InputData!$K$1</f>
        <v>2013</v>
      </c>
      <c r="B1286" t="str">
        <f>InputData!$G$1</f>
        <v>San Antonio, TX</v>
      </c>
      <c r="C1286" t="s">
        <v>227</v>
      </c>
      <c r="D1286" t="str">
        <f>Graph_Ophtha!$D$6</f>
        <v>HPSP30</v>
      </c>
      <c r="E1286" t="str">
        <f t="shared" si="20"/>
        <v>Ophthalmology HPSP30</v>
      </c>
      <c r="F1286">
        <f>Graph_Ophtha!$A31</f>
        <v>2037</v>
      </c>
      <c r="G1286">
        <f>Graph_Ophtha!$B31</f>
        <v>25</v>
      </c>
      <c r="H1286" s="165">
        <f>Graph_Ophtha!$D31</f>
        <v>1506241.7460800274</v>
      </c>
      <c r="I1286" s="160">
        <f>InputData!$C$3</f>
        <v>0.02</v>
      </c>
      <c r="J1286" s="160">
        <f>InputData!$C$4</f>
        <v>0.01</v>
      </c>
      <c r="K1286" s="160">
        <f>InputData!$C$5</f>
        <v>0.01</v>
      </c>
      <c r="L1286" s="160">
        <f>InputData!$C$6</f>
        <v>6.2100000000000002E-2</v>
      </c>
      <c r="M1286" s="160">
        <f>InputData!$C$7</f>
        <v>0.03</v>
      </c>
      <c r="N1286" s="160">
        <f>InputData!$C$8</f>
        <v>0.02</v>
      </c>
      <c r="O1286" s="160">
        <f>InputData!$C$9</f>
        <v>0.06</v>
      </c>
      <c r="P1286" s="160">
        <f>InputData!$C$10</f>
        <v>0.02</v>
      </c>
      <c r="Q1286" s="160">
        <f>InputData!$C$11</f>
        <v>0.02</v>
      </c>
      <c r="R1286" s="160">
        <f>InputData!$C$12</f>
        <v>0.02</v>
      </c>
      <c r="S1286" s="160">
        <f>InputData!$C$13</f>
        <v>0.9</v>
      </c>
      <c r="T1286" s="116">
        <f>InputData!$C$88</f>
        <v>180000</v>
      </c>
      <c r="U1286" s="116">
        <f>InputData!$C$81</f>
        <v>178500</v>
      </c>
      <c r="V1286" s="116">
        <f>InputData!$C$82</f>
        <v>303960</v>
      </c>
      <c r="W1286" s="116">
        <f>InputData!$C$84</f>
        <v>215220</v>
      </c>
      <c r="X1286" s="116">
        <f>InputData!$C$85</f>
        <v>409020</v>
      </c>
      <c r="Y1286" s="116">
        <f>InputData!$C$116</f>
        <v>140000</v>
      </c>
      <c r="Z1286" s="160">
        <f>InputData!$E$13</f>
        <v>0</v>
      </c>
    </row>
    <row r="1287" spans="1:26" x14ac:dyDescent="0.25">
      <c r="A1287">
        <f>InputData!$K$1</f>
        <v>2013</v>
      </c>
      <c r="B1287" t="str">
        <f>InputData!$G$1</f>
        <v>San Antonio, TX</v>
      </c>
      <c r="C1287" t="s">
        <v>227</v>
      </c>
      <c r="D1287" t="str">
        <f>Graph_Ophtha!$D$6</f>
        <v>HPSP30</v>
      </c>
      <c r="E1287" t="str">
        <f t="shared" si="20"/>
        <v>Ophthalmology HPSP30</v>
      </c>
      <c r="F1287">
        <f>Graph_Ophtha!$A32</f>
        <v>2038</v>
      </c>
      <c r="G1287">
        <f>Graph_Ophtha!$B32</f>
        <v>26</v>
      </c>
      <c r="H1287" s="165">
        <f>Graph_Ophtha!$D32</f>
        <v>1567478.2037837482</v>
      </c>
      <c r="I1287" s="160">
        <f>InputData!$C$3</f>
        <v>0.02</v>
      </c>
      <c r="J1287" s="160">
        <f>InputData!$C$4</f>
        <v>0.01</v>
      </c>
      <c r="K1287" s="160">
        <f>InputData!$C$5</f>
        <v>0.01</v>
      </c>
      <c r="L1287" s="160">
        <f>InputData!$C$6</f>
        <v>6.2100000000000002E-2</v>
      </c>
      <c r="M1287" s="160">
        <f>InputData!$C$7</f>
        <v>0.03</v>
      </c>
      <c r="N1287" s="160">
        <f>InputData!$C$8</f>
        <v>0.02</v>
      </c>
      <c r="O1287" s="160">
        <f>InputData!$C$9</f>
        <v>0.06</v>
      </c>
      <c r="P1287" s="160">
        <f>InputData!$C$10</f>
        <v>0.02</v>
      </c>
      <c r="Q1287" s="160">
        <f>InputData!$C$11</f>
        <v>0.02</v>
      </c>
      <c r="R1287" s="160">
        <f>InputData!$C$12</f>
        <v>0.02</v>
      </c>
      <c r="S1287" s="160">
        <f>InputData!$C$13</f>
        <v>0.9</v>
      </c>
      <c r="T1287" s="116">
        <f>InputData!$C$88</f>
        <v>180000</v>
      </c>
      <c r="U1287" s="116">
        <f>InputData!$C$81</f>
        <v>178500</v>
      </c>
      <c r="V1287" s="116">
        <f>InputData!$C$82</f>
        <v>303960</v>
      </c>
      <c r="W1287" s="116">
        <f>InputData!$C$84</f>
        <v>215220</v>
      </c>
      <c r="X1287" s="116">
        <f>InputData!$C$85</f>
        <v>409020</v>
      </c>
      <c r="Y1287" s="116">
        <f>InputData!$C$116</f>
        <v>140000</v>
      </c>
      <c r="Z1287" s="160">
        <f>InputData!$E$13</f>
        <v>0</v>
      </c>
    </row>
    <row r="1288" spans="1:26" x14ac:dyDescent="0.25">
      <c r="A1288">
        <f>InputData!$K$1</f>
        <v>2013</v>
      </c>
      <c r="B1288" t="str">
        <f>InputData!$G$1</f>
        <v>San Antonio, TX</v>
      </c>
      <c r="C1288" t="s">
        <v>227</v>
      </c>
      <c r="D1288" t="str">
        <f>Graph_Ophtha!$D$6</f>
        <v>HPSP30</v>
      </c>
      <c r="E1288" t="str">
        <f t="shared" si="20"/>
        <v>Ophthalmology HPSP30</v>
      </c>
      <c r="F1288">
        <f>Graph_Ophtha!$A33</f>
        <v>2039</v>
      </c>
      <c r="G1288">
        <f>Graph_Ophtha!$B33</f>
        <v>27</v>
      </c>
      <c r="H1288" s="165">
        <f>Graph_Ophtha!$D33</f>
        <v>1626609.8439024603</v>
      </c>
      <c r="I1288" s="160">
        <f>InputData!$C$3</f>
        <v>0.02</v>
      </c>
      <c r="J1288" s="160">
        <f>InputData!$C$4</f>
        <v>0.01</v>
      </c>
      <c r="K1288" s="160">
        <f>InputData!$C$5</f>
        <v>0.01</v>
      </c>
      <c r="L1288" s="160">
        <f>InputData!$C$6</f>
        <v>6.2100000000000002E-2</v>
      </c>
      <c r="M1288" s="160">
        <f>InputData!$C$7</f>
        <v>0.03</v>
      </c>
      <c r="N1288" s="160">
        <f>InputData!$C$8</f>
        <v>0.02</v>
      </c>
      <c r="O1288" s="160">
        <f>InputData!$C$9</f>
        <v>0.06</v>
      </c>
      <c r="P1288" s="160">
        <f>InputData!$C$10</f>
        <v>0.02</v>
      </c>
      <c r="Q1288" s="160">
        <f>InputData!$C$11</f>
        <v>0.02</v>
      </c>
      <c r="R1288" s="160">
        <f>InputData!$C$12</f>
        <v>0.02</v>
      </c>
      <c r="S1288" s="160">
        <f>InputData!$C$13</f>
        <v>0.9</v>
      </c>
      <c r="T1288" s="116">
        <f>InputData!$C$88</f>
        <v>180000</v>
      </c>
      <c r="U1288" s="116">
        <f>InputData!$C$81</f>
        <v>178500</v>
      </c>
      <c r="V1288" s="116">
        <f>InputData!$C$82</f>
        <v>303960</v>
      </c>
      <c r="W1288" s="116">
        <f>InputData!$C$84</f>
        <v>215220</v>
      </c>
      <c r="X1288" s="116">
        <f>InputData!$C$85</f>
        <v>409020</v>
      </c>
      <c r="Y1288" s="116">
        <f>InputData!$C$116</f>
        <v>140000</v>
      </c>
      <c r="Z1288" s="160">
        <f>InputData!$E$13</f>
        <v>0</v>
      </c>
    </row>
    <row r="1289" spans="1:26" x14ac:dyDescent="0.25">
      <c r="A1289">
        <f>InputData!$K$1</f>
        <v>2013</v>
      </c>
      <c r="B1289" t="str">
        <f>InputData!$G$1</f>
        <v>San Antonio, TX</v>
      </c>
      <c r="C1289" t="s">
        <v>227</v>
      </c>
      <c r="D1289" t="str">
        <f>Graph_Ophtha!$D$6</f>
        <v>HPSP30</v>
      </c>
      <c r="E1289" t="str">
        <f t="shared" si="20"/>
        <v>Ophthalmology HPSP30</v>
      </c>
      <c r="F1289">
        <f>Graph_Ophtha!$A34</f>
        <v>2040</v>
      </c>
      <c r="G1289">
        <f>Graph_Ophtha!$B34</f>
        <v>28</v>
      </c>
      <c r="H1289" s="165">
        <f>Graph_Ophtha!$D34</f>
        <v>1683833.0794485125</v>
      </c>
      <c r="I1289" s="160">
        <f>InputData!$C$3</f>
        <v>0.02</v>
      </c>
      <c r="J1289" s="160">
        <f>InputData!$C$4</f>
        <v>0.01</v>
      </c>
      <c r="K1289" s="160">
        <f>InputData!$C$5</f>
        <v>0.01</v>
      </c>
      <c r="L1289" s="160">
        <f>InputData!$C$6</f>
        <v>6.2100000000000002E-2</v>
      </c>
      <c r="M1289" s="160">
        <f>InputData!$C$7</f>
        <v>0.03</v>
      </c>
      <c r="N1289" s="160">
        <f>InputData!$C$8</f>
        <v>0.02</v>
      </c>
      <c r="O1289" s="160">
        <f>InputData!$C$9</f>
        <v>0.06</v>
      </c>
      <c r="P1289" s="160">
        <f>InputData!$C$10</f>
        <v>0.02</v>
      </c>
      <c r="Q1289" s="160">
        <f>InputData!$C$11</f>
        <v>0.02</v>
      </c>
      <c r="R1289" s="160">
        <f>InputData!$C$12</f>
        <v>0.02</v>
      </c>
      <c r="S1289" s="160">
        <f>InputData!$C$13</f>
        <v>0.9</v>
      </c>
      <c r="T1289" s="116">
        <f>InputData!$C$88</f>
        <v>180000</v>
      </c>
      <c r="U1289" s="116">
        <f>InputData!$C$81</f>
        <v>178500</v>
      </c>
      <c r="V1289" s="116">
        <f>InputData!$C$82</f>
        <v>303960</v>
      </c>
      <c r="W1289" s="116">
        <f>InputData!$C$84</f>
        <v>215220</v>
      </c>
      <c r="X1289" s="116">
        <f>InputData!$C$85</f>
        <v>409020</v>
      </c>
      <c r="Y1289" s="116">
        <f>InputData!$C$116</f>
        <v>140000</v>
      </c>
      <c r="Z1289" s="160">
        <f>InputData!$E$13</f>
        <v>0</v>
      </c>
    </row>
    <row r="1290" spans="1:26" x14ac:dyDescent="0.25">
      <c r="A1290">
        <f>InputData!$K$1</f>
        <v>2013</v>
      </c>
      <c r="B1290" t="str">
        <f>InputData!$G$1</f>
        <v>San Antonio, TX</v>
      </c>
      <c r="C1290" t="s">
        <v>227</v>
      </c>
      <c r="D1290" t="str">
        <f>Graph_Ophtha!$D$6</f>
        <v>HPSP30</v>
      </c>
      <c r="E1290" t="str">
        <f t="shared" si="20"/>
        <v>Ophthalmology HPSP30</v>
      </c>
      <c r="F1290">
        <f>Graph_Ophtha!$A35</f>
        <v>2041</v>
      </c>
      <c r="G1290">
        <f>Graph_Ophtha!$B35</f>
        <v>29</v>
      </c>
      <c r="H1290" s="165">
        <f>Graph_Ophtha!$D35</f>
        <v>1739207.1593621271</v>
      </c>
      <c r="I1290" s="160">
        <f>InputData!$C$3</f>
        <v>0.02</v>
      </c>
      <c r="J1290" s="160">
        <f>InputData!$C$4</f>
        <v>0.01</v>
      </c>
      <c r="K1290" s="160">
        <f>InputData!$C$5</f>
        <v>0.01</v>
      </c>
      <c r="L1290" s="160">
        <f>InputData!$C$6</f>
        <v>6.2100000000000002E-2</v>
      </c>
      <c r="M1290" s="160">
        <f>InputData!$C$7</f>
        <v>0.03</v>
      </c>
      <c r="N1290" s="160">
        <f>InputData!$C$8</f>
        <v>0.02</v>
      </c>
      <c r="O1290" s="160">
        <f>InputData!$C$9</f>
        <v>0.06</v>
      </c>
      <c r="P1290" s="160">
        <f>InputData!$C$10</f>
        <v>0.02</v>
      </c>
      <c r="Q1290" s="160">
        <f>InputData!$C$11</f>
        <v>0.02</v>
      </c>
      <c r="R1290" s="160">
        <f>InputData!$C$12</f>
        <v>0.02</v>
      </c>
      <c r="S1290" s="160">
        <f>InputData!$C$13</f>
        <v>0.9</v>
      </c>
      <c r="T1290" s="116">
        <f>InputData!$C$88</f>
        <v>180000</v>
      </c>
      <c r="U1290" s="116">
        <f>InputData!$C$81</f>
        <v>178500</v>
      </c>
      <c r="V1290" s="116">
        <f>InputData!$C$82</f>
        <v>303960</v>
      </c>
      <c r="W1290" s="116">
        <f>InputData!$C$84</f>
        <v>215220</v>
      </c>
      <c r="X1290" s="116">
        <f>InputData!$C$85</f>
        <v>409020</v>
      </c>
      <c r="Y1290" s="116">
        <f>InputData!$C$116</f>
        <v>140000</v>
      </c>
      <c r="Z1290" s="160">
        <f>InputData!$E$13</f>
        <v>0</v>
      </c>
    </row>
    <row r="1291" spans="1:26" x14ac:dyDescent="0.25">
      <c r="A1291">
        <f>InputData!$K$1</f>
        <v>2013</v>
      </c>
      <c r="B1291" t="str">
        <f>InputData!$G$1</f>
        <v>San Antonio, TX</v>
      </c>
      <c r="C1291" t="s">
        <v>227</v>
      </c>
      <c r="D1291" t="str">
        <f>Graph_Ophtha!$D$6</f>
        <v>HPSP30</v>
      </c>
      <c r="E1291" t="str">
        <f t="shared" si="20"/>
        <v>Ophthalmology HPSP30</v>
      </c>
      <c r="F1291">
        <f>Graph_Ophtha!$A36</f>
        <v>2042</v>
      </c>
      <c r="G1291">
        <f>Graph_Ophtha!$B36</f>
        <v>30</v>
      </c>
      <c r="H1291" s="165">
        <f>Graph_Ophtha!$D36</f>
        <v>1793111.5394467271</v>
      </c>
      <c r="I1291" s="160">
        <f>InputData!$C$3</f>
        <v>0.02</v>
      </c>
      <c r="J1291" s="160">
        <f>InputData!$C$4</f>
        <v>0.01</v>
      </c>
      <c r="K1291" s="160">
        <f>InputData!$C$5</f>
        <v>0.01</v>
      </c>
      <c r="L1291" s="160">
        <f>InputData!$C$6</f>
        <v>6.2100000000000002E-2</v>
      </c>
      <c r="M1291" s="160">
        <f>InputData!$C$7</f>
        <v>0.03</v>
      </c>
      <c r="N1291" s="160">
        <f>InputData!$C$8</f>
        <v>0.02</v>
      </c>
      <c r="O1291" s="160">
        <f>InputData!$C$9</f>
        <v>0.06</v>
      </c>
      <c r="P1291" s="160">
        <f>InputData!$C$10</f>
        <v>0.02</v>
      </c>
      <c r="Q1291" s="160">
        <f>InputData!$C$11</f>
        <v>0.02</v>
      </c>
      <c r="R1291" s="160">
        <f>InputData!$C$12</f>
        <v>0.02</v>
      </c>
      <c r="S1291" s="160">
        <f>InputData!$C$13</f>
        <v>0.9</v>
      </c>
      <c r="T1291" s="116">
        <f>InputData!$C$88</f>
        <v>180000</v>
      </c>
      <c r="U1291" s="116">
        <f>InputData!$C$81</f>
        <v>178500</v>
      </c>
      <c r="V1291" s="116">
        <f>InputData!$C$82</f>
        <v>303960</v>
      </c>
      <c r="W1291" s="116">
        <f>InputData!$C$84</f>
        <v>215220</v>
      </c>
      <c r="X1291" s="116">
        <f>InputData!$C$85</f>
        <v>409020</v>
      </c>
      <c r="Y1291" s="116">
        <f>InputData!$C$116</f>
        <v>140000</v>
      </c>
      <c r="Z1291" s="160">
        <f>InputData!$E$13</f>
        <v>0</v>
      </c>
    </row>
    <row r="1292" spans="1:26" x14ac:dyDescent="0.25">
      <c r="A1292">
        <f>InputData!$K$1</f>
        <v>2013</v>
      </c>
      <c r="B1292" t="str">
        <f>InputData!$G$1</f>
        <v>San Antonio, TX</v>
      </c>
      <c r="C1292" t="s">
        <v>227</v>
      </c>
      <c r="D1292" t="str">
        <f>Graph_Ophtha!$E$6</f>
        <v>STD10</v>
      </c>
      <c r="E1292" t="str">
        <f t="shared" si="20"/>
        <v>Ophthalmology STD10</v>
      </c>
      <c r="F1292">
        <f>Graph_Ophtha!$A7</f>
        <v>2013</v>
      </c>
      <c r="G1292">
        <f>Graph_Ophtha!$B7</f>
        <v>1</v>
      </c>
      <c r="H1292" s="165">
        <f>Graph_Ophtha!$E7</f>
        <v>-43015.05</v>
      </c>
      <c r="I1292" s="160">
        <f>InputData!$C$3</f>
        <v>0.02</v>
      </c>
      <c r="J1292" s="160">
        <f>InputData!$C$4</f>
        <v>0.01</v>
      </c>
      <c r="K1292" s="160">
        <f>InputData!$C$5</f>
        <v>0.01</v>
      </c>
      <c r="L1292" s="160">
        <f>InputData!$C$6</f>
        <v>6.2100000000000002E-2</v>
      </c>
      <c r="M1292" s="160">
        <f>InputData!$C$7</f>
        <v>0.03</v>
      </c>
      <c r="N1292" s="160">
        <f>InputData!$C$8</f>
        <v>0.02</v>
      </c>
      <c r="O1292" s="160">
        <f>InputData!$C$9</f>
        <v>0.06</v>
      </c>
      <c r="P1292" s="160">
        <f>InputData!$C$10</f>
        <v>0.02</v>
      </c>
      <c r="Q1292" s="160">
        <f>InputData!$C$11</f>
        <v>0.02</v>
      </c>
      <c r="R1292" s="160">
        <f>InputData!$C$12</f>
        <v>0.02</v>
      </c>
      <c r="S1292" s="160">
        <f>InputData!$C$13</f>
        <v>0.9</v>
      </c>
      <c r="T1292" s="116">
        <f>InputData!$C$88</f>
        <v>180000</v>
      </c>
      <c r="U1292" s="116">
        <f>InputData!$C$81</f>
        <v>178500</v>
      </c>
      <c r="V1292" s="116">
        <f>InputData!$C$82</f>
        <v>303960</v>
      </c>
      <c r="W1292" s="116">
        <f>InputData!$C$84</f>
        <v>215220</v>
      </c>
      <c r="X1292" s="116">
        <f>InputData!$C$85</f>
        <v>409020</v>
      </c>
      <c r="Y1292" s="116">
        <f>InputData!$C$116</f>
        <v>140000</v>
      </c>
      <c r="Z1292" s="160">
        <f>InputData!$E$13</f>
        <v>0</v>
      </c>
    </row>
    <row r="1293" spans="1:26" x14ac:dyDescent="0.25">
      <c r="A1293">
        <f>InputData!$K$1</f>
        <v>2013</v>
      </c>
      <c r="B1293" t="str">
        <f>InputData!$G$1</f>
        <v>San Antonio, TX</v>
      </c>
      <c r="C1293" t="s">
        <v>227</v>
      </c>
      <c r="D1293" t="str">
        <f>Graph_Ophtha!$E$6</f>
        <v>STD10</v>
      </c>
      <c r="E1293" t="str">
        <f t="shared" si="20"/>
        <v>Ophthalmology STD10</v>
      </c>
      <c r="F1293">
        <f>Graph_Ophtha!$A8</f>
        <v>2014</v>
      </c>
      <c r="G1293">
        <f>Graph_Ophtha!$B8</f>
        <v>2</v>
      </c>
      <c r="H1293" s="165">
        <f>Graph_Ophtha!$E8</f>
        <v>-86352.285865219877</v>
      </c>
      <c r="I1293" s="160">
        <f>InputData!$C$3</f>
        <v>0.02</v>
      </c>
      <c r="J1293" s="160">
        <f>InputData!$C$4</f>
        <v>0.01</v>
      </c>
      <c r="K1293" s="160">
        <f>InputData!$C$5</f>
        <v>0.01</v>
      </c>
      <c r="L1293" s="160">
        <f>InputData!$C$6</f>
        <v>6.2100000000000002E-2</v>
      </c>
      <c r="M1293" s="160">
        <f>InputData!$C$7</f>
        <v>0.03</v>
      </c>
      <c r="N1293" s="160">
        <f>InputData!$C$8</f>
        <v>0.02</v>
      </c>
      <c r="O1293" s="160">
        <f>InputData!$C$9</f>
        <v>0.06</v>
      </c>
      <c r="P1293" s="160">
        <f>InputData!$C$10</f>
        <v>0.02</v>
      </c>
      <c r="Q1293" s="160">
        <f>InputData!$C$11</f>
        <v>0.02</v>
      </c>
      <c r="R1293" s="160">
        <f>InputData!$C$12</f>
        <v>0.02</v>
      </c>
      <c r="S1293" s="160">
        <f>InputData!$C$13</f>
        <v>0.9</v>
      </c>
      <c r="T1293" s="116">
        <f>InputData!$C$88</f>
        <v>180000</v>
      </c>
      <c r="U1293" s="116">
        <f>InputData!$C$81</f>
        <v>178500</v>
      </c>
      <c r="V1293" s="116">
        <f>InputData!$C$82</f>
        <v>303960</v>
      </c>
      <c r="W1293" s="116">
        <f>InputData!$C$84</f>
        <v>215220</v>
      </c>
      <c r="X1293" s="116">
        <f>InputData!$C$85</f>
        <v>409020</v>
      </c>
      <c r="Y1293" s="116">
        <f>InputData!$C$116</f>
        <v>140000</v>
      </c>
      <c r="Z1293" s="160">
        <f>InputData!$E$13</f>
        <v>0</v>
      </c>
    </row>
    <row r="1294" spans="1:26" x14ac:dyDescent="0.25">
      <c r="A1294">
        <f>InputData!$K$1</f>
        <v>2013</v>
      </c>
      <c r="B1294" t="str">
        <f>InputData!$G$1</f>
        <v>San Antonio, TX</v>
      </c>
      <c r="C1294" t="s">
        <v>227</v>
      </c>
      <c r="D1294" t="str">
        <f>Graph_Ophtha!$E$6</f>
        <v>STD10</v>
      </c>
      <c r="E1294" t="str">
        <f t="shared" si="20"/>
        <v>Ophthalmology STD10</v>
      </c>
      <c r="F1294">
        <f>Graph_Ophtha!$A9</f>
        <v>2015</v>
      </c>
      <c r="G1294">
        <f>Graph_Ophtha!$B9</f>
        <v>3</v>
      </c>
      <c r="H1294" s="165">
        <f>Graph_Ophtha!$E9</f>
        <v>-138541.19578403595</v>
      </c>
      <c r="I1294" s="160">
        <f>InputData!$C$3</f>
        <v>0.02</v>
      </c>
      <c r="J1294" s="160">
        <f>InputData!$C$4</f>
        <v>0.01</v>
      </c>
      <c r="K1294" s="160">
        <f>InputData!$C$5</f>
        <v>0.01</v>
      </c>
      <c r="L1294" s="160">
        <f>InputData!$C$6</f>
        <v>6.2100000000000002E-2</v>
      </c>
      <c r="M1294" s="160">
        <f>InputData!$C$7</f>
        <v>0.03</v>
      </c>
      <c r="N1294" s="160">
        <f>InputData!$C$8</f>
        <v>0.02</v>
      </c>
      <c r="O1294" s="160">
        <f>InputData!$C$9</f>
        <v>0.06</v>
      </c>
      <c r="P1294" s="160">
        <f>InputData!$C$10</f>
        <v>0.02</v>
      </c>
      <c r="Q1294" s="160">
        <f>InputData!$C$11</f>
        <v>0.02</v>
      </c>
      <c r="R1294" s="160">
        <f>InputData!$C$12</f>
        <v>0.02</v>
      </c>
      <c r="S1294" s="160">
        <f>InputData!$C$13</f>
        <v>0.9</v>
      </c>
      <c r="T1294" s="116">
        <f>InputData!$C$88</f>
        <v>180000</v>
      </c>
      <c r="U1294" s="116">
        <f>InputData!$C$81</f>
        <v>178500</v>
      </c>
      <c r="V1294" s="116">
        <f>InputData!$C$82</f>
        <v>303960</v>
      </c>
      <c r="W1294" s="116">
        <f>InputData!$C$84</f>
        <v>215220</v>
      </c>
      <c r="X1294" s="116">
        <f>InputData!$C$85</f>
        <v>409020</v>
      </c>
      <c r="Y1294" s="116">
        <f>InputData!$C$116</f>
        <v>140000</v>
      </c>
      <c r="Z1294" s="160">
        <f>InputData!$E$13</f>
        <v>0</v>
      </c>
    </row>
    <row r="1295" spans="1:26" x14ac:dyDescent="0.25">
      <c r="A1295">
        <f>InputData!$K$1</f>
        <v>2013</v>
      </c>
      <c r="B1295" t="str">
        <f>InputData!$G$1</f>
        <v>San Antonio, TX</v>
      </c>
      <c r="C1295" t="s">
        <v>227</v>
      </c>
      <c r="D1295" t="str">
        <f>Graph_Ophtha!$E$6</f>
        <v>STD10</v>
      </c>
      <c r="E1295" t="str">
        <f t="shared" si="20"/>
        <v>Ophthalmology STD10</v>
      </c>
      <c r="F1295">
        <f>Graph_Ophtha!$A10</f>
        <v>2016</v>
      </c>
      <c r="G1295">
        <f>Graph_Ophtha!$B10</f>
        <v>4</v>
      </c>
      <c r="H1295" s="165">
        <f>Graph_Ophtha!$E10</f>
        <v>-190867.38028908212</v>
      </c>
      <c r="I1295" s="160">
        <f>InputData!$C$3</f>
        <v>0.02</v>
      </c>
      <c r="J1295" s="160">
        <f>InputData!$C$4</f>
        <v>0.01</v>
      </c>
      <c r="K1295" s="160">
        <f>InputData!$C$5</f>
        <v>0.01</v>
      </c>
      <c r="L1295" s="160">
        <f>InputData!$C$6</f>
        <v>6.2100000000000002E-2</v>
      </c>
      <c r="M1295" s="160">
        <f>InputData!$C$7</f>
        <v>0.03</v>
      </c>
      <c r="N1295" s="160">
        <f>InputData!$C$8</f>
        <v>0.02</v>
      </c>
      <c r="O1295" s="160">
        <f>InputData!$C$9</f>
        <v>0.06</v>
      </c>
      <c r="P1295" s="160">
        <f>InputData!$C$10</f>
        <v>0.02</v>
      </c>
      <c r="Q1295" s="160">
        <f>InputData!$C$11</f>
        <v>0.02</v>
      </c>
      <c r="R1295" s="160">
        <f>InputData!$C$12</f>
        <v>0.02</v>
      </c>
      <c r="S1295" s="160">
        <f>InputData!$C$13</f>
        <v>0.9</v>
      </c>
      <c r="T1295" s="116">
        <f>InputData!$C$88</f>
        <v>180000</v>
      </c>
      <c r="U1295" s="116">
        <f>InputData!$C$81</f>
        <v>178500</v>
      </c>
      <c r="V1295" s="116">
        <f>InputData!$C$82</f>
        <v>303960</v>
      </c>
      <c r="W1295" s="116">
        <f>InputData!$C$84</f>
        <v>215220</v>
      </c>
      <c r="X1295" s="116">
        <f>InputData!$C$85</f>
        <v>409020</v>
      </c>
      <c r="Y1295" s="116">
        <f>InputData!$C$116</f>
        <v>140000</v>
      </c>
      <c r="Z1295" s="160">
        <f>InputData!$E$13</f>
        <v>0</v>
      </c>
    </row>
    <row r="1296" spans="1:26" x14ac:dyDescent="0.25">
      <c r="A1296">
        <f>InputData!$K$1</f>
        <v>2013</v>
      </c>
      <c r="B1296" t="str">
        <f>InputData!$G$1</f>
        <v>San Antonio, TX</v>
      </c>
      <c r="C1296" t="s">
        <v>227</v>
      </c>
      <c r="D1296" t="str">
        <f>Graph_Ophtha!$E$6</f>
        <v>STD10</v>
      </c>
      <c r="E1296" t="str">
        <f t="shared" si="20"/>
        <v>Ophthalmology STD10</v>
      </c>
      <c r="F1296">
        <f>Graph_Ophtha!$A11</f>
        <v>2017</v>
      </c>
      <c r="G1296">
        <f>Graph_Ophtha!$B11</f>
        <v>5</v>
      </c>
      <c r="H1296" s="165">
        <f>Graph_Ophtha!$E11</f>
        <v>-154981.05168717628</v>
      </c>
      <c r="I1296" s="160">
        <f>InputData!$C$3</f>
        <v>0.02</v>
      </c>
      <c r="J1296" s="160">
        <f>InputData!$C$4</f>
        <v>0.01</v>
      </c>
      <c r="K1296" s="160">
        <f>InputData!$C$5</f>
        <v>0.01</v>
      </c>
      <c r="L1296" s="160">
        <f>InputData!$C$6</f>
        <v>6.2100000000000002E-2</v>
      </c>
      <c r="M1296" s="160">
        <f>InputData!$C$7</f>
        <v>0.03</v>
      </c>
      <c r="N1296" s="160">
        <f>InputData!$C$8</f>
        <v>0.02</v>
      </c>
      <c r="O1296" s="160">
        <f>InputData!$C$9</f>
        <v>0.06</v>
      </c>
      <c r="P1296" s="160">
        <f>InputData!$C$10</f>
        <v>0.02</v>
      </c>
      <c r="Q1296" s="160">
        <f>InputData!$C$11</f>
        <v>0.02</v>
      </c>
      <c r="R1296" s="160">
        <f>InputData!$C$12</f>
        <v>0.02</v>
      </c>
      <c r="S1296" s="160">
        <f>InputData!$C$13</f>
        <v>0.9</v>
      </c>
      <c r="T1296" s="116">
        <f>InputData!$C$88</f>
        <v>180000</v>
      </c>
      <c r="U1296" s="116">
        <f>InputData!$C$81</f>
        <v>178500</v>
      </c>
      <c r="V1296" s="116">
        <f>InputData!$C$82</f>
        <v>303960</v>
      </c>
      <c r="W1296" s="116">
        <f>InputData!$C$84</f>
        <v>215220</v>
      </c>
      <c r="X1296" s="116">
        <f>InputData!$C$85</f>
        <v>409020</v>
      </c>
      <c r="Y1296" s="116">
        <f>InputData!$C$116</f>
        <v>140000</v>
      </c>
      <c r="Z1296" s="160">
        <f>InputData!$E$13</f>
        <v>0</v>
      </c>
    </row>
    <row r="1297" spans="1:26" x14ac:dyDescent="0.25">
      <c r="A1297">
        <f>InputData!$K$1</f>
        <v>2013</v>
      </c>
      <c r="B1297" t="str">
        <f>InputData!$G$1</f>
        <v>San Antonio, TX</v>
      </c>
      <c r="C1297" t="s">
        <v>227</v>
      </c>
      <c r="D1297" t="str">
        <f>Graph_Ophtha!$E$6</f>
        <v>STD10</v>
      </c>
      <c r="E1297" t="str">
        <f t="shared" si="20"/>
        <v>Ophthalmology STD10</v>
      </c>
      <c r="F1297">
        <f>Graph_Ophtha!$A12</f>
        <v>2018</v>
      </c>
      <c r="G1297">
        <f>Graph_Ophtha!$B12</f>
        <v>6</v>
      </c>
      <c r="H1297" s="165">
        <f>Graph_Ophtha!$E12</f>
        <v>-118995.92937851879</v>
      </c>
      <c r="I1297" s="160">
        <f>InputData!$C$3</f>
        <v>0.02</v>
      </c>
      <c r="J1297" s="160">
        <f>InputData!$C$4</f>
        <v>0.01</v>
      </c>
      <c r="K1297" s="160">
        <f>InputData!$C$5</f>
        <v>0.01</v>
      </c>
      <c r="L1297" s="160">
        <f>InputData!$C$6</f>
        <v>6.2100000000000002E-2</v>
      </c>
      <c r="M1297" s="160">
        <f>InputData!$C$7</f>
        <v>0.03</v>
      </c>
      <c r="N1297" s="160">
        <f>InputData!$C$8</f>
        <v>0.02</v>
      </c>
      <c r="O1297" s="160">
        <f>InputData!$C$9</f>
        <v>0.06</v>
      </c>
      <c r="P1297" s="160">
        <f>InputData!$C$10</f>
        <v>0.02</v>
      </c>
      <c r="Q1297" s="160">
        <f>InputData!$C$11</f>
        <v>0.02</v>
      </c>
      <c r="R1297" s="160">
        <f>InputData!$C$12</f>
        <v>0.02</v>
      </c>
      <c r="S1297" s="160">
        <f>InputData!$C$13</f>
        <v>0.9</v>
      </c>
      <c r="T1297" s="116">
        <f>InputData!$C$88</f>
        <v>180000</v>
      </c>
      <c r="U1297" s="116">
        <f>InputData!$C$81</f>
        <v>178500</v>
      </c>
      <c r="V1297" s="116">
        <f>InputData!$C$82</f>
        <v>303960</v>
      </c>
      <c r="W1297" s="116">
        <f>InputData!$C$84</f>
        <v>215220</v>
      </c>
      <c r="X1297" s="116">
        <f>InputData!$C$85</f>
        <v>409020</v>
      </c>
      <c r="Y1297" s="116">
        <f>InputData!$C$116</f>
        <v>140000</v>
      </c>
      <c r="Z1297" s="160">
        <f>InputData!$E$13</f>
        <v>0</v>
      </c>
    </row>
    <row r="1298" spans="1:26" x14ac:dyDescent="0.25">
      <c r="A1298">
        <f>InputData!$K$1</f>
        <v>2013</v>
      </c>
      <c r="B1298" t="str">
        <f>InputData!$G$1</f>
        <v>San Antonio, TX</v>
      </c>
      <c r="C1298" t="s">
        <v>227</v>
      </c>
      <c r="D1298" t="str">
        <f>Graph_Ophtha!$E$6</f>
        <v>STD10</v>
      </c>
      <c r="E1298" t="str">
        <f t="shared" si="20"/>
        <v>Ophthalmology STD10</v>
      </c>
      <c r="F1298">
        <f>Graph_Ophtha!$A13</f>
        <v>2019</v>
      </c>
      <c r="G1298">
        <f>Graph_Ophtha!$B13</f>
        <v>7</v>
      </c>
      <c r="H1298" s="165">
        <f>Graph_Ophtha!$E13</f>
        <v>-82904.654937055282</v>
      </c>
      <c r="I1298" s="160">
        <f>InputData!$C$3</f>
        <v>0.02</v>
      </c>
      <c r="J1298" s="160">
        <f>InputData!$C$4</f>
        <v>0.01</v>
      </c>
      <c r="K1298" s="160">
        <f>InputData!$C$5</f>
        <v>0.01</v>
      </c>
      <c r="L1298" s="160">
        <f>InputData!$C$6</f>
        <v>6.2100000000000002E-2</v>
      </c>
      <c r="M1298" s="160">
        <f>InputData!$C$7</f>
        <v>0.03</v>
      </c>
      <c r="N1298" s="160">
        <f>InputData!$C$8</f>
        <v>0.02</v>
      </c>
      <c r="O1298" s="160">
        <f>InputData!$C$9</f>
        <v>0.06</v>
      </c>
      <c r="P1298" s="160">
        <f>InputData!$C$10</f>
        <v>0.02</v>
      </c>
      <c r="Q1298" s="160">
        <f>InputData!$C$11</f>
        <v>0.02</v>
      </c>
      <c r="R1298" s="160">
        <f>InputData!$C$12</f>
        <v>0.02</v>
      </c>
      <c r="S1298" s="160">
        <f>InputData!$C$13</f>
        <v>0.9</v>
      </c>
      <c r="T1298" s="116">
        <f>InputData!$C$88</f>
        <v>180000</v>
      </c>
      <c r="U1298" s="116">
        <f>InputData!$C$81</f>
        <v>178500</v>
      </c>
      <c r="V1298" s="116">
        <f>InputData!$C$82</f>
        <v>303960</v>
      </c>
      <c r="W1298" s="116">
        <f>InputData!$C$84</f>
        <v>215220</v>
      </c>
      <c r="X1298" s="116">
        <f>InputData!$C$85</f>
        <v>409020</v>
      </c>
      <c r="Y1298" s="116">
        <f>InputData!$C$116</f>
        <v>140000</v>
      </c>
      <c r="Z1298" s="160">
        <f>InputData!$E$13</f>
        <v>0</v>
      </c>
    </row>
    <row r="1299" spans="1:26" x14ac:dyDescent="0.25">
      <c r="A1299">
        <f>InputData!$K$1</f>
        <v>2013</v>
      </c>
      <c r="B1299" t="str">
        <f>InputData!$G$1</f>
        <v>San Antonio, TX</v>
      </c>
      <c r="C1299" t="s">
        <v>227</v>
      </c>
      <c r="D1299" t="str">
        <f>Graph_Ophtha!$E$6</f>
        <v>STD10</v>
      </c>
      <c r="E1299" t="str">
        <f t="shared" si="20"/>
        <v>Ophthalmology STD10</v>
      </c>
      <c r="F1299">
        <f>Graph_Ophtha!$A14</f>
        <v>2020</v>
      </c>
      <c r="G1299">
        <f>Graph_Ophtha!$B14</f>
        <v>8</v>
      </c>
      <c r="H1299" s="165">
        <f>Graph_Ophtha!$E14</f>
        <v>-46699.992676364229</v>
      </c>
      <c r="I1299" s="160">
        <f>InputData!$C$3</f>
        <v>0.02</v>
      </c>
      <c r="J1299" s="160">
        <f>InputData!$C$4</f>
        <v>0.01</v>
      </c>
      <c r="K1299" s="160">
        <f>InputData!$C$5</f>
        <v>0.01</v>
      </c>
      <c r="L1299" s="160">
        <f>InputData!$C$6</f>
        <v>6.2100000000000002E-2</v>
      </c>
      <c r="M1299" s="160">
        <f>InputData!$C$7</f>
        <v>0.03</v>
      </c>
      <c r="N1299" s="160">
        <f>InputData!$C$8</f>
        <v>0.02</v>
      </c>
      <c r="O1299" s="160">
        <f>InputData!$C$9</f>
        <v>0.06</v>
      </c>
      <c r="P1299" s="160">
        <f>InputData!$C$10</f>
        <v>0.02</v>
      </c>
      <c r="Q1299" s="160">
        <f>InputData!$C$11</f>
        <v>0.02</v>
      </c>
      <c r="R1299" s="160">
        <f>InputData!$C$12</f>
        <v>0.02</v>
      </c>
      <c r="S1299" s="160">
        <f>InputData!$C$13</f>
        <v>0.9</v>
      </c>
      <c r="T1299" s="116">
        <f>InputData!$C$88</f>
        <v>180000</v>
      </c>
      <c r="U1299" s="116">
        <f>InputData!$C$81</f>
        <v>178500</v>
      </c>
      <c r="V1299" s="116">
        <f>InputData!$C$82</f>
        <v>303960</v>
      </c>
      <c r="W1299" s="116">
        <f>InputData!$C$84</f>
        <v>215220</v>
      </c>
      <c r="X1299" s="116">
        <f>InputData!$C$85</f>
        <v>409020</v>
      </c>
      <c r="Y1299" s="116">
        <f>InputData!$C$116</f>
        <v>140000</v>
      </c>
      <c r="Z1299" s="160">
        <f>InputData!$E$13</f>
        <v>0</v>
      </c>
    </row>
    <row r="1300" spans="1:26" x14ac:dyDescent="0.25">
      <c r="A1300">
        <f>InputData!$K$1</f>
        <v>2013</v>
      </c>
      <c r="B1300" t="str">
        <f>InputData!$G$1</f>
        <v>San Antonio, TX</v>
      </c>
      <c r="C1300" t="s">
        <v>227</v>
      </c>
      <c r="D1300" t="str">
        <f>Graph_Ophtha!$E$6</f>
        <v>STD10</v>
      </c>
      <c r="E1300" t="str">
        <f t="shared" si="20"/>
        <v>Ophthalmology STD10</v>
      </c>
      <c r="F1300">
        <f>Graph_Ophtha!$A15</f>
        <v>2021</v>
      </c>
      <c r="G1300">
        <f>Graph_Ophtha!$B15</f>
        <v>9</v>
      </c>
      <c r="H1300" s="165">
        <f>Graph_Ophtha!$E15</f>
        <v>49311.506904871334</v>
      </c>
      <c r="I1300" s="160">
        <f>InputData!$C$3</f>
        <v>0.02</v>
      </c>
      <c r="J1300" s="160">
        <f>InputData!$C$4</f>
        <v>0.01</v>
      </c>
      <c r="K1300" s="160">
        <f>InputData!$C$5</f>
        <v>0.01</v>
      </c>
      <c r="L1300" s="160">
        <f>InputData!$C$6</f>
        <v>6.2100000000000002E-2</v>
      </c>
      <c r="M1300" s="160">
        <f>InputData!$C$7</f>
        <v>0.03</v>
      </c>
      <c r="N1300" s="160">
        <f>InputData!$C$8</f>
        <v>0.02</v>
      </c>
      <c r="O1300" s="160">
        <f>InputData!$C$9</f>
        <v>0.06</v>
      </c>
      <c r="P1300" s="160">
        <f>InputData!$C$10</f>
        <v>0.02</v>
      </c>
      <c r="Q1300" s="160">
        <f>InputData!$C$11</f>
        <v>0.02</v>
      </c>
      <c r="R1300" s="160">
        <f>InputData!$C$12</f>
        <v>0.02</v>
      </c>
      <c r="S1300" s="160">
        <f>InputData!$C$13</f>
        <v>0.9</v>
      </c>
      <c r="T1300" s="116">
        <f>InputData!$C$88</f>
        <v>180000</v>
      </c>
      <c r="U1300" s="116">
        <f>InputData!$C$81</f>
        <v>178500</v>
      </c>
      <c r="V1300" s="116">
        <f>InputData!$C$82</f>
        <v>303960</v>
      </c>
      <c r="W1300" s="116">
        <f>InputData!$C$84</f>
        <v>215220</v>
      </c>
      <c r="X1300" s="116">
        <f>InputData!$C$85</f>
        <v>409020</v>
      </c>
      <c r="Y1300" s="116">
        <f>InputData!$C$116</f>
        <v>140000</v>
      </c>
      <c r="Z1300" s="160">
        <f>InputData!$E$13</f>
        <v>0</v>
      </c>
    </row>
    <row r="1301" spans="1:26" x14ac:dyDescent="0.25">
      <c r="A1301">
        <f>InputData!$K$1</f>
        <v>2013</v>
      </c>
      <c r="B1301" t="str">
        <f>InputData!$G$1</f>
        <v>San Antonio, TX</v>
      </c>
      <c r="C1301" t="s">
        <v>227</v>
      </c>
      <c r="D1301" t="str">
        <f>Graph_Ophtha!$E$6</f>
        <v>STD10</v>
      </c>
      <c r="E1301" t="str">
        <f t="shared" si="20"/>
        <v>Ophthalmology STD10</v>
      </c>
      <c r="F1301">
        <f>Graph_Ophtha!$A16</f>
        <v>2022</v>
      </c>
      <c r="G1301">
        <f>Graph_Ophtha!$B16</f>
        <v>10</v>
      </c>
      <c r="H1301" s="165">
        <f>Graph_Ophtha!$E16</f>
        <v>137774.12263404956</v>
      </c>
      <c r="I1301" s="160">
        <f>InputData!$C$3</f>
        <v>0.02</v>
      </c>
      <c r="J1301" s="160">
        <f>InputData!$C$4</f>
        <v>0.01</v>
      </c>
      <c r="K1301" s="160">
        <f>InputData!$C$5</f>
        <v>0.01</v>
      </c>
      <c r="L1301" s="160">
        <f>InputData!$C$6</f>
        <v>6.2100000000000002E-2</v>
      </c>
      <c r="M1301" s="160">
        <f>InputData!$C$7</f>
        <v>0.03</v>
      </c>
      <c r="N1301" s="160">
        <f>InputData!$C$8</f>
        <v>0.02</v>
      </c>
      <c r="O1301" s="160">
        <f>InputData!$C$9</f>
        <v>0.06</v>
      </c>
      <c r="P1301" s="160">
        <f>InputData!$C$10</f>
        <v>0.02</v>
      </c>
      <c r="Q1301" s="160">
        <f>InputData!$C$11</f>
        <v>0.02</v>
      </c>
      <c r="R1301" s="160">
        <f>InputData!$C$12</f>
        <v>0.02</v>
      </c>
      <c r="S1301" s="160">
        <f>InputData!$C$13</f>
        <v>0.9</v>
      </c>
      <c r="T1301" s="116">
        <f>InputData!$C$88</f>
        <v>180000</v>
      </c>
      <c r="U1301" s="116">
        <f>InputData!$C$81</f>
        <v>178500</v>
      </c>
      <c r="V1301" s="116">
        <f>InputData!$C$82</f>
        <v>303960</v>
      </c>
      <c r="W1301" s="116">
        <f>InputData!$C$84</f>
        <v>215220</v>
      </c>
      <c r="X1301" s="116">
        <f>InputData!$C$85</f>
        <v>409020</v>
      </c>
      <c r="Y1301" s="116">
        <f>InputData!$C$116</f>
        <v>140000</v>
      </c>
      <c r="Z1301" s="160">
        <f>InputData!$E$13</f>
        <v>0</v>
      </c>
    </row>
    <row r="1302" spans="1:26" x14ac:dyDescent="0.25">
      <c r="A1302">
        <f>InputData!$K$1</f>
        <v>2013</v>
      </c>
      <c r="B1302" t="str">
        <f>InputData!$G$1</f>
        <v>San Antonio, TX</v>
      </c>
      <c r="C1302" t="s">
        <v>227</v>
      </c>
      <c r="D1302" t="str">
        <f>Graph_Ophtha!$E$6</f>
        <v>STD10</v>
      </c>
      <c r="E1302" t="str">
        <f t="shared" si="20"/>
        <v>Ophthalmology STD10</v>
      </c>
      <c r="F1302">
        <f>Graph_Ophtha!$A17</f>
        <v>2023</v>
      </c>
      <c r="G1302">
        <f>Graph_Ophtha!$B17</f>
        <v>11</v>
      </c>
      <c r="H1302" s="165">
        <f>Graph_Ophtha!$E17</f>
        <v>225072.94742145418</v>
      </c>
      <c r="I1302" s="160">
        <f>InputData!$C$3</f>
        <v>0.02</v>
      </c>
      <c r="J1302" s="160">
        <f>InputData!$C$4</f>
        <v>0.01</v>
      </c>
      <c r="K1302" s="160">
        <f>InputData!$C$5</f>
        <v>0.01</v>
      </c>
      <c r="L1302" s="160">
        <f>InputData!$C$6</f>
        <v>6.2100000000000002E-2</v>
      </c>
      <c r="M1302" s="160">
        <f>InputData!$C$7</f>
        <v>0.03</v>
      </c>
      <c r="N1302" s="160">
        <f>InputData!$C$8</f>
        <v>0.02</v>
      </c>
      <c r="O1302" s="160">
        <f>InputData!$C$9</f>
        <v>0.06</v>
      </c>
      <c r="P1302" s="160">
        <f>InputData!$C$10</f>
        <v>0.02</v>
      </c>
      <c r="Q1302" s="160">
        <f>InputData!$C$11</f>
        <v>0.02</v>
      </c>
      <c r="R1302" s="160">
        <f>InputData!$C$12</f>
        <v>0.02</v>
      </c>
      <c r="S1302" s="160">
        <f>InputData!$C$13</f>
        <v>0.9</v>
      </c>
      <c r="T1302" s="116">
        <f>InputData!$C$88</f>
        <v>180000</v>
      </c>
      <c r="U1302" s="116">
        <f>InputData!$C$81</f>
        <v>178500</v>
      </c>
      <c r="V1302" s="116">
        <f>InputData!$C$82</f>
        <v>303960</v>
      </c>
      <c r="W1302" s="116">
        <f>InputData!$C$84</f>
        <v>215220</v>
      </c>
      <c r="X1302" s="116">
        <f>InputData!$C$85</f>
        <v>409020</v>
      </c>
      <c r="Y1302" s="116">
        <f>InputData!$C$116</f>
        <v>140000</v>
      </c>
      <c r="Z1302" s="160">
        <f>InputData!$E$13</f>
        <v>0</v>
      </c>
    </row>
    <row r="1303" spans="1:26" x14ac:dyDescent="0.25">
      <c r="A1303">
        <f>InputData!$K$1</f>
        <v>2013</v>
      </c>
      <c r="B1303" t="str">
        <f>InputData!$G$1</f>
        <v>San Antonio, TX</v>
      </c>
      <c r="C1303" t="s">
        <v>227</v>
      </c>
      <c r="D1303" t="str">
        <f>Graph_Ophtha!$E$6</f>
        <v>STD10</v>
      </c>
      <c r="E1303" t="str">
        <f t="shared" si="20"/>
        <v>Ophthalmology STD10</v>
      </c>
      <c r="F1303">
        <f>Graph_Ophtha!$A18</f>
        <v>2024</v>
      </c>
      <c r="G1303">
        <f>Graph_Ophtha!$B18</f>
        <v>12</v>
      </c>
      <c r="H1303" s="165">
        <f>Graph_Ophtha!$E18</f>
        <v>311201.80632194114</v>
      </c>
      <c r="I1303" s="160">
        <f>InputData!$C$3</f>
        <v>0.02</v>
      </c>
      <c r="J1303" s="160">
        <f>InputData!$C$4</f>
        <v>0.01</v>
      </c>
      <c r="K1303" s="160">
        <f>InputData!$C$5</f>
        <v>0.01</v>
      </c>
      <c r="L1303" s="160">
        <f>InputData!$C$6</f>
        <v>6.2100000000000002E-2</v>
      </c>
      <c r="M1303" s="160">
        <f>InputData!$C$7</f>
        <v>0.03</v>
      </c>
      <c r="N1303" s="160">
        <f>InputData!$C$8</f>
        <v>0.02</v>
      </c>
      <c r="O1303" s="160">
        <f>InputData!$C$9</f>
        <v>0.06</v>
      </c>
      <c r="P1303" s="160">
        <f>InputData!$C$10</f>
        <v>0.02</v>
      </c>
      <c r="Q1303" s="160">
        <f>InputData!$C$11</f>
        <v>0.02</v>
      </c>
      <c r="R1303" s="160">
        <f>InputData!$C$12</f>
        <v>0.02</v>
      </c>
      <c r="S1303" s="160">
        <f>InputData!$C$13</f>
        <v>0.9</v>
      </c>
      <c r="T1303" s="116">
        <f>InputData!$C$88</f>
        <v>180000</v>
      </c>
      <c r="U1303" s="116">
        <f>InputData!$C$81</f>
        <v>178500</v>
      </c>
      <c r="V1303" s="116">
        <f>InputData!$C$82</f>
        <v>303960</v>
      </c>
      <c r="W1303" s="116">
        <f>InputData!$C$84</f>
        <v>215220</v>
      </c>
      <c r="X1303" s="116">
        <f>InputData!$C$85</f>
        <v>409020</v>
      </c>
      <c r="Y1303" s="116">
        <f>InputData!$C$116</f>
        <v>140000</v>
      </c>
      <c r="Z1303" s="160">
        <f>InputData!$E$13</f>
        <v>0</v>
      </c>
    </row>
    <row r="1304" spans="1:26" x14ac:dyDescent="0.25">
      <c r="A1304">
        <f>InputData!$K$1</f>
        <v>2013</v>
      </c>
      <c r="B1304" t="str">
        <f>InputData!$G$1</f>
        <v>San Antonio, TX</v>
      </c>
      <c r="C1304" t="s">
        <v>227</v>
      </c>
      <c r="D1304" t="str">
        <f>Graph_Ophtha!$E$6</f>
        <v>STD10</v>
      </c>
      <c r="E1304" t="str">
        <f t="shared" si="20"/>
        <v>Ophthalmology STD10</v>
      </c>
      <c r="F1304">
        <f>Graph_Ophtha!$A19</f>
        <v>2025</v>
      </c>
      <c r="G1304">
        <f>Graph_Ophtha!$B19</f>
        <v>13</v>
      </c>
      <c r="H1304" s="165">
        <f>Graph_Ophtha!$E19</f>
        <v>396156.0857399379</v>
      </c>
      <c r="I1304" s="160">
        <f>InputData!$C$3</f>
        <v>0.02</v>
      </c>
      <c r="J1304" s="160">
        <f>InputData!$C$4</f>
        <v>0.01</v>
      </c>
      <c r="K1304" s="160">
        <f>InputData!$C$5</f>
        <v>0.01</v>
      </c>
      <c r="L1304" s="160">
        <f>InputData!$C$6</f>
        <v>6.2100000000000002E-2</v>
      </c>
      <c r="M1304" s="160">
        <f>InputData!$C$7</f>
        <v>0.03</v>
      </c>
      <c r="N1304" s="160">
        <f>InputData!$C$8</f>
        <v>0.02</v>
      </c>
      <c r="O1304" s="160">
        <f>InputData!$C$9</f>
        <v>0.06</v>
      </c>
      <c r="P1304" s="160">
        <f>InputData!$C$10</f>
        <v>0.02</v>
      </c>
      <c r="Q1304" s="160">
        <f>InputData!$C$11</f>
        <v>0.02</v>
      </c>
      <c r="R1304" s="160">
        <f>InputData!$C$12</f>
        <v>0.02</v>
      </c>
      <c r="S1304" s="160">
        <f>InputData!$C$13</f>
        <v>0.9</v>
      </c>
      <c r="T1304" s="116">
        <f>InputData!$C$88</f>
        <v>180000</v>
      </c>
      <c r="U1304" s="116">
        <f>InputData!$C$81</f>
        <v>178500</v>
      </c>
      <c r="V1304" s="116">
        <f>InputData!$C$82</f>
        <v>303960</v>
      </c>
      <c r="W1304" s="116">
        <f>InputData!$C$84</f>
        <v>215220</v>
      </c>
      <c r="X1304" s="116">
        <f>InputData!$C$85</f>
        <v>409020</v>
      </c>
      <c r="Y1304" s="116">
        <f>InputData!$C$116</f>
        <v>140000</v>
      </c>
      <c r="Z1304" s="160">
        <f>InputData!$E$13</f>
        <v>0</v>
      </c>
    </row>
    <row r="1305" spans="1:26" x14ac:dyDescent="0.25">
      <c r="A1305">
        <f>InputData!$K$1</f>
        <v>2013</v>
      </c>
      <c r="B1305" t="str">
        <f>InputData!$G$1</f>
        <v>San Antonio, TX</v>
      </c>
      <c r="C1305" t="s">
        <v>227</v>
      </c>
      <c r="D1305" t="str">
        <f>Graph_Ophtha!$E$6</f>
        <v>STD10</v>
      </c>
      <c r="E1305" t="str">
        <f t="shared" si="20"/>
        <v>Ophthalmology STD10</v>
      </c>
      <c r="F1305">
        <f>Graph_Ophtha!$A20</f>
        <v>2026</v>
      </c>
      <c r="G1305">
        <f>Graph_Ophtha!$B20</f>
        <v>14</v>
      </c>
      <c r="H1305" s="165">
        <f>Graph_Ophtha!$E20</f>
        <v>479932.63217074517</v>
      </c>
      <c r="I1305" s="160">
        <f>InputData!$C$3</f>
        <v>0.02</v>
      </c>
      <c r="J1305" s="160">
        <f>InputData!$C$4</f>
        <v>0.01</v>
      </c>
      <c r="K1305" s="160">
        <f>InputData!$C$5</f>
        <v>0.01</v>
      </c>
      <c r="L1305" s="160">
        <f>InputData!$C$6</f>
        <v>6.2100000000000002E-2</v>
      </c>
      <c r="M1305" s="160">
        <f>InputData!$C$7</f>
        <v>0.03</v>
      </c>
      <c r="N1305" s="160">
        <f>InputData!$C$8</f>
        <v>0.02</v>
      </c>
      <c r="O1305" s="160">
        <f>InputData!$C$9</f>
        <v>0.06</v>
      </c>
      <c r="P1305" s="160">
        <f>InputData!$C$10</f>
        <v>0.02</v>
      </c>
      <c r="Q1305" s="160">
        <f>InputData!$C$11</f>
        <v>0.02</v>
      </c>
      <c r="R1305" s="160">
        <f>InputData!$C$12</f>
        <v>0.02</v>
      </c>
      <c r="S1305" s="160">
        <f>InputData!$C$13</f>
        <v>0.9</v>
      </c>
      <c r="T1305" s="116">
        <f>InputData!$C$88</f>
        <v>180000</v>
      </c>
      <c r="U1305" s="116">
        <f>InputData!$C$81</f>
        <v>178500</v>
      </c>
      <c r="V1305" s="116">
        <f>InputData!$C$82</f>
        <v>303960</v>
      </c>
      <c r="W1305" s="116">
        <f>InputData!$C$84</f>
        <v>215220</v>
      </c>
      <c r="X1305" s="116">
        <f>InputData!$C$85</f>
        <v>409020</v>
      </c>
      <c r="Y1305" s="116">
        <f>InputData!$C$116</f>
        <v>140000</v>
      </c>
      <c r="Z1305" s="160">
        <f>InputData!$E$13</f>
        <v>0</v>
      </c>
    </row>
    <row r="1306" spans="1:26" x14ac:dyDescent="0.25">
      <c r="A1306">
        <f>InputData!$K$1</f>
        <v>2013</v>
      </c>
      <c r="B1306" t="str">
        <f>InputData!$G$1</f>
        <v>San Antonio, TX</v>
      </c>
      <c r="C1306" t="s">
        <v>227</v>
      </c>
      <c r="D1306" t="str">
        <f>Graph_Ophtha!$E$6</f>
        <v>STD10</v>
      </c>
      <c r="E1306" t="str">
        <f t="shared" si="20"/>
        <v>Ophthalmology STD10</v>
      </c>
      <c r="F1306">
        <f>Graph_Ophtha!$A21</f>
        <v>2027</v>
      </c>
      <c r="G1306">
        <f>Graph_Ophtha!$B21</f>
        <v>15</v>
      </c>
      <c r="H1306" s="165">
        <f>Graph_Ophtha!$E21</f>
        <v>562529.65636689821</v>
      </c>
      <c r="I1306" s="160">
        <f>InputData!$C$3</f>
        <v>0.02</v>
      </c>
      <c r="J1306" s="160">
        <f>InputData!$C$4</f>
        <v>0.01</v>
      </c>
      <c r="K1306" s="160">
        <f>InputData!$C$5</f>
        <v>0.01</v>
      </c>
      <c r="L1306" s="160">
        <f>InputData!$C$6</f>
        <v>6.2100000000000002E-2</v>
      </c>
      <c r="M1306" s="160">
        <f>InputData!$C$7</f>
        <v>0.03</v>
      </c>
      <c r="N1306" s="160">
        <f>InputData!$C$8</f>
        <v>0.02</v>
      </c>
      <c r="O1306" s="160">
        <f>InputData!$C$9</f>
        <v>0.06</v>
      </c>
      <c r="P1306" s="160">
        <f>InputData!$C$10</f>
        <v>0.02</v>
      </c>
      <c r="Q1306" s="160">
        <f>InputData!$C$11</f>
        <v>0.02</v>
      </c>
      <c r="R1306" s="160">
        <f>InputData!$C$12</f>
        <v>0.02</v>
      </c>
      <c r="S1306" s="160">
        <f>InputData!$C$13</f>
        <v>0.9</v>
      </c>
      <c r="T1306" s="116">
        <f>InputData!$C$88</f>
        <v>180000</v>
      </c>
      <c r="U1306" s="116">
        <f>InputData!$C$81</f>
        <v>178500</v>
      </c>
      <c r="V1306" s="116">
        <f>InputData!$C$82</f>
        <v>303960</v>
      </c>
      <c r="W1306" s="116">
        <f>InputData!$C$84</f>
        <v>215220</v>
      </c>
      <c r="X1306" s="116">
        <f>InputData!$C$85</f>
        <v>409020</v>
      </c>
      <c r="Y1306" s="116">
        <f>InputData!$C$116</f>
        <v>140000</v>
      </c>
      <c r="Z1306" s="160">
        <f>InputData!$E$13</f>
        <v>0</v>
      </c>
    </row>
    <row r="1307" spans="1:26" x14ac:dyDescent="0.25">
      <c r="A1307">
        <f>InputData!$K$1</f>
        <v>2013</v>
      </c>
      <c r="B1307" t="str">
        <f>InputData!$G$1</f>
        <v>San Antonio, TX</v>
      </c>
      <c r="C1307" t="s">
        <v>227</v>
      </c>
      <c r="D1307" t="str">
        <f>Graph_Ophtha!$E$6</f>
        <v>STD10</v>
      </c>
      <c r="E1307" t="str">
        <f t="shared" si="20"/>
        <v>Ophthalmology STD10</v>
      </c>
      <c r="F1307">
        <f>Graph_Ophtha!$A22</f>
        <v>2028</v>
      </c>
      <c r="G1307">
        <f>Graph_Ophtha!$B22</f>
        <v>16</v>
      </c>
      <c r="H1307" s="165">
        <f>Graph_Ophtha!$E22</f>
        <v>643946.64265647193</v>
      </c>
      <c r="I1307" s="160">
        <f>InputData!$C$3</f>
        <v>0.02</v>
      </c>
      <c r="J1307" s="160">
        <f>InputData!$C$4</f>
        <v>0.01</v>
      </c>
      <c r="K1307" s="160">
        <f>InputData!$C$5</f>
        <v>0.01</v>
      </c>
      <c r="L1307" s="160">
        <f>InputData!$C$6</f>
        <v>6.2100000000000002E-2</v>
      </c>
      <c r="M1307" s="160">
        <f>InputData!$C$7</f>
        <v>0.03</v>
      </c>
      <c r="N1307" s="160">
        <f>InputData!$C$8</f>
        <v>0.02</v>
      </c>
      <c r="O1307" s="160">
        <f>InputData!$C$9</f>
        <v>0.06</v>
      </c>
      <c r="P1307" s="160">
        <f>InputData!$C$10</f>
        <v>0.02</v>
      </c>
      <c r="Q1307" s="160">
        <f>InputData!$C$11</f>
        <v>0.02</v>
      </c>
      <c r="R1307" s="160">
        <f>InputData!$C$12</f>
        <v>0.02</v>
      </c>
      <c r="S1307" s="160">
        <f>InputData!$C$13</f>
        <v>0.9</v>
      </c>
      <c r="T1307" s="116">
        <f>InputData!$C$88</f>
        <v>180000</v>
      </c>
      <c r="U1307" s="116">
        <f>InputData!$C$81</f>
        <v>178500</v>
      </c>
      <c r="V1307" s="116">
        <f>InputData!$C$82</f>
        <v>303960</v>
      </c>
      <c r="W1307" s="116">
        <f>InputData!$C$84</f>
        <v>215220</v>
      </c>
      <c r="X1307" s="116">
        <f>InputData!$C$85</f>
        <v>409020</v>
      </c>
      <c r="Y1307" s="116">
        <f>InputData!$C$116</f>
        <v>140000</v>
      </c>
      <c r="Z1307" s="160">
        <f>InputData!$E$13</f>
        <v>0</v>
      </c>
    </row>
    <row r="1308" spans="1:26" x14ac:dyDescent="0.25">
      <c r="A1308">
        <f>InputData!$K$1</f>
        <v>2013</v>
      </c>
      <c r="B1308" t="str">
        <f>InputData!$G$1</f>
        <v>San Antonio, TX</v>
      </c>
      <c r="C1308" t="s">
        <v>227</v>
      </c>
      <c r="D1308" t="str">
        <f>Graph_Ophtha!$E$6</f>
        <v>STD10</v>
      </c>
      <c r="E1308" t="str">
        <f t="shared" si="20"/>
        <v>Ophthalmology STD10</v>
      </c>
      <c r="F1308">
        <f>Graph_Ophtha!$A23</f>
        <v>2029</v>
      </c>
      <c r="G1308">
        <f>Graph_Ophtha!$B23</f>
        <v>17</v>
      </c>
      <c r="H1308" s="165">
        <f>Graph_Ophtha!$E23</f>
        <v>724184.26315362856</v>
      </c>
      <c r="I1308" s="160">
        <f>InputData!$C$3</f>
        <v>0.02</v>
      </c>
      <c r="J1308" s="160">
        <f>InputData!$C$4</f>
        <v>0.01</v>
      </c>
      <c r="K1308" s="160">
        <f>InputData!$C$5</f>
        <v>0.01</v>
      </c>
      <c r="L1308" s="160">
        <f>InputData!$C$6</f>
        <v>6.2100000000000002E-2</v>
      </c>
      <c r="M1308" s="160">
        <f>InputData!$C$7</f>
        <v>0.03</v>
      </c>
      <c r="N1308" s="160">
        <f>InputData!$C$8</f>
        <v>0.02</v>
      </c>
      <c r="O1308" s="160">
        <f>InputData!$C$9</f>
        <v>0.06</v>
      </c>
      <c r="P1308" s="160">
        <f>InputData!$C$10</f>
        <v>0.02</v>
      </c>
      <c r="Q1308" s="160">
        <f>InputData!$C$11</f>
        <v>0.02</v>
      </c>
      <c r="R1308" s="160">
        <f>InputData!$C$12</f>
        <v>0.02</v>
      </c>
      <c r="S1308" s="160">
        <f>InputData!$C$13</f>
        <v>0.9</v>
      </c>
      <c r="T1308" s="116">
        <f>InputData!$C$88</f>
        <v>180000</v>
      </c>
      <c r="U1308" s="116">
        <f>InputData!$C$81</f>
        <v>178500</v>
      </c>
      <c r="V1308" s="116">
        <f>InputData!$C$82</f>
        <v>303960</v>
      </c>
      <c r="W1308" s="116">
        <f>InputData!$C$84</f>
        <v>215220</v>
      </c>
      <c r="X1308" s="116">
        <f>InputData!$C$85</f>
        <v>409020</v>
      </c>
      <c r="Y1308" s="116">
        <f>InputData!$C$116</f>
        <v>140000</v>
      </c>
      <c r="Z1308" s="160">
        <f>InputData!$E$13</f>
        <v>0</v>
      </c>
    </row>
    <row r="1309" spans="1:26" x14ac:dyDescent="0.25">
      <c r="A1309">
        <f>InputData!$K$1</f>
        <v>2013</v>
      </c>
      <c r="B1309" t="str">
        <f>InputData!$G$1</f>
        <v>San Antonio, TX</v>
      </c>
      <c r="C1309" t="s">
        <v>227</v>
      </c>
      <c r="D1309" t="str">
        <f>Graph_Ophtha!$E$6</f>
        <v>STD10</v>
      </c>
      <c r="E1309" t="str">
        <f t="shared" si="20"/>
        <v>Ophthalmology STD10</v>
      </c>
      <c r="F1309">
        <f>Graph_Ophtha!$A24</f>
        <v>2030</v>
      </c>
      <c r="G1309">
        <f>Graph_Ophtha!$B24</f>
        <v>18</v>
      </c>
      <c r="H1309" s="165">
        <f>Graph_Ophtha!$E24</f>
        <v>803244.2966144738</v>
      </c>
      <c r="I1309" s="160">
        <f>InputData!$C$3</f>
        <v>0.02</v>
      </c>
      <c r="J1309" s="160">
        <f>InputData!$C$4</f>
        <v>0.01</v>
      </c>
      <c r="K1309" s="160">
        <f>InputData!$C$5</f>
        <v>0.01</v>
      </c>
      <c r="L1309" s="160">
        <f>InputData!$C$6</f>
        <v>6.2100000000000002E-2</v>
      </c>
      <c r="M1309" s="160">
        <f>InputData!$C$7</f>
        <v>0.03</v>
      </c>
      <c r="N1309" s="160">
        <f>InputData!$C$8</f>
        <v>0.02</v>
      </c>
      <c r="O1309" s="160">
        <f>InputData!$C$9</f>
        <v>0.06</v>
      </c>
      <c r="P1309" s="160">
        <f>InputData!$C$10</f>
        <v>0.02</v>
      </c>
      <c r="Q1309" s="160">
        <f>InputData!$C$11</f>
        <v>0.02</v>
      </c>
      <c r="R1309" s="160">
        <f>InputData!$C$12</f>
        <v>0.02</v>
      </c>
      <c r="S1309" s="160">
        <f>InputData!$C$13</f>
        <v>0.9</v>
      </c>
      <c r="T1309" s="116">
        <f>InputData!$C$88</f>
        <v>180000</v>
      </c>
      <c r="U1309" s="116">
        <f>InputData!$C$81</f>
        <v>178500</v>
      </c>
      <c r="V1309" s="116">
        <f>InputData!$C$82</f>
        <v>303960</v>
      </c>
      <c r="W1309" s="116">
        <f>InputData!$C$84</f>
        <v>215220</v>
      </c>
      <c r="X1309" s="116">
        <f>InputData!$C$85</f>
        <v>409020</v>
      </c>
      <c r="Y1309" s="116">
        <f>InputData!$C$116</f>
        <v>140000</v>
      </c>
      <c r="Z1309" s="160">
        <f>InputData!$E$13</f>
        <v>0</v>
      </c>
    </row>
    <row r="1310" spans="1:26" x14ac:dyDescent="0.25">
      <c r="A1310">
        <f>InputData!$K$1</f>
        <v>2013</v>
      </c>
      <c r="B1310" t="str">
        <f>InputData!$G$1</f>
        <v>San Antonio, TX</v>
      </c>
      <c r="C1310" t="s">
        <v>227</v>
      </c>
      <c r="D1310" t="str">
        <f>Graph_Ophtha!$E$6</f>
        <v>STD10</v>
      </c>
      <c r="E1310" t="str">
        <f t="shared" si="20"/>
        <v>Ophthalmology STD10</v>
      </c>
      <c r="F1310">
        <f>Graph_Ophtha!$A25</f>
        <v>2031</v>
      </c>
      <c r="G1310">
        <f>Graph_Ophtha!$B25</f>
        <v>19</v>
      </c>
      <c r="H1310" s="165">
        <f>Graph_Ophtha!$E25</f>
        <v>895722.96041725646</v>
      </c>
      <c r="I1310" s="160">
        <f>InputData!$C$3</f>
        <v>0.02</v>
      </c>
      <c r="J1310" s="160">
        <f>InputData!$C$4</f>
        <v>0.01</v>
      </c>
      <c r="K1310" s="160">
        <f>InputData!$C$5</f>
        <v>0.01</v>
      </c>
      <c r="L1310" s="160">
        <f>InputData!$C$6</f>
        <v>6.2100000000000002E-2</v>
      </c>
      <c r="M1310" s="160">
        <f>InputData!$C$7</f>
        <v>0.03</v>
      </c>
      <c r="N1310" s="160">
        <f>InputData!$C$8</f>
        <v>0.02</v>
      </c>
      <c r="O1310" s="160">
        <f>InputData!$C$9</f>
        <v>0.06</v>
      </c>
      <c r="P1310" s="160">
        <f>InputData!$C$10</f>
        <v>0.02</v>
      </c>
      <c r="Q1310" s="160">
        <f>InputData!$C$11</f>
        <v>0.02</v>
      </c>
      <c r="R1310" s="160">
        <f>InputData!$C$12</f>
        <v>0.02</v>
      </c>
      <c r="S1310" s="160">
        <f>InputData!$C$13</f>
        <v>0.9</v>
      </c>
      <c r="T1310" s="116">
        <f>InputData!$C$88</f>
        <v>180000</v>
      </c>
      <c r="U1310" s="116">
        <f>InputData!$C$81</f>
        <v>178500</v>
      </c>
      <c r="V1310" s="116">
        <f>InputData!$C$82</f>
        <v>303960</v>
      </c>
      <c r="W1310" s="116">
        <f>InputData!$C$84</f>
        <v>215220</v>
      </c>
      <c r="X1310" s="116">
        <f>InputData!$C$85</f>
        <v>409020</v>
      </c>
      <c r="Y1310" s="116">
        <f>InputData!$C$116</f>
        <v>140000</v>
      </c>
      <c r="Z1310" s="160">
        <f>InputData!$E$13</f>
        <v>0</v>
      </c>
    </row>
    <row r="1311" spans="1:26" x14ac:dyDescent="0.25">
      <c r="A1311">
        <f>InputData!$K$1</f>
        <v>2013</v>
      </c>
      <c r="B1311" t="str">
        <f>InputData!$G$1</f>
        <v>San Antonio, TX</v>
      </c>
      <c r="C1311" t="s">
        <v>227</v>
      </c>
      <c r="D1311" t="str">
        <f>Graph_Ophtha!$E$6</f>
        <v>STD10</v>
      </c>
      <c r="E1311" t="str">
        <f t="shared" si="20"/>
        <v>Ophthalmology STD10</v>
      </c>
      <c r="F1311">
        <f>Graph_Ophtha!$A26</f>
        <v>2032</v>
      </c>
      <c r="G1311">
        <f>Graph_Ophtha!$B26</f>
        <v>20</v>
      </c>
      <c r="H1311" s="165">
        <f>Graph_Ophtha!$E26</f>
        <v>986327.75019463617</v>
      </c>
      <c r="I1311" s="160">
        <f>InputData!$C$3</f>
        <v>0.02</v>
      </c>
      <c r="J1311" s="160">
        <f>InputData!$C$4</f>
        <v>0.01</v>
      </c>
      <c r="K1311" s="160">
        <f>InputData!$C$5</f>
        <v>0.01</v>
      </c>
      <c r="L1311" s="160">
        <f>InputData!$C$6</f>
        <v>6.2100000000000002E-2</v>
      </c>
      <c r="M1311" s="160">
        <f>InputData!$C$7</f>
        <v>0.03</v>
      </c>
      <c r="N1311" s="160">
        <f>InputData!$C$8</f>
        <v>0.02</v>
      </c>
      <c r="O1311" s="160">
        <f>InputData!$C$9</f>
        <v>0.06</v>
      </c>
      <c r="P1311" s="160">
        <f>InputData!$C$10</f>
        <v>0.02</v>
      </c>
      <c r="Q1311" s="160">
        <f>InputData!$C$11</f>
        <v>0.02</v>
      </c>
      <c r="R1311" s="160">
        <f>InputData!$C$12</f>
        <v>0.02</v>
      </c>
      <c r="S1311" s="160">
        <f>InputData!$C$13</f>
        <v>0.9</v>
      </c>
      <c r="T1311" s="116">
        <f>InputData!$C$88</f>
        <v>180000</v>
      </c>
      <c r="U1311" s="116">
        <f>InputData!$C$81</f>
        <v>178500</v>
      </c>
      <c r="V1311" s="116">
        <f>InputData!$C$82</f>
        <v>303960</v>
      </c>
      <c r="W1311" s="116">
        <f>InputData!$C$84</f>
        <v>215220</v>
      </c>
      <c r="X1311" s="116">
        <f>InputData!$C$85</f>
        <v>409020</v>
      </c>
      <c r="Y1311" s="116">
        <f>InputData!$C$116</f>
        <v>140000</v>
      </c>
      <c r="Z1311" s="160">
        <f>InputData!$E$13</f>
        <v>0</v>
      </c>
    </row>
    <row r="1312" spans="1:26" x14ac:dyDescent="0.25">
      <c r="A1312">
        <f>InputData!$K$1</f>
        <v>2013</v>
      </c>
      <c r="B1312" t="str">
        <f>InputData!$G$1</f>
        <v>San Antonio, TX</v>
      </c>
      <c r="C1312" t="s">
        <v>227</v>
      </c>
      <c r="D1312" t="str">
        <f>Graph_Ophtha!$E$6</f>
        <v>STD10</v>
      </c>
      <c r="E1312" t="str">
        <f t="shared" si="20"/>
        <v>Ophthalmology STD10</v>
      </c>
      <c r="F1312">
        <f>Graph_Ophtha!$A27</f>
        <v>2033</v>
      </c>
      <c r="G1312">
        <f>Graph_Ophtha!$B27</f>
        <v>21</v>
      </c>
      <c r="H1312" s="165">
        <f>Graph_Ophtha!$E27</f>
        <v>1075097.1726587953</v>
      </c>
      <c r="I1312" s="160">
        <f>InputData!$C$3</f>
        <v>0.02</v>
      </c>
      <c r="J1312" s="160">
        <f>InputData!$C$4</f>
        <v>0.01</v>
      </c>
      <c r="K1312" s="160">
        <f>InputData!$C$5</f>
        <v>0.01</v>
      </c>
      <c r="L1312" s="160">
        <f>InputData!$C$6</f>
        <v>6.2100000000000002E-2</v>
      </c>
      <c r="M1312" s="160">
        <f>InputData!$C$7</f>
        <v>0.03</v>
      </c>
      <c r="N1312" s="160">
        <f>InputData!$C$8</f>
        <v>0.02</v>
      </c>
      <c r="O1312" s="160">
        <f>InputData!$C$9</f>
        <v>0.06</v>
      </c>
      <c r="P1312" s="160">
        <f>InputData!$C$10</f>
        <v>0.02</v>
      </c>
      <c r="Q1312" s="160">
        <f>InputData!$C$11</f>
        <v>0.02</v>
      </c>
      <c r="R1312" s="160">
        <f>InputData!$C$12</f>
        <v>0.02</v>
      </c>
      <c r="S1312" s="160">
        <f>InputData!$C$13</f>
        <v>0.9</v>
      </c>
      <c r="T1312" s="116">
        <f>InputData!$C$88</f>
        <v>180000</v>
      </c>
      <c r="U1312" s="116">
        <f>InputData!$C$81</f>
        <v>178500</v>
      </c>
      <c r="V1312" s="116">
        <f>InputData!$C$82</f>
        <v>303960</v>
      </c>
      <c r="W1312" s="116">
        <f>InputData!$C$84</f>
        <v>215220</v>
      </c>
      <c r="X1312" s="116">
        <f>InputData!$C$85</f>
        <v>409020</v>
      </c>
      <c r="Y1312" s="116">
        <f>InputData!$C$116</f>
        <v>140000</v>
      </c>
      <c r="Z1312" s="160">
        <f>InputData!$E$13</f>
        <v>0</v>
      </c>
    </row>
    <row r="1313" spans="1:26" x14ac:dyDescent="0.25">
      <c r="A1313">
        <f>InputData!$K$1</f>
        <v>2013</v>
      </c>
      <c r="B1313" t="str">
        <f>InputData!$G$1</f>
        <v>San Antonio, TX</v>
      </c>
      <c r="C1313" t="s">
        <v>227</v>
      </c>
      <c r="D1313" t="str">
        <f>Graph_Ophtha!$E$6</f>
        <v>STD10</v>
      </c>
      <c r="E1313" t="str">
        <f t="shared" si="20"/>
        <v>Ophthalmology STD10</v>
      </c>
      <c r="F1313">
        <f>Graph_Ophtha!$A28</f>
        <v>2034</v>
      </c>
      <c r="G1313">
        <f>Graph_Ophtha!$B28</f>
        <v>22</v>
      </c>
      <c r="H1313" s="165">
        <f>Graph_Ophtha!$E28</f>
        <v>1162068.92810725</v>
      </c>
      <c r="I1313" s="160">
        <f>InputData!$C$3</f>
        <v>0.02</v>
      </c>
      <c r="J1313" s="160">
        <f>InputData!$C$4</f>
        <v>0.01</v>
      </c>
      <c r="K1313" s="160">
        <f>InputData!$C$5</f>
        <v>0.01</v>
      </c>
      <c r="L1313" s="160">
        <f>InputData!$C$6</f>
        <v>6.2100000000000002E-2</v>
      </c>
      <c r="M1313" s="160">
        <f>InputData!$C$7</f>
        <v>0.03</v>
      </c>
      <c r="N1313" s="160">
        <f>InputData!$C$8</f>
        <v>0.02</v>
      </c>
      <c r="O1313" s="160">
        <f>InputData!$C$9</f>
        <v>0.06</v>
      </c>
      <c r="P1313" s="160">
        <f>InputData!$C$10</f>
        <v>0.02</v>
      </c>
      <c r="Q1313" s="160">
        <f>InputData!$C$11</f>
        <v>0.02</v>
      </c>
      <c r="R1313" s="160">
        <f>InputData!$C$12</f>
        <v>0.02</v>
      </c>
      <c r="S1313" s="160">
        <f>InputData!$C$13</f>
        <v>0.9</v>
      </c>
      <c r="T1313" s="116">
        <f>InputData!$C$88</f>
        <v>180000</v>
      </c>
      <c r="U1313" s="116">
        <f>InputData!$C$81</f>
        <v>178500</v>
      </c>
      <c r="V1313" s="116">
        <f>InputData!$C$82</f>
        <v>303960</v>
      </c>
      <c r="W1313" s="116">
        <f>InputData!$C$84</f>
        <v>215220</v>
      </c>
      <c r="X1313" s="116">
        <f>InputData!$C$85</f>
        <v>409020</v>
      </c>
      <c r="Y1313" s="116">
        <f>InputData!$C$116</f>
        <v>140000</v>
      </c>
      <c r="Z1313" s="160">
        <f>InputData!$E$13</f>
        <v>0</v>
      </c>
    </row>
    <row r="1314" spans="1:26" x14ac:dyDescent="0.25">
      <c r="A1314">
        <f>InputData!$K$1</f>
        <v>2013</v>
      </c>
      <c r="B1314" t="str">
        <f>InputData!$G$1</f>
        <v>San Antonio, TX</v>
      </c>
      <c r="C1314" t="s">
        <v>227</v>
      </c>
      <c r="D1314" t="str">
        <f>Graph_Ophtha!$E$6</f>
        <v>STD10</v>
      </c>
      <c r="E1314" t="str">
        <f t="shared" si="20"/>
        <v>Ophthalmology STD10</v>
      </c>
      <c r="F1314">
        <f>Graph_Ophtha!$A29</f>
        <v>2035</v>
      </c>
      <c r="G1314">
        <f>Graph_Ophtha!$B29</f>
        <v>23</v>
      </c>
      <c r="H1314" s="165">
        <f>Graph_Ophtha!$E29</f>
        <v>1247279.927731439</v>
      </c>
      <c r="I1314" s="160">
        <f>InputData!$C$3</f>
        <v>0.02</v>
      </c>
      <c r="J1314" s="160">
        <f>InputData!$C$4</f>
        <v>0.01</v>
      </c>
      <c r="K1314" s="160">
        <f>InputData!$C$5</f>
        <v>0.01</v>
      </c>
      <c r="L1314" s="160">
        <f>InputData!$C$6</f>
        <v>6.2100000000000002E-2</v>
      </c>
      <c r="M1314" s="160">
        <f>InputData!$C$7</f>
        <v>0.03</v>
      </c>
      <c r="N1314" s="160">
        <f>InputData!$C$8</f>
        <v>0.02</v>
      </c>
      <c r="O1314" s="160">
        <f>InputData!$C$9</f>
        <v>0.06</v>
      </c>
      <c r="P1314" s="160">
        <f>InputData!$C$10</f>
        <v>0.02</v>
      </c>
      <c r="Q1314" s="160">
        <f>InputData!$C$11</f>
        <v>0.02</v>
      </c>
      <c r="R1314" s="160">
        <f>InputData!$C$12</f>
        <v>0.02</v>
      </c>
      <c r="S1314" s="160">
        <f>InputData!$C$13</f>
        <v>0.9</v>
      </c>
      <c r="T1314" s="116">
        <f>InputData!$C$88</f>
        <v>180000</v>
      </c>
      <c r="U1314" s="116">
        <f>InputData!$C$81</f>
        <v>178500</v>
      </c>
      <c r="V1314" s="116">
        <f>InputData!$C$82</f>
        <v>303960</v>
      </c>
      <c r="W1314" s="116">
        <f>InputData!$C$84</f>
        <v>215220</v>
      </c>
      <c r="X1314" s="116">
        <f>InputData!$C$85</f>
        <v>409020</v>
      </c>
      <c r="Y1314" s="116">
        <f>InputData!$C$116</f>
        <v>140000</v>
      </c>
      <c r="Z1314" s="160">
        <f>InputData!$E$13</f>
        <v>0</v>
      </c>
    </row>
    <row r="1315" spans="1:26" x14ac:dyDescent="0.25">
      <c r="A1315">
        <f>InputData!$K$1</f>
        <v>2013</v>
      </c>
      <c r="B1315" t="str">
        <f>InputData!$G$1</f>
        <v>San Antonio, TX</v>
      </c>
      <c r="C1315" t="s">
        <v>227</v>
      </c>
      <c r="D1315" t="str">
        <f>Graph_Ophtha!$E$6</f>
        <v>STD10</v>
      </c>
      <c r="E1315" t="str">
        <f t="shared" si="20"/>
        <v>Ophthalmology STD10</v>
      </c>
      <c r="F1315">
        <f>Graph_Ophtha!$A30</f>
        <v>2036</v>
      </c>
      <c r="G1315">
        <f>Graph_Ophtha!$B30</f>
        <v>24</v>
      </c>
      <c r="H1315" s="165">
        <f>Graph_Ophtha!$E30</f>
        <v>1330766.3105423402</v>
      </c>
      <c r="I1315" s="160">
        <f>InputData!$C$3</f>
        <v>0.02</v>
      </c>
      <c r="J1315" s="160">
        <f>InputData!$C$4</f>
        <v>0.01</v>
      </c>
      <c r="K1315" s="160">
        <f>InputData!$C$5</f>
        <v>0.01</v>
      </c>
      <c r="L1315" s="160">
        <f>InputData!$C$6</f>
        <v>6.2100000000000002E-2</v>
      </c>
      <c r="M1315" s="160">
        <f>InputData!$C$7</f>
        <v>0.03</v>
      </c>
      <c r="N1315" s="160">
        <f>InputData!$C$8</f>
        <v>0.02</v>
      </c>
      <c r="O1315" s="160">
        <f>InputData!$C$9</f>
        <v>0.06</v>
      </c>
      <c r="P1315" s="160">
        <f>InputData!$C$10</f>
        <v>0.02</v>
      </c>
      <c r="Q1315" s="160">
        <f>InputData!$C$11</f>
        <v>0.02</v>
      </c>
      <c r="R1315" s="160">
        <f>InputData!$C$12</f>
        <v>0.02</v>
      </c>
      <c r="S1315" s="160">
        <f>InputData!$C$13</f>
        <v>0.9</v>
      </c>
      <c r="T1315" s="116">
        <f>InputData!$C$88</f>
        <v>180000</v>
      </c>
      <c r="U1315" s="116">
        <f>InputData!$C$81</f>
        <v>178500</v>
      </c>
      <c r="V1315" s="116">
        <f>InputData!$C$82</f>
        <v>303960</v>
      </c>
      <c r="W1315" s="116">
        <f>InputData!$C$84</f>
        <v>215220</v>
      </c>
      <c r="X1315" s="116">
        <f>InputData!$C$85</f>
        <v>409020</v>
      </c>
      <c r="Y1315" s="116">
        <f>InputData!$C$116</f>
        <v>140000</v>
      </c>
      <c r="Z1315" s="160">
        <f>InputData!$E$13</f>
        <v>0</v>
      </c>
    </row>
    <row r="1316" spans="1:26" x14ac:dyDescent="0.25">
      <c r="A1316">
        <f>InputData!$K$1</f>
        <v>2013</v>
      </c>
      <c r="B1316" t="str">
        <f>InputData!$G$1</f>
        <v>San Antonio, TX</v>
      </c>
      <c r="C1316" t="s">
        <v>227</v>
      </c>
      <c r="D1316" t="str">
        <f>Graph_Ophtha!$E$6</f>
        <v>STD10</v>
      </c>
      <c r="E1316" t="str">
        <f t="shared" si="20"/>
        <v>Ophthalmology STD10</v>
      </c>
      <c r="F1316">
        <f>Graph_Ophtha!$A31</f>
        <v>2037</v>
      </c>
      <c r="G1316">
        <f>Graph_Ophtha!$B31</f>
        <v>25</v>
      </c>
      <c r="H1316" s="165">
        <f>Graph_Ophtha!$E31</f>
        <v>1412563.4599218932</v>
      </c>
      <c r="I1316" s="160">
        <f>InputData!$C$3</f>
        <v>0.02</v>
      </c>
      <c r="J1316" s="160">
        <f>InputData!$C$4</f>
        <v>0.01</v>
      </c>
      <c r="K1316" s="160">
        <f>InputData!$C$5</f>
        <v>0.01</v>
      </c>
      <c r="L1316" s="160">
        <f>InputData!$C$6</f>
        <v>6.2100000000000002E-2</v>
      </c>
      <c r="M1316" s="160">
        <f>InputData!$C$7</f>
        <v>0.03</v>
      </c>
      <c r="N1316" s="160">
        <f>InputData!$C$8</f>
        <v>0.02</v>
      </c>
      <c r="O1316" s="160">
        <f>InputData!$C$9</f>
        <v>0.06</v>
      </c>
      <c r="P1316" s="160">
        <f>InputData!$C$10</f>
        <v>0.02</v>
      </c>
      <c r="Q1316" s="160">
        <f>InputData!$C$11</f>
        <v>0.02</v>
      </c>
      <c r="R1316" s="160">
        <f>InputData!$C$12</f>
        <v>0.02</v>
      </c>
      <c r="S1316" s="160">
        <f>InputData!$C$13</f>
        <v>0.9</v>
      </c>
      <c r="T1316" s="116">
        <f>InputData!$C$88</f>
        <v>180000</v>
      </c>
      <c r="U1316" s="116">
        <f>InputData!$C$81</f>
        <v>178500</v>
      </c>
      <c r="V1316" s="116">
        <f>InputData!$C$82</f>
        <v>303960</v>
      </c>
      <c r="W1316" s="116">
        <f>InputData!$C$84</f>
        <v>215220</v>
      </c>
      <c r="X1316" s="116">
        <f>InputData!$C$85</f>
        <v>409020</v>
      </c>
      <c r="Y1316" s="116">
        <f>InputData!$C$116</f>
        <v>140000</v>
      </c>
      <c r="Z1316" s="160">
        <f>InputData!$E$13</f>
        <v>0</v>
      </c>
    </row>
    <row r="1317" spans="1:26" x14ac:dyDescent="0.25">
      <c r="A1317">
        <f>InputData!$K$1</f>
        <v>2013</v>
      </c>
      <c r="B1317" t="str">
        <f>InputData!$G$1</f>
        <v>San Antonio, TX</v>
      </c>
      <c r="C1317" t="s">
        <v>227</v>
      </c>
      <c r="D1317" t="str">
        <f>Graph_Ophtha!$E$6</f>
        <v>STD10</v>
      </c>
      <c r="E1317" t="str">
        <f t="shared" si="20"/>
        <v>Ophthalmology STD10</v>
      </c>
      <c r="F1317">
        <f>Graph_Ophtha!$A32</f>
        <v>2038</v>
      </c>
      <c r="G1317">
        <f>Graph_Ophtha!$B32</f>
        <v>26</v>
      </c>
      <c r="H1317" s="165">
        <f>Graph_Ophtha!$E32</f>
        <v>1492706.0198087986</v>
      </c>
      <c r="I1317" s="160">
        <f>InputData!$C$3</f>
        <v>0.02</v>
      </c>
      <c r="J1317" s="160">
        <f>InputData!$C$4</f>
        <v>0.01</v>
      </c>
      <c r="K1317" s="160">
        <f>InputData!$C$5</f>
        <v>0.01</v>
      </c>
      <c r="L1317" s="160">
        <f>InputData!$C$6</f>
        <v>6.2100000000000002E-2</v>
      </c>
      <c r="M1317" s="160">
        <f>InputData!$C$7</f>
        <v>0.03</v>
      </c>
      <c r="N1317" s="160">
        <f>InputData!$C$8</f>
        <v>0.02</v>
      </c>
      <c r="O1317" s="160">
        <f>InputData!$C$9</f>
        <v>0.06</v>
      </c>
      <c r="P1317" s="160">
        <f>InputData!$C$10</f>
        <v>0.02</v>
      </c>
      <c r="Q1317" s="160">
        <f>InputData!$C$11</f>
        <v>0.02</v>
      </c>
      <c r="R1317" s="160">
        <f>InputData!$C$12</f>
        <v>0.02</v>
      </c>
      <c r="S1317" s="160">
        <f>InputData!$C$13</f>
        <v>0.9</v>
      </c>
      <c r="T1317" s="116">
        <f>InputData!$C$88</f>
        <v>180000</v>
      </c>
      <c r="U1317" s="116">
        <f>InputData!$C$81</f>
        <v>178500</v>
      </c>
      <c r="V1317" s="116">
        <f>InputData!$C$82</f>
        <v>303960</v>
      </c>
      <c r="W1317" s="116">
        <f>InputData!$C$84</f>
        <v>215220</v>
      </c>
      <c r="X1317" s="116">
        <f>InputData!$C$85</f>
        <v>409020</v>
      </c>
      <c r="Y1317" s="116">
        <f>InputData!$C$116</f>
        <v>140000</v>
      </c>
      <c r="Z1317" s="160">
        <f>InputData!$E$13</f>
        <v>0</v>
      </c>
    </row>
    <row r="1318" spans="1:26" x14ac:dyDescent="0.25">
      <c r="A1318">
        <f>InputData!$K$1</f>
        <v>2013</v>
      </c>
      <c r="B1318" t="str">
        <f>InputData!$G$1</f>
        <v>San Antonio, TX</v>
      </c>
      <c r="C1318" t="s">
        <v>227</v>
      </c>
      <c r="D1318" t="str">
        <f>Graph_Ophtha!$E$6</f>
        <v>STD10</v>
      </c>
      <c r="E1318" t="str">
        <f t="shared" si="20"/>
        <v>Ophthalmology STD10</v>
      </c>
      <c r="F1318">
        <f>Graph_Ophtha!$A33</f>
        <v>2039</v>
      </c>
      <c r="G1318">
        <f>Graph_Ophtha!$B33</f>
        <v>27</v>
      </c>
      <c r="H1318" s="165">
        <f>Graph_Ophtha!$E33</f>
        <v>1571227.9105270572</v>
      </c>
      <c r="I1318" s="160">
        <f>InputData!$C$3</f>
        <v>0.02</v>
      </c>
      <c r="J1318" s="160">
        <f>InputData!$C$4</f>
        <v>0.01</v>
      </c>
      <c r="K1318" s="160">
        <f>InputData!$C$5</f>
        <v>0.01</v>
      </c>
      <c r="L1318" s="160">
        <f>InputData!$C$6</f>
        <v>6.2100000000000002E-2</v>
      </c>
      <c r="M1318" s="160">
        <f>InputData!$C$7</f>
        <v>0.03</v>
      </c>
      <c r="N1318" s="160">
        <f>InputData!$C$8</f>
        <v>0.02</v>
      </c>
      <c r="O1318" s="160">
        <f>InputData!$C$9</f>
        <v>0.06</v>
      </c>
      <c r="P1318" s="160">
        <f>InputData!$C$10</f>
        <v>0.02</v>
      </c>
      <c r="Q1318" s="160">
        <f>InputData!$C$11</f>
        <v>0.02</v>
      </c>
      <c r="R1318" s="160">
        <f>InputData!$C$12</f>
        <v>0.02</v>
      </c>
      <c r="S1318" s="160">
        <f>InputData!$C$13</f>
        <v>0.9</v>
      </c>
      <c r="T1318" s="116">
        <f>InputData!$C$88</f>
        <v>180000</v>
      </c>
      <c r="U1318" s="116">
        <f>InputData!$C$81</f>
        <v>178500</v>
      </c>
      <c r="V1318" s="116">
        <f>InputData!$C$82</f>
        <v>303960</v>
      </c>
      <c r="W1318" s="116">
        <f>InputData!$C$84</f>
        <v>215220</v>
      </c>
      <c r="X1318" s="116">
        <f>InputData!$C$85</f>
        <v>409020</v>
      </c>
      <c r="Y1318" s="116">
        <f>InputData!$C$116</f>
        <v>140000</v>
      </c>
      <c r="Z1318" s="160">
        <f>InputData!$E$13</f>
        <v>0</v>
      </c>
    </row>
    <row r="1319" spans="1:26" x14ac:dyDescent="0.25">
      <c r="A1319">
        <f>InputData!$K$1</f>
        <v>2013</v>
      </c>
      <c r="B1319" t="str">
        <f>InputData!$G$1</f>
        <v>San Antonio, TX</v>
      </c>
      <c r="C1319" t="s">
        <v>227</v>
      </c>
      <c r="D1319" t="str">
        <f>Graph_Ophtha!$E$6</f>
        <v>STD10</v>
      </c>
      <c r="E1319" t="str">
        <f t="shared" si="20"/>
        <v>Ophthalmology STD10</v>
      </c>
      <c r="F1319">
        <f>Graph_Ophtha!$A34</f>
        <v>2040</v>
      </c>
      <c r="G1319">
        <f>Graph_Ophtha!$B34</f>
        <v>28</v>
      </c>
      <c r="H1319" s="165">
        <f>Graph_Ophtha!$E34</f>
        <v>1648162.3442654212</v>
      </c>
      <c r="I1319" s="160">
        <f>InputData!$C$3</f>
        <v>0.02</v>
      </c>
      <c r="J1319" s="160">
        <f>InputData!$C$4</f>
        <v>0.01</v>
      </c>
      <c r="K1319" s="160">
        <f>InputData!$C$5</f>
        <v>0.01</v>
      </c>
      <c r="L1319" s="160">
        <f>InputData!$C$6</f>
        <v>6.2100000000000002E-2</v>
      </c>
      <c r="M1319" s="160">
        <f>InputData!$C$7</f>
        <v>0.03</v>
      </c>
      <c r="N1319" s="160">
        <f>InputData!$C$8</f>
        <v>0.02</v>
      </c>
      <c r="O1319" s="160">
        <f>InputData!$C$9</f>
        <v>0.06</v>
      </c>
      <c r="P1319" s="160">
        <f>InputData!$C$10</f>
        <v>0.02</v>
      </c>
      <c r="Q1319" s="160">
        <f>InputData!$C$11</f>
        <v>0.02</v>
      </c>
      <c r="R1319" s="160">
        <f>InputData!$C$12</f>
        <v>0.02</v>
      </c>
      <c r="S1319" s="160">
        <f>InputData!$C$13</f>
        <v>0.9</v>
      </c>
      <c r="T1319" s="116">
        <f>InputData!$C$88</f>
        <v>180000</v>
      </c>
      <c r="U1319" s="116">
        <f>InputData!$C$81</f>
        <v>178500</v>
      </c>
      <c r="V1319" s="116">
        <f>InputData!$C$82</f>
        <v>303960</v>
      </c>
      <c r="W1319" s="116">
        <f>InputData!$C$84</f>
        <v>215220</v>
      </c>
      <c r="X1319" s="116">
        <f>InputData!$C$85</f>
        <v>409020</v>
      </c>
      <c r="Y1319" s="116">
        <f>InputData!$C$116</f>
        <v>140000</v>
      </c>
      <c r="Z1319" s="160">
        <f>InputData!$E$13</f>
        <v>0</v>
      </c>
    </row>
    <row r="1320" spans="1:26" x14ac:dyDescent="0.25">
      <c r="A1320">
        <f>InputData!$K$1</f>
        <v>2013</v>
      </c>
      <c r="B1320" t="str">
        <f>InputData!$G$1</f>
        <v>San Antonio, TX</v>
      </c>
      <c r="C1320" t="s">
        <v>227</v>
      </c>
      <c r="D1320" t="str">
        <f>Graph_Ophtha!$E$6</f>
        <v>STD10</v>
      </c>
      <c r="E1320" t="str">
        <f t="shared" si="20"/>
        <v>Ophthalmology STD10</v>
      </c>
      <c r="F1320">
        <f>Graph_Ophtha!$A35</f>
        <v>2041</v>
      </c>
      <c r="G1320">
        <f>Graph_Ophtha!$B35</f>
        <v>29</v>
      </c>
      <c r="H1320" s="165">
        <f>Graph_Ophtha!$E35</f>
        <v>1723541.8402157233</v>
      </c>
      <c r="I1320" s="160">
        <f>InputData!$C$3</f>
        <v>0.02</v>
      </c>
      <c r="J1320" s="160">
        <f>InputData!$C$4</f>
        <v>0.01</v>
      </c>
      <c r="K1320" s="160">
        <f>InputData!$C$5</f>
        <v>0.01</v>
      </c>
      <c r="L1320" s="160">
        <f>InputData!$C$6</f>
        <v>6.2100000000000002E-2</v>
      </c>
      <c r="M1320" s="160">
        <f>InputData!$C$7</f>
        <v>0.03</v>
      </c>
      <c r="N1320" s="160">
        <f>InputData!$C$8</f>
        <v>0.02</v>
      </c>
      <c r="O1320" s="160">
        <f>InputData!$C$9</f>
        <v>0.06</v>
      </c>
      <c r="P1320" s="160">
        <f>InputData!$C$10</f>
        <v>0.02</v>
      </c>
      <c r="Q1320" s="160">
        <f>InputData!$C$11</f>
        <v>0.02</v>
      </c>
      <c r="R1320" s="160">
        <f>InputData!$C$12</f>
        <v>0.02</v>
      </c>
      <c r="S1320" s="160">
        <f>InputData!$C$13</f>
        <v>0.9</v>
      </c>
      <c r="T1320" s="116">
        <f>InputData!$C$88</f>
        <v>180000</v>
      </c>
      <c r="U1320" s="116">
        <f>InputData!$C$81</f>
        <v>178500</v>
      </c>
      <c r="V1320" s="116">
        <f>InputData!$C$82</f>
        <v>303960</v>
      </c>
      <c r="W1320" s="116">
        <f>InputData!$C$84</f>
        <v>215220</v>
      </c>
      <c r="X1320" s="116">
        <f>InputData!$C$85</f>
        <v>409020</v>
      </c>
      <c r="Y1320" s="116">
        <f>InputData!$C$116</f>
        <v>140000</v>
      </c>
      <c r="Z1320" s="160">
        <f>InputData!$E$13</f>
        <v>0</v>
      </c>
    </row>
    <row r="1321" spans="1:26" x14ac:dyDescent="0.25">
      <c r="A1321">
        <f>InputData!$K$1</f>
        <v>2013</v>
      </c>
      <c r="B1321" t="str">
        <f>InputData!$G$1</f>
        <v>San Antonio, TX</v>
      </c>
      <c r="C1321" t="s">
        <v>227</v>
      </c>
      <c r="D1321" t="str">
        <f>Graph_Ophtha!$E$6</f>
        <v>STD10</v>
      </c>
      <c r="E1321" t="str">
        <f t="shared" si="20"/>
        <v>Ophthalmology STD10</v>
      </c>
      <c r="F1321">
        <f>Graph_Ophtha!$A36</f>
        <v>2042</v>
      </c>
      <c r="G1321">
        <f>Graph_Ophtha!$B36</f>
        <v>30</v>
      </c>
      <c r="H1321" s="165">
        <f>Graph_Ophtha!$E36</f>
        <v>1797398.2393778737</v>
      </c>
      <c r="I1321" s="160">
        <f>InputData!$C$3</f>
        <v>0.02</v>
      </c>
      <c r="J1321" s="160">
        <f>InputData!$C$4</f>
        <v>0.01</v>
      </c>
      <c r="K1321" s="160">
        <f>InputData!$C$5</f>
        <v>0.01</v>
      </c>
      <c r="L1321" s="160">
        <f>InputData!$C$6</f>
        <v>6.2100000000000002E-2</v>
      </c>
      <c r="M1321" s="160">
        <f>InputData!$C$7</f>
        <v>0.03</v>
      </c>
      <c r="N1321" s="160">
        <f>InputData!$C$8</f>
        <v>0.02</v>
      </c>
      <c r="O1321" s="160">
        <f>InputData!$C$9</f>
        <v>0.06</v>
      </c>
      <c r="P1321" s="160">
        <f>InputData!$C$10</f>
        <v>0.02</v>
      </c>
      <c r="Q1321" s="160">
        <f>InputData!$C$11</f>
        <v>0.02</v>
      </c>
      <c r="R1321" s="160">
        <f>InputData!$C$12</f>
        <v>0.02</v>
      </c>
      <c r="S1321" s="160">
        <f>InputData!$C$13</f>
        <v>0.9</v>
      </c>
      <c r="T1321" s="116">
        <f>InputData!$C$88</f>
        <v>180000</v>
      </c>
      <c r="U1321" s="116">
        <f>InputData!$C$81</f>
        <v>178500</v>
      </c>
      <c r="V1321" s="116">
        <f>InputData!$C$82</f>
        <v>303960</v>
      </c>
      <c r="W1321" s="116">
        <f>InputData!$C$84</f>
        <v>215220</v>
      </c>
      <c r="X1321" s="116">
        <f>InputData!$C$85</f>
        <v>409020</v>
      </c>
      <c r="Y1321" s="116">
        <f>InputData!$C$116</f>
        <v>140000</v>
      </c>
      <c r="Z1321" s="160">
        <f>InputData!$E$13</f>
        <v>0</v>
      </c>
    </row>
    <row r="1322" spans="1:26" x14ac:dyDescent="0.25">
      <c r="A1322">
        <f>InputData!$K$1</f>
        <v>2013</v>
      </c>
      <c r="B1322" t="str">
        <f>InputData!$G$1</f>
        <v>San Antonio, TX</v>
      </c>
      <c r="C1322" t="s">
        <v>227</v>
      </c>
      <c r="D1322" t="str">
        <f>Graph_Ophtha!$F$6</f>
        <v>EXT</v>
      </c>
      <c r="E1322" t="str">
        <f t="shared" si="20"/>
        <v>Ophthalmology EXT</v>
      </c>
      <c r="F1322">
        <f>Graph_Ophtha!$A7</f>
        <v>2013</v>
      </c>
      <c r="G1322">
        <f>Graph_Ophtha!$B7</f>
        <v>1</v>
      </c>
      <c r="H1322" s="165">
        <f>Graph_Ophtha!$F7</f>
        <v>-43015.05</v>
      </c>
      <c r="I1322" s="160">
        <f>InputData!$C$3</f>
        <v>0.02</v>
      </c>
      <c r="J1322" s="160">
        <f>InputData!$C$4</f>
        <v>0.01</v>
      </c>
      <c r="K1322" s="160">
        <f>InputData!$C$5</f>
        <v>0.01</v>
      </c>
      <c r="L1322" s="160">
        <f>InputData!$C$6</f>
        <v>6.2100000000000002E-2</v>
      </c>
      <c r="M1322" s="160">
        <f>InputData!$C$7</f>
        <v>0.03</v>
      </c>
      <c r="N1322" s="160">
        <f>InputData!$C$8</f>
        <v>0.02</v>
      </c>
      <c r="O1322" s="160">
        <f>InputData!$C$9</f>
        <v>0.06</v>
      </c>
      <c r="P1322" s="160">
        <f>InputData!$C$10</f>
        <v>0.02</v>
      </c>
      <c r="Q1322" s="160">
        <f>InputData!$C$11</f>
        <v>0.02</v>
      </c>
      <c r="R1322" s="160">
        <f>InputData!$C$12</f>
        <v>0.02</v>
      </c>
      <c r="S1322" s="160">
        <f>InputData!$C$13</f>
        <v>0.9</v>
      </c>
      <c r="T1322" s="116">
        <f>InputData!$C$88</f>
        <v>180000</v>
      </c>
      <c r="U1322" s="116">
        <f>InputData!$C$81</f>
        <v>178500</v>
      </c>
      <c r="V1322" s="116">
        <f>InputData!$C$82</f>
        <v>303960</v>
      </c>
      <c r="W1322" s="116">
        <f>InputData!$C$84</f>
        <v>215220</v>
      </c>
      <c r="X1322" s="116">
        <f>InputData!$C$85</f>
        <v>409020</v>
      </c>
      <c r="Y1322" s="116">
        <f>InputData!$C$116</f>
        <v>140000</v>
      </c>
      <c r="Z1322" s="160">
        <f>InputData!$E$13</f>
        <v>0</v>
      </c>
    </row>
    <row r="1323" spans="1:26" x14ac:dyDescent="0.25">
      <c r="A1323">
        <f>InputData!$K$1</f>
        <v>2013</v>
      </c>
      <c r="B1323" t="str">
        <f>InputData!$G$1</f>
        <v>San Antonio, TX</v>
      </c>
      <c r="C1323" t="s">
        <v>227</v>
      </c>
      <c r="D1323" t="str">
        <f>Graph_Ophtha!$F$6</f>
        <v>EXT</v>
      </c>
      <c r="E1323" t="str">
        <f t="shared" si="20"/>
        <v>Ophthalmology EXT</v>
      </c>
      <c r="F1323">
        <f>Graph_Ophtha!$A8</f>
        <v>2014</v>
      </c>
      <c r="G1323">
        <f>Graph_Ophtha!$B8</f>
        <v>2</v>
      </c>
      <c r="H1323" s="165">
        <f>Graph_Ophtha!$F8</f>
        <v>-86352.285865219877</v>
      </c>
      <c r="I1323" s="160">
        <f>InputData!$C$3</f>
        <v>0.02</v>
      </c>
      <c r="J1323" s="160">
        <f>InputData!$C$4</f>
        <v>0.01</v>
      </c>
      <c r="K1323" s="160">
        <f>InputData!$C$5</f>
        <v>0.01</v>
      </c>
      <c r="L1323" s="160">
        <f>InputData!$C$6</f>
        <v>6.2100000000000002E-2</v>
      </c>
      <c r="M1323" s="160">
        <f>InputData!$C$7</f>
        <v>0.03</v>
      </c>
      <c r="N1323" s="160">
        <f>InputData!$C$8</f>
        <v>0.02</v>
      </c>
      <c r="O1323" s="160">
        <f>InputData!$C$9</f>
        <v>0.06</v>
      </c>
      <c r="P1323" s="160">
        <f>InputData!$C$10</f>
        <v>0.02</v>
      </c>
      <c r="Q1323" s="160">
        <f>InputData!$C$11</f>
        <v>0.02</v>
      </c>
      <c r="R1323" s="160">
        <f>InputData!$C$12</f>
        <v>0.02</v>
      </c>
      <c r="S1323" s="160">
        <f>InputData!$C$13</f>
        <v>0.9</v>
      </c>
      <c r="T1323" s="116">
        <f>InputData!$C$88</f>
        <v>180000</v>
      </c>
      <c r="U1323" s="116">
        <f>InputData!$C$81</f>
        <v>178500</v>
      </c>
      <c r="V1323" s="116">
        <f>InputData!$C$82</f>
        <v>303960</v>
      </c>
      <c r="W1323" s="116">
        <f>InputData!$C$84</f>
        <v>215220</v>
      </c>
      <c r="X1323" s="116">
        <f>InputData!$C$85</f>
        <v>409020</v>
      </c>
      <c r="Y1323" s="116">
        <f>InputData!$C$116</f>
        <v>140000</v>
      </c>
      <c r="Z1323" s="160">
        <f>InputData!$E$13</f>
        <v>0</v>
      </c>
    </row>
    <row r="1324" spans="1:26" x14ac:dyDescent="0.25">
      <c r="A1324">
        <f>InputData!$K$1</f>
        <v>2013</v>
      </c>
      <c r="B1324" t="str">
        <f>InputData!$G$1</f>
        <v>San Antonio, TX</v>
      </c>
      <c r="C1324" t="s">
        <v>227</v>
      </c>
      <c r="D1324" t="str">
        <f>Graph_Ophtha!$F$6</f>
        <v>EXT</v>
      </c>
      <c r="E1324" t="str">
        <f t="shared" si="20"/>
        <v>Ophthalmology EXT</v>
      </c>
      <c r="F1324">
        <f>Graph_Ophtha!$A9</f>
        <v>2015</v>
      </c>
      <c r="G1324">
        <f>Graph_Ophtha!$B9</f>
        <v>3</v>
      </c>
      <c r="H1324" s="165">
        <f>Graph_Ophtha!$F9</f>
        <v>-138541.19578403595</v>
      </c>
      <c r="I1324" s="160">
        <f>InputData!$C$3</f>
        <v>0.02</v>
      </c>
      <c r="J1324" s="160">
        <f>InputData!$C$4</f>
        <v>0.01</v>
      </c>
      <c r="K1324" s="160">
        <f>InputData!$C$5</f>
        <v>0.01</v>
      </c>
      <c r="L1324" s="160">
        <f>InputData!$C$6</f>
        <v>6.2100000000000002E-2</v>
      </c>
      <c r="M1324" s="160">
        <f>InputData!$C$7</f>
        <v>0.03</v>
      </c>
      <c r="N1324" s="160">
        <f>InputData!$C$8</f>
        <v>0.02</v>
      </c>
      <c r="O1324" s="160">
        <f>InputData!$C$9</f>
        <v>0.06</v>
      </c>
      <c r="P1324" s="160">
        <f>InputData!$C$10</f>
        <v>0.02</v>
      </c>
      <c r="Q1324" s="160">
        <f>InputData!$C$11</f>
        <v>0.02</v>
      </c>
      <c r="R1324" s="160">
        <f>InputData!$C$12</f>
        <v>0.02</v>
      </c>
      <c r="S1324" s="160">
        <f>InputData!$C$13</f>
        <v>0.9</v>
      </c>
      <c r="T1324" s="116">
        <f>InputData!$C$88</f>
        <v>180000</v>
      </c>
      <c r="U1324" s="116">
        <f>InputData!$C$81</f>
        <v>178500</v>
      </c>
      <c r="V1324" s="116">
        <f>InputData!$C$82</f>
        <v>303960</v>
      </c>
      <c r="W1324" s="116">
        <f>InputData!$C$84</f>
        <v>215220</v>
      </c>
      <c r="X1324" s="116">
        <f>InputData!$C$85</f>
        <v>409020</v>
      </c>
      <c r="Y1324" s="116">
        <f>InputData!$C$116</f>
        <v>140000</v>
      </c>
      <c r="Z1324" s="160">
        <f>InputData!$E$13</f>
        <v>0</v>
      </c>
    </row>
    <row r="1325" spans="1:26" x14ac:dyDescent="0.25">
      <c r="A1325">
        <f>InputData!$K$1</f>
        <v>2013</v>
      </c>
      <c r="B1325" t="str">
        <f>InputData!$G$1</f>
        <v>San Antonio, TX</v>
      </c>
      <c r="C1325" t="s">
        <v>227</v>
      </c>
      <c r="D1325" t="str">
        <f>Graph_Ophtha!$F$6</f>
        <v>EXT</v>
      </c>
      <c r="E1325" t="str">
        <f t="shared" si="20"/>
        <v>Ophthalmology EXT</v>
      </c>
      <c r="F1325">
        <f>Graph_Ophtha!$A10</f>
        <v>2016</v>
      </c>
      <c r="G1325">
        <f>Graph_Ophtha!$B10</f>
        <v>4</v>
      </c>
      <c r="H1325" s="165">
        <f>Graph_Ophtha!$F10</f>
        <v>-190867.38028908212</v>
      </c>
      <c r="I1325" s="160">
        <f>InputData!$C$3</f>
        <v>0.02</v>
      </c>
      <c r="J1325" s="160">
        <f>InputData!$C$4</f>
        <v>0.01</v>
      </c>
      <c r="K1325" s="160">
        <f>InputData!$C$5</f>
        <v>0.01</v>
      </c>
      <c r="L1325" s="160">
        <f>InputData!$C$6</f>
        <v>6.2100000000000002E-2</v>
      </c>
      <c r="M1325" s="160">
        <f>InputData!$C$7</f>
        <v>0.03</v>
      </c>
      <c r="N1325" s="160">
        <f>InputData!$C$8</f>
        <v>0.02</v>
      </c>
      <c r="O1325" s="160">
        <f>InputData!$C$9</f>
        <v>0.06</v>
      </c>
      <c r="P1325" s="160">
        <f>InputData!$C$10</f>
        <v>0.02</v>
      </c>
      <c r="Q1325" s="160">
        <f>InputData!$C$11</f>
        <v>0.02</v>
      </c>
      <c r="R1325" s="160">
        <f>InputData!$C$12</f>
        <v>0.02</v>
      </c>
      <c r="S1325" s="160">
        <f>InputData!$C$13</f>
        <v>0.9</v>
      </c>
      <c r="T1325" s="116">
        <f>InputData!$C$88</f>
        <v>180000</v>
      </c>
      <c r="U1325" s="116">
        <f>InputData!$C$81</f>
        <v>178500</v>
      </c>
      <c r="V1325" s="116">
        <f>InputData!$C$82</f>
        <v>303960</v>
      </c>
      <c r="W1325" s="116">
        <f>InputData!$C$84</f>
        <v>215220</v>
      </c>
      <c r="X1325" s="116">
        <f>InputData!$C$85</f>
        <v>409020</v>
      </c>
      <c r="Y1325" s="116">
        <f>InputData!$C$116</f>
        <v>140000</v>
      </c>
      <c r="Z1325" s="160">
        <f>InputData!$E$13</f>
        <v>0</v>
      </c>
    </row>
    <row r="1326" spans="1:26" x14ac:dyDescent="0.25">
      <c r="A1326">
        <f>InputData!$K$1</f>
        <v>2013</v>
      </c>
      <c r="B1326" t="str">
        <f>InputData!$G$1</f>
        <v>San Antonio, TX</v>
      </c>
      <c r="C1326" t="s">
        <v>227</v>
      </c>
      <c r="D1326" t="str">
        <f>Graph_Ophtha!$F$6</f>
        <v>EXT</v>
      </c>
      <c r="E1326" t="str">
        <f t="shared" si="20"/>
        <v>Ophthalmology EXT</v>
      </c>
      <c r="F1326">
        <f>Graph_Ophtha!$A11</f>
        <v>2017</v>
      </c>
      <c r="G1326">
        <f>Graph_Ophtha!$B11</f>
        <v>5</v>
      </c>
      <c r="H1326" s="165">
        <f>Graph_Ophtha!$F11</f>
        <v>-154981.05168717628</v>
      </c>
      <c r="I1326" s="160">
        <f>InputData!$C$3</f>
        <v>0.02</v>
      </c>
      <c r="J1326" s="160">
        <f>InputData!$C$4</f>
        <v>0.01</v>
      </c>
      <c r="K1326" s="160">
        <f>InputData!$C$5</f>
        <v>0.01</v>
      </c>
      <c r="L1326" s="160">
        <f>InputData!$C$6</f>
        <v>6.2100000000000002E-2</v>
      </c>
      <c r="M1326" s="160">
        <f>InputData!$C$7</f>
        <v>0.03</v>
      </c>
      <c r="N1326" s="160">
        <f>InputData!$C$8</f>
        <v>0.02</v>
      </c>
      <c r="O1326" s="160">
        <f>InputData!$C$9</f>
        <v>0.06</v>
      </c>
      <c r="P1326" s="160">
        <f>InputData!$C$10</f>
        <v>0.02</v>
      </c>
      <c r="Q1326" s="160">
        <f>InputData!$C$11</f>
        <v>0.02</v>
      </c>
      <c r="R1326" s="160">
        <f>InputData!$C$12</f>
        <v>0.02</v>
      </c>
      <c r="S1326" s="160">
        <f>InputData!$C$13</f>
        <v>0.9</v>
      </c>
      <c r="T1326" s="116">
        <f>InputData!$C$88</f>
        <v>180000</v>
      </c>
      <c r="U1326" s="116">
        <f>InputData!$C$81</f>
        <v>178500</v>
      </c>
      <c r="V1326" s="116">
        <f>InputData!$C$82</f>
        <v>303960</v>
      </c>
      <c r="W1326" s="116">
        <f>InputData!$C$84</f>
        <v>215220</v>
      </c>
      <c r="X1326" s="116">
        <f>InputData!$C$85</f>
        <v>409020</v>
      </c>
      <c r="Y1326" s="116">
        <f>InputData!$C$116</f>
        <v>140000</v>
      </c>
      <c r="Z1326" s="160">
        <f>InputData!$E$13</f>
        <v>0</v>
      </c>
    </row>
    <row r="1327" spans="1:26" x14ac:dyDescent="0.25">
      <c r="A1327">
        <f>InputData!$K$1</f>
        <v>2013</v>
      </c>
      <c r="B1327" t="str">
        <f>InputData!$G$1</f>
        <v>San Antonio, TX</v>
      </c>
      <c r="C1327" t="s">
        <v>227</v>
      </c>
      <c r="D1327" t="str">
        <f>Graph_Ophtha!$F$6</f>
        <v>EXT</v>
      </c>
      <c r="E1327" t="str">
        <f t="shared" si="20"/>
        <v>Ophthalmology EXT</v>
      </c>
      <c r="F1327">
        <f>Graph_Ophtha!$A12</f>
        <v>2018</v>
      </c>
      <c r="G1327">
        <f>Graph_Ophtha!$B12</f>
        <v>6</v>
      </c>
      <c r="H1327" s="165">
        <f>Graph_Ophtha!$F12</f>
        <v>-118995.92937851879</v>
      </c>
      <c r="I1327" s="160">
        <f>InputData!$C$3</f>
        <v>0.02</v>
      </c>
      <c r="J1327" s="160">
        <f>InputData!$C$4</f>
        <v>0.01</v>
      </c>
      <c r="K1327" s="160">
        <f>InputData!$C$5</f>
        <v>0.01</v>
      </c>
      <c r="L1327" s="160">
        <f>InputData!$C$6</f>
        <v>6.2100000000000002E-2</v>
      </c>
      <c r="M1327" s="160">
        <f>InputData!$C$7</f>
        <v>0.03</v>
      </c>
      <c r="N1327" s="160">
        <f>InputData!$C$8</f>
        <v>0.02</v>
      </c>
      <c r="O1327" s="160">
        <f>InputData!$C$9</f>
        <v>0.06</v>
      </c>
      <c r="P1327" s="160">
        <f>InputData!$C$10</f>
        <v>0.02</v>
      </c>
      <c r="Q1327" s="160">
        <f>InputData!$C$11</f>
        <v>0.02</v>
      </c>
      <c r="R1327" s="160">
        <f>InputData!$C$12</f>
        <v>0.02</v>
      </c>
      <c r="S1327" s="160">
        <f>InputData!$C$13</f>
        <v>0.9</v>
      </c>
      <c r="T1327" s="116">
        <f>InputData!$C$88</f>
        <v>180000</v>
      </c>
      <c r="U1327" s="116">
        <f>InputData!$C$81</f>
        <v>178500</v>
      </c>
      <c r="V1327" s="116">
        <f>InputData!$C$82</f>
        <v>303960</v>
      </c>
      <c r="W1327" s="116">
        <f>InputData!$C$84</f>
        <v>215220</v>
      </c>
      <c r="X1327" s="116">
        <f>InputData!$C$85</f>
        <v>409020</v>
      </c>
      <c r="Y1327" s="116">
        <f>InputData!$C$116</f>
        <v>140000</v>
      </c>
      <c r="Z1327" s="160">
        <f>InputData!$E$13</f>
        <v>0</v>
      </c>
    </row>
    <row r="1328" spans="1:26" x14ac:dyDescent="0.25">
      <c r="A1328">
        <f>InputData!$K$1</f>
        <v>2013</v>
      </c>
      <c r="B1328" t="str">
        <f>InputData!$G$1</f>
        <v>San Antonio, TX</v>
      </c>
      <c r="C1328" t="s">
        <v>227</v>
      </c>
      <c r="D1328" t="str">
        <f>Graph_Ophtha!$F$6</f>
        <v>EXT</v>
      </c>
      <c r="E1328" t="str">
        <f t="shared" si="20"/>
        <v>Ophthalmology EXT</v>
      </c>
      <c r="F1328">
        <f>Graph_Ophtha!$A13</f>
        <v>2019</v>
      </c>
      <c r="G1328">
        <f>Graph_Ophtha!$B13</f>
        <v>7</v>
      </c>
      <c r="H1328" s="165">
        <f>Graph_Ophtha!$F13</f>
        <v>-82904.654937055282</v>
      </c>
      <c r="I1328" s="160">
        <f>InputData!$C$3</f>
        <v>0.02</v>
      </c>
      <c r="J1328" s="160">
        <f>InputData!$C$4</f>
        <v>0.01</v>
      </c>
      <c r="K1328" s="160">
        <f>InputData!$C$5</f>
        <v>0.01</v>
      </c>
      <c r="L1328" s="160">
        <f>InputData!$C$6</f>
        <v>6.2100000000000002E-2</v>
      </c>
      <c r="M1328" s="160">
        <f>InputData!$C$7</f>
        <v>0.03</v>
      </c>
      <c r="N1328" s="160">
        <f>InputData!$C$8</f>
        <v>0.02</v>
      </c>
      <c r="O1328" s="160">
        <f>InputData!$C$9</f>
        <v>0.06</v>
      </c>
      <c r="P1328" s="160">
        <f>InputData!$C$10</f>
        <v>0.02</v>
      </c>
      <c r="Q1328" s="160">
        <f>InputData!$C$11</f>
        <v>0.02</v>
      </c>
      <c r="R1328" s="160">
        <f>InputData!$C$12</f>
        <v>0.02</v>
      </c>
      <c r="S1328" s="160">
        <f>InputData!$C$13</f>
        <v>0.9</v>
      </c>
      <c r="T1328" s="116">
        <f>InputData!$C$88</f>
        <v>180000</v>
      </c>
      <c r="U1328" s="116">
        <f>InputData!$C$81</f>
        <v>178500</v>
      </c>
      <c r="V1328" s="116">
        <f>InputData!$C$82</f>
        <v>303960</v>
      </c>
      <c r="W1328" s="116">
        <f>InputData!$C$84</f>
        <v>215220</v>
      </c>
      <c r="X1328" s="116">
        <f>InputData!$C$85</f>
        <v>409020</v>
      </c>
      <c r="Y1328" s="116">
        <f>InputData!$C$116</f>
        <v>140000</v>
      </c>
      <c r="Z1328" s="160">
        <f>InputData!$E$13</f>
        <v>0</v>
      </c>
    </row>
    <row r="1329" spans="1:26" x14ac:dyDescent="0.25">
      <c r="A1329">
        <f>InputData!$K$1</f>
        <v>2013</v>
      </c>
      <c r="B1329" t="str">
        <f>InputData!$G$1</f>
        <v>San Antonio, TX</v>
      </c>
      <c r="C1329" t="s">
        <v>227</v>
      </c>
      <c r="D1329" t="str">
        <f>Graph_Ophtha!$F$6</f>
        <v>EXT</v>
      </c>
      <c r="E1329" t="str">
        <f t="shared" si="20"/>
        <v>Ophthalmology EXT</v>
      </c>
      <c r="F1329">
        <f>Graph_Ophtha!$A14</f>
        <v>2020</v>
      </c>
      <c r="G1329">
        <f>Graph_Ophtha!$B14</f>
        <v>8</v>
      </c>
      <c r="H1329" s="165">
        <f>Graph_Ophtha!$F14</f>
        <v>-46699.992676364229</v>
      </c>
      <c r="I1329" s="160">
        <f>InputData!$C$3</f>
        <v>0.02</v>
      </c>
      <c r="J1329" s="160">
        <f>InputData!$C$4</f>
        <v>0.01</v>
      </c>
      <c r="K1329" s="160">
        <f>InputData!$C$5</f>
        <v>0.01</v>
      </c>
      <c r="L1329" s="160">
        <f>InputData!$C$6</f>
        <v>6.2100000000000002E-2</v>
      </c>
      <c r="M1329" s="160">
        <f>InputData!$C$7</f>
        <v>0.03</v>
      </c>
      <c r="N1329" s="160">
        <f>InputData!$C$8</f>
        <v>0.02</v>
      </c>
      <c r="O1329" s="160">
        <f>InputData!$C$9</f>
        <v>0.06</v>
      </c>
      <c r="P1329" s="160">
        <f>InputData!$C$10</f>
        <v>0.02</v>
      </c>
      <c r="Q1329" s="160">
        <f>InputData!$C$11</f>
        <v>0.02</v>
      </c>
      <c r="R1329" s="160">
        <f>InputData!$C$12</f>
        <v>0.02</v>
      </c>
      <c r="S1329" s="160">
        <f>InputData!$C$13</f>
        <v>0.9</v>
      </c>
      <c r="T1329" s="116">
        <f>InputData!$C$88</f>
        <v>180000</v>
      </c>
      <c r="U1329" s="116">
        <f>InputData!$C$81</f>
        <v>178500</v>
      </c>
      <c r="V1329" s="116">
        <f>InputData!$C$82</f>
        <v>303960</v>
      </c>
      <c r="W1329" s="116">
        <f>InputData!$C$84</f>
        <v>215220</v>
      </c>
      <c r="X1329" s="116">
        <f>InputData!$C$85</f>
        <v>409020</v>
      </c>
      <c r="Y1329" s="116">
        <f>InputData!$C$116</f>
        <v>140000</v>
      </c>
      <c r="Z1329" s="160">
        <f>InputData!$E$13</f>
        <v>0</v>
      </c>
    </row>
    <row r="1330" spans="1:26" x14ac:dyDescent="0.25">
      <c r="A1330">
        <f>InputData!$K$1</f>
        <v>2013</v>
      </c>
      <c r="B1330" t="str">
        <f>InputData!$G$1</f>
        <v>San Antonio, TX</v>
      </c>
      <c r="C1330" t="s">
        <v>227</v>
      </c>
      <c r="D1330" t="str">
        <f>Graph_Ophtha!$F$6</f>
        <v>EXT</v>
      </c>
      <c r="E1330" t="str">
        <f t="shared" si="20"/>
        <v>Ophthalmology EXT</v>
      </c>
      <c r="F1330">
        <f>Graph_Ophtha!$A15</f>
        <v>2021</v>
      </c>
      <c r="G1330">
        <f>Graph_Ophtha!$B15</f>
        <v>9</v>
      </c>
      <c r="H1330" s="165">
        <f>Graph_Ophtha!$F15</f>
        <v>59316.834754328898</v>
      </c>
      <c r="I1330" s="160">
        <f>InputData!$C$3</f>
        <v>0.02</v>
      </c>
      <c r="J1330" s="160">
        <f>InputData!$C$4</f>
        <v>0.01</v>
      </c>
      <c r="K1330" s="160">
        <f>InputData!$C$5</f>
        <v>0.01</v>
      </c>
      <c r="L1330" s="160">
        <f>InputData!$C$6</f>
        <v>6.2100000000000002E-2</v>
      </c>
      <c r="M1330" s="160">
        <f>InputData!$C$7</f>
        <v>0.03</v>
      </c>
      <c r="N1330" s="160">
        <f>InputData!$C$8</f>
        <v>0.02</v>
      </c>
      <c r="O1330" s="160">
        <f>InputData!$C$9</f>
        <v>0.06</v>
      </c>
      <c r="P1330" s="160">
        <f>InputData!$C$10</f>
        <v>0.02</v>
      </c>
      <c r="Q1330" s="160">
        <f>InputData!$C$11</f>
        <v>0.02</v>
      </c>
      <c r="R1330" s="160">
        <f>InputData!$C$12</f>
        <v>0.02</v>
      </c>
      <c r="S1330" s="160">
        <f>InputData!$C$13</f>
        <v>0.9</v>
      </c>
      <c r="T1330" s="116">
        <f>InputData!$C$88</f>
        <v>180000</v>
      </c>
      <c r="U1330" s="116">
        <f>InputData!$C$81</f>
        <v>178500</v>
      </c>
      <c r="V1330" s="116">
        <f>InputData!$C$82</f>
        <v>303960</v>
      </c>
      <c r="W1330" s="116">
        <f>InputData!$C$84</f>
        <v>215220</v>
      </c>
      <c r="X1330" s="116">
        <f>InputData!$C$85</f>
        <v>409020</v>
      </c>
      <c r="Y1330" s="116">
        <f>InputData!$C$116</f>
        <v>140000</v>
      </c>
      <c r="Z1330" s="160">
        <f>InputData!$E$13</f>
        <v>0</v>
      </c>
    </row>
    <row r="1331" spans="1:26" x14ac:dyDescent="0.25">
      <c r="A1331">
        <f>InputData!$K$1</f>
        <v>2013</v>
      </c>
      <c r="B1331" t="str">
        <f>InputData!$G$1</f>
        <v>San Antonio, TX</v>
      </c>
      <c r="C1331" t="s">
        <v>227</v>
      </c>
      <c r="D1331" t="str">
        <f>Graph_Ophtha!$F$6</f>
        <v>EXT</v>
      </c>
      <c r="E1331" t="str">
        <f t="shared" si="20"/>
        <v>Ophthalmology EXT</v>
      </c>
      <c r="F1331">
        <f>Graph_Ophtha!$A16</f>
        <v>2022</v>
      </c>
      <c r="G1331">
        <f>Graph_Ophtha!$B16</f>
        <v>10</v>
      </c>
      <c r="H1331" s="165">
        <f>Graph_Ophtha!$F16</f>
        <v>157302.89218297176</v>
      </c>
      <c r="I1331" s="160">
        <f>InputData!$C$3</f>
        <v>0.02</v>
      </c>
      <c r="J1331" s="160">
        <f>InputData!$C$4</f>
        <v>0.01</v>
      </c>
      <c r="K1331" s="160">
        <f>InputData!$C$5</f>
        <v>0.01</v>
      </c>
      <c r="L1331" s="160">
        <f>InputData!$C$6</f>
        <v>6.2100000000000002E-2</v>
      </c>
      <c r="M1331" s="160">
        <f>InputData!$C$7</f>
        <v>0.03</v>
      </c>
      <c r="N1331" s="160">
        <f>InputData!$C$8</f>
        <v>0.02</v>
      </c>
      <c r="O1331" s="160">
        <f>InputData!$C$9</f>
        <v>0.06</v>
      </c>
      <c r="P1331" s="160">
        <f>InputData!$C$10</f>
        <v>0.02</v>
      </c>
      <c r="Q1331" s="160">
        <f>InputData!$C$11</f>
        <v>0.02</v>
      </c>
      <c r="R1331" s="160">
        <f>InputData!$C$12</f>
        <v>0.02</v>
      </c>
      <c r="S1331" s="160">
        <f>InputData!$C$13</f>
        <v>0.9</v>
      </c>
      <c r="T1331" s="116">
        <f>InputData!$C$88</f>
        <v>180000</v>
      </c>
      <c r="U1331" s="116">
        <f>InputData!$C$81</f>
        <v>178500</v>
      </c>
      <c r="V1331" s="116">
        <f>InputData!$C$82</f>
        <v>303960</v>
      </c>
      <c r="W1331" s="116">
        <f>InputData!$C$84</f>
        <v>215220</v>
      </c>
      <c r="X1331" s="116">
        <f>InputData!$C$85</f>
        <v>409020</v>
      </c>
      <c r="Y1331" s="116">
        <f>InputData!$C$116</f>
        <v>140000</v>
      </c>
      <c r="Z1331" s="160">
        <f>InputData!$E$13</f>
        <v>0</v>
      </c>
    </row>
    <row r="1332" spans="1:26" x14ac:dyDescent="0.25">
      <c r="A1332">
        <f>InputData!$K$1</f>
        <v>2013</v>
      </c>
      <c r="B1332" t="str">
        <f>InputData!$G$1</f>
        <v>San Antonio, TX</v>
      </c>
      <c r="C1332" t="s">
        <v>227</v>
      </c>
      <c r="D1332" t="str">
        <f>Graph_Ophtha!$F$6</f>
        <v>EXT</v>
      </c>
      <c r="E1332" t="str">
        <f t="shared" si="20"/>
        <v>Ophthalmology EXT</v>
      </c>
      <c r="F1332">
        <f>Graph_Ophtha!$A17</f>
        <v>2023</v>
      </c>
      <c r="G1332">
        <f>Graph_Ophtha!$B17</f>
        <v>11</v>
      </c>
      <c r="H1332" s="165">
        <f>Graph_Ophtha!$F17</f>
        <v>253666.48158056545</v>
      </c>
      <c r="I1332" s="160">
        <f>InputData!$C$3</f>
        <v>0.02</v>
      </c>
      <c r="J1332" s="160">
        <f>InputData!$C$4</f>
        <v>0.01</v>
      </c>
      <c r="K1332" s="160">
        <f>InputData!$C$5</f>
        <v>0.01</v>
      </c>
      <c r="L1332" s="160">
        <f>InputData!$C$6</f>
        <v>6.2100000000000002E-2</v>
      </c>
      <c r="M1332" s="160">
        <f>InputData!$C$7</f>
        <v>0.03</v>
      </c>
      <c r="N1332" s="160">
        <f>InputData!$C$8</f>
        <v>0.02</v>
      </c>
      <c r="O1332" s="160">
        <f>InputData!$C$9</f>
        <v>0.06</v>
      </c>
      <c r="P1332" s="160">
        <f>InputData!$C$10</f>
        <v>0.02</v>
      </c>
      <c r="Q1332" s="160">
        <f>InputData!$C$11</f>
        <v>0.02</v>
      </c>
      <c r="R1332" s="160">
        <f>InputData!$C$12</f>
        <v>0.02</v>
      </c>
      <c r="S1332" s="160">
        <f>InputData!$C$13</f>
        <v>0.9</v>
      </c>
      <c r="T1332" s="116">
        <f>InputData!$C$88</f>
        <v>180000</v>
      </c>
      <c r="U1332" s="116">
        <f>InputData!$C$81</f>
        <v>178500</v>
      </c>
      <c r="V1332" s="116">
        <f>InputData!$C$82</f>
        <v>303960</v>
      </c>
      <c r="W1332" s="116">
        <f>InputData!$C$84</f>
        <v>215220</v>
      </c>
      <c r="X1332" s="116">
        <f>InputData!$C$85</f>
        <v>409020</v>
      </c>
      <c r="Y1332" s="116">
        <f>InputData!$C$116</f>
        <v>140000</v>
      </c>
      <c r="Z1332" s="160">
        <f>InputData!$E$13</f>
        <v>0</v>
      </c>
    </row>
    <row r="1333" spans="1:26" x14ac:dyDescent="0.25">
      <c r="A1333">
        <f>InputData!$K$1</f>
        <v>2013</v>
      </c>
      <c r="B1333" t="str">
        <f>InputData!$G$1</f>
        <v>San Antonio, TX</v>
      </c>
      <c r="C1333" t="s">
        <v>227</v>
      </c>
      <c r="D1333" t="str">
        <f>Graph_Ophtha!$F$6</f>
        <v>EXT</v>
      </c>
      <c r="E1333" t="str">
        <f t="shared" si="20"/>
        <v>Ophthalmology EXT</v>
      </c>
      <c r="F1333">
        <f>Graph_Ophtha!$A18</f>
        <v>2024</v>
      </c>
      <c r="G1333">
        <f>Graph_Ophtha!$B18</f>
        <v>12</v>
      </c>
      <c r="H1333" s="165">
        <f>Graph_Ophtha!$F18</f>
        <v>348423.51924574788</v>
      </c>
      <c r="I1333" s="160">
        <f>InputData!$C$3</f>
        <v>0.02</v>
      </c>
      <c r="J1333" s="160">
        <f>InputData!$C$4</f>
        <v>0.01</v>
      </c>
      <c r="K1333" s="160">
        <f>InputData!$C$5</f>
        <v>0.01</v>
      </c>
      <c r="L1333" s="160">
        <f>InputData!$C$6</f>
        <v>6.2100000000000002E-2</v>
      </c>
      <c r="M1333" s="160">
        <f>InputData!$C$7</f>
        <v>0.03</v>
      </c>
      <c r="N1333" s="160">
        <f>InputData!$C$8</f>
        <v>0.02</v>
      </c>
      <c r="O1333" s="160">
        <f>InputData!$C$9</f>
        <v>0.06</v>
      </c>
      <c r="P1333" s="160">
        <f>InputData!$C$10</f>
        <v>0.02</v>
      </c>
      <c r="Q1333" s="160">
        <f>InputData!$C$11</f>
        <v>0.02</v>
      </c>
      <c r="R1333" s="160">
        <f>InputData!$C$12</f>
        <v>0.02</v>
      </c>
      <c r="S1333" s="160">
        <f>InputData!$C$13</f>
        <v>0.9</v>
      </c>
      <c r="T1333" s="116">
        <f>InputData!$C$88</f>
        <v>180000</v>
      </c>
      <c r="U1333" s="116">
        <f>InputData!$C$81</f>
        <v>178500</v>
      </c>
      <c r="V1333" s="116">
        <f>InputData!$C$82</f>
        <v>303960</v>
      </c>
      <c r="W1333" s="116">
        <f>InputData!$C$84</f>
        <v>215220</v>
      </c>
      <c r="X1333" s="116">
        <f>InputData!$C$85</f>
        <v>409020</v>
      </c>
      <c r="Y1333" s="116">
        <f>InputData!$C$116</f>
        <v>140000</v>
      </c>
      <c r="Z1333" s="160">
        <f>InputData!$E$13</f>
        <v>0</v>
      </c>
    </row>
    <row r="1334" spans="1:26" x14ac:dyDescent="0.25">
      <c r="A1334">
        <f>InputData!$K$1</f>
        <v>2013</v>
      </c>
      <c r="B1334" t="str">
        <f>InputData!$G$1</f>
        <v>San Antonio, TX</v>
      </c>
      <c r="C1334" t="s">
        <v>227</v>
      </c>
      <c r="D1334" t="str">
        <f>Graph_Ophtha!$F$6</f>
        <v>EXT</v>
      </c>
      <c r="E1334" t="str">
        <f t="shared" si="20"/>
        <v>Ophthalmology EXT</v>
      </c>
      <c r="F1334">
        <f>Graph_Ophtha!$A19</f>
        <v>2025</v>
      </c>
      <c r="G1334">
        <f>Graph_Ophtha!$B19</f>
        <v>13</v>
      </c>
      <c r="H1334" s="165">
        <f>Graph_Ophtha!$F19</f>
        <v>441590.41884715937</v>
      </c>
      <c r="I1334" s="160">
        <f>InputData!$C$3</f>
        <v>0.02</v>
      </c>
      <c r="J1334" s="160">
        <f>InputData!$C$4</f>
        <v>0.01</v>
      </c>
      <c r="K1334" s="160">
        <f>InputData!$C$5</f>
        <v>0.01</v>
      </c>
      <c r="L1334" s="160">
        <f>InputData!$C$6</f>
        <v>6.2100000000000002E-2</v>
      </c>
      <c r="M1334" s="160">
        <f>InputData!$C$7</f>
        <v>0.03</v>
      </c>
      <c r="N1334" s="160">
        <f>InputData!$C$8</f>
        <v>0.02</v>
      </c>
      <c r="O1334" s="160">
        <f>InputData!$C$9</f>
        <v>0.06</v>
      </c>
      <c r="P1334" s="160">
        <f>InputData!$C$10</f>
        <v>0.02</v>
      </c>
      <c r="Q1334" s="160">
        <f>InputData!$C$11</f>
        <v>0.02</v>
      </c>
      <c r="R1334" s="160">
        <f>InputData!$C$12</f>
        <v>0.02</v>
      </c>
      <c r="S1334" s="160">
        <f>InputData!$C$13</f>
        <v>0.9</v>
      </c>
      <c r="T1334" s="116">
        <f>InputData!$C$88</f>
        <v>180000</v>
      </c>
      <c r="U1334" s="116">
        <f>InputData!$C$81</f>
        <v>178500</v>
      </c>
      <c r="V1334" s="116">
        <f>InputData!$C$82</f>
        <v>303960</v>
      </c>
      <c r="W1334" s="116">
        <f>InputData!$C$84</f>
        <v>215220</v>
      </c>
      <c r="X1334" s="116">
        <f>InputData!$C$85</f>
        <v>409020</v>
      </c>
      <c r="Y1334" s="116">
        <f>InputData!$C$116</f>
        <v>140000</v>
      </c>
      <c r="Z1334" s="160">
        <f>InputData!$E$13</f>
        <v>0</v>
      </c>
    </row>
    <row r="1335" spans="1:26" x14ac:dyDescent="0.25">
      <c r="A1335">
        <f>InputData!$K$1</f>
        <v>2013</v>
      </c>
      <c r="B1335" t="str">
        <f>InputData!$G$1</f>
        <v>San Antonio, TX</v>
      </c>
      <c r="C1335" t="s">
        <v>227</v>
      </c>
      <c r="D1335" t="str">
        <f>Graph_Ophtha!$F$6</f>
        <v>EXT</v>
      </c>
      <c r="E1335" t="str">
        <f t="shared" si="20"/>
        <v>Ophthalmology EXT</v>
      </c>
      <c r="F1335">
        <f>Graph_Ophtha!$A20</f>
        <v>2026</v>
      </c>
      <c r="G1335">
        <f>Graph_Ophtha!$B20</f>
        <v>14</v>
      </c>
      <c r="H1335" s="165">
        <f>Graph_Ophtha!$F20</f>
        <v>533184.04140914371</v>
      </c>
      <c r="I1335" s="160">
        <f>InputData!$C$3</f>
        <v>0.02</v>
      </c>
      <c r="J1335" s="160">
        <f>InputData!$C$4</f>
        <v>0.01</v>
      </c>
      <c r="K1335" s="160">
        <f>InputData!$C$5</f>
        <v>0.01</v>
      </c>
      <c r="L1335" s="160">
        <f>InputData!$C$6</f>
        <v>6.2100000000000002E-2</v>
      </c>
      <c r="M1335" s="160">
        <f>InputData!$C$7</f>
        <v>0.03</v>
      </c>
      <c r="N1335" s="160">
        <f>InputData!$C$8</f>
        <v>0.02</v>
      </c>
      <c r="O1335" s="160">
        <f>InputData!$C$9</f>
        <v>0.06</v>
      </c>
      <c r="P1335" s="160">
        <f>InputData!$C$10</f>
        <v>0.02</v>
      </c>
      <c r="Q1335" s="160">
        <f>InputData!$C$11</f>
        <v>0.02</v>
      </c>
      <c r="R1335" s="160">
        <f>InputData!$C$12</f>
        <v>0.02</v>
      </c>
      <c r="S1335" s="160">
        <f>InputData!$C$13</f>
        <v>0.9</v>
      </c>
      <c r="T1335" s="116">
        <f>InputData!$C$88</f>
        <v>180000</v>
      </c>
      <c r="U1335" s="116">
        <f>InputData!$C$81</f>
        <v>178500</v>
      </c>
      <c r="V1335" s="116">
        <f>InputData!$C$82</f>
        <v>303960</v>
      </c>
      <c r="W1335" s="116">
        <f>InputData!$C$84</f>
        <v>215220</v>
      </c>
      <c r="X1335" s="116">
        <f>InputData!$C$85</f>
        <v>409020</v>
      </c>
      <c r="Y1335" s="116">
        <f>InputData!$C$116</f>
        <v>140000</v>
      </c>
      <c r="Z1335" s="160">
        <f>InputData!$E$13</f>
        <v>0</v>
      </c>
    </row>
    <row r="1336" spans="1:26" x14ac:dyDescent="0.25">
      <c r="A1336">
        <f>InputData!$K$1</f>
        <v>2013</v>
      </c>
      <c r="B1336" t="str">
        <f>InputData!$G$1</f>
        <v>San Antonio, TX</v>
      </c>
      <c r="C1336" t="s">
        <v>227</v>
      </c>
      <c r="D1336" t="str">
        <f>Graph_Ophtha!$F$6</f>
        <v>EXT</v>
      </c>
      <c r="E1336" t="str">
        <f t="shared" si="20"/>
        <v>Ophthalmology EXT</v>
      </c>
      <c r="F1336">
        <f>Graph_Ophtha!$A21</f>
        <v>2027</v>
      </c>
      <c r="G1336">
        <f>Graph_Ophtha!$B21</f>
        <v>15</v>
      </c>
      <c r="H1336" s="165">
        <f>Graph_Ophtha!$F21</f>
        <v>623221.64825442783</v>
      </c>
      <c r="I1336" s="160">
        <f>InputData!$C$3</f>
        <v>0.02</v>
      </c>
      <c r="J1336" s="160">
        <f>InputData!$C$4</f>
        <v>0.01</v>
      </c>
      <c r="K1336" s="160">
        <f>InputData!$C$5</f>
        <v>0.01</v>
      </c>
      <c r="L1336" s="160">
        <f>InputData!$C$6</f>
        <v>6.2100000000000002E-2</v>
      </c>
      <c r="M1336" s="160">
        <f>InputData!$C$7</f>
        <v>0.03</v>
      </c>
      <c r="N1336" s="160">
        <f>InputData!$C$8</f>
        <v>0.02</v>
      </c>
      <c r="O1336" s="160">
        <f>InputData!$C$9</f>
        <v>0.06</v>
      </c>
      <c r="P1336" s="160">
        <f>InputData!$C$10</f>
        <v>0.02</v>
      </c>
      <c r="Q1336" s="160">
        <f>InputData!$C$11</f>
        <v>0.02</v>
      </c>
      <c r="R1336" s="160">
        <f>InputData!$C$12</f>
        <v>0.02</v>
      </c>
      <c r="S1336" s="160">
        <f>InputData!$C$13</f>
        <v>0.9</v>
      </c>
      <c r="T1336" s="116">
        <f>InputData!$C$88</f>
        <v>180000</v>
      </c>
      <c r="U1336" s="116">
        <f>InputData!$C$81</f>
        <v>178500</v>
      </c>
      <c r="V1336" s="116">
        <f>InputData!$C$82</f>
        <v>303960</v>
      </c>
      <c r="W1336" s="116">
        <f>InputData!$C$84</f>
        <v>215220</v>
      </c>
      <c r="X1336" s="116">
        <f>InputData!$C$85</f>
        <v>409020</v>
      </c>
      <c r="Y1336" s="116">
        <f>InputData!$C$116</f>
        <v>140000</v>
      </c>
      <c r="Z1336" s="160">
        <f>InputData!$E$13</f>
        <v>0</v>
      </c>
    </row>
    <row r="1337" spans="1:26" x14ac:dyDescent="0.25">
      <c r="A1337">
        <f>InputData!$K$1</f>
        <v>2013</v>
      </c>
      <c r="B1337" t="str">
        <f>InputData!$G$1</f>
        <v>San Antonio, TX</v>
      </c>
      <c r="C1337" t="s">
        <v>227</v>
      </c>
      <c r="D1337" t="str">
        <f>Graph_Ophtha!$F$6</f>
        <v>EXT</v>
      </c>
      <c r="E1337" t="str">
        <f t="shared" si="20"/>
        <v>Ophthalmology EXT</v>
      </c>
      <c r="F1337">
        <f>Graph_Ophtha!$A22</f>
        <v>2028</v>
      </c>
      <c r="G1337">
        <f>Graph_Ophtha!$B22</f>
        <v>16</v>
      </c>
      <c r="H1337" s="165">
        <f>Graph_Ophtha!$F22</f>
        <v>711720.85674953286</v>
      </c>
      <c r="I1337" s="160">
        <f>InputData!$C$3</f>
        <v>0.02</v>
      </c>
      <c r="J1337" s="160">
        <f>InputData!$C$4</f>
        <v>0.01</v>
      </c>
      <c r="K1337" s="160">
        <f>InputData!$C$5</f>
        <v>0.01</v>
      </c>
      <c r="L1337" s="160">
        <f>InputData!$C$6</f>
        <v>6.2100000000000002E-2</v>
      </c>
      <c r="M1337" s="160">
        <f>InputData!$C$7</f>
        <v>0.03</v>
      </c>
      <c r="N1337" s="160">
        <f>InputData!$C$8</f>
        <v>0.02</v>
      </c>
      <c r="O1337" s="160">
        <f>InputData!$C$9</f>
        <v>0.06</v>
      </c>
      <c r="P1337" s="160">
        <f>InputData!$C$10</f>
        <v>0.02</v>
      </c>
      <c r="Q1337" s="160">
        <f>InputData!$C$11</f>
        <v>0.02</v>
      </c>
      <c r="R1337" s="160">
        <f>InputData!$C$12</f>
        <v>0.02</v>
      </c>
      <c r="S1337" s="160">
        <f>InputData!$C$13</f>
        <v>0.9</v>
      </c>
      <c r="T1337" s="116">
        <f>InputData!$C$88</f>
        <v>180000</v>
      </c>
      <c r="U1337" s="116">
        <f>InputData!$C$81</f>
        <v>178500</v>
      </c>
      <c r="V1337" s="116">
        <f>InputData!$C$82</f>
        <v>303960</v>
      </c>
      <c r="W1337" s="116">
        <f>InputData!$C$84</f>
        <v>215220</v>
      </c>
      <c r="X1337" s="116">
        <f>InputData!$C$85</f>
        <v>409020</v>
      </c>
      <c r="Y1337" s="116">
        <f>InputData!$C$116</f>
        <v>140000</v>
      </c>
      <c r="Z1337" s="160">
        <f>InputData!$E$13</f>
        <v>0</v>
      </c>
    </row>
    <row r="1338" spans="1:26" x14ac:dyDescent="0.25">
      <c r="A1338">
        <f>InputData!$K$1</f>
        <v>2013</v>
      </c>
      <c r="B1338" t="str">
        <f>InputData!$G$1</f>
        <v>San Antonio, TX</v>
      </c>
      <c r="C1338" t="s">
        <v>227</v>
      </c>
      <c r="D1338" t="str">
        <f>Graph_Ophtha!$F$6</f>
        <v>EXT</v>
      </c>
      <c r="E1338" t="str">
        <f t="shared" si="20"/>
        <v>Ophthalmology EXT</v>
      </c>
      <c r="F1338">
        <f>Graph_Ophtha!$A23</f>
        <v>2029</v>
      </c>
      <c r="G1338">
        <f>Graph_Ophtha!$B23</f>
        <v>17</v>
      </c>
      <c r="H1338" s="165">
        <f>Graph_Ophtha!$F23</f>
        <v>798699.59870636137</v>
      </c>
      <c r="I1338" s="160">
        <f>InputData!$C$3</f>
        <v>0.02</v>
      </c>
      <c r="J1338" s="160">
        <f>InputData!$C$4</f>
        <v>0.01</v>
      </c>
      <c r="K1338" s="160">
        <f>InputData!$C$5</f>
        <v>0.01</v>
      </c>
      <c r="L1338" s="160">
        <f>InputData!$C$6</f>
        <v>6.2100000000000002E-2</v>
      </c>
      <c r="M1338" s="160">
        <f>InputData!$C$7</f>
        <v>0.03</v>
      </c>
      <c r="N1338" s="160">
        <f>InputData!$C$8</f>
        <v>0.02</v>
      </c>
      <c r="O1338" s="160">
        <f>InputData!$C$9</f>
        <v>0.06</v>
      </c>
      <c r="P1338" s="160">
        <f>InputData!$C$10</f>
        <v>0.02</v>
      </c>
      <c r="Q1338" s="160">
        <f>InputData!$C$11</f>
        <v>0.02</v>
      </c>
      <c r="R1338" s="160">
        <f>InputData!$C$12</f>
        <v>0.02</v>
      </c>
      <c r="S1338" s="160">
        <f>InputData!$C$13</f>
        <v>0.9</v>
      </c>
      <c r="T1338" s="116">
        <f>InputData!$C$88</f>
        <v>180000</v>
      </c>
      <c r="U1338" s="116">
        <f>InputData!$C$81</f>
        <v>178500</v>
      </c>
      <c r="V1338" s="116">
        <f>InputData!$C$82</f>
        <v>303960</v>
      </c>
      <c r="W1338" s="116">
        <f>InputData!$C$84</f>
        <v>215220</v>
      </c>
      <c r="X1338" s="116">
        <f>InputData!$C$85</f>
        <v>409020</v>
      </c>
      <c r="Y1338" s="116">
        <f>InputData!$C$116</f>
        <v>140000</v>
      </c>
      <c r="Z1338" s="160">
        <f>InputData!$E$13</f>
        <v>0</v>
      </c>
    </row>
    <row r="1339" spans="1:26" x14ac:dyDescent="0.25">
      <c r="A1339">
        <f>InputData!$K$1</f>
        <v>2013</v>
      </c>
      <c r="B1339" t="str">
        <f>InputData!$G$1</f>
        <v>San Antonio, TX</v>
      </c>
      <c r="C1339" t="s">
        <v>227</v>
      </c>
      <c r="D1339" t="str">
        <f>Graph_Ophtha!$F$6</f>
        <v>EXT</v>
      </c>
      <c r="E1339" t="str">
        <f t="shared" si="20"/>
        <v>Ophthalmology EXT</v>
      </c>
      <c r="F1339">
        <f>Graph_Ophtha!$A24</f>
        <v>2030</v>
      </c>
      <c r="G1339">
        <f>Graph_Ophtha!$B24</f>
        <v>18</v>
      </c>
      <c r="H1339" s="165">
        <f>Graph_Ophtha!$F24</f>
        <v>884176.08130072244</v>
      </c>
      <c r="I1339" s="160">
        <f>InputData!$C$3</f>
        <v>0.02</v>
      </c>
      <c r="J1339" s="160">
        <f>InputData!$C$4</f>
        <v>0.01</v>
      </c>
      <c r="K1339" s="160">
        <f>InputData!$C$5</f>
        <v>0.01</v>
      </c>
      <c r="L1339" s="160">
        <f>InputData!$C$6</f>
        <v>6.2100000000000002E-2</v>
      </c>
      <c r="M1339" s="160">
        <f>InputData!$C$7</f>
        <v>0.03</v>
      </c>
      <c r="N1339" s="160">
        <f>InputData!$C$8</f>
        <v>0.02</v>
      </c>
      <c r="O1339" s="160">
        <f>InputData!$C$9</f>
        <v>0.06</v>
      </c>
      <c r="P1339" s="160">
        <f>InputData!$C$10</f>
        <v>0.02</v>
      </c>
      <c r="Q1339" s="160">
        <f>InputData!$C$11</f>
        <v>0.02</v>
      </c>
      <c r="R1339" s="160">
        <f>InputData!$C$12</f>
        <v>0.02</v>
      </c>
      <c r="S1339" s="160">
        <f>InputData!$C$13</f>
        <v>0.9</v>
      </c>
      <c r="T1339" s="116">
        <f>InputData!$C$88</f>
        <v>180000</v>
      </c>
      <c r="U1339" s="116">
        <f>InputData!$C$81</f>
        <v>178500</v>
      </c>
      <c r="V1339" s="116">
        <f>InputData!$C$82</f>
        <v>303960</v>
      </c>
      <c r="W1339" s="116">
        <f>InputData!$C$84</f>
        <v>215220</v>
      </c>
      <c r="X1339" s="116">
        <f>InputData!$C$85</f>
        <v>409020</v>
      </c>
      <c r="Y1339" s="116">
        <f>InputData!$C$116</f>
        <v>140000</v>
      </c>
      <c r="Z1339" s="160">
        <f>InputData!$E$13</f>
        <v>0</v>
      </c>
    </row>
    <row r="1340" spans="1:26" x14ac:dyDescent="0.25">
      <c r="A1340">
        <f>InputData!$K$1</f>
        <v>2013</v>
      </c>
      <c r="B1340" t="str">
        <f>InputData!$G$1</f>
        <v>San Antonio, TX</v>
      </c>
      <c r="C1340" t="s">
        <v>227</v>
      </c>
      <c r="D1340" t="str">
        <f>Graph_Ophtha!$F$6</f>
        <v>EXT</v>
      </c>
      <c r="E1340" t="str">
        <f t="shared" si="20"/>
        <v>Ophthalmology EXT</v>
      </c>
      <c r="F1340">
        <f>Graph_Ophtha!$A25</f>
        <v>2031</v>
      </c>
      <c r="G1340">
        <f>Graph_Ophtha!$B25</f>
        <v>19</v>
      </c>
      <c r="H1340" s="165">
        <f>Graph_Ophtha!$F25</f>
        <v>968168.75037551322</v>
      </c>
      <c r="I1340" s="160">
        <f>InputData!$C$3</f>
        <v>0.02</v>
      </c>
      <c r="J1340" s="160">
        <f>InputData!$C$4</f>
        <v>0.01</v>
      </c>
      <c r="K1340" s="160">
        <f>InputData!$C$5</f>
        <v>0.01</v>
      </c>
      <c r="L1340" s="160">
        <f>InputData!$C$6</f>
        <v>6.2100000000000002E-2</v>
      </c>
      <c r="M1340" s="160">
        <f>InputData!$C$7</f>
        <v>0.03</v>
      </c>
      <c r="N1340" s="160">
        <f>InputData!$C$8</f>
        <v>0.02</v>
      </c>
      <c r="O1340" s="160">
        <f>InputData!$C$9</f>
        <v>0.06</v>
      </c>
      <c r="P1340" s="160">
        <f>InputData!$C$10</f>
        <v>0.02</v>
      </c>
      <c r="Q1340" s="160">
        <f>InputData!$C$11</f>
        <v>0.02</v>
      </c>
      <c r="R1340" s="160">
        <f>InputData!$C$12</f>
        <v>0.02</v>
      </c>
      <c r="S1340" s="160">
        <f>InputData!$C$13</f>
        <v>0.9</v>
      </c>
      <c r="T1340" s="116">
        <f>InputData!$C$88</f>
        <v>180000</v>
      </c>
      <c r="U1340" s="116">
        <f>InputData!$C$81</f>
        <v>178500</v>
      </c>
      <c r="V1340" s="116">
        <f>InputData!$C$82</f>
        <v>303960</v>
      </c>
      <c r="W1340" s="116">
        <f>InputData!$C$84</f>
        <v>215220</v>
      </c>
      <c r="X1340" s="116">
        <f>InputData!$C$85</f>
        <v>409020</v>
      </c>
      <c r="Y1340" s="116">
        <f>InputData!$C$116</f>
        <v>140000</v>
      </c>
      <c r="Z1340" s="160">
        <f>InputData!$E$13</f>
        <v>0</v>
      </c>
    </row>
    <row r="1341" spans="1:26" x14ac:dyDescent="0.25">
      <c r="A1341">
        <f>InputData!$K$1</f>
        <v>2013</v>
      </c>
      <c r="B1341" t="str">
        <f>InputData!$G$1</f>
        <v>San Antonio, TX</v>
      </c>
      <c r="C1341" t="s">
        <v>227</v>
      </c>
      <c r="D1341" t="str">
        <f>Graph_Ophtha!$F$6</f>
        <v>EXT</v>
      </c>
      <c r="E1341" t="str">
        <f t="shared" si="20"/>
        <v>Ophthalmology EXT</v>
      </c>
      <c r="F1341">
        <f>Graph_Ophtha!$A26</f>
        <v>2032</v>
      </c>
      <c r="G1341">
        <f>Graph_Ophtha!$B26</f>
        <v>20</v>
      </c>
      <c r="H1341" s="165">
        <f>Graph_Ophtha!$F26</f>
        <v>1050696.2560028909</v>
      </c>
      <c r="I1341" s="160">
        <f>InputData!$C$3</f>
        <v>0.02</v>
      </c>
      <c r="J1341" s="160">
        <f>InputData!$C$4</f>
        <v>0.01</v>
      </c>
      <c r="K1341" s="160">
        <f>InputData!$C$5</f>
        <v>0.01</v>
      </c>
      <c r="L1341" s="160">
        <f>InputData!$C$6</f>
        <v>6.2100000000000002E-2</v>
      </c>
      <c r="M1341" s="160">
        <f>InputData!$C$7</f>
        <v>0.03</v>
      </c>
      <c r="N1341" s="160">
        <f>InputData!$C$8</f>
        <v>0.02</v>
      </c>
      <c r="O1341" s="160">
        <f>InputData!$C$9</f>
        <v>0.06</v>
      </c>
      <c r="P1341" s="160">
        <f>InputData!$C$10</f>
        <v>0.02</v>
      </c>
      <c r="Q1341" s="160">
        <f>InputData!$C$11</f>
        <v>0.02</v>
      </c>
      <c r="R1341" s="160">
        <f>InputData!$C$12</f>
        <v>0.02</v>
      </c>
      <c r="S1341" s="160">
        <f>InputData!$C$13</f>
        <v>0.9</v>
      </c>
      <c r="T1341" s="116">
        <f>InputData!$C$88</f>
        <v>180000</v>
      </c>
      <c r="U1341" s="116">
        <f>InputData!$C$81</f>
        <v>178500</v>
      </c>
      <c r="V1341" s="116">
        <f>InputData!$C$82</f>
        <v>303960</v>
      </c>
      <c r="W1341" s="116">
        <f>InputData!$C$84</f>
        <v>215220</v>
      </c>
      <c r="X1341" s="116">
        <f>InputData!$C$85</f>
        <v>409020</v>
      </c>
      <c r="Y1341" s="116">
        <f>InputData!$C$116</f>
        <v>140000</v>
      </c>
      <c r="Z1341" s="160">
        <f>InputData!$E$13</f>
        <v>0</v>
      </c>
    </row>
    <row r="1342" spans="1:26" x14ac:dyDescent="0.25">
      <c r="A1342">
        <f>InputData!$K$1</f>
        <v>2013</v>
      </c>
      <c r="B1342" t="str">
        <f>InputData!$G$1</f>
        <v>San Antonio, TX</v>
      </c>
      <c r="C1342" t="s">
        <v>227</v>
      </c>
      <c r="D1342" t="str">
        <f>Graph_Ophtha!$F$6</f>
        <v>EXT</v>
      </c>
      <c r="E1342" t="str">
        <f t="shared" si="20"/>
        <v>Ophthalmology EXT</v>
      </c>
      <c r="F1342">
        <f>Graph_Ophtha!$A27</f>
        <v>2033</v>
      </c>
      <c r="G1342">
        <f>Graph_Ophtha!$B27</f>
        <v>21</v>
      </c>
      <c r="H1342" s="165">
        <f>Graph_Ophtha!$F27</f>
        <v>1131777.4201860658</v>
      </c>
      <c r="I1342" s="160">
        <f>InputData!$C$3</f>
        <v>0.02</v>
      </c>
      <c r="J1342" s="160">
        <f>InputData!$C$4</f>
        <v>0.01</v>
      </c>
      <c r="K1342" s="160">
        <f>InputData!$C$5</f>
        <v>0.01</v>
      </c>
      <c r="L1342" s="160">
        <f>InputData!$C$6</f>
        <v>6.2100000000000002E-2</v>
      </c>
      <c r="M1342" s="160">
        <f>InputData!$C$7</f>
        <v>0.03</v>
      </c>
      <c r="N1342" s="160">
        <f>InputData!$C$8</f>
        <v>0.02</v>
      </c>
      <c r="O1342" s="160">
        <f>InputData!$C$9</f>
        <v>0.06</v>
      </c>
      <c r="P1342" s="160">
        <f>InputData!$C$10</f>
        <v>0.02</v>
      </c>
      <c r="Q1342" s="160">
        <f>InputData!$C$11</f>
        <v>0.02</v>
      </c>
      <c r="R1342" s="160">
        <f>InputData!$C$12</f>
        <v>0.02</v>
      </c>
      <c r="S1342" s="160">
        <f>InputData!$C$13</f>
        <v>0.9</v>
      </c>
      <c r="T1342" s="116">
        <f>InputData!$C$88</f>
        <v>180000</v>
      </c>
      <c r="U1342" s="116">
        <f>InputData!$C$81</f>
        <v>178500</v>
      </c>
      <c r="V1342" s="116">
        <f>InputData!$C$82</f>
        <v>303960</v>
      </c>
      <c r="W1342" s="116">
        <f>InputData!$C$84</f>
        <v>215220</v>
      </c>
      <c r="X1342" s="116">
        <f>InputData!$C$85</f>
        <v>409020</v>
      </c>
      <c r="Y1342" s="116">
        <f>InputData!$C$116</f>
        <v>140000</v>
      </c>
      <c r="Z1342" s="160">
        <f>InputData!$E$13</f>
        <v>0</v>
      </c>
    </row>
    <row r="1343" spans="1:26" x14ac:dyDescent="0.25">
      <c r="A1343">
        <f>InputData!$K$1</f>
        <v>2013</v>
      </c>
      <c r="B1343" t="str">
        <f>InputData!$G$1</f>
        <v>San Antonio, TX</v>
      </c>
      <c r="C1343" t="s">
        <v>227</v>
      </c>
      <c r="D1343" t="str">
        <f>Graph_Ophtha!$F$6</f>
        <v>EXT</v>
      </c>
      <c r="E1343" t="str">
        <f t="shared" si="20"/>
        <v>Ophthalmology EXT</v>
      </c>
      <c r="F1343">
        <f>Graph_Ophtha!$A28</f>
        <v>2034</v>
      </c>
      <c r="G1343">
        <f>Graph_Ophtha!$B28</f>
        <v>22</v>
      </c>
      <c r="H1343" s="165">
        <f>Graph_Ophtha!$F28</f>
        <v>1211431.2065873246</v>
      </c>
      <c r="I1343" s="160">
        <f>InputData!$C$3</f>
        <v>0.02</v>
      </c>
      <c r="J1343" s="160">
        <f>InputData!$C$4</f>
        <v>0.01</v>
      </c>
      <c r="K1343" s="160">
        <f>InputData!$C$5</f>
        <v>0.01</v>
      </c>
      <c r="L1343" s="160">
        <f>InputData!$C$6</f>
        <v>6.2100000000000002E-2</v>
      </c>
      <c r="M1343" s="160">
        <f>InputData!$C$7</f>
        <v>0.03</v>
      </c>
      <c r="N1343" s="160">
        <f>InputData!$C$8</f>
        <v>0.02</v>
      </c>
      <c r="O1343" s="160">
        <f>InputData!$C$9</f>
        <v>0.06</v>
      </c>
      <c r="P1343" s="160">
        <f>InputData!$C$10</f>
        <v>0.02</v>
      </c>
      <c r="Q1343" s="160">
        <f>InputData!$C$11</f>
        <v>0.02</v>
      </c>
      <c r="R1343" s="160">
        <f>InputData!$C$12</f>
        <v>0.02</v>
      </c>
      <c r="S1343" s="160">
        <f>InputData!$C$13</f>
        <v>0.9</v>
      </c>
      <c r="T1343" s="116">
        <f>InputData!$C$88</f>
        <v>180000</v>
      </c>
      <c r="U1343" s="116">
        <f>InputData!$C$81</f>
        <v>178500</v>
      </c>
      <c r="V1343" s="116">
        <f>InputData!$C$82</f>
        <v>303960</v>
      </c>
      <c r="W1343" s="116">
        <f>InputData!$C$84</f>
        <v>215220</v>
      </c>
      <c r="X1343" s="116">
        <f>InputData!$C$85</f>
        <v>409020</v>
      </c>
      <c r="Y1343" s="116">
        <f>InputData!$C$116</f>
        <v>140000</v>
      </c>
      <c r="Z1343" s="160">
        <f>InputData!$E$13</f>
        <v>0</v>
      </c>
    </row>
    <row r="1344" spans="1:26" x14ac:dyDescent="0.25">
      <c r="A1344">
        <f>InputData!$K$1</f>
        <v>2013</v>
      </c>
      <c r="B1344" t="str">
        <f>InputData!$G$1</f>
        <v>San Antonio, TX</v>
      </c>
      <c r="C1344" t="s">
        <v>227</v>
      </c>
      <c r="D1344" t="str">
        <f>Graph_Ophtha!$F$6</f>
        <v>EXT</v>
      </c>
      <c r="E1344" t="str">
        <f t="shared" si="20"/>
        <v>Ophthalmology EXT</v>
      </c>
      <c r="F1344">
        <f>Graph_Ophtha!$A29</f>
        <v>2035</v>
      </c>
      <c r="G1344">
        <f>Graph_Ophtha!$B29</f>
        <v>23</v>
      </c>
      <c r="H1344" s="165">
        <f>Graph_Ophtha!$F29</f>
        <v>1289676.6921745862</v>
      </c>
      <c r="I1344" s="160">
        <f>InputData!$C$3</f>
        <v>0.02</v>
      </c>
      <c r="J1344" s="160">
        <f>InputData!$C$4</f>
        <v>0.01</v>
      </c>
      <c r="K1344" s="160">
        <f>InputData!$C$5</f>
        <v>0.01</v>
      </c>
      <c r="L1344" s="160">
        <f>InputData!$C$6</f>
        <v>6.2100000000000002E-2</v>
      </c>
      <c r="M1344" s="160">
        <f>InputData!$C$7</f>
        <v>0.03</v>
      </c>
      <c r="N1344" s="160">
        <f>InputData!$C$8</f>
        <v>0.02</v>
      </c>
      <c r="O1344" s="160">
        <f>InputData!$C$9</f>
        <v>0.06</v>
      </c>
      <c r="P1344" s="160">
        <f>InputData!$C$10</f>
        <v>0.02</v>
      </c>
      <c r="Q1344" s="160">
        <f>InputData!$C$11</f>
        <v>0.02</v>
      </c>
      <c r="R1344" s="160">
        <f>InputData!$C$12</f>
        <v>0.02</v>
      </c>
      <c r="S1344" s="160">
        <f>InputData!$C$13</f>
        <v>0.9</v>
      </c>
      <c r="T1344" s="116">
        <f>InputData!$C$88</f>
        <v>180000</v>
      </c>
      <c r="U1344" s="116">
        <f>InputData!$C$81</f>
        <v>178500</v>
      </c>
      <c r="V1344" s="116">
        <f>InputData!$C$82</f>
        <v>303960</v>
      </c>
      <c r="W1344" s="116">
        <f>InputData!$C$84</f>
        <v>215220</v>
      </c>
      <c r="X1344" s="116">
        <f>InputData!$C$85</f>
        <v>409020</v>
      </c>
      <c r="Y1344" s="116">
        <f>InputData!$C$116</f>
        <v>140000</v>
      </c>
      <c r="Z1344" s="160">
        <f>InputData!$E$13</f>
        <v>0</v>
      </c>
    </row>
    <row r="1345" spans="1:26" x14ac:dyDescent="0.25">
      <c r="A1345">
        <f>InputData!$K$1</f>
        <v>2013</v>
      </c>
      <c r="B1345" t="str">
        <f>InputData!$G$1</f>
        <v>San Antonio, TX</v>
      </c>
      <c r="C1345" t="s">
        <v>227</v>
      </c>
      <c r="D1345" t="str">
        <f>Graph_Ophtha!$F$6</f>
        <v>EXT</v>
      </c>
      <c r="E1345" t="str">
        <f t="shared" si="20"/>
        <v>Ophthalmology EXT</v>
      </c>
      <c r="F1345">
        <f>Graph_Ophtha!$A30</f>
        <v>2036</v>
      </c>
      <c r="G1345">
        <f>Graph_Ophtha!$B30</f>
        <v>24</v>
      </c>
      <c r="H1345" s="165">
        <f>Graph_Ophtha!$F30</f>
        <v>1366533.040684205</v>
      </c>
      <c r="I1345" s="160">
        <f>InputData!$C$3</f>
        <v>0.02</v>
      </c>
      <c r="J1345" s="160">
        <f>InputData!$C$4</f>
        <v>0.01</v>
      </c>
      <c r="K1345" s="160">
        <f>InputData!$C$5</f>
        <v>0.01</v>
      </c>
      <c r="L1345" s="160">
        <f>InputData!$C$6</f>
        <v>6.2100000000000002E-2</v>
      </c>
      <c r="M1345" s="160">
        <f>InputData!$C$7</f>
        <v>0.03</v>
      </c>
      <c r="N1345" s="160">
        <f>InputData!$C$8</f>
        <v>0.02</v>
      </c>
      <c r="O1345" s="160">
        <f>InputData!$C$9</f>
        <v>0.06</v>
      </c>
      <c r="P1345" s="160">
        <f>InputData!$C$10</f>
        <v>0.02</v>
      </c>
      <c r="Q1345" s="160">
        <f>InputData!$C$11</f>
        <v>0.02</v>
      </c>
      <c r="R1345" s="160">
        <f>InputData!$C$12</f>
        <v>0.02</v>
      </c>
      <c r="S1345" s="160">
        <f>InputData!$C$13</f>
        <v>0.9</v>
      </c>
      <c r="T1345" s="116">
        <f>InputData!$C$88</f>
        <v>180000</v>
      </c>
      <c r="U1345" s="116">
        <f>InputData!$C$81</f>
        <v>178500</v>
      </c>
      <c r="V1345" s="116">
        <f>InputData!$C$82</f>
        <v>303960</v>
      </c>
      <c r="W1345" s="116">
        <f>InputData!$C$84</f>
        <v>215220</v>
      </c>
      <c r="X1345" s="116">
        <f>InputData!$C$85</f>
        <v>409020</v>
      </c>
      <c r="Y1345" s="116">
        <f>InputData!$C$116</f>
        <v>140000</v>
      </c>
      <c r="Z1345" s="160">
        <f>InputData!$E$13</f>
        <v>0</v>
      </c>
    </row>
    <row r="1346" spans="1:26" x14ac:dyDescent="0.25">
      <c r="A1346">
        <f>InputData!$K$1</f>
        <v>2013</v>
      </c>
      <c r="B1346" t="str">
        <f>InputData!$G$1</f>
        <v>San Antonio, TX</v>
      </c>
      <c r="C1346" t="s">
        <v>227</v>
      </c>
      <c r="D1346" t="str">
        <f>Graph_Ophtha!$F$6</f>
        <v>EXT</v>
      </c>
      <c r="E1346" t="str">
        <f t="shared" si="20"/>
        <v>Ophthalmology EXT</v>
      </c>
      <c r="F1346">
        <f>Graph_Ophtha!$A31</f>
        <v>2037</v>
      </c>
      <c r="G1346">
        <f>Graph_Ophtha!$B31</f>
        <v>25</v>
      </c>
      <c r="H1346" s="165">
        <f>Graph_Ophtha!$F31</f>
        <v>1442019.4778028762</v>
      </c>
      <c r="I1346" s="160">
        <f>InputData!$C$3</f>
        <v>0.02</v>
      </c>
      <c r="J1346" s="160">
        <f>InputData!$C$4</f>
        <v>0.01</v>
      </c>
      <c r="K1346" s="160">
        <f>InputData!$C$5</f>
        <v>0.01</v>
      </c>
      <c r="L1346" s="160">
        <f>InputData!$C$6</f>
        <v>6.2100000000000002E-2</v>
      </c>
      <c r="M1346" s="160">
        <f>InputData!$C$7</f>
        <v>0.03</v>
      </c>
      <c r="N1346" s="160">
        <f>InputData!$C$8</f>
        <v>0.02</v>
      </c>
      <c r="O1346" s="160">
        <f>InputData!$C$9</f>
        <v>0.06</v>
      </c>
      <c r="P1346" s="160">
        <f>InputData!$C$10</f>
        <v>0.02</v>
      </c>
      <c r="Q1346" s="160">
        <f>InputData!$C$11</f>
        <v>0.02</v>
      </c>
      <c r="R1346" s="160">
        <f>InputData!$C$12</f>
        <v>0.02</v>
      </c>
      <c r="S1346" s="160">
        <f>InputData!$C$13</f>
        <v>0.9</v>
      </c>
      <c r="T1346" s="116">
        <f>InputData!$C$88</f>
        <v>180000</v>
      </c>
      <c r="U1346" s="116">
        <f>InputData!$C$81</f>
        <v>178500</v>
      </c>
      <c r="V1346" s="116">
        <f>InputData!$C$82</f>
        <v>303960</v>
      </c>
      <c r="W1346" s="116">
        <f>InputData!$C$84</f>
        <v>215220</v>
      </c>
      <c r="X1346" s="116">
        <f>InputData!$C$85</f>
        <v>409020</v>
      </c>
      <c r="Y1346" s="116">
        <f>InputData!$C$116</f>
        <v>140000</v>
      </c>
      <c r="Z1346" s="160">
        <f>InputData!$E$13</f>
        <v>0</v>
      </c>
    </row>
    <row r="1347" spans="1:26" x14ac:dyDescent="0.25">
      <c r="A1347">
        <f>InputData!$K$1</f>
        <v>2013</v>
      </c>
      <c r="B1347" t="str">
        <f>InputData!$G$1</f>
        <v>San Antonio, TX</v>
      </c>
      <c r="C1347" t="s">
        <v>227</v>
      </c>
      <c r="D1347" t="str">
        <f>Graph_Ophtha!$F$6</f>
        <v>EXT</v>
      </c>
      <c r="E1347" t="str">
        <f t="shared" ref="E1347:E1410" si="21">C1347 &amp; " " &amp; D1347</f>
        <v>Ophthalmology EXT</v>
      </c>
      <c r="F1347">
        <f>Graph_Ophtha!$A32</f>
        <v>2038</v>
      </c>
      <c r="G1347">
        <f>Graph_Ophtha!$B32</f>
        <v>26</v>
      </c>
      <c r="H1347" s="165">
        <f>Graph_Ophtha!$F32</f>
        <v>1516155.2679763967</v>
      </c>
      <c r="I1347" s="160">
        <f>InputData!$C$3</f>
        <v>0.02</v>
      </c>
      <c r="J1347" s="160">
        <f>InputData!$C$4</f>
        <v>0.01</v>
      </c>
      <c r="K1347" s="160">
        <f>InputData!$C$5</f>
        <v>0.01</v>
      </c>
      <c r="L1347" s="160">
        <f>InputData!$C$6</f>
        <v>6.2100000000000002E-2</v>
      </c>
      <c r="M1347" s="160">
        <f>InputData!$C$7</f>
        <v>0.03</v>
      </c>
      <c r="N1347" s="160">
        <f>InputData!$C$8</f>
        <v>0.02</v>
      </c>
      <c r="O1347" s="160">
        <f>InputData!$C$9</f>
        <v>0.06</v>
      </c>
      <c r="P1347" s="160">
        <f>InputData!$C$10</f>
        <v>0.02</v>
      </c>
      <c r="Q1347" s="160">
        <f>InputData!$C$11</f>
        <v>0.02</v>
      </c>
      <c r="R1347" s="160">
        <f>InputData!$C$12</f>
        <v>0.02</v>
      </c>
      <c r="S1347" s="160">
        <f>InputData!$C$13</f>
        <v>0.9</v>
      </c>
      <c r="T1347" s="116">
        <f>InputData!$C$88</f>
        <v>180000</v>
      </c>
      <c r="U1347" s="116">
        <f>InputData!$C$81</f>
        <v>178500</v>
      </c>
      <c r="V1347" s="116">
        <f>InputData!$C$82</f>
        <v>303960</v>
      </c>
      <c r="W1347" s="116">
        <f>InputData!$C$84</f>
        <v>215220</v>
      </c>
      <c r="X1347" s="116">
        <f>InputData!$C$85</f>
        <v>409020</v>
      </c>
      <c r="Y1347" s="116">
        <f>InputData!$C$116</f>
        <v>140000</v>
      </c>
      <c r="Z1347" s="160">
        <f>InputData!$E$13</f>
        <v>0</v>
      </c>
    </row>
    <row r="1348" spans="1:26" x14ac:dyDescent="0.25">
      <c r="A1348">
        <f>InputData!$K$1</f>
        <v>2013</v>
      </c>
      <c r="B1348" t="str">
        <f>InputData!$G$1</f>
        <v>San Antonio, TX</v>
      </c>
      <c r="C1348" t="s">
        <v>227</v>
      </c>
      <c r="D1348" t="str">
        <f>Graph_Ophtha!$F$6</f>
        <v>EXT</v>
      </c>
      <c r="E1348" t="str">
        <f t="shared" si="21"/>
        <v>Ophthalmology EXT</v>
      </c>
      <c r="F1348">
        <f>Graph_Ophtha!$A33</f>
        <v>2039</v>
      </c>
      <c r="G1348">
        <f>Graph_Ophtha!$B33</f>
        <v>27</v>
      </c>
      <c r="H1348" s="165">
        <f>Graph_Ophtha!$F33</f>
        <v>1588959.6927576817</v>
      </c>
      <c r="I1348" s="160">
        <f>InputData!$C$3</f>
        <v>0.02</v>
      </c>
      <c r="J1348" s="160">
        <f>InputData!$C$4</f>
        <v>0.01</v>
      </c>
      <c r="K1348" s="160">
        <f>InputData!$C$5</f>
        <v>0.01</v>
      </c>
      <c r="L1348" s="160">
        <f>InputData!$C$6</f>
        <v>6.2100000000000002E-2</v>
      </c>
      <c r="M1348" s="160">
        <f>InputData!$C$7</f>
        <v>0.03</v>
      </c>
      <c r="N1348" s="160">
        <f>InputData!$C$8</f>
        <v>0.02</v>
      </c>
      <c r="O1348" s="160">
        <f>InputData!$C$9</f>
        <v>0.06</v>
      </c>
      <c r="P1348" s="160">
        <f>InputData!$C$10</f>
        <v>0.02</v>
      </c>
      <c r="Q1348" s="160">
        <f>InputData!$C$11</f>
        <v>0.02</v>
      </c>
      <c r="R1348" s="160">
        <f>InputData!$C$12</f>
        <v>0.02</v>
      </c>
      <c r="S1348" s="160">
        <f>InputData!$C$13</f>
        <v>0.9</v>
      </c>
      <c r="T1348" s="116">
        <f>InputData!$C$88</f>
        <v>180000</v>
      </c>
      <c r="U1348" s="116">
        <f>InputData!$C$81</f>
        <v>178500</v>
      </c>
      <c r="V1348" s="116">
        <f>InputData!$C$82</f>
        <v>303960</v>
      </c>
      <c r="W1348" s="116">
        <f>InputData!$C$84</f>
        <v>215220</v>
      </c>
      <c r="X1348" s="116">
        <f>InputData!$C$85</f>
        <v>409020</v>
      </c>
      <c r="Y1348" s="116">
        <f>InputData!$C$116</f>
        <v>140000</v>
      </c>
      <c r="Z1348" s="160">
        <f>InputData!$E$13</f>
        <v>0</v>
      </c>
    </row>
    <row r="1349" spans="1:26" x14ac:dyDescent="0.25">
      <c r="A1349">
        <f>InputData!$K$1</f>
        <v>2013</v>
      </c>
      <c r="B1349" t="str">
        <f>InputData!$G$1</f>
        <v>San Antonio, TX</v>
      </c>
      <c r="C1349" t="s">
        <v>227</v>
      </c>
      <c r="D1349" t="str">
        <f>Graph_Ophtha!$F$6</f>
        <v>EXT</v>
      </c>
      <c r="E1349" t="str">
        <f t="shared" si="21"/>
        <v>Ophthalmology EXT</v>
      </c>
      <c r="F1349">
        <f>Graph_Ophtha!$A34</f>
        <v>2040</v>
      </c>
      <c r="G1349">
        <f>Graph_Ophtha!$B34</f>
        <v>28</v>
      </c>
      <c r="H1349" s="165">
        <f>Graph_Ophtha!$F34</f>
        <v>1660452.0306108622</v>
      </c>
      <c r="I1349" s="160">
        <f>InputData!$C$3</f>
        <v>0.02</v>
      </c>
      <c r="J1349" s="160">
        <f>InputData!$C$4</f>
        <v>0.01</v>
      </c>
      <c r="K1349" s="160">
        <f>InputData!$C$5</f>
        <v>0.01</v>
      </c>
      <c r="L1349" s="160">
        <f>InputData!$C$6</f>
        <v>6.2100000000000002E-2</v>
      </c>
      <c r="M1349" s="160">
        <f>InputData!$C$7</f>
        <v>0.03</v>
      </c>
      <c r="N1349" s="160">
        <f>InputData!$C$8</f>
        <v>0.02</v>
      </c>
      <c r="O1349" s="160">
        <f>InputData!$C$9</f>
        <v>0.06</v>
      </c>
      <c r="P1349" s="160">
        <f>InputData!$C$10</f>
        <v>0.02</v>
      </c>
      <c r="Q1349" s="160">
        <f>InputData!$C$11</f>
        <v>0.02</v>
      </c>
      <c r="R1349" s="160">
        <f>InputData!$C$12</f>
        <v>0.02</v>
      </c>
      <c r="S1349" s="160">
        <f>InputData!$C$13</f>
        <v>0.9</v>
      </c>
      <c r="T1349" s="116">
        <f>InputData!$C$88</f>
        <v>180000</v>
      </c>
      <c r="U1349" s="116">
        <f>InputData!$C$81</f>
        <v>178500</v>
      </c>
      <c r="V1349" s="116">
        <f>InputData!$C$82</f>
        <v>303960</v>
      </c>
      <c r="W1349" s="116">
        <f>InputData!$C$84</f>
        <v>215220</v>
      </c>
      <c r="X1349" s="116">
        <f>InputData!$C$85</f>
        <v>409020</v>
      </c>
      <c r="Y1349" s="116">
        <f>InputData!$C$116</f>
        <v>140000</v>
      </c>
      <c r="Z1349" s="160">
        <f>InputData!$E$13</f>
        <v>0</v>
      </c>
    </row>
    <row r="1350" spans="1:26" x14ac:dyDescent="0.25">
      <c r="A1350">
        <f>InputData!$K$1</f>
        <v>2013</v>
      </c>
      <c r="B1350" t="str">
        <f>InputData!$G$1</f>
        <v>San Antonio, TX</v>
      </c>
      <c r="C1350" t="s">
        <v>227</v>
      </c>
      <c r="D1350" t="str">
        <f>Graph_Ophtha!$F$6</f>
        <v>EXT</v>
      </c>
      <c r="E1350" t="str">
        <f t="shared" si="21"/>
        <v>Ophthalmology EXT</v>
      </c>
      <c r="F1350">
        <f>Graph_Ophtha!$A35</f>
        <v>2041</v>
      </c>
      <c r="G1350">
        <f>Graph_Ophtha!$B35</f>
        <v>29</v>
      </c>
      <c r="H1350" s="165">
        <f>Graph_Ophtha!$F35</f>
        <v>1730651.5380924954</v>
      </c>
      <c r="I1350" s="160">
        <f>InputData!$C$3</f>
        <v>0.02</v>
      </c>
      <c r="J1350" s="160">
        <f>InputData!$C$4</f>
        <v>0.01</v>
      </c>
      <c r="K1350" s="160">
        <f>InputData!$C$5</f>
        <v>0.01</v>
      </c>
      <c r="L1350" s="160">
        <f>InputData!$C$6</f>
        <v>6.2100000000000002E-2</v>
      </c>
      <c r="M1350" s="160">
        <f>InputData!$C$7</f>
        <v>0.03</v>
      </c>
      <c r="N1350" s="160">
        <f>InputData!$C$8</f>
        <v>0.02</v>
      </c>
      <c r="O1350" s="160">
        <f>InputData!$C$9</f>
        <v>0.06</v>
      </c>
      <c r="P1350" s="160">
        <f>InputData!$C$10</f>
        <v>0.02</v>
      </c>
      <c r="Q1350" s="160">
        <f>InputData!$C$11</f>
        <v>0.02</v>
      </c>
      <c r="R1350" s="160">
        <f>InputData!$C$12</f>
        <v>0.02</v>
      </c>
      <c r="S1350" s="160">
        <f>InputData!$C$13</f>
        <v>0.9</v>
      </c>
      <c r="T1350" s="116">
        <f>InputData!$C$88</f>
        <v>180000</v>
      </c>
      <c r="U1350" s="116">
        <f>InputData!$C$81</f>
        <v>178500</v>
      </c>
      <c r="V1350" s="116">
        <f>InputData!$C$82</f>
        <v>303960</v>
      </c>
      <c r="W1350" s="116">
        <f>InputData!$C$84</f>
        <v>215220</v>
      </c>
      <c r="X1350" s="116">
        <f>InputData!$C$85</f>
        <v>409020</v>
      </c>
      <c r="Y1350" s="116">
        <f>InputData!$C$116</f>
        <v>140000</v>
      </c>
      <c r="Z1350" s="160">
        <f>InputData!$E$13</f>
        <v>0</v>
      </c>
    </row>
    <row r="1351" spans="1:26" x14ac:dyDescent="0.25">
      <c r="A1351">
        <f>InputData!$K$1</f>
        <v>2013</v>
      </c>
      <c r="B1351" t="str">
        <f>InputData!$G$1</f>
        <v>San Antonio, TX</v>
      </c>
      <c r="C1351" t="s">
        <v>227</v>
      </c>
      <c r="D1351" t="str">
        <f>Graph_Ophtha!$F$6</f>
        <v>EXT</v>
      </c>
      <c r="E1351" t="str">
        <f t="shared" si="21"/>
        <v>Ophthalmology EXT</v>
      </c>
      <c r="F1351">
        <f>Graph_Ophtha!$A36</f>
        <v>2042</v>
      </c>
      <c r="G1351">
        <f>Graph_Ophtha!$B36</f>
        <v>30</v>
      </c>
      <c r="H1351" s="165">
        <f>Graph_Ophtha!$F36</f>
        <v>1799577.4323349155</v>
      </c>
      <c r="I1351" s="160">
        <f>InputData!$C$3</f>
        <v>0.02</v>
      </c>
      <c r="J1351" s="160">
        <f>InputData!$C$4</f>
        <v>0.01</v>
      </c>
      <c r="K1351" s="160">
        <f>InputData!$C$5</f>
        <v>0.01</v>
      </c>
      <c r="L1351" s="160">
        <f>InputData!$C$6</f>
        <v>6.2100000000000002E-2</v>
      </c>
      <c r="M1351" s="160">
        <f>InputData!$C$7</f>
        <v>0.03</v>
      </c>
      <c r="N1351" s="160">
        <f>InputData!$C$8</f>
        <v>0.02</v>
      </c>
      <c r="O1351" s="160">
        <f>InputData!$C$9</f>
        <v>0.06</v>
      </c>
      <c r="P1351" s="160">
        <f>InputData!$C$10</f>
        <v>0.02</v>
      </c>
      <c r="Q1351" s="160">
        <f>InputData!$C$11</f>
        <v>0.02</v>
      </c>
      <c r="R1351" s="160">
        <f>InputData!$C$12</f>
        <v>0.02</v>
      </c>
      <c r="S1351" s="160">
        <f>InputData!$C$13</f>
        <v>0.9</v>
      </c>
      <c r="T1351" s="116">
        <f>InputData!$C$88</f>
        <v>180000</v>
      </c>
      <c r="U1351" s="116">
        <f>InputData!$C$81</f>
        <v>178500</v>
      </c>
      <c r="V1351" s="116">
        <f>InputData!$C$82</f>
        <v>303960</v>
      </c>
      <c r="W1351" s="116">
        <f>InputData!$C$84</f>
        <v>215220</v>
      </c>
      <c r="X1351" s="116">
        <f>InputData!$C$85</f>
        <v>409020</v>
      </c>
      <c r="Y1351" s="116">
        <f>InputData!$C$116</f>
        <v>140000</v>
      </c>
      <c r="Z1351" s="160">
        <f>InputData!$E$13</f>
        <v>0</v>
      </c>
    </row>
    <row r="1352" spans="1:26" x14ac:dyDescent="0.25">
      <c r="A1352">
        <f>InputData!$K$1</f>
        <v>2013</v>
      </c>
      <c r="B1352" t="str">
        <f>InputData!$G$1</f>
        <v>San Antonio, TX</v>
      </c>
      <c r="C1352" t="s">
        <v>227</v>
      </c>
      <c r="D1352" t="str">
        <f>Graph_Ophtha!$G$6</f>
        <v>IBR</v>
      </c>
      <c r="E1352" t="str">
        <f t="shared" si="21"/>
        <v>Ophthalmology IBR</v>
      </c>
      <c r="F1352">
        <f>Graph_Ophtha!$A7</f>
        <v>2013</v>
      </c>
      <c r="G1352">
        <f>Graph_Ophtha!$B7</f>
        <v>1</v>
      </c>
      <c r="H1352" s="165">
        <f>Graph_Ophtha!$G7</f>
        <v>-43015.05</v>
      </c>
      <c r="I1352" s="160">
        <f>InputData!$C$3</f>
        <v>0.02</v>
      </c>
      <c r="J1352" s="160">
        <f>InputData!$C$4</f>
        <v>0.01</v>
      </c>
      <c r="K1352" s="160">
        <f>InputData!$C$5</f>
        <v>0.01</v>
      </c>
      <c r="L1352" s="160">
        <f>InputData!$C$6</f>
        <v>6.2100000000000002E-2</v>
      </c>
      <c r="M1352" s="160">
        <f>InputData!$C$7</f>
        <v>0.03</v>
      </c>
      <c r="N1352" s="160">
        <f>InputData!$C$8</f>
        <v>0.02</v>
      </c>
      <c r="O1352" s="160">
        <f>InputData!$C$9</f>
        <v>0.06</v>
      </c>
      <c r="P1352" s="160">
        <f>InputData!$C$10</f>
        <v>0.02</v>
      </c>
      <c r="Q1352" s="160">
        <f>InputData!$C$11</f>
        <v>0.02</v>
      </c>
      <c r="R1352" s="160">
        <f>InputData!$C$12</f>
        <v>0.02</v>
      </c>
      <c r="S1352" s="160">
        <f>InputData!$C$13</f>
        <v>0.9</v>
      </c>
      <c r="T1352" s="116">
        <f>InputData!$C$88</f>
        <v>180000</v>
      </c>
      <c r="U1352" s="116">
        <f>InputData!$C$81</f>
        <v>178500</v>
      </c>
      <c r="V1352" s="116">
        <f>InputData!$C$82</f>
        <v>303960</v>
      </c>
      <c r="W1352" s="116">
        <f>InputData!$C$84</f>
        <v>215220</v>
      </c>
      <c r="X1352" s="116">
        <f>InputData!$C$85</f>
        <v>409020</v>
      </c>
      <c r="Y1352" s="116">
        <f>InputData!$C$116</f>
        <v>140000</v>
      </c>
      <c r="Z1352" s="160">
        <f>InputData!$E$13</f>
        <v>0</v>
      </c>
    </row>
    <row r="1353" spans="1:26" x14ac:dyDescent="0.25">
      <c r="A1353">
        <f>InputData!$K$1</f>
        <v>2013</v>
      </c>
      <c r="B1353" t="str">
        <f>InputData!$G$1</f>
        <v>San Antonio, TX</v>
      </c>
      <c r="C1353" t="s">
        <v>227</v>
      </c>
      <c r="D1353" t="str">
        <f>Graph_Ophtha!$G$6</f>
        <v>IBR</v>
      </c>
      <c r="E1353" t="str">
        <f t="shared" si="21"/>
        <v>Ophthalmology IBR</v>
      </c>
      <c r="F1353">
        <f>Graph_Ophtha!$A8</f>
        <v>2014</v>
      </c>
      <c r="G1353">
        <f>Graph_Ophtha!$B8</f>
        <v>2</v>
      </c>
      <c r="H1353" s="165">
        <f>Graph_Ophtha!$G8</f>
        <v>-86352.285865219877</v>
      </c>
      <c r="I1353" s="160">
        <f>InputData!$C$3</f>
        <v>0.02</v>
      </c>
      <c r="J1353" s="160">
        <f>InputData!$C$4</f>
        <v>0.01</v>
      </c>
      <c r="K1353" s="160">
        <f>InputData!$C$5</f>
        <v>0.01</v>
      </c>
      <c r="L1353" s="160">
        <f>InputData!$C$6</f>
        <v>6.2100000000000002E-2</v>
      </c>
      <c r="M1353" s="160">
        <f>InputData!$C$7</f>
        <v>0.03</v>
      </c>
      <c r="N1353" s="160">
        <f>InputData!$C$8</f>
        <v>0.02</v>
      </c>
      <c r="O1353" s="160">
        <f>InputData!$C$9</f>
        <v>0.06</v>
      </c>
      <c r="P1353" s="160">
        <f>InputData!$C$10</f>
        <v>0.02</v>
      </c>
      <c r="Q1353" s="160">
        <f>InputData!$C$11</f>
        <v>0.02</v>
      </c>
      <c r="R1353" s="160">
        <f>InputData!$C$12</f>
        <v>0.02</v>
      </c>
      <c r="S1353" s="160">
        <f>InputData!$C$13</f>
        <v>0.9</v>
      </c>
      <c r="T1353" s="116">
        <f>InputData!$C$88</f>
        <v>180000</v>
      </c>
      <c r="U1353" s="116">
        <f>InputData!$C$81</f>
        <v>178500</v>
      </c>
      <c r="V1353" s="116">
        <f>InputData!$C$82</f>
        <v>303960</v>
      </c>
      <c r="W1353" s="116">
        <f>InputData!$C$84</f>
        <v>215220</v>
      </c>
      <c r="X1353" s="116">
        <f>InputData!$C$85</f>
        <v>409020</v>
      </c>
      <c r="Y1353" s="116">
        <f>InputData!$C$116</f>
        <v>140000</v>
      </c>
      <c r="Z1353" s="160">
        <f>InputData!$E$13</f>
        <v>0</v>
      </c>
    </row>
    <row r="1354" spans="1:26" x14ac:dyDescent="0.25">
      <c r="A1354">
        <f>InputData!$K$1</f>
        <v>2013</v>
      </c>
      <c r="B1354" t="str">
        <f>InputData!$G$1</f>
        <v>San Antonio, TX</v>
      </c>
      <c r="C1354" t="s">
        <v>227</v>
      </c>
      <c r="D1354" t="str">
        <f>Graph_Ophtha!$G$6</f>
        <v>IBR</v>
      </c>
      <c r="E1354" t="str">
        <f t="shared" si="21"/>
        <v>Ophthalmology IBR</v>
      </c>
      <c r="F1354">
        <f>Graph_Ophtha!$A9</f>
        <v>2015</v>
      </c>
      <c r="G1354">
        <f>Graph_Ophtha!$B9</f>
        <v>3</v>
      </c>
      <c r="H1354" s="165">
        <f>Graph_Ophtha!$G9</f>
        <v>-138541.19578403595</v>
      </c>
      <c r="I1354" s="160">
        <f>InputData!$C$3</f>
        <v>0.02</v>
      </c>
      <c r="J1354" s="160">
        <f>InputData!$C$4</f>
        <v>0.01</v>
      </c>
      <c r="K1354" s="160">
        <f>InputData!$C$5</f>
        <v>0.01</v>
      </c>
      <c r="L1354" s="160">
        <f>InputData!$C$6</f>
        <v>6.2100000000000002E-2</v>
      </c>
      <c r="M1354" s="160">
        <f>InputData!$C$7</f>
        <v>0.03</v>
      </c>
      <c r="N1354" s="160">
        <f>InputData!$C$8</f>
        <v>0.02</v>
      </c>
      <c r="O1354" s="160">
        <f>InputData!$C$9</f>
        <v>0.06</v>
      </c>
      <c r="P1354" s="160">
        <f>InputData!$C$10</f>
        <v>0.02</v>
      </c>
      <c r="Q1354" s="160">
        <f>InputData!$C$11</f>
        <v>0.02</v>
      </c>
      <c r="R1354" s="160">
        <f>InputData!$C$12</f>
        <v>0.02</v>
      </c>
      <c r="S1354" s="160">
        <f>InputData!$C$13</f>
        <v>0.9</v>
      </c>
      <c r="T1354" s="116">
        <f>InputData!$C$88</f>
        <v>180000</v>
      </c>
      <c r="U1354" s="116">
        <f>InputData!$C$81</f>
        <v>178500</v>
      </c>
      <c r="V1354" s="116">
        <f>InputData!$C$82</f>
        <v>303960</v>
      </c>
      <c r="W1354" s="116">
        <f>InputData!$C$84</f>
        <v>215220</v>
      </c>
      <c r="X1354" s="116">
        <f>InputData!$C$85</f>
        <v>409020</v>
      </c>
      <c r="Y1354" s="116">
        <f>InputData!$C$116</f>
        <v>140000</v>
      </c>
      <c r="Z1354" s="160">
        <f>InputData!$E$13</f>
        <v>0</v>
      </c>
    </row>
    <row r="1355" spans="1:26" x14ac:dyDescent="0.25">
      <c r="A1355">
        <f>InputData!$K$1</f>
        <v>2013</v>
      </c>
      <c r="B1355" t="str">
        <f>InputData!$G$1</f>
        <v>San Antonio, TX</v>
      </c>
      <c r="C1355" t="s">
        <v>227</v>
      </c>
      <c r="D1355" t="str">
        <f>Graph_Ophtha!$G$6</f>
        <v>IBR</v>
      </c>
      <c r="E1355" t="str">
        <f t="shared" si="21"/>
        <v>Ophthalmology IBR</v>
      </c>
      <c r="F1355">
        <f>Graph_Ophtha!$A10</f>
        <v>2016</v>
      </c>
      <c r="G1355">
        <f>Graph_Ophtha!$B10</f>
        <v>4</v>
      </c>
      <c r="H1355" s="165">
        <f>Graph_Ophtha!$G10</f>
        <v>-190867.38028908212</v>
      </c>
      <c r="I1355" s="160">
        <f>InputData!$C$3</f>
        <v>0.02</v>
      </c>
      <c r="J1355" s="160">
        <f>InputData!$C$4</f>
        <v>0.01</v>
      </c>
      <c r="K1355" s="160">
        <f>InputData!$C$5</f>
        <v>0.01</v>
      </c>
      <c r="L1355" s="160">
        <f>InputData!$C$6</f>
        <v>6.2100000000000002E-2</v>
      </c>
      <c r="M1355" s="160">
        <f>InputData!$C$7</f>
        <v>0.03</v>
      </c>
      <c r="N1355" s="160">
        <f>InputData!$C$8</f>
        <v>0.02</v>
      </c>
      <c r="O1355" s="160">
        <f>InputData!$C$9</f>
        <v>0.06</v>
      </c>
      <c r="P1355" s="160">
        <f>InputData!$C$10</f>
        <v>0.02</v>
      </c>
      <c r="Q1355" s="160">
        <f>InputData!$C$11</f>
        <v>0.02</v>
      </c>
      <c r="R1355" s="160">
        <f>InputData!$C$12</f>
        <v>0.02</v>
      </c>
      <c r="S1355" s="160">
        <f>InputData!$C$13</f>
        <v>0.9</v>
      </c>
      <c r="T1355" s="116">
        <f>InputData!$C$88</f>
        <v>180000</v>
      </c>
      <c r="U1355" s="116">
        <f>InputData!$C$81</f>
        <v>178500</v>
      </c>
      <c r="V1355" s="116">
        <f>InputData!$C$82</f>
        <v>303960</v>
      </c>
      <c r="W1355" s="116">
        <f>InputData!$C$84</f>
        <v>215220</v>
      </c>
      <c r="X1355" s="116">
        <f>InputData!$C$85</f>
        <v>409020</v>
      </c>
      <c r="Y1355" s="116">
        <f>InputData!$C$116</f>
        <v>140000</v>
      </c>
      <c r="Z1355" s="160">
        <f>InputData!$E$13</f>
        <v>0</v>
      </c>
    </row>
    <row r="1356" spans="1:26" x14ac:dyDescent="0.25">
      <c r="A1356">
        <f>InputData!$K$1</f>
        <v>2013</v>
      </c>
      <c r="B1356" t="str">
        <f>InputData!$G$1</f>
        <v>San Antonio, TX</v>
      </c>
      <c r="C1356" t="s">
        <v>227</v>
      </c>
      <c r="D1356" t="str">
        <f>Graph_Ophtha!$G$6</f>
        <v>IBR</v>
      </c>
      <c r="E1356" t="str">
        <f t="shared" si="21"/>
        <v>Ophthalmology IBR</v>
      </c>
      <c r="F1356">
        <f>Graph_Ophtha!$A11</f>
        <v>2017</v>
      </c>
      <c r="G1356">
        <f>Graph_Ophtha!$B11</f>
        <v>5</v>
      </c>
      <c r="H1356" s="165">
        <f>Graph_Ophtha!$G11</f>
        <v>-154981.05168717628</v>
      </c>
      <c r="I1356" s="160">
        <f>InputData!$C$3</f>
        <v>0.02</v>
      </c>
      <c r="J1356" s="160">
        <f>InputData!$C$4</f>
        <v>0.01</v>
      </c>
      <c r="K1356" s="160">
        <f>InputData!$C$5</f>
        <v>0.01</v>
      </c>
      <c r="L1356" s="160">
        <f>InputData!$C$6</f>
        <v>6.2100000000000002E-2</v>
      </c>
      <c r="M1356" s="160">
        <f>InputData!$C$7</f>
        <v>0.03</v>
      </c>
      <c r="N1356" s="160">
        <f>InputData!$C$8</f>
        <v>0.02</v>
      </c>
      <c r="O1356" s="160">
        <f>InputData!$C$9</f>
        <v>0.06</v>
      </c>
      <c r="P1356" s="160">
        <f>InputData!$C$10</f>
        <v>0.02</v>
      </c>
      <c r="Q1356" s="160">
        <f>InputData!$C$11</f>
        <v>0.02</v>
      </c>
      <c r="R1356" s="160">
        <f>InputData!$C$12</f>
        <v>0.02</v>
      </c>
      <c r="S1356" s="160">
        <f>InputData!$C$13</f>
        <v>0.9</v>
      </c>
      <c r="T1356" s="116">
        <f>InputData!$C$88</f>
        <v>180000</v>
      </c>
      <c r="U1356" s="116">
        <f>InputData!$C$81</f>
        <v>178500</v>
      </c>
      <c r="V1356" s="116">
        <f>InputData!$C$82</f>
        <v>303960</v>
      </c>
      <c r="W1356" s="116">
        <f>InputData!$C$84</f>
        <v>215220</v>
      </c>
      <c r="X1356" s="116">
        <f>InputData!$C$85</f>
        <v>409020</v>
      </c>
      <c r="Y1356" s="116">
        <f>InputData!$C$116</f>
        <v>140000</v>
      </c>
      <c r="Z1356" s="160">
        <f>InputData!$E$13</f>
        <v>0</v>
      </c>
    </row>
    <row r="1357" spans="1:26" x14ac:dyDescent="0.25">
      <c r="A1357">
        <f>InputData!$K$1</f>
        <v>2013</v>
      </c>
      <c r="B1357" t="str">
        <f>InputData!$G$1</f>
        <v>San Antonio, TX</v>
      </c>
      <c r="C1357" t="s">
        <v>227</v>
      </c>
      <c r="D1357" t="str">
        <f>Graph_Ophtha!$G$6</f>
        <v>IBR</v>
      </c>
      <c r="E1357" t="str">
        <f t="shared" si="21"/>
        <v>Ophthalmology IBR</v>
      </c>
      <c r="F1357">
        <f>Graph_Ophtha!$A12</f>
        <v>2018</v>
      </c>
      <c r="G1357">
        <f>Graph_Ophtha!$B12</f>
        <v>6</v>
      </c>
      <c r="H1357" s="165">
        <f>Graph_Ophtha!$G12</f>
        <v>-118995.92937851879</v>
      </c>
      <c r="I1357" s="160">
        <f>InputData!$C$3</f>
        <v>0.02</v>
      </c>
      <c r="J1357" s="160">
        <f>InputData!$C$4</f>
        <v>0.01</v>
      </c>
      <c r="K1357" s="160">
        <f>InputData!$C$5</f>
        <v>0.01</v>
      </c>
      <c r="L1357" s="160">
        <f>InputData!$C$6</f>
        <v>6.2100000000000002E-2</v>
      </c>
      <c r="M1357" s="160">
        <f>InputData!$C$7</f>
        <v>0.03</v>
      </c>
      <c r="N1357" s="160">
        <f>InputData!$C$8</f>
        <v>0.02</v>
      </c>
      <c r="O1357" s="160">
        <f>InputData!$C$9</f>
        <v>0.06</v>
      </c>
      <c r="P1357" s="160">
        <f>InputData!$C$10</f>
        <v>0.02</v>
      </c>
      <c r="Q1357" s="160">
        <f>InputData!$C$11</f>
        <v>0.02</v>
      </c>
      <c r="R1357" s="160">
        <f>InputData!$C$12</f>
        <v>0.02</v>
      </c>
      <c r="S1357" s="160">
        <f>InputData!$C$13</f>
        <v>0.9</v>
      </c>
      <c r="T1357" s="116">
        <f>InputData!$C$88</f>
        <v>180000</v>
      </c>
      <c r="U1357" s="116">
        <f>InputData!$C$81</f>
        <v>178500</v>
      </c>
      <c r="V1357" s="116">
        <f>InputData!$C$82</f>
        <v>303960</v>
      </c>
      <c r="W1357" s="116">
        <f>InputData!$C$84</f>
        <v>215220</v>
      </c>
      <c r="X1357" s="116">
        <f>InputData!$C$85</f>
        <v>409020</v>
      </c>
      <c r="Y1357" s="116">
        <f>InputData!$C$116</f>
        <v>140000</v>
      </c>
      <c r="Z1357" s="160">
        <f>InputData!$E$13</f>
        <v>0</v>
      </c>
    </row>
    <row r="1358" spans="1:26" x14ac:dyDescent="0.25">
      <c r="A1358">
        <f>InputData!$K$1</f>
        <v>2013</v>
      </c>
      <c r="B1358" t="str">
        <f>InputData!$G$1</f>
        <v>San Antonio, TX</v>
      </c>
      <c r="C1358" t="s">
        <v>227</v>
      </c>
      <c r="D1358" t="str">
        <f>Graph_Ophtha!$G$6</f>
        <v>IBR</v>
      </c>
      <c r="E1358" t="str">
        <f t="shared" si="21"/>
        <v>Ophthalmology IBR</v>
      </c>
      <c r="F1358">
        <f>Graph_Ophtha!$A13</f>
        <v>2019</v>
      </c>
      <c r="G1358">
        <f>Graph_Ophtha!$B13</f>
        <v>7</v>
      </c>
      <c r="H1358" s="165">
        <f>Graph_Ophtha!$G13</f>
        <v>-82904.654937055282</v>
      </c>
      <c r="I1358" s="160">
        <f>InputData!$C$3</f>
        <v>0.02</v>
      </c>
      <c r="J1358" s="160">
        <f>InputData!$C$4</f>
        <v>0.01</v>
      </c>
      <c r="K1358" s="160">
        <f>InputData!$C$5</f>
        <v>0.01</v>
      </c>
      <c r="L1358" s="160">
        <f>InputData!$C$6</f>
        <v>6.2100000000000002E-2</v>
      </c>
      <c r="M1358" s="160">
        <f>InputData!$C$7</f>
        <v>0.03</v>
      </c>
      <c r="N1358" s="160">
        <f>InputData!$C$8</f>
        <v>0.02</v>
      </c>
      <c r="O1358" s="160">
        <f>InputData!$C$9</f>
        <v>0.06</v>
      </c>
      <c r="P1358" s="160">
        <f>InputData!$C$10</f>
        <v>0.02</v>
      </c>
      <c r="Q1358" s="160">
        <f>InputData!$C$11</f>
        <v>0.02</v>
      </c>
      <c r="R1358" s="160">
        <f>InputData!$C$12</f>
        <v>0.02</v>
      </c>
      <c r="S1358" s="160">
        <f>InputData!$C$13</f>
        <v>0.9</v>
      </c>
      <c r="T1358" s="116">
        <f>InputData!$C$88</f>
        <v>180000</v>
      </c>
      <c r="U1358" s="116">
        <f>InputData!$C$81</f>
        <v>178500</v>
      </c>
      <c r="V1358" s="116">
        <f>InputData!$C$82</f>
        <v>303960</v>
      </c>
      <c r="W1358" s="116">
        <f>InputData!$C$84</f>
        <v>215220</v>
      </c>
      <c r="X1358" s="116">
        <f>InputData!$C$85</f>
        <v>409020</v>
      </c>
      <c r="Y1358" s="116">
        <f>InputData!$C$116</f>
        <v>140000</v>
      </c>
      <c r="Z1358" s="160">
        <f>InputData!$E$13</f>
        <v>0</v>
      </c>
    </row>
    <row r="1359" spans="1:26" x14ac:dyDescent="0.25">
      <c r="A1359">
        <f>InputData!$K$1</f>
        <v>2013</v>
      </c>
      <c r="B1359" t="str">
        <f>InputData!$G$1</f>
        <v>San Antonio, TX</v>
      </c>
      <c r="C1359" t="s">
        <v>227</v>
      </c>
      <c r="D1359" t="str">
        <f>Graph_Ophtha!$G$6</f>
        <v>IBR</v>
      </c>
      <c r="E1359" t="str">
        <f t="shared" si="21"/>
        <v>Ophthalmology IBR</v>
      </c>
      <c r="F1359">
        <f>Graph_Ophtha!$A14</f>
        <v>2020</v>
      </c>
      <c r="G1359">
        <f>Graph_Ophtha!$B14</f>
        <v>8</v>
      </c>
      <c r="H1359" s="165">
        <f>Graph_Ophtha!$G14</f>
        <v>-46699.992676364229</v>
      </c>
      <c r="I1359" s="160">
        <f>InputData!$C$3</f>
        <v>0.02</v>
      </c>
      <c r="J1359" s="160">
        <f>InputData!$C$4</f>
        <v>0.01</v>
      </c>
      <c r="K1359" s="160">
        <f>InputData!$C$5</f>
        <v>0.01</v>
      </c>
      <c r="L1359" s="160">
        <f>InputData!$C$6</f>
        <v>6.2100000000000002E-2</v>
      </c>
      <c r="M1359" s="160">
        <f>InputData!$C$7</f>
        <v>0.03</v>
      </c>
      <c r="N1359" s="160">
        <f>InputData!$C$8</f>
        <v>0.02</v>
      </c>
      <c r="O1359" s="160">
        <f>InputData!$C$9</f>
        <v>0.06</v>
      </c>
      <c r="P1359" s="160">
        <f>InputData!$C$10</f>
        <v>0.02</v>
      </c>
      <c r="Q1359" s="160">
        <f>InputData!$C$11</f>
        <v>0.02</v>
      </c>
      <c r="R1359" s="160">
        <f>InputData!$C$12</f>
        <v>0.02</v>
      </c>
      <c r="S1359" s="160">
        <f>InputData!$C$13</f>
        <v>0.9</v>
      </c>
      <c r="T1359" s="116">
        <f>InputData!$C$88</f>
        <v>180000</v>
      </c>
      <c r="U1359" s="116">
        <f>InputData!$C$81</f>
        <v>178500</v>
      </c>
      <c r="V1359" s="116">
        <f>InputData!$C$82</f>
        <v>303960</v>
      </c>
      <c r="W1359" s="116">
        <f>InputData!$C$84</f>
        <v>215220</v>
      </c>
      <c r="X1359" s="116">
        <f>InputData!$C$85</f>
        <v>409020</v>
      </c>
      <c r="Y1359" s="116">
        <f>InputData!$C$116</f>
        <v>140000</v>
      </c>
      <c r="Z1359" s="160">
        <f>InputData!$E$13</f>
        <v>0</v>
      </c>
    </row>
    <row r="1360" spans="1:26" x14ac:dyDescent="0.25">
      <c r="A1360">
        <f>InputData!$K$1</f>
        <v>2013</v>
      </c>
      <c r="B1360" t="str">
        <f>InputData!$G$1</f>
        <v>San Antonio, TX</v>
      </c>
      <c r="C1360" t="s">
        <v>227</v>
      </c>
      <c r="D1360" t="str">
        <f>Graph_Ophtha!$G$6</f>
        <v>IBR</v>
      </c>
      <c r="E1360" t="str">
        <f t="shared" si="21"/>
        <v>Ophthalmology IBR</v>
      </c>
      <c r="F1360">
        <f>Graph_Ophtha!$A15</f>
        <v>2021</v>
      </c>
      <c r="G1360">
        <f>Graph_Ophtha!$B15</f>
        <v>9</v>
      </c>
      <c r="H1360" s="165">
        <f>Graph_Ophtha!$G15</f>
        <v>49775.138679855969</v>
      </c>
      <c r="I1360" s="160">
        <f>InputData!$C$3</f>
        <v>0.02</v>
      </c>
      <c r="J1360" s="160">
        <f>InputData!$C$4</f>
        <v>0.01</v>
      </c>
      <c r="K1360" s="160">
        <f>InputData!$C$5</f>
        <v>0.01</v>
      </c>
      <c r="L1360" s="160">
        <f>InputData!$C$6</f>
        <v>6.2100000000000002E-2</v>
      </c>
      <c r="M1360" s="160">
        <f>InputData!$C$7</f>
        <v>0.03</v>
      </c>
      <c r="N1360" s="160">
        <f>InputData!$C$8</f>
        <v>0.02</v>
      </c>
      <c r="O1360" s="160">
        <f>InputData!$C$9</f>
        <v>0.06</v>
      </c>
      <c r="P1360" s="160">
        <f>InputData!$C$10</f>
        <v>0.02</v>
      </c>
      <c r="Q1360" s="160">
        <f>InputData!$C$11</f>
        <v>0.02</v>
      </c>
      <c r="R1360" s="160">
        <f>InputData!$C$12</f>
        <v>0.02</v>
      </c>
      <c r="S1360" s="160">
        <f>InputData!$C$13</f>
        <v>0.9</v>
      </c>
      <c r="T1360" s="116">
        <f>InputData!$C$88</f>
        <v>180000</v>
      </c>
      <c r="U1360" s="116">
        <f>InputData!$C$81</f>
        <v>178500</v>
      </c>
      <c r="V1360" s="116">
        <f>InputData!$C$82</f>
        <v>303960</v>
      </c>
      <c r="W1360" s="116">
        <f>InputData!$C$84</f>
        <v>215220</v>
      </c>
      <c r="X1360" s="116">
        <f>InputData!$C$85</f>
        <v>409020</v>
      </c>
      <c r="Y1360" s="116">
        <f>InputData!$C$116</f>
        <v>140000</v>
      </c>
      <c r="Z1360" s="160">
        <f>InputData!$E$13</f>
        <v>0</v>
      </c>
    </row>
    <row r="1361" spans="1:26" x14ac:dyDescent="0.25">
      <c r="A1361">
        <f>InputData!$K$1</f>
        <v>2013</v>
      </c>
      <c r="B1361" t="str">
        <f>InputData!$G$1</f>
        <v>San Antonio, TX</v>
      </c>
      <c r="C1361" t="s">
        <v>227</v>
      </c>
      <c r="D1361" t="str">
        <f>Graph_Ophtha!$G$6</f>
        <v>IBR</v>
      </c>
      <c r="E1361" t="str">
        <f t="shared" si="21"/>
        <v>Ophthalmology IBR</v>
      </c>
      <c r="F1361">
        <f>Graph_Ophtha!$A16</f>
        <v>2022</v>
      </c>
      <c r="G1361">
        <f>Graph_Ophtha!$B16</f>
        <v>10</v>
      </c>
      <c r="H1361" s="165">
        <f>Graph_Ophtha!$G16</f>
        <v>139424.42404595815</v>
      </c>
      <c r="I1361" s="160">
        <f>InputData!$C$3</f>
        <v>0.02</v>
      </c>
      <c r="J1361" s="160">
        <f>InputData!$C$4</f>
        <v>0.01</v>
      </c>
      <c r="K1361" s="160">
        <f>InputData!$C$5</f>
        <v>0.01</v>
      </c>
      <c r="L1361" s="160">
        <f>InputData!$C$6</f>
        <v>6.2100000000000002E-2</v>
      </c>
      <c r="M1361" s="160">
        <f>InputData!$C$7</f>
        <v>0.03</v>
      </c>
      <c r="N1361" s="160">
        <f>InputData!$C$8</f>
        <v>0.02</v>
      </c>
      <c r="O1361" s="160">
        <f>InputData!$C$9</f>
        <v>0.06</v>
      </c>
      <c r="P1361" s="160">
        <f>InputData!$C$10</f>
        <v>0.02</v>
      </c>
      <c r="Q1361" s="160">
        <f>InputData!$C$11</f>
        <v>0.02</v>
      </c>
      <c r="R1361" s="160">
        <f>InputData!$C$12</f>
        <v>0.02</v>
      </c>
      <c r="S1361" s="160">
        <f>InputData!$C$13</f>
        <v>0.9</v>
      </c>
      <c r="T1361" s="116">
        <f>InputData!$C$88</f>
        <v>180000</v>
      </c>
      <c r="U1361" s="116">
        <f>InputData!$C$81</f>
        <v>178500</v>
      </c>
      <c r="V1361" s="116">
        <f>InputData!$C$82</f>
        <v>303960</v>
      </c>
      <c r="W1361" s="116">
        <f>InputData!$C$84</f>
        <v>215220</v>
      </c>
      <c r="X1361" s="116">
        <f>InputData!$C$85</f>
        <v>409020</v>
      </c>
      <c r="Y1361" s="116">
        <f>InputData!$C$116</f>
        <v>140000</v>
      </c>
      <c r="Z1361" s="160">
        <f>InputData!$E$13</f>
        <v>0</v>
      </c>
    </row>
    <row r="1362" spans="1:26" x14ac:dyDescent="0.25">
      <c r="A1362">
        <f>InputData!$K$1</f>
        <v>2013</v>
      </c>
      <c r="B1362" t="str">
        <f>InputData!$G$1</f>
        <v>San Antonio, TX</v>
      </c>
      <c r="C1362" t="s">
        <v>227</v>
      </c>
      <c r="D1362" t="str">
        <f>Graph_Ophtha!$G$6</f>
        <v>IBR</v>
      </c>
      <c r="E1362" t="str">
        <f t="shared" si="21"/>
        <v>Ophthalmology IBR</v>
      </c>
      <c r="F1362">
        <f>Graph_Ophtha!$A17</f>
        <v>2023</v>
      </c>
      <c r="G1362">
        <f>Graph_Ophtha!$B17</f>
        <v>11</v>
      </c>
      <c r="H1362" s="165">
        <f>Graph_Ophtha!$G17</f>
        <v>227217.99473273015</v>
      </c>
      <c r="I1362" s="160">
        <f>InputData!$C$3</f>
        <v>0.02</v>
      </c>
      <c r="J1362" s="160">
        <f>InputData!$C$4</f>
        <v>0.01</v>
      </c>
      <c r="K1362" s="160">
        <f>InputData!$C$5</f>
        <v>0.01</v>
      </c>
      <c r="L1362" s="160">
        <f>InputData!$C$6</f>
        <v>6.2100000000000002E-2</v>
      </c>
      <c r="M1362" s="160">
        <f>InputData!$C$7</f>
        <v>0.03</v>
      </c>
      <c r="N1362" s="160">
        <f>InputData!$C$8</f>
        <v>0.02</v>
      </c>
      <c r="O1362" s="160">
        <f>InputData!$C$9</f>
        <v>0.06</v>
      </c>
      <c r="P1362" s="160">
        <f>InputData!$C$10</f>
        <v>0.02</v>
      </c>
      <c r="Q1362" s="160">
        <f>InputData!$C$11</f>
        <v>0.02</v>
      </c>
      <c r="R1362" s="160">
        <f>InputData!$C$12</f>
        <v>0.02</v>
      </c>
      <c r="S1362" s="160">
        <f>InputData!$C$13</f>
        <v>0.9</v>
      </c>
      <c r="T1362" s="116">
        <f>InputData!$C$88</f>
        <v>180000</v>
      </c>
      <c r="U1362" s="116">
        <f>InputData!$C$81</f>
        <v>178500</v>
      </c>
      <c r="V1362" s="116">
        <f>InputData!$C$82</f>
        <v>303960</v>
      </c>
      <c r="W1362" s="116">
        <f>InputData!$C$84</f>
        <v>215220</v>
      </c>
      <c r="X1362" s="116">
        <f>InputData!$C$85</f>
        <v>409020</v>
      </c>
      <c r="Y1362" s="116">
        <f>InputData!$C$116</f>
        <v>140000</v>
      </c>
      <c r="Z1362" s="160">
        <f>InputData!$E$13</f>
        <v>0</v>
      </c>
    </row>
    <row r="1363" spans="1:26" x14ac:dyDescent="0.25">
      <c r="A1363">
        <f>InputData!$K$1</f>
        <v>2013</v>
      </c>
      <c r="B1363" t="str">
        <f>InputData!$G$1</f>
        <v>San Antonio, TX</v>
      </c>
      <c r="C1363" t="s">
        <v>227</v>
      </c>
      <c r="D1363" t="str">
        <f>Graph_Ophtha!$G$6</f>
        <v>IBR</v>
      </c>
      <c r="E1363" t="str">
        <f t="shared" si="21"/>
        <v>Ophthalmology IBR</v>
      </c>
      <c r="F1363">
        <f>Graph_Ophtha!$A18</f>
        <v>2024</v>
      </c>
      <c r="G1363">
        <f>Graph_Ophtha!$B18</f>
        <v>12</v>
      </c>
      <c r="H1363" s="165">
        <f>Graph_Ophtha!$G18</f>
        <v>313346.85363321711</v>
      </c>
      <c r="I1363" s="160">
        <f>InputData!$C$3</f>
        <v>0.02</v>
      </c>
      <c r="J1363" s="160">
        <f>InputData!$C$4</f>
        <v>0.01</v>
      </c>
      <c r="K1363" s="160">
        <f>InputData!$C$5</f>
        <v>0.01</v>
      </c>
      <c r="L1363" s="160">
        <f>InputData!$C$6</f>
        <v>6.2100000000000002E-2</v>
      </c>
      <c r="M1363" s="160">
        <f>InputData!$C$7</f>
        <v>0.03</v>
      </c>
      <c r="N1363" s="160">
        <f>InputData!$C$8</f>
        <v>0.02</v>
      </c>
      <c r="O1363" s="160">
        <f>InputData!$C$9</f>
        <v>0.06</v>
      </c>
      <c r="P1363" s="160">
        <f>InputData!$C$10</f>
        <v>0.02</v>
      </c>
      <c r="Q1363" s="160">
        <f>InputData!$C$11</f>
        <v>0.02</v>
      </c>
      <c r="R1363" s="160">
        <f>InputData!$C$12</f>
        <v>0.02</v>
      </c>
      <c r="S1363" s="160">
        <f>InputData!$C$13</f>
        <v>0.9</v>
      </c>
      <c r="T1363" s="116">
        <f>InputData!$C$88</f>
        <v>180000</v>
      </c>
      <c r="U1363" s="116">
        <f>InputData!$C$81</f>
        <v>178500</v>
      </c>
      <c r="V1363" s="116">
        <f>InputData!$C$82</f>
        <v>303960</v>
      </c>
      <c r="W1363" s="116">
        <f>InputData!$C$84</f>
        <v>215220</v>
      </c>
      <c r="X1363" s="116">
        <f>InputData!$C$85</f>
        <v>409020</v>
      </c>
      <c r="Y1363" s="116">
        <f>InputData!$C$116</f>
        <v>140000</v>
      </c>
      <c r="Z1363" s="160">
        <f>InputData!$E$13</f>
        <v>0</v>
      </c>
    </row>
    <row r="1364" spans="1:26" x14ac:dyDescent="0.25">
      <c r="A1364">
        <f>InputData!$K$1</f>
        <v>2013</v>
      </c>
      <c r="B1364" t="str">
        <f>InputData!$G$1</f>
        <v>San Antonio, TX</v>
      </c>
      <c r="C1364" t="s">
        <v>227</v>
      </c>
      <c r="D1364" t="str">
        <f>Graph_Ophtha!$G$6</f>
        <v>IBR</v>
      </c>
      <c r="E1364" t="str">
        <f t="shared" si="21"/>
        <v>Ophthalmology IBR</v>
      </c>
      <c r="F1364">
        <f>Graph_Ophtha!$A19</f>
        <v>2025</v>
      </c>
      <c r="G1364">
        <f>Graph_Ophtha!$B19</f>
        <v>13</v>
      </c>
      <c r="H1364" s="165">
        <f>Graph_Ophtha!$G19</f>
        <v>398301.13305121387</v>
      </c>
      <c r="I1364" s="160">
        <f>InputData!$C$3</f>
        <v>0.02</v>
      </c>
      <c r="J1364" s="160">
        <f>InputData!$C$4</f>
        <v>0.01</v>
      </c>
      <c r="K1364" s="160">
        <f>InputData!$C$5</f>
        <v>0.01</v>
      </c>
      <c r="L1364" s="160">
        <f>InputData!$C$6</f>
        <v>6.2100000000000002E-2</v>
      </c>
      <c r="M1364" s="160">
        <f>InputData!$C$7</f>
        <v>0.03</v>
      </c>
      <c r="N1364" s="160">
        <f>InputData!$C$8</f>
        <v>0.02</v>
      </c>
      <c r="O1364" s="160">
        <f>InputData!$C$9</f>
        <v>0.06</v>
      </c>
      <c r="P1364" s="160">
        <f>InputData!$C$10</f>
        <v>0.02</v>
      </c>
      <c r="Q1364" s="160">
        <f>InputData!$C$11</f>
        <v>0.02</v>
      </c>
      <c r="R1364" s="160">
        <f>InputData!$C$12</f>
        <v>0.02</v>
      </c>
      <c r="S1364" s="160">
        <f>InputData!$C$13</f>
        <v>0.9</v>
      </c>
      <c r="T1364" s="116">
        <f>InputData!$C$88</f>
        <v>180000</v>
      </c>
      <c r="U1364" s="116">
        <f>InputData!$C$81</f>
        <v>178500</v>
      </c>
      <c r="V1364" s="116">
        <f>InputData!$C$82</f>
        <v>303960</v>
      </c>
      <c r="W1364" s="116">
        <f>InputData!$C$84</f>
        <v>215220</v>
      </c>
      <c r="X1364" s="116">
        <f>InputData!$C$85</f>
        <v>409020</v>
      </c>
      <c r="Y1364" s="116">
        <f>InputData!$C$116</f>
        <v>140000</v>
      </c>
      <c r="Z1364" s="160">
        <f>InputData!$E$13</f>
        <v>0</v>
      </c>
    </row>
    <row r="1365" spans="1:26" x14ac:dyDescent="0.25">
      <c r="A1365">
        <f>InputData!$K$1</f>
        <v>2013</v>
      </c>
      <c r="B1365" t="str">
        <f>InputData!$G$1</f>
        <v>San Antonio, TX</v>
      </c>
      <c r="C1365" t="s">
        <v>227</v>
      </c>
      <c r="D1365" t="str">
        <f>Graph_Ophtha!$G$6</f>
        <v>IBR</v>
      </c>
      <c r="E1365" t="str">
        <f t="shared" si="21"/>
        <v>Ophthalmology IBR</v>
      </c>
      <c r="F1365">
        <f>Graph_Ophtha!$A20</f>
        <v>2026</v>
      </c>
      <c r="G1365">
        <f>Graph_Ophtha!$B20</f>
        <v>14</v>
      </c>
      <c r="H1365" s="165">
        <f>Graph_Ophtha!$G20</f>
        <v>482077.67948202114</v>
      </c>
      <c r="I1365" s="160">
        <f>InputData!$C$3</f>
        <v>0.02</v>
      </c>
      <c r="J1365" s="160">
        <f>InputData!$C$4</f>
        <v>0.01</v>
      </c>
      <c r="K1365" s="160">
        <f>InputData!$C$5</f>
        <v>0.01</v>
      </c>
      <c r="L1365" s="160">
        <f>InputData!$C$6</f>
        <v>6.2100000000000002E-2</v>
      </c>
      <c r="M1365" s="160">
        <f>InputData!$C$7</f>
        <v>0.03</v>
      </c>
      <c r="N1365" s="160">
        <f>InputData!$C$8</f>
        <v>0.02</v>
      </c>
      <c r="O1365" s="160">
        <f>InputData!$C$9</f>
        <v>0.06</v>
      </c>
      <c r="P1365" s="160">
        <f>InputData!$C$10</f>
        <v>0.02</v>
      </c>
      <c r="Q1365" s="160">
        <f>InputData!$C$11</f>
        <v>0.02</v>
      </c>
      <c r="R1365" s="160">
        <f>InputData!$C$12</f>
        <v>0.02</v>
      </c>
      <c r="S1365" s="160">
        <f>InputData!$C$13</f>
        <v>0.9</v>
      </c>
      <c r="T1365" s="116">
        <f>InputData!$C$88</f>
        <v>180000</v>
      </c>
      <c r="U1365" s="116">
        <f>InputData!$C$81</f>
        <v>178500</v>
      </c>
      <c r="V1365" s="116">
        <f>InputData!$C$82</f>
        <v>303960</v>
      </c>
      <c r="W1365" s="116">
        <f>InputData!$C$84</f>
        <v>215220</v>
      </c>
      <c r="X1365" s="116">
        <f>InputData!$C$85</f>
        <v>409020</v>
      </c>
      <c r="Y1365" s="116">
        <f>InputData!$C$116</f>
        <v>140000</v>
      </c>
      <c r="Z1365" s="160">
        <f>InputData!$E$13</f>
        <v>0</v>
      </c>
    </row>
    <row r="1366" spans="1:26" x14ac:dyDescent="0.25">
      <c r="A1366">
        <f>InputData!$K$1</f>
        <v>2013</v>
      </c>
      <c r="B1366" t="str">
        <f>InputData!$G$1</f>
        <v>San Antonio, TX</v>
      </c>
      <c r="C1366" t="s">
        <v>227</v>
      </c>
      <c r="D1366" t="str">
        <f>Graph_Ophtha!$G$6</f>
        <v>IBR</v>
      </c>
      <c r="E1366" t="str">
        <f t="shared" si="21"/>
        <v>Ophthalmology IBR</v>
      </c>
      <c r="F1366">
        <f>Graph_Ophtha!$A21</f>
        <v>2027</v>
      </c>
      <c r="G1366">
        <f>Graph_Ophtha!$B21</f>
        <v>15</v>
      </c>
      <c r="H1366" s="165">
        <f>Graph_Ophtha!$G21</f>
        <v>564674.70367817418</v>
      </c>
      <c r="I1366" s="160">
        <f>InputData!$C$3</f>
        <v>0.02</v>
      </c>
      <c r="J1366" s="160">
        <f>InputData!$C$4</f>
        <v>0.01</v>
      </c>
      <c r="K1366" s="160">
        <f>InputData!$C$5</f>
        <v>0.01</v>
      </c>
      <c r="L1366" s="160">
        <f>InputData!$C$6</f>
        <v>6.2100000000000002E-2</v>
      </c>
      <c r="M1366" s="160">
        <f>InputData!$C$7</f>
        <v>0.03</v>
      </c>
      <c r="N1366" s="160">
        <f>InputData!$C$8</f>
        <v>0.02</v>
      </c>
      <c r="O1366" s="160">
        <f>InputData!$C$9</f>
        <v>0.06</v>
      </c>
      <c r="P1366" s="160">
        <f>InputData!$C$10</f>
        <v>0.02</v>
      </c>
      <c r="Q1366" s="160">
        <f>InputData!$C$11</f>
        <v>0.02</v>
      </c>
      <c r="R1366" s="160">
        <f>InputData!$C$12</f>
        <v>0.02</v>
      </c>
      <c r="S1366" s="160">
        <f>InputData!$C$13</f>
        <v>0.9</v>
      </c>
      <c r="T1366" s="116">
        <f>InputData!$C$88</f>
        <v>180000</v>
      </c>
      <c r="U1366" s="116">
        <f>InputData!$C$81</f>
        <v>178500</v>
      </c>
      <c r="V1366" s="116">
        <f>InputData!$C$82</f>
        <v>303960</v>
      </c>
      <c r="W1366" s="116">
        <f>InputData!$C$84</f>
        <v>215220</v>
      </c>
      <c r="X1366" s="116">
        <f>InputData!$C$85</f>
        <v>409020</v>
      </c>
      <c r="Y1366" s="116">
        <f>InputData!$C$116</f>
        <v>140000</v>
      </c>
      <c r="Z1366" s="160">
        <f>InputData!$E$13</f>
        <v>0</v>
      </c>
    </row>
    <row r="1367" spans="1:26" x14ac:dyDescent="0.25">
      <c r="A1367">
        <f>InputData!$K$1</f>
        <v>2013</v>
      </c>
      <c r="B1367" t="str">
        <f>InputData!$G$1</f>
        <v>San Antonio, TX</v>
      </c>
      <c r="C1367" t="s">
        <v>227</v>
      </c>
      <c r="D1367" t="str">
        <f>Graph_Ophtha!$G$6</f>
        <v>IBR</v>
      </c>
      <c r="E1367" t="str">
        <f t="shared" si="21"/>
        <v>Ophthalmology IBR</v>
      </c>
      <c r="F1367">
        <f>Graph_Ophtha!$A22</f>
        <v>2028</v>
      </c>
      <c r="G1367">
        <f>Graph_Ophtha!$B22</f>
        <v>16</v>
      </c>
      <c r="H1367" s="165">
        <f>Graph_Ophtha!$G22</f>
        <v>646091.68996774789</v>
      </c>
      <c r="I1367" s="160">
        <f>InputData!$C$3</f>
        <v>0.02</v>
      </c>
      <c r="J1367" s="160">
        <f>InputData!$C$4</f>
        <v>0.01</v>
      </c>
      <c r="K1367" s="160">
        <f>InputData!$C$5</f>
        <v>0.01</v>
      </c>
      <c r="L1367" s="160">
        <f>InputData!$C$6</f>
        <v>6.2100000000000002E-2</v>
      </c>
      <c r="M1367" s="160">
        <f>InputData!$C$7</f>
        <v>0.03</v>
      </c>
      <c r="N1367" s="160">
        <f>InputData!$C$8</f>
        <v>0.02</v>
      </c>
      <c r="O1367" s="160">
        <f>InputData!$C$9</f>
        <v>0.06</v>
      </c>
      <c r="P1367" s="160">
        <f>InputData!$C$10</f>
        <v>0.02</v>
      </c>
      <c r="Q1367" s="160">
        <f>InputData!$C$11</f>
        <v>0.02</v>
      </c>
      <c r="R1367" s="160">
        <f>InputData!$C$12</f>
        <v>0.02</v>
      </c>
      <c r="S1367" s="160">
        <f>InputData!$C$13</f>
        <v>0.9</v>
      </c>
      <c r="T1367" s="116">
        <f>InputData!$C$88</f>
        <v>180000</v>
      </c>
      <c r="U1367" s="116">
        <f>InputData!$C$81</f>
        <v>178500</v>
      </c>
      <c r="V1367" s="116">
        <f>InputData!$C$82</f>
        <v>303960</v>
      </c>
      <c r="W1367" s="116">
        <f>InputData!$C$84</f>
        <v>215220</v>
      </c>
      <c r="X1367" s="116">
        <f>InputData!$C$85</f>
        <v>409020</v>
      </c>
      <c r="Y1367" s="116">
        <f>InputData!$C$116</f>
        <v>140000</v>
      </c>
      <c r="Z1367" s="160">
        <f>InputData!$E$13</f>
        <v>0</v>
      </c>
    </row>
    <row r="1368" spans="1:26" x14ac:dyDescent="0.25">
      <c r="A1368">
        <f>InputData!$K$1</f>
        <v>2013</v>
      </c>
      <c r="B1368" t="str">
        <f>InputData!$G$1</f>
        <v>San Antonio, TX</v>
      </c>
      <c r="C1368" t="s">
        <v>227</v>
      </c>
      <c r="D1368" t="str">
        <f>Graph_Ophtha!$G$6</f>
        <v>IBR</v>
      </c>
      <c r="E1368" t="str">
        <f t="shared" si="21"/>
        <v>Ophthalmology IBR</v>
      </c>
      <c r="F1368">
        <f>Graph_Ophtha!$A23</f>
        <v>2029</v>
      </c>
      <c r="G1368">
        <f>Graph_Ophtha!$B23</f>
        <v>17</v>
      </c>
      <c r="H1368" s="165">
        <f>Graph_Ophtha!$G23</f>
        <v>726329.31046490453</v>
      </c>
      <c r="I1368" s="160">
        <f>InputData!$C$3</f>
        <v>0.02</v>
      </c>
      <c r="J1368" s="160">
        <f>InputData!$C$4</f>
        <v>0.01</v>
      </c>
      <c r="K1368" s="160">
        <f>InputData!$C$5</f>
        <v>0.01</v>
      </c>
      <c r="L1368" s="160">
        <f>InputData!$C$6</f>
        <v>6.2100000000000002E-2</v>
      </c>
      <c r="M1368" s="160">
        <f>InputData!$C$7</f>
        <v>0.03</v>
      </c>
      <c r="N1368" s="160">
        <f>InputData!$C$8</f>
        <v>0.02</v>
      </c>
      <c r="O1368" s="160">
        <f>InputData!$C$9</f>
        <v>0.06</v>
      </c>
      <c r="P1368" s="160">
        <f>InputData!$C$10</f>
        <v>0.02</v>
      </c>
      <c r="Q1368" s="160">
        <f>InputData!$C$11</f>
        <v>0.02</v>
      </c>
      <c r="R1368" s="160">
        <f>InputData!$C$12</f>
        <v>0.02</v>
      </c>
      <c r="S1368" s="160">
        <f>InputData!$C$13</f>
        <v>0.9</v>
      </c>
      <c r="T1368" s="116">
        <f>InputData!$C$88</f>
        <v>180000</v>
      </c>
      <c r="U1368" s="116">
        <f>InputData!$C$81</f>
        <v>178500</v>
      </c>
      <c r="V1368" s="116">
        <f>InputData!$C$82</f>
        <v>303960</v>
      </c>
      <c r="W1368" s="116">
        <f>InputData!$C$84</f>
        <v>215220</v>
      </c>
      <c r="X1368" s="116">
        <f>InputData!$C$85</f>
        <v>409020</v>
      </c>
      <c r="Y1368" s="116">
        <f>InputData!$C$116</f>
        <v>140000</v>
      </c>
      <c r="Z1368" s="160">
        <f>InputData!$E$13</f>
        <v>0</v>
      </c>
    </row>
    <row r="1369" spans="1:26" x14ac:dyDescent="0.25">
      <c r="A1369">
        <f>InputData!$K$1</f>
        <v>2013</v>
      </c>
      <c r="B1369" t="str">
        <f>InputData!$G$1</f>
        <v>San Antonio, TX</v>
      </c>
      <c r="C1369" t="s">
        <v>227</v>
      </c>
      <c r="D1369" t="str">
        <f>Graph_Ophtha!$G$6</f>
        <v>IBR</v>
      </c>
      <c r="E1369" t="str">
        <f t="shared" si="21"/>
        <v>Ophthalmology IBR</v>
      </c>
      <c r="F1369">
        <f>Graph_Ophtha!$A24</f>
        <v>2030</v>
      </c>
      <c r="G1369">
        <f>Graph_Ophtha!$B24</f>
        <v>18</v>
      </c>
      <c r="H1369" s="165">
        <f>Graph_Ophtha!$G24</f>
        <v>805389.34392574977</v>
      </c>
      <c r="I1369" s="160">
        <f>InputData!$C$3</f>
        <v>0.02</v>
      </c>
      <c r="J1369" s="160">
        <f>InputData!$C$4</f>
        <v>0.01</v>
      </c>
      <c r="K1369" s="160">
        <f>InputData!$C$5</f>
        <v>0.01</v>
      </c>
      <c r="L1369" s="160">
        <f>InputData!$C$6</f>
        <v>6.2100000000000002E-2</v>
      </c>
      <c r="M1369" s="160">
        <f>InputData!$C$7</f>
        <v>0.03</v>
      </c>
      <c r="N1369" s="160">
        <f>InputData!$C$8</f>
        <v>0.02</v>
      </c>
      <c r="O1369" s="160">
        <f>InputData!$C$9</f>
        <v>0.06</v>
      </c>
      <c r="P1369" s="160">
        <f>InputData!$C$10</f>
        <v>0.02</v>
      </c>
      <c r="Q1369" s="160">
        <f>InputData!$C$11</f>
        <v>0.02</v>
      </c>
      <c r="R1369" s="160">
        <f>InputData!$C$12</f>
        <v>0.02</v>
      </c>
      <c r="S1369" s="160">
        <f>InputData!$C$13</f>
        <v>0.9</v>
      </c>
      <c r="T1369" s="116">
        <f>InputData!$C$88</f>
        <v>180000</v>
      </c>
      <c r="U1369" s="116">
        <f>InputData!$C$81</f>
        <v>178500</v>
      </c>
      <c r="V1369" s="116">
        <f>InputData!$C$82</f>
        <v>303960</v>
      </c>
      <c r="W1369" s="116">
        <f>InputData!$C$84</f>
        <v>215220</v>
      </c>
      <c r="X1369" s="116">
        <f>InputData!$C$85</f>
        <v>409020</v>
      </c>
      <c r="Y1369" s="116">
        <f>InputData!$C$116</f>
        <v>140000</v>
      </c>
      <c r="Z1369" s="160">
        <f>InputData!$E$13</f>
        <v>0</v>
      </c>
    </row>
    <row r="1370" spans="1:26" x14ac:dyDescent="0.25">
      <c r="A1370">
        <f>InputData!$K$1</f>
        <v>2013</v>
      </c>
      <c r="B1370" t="str">
        <f>InputData!$G$1</f>
        <v>San Antonio, TX</v>
      </c>
      <c r="C1370" t="s">
        <v>227</v>
      </c>
      <c r="D1370" t="str">
        <f>Graph_Ophtha!$G$6</f>
        <v>IBR</v>
      </c>
      <c r="E1370" t="str">
        <f t="shared" si="21"/>
        <v>Ophthalmology IBR</v>
      </c>
      <c r="F1370">
        <f>Graph_Ophtha!$A25</f>
        <v>2031</v>
      </c>
      <c r="G1370">
        <f>Graph_Ophtha!$B25</f>
        <v>19</v>
      </c>
      <c r="H1370" s="165">
        <f>Graph_Ophtha!$G25</f>
        <v>895502.45899216679</v>
      </c>
      <c r="I1370" s="160">
        <f>InputData!$C$3</f>
        <v>0.02</v>
      </c>
      <c r="J1370" s="160">
        <f>InputData!$C$4</f>
        <v>0.01</v>
      </c>
      <c r="K1370" s="160">
        <f>InputData!$C$5</f>
        <v>0.01</v>
      </c>
      <c r="L1370" s="160">
        <f>InputData!$C$6</f>
        <v>6.2100000000000002E-2</v>
      </c>
      <c r="M1370" s="160">
        <f>InputData!$C$7</f>
        <v>0.03</v>
      </c>
      <c r="N1370" s="160">
        <f>InputData!$C$8</f>
        <v>0.02</v>
      </c>
      <c r="O1370" s="160">
        <f>InputData!$C$9</f>
        <v>0.06</v>
      </c>
      <c r="P1370" s="160">
        <f>InputData!$C$10</f>
        <v>0.02</v>
      </c>
      <c r="Q1370" s="160">
        <f>InputData!$C$11</f>
        <v>0.02</v>
      </c>
      <c r="R1370" s="160">
        <f>InputData!$C$12</f>
        <v>0.02</v>
      </c>
      <c r="S1370" s="160">
        <f>InputData!$C$13</f>
        <v>0.9</v>
      </c>
      <c r="T1370" s="116">
        <f>InputData!$C$88</f>
        <v>180000</v>
      </c>
      <c r="U1370" s="116">
        <f>InputData!$C$81</f>
        <v>178500</v>
      </c>
      <c r="V1370" s="116">
        <f>InputData!$C$82</f>
        <v>303960</v>
      </c>
      <c r="W1370" s="116">
        <f>InputData!$C$84</f>
        <v>215220</v>
      </c>
      <c r="X1370" s="116">
        <f>InputData!$C$85</f>
        <v>409020</v>
      </c>
      <c r="Y1370" s="116">
        <f>InputData!$C$116</f>
        <v>140000</v>
      </c>
      <c r="Z1370" s="160">
        <f>InputData!$E$13</f>
        <v>0</v>
      </c>
    </row>
    <row r="1371" spans="1:26" x14ac:dyDescent="0.25">
      <c r="A1371">
        <f>InputData!$K$1</f>
        <v>2013</v>
      </c>
      <c r="B1371" t="str">
        <f>InputData!$G$1</f>
        <v>San Antonio, TX</v>
      </c>
      <c r="C1371" t="s">
        <v>227</v>
      </c>
      <c r="D1371" t="str">
        <f>Graph_Ophtha!$G$6</f>
        <v>IBR</v>
      </c>
      <c r="E1371" t="str">
        <f t="shared" si="21"/>
        <v>Ophthalmology IBR</v>
      </c>
      <c r="F1371">
        <f>Graph_Ophtha!$A26</f>
        <v>2032</v>
      </c>
      <c r="G1371">
        <f>Graph_Ophtha!$B26</f>
        <v>20</v>
      </c>
      <c r="H1371" s="165">
        <f>Graph_Ophtha!$G26</f>
        <v>986107.24876954639</v>
      </c>
      <c r="I1371" s="160">
        <f>InputData!$C$3</f>
        <v>0.02</v>
      </c>
      <c r="J1371" s="160">
        <f>InputData!$C$4</f>
        <v>0.01</v>
      </c>
      <c r="K1371" s="160">
        <f>InputData!$C$5</f>
        <v>0.01</v>
      </c>
      <c r="L1371" s="160">
        <f>InputData!$C$6</f>
        <v>6.2100000000000002E-2</v>
      </c>
      <c r="M1371" s="160">
        <f>InputData!$C$7</f>
        <v>0.03</v>
      </c>
      <c r="N1371" s="160">
        <f>InputData!$C$8</f>
        <v>0.02</v>
      </c>
      <c r="O1371" s="160">
        <f>InputData!$C$9</f>
        <v>0.06</v>
      </c>
      <c r="P1371" s="160">
        <f>InputData!$C$10</f>
        <v>0.02</v>
      </c>
      <c r="Q1371" s="160">
        <f>InputData!$C$11</f>
        <v>0.02</v>
      </c>
      <c r="R1371" s="160">
        <f>InputData!$C$12</f>
        <v>0.02</v>
      </c>
      <c r="S1371" s="160">
        <f>InputData!$C$13</f>
        <v>0.9</v>
      </c>
      <c r="T1371" s="116">
        <f>InputData!$C$88</f>
        <v>180000</v>
      </c>
      <c r="U1371" s="116">
        <f>InputData!$C$81</f>
        <v>178500</v>
      </c>
      <c r="V1371" s="116">
        <f>InputData!$C$82</f>
        <v>303960</v>
      </c>
      <c r="W1371" s="116">
        <f>InputData!$C$84</f>
        <v>215220</v>
      </c>
      <c r="X1371" s="116">
        <f>InputData!$C$85</f>
        <v>409020</v>
      </c>
      <c r="Y1371" s="116">
        <f>InputData!$C$116</f>
        <v>140000</v>
      </c>
      <c r="Z1371" s="160">
        <f>InputData!$E$13</f>
        <v>0</v>
      </c>
    </row>
    <row r="1372" spans="1:26" x14ac:dyDescent="0.25">
      <c r="A1372">
        <f>InputData!$K$1</f>
        <v>2013</v>
      </c>
      <c r="B1372" t="str">
        <f>InputData!$G$1</f>
        <v>San Antonio, TX</v>
      </c>
      <c r="C1372" t="s">
        <v>227</v>
      </c>
      <c r="D1372" t="str">
        <f>Graph_Ophtha!$G$6</f>
        <v>IBR</v>
      </c>
      <c r="E1372" t="str">
        <f t="shared" si="21"/>
        <v>Ophthalmology IBR</v>
      </c>
      <c r="F1372">
        <f>Graph_Ophtha!$A27</f>
        <v>2033</v>
      </c>
      <c r="G1372">
        <f>Graph_Ophtha!$B27</f>
        <v>21</v>
      </c>
      <c r="H1372" s="165">
        <f>Graph_Ophtha!$G27</f>
        <v>1074876.6712337055</v>
      </c>
      <c r="I1372" s="160">
        <f>InputData!$C$3</f>
        <v>0.02</v>
      </c>
      <c r="J1372" s="160">
        <f>InputData!$C$4</f>
        <v>0.01</v>
      </c>
      <c r="K1372" s="160">
        <f>InputData!$C$5</f>
        <v>0.01</v>
      </c>
      <c r="L1372" s="160">
        <f>InputData!$C$6</f>
        <v>6.2100000000000002E-2</v>
      </c>
      <c r="M1372" s="160">
        <f>InputData!$C$7</f>
        <v>0.03</v>
      </c>
      <c r="N1372" s="160">
        <f>InputData!$C$8</f>
        <v>0.02</v>
      </c>
      <c r="O1372" s="160">
        <f>InputData!$C$9</f>
        <v>0.06</v>
      </c>
      <c r="P1372" s="160">
        <f>InputData!$C$10</f>
        <v>0.02</v>
      </c>
      <c r="Q1372" s="160">
        <f>InputData!$C$11</f>
        <v>0.02</v>
      </c>
      <c r="R1372" s="160">
        <f>InputData!$C$12</f>
        <v>0.02</v>
      </c>
      <c r="S1372" s="160">
        <f>InputData!$C$13</f>
        <v>0.9</v>
      </c>
      <c r="T1372" s="116">
        <f>InputData!$C$88</f>
        <v>180000</v>
      </c>
      <c r="U1372" s="116">
        <f>InputData!$C$81</f>
        <v>178500</v>
      </c>
      <c r="V1372" s="116">
        <f>InputData!$C$82</f>
        <v>303960</v>
      </c>
      <c r="W1372" s="116">
        <f>InputData!$C$84</f>
        <v>215220</v>
      </c>
      <c r="X1372" s="116">
        <f>InputData!$C$85</f>
        <v>409020</v>
      </c>
      <c r="Y1372" s="116">
        <f>InputData!$C$116</f>
        <v>140000</v>
      </c>
      <c r="Z1372" s="160">
        <f>InputData!$E$13</f>
        <v>0</v>
      </c>
    </row>
    <row r="1373" spans="1:26" x14ac:dyDescent="0.25">
      <c r="A1373">
        <f>InputData!$K$1</f>
        <v>2013</v>
      </c>
      <c r="B1373" t="str">
        <f>InputData!$G$1</f>
        <v>San Antonio, TX</v>
      </c>
      <c r="C1373" t="s">
        <v>227</v>
      </c>
      <c r="D1373" t="str">
        <f>Graph_Ophtha!$G$6</f>
        <v>IBR</v>
      </c>
      <c r="E1373" t="str">
        <f t="shared" si="21"/>
        <v>Ophthalmology IBR</v>
      </c>
      <c r="F1373">
        <f>Graph_Ophtha!$A28</f>
        <v>2034</v>
      </c>
      <c r="G1373">
        <f>Graph_Ophtha!$B28</f>
        <v>22</v>
      </c>
      <c r="H1373" s="165">
        <f>Graph_Ophtha!$G28</f>
        <v>1161848.4266821602</v>
      </c>
      <c r="I1373" s="160">
        <f>InputData!$C$3</f>
        <v>0.02</v>
      </c>
      <c r="J1373" s="160">
        <f>InputData!$C$4</f>
        <v>0.01</v>
      </c>
      <c r="K1373" s="160">
        <f>InputData!$C$5</f>
        <v>0.01</v>
      </c>
      <c r="L1373" s="160">
        <f>InputData!$C$6</f>
        <v>6.2100000000000002E-2</v>
      </c>
      <c r="M1373" s="160">
        <f>InputData!$C$7</f>
        <v>0.03</v>
      </c>
      <c r="N1373" s="160">
        <f>InputData!$C$8</f>
        <v>0.02</v>
      </c>
      <c r="O1373" s="160">
        <f>InputData!$C$9</f>
        <v>0.06</v>
      </c>
      <c r="P1373" s="160">
        <f>InputData!$C$10</f>
        <v>0.02</v>
      </c>
      <c r="Q1373" s="160">
        <f>InputData!$C$11</f>
        <v>0.02</v>
      </c>
      <c r="R1373" s="160">
        <f>InputData!$C$12</f>
        <v>0.02</v>
      </c>
      <c r="S1373" s="160">
        <f>InputData!$C$13</f>
        <v>0.9</v>
      </c>
      <c r="T1373" s="116">
        <f>InputData!$C$88</f>
        <v>180000</v>
      </c>
      <c r="U1373" s="116">
        <f>InputData!$C$81</f>
        <v>178500</v>
      </c>
      <c r="V1373" s="116">
        <f>InputData!$C$82</f>
        <v>303960</v>
      </c>
      <c r="W1373" s="116">
        <f>InputData!$C$84</f>
        <v>215220</v>
      </c>
      <c r="X1373" s="116">
        <f>InputData!$C$85</f>
        <v>409020</v>
      </c>
      <c r="Y1373" s="116">
        <f>InputData!$C$116</f>
        <v>140000</v>
      </c>
      <c r="Z1373" s="160">
        <f>InputData!$E$13</f>
        <v>0</v>
      </c>
    </row>
    <row r="1374" spans="1:26" x14ac:dyDescent="0.25">
      <c r="A1374">
        <f>InputData!$K$1</f>
        <v>2013</v>
      </c>
      <c r="B1374" t="str">
        <f>InputData!$G$1</f>
        <v>San Antonio, TX</v>
      </c>
      <c r="C1374" t="s">
        <v>227</v>
      </c>
      <c r="D1374" t="str">
        <f>Graph_Ophtha!$G$6</f>
        <v>IBR</v>
      </c>
      <c r="E1374" t="str">
        <f t="shared" si="21"/>
        <v>Ophthalmology IBR</v>
      </c>
      <c r="F1374">
        <f>Graph_Ophtha!$A29</f>
        <v>2035</v>
      </c>
      <c r="G1374">
        <f>Graph_Ophtha!$B29</f>
        <v>23</v>
      </c>
      <c r="H1374" s="165">
        <f>Graph_Ophtha!$G29</f>
        <v>1247059.4263063492</v>
      </c>
      <c r="I1374" s="160">
        <f>InputData!$C$3</f>
        <v>0.02</v>
      </c>
      <c r="J1374" s="160">
        <f>InputData!$C$4</f>
        <v>0.01</v>
      </c>
      <c r="K1374" s="160">
        <f>InputData!$C$5</f>
        <v>0.01</v>
      </c>
      <c r="L1374" s="160">
        <f>InputData!$C$6</f>
        <v>6.2100000000000002E-2</v>
      </c>
      <c r="M1374" s="160">
        <f>InputData!$C$7</f>
        <v>0.03</v>
      </c>
      <c r="N1374" s="160">
        <f>InputData!$C$8</f>
        <v>0.02</v>
      </c>
      <c r="O1374" s="160">
        <f>InputData!$C$9</f>
        <v>0.06</v>
      </c>
      <c r="P1374" s="160">
        <f>InputData!$C$10</f>
        <v>0.02</v>
      </c>
      <c r="Q1374" s="160">
        <f>InputData!$C$11</f>
        <v>0.02</v>
      </c>
      <c r="R1374" s="160">
        <f>InputData!$C$12</f>
        <v>0.02</v>
      </c>
      <c r="S1374" s="160">
        <f>InputData!$C$13</f>
        <v>0.9</v>
      </c>
      <c r="T1374" s="116">
        <f>InputData!$C$88</f>
        <v>180000</v>
      </c>
      <c r="U1374" s="116">
        <f>InputData!$C$81</f>
        <v>178500</v>
      </c>
      <c r="V1374" s="116">
        <f>InputData!$C$82</f>
        <v>303960</v>
      </c>
      <c r="W1374" s="116">
        <f>InputData!$C$84</f>
        <v>215220</v>
      </c>
      <c r="X1374" s="116">
        <f>InputData!$C$85</f>
        <v>409020</v>
      </c>
      <c r="Y1374" s="116">
        <f>InputData!$C$116</f>
        <v>140000</v>
      </c>
      <c r="Z1374" s="160">
        <f>InputData!$E$13</f>
        <v>0</v>
      </c>
    </row>
    <row r="1375" spans="1:26" x14ac:dyDescent="0.25">
      <c r="A1375">
        <f>InputData!$K$1</f>
        <v>2013</v>
      </c>
      <c r="B1375" t="str">
        <f>InputData!$G$1</f>
        <v>San Antonio, TX</v>
      </c>
      <c r="C1375" t="s">
        <v>227</v>
      </c>
      <c r="D1375" t="str">
        <f>Graph_Ophtha!$G$6</f>
        <v>IBR</v>
      </c>
      <c r="E1375" t="str">
        <f t="shared" si="21"/>
        <v>Ophthalmology IBR</v>
      </c>
      <c r="F1375">
        <f>Graph_Ophtha!$A30</f>
        <v>2036</v>
      </c>
      <c r="G1375">
        <f>Graph_Ophtha!$B30</f>
        <v>24</v>
      </c>
      <c r="H1375" s="165">
        <f>Graph_Ophtha!$G30</f>
        <v>1330545.8091172504</v>
      </c>
      <c r="I1375" s="160">
        <f>InputData!$C$3</f>
        <v>0.02</v>
      </c>
      <c r="J1375" s="160">
        <f>InputData!$C$4</f>
        <v>0.01</v>
      </c>
      <c r="K1375" s="160">
        <f>InputData!$C$5</f>
        <v>0.01</v>
      </c>
      <c r="L1375" s="160">
        <f>InputData!$C$6</f>
        <v>6.2100000000000002E-2</v>
      </c>
      <c r="M1375" s="160">
        <f>InputData!$C$7</f>
        <v>0.03</v>
      </c>
      <c r="N1375" s="160">
        <f>InputData!$C$8</f>
        <v>0.02</v>
      </c>
      <c r="O1375" s="160">
        <f>InputData!$C$9</f>
        <v>0.06</v>
      </c>
      <c r="P1375" s="160">
        <f>InputData!$C$10</f>
        <v>0.02</v>
      </c>
      <c r="Q1375" s="160">
        <f>InputData!$C$11</f>
        <v>0.02</v>
      </c>
      <c r="R1375" s="160">
        <f>InputData!$C$12</f>
        <v>0.02</v>
      </c>
      <c r="S1375" s="160">
        <f>InputData!$C$13</f>
        <v>0.9</v>
      </c>
      <c r="T1375" s="116">
        <f>InputData!$C$88</f>
        <v>180000</v>
      </c>
      <c r="U1375" s="116">
        <f>InputData!$C$81</f>
        <v>178500</v>
      </c>
      <c r="V1375" s="116">
        <f>InputData!$C$82</f>
        <v>303960</v>
      </c>
      <c r="W1375" s="116">
        <f>InputData!$C$84</f>
        <v>215220</v>
      </c>
      <c r="X1375" s="116">
        <f>InputData!$C$85</f>
        <v>409020</v>
      </c>
      <c r="Y1375" s="116">
        <f>InputData!$C$116</f>
        <v>140000</v>
      </c>
      <c r="Z1375" s="160">
        <f>InputData!$E$13</f>
        <v>0</v>
      </c>
    </row>
    <row r="1376" spans="1:26" x14ac:dyDescent="0.25">
      <c r="A1376">
        <f>InputData!$K$1</f>
        <v>2013</v>
      </c>
      <c r="B1376" t="str">
        <f>InputData!$G$1</f>
        <v>San Antonio, TX</v>
      </c>
      <c r="C1376" t="s">
        <v>227</v>
      </c>
      <c r="D1376" t="str">
        <f>Graph_Ophtha!$G$6</f>
        <v>IBR</v>
      </c>
      <c r="E1376" t="str">
        <f t="shared" si="21"/>
        <v>Ophthalmology IBR</v>
      </c>
      <c r="F1376">
        <f>Graph_Ophtha!$A31</f>
        <v>2037</v>
      </c>
      <c r="G1376">
        <f>Graph_Ophtha!$B31</f>
        <v>25</v>
      </c>
      <c r="H1376" s="165">
        <f>Graph_Ophtha!$G31</f>
        <v>1412342.9584968034</v>
      </c>
      <c r="I1376" s="160">
        <f>InputData!$C$3</f>
        <v>0.02</v>
      </c>
      <c r="J1376" s="160">
        <f>InputData!$C$4</f>
        <v>0.01</v>
      </c>
      <c r="K1376" s="160">
        <f>InputData!$C$5</f>
        <v>0.01</v>
      </c>
      <c r="L1376" s="160">
        <f>InputData!$C$6</f>
        <v>6.2100000000000002E-2</v>
      </c>
      <c r="M1376" s="160">
        <f>InputData!$C$7</f>
        <v>0.03</v>
      </c>
      <c r="N1376" s="160">
        <f>InputData!$C$8</f>
        <v>0.02</v>
      </c>
      <c r="O1376" s="160">
        <f>InputData!$C$9</f>
        <v>0.06</v>
      </c>
      <c r="P1376" s="160">
        <f>InputData!$C$10</f>
        <v>0.02</v>
      </c>
      <c r="Q1376" s="160">
        <f>InputData!$C$11</f>
        <v>0.02</v>
      </c>
      <c r="R1376" s="160">
        <f>InputData!$C$12</f>
        <v>0.02</v>
      </c>
      <c r="S1376" s="160">
        <f>InputData!$C$13</f>
        <v>0.9</v>
      </c>
      <c r="T1376" s="116">
        <f>InputData!$C$88</f>
        <v>180000</v>
      </c>
      <c r="U1376" s="116">
        <f>InputData!$C$81</f>
        <v>178500</v>
      </c>
      <c r="V1376" s="116">
        <f>InputData!$C$82</f>
        <v>303960</v>
      </c>
      <c r="W1376" s="116">
        <f>InputData!$C$84</f>
        <v>215220</v>
      </c>
      <c r="X1376" s="116">
        <f>InputData!$C$85</f>
        <v>409020</v>
      </c>
      <c r="Y1376" s="116">
        <f>InputData!$C$116</f>
        <v>140000</v>
      </c>
      <c r="Z1376" s="160">
        <f>InputData!$E$13</f>
        <v>0</v>
      </c>
    </row>
    <row r="1377" spans="1:26" x14ac:dyDescent="0.25">
      <c r="A1377">
        <f>InputData!$K$1</f>
        <v>2013</v>
      </c>
      <c r="B1377" t="str">
        <f>InputData!$G$1</f>
        <v>San Antonio, TX</v>
      </c>
      <c r="C1377" t="s">
        <v>227</v>
      </c>
      <c r="D1377" t="str">
        <f>Graph_Ophtha!$G$6</f>
        <v>IBR</v>
      </c>
      <c r="E1377" t="str">
        <f t="shared" si="21"/>
        <v>Ophthalmology IBR</v>
      </c>
      <c r="F1377">
        <f>Graph_Ophtha!$A32</f>
        <v>2038</v>
      </c>
      <c r="G1377">
        <f>Graph_Ophtha!$B32</f>
        <v>26</v>
      </c>
      <c r="H1377" s="165">
        <f>Graph_Ophtha!$G32</f>
        <v>1492485.5183837088</v>
      </c>
      <c r="I1377" s="160">
        <f>InputData!$C$3</f>
        <v>0.02</v>
      </c>
      <c r="J1377" s="160">
        <f>InputData!$C$4</f>
        <v>0.01</v>
      </c>
      <c r="K1377" s="160">
        <f>InputData!$C$5</f>
        <v>0.01</v>
      </c>
      <c r="L1377" s="160">
        <f>InputData!$C$6</f>
        <v>6.2100000000000002E-2</v>
      </c>
      <c r="M1377" s="160">
        <f>InputData!$C$7</f>
        <v>0.03</v>
      </c>
      <c r="N1377" s="160">
        <f>InputData!$C$8</f>
        <v>0.02</v>
      </c>
      <c r="O1377" s="160">
        <f>InputData!$C$9</f>
        <v>0.06</v>
      </c>
      <c r="P1377" s="160">
        <f>InputData!$C$10</f>
        <v>0.02</v>
      </c>
      <c r="Q1377" s="160">
        <f>InputData!$C$11</f>
        <v>0.02</v>
      </c>
      <c r="R1377" s="160">
        <f>InputData!$C$12</f>
        <v>0.02</v>
      </c>
      <c r="S1377" s="160">
        <f>InputData!$C$13</f>
        <v>0.9</v>
      </c>
      <c r="T1377" s="116">
        <f>InputData!$C$88</f>
        <v>180000</v>
      </c>
      <c r="U1377" s="116">
        <f>InputData!$C$81</f>
        <v>178500</v>
      </c>
      <c r="V1377" s="116">
        <f>InputData!$C$82</f>
        <v>303960</v>
      </c>
      <c r="W1377" s="116">
        <f>InputData!$C$84</f>
        <v>215220</v>
      </c>
      <c r="X1377" s="116">
        <f>InputData!$C$85</f>
        <v>409020</v>
      </c>
      <c r="Y1377" s="116">
        <f>InputData!$C$116</f>
        <v>140000</v>
      </c>
      <c r="Z1377" s="160">
        <f>InputData!$E$13</f>
        <v>0</v>
      </c>
    </row>
    <row r="1378" spans="1:26" x14ac:dyDescent="0.25">
      <c r="A1378">
        <f>InputData!$K$1</f>
        <v>2013</v>
      </c>
      <c r="B1378" t="str">
        <f>InputData!$G$1</f>
        <v>San Antonio, TX</v>
      </c>
      <c r="C1378" t="s">
        <v>227</v>
      </c>
      <c r="D1378" t="str">
        <f>Graph_Ophtha!$G$6</f>
        <v>IBR</v>
      </c>
      <c r="E1378" t="str">
        <f t="shared" si="21"/>
        <v>Ophthalmology IBR</v>
      </c>
      <c r="F1378">
        <f>Graph_Ophtha!$A33</f>
        <v>2039</v>
      </c>
      <c r="G1378">
        <f>Graph_Ophtha!$B33</f>
        <v>27</v>
      </c>
      <c r="H1378" s="165">
        <f>Graph_Ophtha!$G33</f>
        <v>1571007.4091019675</v>
      </c>
      <c r="I1378" s="160">
        <f>InputData!$C$3</f>
        <v>0.02</v>
      </c>
      <c r="J1378" s="160">
        <f>InputData!$C$4</f>
        <v>0.01</v>
      </c>
      <c r="K1378" s="160">
        <f>InputData!$C$5</f>
        <v>0.01</v>
      </c>
      <c r="L1378" s="160">
        <f>InputData!$C$6</f>
        <v>6.2100000000000002E-2</v>
      </c>
      <c r="M1378" s="160">
        <f>InputData!$C$7</f>
        <v>0.03</v>
      </c>
      <c r="N1378" s="160">
        <f>InputData!$C$8</f>
        <v>0.02</v>
      </c>
      <c r="O1378" s="160">
        <f>InputData!$C$9</f>
        <v>0.06</v>
      </c>
      <c r="P1378" s="160">
        <f>InputData!$C$10</f>
        <v>0.02</v>
      </c>
      <c r="Q1378" s="160">
        <f>InputData!$C$11</f>
        <v>0.02</v>
      </c>
      <c r="R1378" s="160">
        <f>InputData!$C$12</f>
        <v>0.02</v>
      </c>
      <c r="S1378" s="160">
        <f>InputData!$C$13</f>
        <v>0.9</v>
      </c>
      <c r="T1378" s="116">
        <f>InputData!$C$88</f>
        <v>180000</v>
      </c>
      <c r="U1378" s="116">
        <f>InputData!$C$81</f>
        <v>178500</v>
      </c>
      <c r="V1378" s="116">
        <f>InputData!$C$82</f>
        <v>303960</v>
      </c>
      <c r="W1378" s="116">
        <f>InputData!$C$84</f>
        <v>215220</v>
      </c>
      <c r="X1378" s="116">
        <f>InputData!$C$85</f>
        <v>409020</v>
      </c>
      <c r="Y1378" s="116">
        <f>InputData!$C$116</f>
        <v>140000</v>
      </c>
      <c r="Z1378" s="160">
        <f>InputData!$E$13</f>
        <v>0</v>
      </c>
    </row>
    <row r="1379" spans="1:26" x14ac:dyDescent="0.25">
      <c r="A1379">
        <f>InputData!$K$1</f>
        <v>2013</v>
      </c>
      <c r="B1379" t="str">
        <f>InputData!$G$1</f>
        <v>San Antonio, TX</v>
      </c>
      <c r="C1379" t="s">
        <v>227</v>
      </c>
      <c r="D1379" t="str">
        <f>Graph_Ophtha!$G$6</f>
        <v>IBR</v>
      </c>
      <c r="E1379" t="str">
        <f t="shared" si="21"/>
        <v>Ophthalmology IBR</v>
      </c>
      <c r="F1379">
        <f>Graph_Ophtha!$A34</f>
        <v>2040</v>
      </c>
      <c r="G1379">
        <f>Graph_Ophtha!$B34</f>
        <v>28</v>
      </c>
      <c r="H1379" s="165">
        <f>Graph_Ophtha!$G34</f>
        <v>1647941.8428403314</v>
      </c>
      <c r="I1379" s="160">
        <f>InputData!$C$3</f>
        <v>0.02</v>
      </c>
      <c r="J1379" s="160">
        <f>InputData!$C$4</f>
        <v>0.01</v>
      </c>
      <c r="K1379" s="160">
        <f>InputData!$C$5</f>
        <v>0.01</v>
      </c>
      <c r="L1379" s="160">
        <f>InputData!$C$6</f>
        <v>6.2100000000000002E-2</v>
      </c>
      <c r="M1379" s="160">
        <f>InputData!$C$7</f>
        <v>0.03</v>
      </c>
      <c r="N1379" s="160">
        <f>InputData!$C$8</f>
        <v>0.02</v>
      </c>
      <c r="O1379" s="160">
        <f>InputData!$C$9</f>
        <v>0.06</v>
      </c>
      <c r="P1379" s="160">
        <f>InputData!$C$10</f>
        <v>0.02</v>
      </c>
      <c r="Q1379" s="160">
        <f>InputData!$C$11</f>
        <v>0.02</v>
      </c>
      <c r="R1379" s="160">
        <f>InputData!$C$12</f>
        <v>0.02</v>
      </c>
      <c r="S1379" s="160">
        <f>InputData!$C$13</f>
        <v>0.9</v>
      </c>
      <c r="T1379" s="116">
        <f>InputData!$C$88</f>
        <v>180000</v>
      </c>
      <c r="U1379" s="116">
        <f>InputData!$C$81</f>
        <v>178500</v>
      </c>
      <c r="V1379" s="116">
        <f>InputData!$C$82</f>
        <v>303960</v>
      </c>
      <c r="W1379" s="116">
        <f>InputData!$C$84</f>
        <v>215220</v>
      </c>
      <c r="X1379" s="116">
        <f>InputData!$C$85</f>
        <v>409020</v>
      </c>
      <c r="Y1379" s="116">
        <f>InputData!$C$116</f>
        <v>140000</v>
      </c>
      <c r="Z1379" s="160">
        <f>InputData!$E$13</f>
        <v>0</v>
      </c>
    </row>
    <row r="1380" spans="1:26" x14ac:dyDescent="0.25">
      <c r="A1380">
        <f>InputData!$K$1</f>
        <v>2013</v>
      </c>
      <c r="B1380" t="str">
        <f>InputData!$G$1</f>
        <v>San Antonio, TX</v>
      </c>
      <c r="C1380" t="s">
        <v>227</v>
      </c>
      <c r="D1380" t="str">
        <f>Graph_Ophtha!$G$6</f>
        <v>IBR</v>
      </c>
      <c r="E1380" t="str">
        <f t="shared" si="21"/>
        <v>Ophthalmology IBR</v>
      </c>
      <c r="F1380">
        <f>Graph_Ophtha!$A35</f>
        <v>2041</v>
      </c>
      <c r="G1380">
        <f>Graph_Ophtha!$B35</f>
        <v>29</v>
      </c>
      <c r="H1380" s="165">
        <f>Graph_Ophtha!$G35</f>
        <v>1723321.3387906335</v>
      </c>
      <c r="I1380" s="160">
        <f>InputData!$C$3</f>
        <v>0.02</v>
      </c>
      <c r="J1380" s="160">
        <f>InputData!$C$4</f>
        <v>0.01</v>
      </c>
      <c r="K1380" s="160">
        <f>InputData!$C$5</f>
        <v>0.01</v>
      </c>
      <c r="L1380" s="160">
        <f>InputData!$C$6</f>
        <v>6.2100000000000002E-2</v>
      </c>
      <c r="M1380" s="160">
        <f>InputData!$C$7</f>
        <v>0.03</v>
      </c>
      <c r="N1380" s="160">
        <f>InputData!$C$8</f>
        <v>0.02</v>
      </c>
      <c r="O1380" s="160">
        <f>InputData!$C$9</f>
        <v>0.06</v>
      </c>
      <c r="P1380" s="160">
        <f>InputData!$C$10</f>
        <v>0.02</v>
      </c>
      <c r="Q1380" s="160">
        <f>InputData!$C$11</f>
        <v>0.02</v>
      </c>
      <c r="R1380" s="160">
        <f>InputData!$C$12</f>
        <v>0.02</v>
      </c>
      <c r="S1380" s="160">
        <f>InputData!$C$13</f>
        <v>0.9</v>
      </c>
      <c r="T1380" s="116">
        <f>InputData!$C$88</f>
        <v>180000</v>
      </c>
      <c r="U1380" s="116">
        <f>InputData!$C$81</f>
        <v>178500</v>
      </c>
      <c r="V1380" s="116">
        <f>InputData!$C$82</f>
        <v>303960</v>
      </c>
      <c r="W1380" s="116">
        <f>InputData!$C$84</f>
        <v>215220</v>
      </c>
      <c r="X1380" s="116">
        <f>InputData!$C$85</f>
        <v>409020</v>
      </c>
      <c r="Y1380" s="116">
        <f>InputData!$C$116</f>
        <v>140000</v>
      </c>
      <c r="Z1380" s="160">
        <f>InputData!$E$13</f>
        <v>0</v>
      </c>
    </row>
    <row r="1381" spans="1:26" x14ac:dyDescent="0.25">
      <c r="A1381">
        <f>InputData!$K$1</f>
        <v>2013</v>
      </c>
      <c r="B1381" t="str">
        <f>InputData!$G$1</f>
        <v>San Antonio, TX</v>
      </c>
      <c r="C1381" t="s">
        <v>227</v>
      </c>
      <c r="D1381" t="str">
        <f>Graph_Ophtha!$G$6</f>
        <v>IBR</v>
      </c>
      <c r="E1381" t="str">
        <f t="shared" si="21"/>
        <v>Ophthalmology IBR</v>
      </c>
      <c r="F1381">
        <f>Graph_Ophtha!$A36</f>
        <v>2042</v>
      </c>
      <c r="G1381">
        <f>Graph_Ophtha!$B36</f>
        <v>30</v>
      </c>
      <c r="H1381" s="165">
        <f>Graph_Ophtha!$G36</f>
        <v>1797177.7379527839</v>
      </c>
      <c r="I1381" s="160">
        <f>InputData!$C$3</f>
        <v>0.02</v>
      </c>
      <c r="J1381" s="160">
        <f>InputData!$C$4</f>
        <v>0.01</v>
      </c>
      <c r="K1381" s="160">
        <f>InputData!$C$5</f>
        <v>0.01</v>
      </c>
      <c r="L1381" s="160">
        <f>InputData!$C$6</f>
        <v>6.2100000000000002E-2</v>
      </c>
      <c r="M1381" s="160">
        <f>InputData!$C$7</f>
        <v>0.03</v>
      </c>
      <c r="N1381" s="160">
        <f>InputData!$C$8</f>
        <v>0.02</v>
      </c>
      <c r="O1381" s="160">
        <f>InputData!$C$9</f>
        <v>0.06</v>
      </c>
      <c r="P1381" s="160">
        <f>InputData!$C$10</f>
        <v>0.02</v>
      </c>
      <c r="Q1381" s="160">
        <f>InputData!$C$11</f>
        <v>0.02</v>
      </c>
      <c r="R1381" s="160">
        <f>InputData!$C$12</f>
        <v>0.02</v>
      </c>
      <c r="S1381" s="160">
        <f>InputData!$C$13</f>
        <v>0.9</v>
      </c>
      <c r="T1381" s="116">
        <f>InputData!$C$88</f>
        <v>180000</v>
      </c>
      <c r="U1381" s="116">
        <f>InputData!$C$81</f>
        <v>178500</v>
      </c>
      <c r="V1381" s="116">
        <f>InputData!$C$82</f>
        <v>303960</v>
      </c>
      <c r="W1381" s="116">
        <f>InputData!$C$84</f>
        <v>215220</v>
      </c>
      <c r="X1381" s="116">
        <f>InputData!$C$85</f>
        <v>409020</v>
      </c>
      <c r="Y1381" s="116">
        <f>InputData!$C$116</f>
        <v>140000</v>
      </c>
      <c r="Z1381" s="160">
        <f>InputData!$E$13</f>
        <v>0</v>
      </c>
    </row>
    <row r="1382" spans="1:26" x14ac:dyDescent="0.25">
      <c r="A1382">
        <f>InputData!$K$1</f>
        <v>2013</v>
      </c>
      <c r="B1382" t="str">
        <f>InputData!$G$1</f>
        <v>San Antonio, TX</v>
      </c>
      <c r="C1382" t="s">
        <v>227</v>
      </c>
      <c r="D1382" t="str">
        <f>Graph_Ophtha!$H$6</f>
        <v>PAYE</v>
      </c>
      <c r="E1382" t="str">
        <f t="shared" si="21"/>
        <v>Ophthalmology PAYE</v>
      </c>
      <c r="F1382">
        <f>Graph_Ophtha!$A7</f>
        <v>2013</v>
      </c>
      <c r="G1382">
        <f>Graph_Ophtha!$B7</f>
        <v>1</v>
      </c>
      <c r="H1382" s="165">
        <f>Graph_Ophtha!$H7</f>
        <v>-43015.05</v>
      </c>
      <c r="I1382" s="160">
        <f>InputData!$C$3</f>
        <v>0.02</v>
      </c>
      <c r="J1382" s="160">
        <f>InputData!$C$4</f>
        <v>0.01</v>
      </c>
      <c r="K1382" s="160">
        <f>InputData!$C$5</f>
        <v>0.01</v>
      </c>
      <c r="L1382" s="160">
        <f>InputData!$C$6</f>
        <v>6.2100000000000002E-2</v>
      </c>
      <c r="M1382" s="160">
        <f>InputData!$C$7</f>
        <v>0.03</v>
      </c>
      <c r="N1382" s="160">
        <f>InputData!$C$8</f>
        <v>0.02</v>
      </c>
      <c r="O1382" s="160">
        <f>InputData!$C$9</f>
        <v>0.06</v>
      </c>
      <c r="P1382" s="160">
        <f>InputData!$C$10</f>
        <v>0.02</v>
      </c>
      <c r="Q1382" s="160">
        <f>InputData!$C$11</f>
        <v>0.02</v>
      </c>
      <c r="R1382" s="160">
        <f>InputData!$C$12</f>
        <v>0.02</v>
      </c>
      <c r="S1382" s="160">
        <f>InputData!$C$13</f>
        <v>0.9</v>
      </c>
      <c r="T1382" s="116">
        <f>InputData!$C$88</f>
        <v>180000</v>
      </c>
      <c r="U1382" s="116">
        <f>InputData!$C$81</f>
        <v>178500</v>
      </c>
      <c r="V1382" s="116">
        <f>InputData!$C$82</f>
        <v>303960</v>
      </c>
      <c r="W1382" s="116">
        <f>InputData!$C$84</f>
        <v>215220</v>
      </c>
      <c r="X1382" s="116">
        <f>InputData!$C$85</f>
        <v>409020</v>
      </c>
      <c r="Y1382" s="116">
        <f>InputData!$C$116</f>
        <v>140000</v>
      </c>
      <c r="Z1382" s="160">
        <f>InputData!$E$13</f>
        <v>0</v>
      </c>
    </row>
    <row r="1383" spans="1:26" x14ac:dyDescent="0.25">
      <c r="A1383">
        <f>InputData!$K$1</f>
        <v>2013</v>
      </c>
      <c r="B1383" t="str">
        <f>InputData!$G$1</f>
        <v>San Antonio, TX</v>
      </c>
      <c r="C1383" t="s">
        <v>227</v>
      </c>
      <c r="D1383" t="str">
        <f>Graph_Ophtha!$H$6</f>
        <v>PAYE</v>
      </c>
      <c r="E1383" t="str">
        <f t="shared" si="21"/>
        <v>Ophthalmology PAYE</v>
      </c>
      <c r="F1383">
        <f>Graph_Ophtha!$A8</f>
        <v>2014</v>
      </c>
      <c r="G1383">
        <f>Graph_Ophtha!$B8</f>
        <v>2</v>
      </c>
      <c r="H1383" s="165">
        <f>Graph_Ophtha!$H8</f>
        <v>-86352.285865219877</v>
      </c>
      <c r="I1383" s="160">
        <f>InputData!$C$3</f>
        <v>0.02</v>
      </c>
      <c r="J1383" s="160">
        <f>InputData!$C$4</f>
        <v>0.01</v>
      </c>
      <c r="K1383" s="160">
        <f>InputData!$C$5</f>
        <v>0.01</v>
      </c>
      <c r="L1383" s="160">
        <f>InputData!$C$6</f>
        <v>6.2100000000000002E-2</v>
      </c>
      <c r="M1383" s="160">
        <f>InputData!$C$7</f>
        <v>0.03</v>
      </c>
      <c r="N1383" s="160">
        <f>InputData!$C$8</f>
        <v>0.02</v>
      </c>
      <c r="O1383" s="160">
        <f>InputData!$C$9</f>
        <v>0.06</v>
      </c>
      <c r="P1383" s="160">
        <f>InputData!$C$10</f>
        <v>0.02</v>
      </c>
      <c r="Q1383" s="160">
        <f>InputData!$C$11</f>
        <v>0.02</v>
      </c>
      <c r="R1383" s="160">
        <f>InputData!$C$12</f>
        <v>0.02</v>
      </c>
      <c r="S1383" s="160">
        <f>InputData!$C$13</f>
        <v>0.9</v>
      </c>
      <c r="T1383" s="116">
        <f>InputData!$C$88</f>
        <v>180000</v>
      </c>
      <c r="U1383" s="116">
        <f>InputData!$C$81</f>
        <v>178500</v>
      </c>
      <c r="V1383" s="116">
        <f>InputData!$C$82</f>
        <v>303960</v>
      </c>
      <c r="W1383" s="116">
        <f>InputData!$C$84</f>
        <v>215220</v>
      </c>
      <c r="X1383" s="116">
        <f>InputData!$C$85</f>
        <v>409020</v>
      </c>
      <c r="Y1383" s="116">
        <f>InputData!$C$116</f>
        <v>140000</v>
      </c>
      <c r="Z1383" s="160">
        <f>InputData!$E$13</f>
        <v>0</v>
      </c>
    </row>
    <row r="1384" spans="1:26" x14ac:dyDescent="0.25">
      <c r="A1384">
        <f>InputData!$K$1</f>
        <v>2013</v>
      </c>
      <c r="B1384" t="str">
        <f>InputData!$G$1</f>
        <v>San Antonio, TX</v>
      </c>
      <c r="C1384" t="s">
        <v>227</v>
      </c>
      <c r="D1384" t="str">
        <f>Graph_Ophtha!$H$6</f>
        <v>PAYE</v>
      </c>
      <c r="E1384" t="str">
        <f t="shared" si="21"/>
        <v>Ophthalmology PAYE</v>
      </c>
      <c r="F1384">
        <f>Graph_Ophtha!$A9</f>
        <v>2015</v>
      </c>
      <c r="G1384">
        <f>Graph_Ophtha!$B9</f>
        <v>3</v>
      </c>
      <c r="H1384" s="165">
        <f>Graph_Ophtha!$H9</f>
        <v>-138541.19578403595</v>
      </c>
      <c r="I1384" s="160">
        <f>InputData!$C$3</f>
        <v>0.02</v>
      </c>
      <c r="J1384" s="160">
        <f>InputData!$C$4</f>
        <v>0.01</v>
      </c>
      <c r="K1384" s="160">
        <f>InputData!$C$5</f>
        <v>0.01</v>
      </c>
      <c r="L1384" s="160">
        <f>InputData!$C$6</f>
        <v>6.2100000000000002E-2</v>
      </c>
      <c r="M1384" s="160">
        <f>InputData!$C$7</f>
        <v>0.03</v>
      </c>
      <c r="N1384" s="160">
        <f>InputData!$C$8</f>
        <v>0.02</v>
      </c>
      <c r="O1384" s="160">
        <f>InputData!$C$9</f>
        <v>0.06</v>
      </c>
      <c r="P1384" s="160">
        <f>InputData!$C$10</f>
        <v>0.02</v>
      </c>
      <c r="Q1384" s="160">
        <f>InputData!$C$11</f>
        <v>0.02</v>
      </c>
      <c r="R1384" s="160">
        <f>InputData!$C$12</f>
        <v>0.02</v>
      </c>
      <c r="S1384" s="160">
        <f>InputData!$C$13</f>
        <v>0.9</v>
      </c>
      <c r="T1384" s="116">
        <f>InputData!$C$88</f>
        <v>180000</v>
      </c>
      <c r="U1384" s="116">
        <f>InputData!$C$81</f>
        <v>178500</v>
      </c>
      <c r="V1384" s="116">
        <f>InputData!$C$82</f>
        <v>303960</v>
      </c>
      <c r="W1384" s="116">
        <f>InputData!$C$84</f>
        <v>215220</v>
      </c>
      <c r="X1384" s="116">
        <f>InputData!$C$85</f>
        <v>409020</v>
      </c>
      <c r="Y1384" s="116">
        <f>InputData!$C$116</f>
        <v>140000</v>
      </c>
      <c r="Z1384" s="160">
        <f>InputData!$E$13</f>
        <v>0</v>
      </c>
    </row>
    <row r="1385" spans="1:26" x14ac:dyDescent="0.25">
      <c r="A1385">
        <f>InputData!$K$1</f>
        <v>2013</v>
      </c>
      <c r="B1385" t="str">
        <f>InputData!$G$1</f>
        <v>San Antonio, TX</v>
      </c>
      <c r="C1385" t="s">
        <v>227</v>
      </c>
      <c r="D1385" t="str">
        <f>Graph_Ophtha!$H$6</f>
        <v>PAYE</v>
      </c>
      <c r="E1385" t="str">
        <f t="shared" si="21"/>
        <v>Ophthalmology PAYE</v>
      </c>
      <c r="F1385">
        <f>Graph_Ophtha!$A10</f>
        <v>2016</v>
      </c>
      <c r="G1385">
        <f>Graph_Ophtha!$B10</f>
        <v>4</v>
      </c>
      <c r="H1385" s="165">
        <f>Graph_Ophtha!$H10</f>
        <v>-190867.38028908212</v>
      </c>
      <c r="I1385" s="160">
        <f>InputData!$C$3</f>
        <v>0.02</v>
      </c>
      <c r="J1385" s="160">
        <f>InputData!$C$4</f>
        <v>0.01</v>
      </c>
      <c r="K1385" s="160">
        <f>InputData!$C$5</f>
        <v>0.01</v>
      </c>
      <c r="L1385" s="160">
        <f>InputData!$C$6</f>
        <v>6.2100000000000002E-2</v>
      </c>
      <c r="M1385" s="160">
        <f>InputData!$C$7</f>
        <v>0.03</v>
      </c>
      <c r="N1385" s="160">
        <f>InputData!$C$8</f>
        <v>0.02</v>
      </c>
      <c r="O1385" s="160">
        <f>InputData!$C$9</f>
        <v>0.06</v>
      </c>
      <c r="P1385" s="160">
        <f>InputData!$C$10</f>
        <v>0.02</v>
      </c>
      <c r="Q1385" s="160">
        <f>InputData!$C$11</f>
        <v>0.02</v>
      </c>
      <c r="R1385" s="160">
        <f>InputData!$C$12</f>
        <v>0.02</v>
      </c>
      <c r="S1385" s="160">
        <f>InputData!$C$13</f>
        <v>0.9</v>
      </c>
      <c r="T1385" s="116">
        <f>InputData!$C$88</f>
        <v>180000</v>
      </c>
      <c r="U1385" s="116">
        <f>InputData!$C$81</f>
        <v>178500</v>
      </c>
      <c r="V1385" s="116">
        <f>InputData!$C$82</f>
        <v>303960</v>
      </c>
      <c r="W1385" s="116">
        <f>InputData!$C$84</f>
        <v>215220</v>
      </c>
      <c r="X1385" s="116">
        <f>InputData!$C$85</f>
        <v>409020</v>
      </c>
      <c r="Y1385" s="116">
        <f>InputData!$C$116</f>
        <v>140000</v>
      </c>
      <c r="Z1385" s="160">
        <f>InputData!$E$13</f>
        <v>0</v>
      </c>
    </row>
    <row r="1386" spans="1:26" x14ac:dyDescent="0.25">
      <c r="A1386">
        <f>InputData!$K$1</f>
        <v>2013</v>
      </c>
      <c r="B1386" t="str">
        <f>InputData!$G$1</f>
        <v>San Antonio, TX</v>
      </c>
      <c r="C1386" t="s">
        <v>227</v>
      </c>
      <c r="D1386" t="str">
        <f>Graph_Ophtha!$H$6</f>
        <v>PAYE</v>
      </c>
      <c r="E1386" t="str">
        <f t="shared" si="21"/>
        <v>Ophthalmology PAYE</v>
      </c>
      <c r="F1386">
        <f>Graph_Ophtha!$A11</f>
        <v>2017</v>
      </c>
      <c r="G1386">
        <f>Graph_Ophtha!$B11</f>
        <v>5</v>
      </c>
      <c r="H1386" s="165">
        <f>Graph_Ophtha!$H11</f>
        <v>-154981.05168717628</v>
      </c>
      <c r="I1386" s="160">
        <f>InputData!$C$3</f>
        <v>0.02</v>
      </c>
      <c r="J1386" s="160">
        <f>InputData!$C$4</f>
        <v>0.01</v>
      </c>
      <c r="K1386" s="160">
        <f>InputData!$C$5</f>
        <v>0.01</v>
      </c>
      <c r="L1386" s="160">
        <f>InputData!$C$6</f>
        <v>6.2100000000000002E-2</v>
      </c>
      <c r="M1386" s="160">
        <f>InputData!$C$7</f>
        <v>0.03</v>
      </c>
      <c r="N1386" s="160">
        <f>InputData!$C$8</f>
        <v>0.02</v>
      </c>
      <c r="O1386" s="160">
        <f>InputData!$C$9</f>
        <v>0.06</v>
      </c>
      <c r="P1386" s="160">
        <f>InputData!$C$10</f>
        <v>0.02</v>
      </c>
      <c r="Q1386" s="160">
        <f>InputData!$C$11</f>
        <v>0.02</v>
      </c>
      <c r="R1386" s="160">
        <f>InputData!$C$12</f>
        <v>0.02</v>
      </c>
      <c r="S1386" s="160">
        <f>InputData!$C$13</f>
        <v>0.9</v>
      </c>
      <c r="T1386" s="116">
        <f>InputData!$C$88</f>
        <v>180000</v>
      </c>
      <c r="U1386" s="116">
        <f>InputData!$C$81</f>
        <v>178500</v>
      </c>
      <c r="V1386" s="116">
        <f>InputData!$C$82</f>
        <v>303960</v>
      </c>
      <c r="W1386" s="116">
        <f>InputData!$C$84</f>
        <v>215220</v>
      </c>
      <c r="X1386" s="116">
        <f>InputData!$C$85</f>
        <v>409020</v>
      </c>
      <c r="Y1386" s="116">
        <f>InputData!$C$116</f>
        <v>140000</v>
      </c>
      <c r="Z1386" s="160">
        <f>InputData!$E$13</f>
        <v>0</v>
      </c>
    </row>
    <row r="1387" spans="1:26" x14ac:dyDescent="0.25">
      <c r="A1387">
        <f>InputData!$K$1</f>
        <v>2013</v>
      </c>
      <c r="B1387" t="str">
        <f>InputData!$G$1</f>
        <v>San Antonio, TX</v>
      </c>
      <c r="C1387" t="s">
        <v>227</v>
      </c>
      <c r="D1387" t="str">
        <f>Graph_Ophtha!$H$6</f>
        <v>PAYE</v>
      </c>
      <c r="E1387" t="str">
        <f t="shared" si="21"/>
        <v>Ophthalmology PAYE</v>
      </c>
      <c r="F1387">
        <f>Graph_Ophtha!$A12</f>
        <v>2018</v>
      </c>
      <c r="G1387">
        <f>Graph_Ophtha!$B12</f>
        <v>6</v>
      </c>
      <c r="H1387" s="165">
        <f>Graph_Ophtha!$H12</f>
        <v>-118995.92937851879</v>
      </c>
      <c r="I1387" s="160">
        <f>InputData!$C$3</f>
        <v>0.02</v>
      </c>
      <c r="J1387" s="160">
        <f>InputData!$C$4</f>
        <v>0.01</v>
      </c>
      <c r="K1387" s="160">
        <f>InputData!$C$5</f>
        <v>0.01</v>
      </c>
      <c r="L1387" s="160">
        <f>InputData!$C$6</f>
        <v>6.2100000000000002E-2</v>
      </c>
      <c r="M1387" s="160">
        <f>InputData!$C$7</f>
        <v>0.03</v>
      </c>
      <c r="N1387" s="160">
        <f>InputData!$C$8</f>
        <v>0.02</v>
      </c>
      <c r="O1387" s="160">
        <f>InputData!$C$9</f>
        <v>0.06</v>
      </c>
      <c r="P1387" s="160">
        <f>InputData!$C$10</f>
        <v>0.02</v>
      </c>
      <c r="Q1387" s="160">
        <f>InputData!$C$11</f>
        <v>0.02</v>
      </c>
      <c r="R1387" s="160">
        <f>InputData!$C$12</f>
        <v>0.02</v>
      </c>
      <c r="S1387" s="160">
        <f>InputData!$C$13</f>
        <v>0.9</v>
      </c>
      <c r="T1387" s="116">
        <f>InputData!$C$88</f>
        <v>180000</v>
      </c>
      <c r="U1387" s="116">
        <f>InputData!$C$81</f>
        <v>178500</v>
      </c>
      <c r="V1387" s="116">
        <f>InputData!$C$82</f>
        <v>303960</v>
      </c>
      <c r="W1387" s="116">
        <f>InputData!$C$84</f>
        <v>215220</v>
      </c>
      <c r="X1387" s="116">
        <f>InputData!$C$85</f>
        <v>409020</v>
      </c>
      <c r="Y1387" s="116">
        <f>InputData!$C$116</f>
        <v>140000</v>
      </c>
      <c r="Z1387" s="160">
        <f>InputData!$E$13</f>
        <v>0</v>
      </c>
    </row>
    <row r="1388" spans="1:26" x14ac:dyDescent="0.25">
      <c r="A1388">
        <f>InputData!$K$1</f>
        <v>2013</v>
      </c>
      <c r="B1388" t="str">
        <f>InputData!$G$1</f>
        <v>San Antonio, TX</v>
      </c>
      <c r="C1388" t="s">
        <v>227</v>
      </c>
      <c r="D1388" t="str">
        <f>Graph_Ophtha!$H$6</f>
        <v>PAYE</v>
      </c>
      <c r="E1388" t="str">
        <f t="shared" si="21"/>
        <v>Ophthalmology PAYE</v>
      </c>
      <c r="F1388">
        <f>Graph_Ophtha!$A13</f>
        <v>2019</v>
      </c>
      <c r="G1388">
        <f>Graph_Ophtha!$B13</f>
        <v>7</v>
      </c>
      <c r="H1388" s="165">
        <f>Graph_Ophtha!$H13</f>
        <v>-82904.654937055282</v>
      </c>
      <c r="I1388" s="160">
        <f>InputData!$C$3</f>
        <v>0.02</v>
      </c>
      <c r="J1388" s="160">
        <f>InputData!$C$4</f>
        <v>0.01</v>
      </c>
      <c r="K1388" s="160">
        <f>InputData!$C$5</f>
        <v>0.01</v>
      </c>
      <c r="L1388" s="160">
        <f>InputData!$C$6</f>
        <v>6.2100000000000002E-2</v>
      </c>
      <c r="M1388" s="160">
        <f>InputData!$C$7</f>
        <v>0.03</v>
      </c>
      <c r="N1388" s="160">
        <f>InputData!$C$8</f>
        <v>0.02</v>
      </c>
      <c r="O1388" s="160">
        <f>InputData!$C$9</f>
        <v>0.06</v>
      </c>
      <c r="P1388" s="160">
        <f>InputData!$C$10</f>
        <v>0.02</v>
      </c>
      <c r="Q1388" s="160">
        <f>InputData!$C$11</f>
        <v>0.02</v>
      </c>
      <c r="R1388" s="160">
        <f>InputData!$C$12</f>
        <v>0.02</v>
      </c>
      <c r="S1388" s="160">
        <f>InputData!$C$13</f>
        <v>0.9</v>
      </c>
      <c r="T1388" s="116">
        <f>InputData!$C$88</f>
        <v>180000</v>
      </c>
      <c r="U1388" s="116">
        <f>InputData!$C$81</f>
        <v>178500</v>
      </c>
      <c r="V1388" s="116">
        <f>InputData!$C$82</f>
        <v>303960</v>
      </c>
      <c r="W1388" s="116">
        <f>InputData!$C$84</f>
        <v>215220</v>
      </c>
      <c r="X1388" s="116">
        <f>InputData!$C$85</f>
        <v>409020</v>
      </c>
      <c r="Y1388" s="116">
        <f>InputData!$C$116</f>
        <v>140000</v>
      </c>
      <c r="Z1388" s="160">
        <f>InputData!$E$13</f>
        <v>0</v>
      </c>
    </row>
    <row r="1389" spans="1:26" x14ac:dyDescent="0.25">
      <c r="A1389">
        <f>InputData!$K$1</f>
        <v>2013</v>
      </c>
      <c r="B1389" t="str">
        <f>InputData!$G$1</f>
        <v>San Antonio, TX</v>
      </c>
      <c r="C1389" t="s">
        <v>227</v>
      </c>
      <c r="D1389" t="str">
        <f>Graph_Ophtha!$H$6</f>
        <v>PAYE</v>
      </c>
      <c r="E1389" t="str">
        <f t="shared" si="21"/>
        <v>Ophthalmology PAYE</v>
      </c>
      <c r="F1389">
        <f>Graph_Ophtha!$A14</f>
        <v>2020</v>
      </c>
      <c r="G1389">
        <f>Graph_Ophtha!$B14</f>
        <v>8</v>
      </c>
      <c r="H1389" s="165">
        <f>Graph_Ophtha!$H14</f>
        <v>-46699.992676364229</v>
      </c>
      <c r="I1389" s="160">
        <f>InputData!$C$3</f>
        <v>0.02</v>
      </c>
      <c r="J1389" s="160">
        <f>InputData!$C$4</f>
        <v>0.01</v>
      </c>
      <c r="K1389" s="160">
        <f>InputData!$C$5</f>
        <v>0.01</v>
      </c>
      <c r="L1389" s="160">
        <f>InputData!$C$6</f>
        <v>6.2100000000000002E-2</v>
      </c>
      <c r="M1389" s="160">
        <f>InputData!$C$7</f>
        <v>0.03</v>
      </c>
      <c r="N1389" s="160">
        <f>InputData!$C$8</f>
        <v>0.02</v>
      </c>
      <c r="O1389" s="160">
        <f>InputData!$C$9</f>
        <v>0.06</v>
      </c>
      <c r="P1389" s="160">
        <f>InputData!$C$10</f>
        <v>0.02</v>
      </c>
      <c r="Q1389" s="160">
        <f>InputData!$C$11</f>
        <v>0.02</v>
      </c>
      <c r="R1389" s="160">
        <f>InputData!$C$12</f>
        <v>0.02</v>
      </c>
      <c r="S1389" s="160">
        <f>InputData!$C$13</f>
        <v>0.9</v>
      </c>
      <c r="T1389" s="116">
        <f>InputData!$C$88</f>
        <v>180000</v>
      </c>
      <c r="U1389" s="116">
        <f>InputData!$C$81</f>
        <v>178500</v>
      </c>
      <c r="V1389" s="116">
        <f>InputData!$C$82</f>
        <v>303960</v>
      </c>
      <c r="W1389" s="116">
        <f>InputData!$C$84</f>
        <v>215220</v>
      </c>
      <c r="X1389" s="116">
        <f>InputData!$C$85</f>
        <v>409020</v>
      </c>
      <c r="Y1389" s="116">
        <f>InputData!$C$116</f>
        <v>140000</v>
      </c>
      <c r="Z1389" s="160">
        <f>InputData!$E$13</f>
        <v>0</v>
      </c>
    </row>
    <row r="1390" spans="1:26" x14ac:dyDescent="0.25">
      <c r="A1390">
        <f>InputData!$K$1</f>
        <v>2013</v>
      </c>
      <c r="B1390" t="str">
        <f>InputData!$G$1</f>
        <v>San Antonio, TX</v>
      </c>
      <c r="C1390" t="s">
        <v>227</v>
      </c>
      <c r="D1390" t="str">
        <f>Graph_Ophtha!$H$6</f>
        <v>PAYE</v>
      </c>
      <c r="E1390" t="str">
        <f t="shared" si="21"/>
        <v>Ophthalmology PAYE</v>
      </c>
      <c r="F1390">
        <f>Graph_Ophtha!$A15</f>
        <v>2021</v>
      </c>
      <c r="G1390">
        <f>Graph_Ophtha!$B15</f>
        <v>9</v>
      </c>
      <c r="H1390" s="165">
        <f>Graph_Ophtha!$H15</f>
        <v>57589.698042638192</v>
      </c>
      <c r="I1390" s="160">
        <f>InputData!$C$3</f>
        <v>0.02</v>
      </c>
      <c r="J1390" s="160">
        <f>InputData!$C$4</f>
        <v>0.01</v>
      </c>
      <c r="K1390" s="160">
        <f>InputData!$C$5</f>
        <v>0.01</v>
      </c>
      <c r="L1390" s="160">
        <f>InputData!$C$6</f>
        <v>6.2100000000000002E-2</v>
      </c>
      <c r="M1390" s="160">
        <f>InputData!$C$7</f>
        <v>0.03</v>
      </c>
      <c r="N1390" s="160">
        <f>InputData!$C$8</f>
        <v>0.02</v>
      </c>
      <c r="O1390" s="160">
        <f>InputData!$C$9</f>
        <v>0.06</v>
      </c>
      <c r="P1390" s="160">
        <f>InputData!$C$10</f>
        <v>0.02</v>
      </c>
      <c r="Q1390" s="160">
        <f>InputData!$C$11</f>
        <v>0.02</v>
      </c>
      <c r="R1390" s="160">
        <f>InputData!$C$12</f>
        <v>0.02</v>
      </c>
      <c r="S1390" s="160">
        <f>InputData!$C$13</f>
        <v>0.9</v>
      </c>
      <c r="T1390" s="116">
        <f>InputData!$C$88</f>
        <v>180000</v>
      </c>
      <c r="U1390" s="116">
        <f>InputData!$C$81</f>
        <v>178500</v>
      </c>
      <c r="V1390" s="116">
        <f>InputData!$C$82</f>
        <v>303960</v>
      </c>
      <c r="W1390" s="116">
        <f>InputData!$C$84</f>
        <v>215220</v>
      </c>
      <c r="X1390" s="116">
        <f>InputData!$C$85</f>
        <v>409020</v>
      </c>
      <c r="Y1390" s="116">
        <f>InputData!$C$116</f>
        <v>140000</v>
      </c>
      <c r="Z1390" s="160">
        <f>InputData!$E$13</f>
        <v>0</v>
      </c>
    </row>
    <row r="1391" spans="1:26" x14ac:dyDescent="0.25">
      <c r="A1391">
        <f>InputData!$K$1</f>
        <v>2013</v>
      </c>
      <c r="B1391" t="str">
        <f>InputData!$G$1</f>
        <v>San Antonio, TX</v>
      </c>
      <c r="C1391" t="s">
        <v>227</v>
      </c>
      <c r="D1391" t="str">
        <f>Graph_Ophtha!$H$6</f>
        <v>PAYE</v>
      </c>
      <c r="E1391" t="str">
        <f t="shared" si="21"/>
        <v>Ophthalmology PAYE</v>
      </c>
      <c r="F1391">
        <f>Graph_Ophtha!$A16</f>
        <v>2022</v>
      </c>
      <c r="G1391">
        <f>Graph_Ophtha!$B16</f>
        <v>10</v>
      </c>
      <c r="H1391" s="165">
        <f>Graph_Ophtha!$H16</f>
        <v>154428.7145918037</v>
      </c>
      <c r="I1391" s="160">
        <f>InputData!$C$3</f>
        <v>0.02</v>
      </c>
      <c r="J1391" s="160">
        <f>InputData!$C$4</f>
        <v>0.01</v>
      </c>
      <c r="K1391" s="160">
        <f>InputData!$C$5</f>
        <v>0.01</v>
      </c>
      <c r="L1391" s="160">
        <f>InputData!$C$6</f>
        <v>6.2100000000000002E-2</v>
      </c>
      <c r="M1391" s="160">
        <f>InputData!$C$7</f>
        <v>0.03</v>
      </c>
      <c r="N1391" s="160">
        <f>InputData!$C$8</f>
        <v>0.02</v>
      </c>
      <c r="O1391" s="160">
        <f>InputData!$C$9</f>
        <v>0.06</v>
      </c>
      <c r="P1391" s="160">
        <f>InputData!$C$10</f>
        <v>0.02</v>
      </c>
      <c r="Q1391" s="160">
        <f>InputData!$C$11</f>
        <v>0.02</v>
      </c>
      <c r="R1391" s="160">
        <f>InputData!$C$12</f>
        <v>0.02</v>
      </c>
      <c r="S1391" s="160">
        <f>InputData!$C$13</f>
        <v>0.9</v>
      </c>
      <c r="T1391" s="116">
        <f>InputData!$C$88</f>
        <v>180000</v>
      </c>
      <c r="U1391" s="116">
        <f>InputData!$C$81</f>
        <v>178500</v>
      </c>
      <c r="V1391" s="116">
        <f>InputData!$C$82</f>
        <v>303960</v>
      </c>
      <c r="W1391" s="116">
        <f>InputData!$C$84</f>
        <v>215220</v>
      </c>
      <c r="X1391" s="116">
        <f>InputData!$C$85</f>
        <v>409020</v>
      </c>
      <c r="Y1391" s="116">
        <f>InputData!$C$116</f>
        <v>140000</v>
      </c>
      <c r="Z1391" s="160">
        <f>InputData!$E$13</f>
        <v>0</v>
      </c>
    </row>
    <row r="1392" spans="1:26" x14ac:dyDescent="0.25">
      <c r="A1392">
        <f>InputData!$K$1</f>
        <v>2013</v>
      </c>
      <c r="B1392" t="str">
        <f>InputData!$G$1</f>
        <v>San Antonio, TX</v>
      </c>
      <c r="C1392" t="s">
        <v>227</v>
      </c>
      <c r="D1392" t="str">
        <f>Graph_Ophtha!$H$6</f>
        <v>PAYE</v>
      </c>
      <c r="E1392" t="str">
        <f t="shared" si="21"/>
        <v>Ophthalmology PAYE</v>
      </c>
      <c r="F1392">
        <f>Graph_Ophtha!$A17</f>
        <v>2023</v>
      </c>
      <c r="G1392">
        <f>Graph_Ophtha!$B17</f>
        <v>11</v>
      </c>
      <c r="H1392" s="165">
        <f>Graph_Ophtha!$H17</f>
        <v>249277.3278397276</v>
      </c>
      <c r="I1392" s="160">
        <f>InputData!$C$3</f>
        <v>0.02</v>
      </c>
      <c r="J1392" s="160">
        <f>InputData!$C$4</f>
        <v>0.01</v>
      </c>
      <c r="K1392" s="160">
        <f>InputData!$C$5</f>
        <v>0.01</v>
      </c>
      <c r="L1392" s="160">
        <f>InputData!$C$6</f>
        <v>6.2100000000000002E-2</v>
      </c>
      <c r="M1392" s="160">
        <f>InputData!$C$7</f>
        <v>0.03</v>
      </c>
      <c r="N1392" s="160">
        <f>InputData!$C$8</f>
        <v>0.02</v>
      </c>
      <c r="O1392" s="160">
        <f>InputData!$C$9</f>
        <v>0.06</v>
      </c>
      <c r="P1392" s="160">
        <f>InputData!$C$10</f>
        <v>0.02</v>
      </c>
      <c r="Q1392" s="160">
        <f>InputData!$C$11</f>
        <v>0.02</v>
      </c>
      <c r="R1392" s="160">
        <f>InputData!$C$12</f>
        <v>0.02</v>
      </c>
      <c r="S1392" s="160">
        <f>InputData!$C$13</f>
        <v>0.9</v>
      </c>
      <c r="T1392" s="116">
        <f>InputData!$C$88</f>
        <v>180000</v>
      </c>
      <c r="U1392" s="116">
        <f>InputData!$C$81</f>
        <v>178500</v>
      </c>
      <c r="V1392" s="116">
        <f>InputData!$C$82</f>
        <v>303960</v>
      </c>
      <c r="W1392" s="116">
        <f>InputData!$C$84</f>
        <v>215220</v>
      </c>
      <c r="X1392" s="116">
        <f>InputData!$C$85</f>
        <v>409020</v>
      </c>
      <c r="Y1392" s="116">
        <f>InputData!$C$116</f>
        <v>140000</v>
      </c>
      <c r="Z1392" s="160">
        <f>InputData!$E$13</f>
        <v>0</v>
      </c>
    </row>
    <row r="1393" spans="1:26" x14ac:dyDescent="0.25">
      <c r="A1393">
        <f>InputData!$K$1</f>
        <v>2013</v>
      </c>
      <c r="B1393" t="str">
        <f>InputData!$G$1</f>
        <v>San Antonio, TX</v>
      </c>
      <c r="C1393" t="s">
        <v>227</v>
      </c>
      <c r="D1393" t="str">
        <f>Graph_Ophtha!$H$6</f>
        <v>PAYE</v>
      </c>
      <c r="E1393" t="str">
        <f t="shared" si="21"/>
        <v>Ophthalmology PAYE</v>
      </c>
      <c r="F1393">
        <f>Graph_Ophtha!$A18</f>
        <v>2024</v>
      </c>
      <c r="G1393">
        <f>Graph_Ophtha!$B18</f>
        <v>12</v>
      </c>
      <c r="H1393" s="165">
        <f>Graph_Ophtha!$H18</f>
        <v>342177.23323576653</v>
      </c>
      <c r="I1393" s="160">
        <f>InputData!$C$3</f>
        <v>0.02</v>
      </c>
      <c r="J1393" s="160">
        <f>InputData!$C$4</f>
        <v>0.01</v>
      </c>
      <c r="K1393" s="160">
        <f>InputData!$C$5</f>
        <v>0.01</v>
      </c>
      <c r="L1393" s="160">
        <f>InputData!$C$6</f>
        <v>6.2100000000000002E-2</v>
      </c>
      <c r="M1393" s="160">
        <f>InputData!$C$7</f>
        <v>0.03</v>
      </c>
      <c r="N1393" s="160">
        <f>InputData!$C$8</f>
        <v>0.02</v>
      </c>
      <c r="O1393" s="160">
        <f>InputData!$C$9</f>
        <v>0.06</v>
      </c>
      <c r="P1393" s="160">
        <f>InputData!$C$10</f>
        <v>0.02</v>
      </c>
      <c r="Q1393" s="160">
        <f>InputData!$C$11</f>
        <v>0.02</v>
      </c>
      <c r="R1393" s="160">
        <f>InputData!$C$12</f>
        <v>0.02</v>
      </c>
      <c r="S1393" s="160">
        <f>InputData!$C$13</f>
        <v>0.9</v>
      </c>
      <c r="T1393" s="116">
        <f>InputData!$C$88</f>
        <v>180000</v>
      </c>
      <c r="U1393" s="116">
        <f>InputData!$C$81</f>
        <v>178500</v>
      </c>
      <c r="V1393" s="116">
        <f>InputData!$C$82</f>
        <v>303960</v>
      </c>
      <c r="W1393" s="116">
        <f>InputData!$C$84</f>
        <v>215220</v>
      </c>
      <c r="X1393" s="116">
        <f>InputData!$C$85</f>
        <v>409020</v>
      </c>
      <c r="Y1393" s="116">
        <f>InputData!$C$116</f>
        <v>140000</v>
      </c>
      <c r="Z1393" s="160">
        <f>InputData!$E$13</f>
        <v>0</v>
      </c>
    </row>
    <row r="1394" spans="1:26" x14ac:dyDescent="0.25">
      <c r="A1394">
        <f>InputData!$K$1</f>
        <v>2013</v>
      </c>
      <c r="B1394" t="str">
        <f>InputData!$G$1</f>
        <v>San Antonio, TX</v>
      </c>
      <c r="C1394" t="s">
        <v>227</v>
      </c>
      <c r="D1394" t="str">
        <f>Graph_Ophtha!$H$6</f>
        <v>PAYE</v>
      </c>
      <c r="E1394" t="str">
        <f t="shared" si="21"/>
        <v>Ophthalmology PAYE</v>
      </c>
      <c r="F1394">
        <f>Graph_Ophtha!$A19</f>
        <v>2025</v>
      </c>
      <c r="G1394">
        <f>Graph_Ophtha!$B19</f>
        <v>13</v>
      </c>
      <c r="H1394" s="165">
        <f>Graph_Ophtha!$H19</f>
        <v>433169.23096464132</v>
      </c>
      <c r="I1394" s="160">
        <f>InputData!$C$3</f>
        <v>0.02</v>
      </c>
      <c r="J1394" s="160">
        <f>InputData!$C$4</f>
        <v>0.01</v>
      </c>
      <c r="K1394" s="160">
        <f>InputData!$C$5</f>
        <v>0.01</v>
      </c>
      <c r="L1394" s="160">
        <f>InputData!$C$6</f>
        <v>6.2100000000000002E-2</v>
      </c>
      <c r="M1394" s="160">
        <f>InputData!$C$7</f>
        <v>0.03</v>
      </c>
      <c r="N1394" s="160">
        <f>InputData!$C$8</f>
        <v>0.02</v>
      </c>
      <c r="O1394" s="160">
        <f>InputData!$C$9</f>
        <v>0.06</v>
      </c>
      <c r="P1394" s="160">
        <f>InputData!$C$10</f>
        <v>0.02</v>
      </c>
      <c r="Q1394" s="160">
        <f>InputData!$C$11</f>
        <v>0.02</v>
      </c>
      <c r="R1394" s="160">
        <f>InputData!$C$12</f>
        <v>0.02</v>
      </c>
      <c r="S1394" s="160">
        <f>InputData!$C$13</f>
        <v>0.9</v>
      </c>
      <c r="T1394" s="116">
        <f>InputData!$C$88</f>
        <v>180000</v>
      </c>
      <c r="U1394" s="116">
        <f>InputData!$C$81</f>
        <v>178500</v>
      </c>
      <c r="V1394" s="116">
        <f>InputData!$C$82</f>
        <v>303960</v>
      </c>
      <c r="W1394" s="116">
        <f>InputData!$C$84</f>
        <v>215220</v>
      </c>
      <c r="X1394" s="116">
        <f>InputData!$C$85</f>
        <v>409020</v>
      </c>
      <c r="Y1394" s="116">
        <f>InputData!$C$116</f>
        <v>140000</v>
      </c>
      <c r="Z1394" s="160">
        <f>InputData!$E$13</f>
        <v>0</v>
      </c>
    </row>
    <row r="1395" spans="1:26" x14ac:dyDescent="0.25">
      <c r="A1395">
        <f>InputData!$K$1</f>
        <v>2013</v>
      </c>
      <c r="B1395" t="str">
        <f>InputData!$G$1</f>
        <v>San Antonio, TX</v>
      </c>
      <c r="C1395" t="s">
        <v>227</v>
      </c>
      <c r="D1395" t="str">
        <f>Graph_Ophtha!$H$6</f>
        <v>PAYE</v>
      </c>
      <c r="E1395" t="str">
        <f t="shared" si="21"/>
        <v>Ophthalmology PAYE</v>
      </c>
      <c r="F1395">
        <f>Graph_Ophtha!$A20</f>
        <v>2026</v>
      </c>
      <c r="G1395">
        <f>Graph_Ophtha!$B20</f>
        <v>14</v>
      </c>
      <c r="H1395" s="165">
        <f>Graph_Ophtha!$H20</f>
        <v>522293.24576395075</v>
      </c>
      <c r="I1395" s="160">
        <f>InputData!$C$3</f>
        <v>0.02</v>
      </c>
      <c r="J1395" s="160">
        <f>InputData!$C$4</f>
        <v>0.01</v>
      </c>
      <c r="K1395" s="160">
        <f>InputData!$C$5</f>
        <v>0.01</v>
      </c>
      <c r="L1395" s="160">
        <f>InputData!$C$6</f>
        <v>6.2100000000000002E-2</v>
      </c>
      <c r="M1395" s="160">
        <f>InputData!$C$7</f>
        <v>0.03</v>
      </c>
      <c r="N1395" s="160">
        <f>InputData!$C$8</f>
        <v>0.02</v>
      </c>
      <c r="O1395" s="160">
        <f>InputData!$C$9</f>
        <v>0.06</v>
      </c>
      <c r="P1395" s="160">
        <f>InputData!$C$10</f>
        <v>0.02</v>
      </c>
      <c r="Q1395" s="160">
        <f>InputData!$C$11</f>
        <v>0.02</v>
      </c>
      <c r="R1395" s="160">
        <f>InputData!$C$12</f>
        <v>0.02</v>
      </c>
      <c r="S1395" s="160">
        <f>InputData!$C$13</f>
        <v>0.9</v>
      </c>
      <c r="T1395" s="116">
        <f>InputData!$C$88</f>
        <v>180000</v>
      </c>
      <c r="U1395" s="116">
        <f>InputData!$C$81</f>
        <v>178500</v>
      </c>
      <c r="V1395" s="116">
        <f>InputData!$C$82</f>
        <v>303960</v>
      </c>
      <c r="W1395" s="116">
        <f>InputData!$C$84</f>
        <v>215220</v>
      </c>
      <c r="X1395" s="116">
        <f>InputData!$C$85</f>
        <v>409020</v>
      </c>
      <c r="Y1395" s="116">
        <f>InputData!$C$116</f>
        <v>140000</v>
      </c>
      <c r="Z1395" s="160">
        <f>InputData!$E$13</f>
        <v>0</v>
      </c>
    </row>
    <row r="1396" spans="1:26" x14ac:dyDescent="0.25">
      <c r="A1396">
        <f>InputData!$K$1</f>
        <v>2013</v>
      </c>
      <c r="B1396" t="str">
        <f>InputData!$G$1</f>
        <v>San Antonio, TX</v>
      </c>
      <c r="C1396" t="s">
        <v>227</v>
      </c>
      <c r="D1396" t="str">
        <f>Graph_Ophtha!$H$6</f>
        <v>PAYE</v>
      </c>
      <c r="E1396" t="str">
        <f t="shared" si="21"/>
        <v>Ophthalmology PAYE</v>
      </c>
      <c r="F1396">
        <f>Graph_Ophtha!$A21</f>
        <v>2027</v>
      </c>
      <c r="G1396">
        <f>Graph_Ophtha!$B21</f>
        <v>15</v>
      </c>
      <c r="H1396" s="165">
        <f>Graph_Ophtha!$H21</f>
        <v>609588.34628718451</v>
      </c>
      <c r="I1396" s="160">
        <f>InputData!$C$3</f>
        <v>0.02</v>
      </c>
      <c r="J1396" s="160">
        <f>InputData!$C$4</f>
        <v>0.01</v>
      </c>
      <c r="K1396" s="160">
        <f>InputData!$C$5</f>
        <v>0.01</v>
      </c>
      <c r="L1396" s="160">
        <f>InputData!$C$6</f>
        <v>6.2100000000000002E-2</v>
      </c>
      <c r="M1396" s="160">
        <f>InputData!$C$7</f>
        <v>0.03</v>
      </c>
      <c r="N1396" s="160">
        <f>InputData!$C$8</f>
        <v>0.02</v>
      </c>
      <c r="O1396" s="160">
        <f>InputData!$C$9</f>
        <v>0.06</v>
      </c>
      <c r="P1396" s="160">
        <f>InputData!$C$10</f>
        <v>0.02</v>
      </c>
      <c r="Q1396" s="160">
        <f>InputData!$C$11</f>
        <v>0.02</v>
      </c>
      <c r="R1396" s="160">
        <f>InputData!$C$12</f>
        <v>0.02</v>
      </c>
      <c r="S1396" s="160">
        <f>InputData!$C$13</f>
        <v>0.9</v>
      </c>
      <c r="T1396" s="116">
        <f>InputData!$C$88</f>
        <v>180000</v>
      </c>
      <c r="U1396" s="116">
        <f>InputData!$C$81</f>
        <v>178500</v>
      </c>
      <c r="V1396" s="116">
        <f>InputData!$C$82</f>
        <v>303960</v>
      </c>
      <c r="W1396" s="116">
        <f>InputData!$C$84</f>
        <v>215220</v>
      </c>
      <c r="X1396" s="116">
        <f>InputData!$C$85</f>
        <v>409020</v>
      </c>
      <c r="Y1396" s="116">
        <f>InputData!$C$116</f>
        <v>140000</v>
      </c>
      <c r="Z1396" s="160">
        <f>InputData!$E$13</f>
        <v>0</v>
      </c>
    </row>
    <row r="1397" spans="1:26" x14ac:dyDescent="0.25">
      <c r="A1397">
        <f>InputData!$K$1</f>
        <v>2013</v>
      </c>
      <c r="B1397" t="str">
        <f>InputData!$G$1</f>
        <v>San Antonio, TX</v>
      </c>
      <c r="C1397" t="s">
        <v>227</v>
      </c>
      <c r="D1397" t="str">
        <f>Graph_Ophtha!$H$6</f>
        <v>PAYE</v>
      </c>
      <c r="E1397" t="str">
        <f t="shared" si="21"/>
        <v>Ophthalmology PAYE</v>
      </c>
      <c r="F1397">
        <f>Graph_Ophtha!$A22</f>
        <v>2028</v>
      </c>
      <c r="G1397">
        <f>Graph_Ophtha!$B22</f>
        <v>16</v>
      </c>
      <c r="H1397" s="165">
        <f>Graph_Ophtha!$H22</f>
        <v>695092.76402306871</v>
      </c>
      <c r="I1397" s="160">
        <f>InputData!$C$3</f>
        <v>0.02</v>
      </c>
      <c r="J1397" s="160">
        <f>InputData!$C$4</f>
        <v>0.01</v>
      </c>
      <c r="K1397" s="160">
        <f>InputData!$C$5</f>
        <v>0.01</v>
      </c>
      <c r="L1397" s="160">
        <f>InputData!$C$6</f>
        <v>6.2100000000000002E-2</v>
      </c>
      <c r="M1397" s="160">
        <f>InputData!$C$7</f>
        <v>0.03</v>
      </c>
      <c r="N1397" s="160">
        <f>InputData!$C$8</f>
        <v>0.02</v>
      </c>
      <c r="O1397" s="160">
        <f>InputData!$C$9</f>
        <v>0.06</v>
      </c>
      <c r="P1397" s="160">
        <f>InputData!$C$10</f>
        <v>0.02</v>
      </c>
      <c r="Q1397" s="160">
        <f>InputData!$C$11</f>
        <v>0.02</v>
      </c>
      <c r="R1397" s="160">
        <f>InputData!$C$12</f>
        <v>0.02</v>
      </c>
      <c r="S1397" s="160">
        <f>InputData!$C$13</f>
        <v>0.9</v>
      </c>
      <c r="T1397" s="116">
        <f>InputData!$C$88</f>
        <v>180000</v>
      </c>
      <c r="U1397" s="116">
        <f>InputData!$C$81</f>
        <v>178500</v>
      </c>
      <c r="V1397" s="116">
        <f>InputData!$C$82</f>
        <v>303960</v>
      </c>
      <c r="W1397" s="116">
        <f>InputData!$C$84</f>
        <v>215220</v>
      </c>
      <c r="X1397" s="116">
        <f>InputData!$C$85</f>
        <v>409020</v>
      </c>
      <c r="Y1397" s="116">
        <f>InputData!$C$116</f>
        <v>140000</v>
      </c>
      <c r="Z1397" s="160">
        <f>InputData!$E$13</f>
        <v>0</v>
      </c>
    </row>
    <row r="1398" spans="1:26" x14ac:dyDescent="0.25">
      <c r="A1398">
        <f>InputData!$K$1</f>
        <v>2013</v>
      </c>
      <c r="B1398" t="str">
        <f>InputData!$G$1</f>
        <v>San Antonio, TX</v>
      </c>
      <c r="C1398" t="s">
        <v>227</v>
      </c>
      <c r="D1398" t="str">
        <f>Graph_Ophtha!$H$6</f>
        <v>PAYE</v>
      </c>
      <c r="E1398" t="str">
        <f t="shared" si="21"/>
        <v>Ophthalmology PAYE</v>
      </c>
      <c r="F1398">
        <f>Graph_Ophtha!$A23</f>
        <v>2029</v>
      </c>
      <c r="G1398">
        <f>Graph_Ophtha!$B23</f>
        <v>17</v>
      </c>
      <c r="H1398" s="165">
        <f>Graph_Ophtha!$H23</f>
        <v>778843.91178180533</v>
      </c>
      <c r="I1398" s="160">
        <f>InputData!$C$3</f>
        <v>0.02</v>
      </c>
      <c r="J1398" s="160">
        <f>InputData!$C$4</f>
        <v>0.01</v>
      </c>
      <c r="K1398" s="160">
        <f>InputData!$C$5</f>
        <v>0.01</v>
      </c>
      <c r="L1398" s="160">
        <f>InputData!$C$6</f>
        <v>6.2100000000000002E-2</v>
      </c>
      <c r="M1398" s="160">
        <f>InputData!$C$7</f>
        <v>0.03</v>
      </c>
      <c r="N1398" s="160">
        <f>InputData!$C$8</f>
        <v>0.02</v>
      </c>
      <c r="O1398" s="160">
        <f>InputData!$C$9</f>
        <v>0.06</v>
      </c>
      <c r="P1398" s="160">
        <f>InputData!$C$10</f>
        <v>0.02</v>
      </c>
      <c r="Q1398" s="160">
        <f>InputData!$C$11</f>
        <v>0.02</v>
      </c>
      <c r="R1398" s="160">
        <f>InputData!$C$12</f>
        <v>0.02</v>
      </c>
      <c r="S1398" s="160">
        <f>InputData!$C$13</f>
        <v>0.9</v>
      </c>
      <c r="T1398" s="116">
        <f>InputData!$C$88</f>
        <v>180000</v>
      </c>
      <c r="U1398" s="116">
        <f>InputData!$C$81</f>
        <v>178500</v>
      </c>
      <c r="V1398" s="116">
        <f>InputData!$C$82</f>
        <v>303960</v>
      </c>
      <c r="W1398" s="116">
        <f>InputData!$C$84</f>
        <v>215220</v>
      </c>
      <c r="X1398" s="116">
        <f>InputData!$C$85</f>
        <v>409020</v>
      </c>
      <c r="Y1398" s="116">
        <f>InputData!$C$116</f>
        <v>140000</v>
      </c>
      <c r="Z1398" s="160">
        <f>InputData!$E$13</f>
        <v>0</v>
      </c>
    </row>
    <row r="1399" spans="1:26" x14ac:dyDescent="0.25">
      <c r="A1399">
        <f>InputData!$K$1</f>
        <v>2013</v>
      </c>
      <c r="B1399" t="str">
        <f>InputData!$G$1</f>
        <v>San Antonio, TX</v>
      </c>
      <c r="C1399" t="s">
        <v>227</v>
      </c>
      <c r="D1399" t="str">
        <f>Graph_Ophtha!$H$6</f>
        <v>PAYE</v>
      </c>
      <c r="E1399" t="str">
        <f t="shared" si="21"/>
        <v>Ophthalmology PAYE</v>
      </c>
      <c r="F1399">
        <f>Graph_Ophtha!$A24</f>
        <v>2030</v>
      </c>
      <c r="G1399">
        <f>Graph_Ophtha!$B24</f>
        <v>18</v>
      </c>
      <c r="H1399" s="165">
        <f>Graph_Ophtha!$H24</f>
        <v>860878.40175851015</v>
      </c>
      <c r="I1399" s="160">
        <f>InputData!$C$3</f>
        <v>0.02</v>
      </c>
      <c r="J1399" s="160">
        <f>InputData!$C$4</f>
        <v>0.01</v>
      </c>
      <c r="K1399" s="160">
        <f>InputData!$C$5</f>
        <v>0.01</v>
      </c>
      <c r="L1399" s="160">
        <f>InputData!$C$6</f>
        <v>6.2100000000000002E-2</v>
      </c>
      <c r="M1399" s="160">
        <f>InputData!$C$7</f>
        <v>0.03</v>
      </c>
      <c r="N1399" s="160">
        <f>InputData!$C$8</f>
        <v>0.02</v>
      </c>
      <c r="O1399" s="160">
        <f>InputData!$C$9</f>
        <v>0.06</v>
      </c>
      <c r="P1399" s="160">
        <f>InputData!$C$10</f>
        <v>0.02</v>
      </c>
      <c r="Q1399" s="160">
        <f>InputData!$C$11</f>
        <v>0.02</v>
      </c>
      <c r="R1399" s="160">
        <f>InputData!$C$12</f>
        <v>0.02</v>
      </c>
      <c r="S1399" s="160">
        <f>InputData!$C$13</f>
        <v>0.9</v>
      </c>
      <c r="T1399" s="116">
        <f>InputData!$C$88</f>
        <v>180000</v>
      </c>
      <c r="U1399" s="116">
        <f>InputData!$C$81</f>
        <v>178500</v>
      </c>
      <c r="V1399" s="116">
        <f>InputData!$C$82</f>
        <v>303960</v>
      </c>
      <c r="W1399" s="116">
        <f>InputData!$C$84</f>
        <v>215220</v>
      </c>
      <c r="X1399" s="116">
        <f>InputData!$C$85</f>
        <v>409020</v>
      </c>
      <c r="Y1399" s="116">
        <f>InputData!$C$116</f>
        <v>140000</v>
      </c>
      <c r="Z1399" s="160">
        <f>InputData!$E$13</f>
        <v>0</v>
      </c>
    </row>
    <row r="1400" spans="1:26" x14ac:dyDescent="0.25">
      <c r="A1400">
        <f>InputData!$K$1</f>
        <v>2013</v>
      </c>
      <c r="B1400" t="str">
        <f>InputData!$G$1</f>
        <v>San Antonio, TX</v>
      </c>
      <c r="C1400" t="s">
        <v>227</v>
      </c>
      <c r="D1400" t="str">
        <f>Graph_Ophtha!$H$6</f>
        <v>PAYE</v>
      </c>
      <c r="E1400" t="str">
        <f t="shared" si="21"/>
        <v>Ophthalmology PAYE</v>
      </c>
      <c r="F1400">
        <f>Graph_Ophtha!$A25</f>
        <v>2031</v>
      </c>
      <c r="G1400">
        <f>Graph_Ophtha!$B25</f>
        <v>19</v>
      </c>
      <c r="H1400" s="165">
        <f>Graph_Ophtha!$H25</f>
        <v>941232.0631838938</v>
      </c>
      <c r="I1400" s="160">
        <f>InputData!$C$3</f>
        <v>0.02</v>
      </c>
      <c r="J1400" s="160">
        <f>InputData!$C$4</f>
        <v>0.01</v>
      </c>
      <c r="K1400" s="160">
        <f>InputData!$C$5</f>
        <v>0.01</v>
      </c>
      <c r="L1400" s="160">
        <f>InputData!$C$6</f>
        <v>6.2100000000000002E-2</v>
      </c>
      <c r="M1400" s="160">
        <f>InputData!$C$7</f>
        <v>0.03</v>
      </c>
      <c r="N1400" s="160">
        <f>InputData!$C$8</f>
        <v>0.02</v>
      </c>
      <c r="O1400" s="160">
        <f>InputData!$C$9</f>
        <v>0.06</v>
      </c>
      <c r="P1400" s="160">
        <f>InputData!$C$10</f>
        <v>0.02</v>
      </c>
      <c r="Q1400" s="160">
        <f>InputData!$C$11</f>
        <v>0.02</v>
      </c>
      <c r="R1400" s="160">
        <f>InputData!$C$12</f>
        <v>0.02</v>
      </c>
      <c r="S1400" s="160">
        <f>InputData!$C$13</f>
        <v>0.9</v>
      </c>
      <c r="T1400" s="116">
        <f>InputData!$C$88</f>
        <v>180000</v>
      </c>
      <c r="U1400" s="116">
        <f>InputData!$C$81</f>
        <v>178500</v>
      </c>
      <c r="V1400" s="116">
        <f>InputData!$C$82</f>
        <v>303960</v>
      </c>
      <c r="W1400" s="116">
        <f>InputData!$C$84</f>
        <v>215220</v>
      </c>
      <c r="X1400" s="116">
        <f>InputData!$C$85</f>
        <v>409020</v>
      </c>
      <c r="Y1400" s="116">
        <f>InputData!$C$116</f>
        <v>140000</v>
      </c>
      <c r="Z1400" s="160">
        <f>InputData!$E$13</f>
        <v>0</v>
      </c>
    </row>
    <row r="1401" spans="1:26" x14ac:dyDescent="0.25">
      <c r="A1401">
        <f>InputData!$K$1</f>
        <v>2013</v>
      </c>
      <c r="B1401" t="str">
        <f>InputData!$G$1</f>
        <v>San Antonio, TX</v>
      </c>
      <c r="C1401" t="s">
        <v>227</v>
      </c>
      <c r="D1401" t="str">
        <f>Graph_Ophtha!$H$6</f>
        <v>PAYE</v>
      </c>
      <c r="E1401" t="str">
        <f t="shared" si="21"/>
        <v>Ophthalmology PAYE</v>
      </c>
      <c r="F1401">
        <f>Graph_Ophtha!$A26</f>
        <v>2032</v>
      </c>
      <c r="G1401">
        <f>Graph_Ophtha!$B26</f>
        <v>20</v>
      </c>
      <c r="H1401" s="165">
        <f>Graph_Ophtha!$H26</f>
        <v>1019939.959571988</v>
      </c>
      <c r="I1401" s="160">
        <f>InputData!$C$3</f>
        <v>0.02</v>
      </c>
      <c r="J1401" s="160">
        <f>InputData!$C$4</f>
        <v>0.01</v>
      </c>
      <c r="K1401" s="160">
        <f>InputData!$C$5</f>
        <v>0.01</v>
      </c>
      <c r="L1401" s="160">
        <f>InputData!$C$6</f>
        <v>6.2100000000000002E-2</v>
      </c>
      <c r="M1401" s="160">
        <f>InputData!$C$7</f>
        <v>0.03</v>
      </c>
      <c r="N1401" s="160">
        <f>InputData!$C$8</f>
        <v>0.02</v>
      </c>
      <c r="O1401" s="160">
        <f>InputData!$C$9</f>
        <v>0.06</v>
      </c>
      <c r="P1401" s="160">
        <f>InputData!$C$10</f>
        <v>0.02</v>
      </c>
      <c r="Q1401" s="160">
        <f>InputData!$C$11</f>
        <v>0.02</v>
      </c>
      <c r="R1401" s="160">
        <f>InputData!$C$12</f>
        <v>0.02</v>
      </c>
      <c r="S1401" s="160">
        <f>InputData!$C$13</f>
        <v>0.9</v>
      </c>
      <c r="T1401" s="116">
        <f>InputData!$C$88</f>
        <v>180000</v>
      </c>
      <c r="U1401" s="116">
        <f>InputData!$C$81</f>
        <v>178500</v>
      </c>
      <c r="V1401" s="116">
        <f>InputData!$C$82</f>
        <v>303960</v>
      </c>
      <c r="W1401" s="116">
        <f>InputData!$C$84</f>
        <v>215220</v>
      </c>
      <c r="X1401" s="116">
        <f>InputData!$C$85</f>
        <v>409020</v>
      </c>
      <c r="Y1401" s="116">
        <f>InputData!$C$116</f>
        <v>140000</v>
      </c>
      <c r="Z1401" s="160">
        <f>InputData!$E$13</f>
        <v>0</v>
      </c>
    </row>
    <row r="1402" spans="1:26" x14ac:dyDescent="0.25">
      <c r="A1402">
        <f>InputData!$K$1</f>
        <v>2013</v>
      </c>
      <c r="B1402" t="str">
        <f>InputData!$G$1</f>
        <v>San Antonio, TX</v>
      </c>
      <c r="C1402" t="s">
        <v>227</v>
      </c>
      <c r="D1402" t="str">
        <f>Graph_Ophtha!$H$6</f>
        <v>PAYE</v>
      </c>
      <c r="E1402" t="str">
        <f t="shared" si="21"/>
        <v>Ophthalmology PAYE</v>
      </c>
      <c r="F1402">
        <f>Graph_Ophtha!$A27</f>
        <v>2033</v>
      </c>
      <c r="G1402">
        <f>Graph_Ophtha!$B27</f>
        <v>21</v>
      </c>
      <c r="H1402" s="165">
        <f>Graph_Ophtha!$H27</f>
        <v>1097036.4055744717</v>
      </c>
      <c r="I1402" s="160">
        <f>InputData!$C$3</f>
        <v>0.02</v>
      </c>
      <c r="J1402" s="160">
        <f>InputData!$C$4</f>
        <v>0.01</v>
      </c>
      <c r="K1402" s="160">
        <f>InputData!$C$5</f>
        <v>0.01</v>
      </c>
      <c r="L1402" s="160">
        <f>InputData!$C$6</f>
        <v>6.2100000000000002E-2</v>
      </c>
      <c r="M1402" s="160">
        <f>InputData!$C$7</f>
        <v>0.03</v>
      </c>
      <c r="N1402" s="160">
        <f>InputData!$C$8</f>
        <v>0.02</v>
      </c>
      <c r="O1402" s="160">
        <f>InputData!$C$9</f>
        <v>0.06</v>
      </c>
      <c r="P1402" s="160">
        <f>InputData!$C$10</f>
        <v>0.02</v>
      </c>
      <c r="Q1402" s="160">
        <f>InputData!$C$11</f>
        <v>0.02</v>
      </c>
      <c r="R1402" s="160">
        <f>InputData!$C$12</f>
        <v>0.02</v>
      </c>
      <c r="S1402" s="160">
        <f>InputData!$C$13</f>
        <v>0.9</v>
      </c>
      <c r="T1402" s="116">
        <f>InputData!$C$88</f>
        <v>180000</v>
      </c>
      <c r="U1402" s="116">
        <f>InputData!$C$81</f>
        <v>178500</v>
      </c>
      <c r="V1402" s="116">
        <f>InputData!$C$82</f>
        <v>303960</v>
      </c>
      <c r="W1402" s="116">
        <f>InputData!$C$84</f>
        <v>215220</v>
      </c>
      <c r="X1402" s="116">
        <f>InputData!$C$85</f>
        <v>409020</v>
      </c>
      <c r="Y1402" s="116">
        <f>InputData!$C$116</f>
        <v>140000</v>
      </c>
      <c r="Z1402" s="160">
        <f>InputData!$E$13</f>
        <v>0</v>
      </c>
    </row>
    <row r="1403" spans="1:26" x14ac:dyDescent="0.25">
      <c r="A1403">
        <f>InputData!$K$1</f>
        <v>2013</v>
      </c>
      <c r="B1403" t="str">
        <f>InputData!$G$1</f>
        <v>San Antonio, TX</v>
      </c>
      <c r="C1403" t="s">
        <v>227</v>
      </c>
      <c r="D1403" t="str">
        <f>Graph_Ophtha!$H$6</f>
        <v>PAYE</v>
      </c>
      <c r="E1403" t="str">
        <f t="shared" si="21"/>
        <v>Ophthalmology PAYE</v>
      </c>
      <c r="F1403">
        <f>Graph_Ophtha!$A28</f>
        <v>2034</v>
      </c>
      <c r="G1403">
        <f>Graph_Ophtha!$B28</f>
        <v>22</v>
      </c>
      <c r="H1403" s="165">
        <f>Graph_Ophtha!$H28</f>
        <v>1172554.9834509208</v>
      </c>
      <c r="I1403" s="160">
        <f>InputData!$C$3</f>
        <v>0.02</v>
      </c>
      <c r="J1403" s="160">
        <f>InputData!$C$4</f>
        <v>0.01</v>
      </c>
      <c r="K1403" s="160">
        <f>InputData!$C$5</f>
        <v>0.01</v>
      </c>
      <c r="L1403" s="160">
        <f>InputData!$C$6</f>
        <v>6.2100000000000002E-2</v>
      </c>
      <c r="M1403" s="160">
        <f>InputData!$C$7</f>
        <v>0.03</v>
      </c>
      <c r="N1403" s="160">
        <f>InputData!$C$8</f>
        <v>0.02</v>
      </c>
      <c r="O1403" s="160">
        <f>InputData!$C$9</f>
        <v>0.06</v>
      </c>
      <c r="P1403" s="160">
        <f>InputData!$C$10</f>
        <v>0.02</v>
      </c>
      <c r="Q1403" s="160">
        <f>InputData!$C$11</f>
        <v>0.02</v>
      </c>
      <c r="R1403" s="160">
        <f>InputData!$C$12</f>
        <v>0.02</v>
      </c>
      <c r="S1403" s="160">
        <f>InputData!$C$13</f>
        <v>0.9</v>
      </c>
      <c r="T1403" s="116">
        <f>InputData!$C$88</f>
        <v>180000</v>
      </c>
      <c r="U1403" s="116">
        <f>InputData!$C$81</f>
        <v>178500</v>
      </c>
      <c r="V1403" s="116">
        <f>InputData!$C$82</f>
        <v>303960</v>
      </c>
      <c r="W1403" s="116">
        <f>InputData!$C$84</f>
        <v>215220</v>
      </c>
      <c r="X1403" s="116">
        <f>InputData!$C$85</f>
        <v>409020</v>
      </c>
      <c r="Y1403" s="116">
        <f>InputData!$C$116</f>
        <v>140000</v>
      </c>
      <c r="Z1403" s="160">
        <f>InputData!$E$13</f>
        <v>0</v>
      </c>
    </row>
    <row r="1404" spans="1:26" x14ac:dyDescent="0.25">
      <c r="A1404">
        <f>InputData!$K$1</f>
        <v>2013</v>
      </c>
      <c r="B1404" t="str">
        <f>InputData!$G$1</f>
        <v>San Antonio, TX</v>
      </c>
      <c r="C1404" t="s">
        <v>227</v>
      </c>
      <c r="D1404" t="str">
        <f>Graph_Ophtha!$H$6</f>
        <v>PAYE</v>
      </c>
      <c r="E1404" t="str">
        <f t="shared" si="21"/>
        <v>Ophthalmology PAYE</v>
      </c>
      <c r="F1404">
        <f>Graph_Ophtha!$A29</f>
        <v>2035</v>
      </c>
      <c r="G1404">
        <f>Graph_Ophtha!$B29</f>
        <v>23</v>
      </c>
      <c r="H1404" s="165">
        <f>Graph_Ophtha!$H29</f>
        <v>1246528.5591640724</v>
      </c>
      <c r="I1404" s="160">
        <f>InputData!$C$3</f>
        <v>0.02</v>
      </c>
      <c r="J1404" s="160">
        <f>InputData!$C$4</f>
        <v>0.01</v>
      </c>
      <c r="K1404" s="160">
        <f>InputData!$C$5</f>
        <v>0.01</v>
      </c>
      <c r="L1404" s="160">
        <f>InputData!$C$6</f>
        <v>6.2100000000000002E-2</v>
      </c>
      <c r="M1404" s="160">
        <f>InputData!$C$7</f>
        <v>0.03</v>
      </c>
      <c r="N1404" s="160">
        <f>InputData!$C$8</f>
        <v>0.02</v>
      </c>
      <c r="O1404" s="160">
        <f>InputData!$C$9</f>
        <v>0.06</v>
      </c>
      <c r="P1404" s="160">
        <f>InputData!$C$10</f>
        <v>0.02</v>
      </c>
      <c r="Q1404" s="160">
        <f>InputData!$C$11</f>
        <v>0.02</v>
      </c>
      <c r="R1404" s="160">
        <f>InputData!$C$12</f>
        <v>0.02</v>
      </c>
      <c r="S1404" s="160">
        <f>InputData!$C$13</f>
        <v>0.9</v>
      </c>
      <c r="T1404" s="116">
        <f>InputData!$C$88</f>
        <v>180000</v>
      </c>
      <c r="U1404" s="116">
        <f>InputData!$C$81</f>
        <v>178500</v>
      </c>
      <c r="V1404" s="116">
        <f>InputData!$C$82</f>
        <v>303960</v>
      </c>
      <c r="W1404" s="116">
        <f>InputData!$C$84</f>
        <v>215220</v>
      </c>
      <c r="X1404" s="116">
        <f>InputData!$C$85</f>
        <v>409020</v>
      </c>
      <c r="Y1404" s="116">
        <f>InputData!$C$116</f>
        <v>140000</v>
      </c>
      <c r="Z1404" s="160">
        <f>InputData!$E$13</f>
        <v>0</v>
      </c>
    </row>
    <row r="1405" spans="1:26" x14ac:dyDescent="0.25">
      <c r="A1405">
        <f>InputData!$K$1</f>
        <v>2013</v>
      </c>
      <c r="B1405" t="str">
        <f>InputData!$G$1</f>
        <v>San Antonio, TX</v>
      </c>
      <c r="C1405" t="s">
        <v>227</v>
      </c>
      <c r="D1405" t="str">
        <f>Graph_Ophtha!$H$6</f>
        <v>PAYE</v>
      </c>
      <c r="E1405" t="str">
        <f t="shared" si="21"/>
        <v>Ophthalmology PAYE</v>
      </c>
      <c r="F1405">
        <f>Graph_Ophtha!$A30</f>
        <v>2036</v>
      </c>
      <c r="G1405">
        <f>Graph_Ophtha!$B30</f>
        <v>24</v>
      </c>
      <c r="H1405" s="165">
        <f>Graph_Ophtha!$H30</f>
        <v>1325078.7423982376</v>
      </c>
      <c r="I1405" s="160">
        <f>InputData!$C$3</f>
        <v>0.02</v>
      </c>
      <c r="J1405" s="160">
        <f>InputData!$C$4</f>
        <v>0.01</v>
      </c>
      <c r="K1405" s="160">
        <f>InputData!$C$5</f>
        <v>0.01</v>
      </c>
      <c r="L1405" s="160">
        <f>InputData!$C$6</f>
        <v>6.2100000000000002E-2</v>
      </c>
      <c r="M1405" s="160">
        <f>InputData!$C$7</f>
        <v>0.03</v>
      </c>
      <c r="N1405" s="160">
        <f>InputData!$C$8</f>
        <v>0.02</v>
      </c>
      <c r="O1405" s="160">
        <f>InputData!$C$9</f>
        <v>0.06</v>
      </c>
      <c r="P1405" s="160">
        <f>InputData!$C$10</f>
        <v>0.02</v>
      </c>
      <c r="Q1405" s="160">
        <f>InputData!$C$11</f>
        <v>0.02</v>
      </c>
      <c r="R1405" s="160">
        <f>InputData!$C$12</f>
        <v>0.02</v>
      </c>
      <c r="S1405" s="160">
        <f>InputData!$C$13</f>
        <v>0.9</v>
      </c>
      <c r="T1405" s="116">
        <f>InputData!$C$88</f>
        <v>180000</v>
      </c>
      <c r="U1405" s="116">
        <f>InputData!$C$81</f>
        <v>178500</v>
      </c>
      <c r="V1405" s="116">
        <f>InputData!$C$82</f>
        <v>303960</v>
      </c>
      <c r="W1405" s="116">
        <f>InputData!$C$84</f>
        <v>215220</v>
      </c>
      <c r="X1405" s="116">
        <f>InputData!$C$85</f>
        <v>409020</v>
      </c>
      <c r="Y1405" s="116">
        <f>InputData!$C$116</f>
        <v>140000</v>
      </c>
      <c r="Z1405" s="160">
        <f>InputData!$E$13</f>
        <v>0</v>
      </c>
    </row>
    <row r="1406" spans="1:26" x14ac:dyDescent="0.25">
      <c r="A1406">
        <f>InputData!$K$1</f>
        <v>2013</v>
      </c>
      <c r="B1406" t="str">
        <f>InputData!$G$1</f>
        <v>San Antonio, TX</v>
      </c>
      <c r="C1406" t="s">
        <v>227</v>
      </c>
      <c r="D1406" t="str">
        <f>Graph_Ophtha!$H$6</f>
        <v>PAYE</v>
      </c>
      <c r="E1406" t="str">
        <f t="shared" si="21"/>
        <v>Ophthalmology PAYE</v>
      </c>
      <c r="F1406">
        <f>Graph_Ophtha!$A31</f>
        <v>2037</v>
      </c>
      <c r="G1406">
        <f>Graph_Ophtha!$B31</f>
        <v>25</v>
      </c>
      <c r="H1406" s="165">
        <f>Graph_Ophtha!$H31</f>
        <v>1406875.8917777906</v>
      </c>
      <c r="I1406" s="160">
        <f>InputData!$C$3</f>
        <v>0.02</v>
      </c>
      <c r="J1406" s="160">
        <f>InputData!$C$4</f>
        <v>0.01</v>
      </c>
      <c r="K1406" s="160">
        <f>InputData!$C$5</f>
        <v>0.01</v>
      </c>
      <c r="L1406" s="160">
        <f>InputData!$C$6</f>
        <v>6.2100000000000002E-2</v>
      </c>
      <c r="M1406" s="160">
        <f>InputData!$C$7</f>
        <v>0.03</v>
      </c>
      <c r="N1406" s="160">
        <f>InputData!$C$8</f>
        <v>0.02</v>
      </c>
      <c r="O1406" s="160">
        <f>InputData!$C$9</f>
        <v>0.06</v>
      </c>
      <c r="P1406" s="160">
        <f>InputData!$C$10</f>
        <v>0.02</v>
      </c>
      <c r="Q1406" s="160">
        <f>InputData!$C$11</f>
        <v>0.02</v>
      </c>
      <c r="R1406" s="160">
        <f>InputData!$C$12</f>
        <v>0.02</v>
      </c>
      <c r="S1406" s="160">
        <f>InputData!$C$13</f>
        <v>0.9</v>
      </c>
      <c r="T1406" s="116">
        <f>InputData!$C$88</f>
        <v>180000</v>
      </c>
      <c r="U1406" s="116">
        <f>InputData!$C$81</f>
        <v>178500</v>
      </c>
      <c r="V1406" s="116">
        <f>InputData!$C$82</f>
        <v>303960</v>
      </c>
      <c r="W1406" s="116">
        <f>InputData!$C$84</f>
        <v>215220</v>
      </c>
      <c r="X1406" s="116">
        <f>InputData!$C$85</f>
        <v>409020</v>
      </c>
      <c r="Y1406" s="116">
        <f>InputData!$C$116</f>
        <v>140000</v>
      </c>
      <c r="Z1406" s="160">
        <f>InputData!$E$13</f>
        <v>0</v>
      </c>
    </row>
    <row r="1407" spans="1:26" x14ac:dyDescent="0.25">
      <c r="A1407">
        <f>InputData!$K$1</f>
        <v>2013</v>
      </c>
      <c r="B1407" t="str">
        <f>InputData!$G$1</f>
        <v>San Antonio, TX</v>
      </c>
      <c r="C1407" t="s">
        <v>227</v>
      </c>
      <c r="D1407" t="str">
        <f>Graph_Ophtha!$H$6</f>
        <v>PAYE</v>
      </c>
      <c r="E1407" t="str">
        <f t="shared" si="21"/>
        <v>Ophthalmology PAYE</v>
      </c>
      <c r="F1407">
        <f>Graph_Ophtha!$A32</f>
        <v>2038</v>
      </c>
      <c r="G1407">
        <f>Graph_Ophtha!$B32</f>
        <v>26</v>
      </c>
      <c r="H1407" s="165">
        <f>Graph_Ophtha!$H32</f>
        <v>1487018.451664696</v>
      </c>
      <c r="I1407" s="160">
        <f>InputData!$C$3</f>
        <v>0.02</v>
      </c>
      <c r="J1407" s="160">
        <f>InputData!$C$4</f>
        <v>0.01</v>
      </c>
      <c r="K1407" s="160">
        <f>InputData!$C$5</f>
        <v>0.01</v>
      </c>
      <c r="L1407" s="160">
        <f>InputData!$C$6</f>
        <v>6.2100000000000002E-2</v>
      </c>
      <c r="M1407" s="160">
        <f>InputData!$C$7</f>
        <v>0.03</v>
      </c>
      <c r="N1407" s="160">
        <f>InputData!$C$8</f>
        <v>0.02</v>
      </c>
      <c r="O1407" s="160">
        <f>InputData!$C$9</f>
        <v>0.06</v>
      </c>
      <c r="P1407" s="160">
        <f>InputData!$C$10</f>
        <v>0.02</v>
      </c>
      <c r="Q1407" s="160">
        <f>InputData!$C$11</f>
        <v>0.02</v>
      </c>
      <c r="R1407" s="160">
        <f>InputData!$C$12</f>
        <v>0.02</v>
      </c>
      <c r="S1407" s="160">
        <f>InputData!$C$13</f>
        <v>0.9</v>
      </c>
      <c r="T1407" s="116">
        <f>InputData!$C$88</f>
        <v>180000</v>
      </c>
      <c r="U1407" s="116">
        <f>InputData!$C$81</f>
        <v>178500</v>
      </c>
      <c r="V1407" s="116">
        <f>InputData!$C$82</f>
        <v>303960</v>
      </c>
      <c r="W1407" s="116">
        <f>InputData!$C$84</f>
        <v>215220</v>
      </c>
      <c r="X1407" s="116">
        <f>InputData!$C$85</f>
        <v>409020</v>
      </c>
      <c r="Y1407" s="116">
        <f>InputData!$C$116</f>
        <v>140000</v>
      </c>
      <c r="Z1407" s="160">
        <f>InputData!$E$13</f>
        <v>0</v>
      </c>
    </row>
    <row r="1408" spans="1:26" x14ac:dyDescent="0.25">
      <c r="A1408">
        <f>InputData!$K$1</f>
        <v>2013</v>
      </c>
      <c r="B1408" t="str">
        <f>InputData!$G$1</f>
        <v>San Antonio, TX</v>
      </c>
      <c r="C1408" t="s">
        <v>227</v>
      </c>
      <c r="D1408" t="str">
        <f>Graph_Ophtha!$H$6</f>
        <v>PAYE</v>
      </c>
      <c r="E1408" t="str">
        <f t="shared" si="21"/>
        <v>Ophthalmology PAYE</v>
      </c>
      <c r="F1408">
        <f>Graph_Ophtha!$A33</f>
        <v>2039</v>
      </c>
      <c r="G1408">
        <f>Graph_Ophtha!$B33</f>
        <v>27</v>
      </c>
      <c r="H1408" s="165">
        <f>Graph_Ophtha!$H33</f>
        <v>1565540.3423829547</v>
      </c>
      <c r="I1408" s="160">
        <f>InputData!$C$3</f>
        <v>0.02</v>
      </c>
      <c r="J1408" s="160">
        <f>InputData!$C$4</f>
        <v>0.01</v>
      </c>
      <c r="K1408" s="160">
        <f>InputData!$C$5</f>
        <v>0.01</v>
      </c>
      <c r="L1408" s="160">
        <f>InputData!$C$6</f>
        <v>6.2100000000000002E-2</v>
      </c>
      <c r="M1408" s="160">
        <f>InputData!$C$7</f>
        <v>0.03</v>
      </c>
      <c r="N1408" s="160">
        <f>InputData!$C$8</f>
        <v>0.02</v>
      </c>
      <c r="O1408" s="160">
        <f>InputData!$C$9</f>
        <v>0.06</v>
      </c>
      <c r="P1408" s="160">
        <f>InputData!$C$10</f>
        <v>0.02</v>
      </c>
      <c r="Q1408" s="160">
        <f>InputData!$C$11</f>
        <v>0.02</v>
      </c>
      <c r="R1408" s="160">
        <f>InputData!$C$12</f>
        <v>0.02</v>
      </c>
      <c r="S1408" s="160">
        <f>InputData!$C$13</f>
        <v>0.9</v>
      </c>
      <c r="T1408" s="116">
        <f>InputData!$C$88</f>
        <v>180000</v>
      </c>
      <c r="U1408" s="116">
        <f>InputData!$C$81</f>
        <v>178500</v>
      </c>
      <c r="V1408" s="116">
        <f>InputData!$C$82</f>
        <v>303960</v>
      </c>
      <c r="W1408" s="116">
        <f>InputData!$C$84</f>
        <v>215220</v>
      </c>
      <c r="X1408" s="116">
        <f>InputData!$C$85</f>
        <v>409020</v>
      </c>
      <c r="Y1408" s="116">
        <f>InputData!$C$116</f>
        <v>140000</v>
      </c>
      <c r="Z1408" s="160">
        <f>InputData!$E$13</f>
        <v>0</v>
      </c>
    </row>
    <row r="1409" spans="1:26" x14ac:dyDescent="0.25">
      <c r="A1409">
        <f>InputData!$K$1</f>
        <v>2013</v>
      </c>
      <c r="B1409" t="str">
        <f>InputData!$G$1</f>
        <v>San Antonio, TX</v>
      </c>
      <c r="C1409" t="s">
        <v>227</v>
      </c>
      <c r="D1409" t="str">
        <f>Graph_Ophtha!$H$6</f>
        <v>PAYE</v>
      </c>
      <c r="E1409" t="str">
        <f t="shared" si="21"/>
        <v>Ophthalmology PAYE</v>
      </c>
      <c r="F1409">
        <f>Graph_Ophtha!$A34</f>
        <v>2040</v>
      </c>
      <c r="G1409">
        <f>Graph_Ophtha!$B34</f>
        <v>28</v>
      </c>
      <c r="H1409" s="165">
        <f>Graph_Ophtha!$H34</f>
        <v>1642474.7761213186</v>
      </c>
      <c r="I1409" s="160">
        <f>InputData!$C$3</f>
        <v>0.02</v>
      </c>
      <c r="J1409" s="160">
        <f>InputData!$C$4</f>
        <v>0.01</v>
      </c>
      <c r="K1409" s="160">
        <f>InputData!$C$5</f>
        <v>0.01</v>
      </c>
      <c r="L1409" s="160">
        <f>InputData!$C$6</f>
        <v>6.2100000000000002E-2</v>
      </c>
      <c r="M1409" s="160">
        <f>InputData!$C$7</f>
        <v>0.03</v>
      </c>
      <c r="N1409" s="160">
        <f>InputData!$C$8</f>
        <v>0.02</v>
      </c>
      <c r="O1409" s="160">
        <f>InputData!$C$9</f>
        <v>0.06</v>
      </c>
      <c r="P1409" s="160">
        <f>InputData!$C$10</f>
        <v>0.02</v>
      </c>
      <c r="Q1409" s="160">
        <f>InputData!$C$11</f>
        <v>0.02</v>
      </c>
      <c r="R1409" s="160">
        <f>InputData!$C$12</f>
        <v>0.02</v>
      </c>
      <c r="S1409" s="160">
        <f>InputData!$C$13</f>
        <v>0.9</v>
      </c>
      <c r="T1409" s="116">
        <f>InputData!$C$88</f>
        <v>180000</v>
      </c>
      <c r="U1409" s="116">
        <f>InputData!$C$81</f>
        <v>178500</v>
      </c>
      <c r="V1409" s="116">
        <f>InputData!$C$82</f>
        <v>303960</v>
      </c>
      <c r="W1409" s="116">
        <f>InputData!$C$84</f>
        <v>215220</v>
      </c>
      <c r="X1409" s="116">
        <f>InputData!$C$85</f>
        <v>409020</v>
      </c>
      <c r="Y1409" s="116">
        <f>InputData!$C$116</f>
        <v>140000</v>
      </c>
      <c r="Z1409" s="160">
        <f>InputData!$E$13</f>
        <v>0</v>
      </c>
    </row>
    <row r="1410" spans="1:26" x14ac:dyDescent="0.25">
      <c r="A1410">
        <f>InputData!$K$1</f>
        <v>2013</v>
      </c>
      <c r="B1410" t="str">
        <f>InputData!$G$1</f>
        <v>San Antonio, TX</v>
      </c>
      <c r="C1410" t="s">
        <v>227</v>
      </c>
      <c r="D1410" t="str">
        <f>Graph_Ophtha!$H$6</f>
        <v>PAYE</v>
      </c>
      <c r="E1410" t="str">
        <f t="shared" si="21"/>
        <v>Ophthalmology PAYE</v>
      </c>
      <c r="F1410">
        <f>Graph_Ophtha!$A35</f>
        <v>2041</v>
      </c>
      <c r="G1410">
        <f>Graph_Ophtha!$B35</f>
        <v>29</v>
      </c>
      <c r="H1410" s="165">
        <f>Graph_Ophtha!$H35</f>
        <v>1717854.2720716207</v>
      </c>
      <c r="I1410" s="160">
        <f>InputData!$C$3</f>
        <v>0.02</v>
      </c>
      <c r="J1410" s="160">
        <f>InputData!$C$4</f>
        <v>0.01</v>
      </c>
      <c r="K1410" s="160">
        <f>InputData!$C$5</f>
        <v>0.01</v>
      </c>
      <c r="L1410" s="160">
        <f>InputData!$C$6</f>
        <v>6.2100000000000002E-2</v>
      </c>
      <c r="M1410" s="160">
        <f>InputData!$C$7</f>
        <v>0.03</v>
      </c>
      <c r="N1410" s="160">
        <f>InputData!$C$8</f>
        <v>0.02</v>
      </c>
      <c r="O1410" s="160">
        <f>InputData!$C$9</f>
        <v>0.06</v>
      </c>
      <c r="P1410" s="160">
        <f>InputData!$C$10</f>
        <v>0.02</v>
      </c>
      <c r="Q1410" s="160">
        <f>InputData!$C$11</f>
        <v>0.02</v>
      </c>
      <c r="R1410" s="160">
        <f>InputData!$C$12</f>
        <v>0.02</v>
      </c>
      <c r="S1410" s="160">
        <f>InputData!$C$13</f>
        <v>0.9</v>
      </c>
      <c r="T1410" s="116">
        <f>InputData!$C$88</f>
        <v>180000</v>
      </c>
      <c r="U1410" s="116">
        <f>InputData!$C$81</f>
        <v>178500</v>
      </c>
      <c r="V1410" s="116">
        <f>InputData!$C$82</f>
        <v>303960</v>
      </c>
      <c r="W1410" s="116">
        <f>InputData!$C$84</f>
        <v>215220</v>
      </c>
      <c r="X1410" s="116">
        <f>InputData!$C$85</f>
        <v>409020</v>
      </c>
      <c r="Y1410" s="116">
        <f>InputData!$C$116</f>
        <v>140000</v>
      </c>
      <c r="Z1410" s="160">
        <f>InputData!$E$13</f>
        <v>0</v>
      </c>
    </row>
    <row r="1411" spans="1:26" x14ac:dyDescent="0.25">
      <c r="A1411">
        <f>InputData!$K$1</f>
        <v>2013</v>
      </c>
      <c r="B1411" t="str">
        <f>InputData!$G$1</f>
        <v>San Antonio, TX</v>
      </c>
      <c r="C1411" t="s">
        <v>227</v>
      </c>
      <c r="D1411" t="str">
        <f>Graph_Ophtha!$H$6</f>
        <v>PAYE</v>
      </c>
      <c r="E1411" t="str">
        <f t="shared" ref="E1411:E1474" si="22">C1411 &amp; " " &amp; D1411</f>
        <v>Ophthalmology PAYE</v>
      </c>
      <c r="F1411">
        <f>Graph_Ophtha!$A36</f>
        <v>2042</v>
      </c>
      <c r="G1411">
        <f>Graph_Ophtha!$B36</f>
        <v>30</v>
      </c>
      <c r="H1411" s="165">
        <f>Graph_Ophtha!$H36</f>
        <v>1791710.6712337711</v>
      </c>
      <c r="I1411" s="160">
        <f>InputData!$C$3</f>
        <v>0.02</v>
      </c>
      <c r="J1411" s="160">
        <f>InputData!$C$4</f>
        <v>0.01</v>
      </c>
      <c r="K1411" s="160">
        <f>InputData!$C$5</f>
        <v>0.01</v>
      </c>
      <c r="L1411" s="160">
        <f>InputData!$C$6</f>
        <v>6.2100000000000002E-2</v>
      </c>
      <c r="M1411" s="160">
        <f>InputData!$C$7</f>
        <v>0.03</v>
      </c>
      <c r="N1411" s="160">
        <f>InputData!$C$8</f>
        <v>0.02</v>
      </c>
      <c r="O1411" s="160">
        <f>InputData!$C$9</f>
        <v>0.06</v>
      </c>
      <c r="P1411" s="160">
        <f>InputData!$C$10</f>
        <v>0.02</v>
      </c>
      <c r="Q1411" s="160">
        <f>InputData!$C$11</f>
        <v>0.02</v>
      </c>
      <c r="R1411" s="160">
        <f>InputData!$C$12</f>
        <v>0.02</v>
      </c>
      <c r="S1411" s="160">
        <f>InputData!$C$13</f>
        <v>0.9</v>
      </c>
      <c r="T1411" s="116">
        <f>InputData!$C$88</f>
        <v>180000</v>
      </c>
      <c r="U1411" s="116">
        <f>InputData!$C$81</f>
        <v>178500</v>
      </c>
      <c r="V1411" s="116">
        <f>InputData!$C$82</f>
        <v>303960</v>
      </c>
      <c r="W1411" s="116">
        <f>InputData!$C$84</f>
        <v>215220</v>
      </c>
      <c r="X1411" s="116">
        <f>InputData!$C$85</f>
        <v>409020</v>
      </c>
      <c r="Y1411" s="116">
        <f>InputData!$C$116</f>
        <v>140000</v>
      </c>
      <c r="Z1411" s="160">
        <f>InputData!$E$13</f>
        <v>0</v>
      </c>
    </row>
    <row r="1412" spans="1:26" x14ac:dyDescent="0.25">
      <c r="A1412">
        <f>InputData!$K$1</f>
        <v>2013</v>
      </c>
      <c r="B1412" t="str">
        <f>InputData!$G$1</f>
        <v>San Antonio, TX</v>
      </c>
      <c r="C1412" t="s">
        <v>227</v>
      </c>
      <c r="D1412" t="str">
        <f>Graph_Ophtha!$I$6</f>
        <v>STD10r</v>
      </c>
      <c r="E1412" t="str">
        <f t="shared" si="22"/>
        <v>Ophthalmology STD10r</v>
      </c>
      <c r="F1412">
        <f>Graph_Ophtha!$A7</f>
        <v>2013</v>
      </c>
      <c r="G1412">
        <f>Graph_Ophtha!$B7</f>
        <v>1</v>
      </c>
      <c r="H1412" s="165">
        <f>Graph_Ophtha!$I7</f>
        <v>-43015.05</v>
      </c>
      <c r="I1412" s="160">
        <f>InputData!$C$3</f>
        <v>0.02</v>
      </c>
      <c r="J1412" s="160">
        <f>InputData!$C$4</f>
        <v>0.01</v>
      </c>
      <c r="K1412" s="160">
        <f>InputData!$C$5</f>
        <v>0.01</v>
      </c>
      <c r="L1412" s="160">
        <f>InputData!$C$6</f>
        <v>6.2100000000000002E-2</v>
      </c>
      <c r="M1412" s="160">
        <f>InputData!$C$7</f>
        <v>0.03</v>
      </c>
      <c r="N1412" s="160">
        <f>InputData!$C$8</f>
        <v>0.02</v>
      </c>
      <c r="O1412" s="160">
        <f>InputData!$C$9</f>
        <v>0.06</v>
      </c>
      <c r="P1412" s="160">
        <f>InputData!$C$10</f>
        <v>0.02</v>
      </c>
      <c r="Q1412" s="160">
        <f>InputData!$C$11</f>
        <v>0.02</v>
      </c>
      <c r="R1412" s="160">
        <f>InputData!$C$12</f>
        <v>0.02</v>
      </c>
      <c r="S1412" s="160">
        <f>InputData!$C$13</f>
        <v>0.9</v>
      </c>
      <c r="T1412" s="116">
        <f>InputData!$C$88</f>
        <v>180000</v>
      </c>
      <c r="U1412" s="116">
        <f>InputData!$C$81</f>
        <v>178500</v>
      </c>
      <c r="V1412" s="116">
        <f>InputData!$C$82</f>
        <v>303960</v>
      </c>
      <c r="W1412" s="116">
        <f>InputData!$C$84</f>
        <v>215220</v>
      </c>
      <c r="X1412" s="116">
        <f>InputData!$C$85</f>
        <v>409020</v>
      </c>
      <c r="Y1412" s="116">
        <f>InputData!$C$116</f>
        <v>140000</v>
      </c>
      <c r="Z1412" s="160">
        <f>InputData!$E$13</f>
        <v>0</v>
      </c>
    </row>
    <row r="1413" spans="1:26" x14ac:dyDescent="0.25">
      <c r="A1413">
        <f>InputData!$K$1</f>
        <v>2013</v>
      </c>
      <c r="B1413" t="str">
        <f>InputData!$G$1</f>
        <v>San Antonio, TX</v>
      </c>
      <c r="C1413" t="s">
        <v>227</v>
      </c>
      <c r="D1413" t="str">
        <f>Graph_Ophtha!$I$6</f>
        <v>STD10r</v>
      </c>
      <c r="E1413" t="str">
        <f t="shared" si="22"/>
        <v>Ophthalmology STD10r</v>
      </c>
      <c r="F1413">
        <f>Graph_Ophtha!$A8</f>
        <v>2014</v>
      </c>
      <c r="G1413">
        <f>Graph_Ophtha!$B8</f>
        <v>2</v>
      </c>
      <c r="H1413" s="165">
        <f>Graph_Ophtha!$I8</f>
        <v>-86352.285865219877</v>
      </c>
      <c r="I1413" s="160">
        <f>InputData!$C$3</f>
        <v>0.02</v>
      </c>
      <c r="J1413" s="160">
        <f>InputData!$C$4</f>
        <v>0.01</v>
      </c>
      <c r="K1413" s="160">
        <f>InputData!$C$5</f>
        <v>0.01</v>
      </c>
      <c r="L1413" s="160">
        <f>InputData!$C$6</f>
        <v>6.2100000000000002E-2</v>
      </c>
      <c r="M1413" s="160">
        <f>InputData!$C$7</f>
        <v>0.03</v>
      </c>
      <c r="N1413" s="160">
        <f>InputData!$C$8</f>
        <v>0.02</v>
      </c>
      <c r="O1413" s="160">
        <f>InputData!$C$9</f>
        <v>0.06</v>
      </c>
      <c r="P1413" s="160">
        <f>InputData!$C$10</f>
        <v>0.02</v>
      </c>
      <c r="Q1413" s="160">
        <f>InputData!$C$11</f>
        <v>0.02</v>
      </c>
      <c r="R1413" s="160">
        <f>InputData!$C$12</f>
        <v>0.02</v>
      </c>
      <c r="S1413" s="160">
        <f>InputData!$C$13</f>
        <v>0.9</v>
      </c>
      <c r="T1413" s="116">
        <f>InputData!$C$88</f>
        <v>180000</v>
      </c>
      <c r="U1413" s="116">
        <f>InputData!$C$81</f>
        <v>178500</v>
      </c>
      <c r="V1413" s="116">
        <f>InputData!$C$82</f>
        <v>303960</v>
      </c>
      <c r="W1413" s="116">
        <f>InputData!$C$84</f>
        <v>215220</v>
      </c>
      <c r="X1413" s="116">
        <f>InputData!$C$85</f>
        <v>409020</v>
      </c>
      <c r="Y1413" s="116">
        <f>InputData!$C$116</f>
        <v>140000</v>
      </c>
      <c r="Z1413" s="160">
        <f>InputData!$E$13</f>
        <v>0</v>
      </c>
    </row>
    <row r="1414" spans="1:26" x14ac:dyDescent="0.25">
      <c r="A1414">
        <f>InputData!$K$1</f>
        <v>2013</v>
      </c>
      <c r="B1414" t="str">
        <f>InputData!$G$1</f>
        <v>San Antonio, TX</v>
      </c>
      <c r="C1414" t="s">
        <v>227</v>
      </c>
      <c r="D1414" t="str">
        <f>Graph_Ophtha!$I$6</f>
        <v>STD10r</v>
      </c>
      <c r="E1414" t="str">
        <f t="shared" si="22"/>
        <v>Ophthalmology STD10r</v>
      </c>
      <c r="F1414">
        <f>Graph_Ophtha!$A9</f>
        <v>2015</v>
      </c>
      <c r="G1414">
        <f>Graph_Ophtha!$B9</f>
        <v>3</v>
      </c>
      <c r="H1414" s="165">
        <f>Graph_Ophtha!$I9</f>
        <v>-138541.19578403595</v>
      </c>
      <c r="I1414" s="160">
        <f>InputData!$C$3</f>
        <v>0.02</v>
      </c>
      <c r="J1414" s="160">
        <f>InputData!$C$4</f>
        <v>0.01</v>
      </c>
      <c r="K1414" s="160">
        <f>InputData!$C$5</f>
        <v>0.01</v>
      </c>
      <c r="L1414" s="160">
        <f>InputData!$C$6</f>
        <v>6.2100000000000002E-2</v>
      </c>
      <c r="M1414" s="160">
        <f>InputData!$C$7</f>
        <v>0.03</v>
      </c>
      <c r="N1414" s="160">
        <f>InputData!$C$8</f>
        <v>0.02</v>
      </c>
      <c r="O1414" s="160">
        <f>InputData!$C$9</f>
        <v>0.06</v>
      </c>
      <c r="P1414" s="160">
        <f>InputData!$C$10</f>
        <v>0.02</v>
      </c>
      <c r="Q1414" s="160">
        <f>InputData!$C$11</f>
        <v>0.02</v>
      </c>
      <c r="R1414" s="160">
        <f>InputData!$C$12</f>
        <v>0.02</v>
      </c>
      <c r="S1414" s="160">
        <f>InputData!$C$13</f>
        <v>0.9</v>
      </c>
      <c r="T1414" s="116">
        <f>InputData!$C$88</f>
        <v>180000</v>
      </c>
      <c r="U1414" s="116">
        <f>InputData!$C$81</f>
        <v>178500</v>
      </c>
      <c r="V1414" s="116">
        <f>InputData!$C$82</f>
        <v>303960</v>
      </c>
      <c r="W1414" s="116">
        <f>InputData!$C$84</f>
        <v>215220</v>
      </c>
      <c r="X1414" s="116">
        <f>InputData!$C$85</f>
        <v>409020</v>
      </c>
      <c r="Y1414" s="116">
        <f>InputData!$C$116</f>
        <v>140000</v>
      </c>
      <c r="Z1414" s="160">
        <f>InputData!$E$13</f>
        <v>0</v>
      </c>
    </row>
    <row r="1415" spans="1:26" x14ac:dyDescent="0.25">
      <c r="A1415">
        <f>InputData!$K$1</f>
        <v>2013</v>
      </c>
      <c r="B1415" t="str">
        <f>InputData!$G$1</f>
        <v>San Antonio, TX</v>
      </c>
      <c r="C1415" t="s">
        <v>227</v>
      </c>
      <c r="D1415" t="str">
        <f>Graph_Ophtha!$I$6</f>
        <v>STD10r</v>
      </c>
      <c r="E1415" t="str">
        <f t="shared" si="22"/>
        <v>Ophthalmology STD10r</v>
      </c>
      <c r="F1415">
        <f>Graph_Ophtha!$A10</f>
        <v>2016</v>
      </c>
      <c r="G1415">
        <f>Graph_Ophtha!$B10</f>
        <v>4</v>
      </c>
      <c r="H1415" s="165">
        <f>Graph_Ophtha!$I10</f>
        <v>-190867.38028908212</v>
      </c>
      <c r="I1415" s="160">
        <f>InputData!$C$3</f>
        <v>0.02</v>
      </c>
      <c r="J1415" s="160">
        <f>InputData!$C$4</f>
        <v>0.01</v>
      </c>
      <c r="K1415" s="160">
        <f>InputData!$C$5</f>
        <v>0.01</v>
      </c>
      <c r="L1415" s="160">
        <f>InputData!$C$6</f>
        <v>6.2100000000000002E-2</v>
      </c>
      <c r="M1415" s="160">
        <f>InputData!$C$7</f>
        <v>0.03</v>
      </c>
      <c r="N1415" s="160">
        <f>InputData!$C$8</f>
        <v>0.02</v>
      </c>
      <c r="O1415" s="160">
        <f>InputData!$C$9</f>
        <v>0.06</v>
      </c>
      <c r="P1415" s="160">
        <f>InputData!$C$10</f>
        <v>0.02</v>
      </c>
      <c r="Q1415" s="160">
        <f>InputData!$C$11</f>
        <v>0.02</v>
      </c>
      <c r="R1415" s="160">
        <f>InputData!$C$12</f>
        <v>0.02</v>
      </c>
      <c r="S1415" s="160">
        <f>InputData!$C$13</f>
        <v>0.9</v>
      </c>
      <c r="T1415" s="116">
        <f>InputData!$C$88</f>
        <v>180000</v>
      </c>
      <c r="U1415" s="116">
        <f>InputData!$C$81</f>
        <v>178500</v>
      </c>
      <c r="V1415" s="116">
        <f>InputData!$C$82</f>
        <v>303960</v>
      </c>
      <c r="W1415" s="116">
        <f>InputData!$C$84</f>
        <v>215220</v>
      </c>
      <c r="X1415" s="116">
        <f>InputData!$C$85</f>
        <v>409020</v>
      </c>
      <c r="Y1415" s="116">
        <f>InputData!$C$116</f>
        <v>140000</v>
      </c>
      <c r="Z1415" s="160">
        <f>InputData!$E$13</f>
        <v>0</v>
      </c>
    </row>
    <row r="1416" spans="1:26" x14ac:dyDescent="0.25">
      <c r="A1416">
        <f>InputData!$K$1</f>
        <v>2013</v>
      </c>
      <c r="B1416" t="str">
        <f>InputData!$G$1</f>
        <v>San Antonio, TX</v>
      </c>
      <c r="C1416" t="s">
        <v>227</v>
      </c>
      <c r="D1416" t="str">
        <f>Graph_Ophtha!$I$6</f>
        <v>STD10r</v>
      </c>
      <c r="E1416" t="str">
        <f t="shared" si="22"/>
        <v>Ophthalmology STD10r</v>
      </c>
      <c r="F1416">
        <f>Graph_Ophtha!$A11</f>
        <v>2017</v>
      </c>
      <c r="G1416">
        <f>Graph_Ophtha!$B11</f>
        <v>5</v>
      </c>
      <c r="H1416" s="165">
        <f>Graph_Ophtha!$I11</f>
        <v>-166943.9067383607</v>
      </c>
      <c r="I1416" s="160">
        <f>InputData!$C$3</f>
        <v>0.02</v>
      </c>
      <c r="J1416" s="160">
        <f>InputData!$C$4</f>
        <v>0.01</v>
      </c>
      <c r="K1416" s="160">
        <f>InputData!$C$5</f>
        <v>0.01</v>
      </c>
      <c r="L1416" s="160">
        <f>InputData!$C$6</f>
        <v>6.2100000000000002E-2</v>
      </c>
      <c r="M1416" s="160">
        <f>InputData!$C$7</f>
        <v>0.03</v>
      </c>
      <c r="N1416" s="160">
        <f>InputData!$C$8</f>
        <v>0.02</v>
      </c>
      <c r="O1416" s="160">
        <f>InputData!$C$9</f>
        <v>0.06</v>
      </c>
      <c r="P1416" s="160">
        <f>InputData!$C$10</f>
        <v>0.02</v>
      </c>
      <c r="Q1416" s="160">
        <f>InputData!$C$11</f>
        <v>0.02</v>
      </c>
      <c r="R1416" s="160">
        <f>InputData!$C$12</f>
        <v>0.02</v>
      </c>
      <c r="S1416" s="160">
        <f>InputData!$C$13</f>
        <v>0.9</v>
      </c>
      <c r="T1416" s="116">
        <f>InputData!$C$88</f>
        <v>180000</v>
      </c>
      <c r="U1416" s="116">
        <f>InputData!$C$81</f>
        <v>178500</v>
      </c>
      <c r="V1416" s="116">
        <f>InputData!$C$82</f>
        <v>303960</v>
      </c>
      <c r="W1416" s="116">
        <f>InputData!$C$84</f>
        <v>215220</v>
      </c>
      <c r="X1416" s="116">
        <f>InputData!$C$85</f>
        <v>409020</v>
      </c>
      <c r="Y1416" s="116">
        <f>InputData!$C$116</f>
        <v>140000</v>
      </c>
      <c r="Z1416" s="160">
        <f>InputData!$E$13</f>
        <v>0</v>
      </c>
    </row>
    <row r="1417" spans="1:26" x14ac:dyDescent="0.25">
      <c r="A1417">
        <f>InputData!$K$1</f>
        <v>2013</v>
      </c>
      <c r="B1417" t="str">
        <f>InputData!$G$1</f>
        <v>San Antonio, TX</v>
      </c>
      <c r="C1417" t="s">
        <v>227</v>
      </c>
      <c r="D1417" t="str">
        <f>Graph_Ophtha!$I$6</f>
        <v>STD10r</v>
      </c>
      <c r="E1417" t="str">
        <f t="shared" si="22"/>
        <v>Ophthalmology STD10r</v>
      </c>
      <c r="F1417">
        <f>Graph_Ophtha!$A12</f>
        <v>2018</v>
      </c>
      <c r="G1417">
        <f>Graph_Ophtha!$B12</f>
        <v>6</v>
      </c>
      <c r="H1417" s="165">
        <f>Graph_Ophtha!$I12</f>
        <v>-153732.16164497906</v>
      </c>
      <c r="I1417" s="160">
        <f>InputData!$C$3</f>
        <v>0.02</v>
      </c>
      <c r="J1417" s="160">
        <f>InputData!$C$4</f>
        <v>0.01</v>
      </c>
      <c r="K1417" s="160">
        <f>InputData!$C$5</f>
        <v>0.01</v>
      </c>
      <c r="L1417" s="160">
        <f>InputData!$C$6</f>
        <v>6.2100000000000002E-2</v>
      </c>
      <c r="M1417" s="160">
        <f>InputData!$C$7</f>
        <v>0.03</v>
      </c>
      <c r="N1417" s="160">
        <f>InputData!$C$8</f>
        <v>0.02</v>
      </c>
      <c r="O1417" s="160">
        <f>InputData!$C$9</f>
        <v>0.06</v>
      </c>
      <c r="P1417" s="160">
        <f>InputData!$C$10</f>
        <v>0.02</v>
      </c>
      <c r="Q1417" s="160">
        <f>InputData!$C$11</f>
        <v>0.02</v>
      </c>
      <c r="R1417" s="160">
        <f>InputData!$C$12</f>
        <v>0.02</v>
      </c>
      <c r="S1417" s="160">
        <f>InputData!$C$13</f>
        <v>0.9</v>
      </c>
      <c r="T1417" s="116">
        <f>InputData!$C$88</f>
        <v>180000</v>
      </c>
      <c r="U1417" s="116">
        <f>InputData!$C$81</f>
        <v>178500</v>
      </c>
      <c r="V1417" s="116">
        <f>InputData!$C$82</f>
        <v>303960</v>
      </c>
      <c r="W1417" s="116">
        <f>InputData!$C$84</f>
        <v>215220</v>
      </c>
      <c r="X1417" s="116">
        <f>InputData!$C$85</f>
        <v>409020</v>
      </c>
      <c r="Y1417" s="116">
        <f>InputData!$C$116</f>
        <v>140000</v>
      </c>
      <c r="Z1417" s="160">
        <f>InputData!$E$13</f>
        <v>0</v>
      </c>
    </row>
    <row r="1418" spans="1:26" x14ac:dyDescent="0.25">
      <c r="A1418">
        <f>InputData!$K$1</f>
        <v>2013</v>
      </c>
      <c r="B1418" t="str">
        <f>InputData!$G$1</f>
        <v>San Antonio, TX</v>
      </c>
      <c r="C1418" t="s">
        <v>227</v>
      </c>
      <c r="D1418" t="str">
        <f>Graph_Ophtha!$I$6</f>
        <v>STD10r</v>
      </c>
      <c r="E1418" t="str">
        <f t="shared" si="22"/>
        <v>Ophthalmology STD10r</v>
      </c>
      <c r="F1418">
        <f>Graph_Ophtha!$A13</f>
        <v>2019</v>
      </c>
      <c r="G1418">
        <f>Graph_Ophtha!$B13</f>
        <v>7</v>
      </c>
      <c r="H1418" s="165">
        <f>Graph_Ophtha!$I13</f>
        <v>-139317.43128811088</v>
      </c>
      <c r="I1418" s="160">
        <f>InputData!$C$3</f>
        <v>0.02</v>
      </c>
      <c r="J1418" s="160">
        <f>InputData!$C$4</f>
        <v>0.01</v>
      </c>
      <c r="K1418" s="160">
        <f>InputData!$C$5</f>
        <v>0.01</v>
      </c>
      <c r="L1418" s="160">
        <f>InputData!$C$6</f>
        <v>6.2100000000000002E-2</v>
      </c>
      <c r="M1418" s="160">
        <f>InputData!$C$7</f>
        <v>0.03</v>
      </c>
      <c r="N1418" s="160">
        <f>InputData!$C$8</f>
        <v>0.02</v>
      </c>
      <c r="O1418" s="160">
        <f>InputData!$C$9</f>
        <v>0.06</v>
      </c>
      <c r="P1418" s="160">
        <f>InputData!$C$10</f>
        <v>0.02</v>
      </c>
      <c r="Q1418" s="160">
        <f>InputData!$C$11</f>
        <v>0.02</v>
      </c>
      <c r="R1418" s="160">
        <f>InputData!$C$12</f>
        <v>0.02</v>
      </c>
      <c r="S1418" s="160">
        <f>InputData!$C$13</f>
        <v>0.9</v>
      </c>
      <c r="T1418" s="116">
        <f>InputData!$C$88</f>
        <v>180000</v>
      </c>
      <c r="U1418" s="116">
        <f>InputData!$C$81</f>
        <v>178500</v>
      </c>
      <c r="V1418" s="116">
        <f>InputData!$C$82</f>
        <v>303960</v>
      </c>
      <c r="W1418" s="116">
        <f>InputData!$C$84</f>
        <v>215220</v>
      </c>
      <c r="X1418" s="116">
        <f>InputData!$C$85</f>
        <v>409020</v>
      </c>
      <c r="Y1418" s="116">
        <f>InputData!$C$116</f>
        <v>140000</v>
      </c>
      <c r="Z1418" s="160">
        <f>InputData!$E$13</f>
        <v>0</v>
      </c>
    </row>
    <row r="1419" spans="1:26" x14ac:dyDescent="0.25">
      <c r="A1419">
        <f>InputData!$K$1</f>
        <v>2013</v>
      </c>
      <c r="B1419" t="str">
        <f>InputData!$G$1</f>
        <v>San Antonio, TX</v>
      </c>
      <c r="C1419" t="s">
        <v>227</v>
      </c>
      <c r="D1419" t="str">
        <f>Graph_Ophtha!$I$6</f>
        <v>STD10r</v>
      </c>
      <c r="E1419" t="str">
        <f t="shared" si="22"/>
        <v>Ophthalmology STD10r</v>
      </c>
      <c r="F1419">
        <f>Graph_Ophtha!$A14</f>
        <v>2020</v>
      </c>
      <c r="G1419">
        <f>Graph_Ophtha!$B14</f>
        <v>8</v>
      </c>
      <c r="H1419" s="165">
        <f>Graph_Ophtha!$I14</f>
        <v>-123745.30670550409</v>
      </c>
      <c r="I1419" s="160">
        <f>InputData!$C$3</f>
        <v>0.02</v>
      </c>
      <c r="J1419" s="160">
        <f>InputData!$C$4</f>
        <v>0.01</v>
      </c>
      <c r="K1419" s="160">
        <f>InputData!$C$5</f>
        <v>0.01</v>
      </c>
      <c r="L1419" s="160">
        <f>InputData!$C$6</f>
        <v>6.2100000000000002E-2</v>
      </c>
      <c r="M1419" s="160">
        <f>InputData!$C$7</f>
        <v>0.03</v>
      </c>
      <c r="N1419" s="160">
        <f>InputData!$C$8</f>
        <v>0.02</v>
      </c>
      <c r="O1419" s="160">
        <f>InputData!$C$9</f>
        <v>0.06</v>
      </c>
      <c r="P1419" s="160">
        <f>InputData!$C$10</f>
        <v>0.02</v>
      </c>
      <c r="Q1419" s="160">
        <f>InputData!$C$11</f>
        <v>0.02</v>
      </c>
      <c r="R1419" s="160">
        <f>InputData!$C$12</f>
        <v>0.02</v>
      </c>
      <c r="S1419" s="160">
        <f>InputData!$C$13</f>
        <v>0.9</v>
      </c>
      <c r="T1419" s="116">
        <f>InputData!$C$88</f>
        <v>180000</v>
      </c>
      <c r="U1419" s="116">
        <f>InputData!$C$81</f>
        <v>178500</v>
      </c>
      <c r="V1419" s="116">
        <f>InputData!$C$82</f>
        <v>303960</v>
      </c>
      <c r="W1419" s="116">
        <f>InputData!$C$84</f>
        <v>215220</v>
      </c>
      <c r="X1419" s="116">
        <f>InputData!$C$85</f>
        <v>409020</v>
      </c>
      <c r="Y1419" s="116">
        <f>InputData!$C$116</f>
        <v>140000</v>
      </c>
      <c r="Z1419" s="160">
        <f>InputData!$E$13</f>
        <v>0</v>
      </c>
    </row>
    <row r="1420" spans="1:26" x14ac:dyDescent="0.25">
      <c r="A1420">
        <f>InputData!$K$1</f>
        <v>2013</v>
      </c>
      <c r="B1420" t="str">
        <f>InputData!$G$1</f>
        <v>San Antonio, TX</v>
      </c>
      <c r="C1420" t="s">
        <v>227</v>
      </c>
      <c r="D1420" t="str">
        <f>Graph_Ophtha!$I$6</f>
        <v>STD10r</v>
      </c>
      <c r="E1420" t="str">
        <f t="shared" si="22"/>
        <v>Ophthalmology STD10r</v>
      </c>
      <c r="F1420">
        <f>Graph_Ophtha!$A15</f>
        <v>2021</v>
      </c>
      <c r="G1420">
        <f>Graph_Ophtha!$B15</f>
        <v>9</v>
      </c>
      <c r="H1420" s="165">
        <f>Graph_Ophtha!$I15</f>
        <v>-23465.310965567187</v>
      </c>
      <c r="I1420" s="160">
        <f>InputData!$C$3</f>
        <v>0.02</v>
      </c>
      <c r="J1420" s="160">
        <f>InputData!$C$4</f>
        <v>0.01</v>
      </c>
      <c r="K1420" s="160">
        <f>InputData!$C$5</f>
        <v>0.01</v>
      </c>
      <c r="L1420" s="160">
        <f>InputData!$C$6</f>
        <v>6.2100000000000002E-2</v>
      </c>
      <c r="M1420" s="160">
        <f>InputData!$C$7</f>
        <v>0.03</v>
      </c>
      <c r="N1420" s="160">
        <f>InputData!$C$8</f>
        <v>0.02</v>
      </c>
      <c r="O1420" s="160">
        <f>InputData!$C$9</f>
        <v>0.06</v>
      </c>
      <c r="P1420" s="160">
        <f>InputData!$C$10</f>
        <v>0.02</v>
      </c>
      <c r="Q1420" s="160">
        <f>InputData!$C$11</f>
        <v>0.02</v>
      </c>
      <c r="R1420" s="160">
        <f>InputData!$C$12</f>
        <v>0.02</v>
      </c>
      <c r="S1420" s="160">
        <f>InputData!$C$13</f>
        <v>0.9</v>
      </c>
      <c r="T1420" s="116">
        <f>InputData!$C$88</f>
        <v>180000</v>
      </c>
      <c r="U1420" s="116">
        <f>InputData!$C$81</f>
        <v>178500</v>
      </c>
      <c r="V1420" s="116">
        <f>InputData!$C$82</f>
        <v>303960</v>
      </c>
      <c r="W1420" s="116">
        <f>InputData!$C$84</f>
        <v>215220</v>
      </c>
      <c r="X1420" s="116">
        <f>InputData!$C$85</f>
        <v>409020</v>
      </c>
      <c r="Y1420" s="116">
        <f>InputData!$C$116</f>
        <v>140000</v>
      </c>
      <c r="Z1420" s="160">
        <f>InputData!$E$13</f>
        <v>0</v>
      </c>
    </row>
    <row r="1421" spans="1:26" x14ac:dyDescent="0.25">
      <c r="A1421">
        <f>InputData!$K$1</f>
        <v>2013</v>
      </c>
      <c r="B1421" t="str">
        <f>InputData!$G$1</f>
        <v>San Antonio, TX</v>
      </c>
      <c r="C1421" t="s">
        <v>227</v>
      </c>
      <c r="D1421" t="str">
        <f>Graph_Ophtha!$I$6</f>
        <v>STD10r</v>
      </c>
      <c r="E1421" t="str">
        <f t="shared" si="22"/>
        <v>Ophthalmology STD10r</v>
      </c>
      <c r="F1421">
        <f>Graph_Ophtha!$A16</f>
        <v>2022</v>
      </c>
      <c r="G1421">
        <f>Graph_Ophtha!$B16</f>
        <v>10</v>
      </c>
      <c r="H1421" s="165">
        <f>Graph_Ophtha!$I16</f>
        <v>69060.217536028053</v>
      </c>
      <c r="I1421" s="160">
        <f>InputData!$C$3</f>
        <v>0.02</v>
      </c>
      <c r="J1421" s="160">
        <f>InputData!$C$4</f>
        <v>0.01</v>
      </c>
      <c r="K1421" s="160">
        <f>InputData!$C$5</f>
        <v>0.01</v>
      </c>
      <c r="L1421" s="160">
        <f>InputData!$C$6</f>
        <v>6.2100000000000002E-2</v>
      </c>
      <c r="M1421" s="160">
        <f>InputData!$C$7</f>
        <v>0.03</v>
      </c>
      <c r="N1421" s="160">
        <f>InputData!$C$8</f>
        <v>0.02</v>
      </c>
      <c r="O1421" s="160">
        <f>InputData!$C$9</f>
        <v>0.06</v>
      </c>
      <c r="P1421" s="160">
        <f>InputData!$C$10</f>
        <v>0.02</v>
      </c>
      <c r="Q1421" s="160">
        <f>InputData!$C$11</f>
        <v>0.02</v>
      </c>
      <c r="R1421" s="160">
        <f>InputData!$C$12</f>
        <v>0.02</v>
      </c>
      <c r="S1421" s="160">
        <f>InputData!$C$13</f>
        <v>0.9</v>
      </c>
      <c r="T1421" s="116">
        <f>InputData!$C$88</f>
        <v>180000</v>
      </c>
      <c r="U1421" s="116">
        <f>InputData!$C$81</f>
        <v>178500</v>
      </c>
      <c r="V1421" s="116">
        <f>InputData!$C$82</f>
        <v>303960</v>
      </c>
      <c r="W1421" s="116">
        <f>InputData!$C$84</f>
        <v>215220</v>
      </c>
      <c r="X1421" s="116">
        <f>InputData!$C$85</f>
        <v>409020</v>
      </c>
      <c r="Y1421" s="116">
        <f>InputData!$C$116</f>
        <v>140000</v>
      </c>
      <c r="Z1421" s="160">
        <f>InputData!$E$13</f>
        <v>0</v>
      </c>
    </row>
    <row r="1422" spans="1:26" x14ac:dyDescent="0.25">
      <c r="A1422">
        <f>InputData!$K$1</f>
        <v>2013</v>
      </c>
      <c r="B1422" t="str">
        <f>InputData!$G$1</f>
        <v>San Antonio, TX</v>
      </c>
      <c r="C1422" t="s">
        <v>227</v>
      </c>
      <c r="D1422" t="str">
        <f>Graph_Ophtha!$I$6</f>
        <v>STD10r</v>
      </c>
      <c r="E1422" t="str">
        <f t="shared" si="22"/>
        <v>Ophthalmology STD10r</v>
      </c>
      <c r="F1422">
        <f>Graph_Ophtha!$A17</f>
        <v>2023</v>
      </c>
      <c r="G1422">
        <f>Graph_Ophtha!$B17</f>
        <v>11</v>
      </c>
      <c r="H1422" s="165">
        <f>Graph_Ophtha!$I17</f>
        <v>160226.27321284544</v>
      </c>
      <c r="I1422" s="160">
        <f>InputData!$C$3</f>
        <v>0.02</v>
      </c>
      <c r="J1422" s="160">
        <f>InputData!$C$4</f>
        <v>0.01</v>
      </c>
      <c r="K1422" s="160">
        <f>InputData!$C$5</f>
        <v>0.01</v>
      </c>
      <c r="L1422" s="160">
        <f>InputData!$C$6</f>
        <v>6.2100000000000002E-2</v>
      </c>
      <c r="M1422" s="160">
        <f>InputData!$C$7</f>
        <v>0.03</v>
      </c>
      <c r="N1422" s="160">
        <f>InputData!$C$8</f>
        <v>0.02</v>
      </c>
      <c r="O1422" s="160">
        <f>InputData!$C$9</f>
        <v>0.06</v>
      </c>
      <c r="P1422" s="160">
        <f>InputData!$C$10</f>
        <v>0.02</v>
      </c>
      <c r="Q1422" s="160">
        <f>InputData!$C$11</f>
        <v>0.02</v>
      </c>
      <c r="R1422" s="160">
        <f>InputData!$C$12</f>
        <v>0.02</v>
      </c>
      <c r="S1422" s="160">
        <f>InputData!$C$13</f>
        <v>0.9</v>
      </c>
      <c r="T1422" s="116">
        <f>InputData!$C$88</f>
        <v>180000</v>
      </c>
      <c r="U1422" s="116">
        <f>InputData!$C$81</f>
        <v>178500</v>
      </c>
      <c r="V1422" s="116">
        <f>InputData!$C$82</f>
        <v>303960</v>
      </c>
      <c r="W1422" s="116">
        <f>InputData!$C$84</f>
        <v>215220</v>
      </c>
      <c r="X1422" s="116">
        <f>InputData!$C$85</f>
        <v>409020</v>
      </c>
      <c r="Y1422" s="116">
        <f>InputData!$C$116</f>
        <v>140000</v>
      </c>
      <c r="Z1422" s="160">
        <f>InputData!$E$13</f>
        <v>0</v>
      </c>
    </row>
    <row r="1423" spans="1:26" x14ac:dyDescent="0.25">
      <c r="A1423">
        <f>InputData!$K$1</f>
        <v>2013</v>
      </c>
      <c r="B1423" t="str">
        <f>InputData!$G$1</f>
        <v>San Antonio, TX</v>
      </c>
      <c r="C1423" t="s">
        <v>227</v>
      </c>
      <c r="D1423" t="str">
        <f>Graph_Ophtha!$I$6</f>
        <v>STD10r</v>
      </c>
      <c r="E1423" t="str">
        <f t="shared" si="22"/>
        <v>Ophthalmology STD10r</v>
      </c>
      <c r="F1423">
        <f>Graph_Ophtha!$A18</f>
        <v>2024</v>
      </c>
      <c r="G1423">
        <f>Graph_Ophtha!$B18</f>
        <v>12</v>
      </c>
      <c r="H1423" s="165">
        <f>Graph_Ophtha!$I18</f>
        <v>250036.10573736887</v>
      </c>
      <c r="I1423" s="160">
        <f>InputData!$C$3</f>
        <v>0.02</v>
      </c>
      <c r="J1423" s="160">
        <f>InputData!$C$4</f>
        <v>0.01</v>
      </c>
      <c r="K1423" s="160">
        <f>InputData!$C$5</f>
        <v>0.01</v>
      </c>
      <c r="L1423" s="160">
        <f>InputData!$C$6</f>
        <v>6.2100000000000002E-2</v>
      </c>
      <c r="M1423" s="160">
        <f>InputData!$C$7</f>
        <v>0.03</v>
      </c>
      <c r="N1423" s="160">
        <f>InputData!$C$8</f>
        <v>0.02</v>
      </c>
      <c r="O1423" s="160">
        <f>InputData!$C$9</f>
        <v>0.06</v>
      </c>
      <c r="P1423" s="160">
        <f>InputData!$C$10</f>
        <v>0.02</v>
      </c>
      <c r="Q1423" s="160">
        <f>InputData!$C$11</f>
        <v>0.02</v>
      </c>
      <c r="R1423" s="160">
        <f>InputData!$C$12</f>
        <v>0.02</v>
      </c>
      <c r="S1423" s="160">
        <f>InputData!$C$13</f>
        <v>0.9</v>
      </c>
      <c r="T1423" s="116">
        <f>InputData!$C$88</f>
        <v>180000</v>
      </c>
      <c r="U1423" s="116">
        <f>InputData!$C$81</f>
        <v>178500</v>
      </c>
      <c r="V1423" s="116">
        <f>InputData!$C$82</f>
        <v>303960</v>
      </c>
      <c r="W1423" s="116">
        <f>InputData!$C$84</f>
        <v>215220</v>
      </c>
      <c r="X1423" s="116">
        <f>InputData!$C$85</f>
        <v>409020</v>
      </c>
      <c r="Y1423" s="116">
        <f>InputData!$C$116</f>
        <v>140000</v>
      </c>
      <c r="Z1423" s="160">
        <f>InputData!$E$13</f>
        <v>0</v>
      </c>
    </row>
    <row r="1424" spans="1:26" x14ac:dyDescent="0.25">
      <c r="A1424">
        <f>InputData!$K$1</f>
        <v>2013</v>
      </c>
      <c r="B1424" t="str">
        <f>InputData!$G$1</f>
        <v>San Antonio, TX</v>
      </c>
      <c r="C1424" t="s">
        <v>227</v>
      </c>
      <c r="D1424" t="str">
        <f>Graph_Ophtha!$I$6</f>
        <v>STD10r</v>
      </c>
      <c r="E1424" t="str">
        <f t="shared" si="22"/>
        <v>Ophthalmology STD10r</v>
      </c>
      <c r="F1424">
        <f>Graph_Ophtha!$A19</f>
        <v>2025</v>
      </c>
      <c r="G1424">
        <f>Graph_Ophtha!$B19</f>
        <v>13</v>
      </c>
      <c r="H1424" s="165">
        <f>Graph_Ophtha!$I19</f>
        <v>338494.07221422391</v>
      </c>
      <c r="I1424" s="160">
        <f>InputData!$C$3</f>
        <v>0.02</v>
      </c>
      <c r="J1424" s="160">
        <f>InputData!$C$4</f>
        <v>0.01</v>
      </c>
      <c r="K1424" s="160">
        <f>InputData!$C$5</f>
        <v>0.01</v>
      </c>
      <c r="L1424" s="160">
        <f>InputData!$C$6</f>
        <v>6.2100000000000002E-2</v>
      </c>
      <c r="M1424" s="160">
        <f>InputData!$C$7</f>
        <v>0.03</v>
      </c>
      <c r="N1424" s="160">
        <f>InputData!$C$8</f>
        <v>0.02</v>
      </c>
      <c r="O1424" s="160">
        <f>InputData!$C$9</f>
        <v>0.06</v>
      </c>
      <c r="P1424" s="160">
        <f>InputData!$C$10</f>
        <v>0.02</v>
      </c>
      <c r="Q1424" s="160">
        <f>InputData!$C$11</f>
        <v>0.02</v>
      </c>
      <c r="R1424" s="160">
        <f>InputData!$C$12</f>
        <v>0.02</v>
      </c>
      <c r="S1424" s="160">
        <f>InputData!$C$13</f>
        <v>0.9</v>
      </c>
      <c r="T1424" s="116">
        <f>InputData!$C$88</f>
        <v>180000</v>
      </c>
      <c r="U1424" s="116">
        <f>InputData!$C$81</f>
        <v>178500</v>
      </c>
      <c r="V1424" s="116">
        <f>InputData!$C$82</f>
        <v>303960</v>
      </c>
      <c r="W1424" s="116">
        <f>InputData!$C$84</f>
        <v>215220</v>
      </c>
      <c r="X1424" s="116">
        <f>InputData!$C$85</f>
        <v>409020</v>
      </c>
      <c r="Y1424" s="116">
        <f>InputData!$C$116</f>
        <v>140000</v>
      </c>
      <c r="Z1424" s="160">
        <f>InputData!$E$13</f>
        <v>0</v>
      </c>
    </row>
    <row r="1425" spans="1:26" x14ac:dyDescent="0.25">
      <c r="A1425">
        <f>InputData!$K$1</f>
        <v>2013</v>
      </c>
      <c r="B1425" t="str">
        <f>InputData!$G$1</f>
        <v>San Antonio, TX</v>
      </c>
      <c r="C1425" t="s">
        <v>227</v>
      </c>
      <c r="D1425" t="str">
        <f>Graph_Ophtha!$I$6</f>
        <v>STD10r</v>
      </c>
      <c r="E1425" t="str">
        <f t="shared" si="22"/>
        <v>Ophthalmology STD10r</v>
      </c>
      <c r="F1425">
        <f>Graph_Ophtha!$A20</f>
        <v>2026</v>
      </c>
      <c r="G1425">
        <f>Graph_Ophtha!$B20</f>
        <v>14</v>
      </c>
      <c r="H1425" s="165">
        <f>Graph_Ophtha!$I20</f>
        <v>425605.5577834837</v>
      </c>
      <c r="I1425" s="160">
        <f>InputData!$C$3</f>
        <v>0.02</v>
      </c>
      <c r="J1425" s="160">
        <f>InputData!$C$4</f>
        <v>0.01</v>
      </c>
      <c r="K1425" s="160">
        <f>InputData!$C$5</f>
        <v>0.01</v>
      </c>
      <c r="L1425" s="160">
        <f>InputData!$C$6</f>
        <v>6.2100000000000002E-2</v>
      </c>
      <c r="M1425" s="160">
        <f>InputData!$C$7</f>
        <v>0.03</v>
      </c>
      <c r="N1425" s="160">
        <f>InputData!$C$8</f>
        <v>0.02</v>
      </c>
      <c r="O1425" s="160">
        <f>InputData!$C$9</f>
        <v>0.06</v>
      </c>
      <c r="P1425" s="160">
        <f>InputData!$C$10</f>
        <v>0.02</v>
      </c>
      <c r="Q1425" s="160">
        <f>InputData!$C$11</f>
        <v>0.02</v>
      </c>
      <c r="R1425" s="160">
        <f>InputData!$C$12</f>
        <v>0.02</v>
      </c>
      <c r="S1425" s="160">
        <f>InputData!$C$13</f>
        <v>0.9</v>
      </c>
      <c r="T1425" s="116">
        <f>InputData!$C$88</f>
        <v>180000</v>
      </c>
      <c r="U1425" s="116">
        <f>InputData!$C$81</f>
        <v>178500</v>
      </c>
      <c r="V1425" s="116">
        <f>InputData!$C$82</f>
        <v>303960</v>
      </c>
      <c r="W1425" s="116">
        <f>InputData!$C$84</f>
        <v>215220</v>
      </c>
      <c r="X1425" s="116">
        <f>InputData!$C$85</f>
        <v>409020</v>
      </c>
      <c r="Y1425" s="116">
        <f>InputData!$C$116</f>
        <v>140000</v>
      </c>
      <c r="Z1425" s="160">
        <f>InputData!$E$13</f>
        <v>0</v>
      </c>
    </row>
    <row r="1426" spans="1:26" x14ac:dyDescent="0.25">
      <c r="A1426">
        <f>InputData!$K$1</f>
        <v>2013</v>
      </c>
      <c r="B1426" t="str">
        <f>InputData!$G$1</f>
        <v>San Antonio, TX</v>
      </c>
      <c r="C1426" t="s">
        <v>227</v>
      </c>
      <c r="D1426" t="str">
        <f>Graph_Ophtha!$I$6</f>
        <v>STD10r</v>
      </c>
      <c r="E1426" t="str">
        <f t="shared" si="22"/>
        <v>Ophthalmology STD10r</v>
      </c>
      <c r="F1426">
        <f>Graph_Ophtha!$A21</f>
        <v>2027</v>
      </c>
      <c r="G1426">
        <f>Graph_Ophtha!$B21</f>
        <v>15</v>
      </c>
      <c r="H1426" s="165">
        <f>Graph_Ophtha!$I21</f>
        <v>518679.22085480281</v>
      </c>
      <c r="I1426" s="160">
        <f>InputData!$C$3</f>
        <v>0.02</v>
      </c>
      <c r="J1426" s="160">
        <f>InputData!$C$4</f>
        <v>0.01</v>
      </c>
      <c r="K1426" s="160">
        <f>InputData!$C$5</f>
        <v>0.01</v>
      </c>
      <c r="L1426" s="160">
        <f>InputData!$C$6</f>
        <v>6.2100000000000002E-2</v>
      </c>
      <c r="M1426" s="160">
        <f>InputData!$C$7</f>
        <v>0.03</v>
      </c>
      <c r="N1426" s="160">
        <f>InputData!$C$8</f>
        <v>0.02</v>
      </c>
      <c r="O1426" s="160">
        <f>InputData!$C$9</f>
        <v>0.06</v>
      </c>
      <c r="P1426" s="160">
        <f>InputData!$C$10</f>
        <v>0.02</v>
      </c>
      <c r="Q1426" s="160">
        <f>InputData!$C$11</f>
        <v>0.02</v>
      </c>
      <c r="R1426" s="160">
        <f>InputData!$C$12</f>
        <v>0.02</v>
      </c>
      <c r="S1426" s="160">
        <f>InputData!$C$13</f>
        <v>0.9</v>
      </c>
      <c r="T1426" s="116">
        <f>InputData!$C$88</f>
        <v>180000</v>
      </c>
      <c r="U1426" s="116">
        <f>InputData!$C$81</f>
        <v>178500</v>
      </c>
      <c r="V1426" s="116">
        <f>InputData!$C$82</f>
        <v>303960</v>
      </c>
      <c r="W1426" s="116">
        <f>InputData!$C$84</f>
        <v>215220</v>
      </c>
      <c r="X1426" s="116">
        <f>InputData!$C$85</f>
        <v>409020</v>
      </c>
      <c r="Y1426" s="116">
        <f>InputData!$C$116</f>
        <v>140000</v>
      </c>
      <c r="Z1426" s="160">
        <f>InputData!$E$13</f>
        <v>0</v>
      </c>
    </row>
    <row r="1427" spans="1:26" x14ac:dyDescent="0.25">
      <c r="A1427">
        <f>InputData!$K$1</f>
        <v>2013</v>
      </c>
      <c r="B1427" t="str">
        <f>InputData!$G$1</f>
        <v>San Antonio, TX</v>
      </c>
      <c r="C1427" t="s">
        <v>227</v>
      </c>
      <c r="D1427" t="str">
        <f>Graph_Ophtha!$I$6</f>
        <v>STD10r</v>
      </c>
      <c r="E1427" t="str">
        <f t="shared" si="22"/>
        <v>Ophthalmology STD10r</v>
      </c>
      <c r="F1427">
        <f>Graph_Ophtha!$A22</f>
        <v>2028</v>
      </c>
      <c r="G1427">
        <f>Graph_Ophtha!$B22</f>
        <v>16</v>
      </c>
      <c r="H1427" s="165">
        <f>Graph_Ophtha!$I22</f>
        <v>617018.87907838821</v>
      </c>
      <c r="I1427" s="160">
        <f>InputData!$C$3</f>
        <v>0.02</v>
      </c>
      <c r="J1427" s="160">
        <f>InputData!$C$4</f>
        <v>0.01</v>
      </c>
      <c r="K1427" s="160">
        <f>InputData!$C$5</f>
        <v>0.01</v>
      </c>
      <c r="L1427" s="160">
        <f>InputData!$C$6</f>
        <v>6.2100000000000002E-2</v>
      </c>
      <c r="M1427" s="160">
        <f>InputData!$C$7</f>
        <v>0.03</v>
      </c>
      <c r="N1427" s="160">
        <f>InputData!$C$8</f>
        <v>0.02</v>
      </c>
      <c r="O1427" s="160">
        <f>InputData!$C$9</f>
        <v>0.06</v>
      </c>
      <c r="P1427" s="160">
        <f>InputData!$C$10</f>
        <v>0.02</v>
      </c>
      <c r="Q1427" s="160">
        <f>InputData!$C$11</f>
        <v>0.02</v>
      </c>
      <c r="R1427" s="160">
        <f>InputData!$C$12</f>
        <v>0.02</v>
      </c>
      <c r="S1427" s="160">
        <f>InputData!$C$13</f>
        <v>0.9</v>
      </c>
      <c r="T1427" s="116">
        <f>InputData!$C$88</f>
        <v>180000</v>
      </c>
      <c r="U1427" s="116">
        <f>InputData!$C$81</f>
        <v>178500</v>
      </c>
      <c r="V1427" s="116">
        <f>InputData!$C$82</f>
        <v>303960</v>
      </c>
      <c r="W1427" s="116">
        <f>InputData!$C$84</f>
        <v>215220</v>
      </c>
      <c r="X1427" s="116">
        <f>InputData!$C$85</f>
        <v>409020</v>
      </c>
      <c r="Y1427" s="116">
        <f>InputData!$C$116</f>
        <v>140000</v>
      </c>
      <c r="Z1427" s="160">
        <f>InputData!$E$13</f>
        <v>0</v>
      </c>
    </row>
    <row r="1428" spans="1:26" x14ac:dyDescent="0.25">
      <c r="A1428">
        <f>InputData!$K$1</f>
        <v>2013</v>
      </c>
      <c r="B1428" t="str">
        <f>InputData!$G$1</f>
        <v>San Antonio, TX</v>
      </c>
      <c r="C1428" t="s">
        <v>227</v>
      </c>
      <c r="D1428" t="str">
        <f>Graph_Ophtha!$I$6</f>
        <v>STD10r</v>
      </c>
      <c r="E1428" t="str">
        <f t="shared" si="22"/>
        <v>Ophthalmology STD10r</v>
      </c>
      <c r="F1428">
        <f>Graph_Ophtha!$A23</f>
        <v>2029</v>
      </c>
      <c r="G1428">
        <f>Graph_Ophtha!$B23</f>
        <v>17</v>
      </c>
      <c r="H1428" s="165">
        <f>Graph_Ophtha!$I23</f>
        <v>713364.12563114322</v>
      </c>
      <c r="I1428" s="160">
        <f>InputData!$C$3</f>
        <v>0.02</v>
      </c>
      <c r="J1428" s="160">
        <f>InputData!$C$4</f>
        <v>0.01</v>
      </c>
      <c r="K1428" s="160">
        <f>InputData!$C$5</f>
        <v>0.01</v>
      </c>
      <c r="L1428" s="160">
        <f>InputData!$C$6</f>
        <v>6.2100000000000002E-2</v>
      </c>
      <c r="M1428" s="160">
        <f>InputData!$C$7</f>
        <v>0.03</v>
      </c>
      <c r="N1428" s="160">
        <f>InputData!$C$8</f>
        <v>0.02</v>
      </c>
      <c r="O1428" s="160">
        <f>InputData!$C$9</f>
        <v>0.06</v>
      </c>
      <c r="P1428" s="160">
        <f>InputData!$C$10</f>
        <v>0.02</v>
      </c>
      <c r="Q1428" s="160">
        <f>InputData!$C$11</f>
        <v>0.02</v>
      </c>
      <c r="R1428" s="160">
        <f>InputData!$C$12</f>
        <v>0.02</v>
      </c>
      <c r="S1428" s="160">
        <f>InputData!$C$13</f>
        <v>0.9</v>
      </c>
      <c r="T1428" s="116">
        <f>InputData!$C$88</f>
        <v>180000</v>
      </c>
      <c r="U1428" s="116">
        <f>InputData!$C$81</f>
        <v>178500</v>
      </c>
      <c r="V1428" s="116">
        <f>InputData!$C$82</f>
        <v>303960</v>
      </c>
      <c r="W1428" s="116">
        <f>InputData!$C$84</f>
        <v>215220</v>
      </c>
      <c r="X1428" s="116">
        <f>InputData!$C$85</f>
        <v>409020</v>
      </c>
      <c r="Y1428" s="116">
        <f>InputData!$C$116</f>
        <v>140000</v>
      </c>
      <c r="Z1428" s="160">
        <f>InputData!$E$13</f>
        <v>0</v>
      </c>
    </row>
    <row r="1429" spans="1:26" x14ac:dyDescent="0.25">
      <c r="A1429">
        <f>InputData!$K$1</f>
        <v>2013</v>
      </c>
      <c r="B1429" t="str">
        <f>InputData!$G$1</f>
        <v>San Antonio, TX</v>
      </c>
      <c r="C1429" t="s">
        <v>227</v>
      </c>
      <c r="D1429" t="str">
        <f>Graph_Ophtha!$I$6</f>
        <v>STD10r</v>
      </c>
      <c r="E1429" t="str">
        <f t="shared" si="22"/>
        <v>Ophthalmology STD10r</v>
      </c>
      <c r="F1429">
        <f>Graph_Ophtha!$A24</f>
        <v>2030</v>
      </c>
      <c r="G1429">
        <f>Graph_Ophtha!$B24</f>
        <v>18</v>
      </c>
      <c r="H1429" s="165">
        <f>Graph_Ophtha!$I24</f>
        <v>807755.99428673275</v>
      </c>
      <c r="I1429" s="160">
        <f>InputData!$C$3</f>
        <v>0.02</v>
      </c>
      <c r="J1429" s="160">
        <f>InputData!$C$4</f>
        <v>0.01</v>
      </c>
      <c r="K1429" s="160">
        <f>InputData!$C$5</f>
        <v>0.01</v>
      </c>
      <c r="L1429" s="160">
        <f>InputData!$C$6</f>
        <v>6.2100000000000002E-2</v>
      </c>
      <c r="M1429" s="160">
        <f>InputData!$C$7</f>
        <v>0.03</v>
      </c>
      <c r="N1429" s="160">
        <f>InputData!$C$8</f>
        <v>0.02</v>
      </c>
      <c r="O1429" s="160">
        <f>InputData!$C$9</f>
        <v>0.06</v>
      </c>
      <c r="P1429" s="160">
        <f>InputData!$C$10</f>
        <v>0.02</v>
      </c>
      <c r="Q1429" s="160">
        <f>InputData!$C$11</f>
        <v>0.02</v>
      </c>
      <c r="R1429" s="160">
        <f>InputData!$C$12</f>
        <v>0.02</v>
      </c>
      <c r="S1429" s="160">
        <f>InputData!$C$13</f>
        <v>0.9</v>
      </c>
      <c r="T1429" s="116">
        <f>InputData!$C$88</f>
        <v>180000</v>
      </c>
      <c r="U1429" s="116">
        <f>InputData!$C$81</f>
        <v>178500</v>
      </c>
      <c r="V1429" s="116">
        <f>InputData!$C$82</f>
        <v>303960</v>
      </c>
      <c r="W1429" s="116">
        <f>InputData!$C$84</f>
        <v>215220</v>
      </c>
      <c r="X1429" s="116">
        <f>InputData!$C$85</f>
        <v>409020</v>
      </c>
      <c r="Y1429" s="116">
        <f>InputData!$C$116</f>
        <v>140000</v>
      </c>
      <c r="Z1429" s="160">
        <f>InputData!$E$13</f>
        <v>0</v>
      </c>
    </row>
    <row r="1430" spans="1:26" x14ac:dyDescent="0.25">
      <c r="A1430">
        <f>InputData!$K$1</f>
        <v>2013</v>
      </c>
      <c r="B1430" t="str">
        <f>InputData!$G$1</f>
        <v>San Antonio, TX</v>
      </c>
      <c r="C1430" t="s">
        <v>227</v>
      </c>
      <c r="D1430" t="str">
        <f>Graph_Ophtha!$I$6</f>
        <v>STD10r</v>
      </c>
      <c r="E1430" t="str">
        <f t="shared" si="22"/>
        <v>Ophthalmology STD10r</v>
      </c>
      <c r="F1430">
        <f>Graph_Ophtha!$A25</f>
        <v>2031</v>
      </c>
      <c r="G1430">
        <f>Graph_Ophtha!$B25</f>
        <v>19</v>
      </c>
      <c r="H1430" s="165">
        <f>Graph_Ophtha!$I25</f>
        <v>900234.65808951552</v>
      </c>
      <c r="I1430" s="160">
        <f>InputData!$C$3</f>
        <v>0.02</v>
      </c>
      <c r="J1430" s="160">
        <f>InputData!$C$4</f>
        <v>0.01</v>
      </c>
      <c r="K1430" s="160">
        <f>InputData!$C$5</f>
        <v>0.01</v>
      </c>
      <c r="L1430" s="160">
        <f>InputData!$C$6</f>
        <v>6.2100000000000002E-2</v>
      </c>
      <c r="M1430" s="160">
        <f>InputData!$C$7</f>
        <v>0.03</v>
      </c>
      <c r="N1430" s="160">
        <f>InputData!$C$8</f>
        <v>0.02</v>
      </c>
      <c r="O1430" s="160">
        <f>InputData!$C$9</f>
        <v>0.06</v>
      </c>
      <c r="P1430" s="160">
        <f>InputData!$C$10</f>
        <v>0.02</v>
      </c>
      <c r="Q1430" s="160">
        <f>InputData!$C$11</f>
        <v>0.02</v>
      </c>
      <c r="R1430" s="160">
        <f>InputData!$C$12</f>
        <v>0.02</v>
      </c>
      <c r="S1430" s="160">
        <f>InputData!$C$13</f>
        <v>0.9</v>
      </c>
      <c r="T1430" s="116">
        <f>InputData!$C$88</f>
        <v>180000</v>
      </c>
      <c r="U1430" s="116">
        <f>InputData!$C$81</f>
        <v>178500</v>
      </c>
      <c r="V1430" s="116">
        <f>InputData!$C$82</f>
        <v>303960</v>
      </c>
      <c r="W1430" s="116">
        <f>InputData!$C$84</f>
        <v>215220</v>
      </c>
      <c r="X1430" s="116">
        <f>InputData!$C$85</f>
        <v>409020</v>
      </c>
      <c r="Y1430" s="116">
        <f>InputData!$C$116</f>
        <v>140000</v>
      </c>
      <c r="Z1430" s="160">
        <f>InputData!$E$13</f>
        <v>0</v>
      </c>
    </row>
    <row r="1431" spans="1:26" x14ac:dyDescent="0.25">
      <c r="A1431">
        <f>InputData!$K$1</f>
        <v>2013</v>
      </c>
      <c r="B1431" t="str">
        <f>InputData!$G$1</f>
        <v>San Antonio, TX</v>
      </c>
      <c r="C1431" t="s">
        <v>227</v>
      </c>
      <c r="D1431" t="str">
        <f>Graph_Ophtha!$I$6</f>
        <v>STD10r</v>
      </c>
      <c r="E1431" t="str">
        <f t="shared" si="22"/>
        <v>Ophthalmology STD10r</v>
      </c>
      <c r="F1431">
        <f>Graph_Ophtha!$A26</f>
        <v>2032</v>
      </c>
      <c r="G1431">
        <f>Graph_Ophtha!$B26</f>
        <v>20</v>
      </c>
      <c r="H1431" s="165">
        <f>Graph_Ophtha!$I26</f>
        <v>990839.44786689524</v>
      </c>
      <c r="I1431" s="160">
        <f>InputData!$C$3</f>
        <v>0.02</v>
      </c>
      <c r="J1431" s="160">
        <f>InputData!$C$4</f>
        <v>0.01</v>
      </c>
      <c r="K1431" s="160">
        <f>InputData!$C$5</f>
        <v>0.01</v>
      </c>
      <c r="L1431" s="160">
        <f>InputData!$C$6</f>
        <v>6.2100000000000002E-2</v>
      </c>
      <c r="M1431" s="160">
        <f>InputData!$C$7</f>
        <v>0.03</v>
      </c>
      <c r="N1431" s="160">
        <f>InputData!$C$8</f>
        <v>0.02</v>
      </c>
      <c r="O1431" s="160">
        <f>InputData!$C$9</f>
        <v>0.06</v>
      </c>
      <c r="P1431" s="160">
        <f>InputData!$C$10</f>
        <v>0.02</v>
      </c>
      <c r="Q1431" s="160">
        <f>InputData!$C$11</f>
        <v>0.02</v>
      </c>
      <c r="R1431" s="160">
        <f>InputData!$C$12</f>
        <v>0.02</v>
      </c>
      <c r="S1431" s="160">
        <f>InputData!$C$13</f>
        <v>0.9</v>
      </c>
      <c r="T1431" s="116">
        <f>InputData!$C$88</f>
        <v>180000</v>
      </c>
      <c r="U1431" s="116">
        <f>InputData!$C$81</f>
        <v>178500</v>
      </c>
      <c r="V1431" s="116">
        <f>InputData!$C$82</f>
        <v>303960</v>
      </c>
      <c r="W1431" s="116">
        <f>InputData!$C$84</f>
        <v>215220</v>
      </c>
      <c r="X1431" s="116">
        <f>InputData!$C$85</f>
        <v>409020</v>
      </c>
      <c r="Y1431" s="116">
        <f>InputData!$C$116</f>
        <v>140000</v>
      </c>
      <c r="Z1431" s="160">
        <f>InputData!$E$13</f>
        <v>0</v>
      </c>
    </row>
    <row r="1432" spans="1:26" x14ac:dyDescent="0.25">
      <c r="A1432">
        <f>InputData!$K$1</f>
        <v>2013</v>
      </c>
      <c r="B1432" t="str">
        <f>InputData!$G$1</f>
        <v>San Antonio, TX</v>
      </c>
      <c r="C1432" t="s">
        <v>227</v>
      </c>
      <c r="D1432" t="str">
        <f>Graph_Ophtha!$I$6</f>
        <v>STD10r</v>
      </c>
      <c r="E1432" t="str">
        <f t="shared" si="22"/>
        <v>Ophthalmology STD10r</v>
      </c>
      <c r="F1432">
        <f>Graph_Ophtha!$A27</f>
        <v>2033</v>
      </c>
      <c r="G1432">
        <f>Graph_Ophtha!$B27</f>
        <v>21</v>
      </c>
      <c r="H1432" s="165">
        <f>Graph_Ophtha!$I27</f>
        <v>1079608.8703310543</v>
      </c>
      <c r="I1432" s="160">
        <f>InputData!$C$3</f>
        <v>0.02</v>
      </c>
      <c r="J1432" s="160">
        <f>InputData!$C$4</f>
        <v>0.01</v>
      </c>
      <c r="K1432" s="160">
        <f>InputData!$C$5</f>
        <v>0.01</v>
      </c>
      <c r="L1432" s="160">
        <f>InputData!$C$6</f>
        <v>6.2100000000000002E-2</v>
      </c>
      <c r="M1432" s="160">
        <f>InputData!$C$7</f>
        <v>0.03</v>
      </c>
      <c r="N1432" s="160">
        <f>InputData!$C$8</f>
        <v>0.02</v>
      </c>
      <c r="O1432" s="160">
        <f>InputData!$C$9</f>
        <v>0.06</v>
      </c>
      <c r="P1432" s="160">
        <f>InputData!$C$10</f>
        <v>0.02</v>
      </c>
      <c r="Q1432" s="160">
        <f>InputData!$C$11</f>
        <v>0.02</v>
      </c>
      <c r="R1432" s="160">
        <f>InputData!$C$12</f>
        <v>0.02</v>
      </c>
      <c r="S1432" s="160">
        <f>InputData!$C$13</f>
        <v>0.9</v>
      </c>
      <c r="T1432" s="116">
        <f>InputData!$C$88</f>
        <v>180000</v>
      </c>
      <c r="U1432" s="116">
        <f>InputData!$C$81</f>
        <v>178500</v>
      </c>
      <c r="V1432" s="116">
        <f>InputData!$C$82</f>
        <v>303960</v>
      </c>
      <c r="W1432" s="116">
        <f>InputData!$C$84</f>
        <v>215220</v>
      </c>
      <c r="X1432" s="116">
        <f>InputData!$C$85</f>
        <v>409020</v>
      </c>
      <c r="Y1432" s="116">
        <f>InputData!$C$116</f>
        <v>140000</v>
      </c>
      <c r="Z1432" s="160">
        <f>InputData!$E$13</f>
        <v>0</v>
      </c>
    </row>
    <row r="1433" spans="1:26" x14ac:dyDescent="0.25">
      <c r="A1433">
        <f>InputData!$K$1</f>
        <v>2013</v>
      </c>
      <c r="B1433" t="str">
        <f>InputData!$G$1</f>
        <v>San Antonio, TX</v>
      </c>
      <c r="C1433" t="s">
        <v>227</v>
      </c>
      <c r="D1433" t="str">
        <f>Graph_Ophtha!$I$6</f>
        <v>STD10r</v>
      </c>
      <c r="E1433" t="str">
        <f t="shared" si="22"/>
        <v>Ophthalmology STD10r</v>
      </c>
      <c r="F1433">
        <f>Graph_Ophtha!$A28</f>
        <v>2034</v>
      </c>
      <c r="G1433">
        <f>Graph_Ophtha!$B28</f>
        <v>22</v>
      </c>
      <c r="H1433" s="165">
        <f>Graph_Ophtha!$I28</f>
        <v>1166580.6257795091</v>
      </c>
      <c r="I1433" s="160">
        <f>InputData!$C$3</f>
        <v>0.02</v>
      </c>
      <c r="J1433" s="160">
        <f>InputData!$C$4</f>
        <v>0.01</v>
      </c>
      <c r="K1433" s="160">
        <f>InputData!$C$5</f>
        <v>0.01</v>
      </c>
      <c r="L1433" s="160">
        <f>InputData!$C$6</f>
        <v>6.2100000000000002E-2</v>
      </c>
      <c r="M1433" s="160">
        <f>InputData!$C$7</f>
        <v>0.03</v>
      </c>
      <c r="N1433" s="160">
        <f>InputData!$C$8</f>
        <v>0.02</v>
      </c>
      <c r="O1433" s="160">
        <f>InputData!$C$9</f>
        <v>0.06</v>
      </c>
      <c r="P1433" s="160">
        <f>InputData!$C$10</f>
        <v>0.02</v>
      </c>
      <c r="Q1433" s="160">
        <f>InputData!$C$11</f>
        <v>0.02</v>
      </c>
      <c r="R1433" s="160">
        <f>InputData!$C$12</f>
        <v>0.02</v>
      </c>
      <c r="S1433" s="160">
        <f>InputData!$C$13</f>
        <v>0.9</v>
      </c>
      <c r="T1433" s="116">
        <f>InputData!$C$88</f>
        <v>180000</v>
      </c>
      <c r="U1433" s="116">
        <f>InputData!$C$81</f>
        <v>178500</v>
      </c>
      <c r="V1433" s="116">
        <f>InputData!$C$82</f>
        <v>303960</v>
      </c>
      <c r="W1433" s="116">
        <f>InputData!$C$84</f>
        <v>215220</v>
      </c>
      <c r="X1433" s="116">
        <f>InputData!$C$85</f>
        <v>409020</v>
      </c>
      <c r="Y1433" s="116">
        <f>InputData!$C$116</f>
        <v>140000</v>
      </c>
      <c r="Z1433" s="160">
        <f>InputData!$E$13</f>
        <v>0</v>
      </c>
    </row>
    <row r="1434" spans="1:26" x14ac:dyDescent="0.25">
      <c r="A1434">
        <f>InputData!$K$1</f>
        <v>2013</v>
      </c>
      <c r="B1434" t="str">
        <f>InputData!$G$1</f>
        <v>San Antonio, TX</v>
      </c>
      <c r="C1434" t="s">
        <v>227</v>
      </c>
      <c r="D1434" t="str">
        <f>Graph_Ophtha!$I$6</f>
        <v>STD10r</v>
      </c>
      <c r="E1434" t="str">
        <f t="shared" si="22"/>
        <v>Ophthalmology STD10r</v>
      </c>
      <c r="F1434">
        <f>Graph_Ophtha!$A29</f>
        <v>2035</v>
      </c>
      <c r="G1434">
        <f>Graph_Ophtha!$B29</f>
        <v>23</v>
      </c>
      <c r="H1434" s="165">
        <f>Graph_Ophtha!$I29</f>
        <v>1251791.6254036981</v>
      </c>
      <c r="I1434" s="160">
        <f>InputData!$C$3</f>
        <v>0.02</v>
      </c>
      <c r="J1434" s="160">
        <f>InputData!$C$4</f>
        <v>0.01</v>
      </c>
      <c r="K1434" s="160">
        <f>InputData!$C$5</f>
        <v>0.01</v>
      </c>
      <c r="L1434" s="160">
        <f>InputData!$C$6</f>
        <v>6.2100000000000002E-2</v>
      </c>
      <c r="M1434" s="160">
        <f>InputData!$C$7</f>
        <v>0.03</v>
      </c>
      <c r="N1434" s="160">
        <f>InputData!$C$8</f>
        <v>0.02</v>
      </c>
      <c r="O1434" s="160">
        <f>InputData!$C$9</f>
        <v>0.06</v>
      </c>
      <c r="P1434" s="160">
        <f>InputData!$C$10</f>
        <v>0.02</v>
      </c>
      <c r="Q1434" s="160">
        <f>InputData!$C$11</f>
        <v>0.02</v>
      </c>
      <c r="R1434" s="160">
        <f>InputData!$C$12</f>
        <v>0.02</v>
      </c>
      <c r="S1434" s="160">
        <f>InputData!$C$13</f>
        <v>0.9</v>
      </c>
      <c r="T1434" s="116">
        <f>InputData!$C$88</f>
        <v>180000</v>
      </c>
      <c r="U1434" s="116">
        <f>InputData!$C$81</f>
        <v>178500</v>
      </c>
      <c r="V1434" s="116">
        <f>InputData!$C$82</f>
        <v>303960</v>
      </c>
      <c r="W1434" s="116">
        <f>InputData!$C$84</f>
        <v>215220</v>
      </c>
      <c r="X1434" s="116">
        <f>InputData!$C$85</f>
        <v>409020</v>
      </c>
      <c r="Y1434" s="116">
        <f>InputData!$C$116</f>
        <v>140000</v>
      </c>
      <c r="Z1434" s="160">
        <f>InputData!$E$13</f>
        <v>0</v>
      </c>
    </row>
    <row r="1435" spans="1:26" x14ac:dyDescent="0.25">
      <c r="A1435">
        <f>InputData!$K$1</f>
        <v>2013</v>
      </c>
      <c r="B1435" t="str">
        <f>InputData!$G$1</f>
        <v>San Antonio, TX</v>
      </c>
      <c r="C1435" t="s">
        <v>227</v>
      </c>
      <c r="D1435" t="str">
        <f>Graph_Ophtha!$I$6</f>
        <v>STD10r</v>
      </c>
      <c r="E1435" t="str">
        <f t="shared" si="22"/>
        <v>Ophthalmology STD10r</v>
      </c>
      <c r="F1435">
        <f>Graph_Ophtha!$A30</f>
        <v>2036</v>
      </c>
      <c r="G1435">
        <f>Graph_Ophtha!$B30</f>
        <v>24</v>
      </c>
      <c r="H1435" s="165">
        <f>Graph_Ophtha!$I30</f>
        <v>1335278.0082145992</v>
      </c>
      <c r="I1435" s="160">
        <f>InputData!$C$3</f>
        <v>0.02</v>
      </c>
      <c r="J1435" s="160">
        <f>InputData!$C$4</f>
        <v>0.01</v>
      </c>
      <c r="K1435" s="160">
        <f>InputData!$C$5</f>
        <v>0.01</v>
      </c>
      <c r="L1435" s="160">
        <f>InputData!$C$6</f>
        <v>6.2100000000000002E-2</v>
      </c>
      <c r="M1435" s="160">
        <f>InputData!$C$7</f>
        <v>0.03</v>
      </c>
      <c r="N1435" s="160">
        <f>InputData!$C$8</f>
        <v>0.02</v>
      </c>
      <c r="O1435" s="160">
        <f>InputData!$C$9</f>
        <v>0.06</v>
      </c>
      <c r="P1435" s="160">
        <f>InputData!$C$10</f>
        <v>0.02</v>
      </c>
      <c r="Q1435" s="160">
        <f>InputData!$C$11</f>
        <v>0.02</v>
      </c>
      <c r="R1435" s="160">
        <f>InputData!$C$12</f>
        <v>0.02</v>
      </c>
      <c r="S1435" s="160">
        <f>InputData!$C$13</f>
        <v>0.9</v>
      </c>
      <c r="T1435" s="116">
        <f>InputData!$C$88</f>
        <v>180000</v>
      </c>
      <c r="U1435" s="116">
        <f>InputData!$C$81</f>
        <v>178500</v>
      </c>
      <c r="V1435" s="116">
        <f>InputData!$C$82</f>
        <v>303960</v>
      </c>
      <c r="W1435" s="116">
        <f>InputData!$C$84</f>
        <v>215220</v>
      </c>
      <c r="X1435" s="116">
        <f>InputData!$C$85</f>
        <v>409020</v>
      </c>
      <c r="Y1435" s="116">
        <f>InputData!$C$116</f>
        <v>140000</v>
      </c>
      <c r="Z1435" s="160">
        <f>InputData!$E$13</f>
        <v>0</v>
      </c>
    </row>
    <row r="1436" spans="1:26" x14ac:dyDescent="0.25">
      <c r="A1436">
        <f>InputData!$K$1</f>
        <v>2013</v>
      </c>
      <c r="B1436" t="str">
        <f>InputData!$G$1</f>
        <v>San Antonio, TX</v>
      </c>
      <c r="C1436" t="s">
        <v>227</v>
      </c>
      <c r="D1436" t="str">
        <f>Graph_Ophtha!$I$6</f>
        <v>STD10r</v>
      </c>
      <c r="E1436" t="str">
        <f t="shared" si="22"/>
        <v>Ophthalmology STD10r</v>
      </c>
      <c r="F1436">
        <f>Graph_Ophtha!$A31</f>
        <v>2037</v>
      </c>
      <c r="G1436">
        <f>Graph_Ophtha!$B31</f>
        <v>25</v>
      </c>
      <c r="H1436" s="165">
        <f>Graph_Ophtha!$I31</f>
        <v>1417075.1575941523</v>
      </c>
      <c r="I1436" s="160">
        <f>InputData!$C$3</f>
        <v>0.02</v>
      </c>
      <c r="J1436" s="160">
        <f>InputData!$C$4</f>
        <v>0.01</v>
      </c>
      <c r="K1436" s="160">
        <f>InputData!$C$5</f>
        <v>0.01</v>
      </c>
      <c r="L1436" s="160">
        <f>InputData!$C$6</f>
        <v>6.2100000000000002E-2</v>
      </c>
      <c r="M1436" s="160">
        <f>InputData!$C$7</f>
        <v>0.03</v>
      </c>
      <c r="N1436" s="160">
        <f>InputData!$C$8</f>
        <v>0.02</v>
      </c>
      <c r="O1436" s="160">
        <f>InputData!$C$9</f>
        <v>0.06</v>
      </c>
      <c r="P1436" s="160">
        <f>InputData!$C$10</f>
        <v>0.02</v>
      </c>
      <c r="Q1436" s="160">
        <f>InputData!$C$11</f>
        <v>0.02</v>
      </c>
      <c r="R1436" s="160">
        <f>InputData!$C$12</f>
        <v>0.02</v>
      </c>
      <c r="S1436" s="160">
        <f>InputData!$C$13</f>
        <v>0.9</v>
      </c>
      <c r="T1436" s="116">
        <f>InputData!$C$88</f>
        <v>180000</v>
      </c>
      <c r="U1436" s="116">
        <f>InputData!$C$81</f>
        <v>178500</v>
      </c>
      <c r="V1436" s="116">
        <f>InputData!$C$82</f>
        <v>303960</v>
      </c>
      <c r="W1436" s="116">
        <f>InputData!$C$84</f>
        <v>215220</v>
      </c>
      <c r="X1436" s="116">
        <f>InputData!$C$85</f>
        <v>409020</v>
      </c>
      <c r="Y1436" s="116">
        <f>InputData!$C$116</f>
        <v>140000</v>
      </c>
      <c r="Z1436" s="160">
        <f>InputData!$E$13</f>
        <v>0</v>
      </c>
    </row>
    <row r="1437" spans="1:26" x14ac:dyDescent="0.25">
      <c r="A1437">
        <f>InputData!$K$1</f>
        <v>2013</v>
      </c>
      <c r="B1437" t="str">
        <f>InputData!$G$1</f>
        <v>San Antonio, TX</v>
      </c>
      <c r="C1437" t="s">
        <v>227</v>
      </c>
      <c r="D1437" t="str">
        <f>Graph_Ophtha!$I$6</f>
        <v>STD10r</v>
      </c>
      <c r="E1437" t="str">
        <f t="shared" si="22"/>
        <v>Ophthalmology STD10r</v>
      </c>
      <c r="F1437">
        <f>Graph_Ophtha!$A32</f>
        <v>2038</v>
      </c>
      <c r="G1437">
        <f>Graph_Ophtha!$B32</f>
        <v>26</v>
      </c>
      <c r="H1437" s="165">
        <f>Graph_Ophtha!$I32</f>
        <v>1497217.7174810576</v>
      </c>
      <c r="I1437" s="160">
        <f>InputData!$C$3</f>
        <v>0.02</v>
      </c>
      <c r="J1437" s="160">
        <f>InputData!$C$4</f>
        <v>0.01</v>
      </c>
      <c r="K1437" s="160">
        <f>InputData!$C$5</f>
        <v>0.01</v>
      </c>
      <c r="L1437" s="160">
        <f>InputData!$C$6</f>
        <v>6.2100000000000002E-2</v>
      </c>
      <c r="M1437" s="160">
        <f>InputData!$C$7</f>
        <v>0.03</v>
      </c>
      <c r="N1437" s="160">
        <f>InputData!$C$8</f>
        <v>0.02</v>
      </c>
      <c r="O1437" s="160">
        <f>InputData!$C$9</f>
        <v>0.06</v>
      </c>
      <c r="P1437" s="160">
        <f>InputData!$C$10</f>
        <v>0.02</v>
      </c>
      <c r="Q1437" s="160">
        <f>InputData!$C$11</f>
        <v>0.02</v>
      </c>
      <c r="R1437" s="160">
        <f>InputData!$C$12</f>
        <v>0.02</v>
      </c>
      <c r="S1437" s="160">
        <f>InputData!$C$13</f>
        <v>0.9</v>
      </c>
      <c r="T1437" s="116">
        <f>InputData!$C$88</f>
        <v>180000</v>
      </c>
      <c r="U1437" s="116">
        <f>InputData!$C$81</f>
        <v>178500</v>
      </c>
      <c r="V1437" s="116">
        <f>InputData!$C$82</f>
        <v>303960</v>
      </c>
      <c r="W1437" s="116">
        <f>InputData!$C$84</f>
        <v>215220</v>
      </c>
      <c r="X1437" s="116">
        <f>InputData!$C$85</f>
        <v>409020</v>
      </c>
      <c r="Y1437" s="116">
        <f>InputData!$C$116</f>
        <v>140000</v>
      </c>
      <c r="Z1437" s="160">
        <f>InputData!$E$13</f>
        <v>0</v>
      </c>
    </row>
    <row r="1438" spans="1:26" x14ac:dyDescent="0.25">
      <c r="A1438">
        <f>InputData!$K$1</f>
        <v>2013</v>
      </c>
      <c r="B1438" t="str">
        <f>InputData!$G$1</f>
        <v>San Antonio, TX</v>
      </c>
      <c r="C1438" t="s">
        <v>227</v>
      </c>
      <c r="D1438" t="str">
        <f>Graph_Ophtha!$I$6</f>
        <v>STD10r</v>
      </c>
      <c r="E1438" t="str">
        <f t="shared" si="22"/>
        <v>Ophthalmology STD10r</v>
      </c>
      <c r="F1438">
        <f>Graph_Ophtha!$A33</f>
        <v>2039</v>
      </c>
      <c r="G1438">
        <f>Graph_Ophtha!$B33</f>
        <v>27</v>
      </c>
      <c r="H1438" s="165">
        <f>Graph_Ophtha!$I33</f>
        <v>1575739.6081993163</v>
      </c>
      <c r="I1438" s="160">
        <f>InputData!$C$3</f>
        <v>0.02</v>
      </c>
      <c r="J1438" s="160">
        <f>InputData!$C$4</f>
        <v>0.01</v>
      </c>
      <c r="K1438" s="160">
        <f>InputData!$C$5</f>
        <v>0.01</v>
      </c>
      <c r="L1438" s="160">
        <f>InputData!$C$6</f>
        <v>6.2100000000000002E-2</v>
      </c>
      <c r="M1438" s="160">
        <f>InputData!$C$7</f>
        <v>0.03</v>
      </c>
      <c r="N1438" s="160">
        <f>InputData!$C$8</f>
        <v>0.02</v>
      </c>
      <c r="O1438" s="160">
        <f>InputData!$C$9</f>
        <v>0.06</v>
      </c>
      <c r="P1438" s="160">
        <f>InputData!$C$10</f>
        <v>0.02</v>
      </c>
      <c r="Q1438" s="160">
        <f>InputData!$C$11</f>
        <v>0.02</v>
      </c>
      <c r="R1438" s="160">
        <f>InputData!$C$12</f>
        <v>0.02</v>
      </c>
      <c r="S1438" s="160">
        <f>InputData!$C$13</f>
        <v>0.9</v>
      </c>
      <c r="T1438" s="116">
        <f>InputData!$C$88</f>
        <v>180000</v>
      </c>
      <c r="U1438" s="116">
        <f>InputData!$C$81</f>
        <v>178500</v>
      </c>
      <c r="V1438" s="116">
        <f>InputData!$C$82</f>
        <v>303960</v>
      </c>
      <c r="W1438" s="116">
        <f>InputData!$C$84</f>
        <v>215220</v>
      </c>
      <c r="X1438" s="116">
        <f>InputData!$C$85</f>
        <v>409020</v>
      </c>
      <c r="Y1438" s="116">
        <f>InputData!$C$116</f>
        <v>140000</v>
      </c>
      <c r="Z1438" s="160">
        <f>InputData!$E$13</f>
        <v>0</v>
      </c>
    </row>
    <row r="1439" spans="1:26" x14ac:dyDescent="0.25">
      <c r="A1439">
        <f>InputData!$K$1</f>
        <v>2013</v>
      </c>
      <c r="B1439" t="str">
        <f>InputData!$G$1</f>
        <v>San Antonio, TX</v>
      </c>
      <c r="C1439" t="s">
        <v>227</v>
      </c>
      <c r="D1439" t="str">
        <f>Graph_Ophtha!$I$6</f>
        <v>STD10r</v>
      </c>
      <c r="E1439" t="str">
        <f t="shared" si="22"/>
        <v>Ophthalmology STD10r</v>
      </c>
      <c r="F1439">
        <f>Graph_Ophtha!$A34</f>
        <v>2040</v>
      </c>
      <c r="G1439">
        <f>Graph_Ophtha!$B34</f>
        <v>28</v>
      </c>
      <c r="H1439" s="165">
        <f>Graph_Ophtha!$I34</f>
        <v>1652674.0419376802</v>
      </c>
      <c r="I1439" s="160">
        <f>InputData!$C$3</f>
        <v>0.02</v>
      </c>
      <c r="J1439" s="160">
        <f>InputData!$C$4</f>
        <v>0.01</v>
      </c>
      <c r="K1439" s="160">
        <f>InputData!$C$5</f>
        <v>0.01</v>
      </c>
      <c r="L1439" s="160">
        <f>InputData!$C$6</f>
        <v>6.2100000000000002E-2</v>
      </c>
      <c r="M1439" s="160">
        <f>InputData!$C$7</f>
        <v>0.03</v>
      </c>
      <c r="N1439" s="160">
        <f>InputData!$C$8</f>
        <v>0.02</v>
      </c>
      <c r="O1439" s="160">
        <f>InputData!$C$9</f>
        <v>0.06</v>
      </c>
      <c r="P1439" s="160">
        <f>InputData!$C$10</f>
        <v>0.02</v>
      </c>
      <c r="Q1439" s="160">
        <f>InputData!$C$11</f>
        <v>0.02</v>
      </c>
      <c r="R1439" s="160">
        <f>InputData!$C$12</f>
        <v>0.02</v>
      </c>
      <c r="S1439" s="160">
        <f>InputData!$C$13</f>
        <v>0.9</v>
      </c>
      <c r="T1439" s="116">
        <f>InputData!$C$88</f>
        <v>180000</v>
      </c>
      <c r="U1439" s="116">
        <f>InputData!$C$81</f>
        <v>178500</v>
      </c>
      <c r="V1439" s="116">
        <f>InputData!$C$82</f>
        <v>303960</v>
      </c>
      <c r="W1439" s="116">
        <f>InputData!$C$84</f>
        <v>215220</v>
      </c>
      <c r="X1439" s="116">
        <f>InputData!$C$85</f>
        <v>409020</v>
      </c>
      <c r="Y1439" s="116">
        <f>InputData!$C$116</f>
        <v>140000</v>
      </c>
      <c r="Z1439" s="160">
        <f>InputData!$E$13</f>
        <v>0</v>
      </c>
    </row>
    <row r="1440" spans="1:26" x14ac:dyDescent="0.25">
      <c r="A1440">
        <f>InputData!$K$1</f>
        <v>2013</v>
      </c>
      <c r="B1440" t="str">
        <f>InputData!$G$1</f>
        <v>San Antonio, TX</v>
      </c>
      <c r="C1440" t="s">
        <v>227</v>
      </c>
      <c r="D1440" t="str">
        <f>Graph_Ophtha!$I$6</f>
        <v>STD10r</v>
      </c>
      <c r="E1440" t="str">
        <f t="shared" si="22"/>
        <v>Ophthalmology STD10r</v>
      </c>
      <c r="F1440">
        <f>Graph_Ophtha!$A35</f>
        <v>2041</v>
      </c>
      <c r="G1440">
        <f>Graph_Ophtha!$B35</f>
        <v>29</v>
      </c>
      <c r="H1440" s="165">
        <f>Graph_Ophtha!$I35</f>
        <v>1728053.5378879823</v>
      </c>
      <c r="I1440" s="160">
        <f>InputData!$C$3</f>
        <v>0.02</v>
      </c>
      <c r="J1440" s="160">
        <f>InputData!$C$4</f>
        <v>0.01</v>
      </c>
      <c r="K1440" s="160">
        <f>InputData!$C$5</f>
        <v>0.01</v>
      </c>
      <c r="L1440" s="160">
        <f>InputData!$C$6</f>
        <v>6.2100000000000002E-2</v>
      </c>
      <c r="M1440" s="160">
        <f>InputData!$C$7</f>
        <v>0.03</v>
      </c>
      <c r="N1440" s="160">
        <f>InputData!$C$8</f>
        <v>0.02</v>
      </c>
      <c r="O1440" s="160">
        <f>InputData!$C$9</f>
        <v>0.06</v>
      </c>
      <c r="P1440" s="160">
        <f>InputData!$C$10</f>
        <v>0.02</v>
      </c>
      <c r="Q1440" s="160">
        <f>InputData!$C$11</f>
        <v>0.02</v>
      </c>
      <c r="R1440" s="160">
        <f>InputData!$C$12</f>
        <v>0.02</v>
      </c>
      <c r="S1440" s="160">
        <f>InputData!$C$13</f>
        <v>0.9</v>
      </c>
      <c r="T1440" s="116">
        <f>InputData!$C$88</f>
        <v>180000</v>
      </c>
      <c r="U1440" s="116">
        <f>InputData!$C$81</f>
        <v>178500</v>
      </c>
      <c r="V1440" s="116">
        <f>InputData!$C$82</f>
        <v>303960</v>
      </c>
      <c r="W1440" s="116">
        <f>InputData!$C$84</f>
        <v>215220</v>
      </c>
      <c r="X1440" s="116">
        <f>InputData!$C$85</f>
        <v>409020</v>
      </c>
      <c r="Y1440" s="116">
        <f>InputData!$C$116</f>
        <v>140000</v>
      </c>
      <c r="Z1440" s="160">
        <f>InputData!$E$13</f>
        <v>0</v>
      </c>
    </row>
    <row r="1441" spans="1:26" x14ac:dyDescent="0.25">
      <c r="A1441">
        <f>InputData!$K$1</f>
        <v>2013</v>
      </c>
      <c r="B1441" t="str">
        <f>InputData!$G$1</f>
        <v>San Antonio, TX</v>
      </c>
      <c r="C1441" t="s">
        <v>227</v>
      </c>
      <c r="D1441" t="str">
        <f>Graph_Ophtha!$I$6</f>
        <v>STD10r</v>
      </c>
      <c r="E1441" t="str">
        <f t="shared" si="22"/>
        <v>Ophthalmology STD10r</v>
      </c>
      <c r="F1441">
        <f>Graph_Ophtha!$A36</f>
        <v>2042</v>
      </c>
      <c r="G1441">
        <f>Graph_Ophtha!$B36</f>
        <v>30</v>
      </c>
      <c r="H1441" s="165">
        <f>Graph_Ophtha!$I36</f>
        <v>1801909.9370501328</v>
      </c>
      <c r="I1441" s="160">
        <f>InputData!$C$3</f>
        <v>0.02</v>
      </c>
      <c r="J1441" s="160">
        <f>InputData!$C$4</f>
        <v>0.01</v>
      </c>
      <c r="K1441" s="160">
        <f>InputData!$C$5</f>
        <v>0.01</v>
      </c>
      <c r="L1441" s="160">
        <f>InputData!$C$6</f>
        <v>6.2100000000000002E-2</v>
      </c>
      <c r="M1441" s="160">
        <f>InputData!$C$7</f>
        <v>0.03</v>
      </c>
      <c r="N1441" s="160">
        <f>InputData!$C$8</f>
        <v>0.02</v>
      </c>
      <c r="O1441" s="160">
        <f>InputData!$C$9</f>
        <v>0.06</v>
      </c>
      <c r="P1441" s="160">
        <f>InputData!$C$10</f>
        <v>0.02</v>
      </c>
      <c r="Q1441" s="160">
        <f>InputData!$C$11</f>
        <v>0.02</v>
      </c>
      <c r="R1441" s="160">
        <f>InputData!$C$12</f>
        <v>0.02</v>
      </c>
      <c r="S1441" s="160">
        <f>InputData!$C$13</f>
        <v>0.9</v>
      </c>
      <c r="T1441" s="116">
        <f>InputData!$C$88</f>
        <v>180000</v>
      </c>
      <c r="U1441" s="116">
        <f>InputData!$C$81</f>
        <v>178500</v>
      </c>
      <c r="V1441" s="116">
        <f>InputData!$C$82</f>
        <v>303960</v>
      </c>
      <c r="W1441" s="116">
        <f>InputData!$C$84</f>
        <v>215220</v>
      </c>
      <c r="X1441" s="116">
        <f>InputData!$C$85</f>
        <v>409020</v>
      </c>
      <c r="Y1441" s="116">
        <f>InputData!$C$116</f>
        <v>140000</v>
      </c>
      <c r="Z1441" s="160">
        <f>InputData!$E$13</f>
        <v>0</v>
      </c>
    </row>
    <row r="1442" spans="1:26" x14ac:dyDescent="0.25">
      <c r="A1442">
        <f>InputData!$K$1</f>
        <v>2013</v>
      </c>
      <c r="B1442" t="str">
        <f>InputData!$G$1</f>
        <v>San Antonio, TX</v>
      </c>
      <c r="C1442" t="s">
        <v>227</v>
      </c>
      <c r="D1442" t="str">
        <f>Graph_Ophtha!$J$6</f>
        <v>IBRr</v>
      </c>
      <c r="E1442" t="str">
        <f t="shared" si="22"/>
        <v>Ophthalmology IBRr</v>
      </c>
      <c r="F1442">
        <f>Graph_Ophtha!$A7</f>
        <v>2013</v>
      </c>
      <c r="G1442">
        <f>Graph_Ophtha!$B7</f>
        <v>1</v>
      </c>
      <c r="H1442" s="165">
        <f>Graph_Ophtha!$J7</f>
        <v>-43015.05</v>
      </c>
      <c r="I1442" s="160">
        <f>InputData!$C$3</f>
        <v>0.02</v>
      </c>
      <c r="J1442" s="160">
        <f>InputData!$C$4</f>
        <v>0.01</v>
      </c>
      <c r="K1442" s="160">
        <f>InputData!$C$5</f>
        <v>0.01</v>
      </c>
      <c r="L1442" s="160">
        <f>InputData!$C$6</f>
        <v>6.2100000000000002E-2</v>
      </c>
      <c r="M1442" s="160">
        <f>InputData!$C$7</f>
        <v>0.03</v>
      </c>
      <c r="N1442" s="160">
        <f>InputData!$C$8</f>
        <v>0.02</v>
      </c>
      <c r="O1442" s="160">
        <f>InputData!$C$9</f>
        <v>0.06</v>
      </c>
      <c r="P1442" s="160">
        <f>InputData!$C$10</f>
        <v>0.02</v>
      </c>
      <c r="Q1442" s="160">
        <f>InputData!$C$11</f>
        <v>0.02</v>
      </c>
      <c r="R1442" s="160">
        <f>InputData!$C$12</f>
        <v>0.02</v>
      </c>
      <c r="S1442" s="160">
        <f>InputData!$C$13</f>
        <v>0.9</v>
      </c>
      <c r="T1442" s="116">
        <f>InputData!$C$88</f>
        <v>180000</v>
      </c>
      <c r="U1442" s="116">
        <f>InputData!$C$81</f>
        <v>178500</v>
      </c>
      <c r="V1442" s="116">
        <f>InputData!$C$82</f>
        <v>303960</v>
      </c>
      <c r="W1442" s="116">
        <f>InputData!$C$84</f>
        <v>215220</v>
      </c>
      <c r="X1442" s="116">
        <f>InputData!$C$85</f>
        <v>409020</v>
      </c>
      <c r="Y1442" s="116">
        <f>InputData!$C$116</f>
        <v>140000</v>
      </c>
      <c r="Z1442" s="160">
        <f>InputData!$E$13</f>
        <v>0</v>
      </c>
    </row>
    <row r="1443" spans="1:26" x14ac:dyDescent="0.25">
      <c r="A1443">
        <f>InputData!$K$1</f>
        <v>2013</v>
      </c>
      <c r="B1443" t="str">
        <f>InputData!$G$1</f>
        <v>San Antonio, TX</v>
      </c>
      <c r="C1443" t="s">
        <v>227</v>
      </c>
      <c r="D1443" t="str">
        <f>Graph_Ophtha!$J$6</f>
        <v>IBRr</v>
      </c>
      <c r="E1443" t="str">
        <f t="shared" si="22"/>
        <v>Ophthalmology IBRr</v>
      </c>
      <c r="F1443">
        <f>Graph_Ophtha!$A8</f>
        <v>2014</v>
      </c>
      <c r="G1443">
        <f>Graph_Ophtha!$B8</f>
        <v>2</v>
      </c>
      <c r="H1443" s="165">
        <f>Graph_Ophtha!$J8</f>
        <v>-86352.285865219877</v>
      </c>
      <c r="I1443" s="160">
        <f>InputData!$C$3</f>
        <v>0.02</v>
      </c>
      <c r="J1443" s="160">
        <f>InputData!$C$4</f>
        <v>0.01</v>
      </c>
      <c r="K1443" s="160">
        <f>InputData!$C$5</f>
        <v>0.01</v>
      </c>
      <c r="L1443" s="160">
        <f>InputData!$C$6</f>
        <v>6.2100000000000002E-2</v>
      </c>
      <c r="M1443" s="160">
        <f>InputData!$C$7</f>
        <v>0.03</v>
      </c>
      <c r="N1443" s="160">
        <f>InputData!$C$8</f>
        <v>0.02</v>
      </c>
      <c r="O1443" s="160">
        <f>InputData!$C$9</f>
        <v>0.06</v>
      </c>
      <c r="P1443" s="160">
        <f>InputData!$C$10</f>
        <v>0.02</v>
      </c>
      <c r="Q1443" s="160">
        <f>InputData!$C$11</f>
        <v>0.02</v>
      </c>
      <c r="R1443" s="160">
        <f>InputData!$C$12</f>
        <v>0.02</v>
      </c>
      <c r="S1443" s="160">
        <f>InputData!$C$13</f>
        <v>0.9</v>
      </c>
      <c r="T1443" s="116">
        <f>InputData!$C$88</f>
        <v>180000</v>
      </c>
      <c r="U1443" s="116">
        <f>InputData!$C$81</f>
        <v>178500</v>
      </c>
      <c r="V1443" s="116">
        <f>InputData!$C$82</f>
        <v>303960</v>
      </c>
      <c r="W1443" s="116">
        <f>InputData!$C$84</f>
        <v>215220</v>
      </c>
      <c r="X1443" s="116">
        <f>InputData!$C$85</f>
        <v>409020</v>
      </c>
      <c r="Y1443" s="116">
        <f>InputData!$C$116</f>
        <v>140000</v>
      </c>
      <c r="Z1443" s="160">
        <f>InputData!$E$13</f>
        <v>0</v>
      </c>
    </row>
    <row r="1444" spans="1:26" x14ac:dyDescent="0.25">
      <c r="A1444">
        <f>InputData!$K$1</f>
        <v>2013</v>
      </c>
      <c r="B1444" t="str">
        <f>InputData!$G$1</f>
        <v>San Antonio, TX</v>
      </c>
      <c r="C1444" t="s">
        <v>227</v>
      </c>
      <c r="D1444" t="str">
        <f>Graph_Ophtha!$J$6</f>
        <v>IBRr</v>
      </c>
      <c r="E1444" t="str">
        <f t="shared" si="22"/>
        <v>Ophthalmology IBRr</v>
      </c>
      <c r="F1444">
        <f>Graph_Ophtha!$A9</f>
        <v>2015</v>
      </c>
      <c r="G1444">
        <f>Graph_Ophtha!$B9</f>
        <v>3</v>
      </c>
      <c r="H1444" s="165">
        <f>Graph_Ophtha!$J9</f>
        <v>-138541.19578403595</v>
      </c>
      <c r="I1444" s="160">
        <f>InputData!$C$3</f>
        <v>0.02</v>
      </c>
      <c r="J1444" s="160">
        <f>InputData!$C$4</f>
        <v>0.01</v>
      </c>
      <c r="K1444" s="160">
        <f>InputData!$C$5</f>
        <v>0.01</v>
      </c>
      <c r="L1444" s="160">
        <f>InputData!$C$6</f>
        <v>6.2100000000000002E-2</v>
      </c>
      <c r="M1444" s="160">
        <f>InputData!$C$7</f>
        <v>0.03</v>
      </c>
      <c r="N1444" s="160">
        <f>InputData!$C$8</f>
        <v>0.02</v>
      </c>
      <c r="O1444" s="160">
        <f>InputData!$C$9</f>
        <v>0.06</v>
      </c>
      <c r="P1444" s="160">
        <f>InputData!$C$10</f>
        <v>0.02</v>
      </c>
      <c r="Q1444" s="160">
        <f>InputData!$C$11</f>
        <v>0.02</v>
      </c>
      <c r="R1444" s="160">
        <f>InputData!$C$12</f>
        <v>0.02</v>
      </c>
      <c r="S1444" s="160">
        <f>InputData!$C$13</f>
        <v>0.9</v>
      </c>
      <c r="T1444" s="116">
        <f>InputData!$C$88</f>
        <v>180000</v>
      </c>
      <c r="U1444" s="116">
        <f>InputData!$C$81</f>
        <v>178500</v>
      </c>
      <c r="V1444" s="116">
        <f>InputData!$C$82</f>
        <v>303960</v>
      </c>
      <c r="W1444" s="116">
        <f>InputData!$C$84</f>
        <v>215220</v>
      </c>
      <c r="X1444" s="116">
        <f>InputData!$C$85</f>
        <v>409020</v>
      </c>
      <c r="Y1444" s="116">
        <f>InputData!$C$116</f>
        <v>140000</v>
      </c>
      <c r="Z1444" s="160">
        <f>InputData!$E$13</f>
        <v>0</v>
      </c>
    </row>
    <row r="1445" spans="1:26" x14ac:dyDescent="0.25">
      <c r="A1445">
        <f>InputData!$K$1</f>
        <v>2013</v>
      </c>
      <c r="B1445" t="str">
        <f>InputData!$G$1</f>
        <v>San Antonio, TX</v>
      </c>
      <c r="C1445" t="s">
        <v>227</v>
      </c>
      <c r="D1445" t="str">
        <f>Graph_Ophtha!$J$6</f>
        <v>IBRr</v>
      </c>
      <c r="E1445" t="str">
        <f t="shared" si="22"/>
        <v>Ophthalmology IBRr</v>
      </c>
      <c r="F1445">
        <f>Graph_Ophtha!$A10</f>
        <v>2016</v>
      </c>
      <c r="G1445">
        <f>Graph_Ophtha!$B10</f>
        <v>4</v>
      </c>
      <c r="H1445" s="165">
        <f>Graph_Ophtha!$J10</f>
        <v>-190867.38028908212</v>
      </c>
      <c r="I1445" s="160">
        <f>InputData!$C$3</f>
        <v>0.02</v>
      </c>
      <c r="J1445" s="160">
        <f>InputData!$C$4</f>
        <v>0.01</v>
      </c>
      <c r="K1445" s="160">
        <f>InputData!$C$5</f>
        <v>0.01</v>
      </c>
      <c r="L1445" s="160">
        <f>InputData!$C$6</f>
        <v>6.2100000000000002E-2</v>
      </c>
      <c r="M1445" s="160">
        <f>InputData!$C$7</f>
        <v>0.03</v>
      </c>
      <c r="N1445" s="160">
        <f>InputData!$C$8</f>
        <v>0.02</v>
      </c>
      <c r="O1445" s="160">
        <f>InputData!$C$9</f>
        <v>0.06</v>
      </c>
      <c r="P1445" s="160">
        <f>InputData!$C$10</f>
        <v>0.02</v>
      </c>
      <c r="Q1445" s="160">
        <f>InputData!$C$11</f>
        <v>0.02</v>
      </c>
      <c r="R1445" s="160">
        <f>InputData!$C$12</f>
        <v>0.02</v>
      </c>
      <c r="S1445" s="160">
        <f>InputData!$C$13</f>
        <v>0.9</v>
      </c>
      <c r="T1445" s="116">
        <f>InputData!$C$88</f>
        <v>180000</v>
      </c>
      <c r="U1445" s="116">
        <f>InputData!$C$81</f>
        <v>178500</v>
      </c>
      <c r="V1445" s="116">
        <f>InputData!$C$82</f>
        <v>303960</v>
      </c>
      <c r="W1445" s="116">
        <f>InputData!$C$84</f>
        <v>215220</v>
      </c>
      <c r="X1445" s="116">
        <f>InputData!$C$85</f>
        <v>409020</v>
      </c>
      <c r="Y1445" s="116">
        <f>InputData!$C$116</f>
        <v>140000</v>
      </c>
      <c r="Z1445" s="160">
        <f>InputData!$E$13</f>
        <v>0</v>
      </c>
    </row>
    <row r="1446" spans="1:26" x14ac:dyDescent="0.25">
      <c r="A1446">
        <f>InputData!$K$1</f>
        <v>2013</v>
      </c>
      <c r="B1446" t="str">
        <f>InputData!$G$1</f>
        <v>San Antonio, TX</v>
      </c>
      <c r="C1446" t="s">
        <v>227</v>
      </c>
      <c r="D1446" t="str">
        <f>Graph_Ophtha!$J$6</f>
        <v>IBRr</v>
      </c>
      <c r="E1446" t="str">
        <f t="shared" si="22"/>
        <v>Ophthalmology IBRr</v>
      </c>
      <c r="F1446">
        <f>Graph_Ophtha!$A11</f>
        <v>2017</v>
      </c>
      <c r="G1446">
        <f>Graph_Ophtha!$B11</f>
        <v>5</v>
      </c>
      <c r="H1446" s="165">
        <f>Graph_Ophtha!$J11</f>
        <v>-159376.263840158</v>
      </c>
      <c r="I1446" s="160">
        <f>InputData!$C$3</f>
        <v>0.02</v>
      </c>
      <c r="J1446" s="160">
        <f>InputData!$C$4</f>
        <v>0.01</v>
      </c>
      <c r="K1446" s="160">
        <f>InputData!$C$5</f>
        <v>0.01</v>
      </c>
      <c r="L1446" s="160">
        <f>InputData!$C$6</f>
        <v>6.2100000000000002E-2</v>
      </c>
      <c r="M1446" s="160">
        <f>InputData!$C$7</f>
        <v>0.03</v>
      </c>
      <c r="N1446" s="160">
        <f>InputData!$C$8</f>
        <v>0.02</v>
      </c>
      <c r="O1446" s="160">
        <f>InputData!$C$9</f>
        <v>0.06</v>
      </c>
      <c r="P1446" s="160">
        <f>InputData!$C$10</f>
        <v>0.02</v>
      </c>
      <c r="Q1446" s="160">
        <f>InputData!$C$11</f>
        <v>0.02</v>
      </c>
      <c r="R1446" s="160">
        <f>InputData!$C$12</f>
        <v>0.02</v>
      </c>
      <c r="S1446" s="160">
        <f>InputData!$C$13</f>
        <v>0.9</v>
      </c>
      <c r="T1446" s="116">
        <f>InputData!$C$88</f>
        <v>180000</v>
      </c>
      <c r="U1446" s="116">
        <f>InputData!$C$81</f>
        <v>178500</v>
      </c>
      <c r="V1446" s="116">
        <f>InputData!$C$82</f>
        <v>303960</v>
      </c>
      <c r="W1446" s="116">
        <f>InputData!$C$84</f>
        <v>215220</v>
      </c>
      <c r="X1446" s="116">
        <f>InputData!$C$85</f>
        <v>409020</v>
      </c>
      <c r="Y1446" s="116">
        <f>InputData!$C$116</f>
        <v>140000</v>
      </c>
      <c r="Z1446" s="160">
        <f>InputData!$E$13</f>
        <v>0</v>
      </c>
    </row>
    <row r="1447" spans="1:26" x14ac:dyDescent="0.25">
      <c r="A1447">
        <f>InputData!$K$1</f>
        <v>2013</v>
      </c>
      <c r="B1447" t="str">
        <f>InputData!$G$1</f>
        <v>San Antonio, TX</v>
      </c>
      <c r="C1447" t="s">
        <v>227</v>
      </c>
      <c r="D1447" t="str">
        <f>Graph_Ophtha!$J$6</f>
        <v>IBRr</v>
      </c>
      <c r="E1447" t="str">
        <f t="shared" si="22"/>
        <v>Ophthalmology IBRr</v>
      </c>
      <c r="F1447">
        <f>Graph_Ophtha!$A12</f>
        <v>2018</v>
      </c>
      <c r="G1447">
        <f>Graph_Ophtha!$B12</f>
        <v>6</v>
      </c>
      <c r="H1447" s="165">
        <f>Graph_Ophtha!$J12</f>
        <v>-127913.13213476112</v>
      </c>
      <c r="I1447" s="160">
        <f>InputData!$C$3</f>
        <v>0.02</v>
      </c>
      <c r="J1447" s="160">
        <f>InputData!$C$4</f>
        <v>0.01</v>
      </c>
      <c r="K1447" s="160">
        <f>InputData!$C$5</f>
        <v>0.01</v>
      </c>
      <c r="L1447" s="160">
        <f>InputData!$C$6</f>
        <v>6.2100000000000002E-2</v>
      </c>
      <c r="M1447" s="160">
        <f>InputData!$C$7</f>
        <v>0.03</v>
      </c>
      <c r="N1447" s="160">
        <f>InputData!$C$8</f>
        <v>0.02</v>
      </c>
      <c r="O1447" s="160">
        <f>InputData!$C$9</f>
        <v>0.06</v>
      </c>
      <c r="P1447" s="160">
        <f>InputData!$C$10</f>
        <v>0.02</v>
      </c>
      <c r="Q1447" s="160">
        <f>InputData!$C$11</f>
        <v>0.02</v>
      </c>
      <c r="R1447" s="160">
        <f>InputData!$C$12</f>
        <v>0.02</v>
      </c>
      <c r="S1447" s="160">
        <f>InputData!$C$13</f>
        <v>0.9</v>
      </c>
      <c r="T1447" s="116">
        <f>InputData!$C$88</f>
        <v>180000</v>
      </c>
      <c r="U1447" s="116">
        <f>InputData!$C$81</f>
        <v>178500</v>
      </c>
      <c r="V1447" s="116">
        <f>InputData!$C$82</f>
        <v>303960</v>
      </c>
      <c r="W1447" s="116">
        <f>InputData!$C$84</f>
        <v>215220</v>
      </c>
      <c r="X1447" s="116">
        <f>InputData!$C$85</f>
        <v>409020</v>
      </c>
      <c r="Y1447" s="116">
        <f>InputData!$C$116</f>
        <v>140000</v>
      </c>
      <c r="Z1447" s="160">
        <f>InputData!$E$13</f>
        <v>0</v>
      </c>
    </row>
    <row r="1448" spans="1:26" x14ac:dyDescent="0.25">
      <c r="A1448">
        <f>InputData!$K$1</f>
        <v>2013</v>
      </c>
      <c r="B1448" t="str">
        <f>InputData!$G$1</f>
        <v>San Antonio, TX</v>
      </c>
      <c r="C1448" t="s">
        <v>227</v>
      </c>
      <c r="D1448" t="str">
        <f>Graph_Ophtha!$J$6</f>
        <v>IBRr</v>
      </c>
      <c r="E1448" t="str">
        <f t="shared" si="22"/>
        <v>Ophthalmology IBRr</v>
      </c>
      <c r="F1448">
        <f>Graph_Ophtha!$A13</f>
        <v>2019</v>
      </c>
      <c r="G1448">
        <f>Graph_Ophtha!$B13</f>
        <v>7</v>
      </c>
      <c r="H1448" s="165">
        <f>Graph_Ophtha!$J13</f>
        <v>-96469.213883902426</v>
      </c>
      <c r="I1448" s="160">
        <f>InputData!$C$3</f>
        <v>0.02</v>
      </c>
      <c r="J1448" s="160">
        <f>InputData!$C$4</f>
        <v>0.01</v>
      </c>
      <c r="K1448" s="160">
        <f>InputData!$C$5</f>
        <v>0.01</v>
      </c>
      <c r="L1448" s="160">
        <f>InputData!$C$6</f>
        <v>6.2100000000000002E-2</v>
      </c>
      <c r="M1448" s="160">
        <f>InputData!$C$7</f>
        <v>0.03</v>
      </c>
      <c r="N1448" s="160">
        <f>InputData!$C$8</f>
        <v>0.02</v>
      </c>
      <c r="O1448" s="160">
        <f>InputData!$C$9</f>
        <v>0.06</v>
      </c>
      <c r="P1448" s="160">
        <f>InputData!$C$10</f>
        <v>0.02</v>
      </c>
      <c r="Q1448" s="160">
        <f>InputData!$C$11</f>
        <v>0.02</v>
      </c>
      <c r="R1448" s="160">
        <f>InputData!$C$12</f>
        <v>0.02</v>
      </c>
      <c r="S1448" s="160">
        <f>InputData!$C$13</f>
        <v>0.9</v>
      </c>
      <c r="T1448" s="116">
        <f>InputData!$C$88</f>
        <v>180000</v>
      </c>
      <c r="U1448" s="116">
        <f>InputData!$C$81</f>
        <v>178500</v>
      </c>
      <c r="V1448" s="116">
        <f>InputData!$C$82</f>
        <v>303960</v>
      </c>
      <c r="W1448" s="116">
        <f>InputData!$C$84</f>
        <v>215220</v>
      </c>
      <c r="X1448" s="116">
        <f>InputData!$C$85</f>
        <v>409020</v>
      </c>
      <c r="Y1448" s="116">
        <f>InputData!$C$116</f>
        <v>140000</v>
      </c>
      <c r="Z1448" s="160">
        <f>InputData!$E$13</f>
        <v>0</v>
      </c>
    </row>
    <row r="1449" spans="1:26" x14ac:dyDescent="0.25">
      <c r="A1449">
        <f>InputData!$K$1</f>
        <v>2013</v>
      </c>
      <c r="B1449" t="str">
        <f>InputData!$G$1</f>
        <v>San Antonio, TX</v>
      </c>
      <c r="C1449" t="s">
        <v>227</v>
      </c>
      <c r="D1449" t="str">
        <f>Graph_Ophtha!$J$6</f>
        <v>IBRr</v>
      </c>
      <c r="E1449" t="str">
        <f t="shared" si="22"/>
        <v>Ophthalmology IBRr</v>
      </c>
      <c r="F1449">
        <f>Graph_Ophtha!$A14</f>
        <v>2020</v>
      </c>
      <c r="G1449">
        <f>Graph_Ophtha!$B14</f>
        <v>8</v>
      </c>
      <c r="H1449" s="165">
        <f>Graph_Ophtha!$J14</f>
        <v>-65035.922086779574</v>
      </c>
      <c r="I1449" s="160">
        <f>InputData!$C$3</f>
        <v>0.02</v>
      </c>
      <c r="J1449" s="160">
        <f>InputData!$C$4</f>
        <v>0.01</v>
      </c>
      <c r="K1449" s="160">
        <f>InputData!$C$5</f>
        <v>0.01</v>
      </c>
      <c r="L1449" s="160">
        <f>InputData!$C$6</f>
        <v>6.2100000000000002E-2</v>
      </c>
      <c r="M1449" s="160">
        <f>InputData!$C$7</f>
        <v>0.03</v>
      </c>
      <c r="N1449" s="160">
        <f>InputData!$C$8</f>
        <v>0.02</v>
      </c>
      <c r="O1449" s="160">
        <f>InputData!$C$9</f>
        <v>0.06</v>
      </c>
      <c r="P1449" s="160">
        <f>InputData!$C$10</f>
        <v>0.02</v>
      </c>
      <c r="Q1449" s="160">
        <f>InputData!$C$11</f>
        <v>0.02</v>
      </c>
      <c r="R1449" s="160">
        <f>InputData!$C$12</f>
        <v>0.02</v>
      </c>
      <c r="S1449" s="160">
        <f>InputData!$C$13</f>
        <v>0.9</v>
      </c>
      <c r="T1449" s="116">
        <f>InputData!$C$88</f>
        <v>180000</v>
      </c>
      <c r="U1449" s="116">
        <f>InputData!$C$81</f>
        <v>178500</v>
      </c>
      <c r="V1449" s="116">
        <f>InputData!$C$82</f>
        <v>303960</v>
      </c>
      <c r="W1449" s="116">
        <f>InputData!$C$84</f>
        <v>215220</v>
      </c>
      <c r="X1449" s="116">
        <f>InputData!$C$85</f>
        <v>409020</v>
      </c>
      <c r="Y1449" s="116">
        <f>InputData!$C$116</f>
        <v>140000</v>
      </c>
      <c r="Z1449" s="160">
        <f>InputData!$E$13</f>
        <v>0</v>
      </c>
    </row>
    <row r="1450" spans="1:26" x14ac:dyDescent="0.25">
      <c r="A1450">
        <f>InputData!$K$1</f>
        <v>2013</v>
      </c>
      <c r="B1450" t="str">
        <f>InputData!$G$1</f>
        <v>San Antonio, TX</v>
      </c>
      <c r="C1450" t="s">
        <v>227</v>
      </c>
      <c r="D1450" t="str">
        <f>Graph_Ophtha!$J$6</f>
        <v>IBRr</v>
      </c>
      <c r="E1450" t="str">
        <f t="shared" si="22"/>
        <v>Ophthalmology IBRr</v>
      </c>
      <c r="F1450">
        <f>Graph_Ophtha!$A15</f>
        <v>2021</v>
      </c>
      <c r="G1450">
        <f>Graph_Ophtha!$B15</f>
        <v>9</v>
      </c>
      <c r="H1450" s="165">
        <f>Graph_Ophtha!$J15</f>
        <v>35244.073653157327</v>
      </c>
      <c r="I1450" s="160">
        <f>InputData!$C$3</f>
        <v>0.02</v>
      </c>
      <c r="J1450" s="160">
        <f>InputData!$C$4</f>
        <v>0.01</v>
      </c>
      <c r="K1450" s="160">
        <f>InputData!$C$5</f>
        <v>0.01</v>
      </c>
      <c r="L1450" s="160">
        <f>InputData!$C$6</f>
        <v>6.2100000000000002E-2</v>
      </c>
      <c r="M1450" s="160">
        <f>InputData!$C$7</f>
        <v>0.03</v>
      </c>
      <c r="N1450" s="160">
        <f>InputData!$C$8</f>
        <v>0.02</v>
      </c>
      <c r="O1450" s="160">
        <f>InputData!$C$9</f>
        <v>0.06</v>
      </c>
      <c r="P1450" s="160">
        <f>InputData!$C$10</f>
        <v>0.02</v>
      </c>
      <c r="Q1450" s="160">
        <f>InputData!$C$11</f>
        <v>0.02</v>
      </c>
      <c r="R1450" s="160">
        <f>InputData!$C$12</f>
        <v>0.02</v>
      </c>
      <c r="S1450" s="160">
        <f>InputData!$C$13</f>
        <v>0.9</v>
      </c>
      <c r="T1450" s="116">
        <f>InputData!$C$88</f>
        <v>180000</v>
      </c>
      <c r="U1450" s="116">
        <f>InputData!$C$81</f>
        <v>178500</v>
      </c>
      <c r="V1450" s="116">
        <f>InputData!$C$82</f>
        <v>303960</v>
      </c>
      <c r="W1450" s="116">
        <f>InputData!$C$84</f>
        <v>215220</v>
      </c>
      <c r="X1450" s="116">
        <f>InputData!$C$85</f>
        <v>409020</v>
      </c>
      <c r="Y1450" s="116">
        <f>InputData!$C$116</f>
        <v>140000</v>
      </c>
      <c r="Z1450" s="160">
        <f>InputData!$E$13</f>
        <v>0</v>
      </c>
    </row>
    <row r="1451" spans="1:26" x14ac:dyDescent="0.25">
      <c r="A1451">
        <f>InputData!$K$1</f>
        <v>2013</v>
      </c>
      <c r="B1451" t="str">
        <f>InputData!$G$1</f>
        <v>San Antonio, TX</v>
      </c>
      <c r="C1451" t="s">
        <v>227</v>
      </c>
      <c r="D1451" t="str">
        <f>Graph_Ophtha!$J$6</f>
        <v>IBRr</v>
      </c>
      <c r="E1451" t="str">
        <f t="shared" si="22"/>
        <v>Ophthalmology IBRr</v>
      </c>
      <c r="F1451">
        <f>Graph_Ophtha!$A16</f>
        <v>2022</v>
      </c>
      <c r="G1451">
        <f>Graph_Ophtha!$B16</f>
        <v>10</v>
      </c>
      <c r="H1451" s="165">
        <f>Graph_Ophtha!$J16</f>
        <v>127769.60215475256</v>
      </c>
      <c r="I1451" s="160">
        <f>InputData!$C$3</f>
        <v>0.02</v>
      </c>
      <c r="J1451" s="160">
        <f>InputData!$C$4</f>
        <v>0.01</v>
      </c>
      <c r="K1451" s="160">
        <f>InputData!$C$5</f>
        <v>0.01</v>
      </c>
      <c r="L1451" s="160">
        <f>InputData!$C$6</f>
        <v>6.2100000000000002E-2</v>
      </c>
      <c r="M1451" s="160">
        <f>InputData!$C$7</f>
        <v>0.03</v>
      </c>
      <c r="N1451" s="160">
        <f>InputData!$C$8</f>
        <v>0.02</v>
      </c>
      <c r="O1451" s="160">
        <f>InputData!$C$9</f>
        <v>0.06</v>
      </c>
      <c r="P1451" s="160">
        <f>InputData!$C$10</f>
        <v>0.02</v>
      </c>
      <c r="Q1451" s="160">
        <f>InputData!$C$11</f>
        <v>0.02</v>
      </c>
      <c r="R1451" s="160">
        <f>InputData!$C$12</f>
        <v>0.02</v>
      </c>
      <c r="S1451" s="160">
        <f>InputData!$C$13</f>
        <v>0.9</v>
      </c>
      <c r="T1451" s="116">
        <f>InputData!$C$88</f>
        <v>180000</v>
      </c>
      <c r="U1451" s="116">
        <f>InputData!$C$81</f>
        <v>178500</v>
      </c>
      <c r="V1451" s="116">
        <f>InputData!$C$82</f>
        <v>303960</v>
      </c>
      <c r="W1451" s="116">
        <f>InputData!$C$84</f>
        <v>215220</v>
      </c>
      <c r="X1451" s="116">
        <f>InputData!$C$85</f>
        <v>409020</v>
      </c>
      <c r="Y1451" s="116">
        <f>InputData!$C$116</f>
        <v>140000</v>
      </c>
      <c r="Z1451" s="160">
        <f>InputData!$E$13</f>
        <v>0</v>
      </c>
    </row>
    <row r="1452" spans="1:26" x14ac:dyDescent="0.25">
      <c r="A1452">
        <f>InputData!$K$1</f>
        <v>2013</v>
      </c>
      <c r="B1452" t="str">
        <f>InputData!$G$1</f>
        <v>San Antonio, TX</v>
      </c>
      <c r="C1452" t="s">
        <v>227</v>
      </c>
      <c r="D1452" t="str">
        <f>Graph_Ophtha!$J$6</f>
        <v>IBRr</v>
      </c>
      <c r="E1452" t="str">
        <f t="shared" si="22"/>
        <v>Ophthalmology IBRr</v>
      </c>
      <c r="F1452">
        <f>Graph_Ophtha!$A17</f>
        <v>2023</v>
      </c>
      <c r="G1452">
        <f>Graph_Ophtha!$B17</f>
        <v>11</v>
      </c>
      <c r="H1452" s="165">
        <f>Graph_Ophtha!$J17</f>
        <v>218935.65783156993</v>
      </c>
      <c r="I1452" s="160">
        <f>InputData!$C$3</f>
        <v>0.02</v>
      </c>
      <c r="J1452" s="160">
        <f>InputData!$C$4</f>
        <v>0.01</v>
      </c>
      <c r="K1452" s="160">
        <f>InputData!$C$5</f>
        <v>0.01</v>
      </c>
      <c r="L1452" s="160">
        <f>InputData!$C$6</f>
        <v>6.2100000000000002E-2</v>
      </c>
      <c r="M1452" s="160">
        <f>InputData!$C$7</f>
        <v>0.03</v>
      </c>
      <c r="N1452" s="160">
        <f>InputData!$C$8</f>
        <v>0.02</v>
      </c>
      <c r="O1452" s="160">
        <f>InputData!$C$9</f>
        <v>0.06</v>
      </c>
      <c r="P1452" s="160">
        <f>InputData!$C$10</f>
        <v>0.02</v>
      </c>
      <c r="Q1452" s="160">
        <f>InputData!$C$11</f>
        <v>0.02</v>
      </c>
      <c r="R1452" s="160">
        <f>InputData!$C$12</f>
        <v>0.02</v>
      </c>
      <c r="S1452" s="160">
        <f>InputData!$C$13</f>
        <v>0.9</v>
      </c>
      <c r="T1452" s="116">
        <f>InputData!$C$88</f>
        <v>180000</v>
      </c>
      <c r="U1452" s="116">
        <f>InputData!$C$81</f>
        <v>178500</v>
      </c>
      <c r="V1452" s="116">
        <f>InputData!$C$82</f>
        <v>303960</v>
      </c>
      <c r="W1452" s="116">
        <f>InputData!$C$84</f>
        <v>215220</v>
      </c>
      <c r="X1452" s="116">
        <f>InputData!$C$85</f>
        <v>409020</v>
      </c>
      <c r="Y1452" s="116">
        <f>InputData!$C$116</f>
        <v>140000</v>
      </c>
      <c r="Z1452" s="160">
        <f>InputData!$E$13</f>
        <v>0</v>
      </c>
    </row>
    <row r="1453" spans="1:26" x14ac:dyDescent="0.25">
      <c r="A1453">
        <f>InputData!$K$1</f>
        <v>2013</v>
      </c>
      <c r="B1453" t="str">
        <f>InputData!$G$1</f>
        <v>San Antonio, TX</v>
      </c>
      <c r="C1453" t="s">
        <v>227</v>
      </c>
      <c r="D1453" t="str">
        <f>Graph_Ophtha!$J$6</f>
        <v>IBRr</v>
      </c>
      <c r="E1453" t="str">
        <f t="shared" si="22"/>
        <v>Ophthalmology IBRr</v>
      </c>
      <c r="F1453">
        <f>Graph_Ophtha!$A18</f>
        <v>2024</v>
      </c>
      <c r="G1453">
        <f>Graph_Ophtha!$B18</f>
        <v>12</v>
      </c>
      <c r="H1453" s="165">
        <f>Graph_Ophtha!$J18</f>
        <v>308745.49035609339</v>
      </c>
      <c r="I1453" s="160">
        <f>InputData!$C$3</f>
        <v>0.02</v>
      </c>
      <c r="J1453" s="160">
        <f>InputData!$C$4</f>
        <v>0.01</v>
      </c>
      <c r="K1453" s="160">
        <f>InputData!$C$5</f>
        <v>0.01</v>
      </c>
      <c r="L1453" s="160">
        <f>InputData!$C$6</f>
        <v>6.2100000000000002E-2</v>
      </c>
      <c r="M1453" s="160">
        <f>InputData!$C$7</f>
        <v>0.03</v>
      </c>
      <c r="N1453" s="160">
        <f>InputData!$C$8</f>
        <v>0.02</v>
      </c>
      <c r="O1453" s="160">
        <f>InputData!$C$9</f>
        <v>0.06</v>
      </c>
      <c r="P1453" s="160">
        <f>InputData!$C$10</f>
        <v>0.02</v>
      </c>
      <c r="Q1453" s="160">
        <f>InputData!$C$11</f>
        <v>0.02</v>
      </c>
      <c r="R1453" s="160">
        <f>InputData!$C$12</f>
        <v>0.02</v>
      </c>
      <c r="S1453" s="160">
        <f>InputData!$C$13</f>
        <v>0.9</v>
      </c>
      <c r="T1453" s="116">
        <f>InputData!$C$88</f>
        <v>180000</v>
      </c>
      <c r="U1453" s="116">
        <f>InputData!$C$81</f>
        <v>178500</v>
      </c>
      <c r="V1453" s="116">
        <f>InputData!$C$82</f>
        <v>303960</v>
      </c>
      <c r="W1453" s="116">
        <f>InputData!$C$84</f>
        <v>215220</v>
      </c>
      <c r="X1453" s="116">
        <f>InputData!$C$85</f>
        <v>409020</v>
      </c>
      <c r="Y1453" s="116">
        <f>InputData!$C$116</f>
        <v>140000</v>
      </c>
      <c r="Z1453" s="160">
        <f>InputData!$E$13</f>
        <v>0</v>
      </c>
    </row>
    <row r="1454" spans="1:26" x14ac:dyDescent="0.25">
      <c r="A1454">
        <f>InputData!$K$1</f>
        <v>2013</v>
      </c>
      <c r="B1454" t="str">
        <f>InputData!$G$1</f>
        <v>San Antonio, TX</v>
      </c>
      <c r="C1454" t="s">
        <v>227</v>
      </c>
      <c r="D1454" t="str">
        <f>Graph_Ophtha!$J$6</f>
        <v>IBRr</v>
      </c>
      <c r="E1454" t="str">
        <f t="shared" si="22"/>
        <v>Ophthalmology IBRr</v>
      </c>
      <c r="F1454">
        <f>Graph_Ophtha!$A19</f>
        <v>2025</v>
      </c>
      <c r="G1454">
        <f>Graph_Ophtha!$B19</f>
        <v>13</v>
      </c>
      <c r="H1454" s="165">
        <f>Graph_Ophtha!$J19</f>
        <v>397203.45683294843</v>
      </c>
      <c r="I1454" s="160">
        <f>InputData!$C$3</f>
        <v>0.02</v>
      </c>
      <c r="J1454" s="160">
        <f>InputData!$C$4</f>
        <v>0.01</v>
      </c>
      <c r="K1454" s="160">
        <f>InputData!$C$5</f>
        <v>0.01</v>
      </c>
      <c r="L1454" s="160">
        <f>InputData!$C$6</f>
        <v>6.2100000000000002E-2</v>
      </c>
      <c r="M1454" s="160">
        <f>InputData!$C$7</f>
        <v>0.03</v>
      </c>
      <c r="N1454" s="160">
        <f>InputData!$C$8</f>
        <v>0.02</v>
      </c>
      <c r="O1454" s="160">
        <f>InputData!$C$9</f>
        <v>0.06</v>
      </c>
      <c r="P1454" s="160">
        <f>InputData!$C$10</f>
        <v>0.02</v>
      </c>
      <c r="Q1454" s="160">
        <f>InputData!$C$11</f>
        <v>0.02</v>
      </c>
      <c r="R1454" s="160">
        <f>InputData!$C$12</f>
        <v>0.02</v>
      </c>
      <c r="S1454" s="160">
        <f>InputData!$C$13</f>
        <v>0.9</v>
      </c>
      <c r="T1454" s="116">
        <f>InputData!$C$88</f>
        <v>180000</v>
      </c>
      <c r="U1454" s="116">
        <f>InputData!$C$81</f>
        <v>178500</v>
      </c>
      <c r="V1454" s="116">
        <f>InputData!$C$82</f>
        <v>303960</v>
      </c>
      <c r="W1454" s="116">
        <f>InputData!$C$84</f>
        <v>215220</v>
      </c>
      <c r="X1454" s="116">
        <f>InputData!$C$85</f>
        <v>409020</v>
      </c>
      <c r="Y1454" s="116">
        <f>InputData!$C$116</f>
        <v>140000</v>
      </c>
      <c r="Z1454" s="160">
        <f>InputData!$E$13</f>
        <v>0</v>
      </c>
    </row>
    <row r="1455" spans="1:26" x14ac:dyDescent="0.25">
      <c r="A1455">
        <f>InputData!$K$1</f>
        <v>2013</v>
      </c>
      <c r="B1455" t="str">
        <f>InputData!$G$1</f>
        <v>San Antonio, TX</v>
      </c>
      <c r="C1455" t="s">
        <v>227</v>
      </c>
      <c r="D1455" t="str">
        <f>Graph_Ophtha!$J$6</f>
        <v>IBRr</v>
      </c>
      <c r="E1455" t="str">
        <f t="shared" si="22"/>
        <v>Ophthalmology IBRr</v>
      </c>
      <c r="F1455">
        <f>Graph_Ophtha!$A20</f>
        <v>2026</v>
      </c>
      <c r="G1455">
        <f>Graph_Ophtha!$B20</f>
        <v>14</v>
      </c>
      <c r="H1455" s="165">
        <f>Graph_Ophtha!$J20</f>
        <v>484314.94240220822</v>
      </c>
      <c r="I1455" s="160">
        <f>InputData!$C$3</f>
        <v>0.02</v>
      </c>
      <c r="J1455" s="160">
        <f>InputData!$C$4</f>
        <v>0.01</v>
      </c>
      <c r="K1455" s="160">
        <f>InputData!$C$5</f>
        <v>0.01</v>
      </c>
      <c r="L1455" s="160">
        <f>InputData!$C$6</f>
        <v>6.2100000000000002E-2</v>
      </c>
      <c r="M1455" s="160">
        <f>InputData!$C$7</f>
        <v>0.03</v>
      </c>
      <c r="N1455" s="160">
        <f>InputData!$C$8</f>
        <v>0.02</v>
      </c>
      <c r="O1455" s="160">
        <f>InputData!$C$9</f>
        <v>0.06</v>
      </c>
      <c r="P1455" s="160">
        <f>InputData!$C$10</f>
        <v>0.02</v>
      </c>
      <c r="Q1455" s="160">
        <f>InputData!$C$11</f>
        <v>0.02</v>
      </c>
      <c r="R1455" s="160">
        <f>InputData!$C$12</f>
        <v>0.02</v>
      </c>
      <c r="S1455" s="160">
        <f>InputData!$C$13</f>
        <v>0.9</v>
      </c>
      <c r="T1455" s="116">
        <f>InputData!$C$88</f>
        <v>180000</v>
      </c>
      <c r="U1455" s="116">
        <f>InputData!$C$81</f>
        <v>178500</v>
      </c>
      <c r="V1455" s="116">
        <f>InputData!$C$82</f>
        <v>303960</v>
      </c>
      <c r="W1455" s="116">
        <f>InputData!$C$84</f>
        <v>215220</v>
      </c>
      <c r="X1455" s="116">
        <f>InputData!$C$85</f>
        <v>409020</v>
      </c>
      <c r="Y1455" s="116">
        <f>InputData!$C$116</f>
        <v>140000</v>
      </c>
      <c r="Z1455" s="160">
        <f>InputData!$E$13</f>
        <v>0</v>
      </c>
    </row>
    <row r="1456" spans="1:26" x14ac:dyDescent="0.25">
      <c r="A1456">
        <f>InputData!$K$1</f>
        <v>2013</v>
      </c>
      <c r="B1456" t="str">
        <f>InputData!$G$1</f>
        <v>San Antonio, TX</v>
      </c>
      <c r="C1456" t="s">
        <v>227</v>
      </c>
      <c r="D1456" t="str">
        <f>Graph_Ophtha!$J$6</f>
        <v>IBRr</v>
      </c>
      <c r="E1456" t="str">
        <f t="shared" si="22"/>
        <v>Ophthalmology IBRr</v>
      </c>
      <c r="F1456">
        <f>Graph_Ophtha!$A21</f>
        <v>2027</v>
      </c>
      <c r="G1456">
        <f>Graph_Ophtha!$B21</f>
        <v>15</v>
      </c>
      <c r="H1456" s="165">
        <f>Graph_Ophtha!$J21</f>
        <v>570086.28521482099</v>
      </c>
      <c r="I1456" s="160">
        <f>InputData!$C$3</f>
        <v>0.02</v>
      </c>
      <c r="J1456" s="160">
        <f>InputData!$C$4</f>
        <v>0.01</v>
      </c>
      <c r="K1456" s="160">
        <f>InputData!$C$5</f>
        <v>0.01</v>
      </c>
      <c r="L1456" s="160">
        <f>InputData!$C$6</f>
        <v>6.2100000000000002E-2</v>
      </c>
      <c r="M1456" s="160">
        <f>InputData!$C$7</f>
        <v>0.03</v>
      </c>
      <c r="N1456" s="160">
        <f>InputData!$C$8</f>
        <v>0.02</v>
      </c>
      <c r="O1456" s="160">
        <f>InputData!$C$9</f>
        <v>0.06</v>
      </c>
      <c r="P1456" s="160">
        <f>InputData!$C$10</f>
        <v>0.02</v>
      </c>
      <c r="Q1456" s="160">
        <f>InputData!$C$11</f>
        <v>0.02</v>
      </c>
      <c r="R1456" s="160">
        <f>InputData!$C$12</f>
        <v>0.02</v>
      </c>
      <c r="S1456" s="160">
        <f>InputData!$C$13</f>
        <v>0.9</v>
      </c>
      <c r="T1456" s="116">
        <f>InputData!$C$88</f>
        <v>180000</v>
      </c>
      <c r="U1456" s="116">
        <f>InputData!$C$81</f>
        <v>178500</v>
      </c>
      <c r="V1456" s="116">
        <f>InputData!$C$82</f>
        <v>303960</v>
      </c>
      <c r="W1456" s="116">
        <f>InputData!$C$84</f>
        <v>215220</v>
      </c>
      <c r="X1456" s="116">
        <f>InputData!$C$85</f>
        <v>409020</v>
      </c>
      <c r="Y1456" s="116">
        <f>InputData!$C$116</f>
        <v>140000</v>
      </c>
      <c r="Z1456" s="160">
        <f>InputData!$E$13</f>
        <v>0</v>
      </c>
    </row>
    <row r="1457" spans="1:26" x14ac:dyDescent="0.25">
      <c r="A1457">
        <f>InputData!$K$1</f>
        <v>2013</v>
      </c>
      <c r="B1457" t="str">
        <f>InputData!$G$1</f>
        <v>San Antonio, TX</v>
      </c>
      <c r="C1457" t="s">
        <v>227</v>
      </c>
      <c r="D1457" t="str">
        <f>Graph_Ophtha!$J$6</f>
        <v>IBRr</v>
      </c>
      <c r="E1457" t="str">
        <f t="shared" si="22"/>
        <v>Ophthalmology IBRr</v>
      </c>
      <c r="F1457">
        <f>Graph_Ophtha!$A22</f>
        <v>2028</v>
      </c>
      <c r="G1457">
        <f>Graph_Ophtha!$B22</f>
        <v>16</v>
      </c>
      <c r="H1457" s="165">
        <f>Graph_Ophtha!$J22</f>
        <v>654524.7055577545</v>
      </c>
      <c r="I1457" s="160">
        <f>InputData!$C$3</f>
        <v>0.02</v>
      </c>
      <c r="J1457" s="160">
        <f>InputData!$C$4</f>
        <v>0.01</v>
      </c>
      <c r="K1457" s="160">
        <f>InputData!$C$5</f>
        <v>0.01</v>
      </c>
      <c r="L1457" s="160">
        <f>InputData!$C$6</f>
        <v>6.2100000000000002E-2</v>
      </c>
      <c r="M1457" s="160">
        <f>InputData!$C$7</f>
        <v>0.03</v>
      </c>
      <c r="N1457" s="160">
        <f>InputData!$C$8</f>
        <v>0.02</v>
      </c>
      <c r="O1457" s="160">
        <f>InputData!$C$9</f>
        <v>0.06</v>
      </c>
      <c r="P1457" s="160">
        <f>InputData!$C$10</f>
        <v>0.02</v>
      </c>
      <c r="Q1457" s="160">
        <f>InputData!$C$11</f>
        <v>0.02</v>
      </c>
      <c r="R1457" s="160">
        <f>InputData!$C$12</f>
        <v>0.02</v>
      </c>
      <c r="S1457" s="160">
        <f>InputData!$C$13</f>
        <v>0.9</v>
      </c>
      <c r="T1457" s="116">
        <f>InputData!$C$88</f>
        <v>180000</v>
      </c>
      <c r="U1457" s="116">
        <f>InputData!$C$81</f>
        <v>178500</v>
      </c>
      <c r="V1457" s="116">
        <f>InputData!$C$82</f>
        <v>303960</v>
      </c>
      <c r="W1457" s="116">
        <f>InputData!$C$84</f>
        <v>215220</v>
      </c>
      <c r="X1457" s="116">
        <f>InputData!$C$85</f>
        <v>409020</v>
      </c>
      <c r="Y1457" s="116">
        <f>InputData!$C$116</f>
        <v>140000</v>
      </c>
      <c r="Z1457" s="160">
        <f>InputData!$E$13</f>
        <v>0</v>
      </c>
    </row>
    <row r="1458" spans="1:26" x14ac:dyDescent="0.25">
      <c r="A1458">
        <f>InputData!$K$1</f>
        <v>2013</v>
      </c>
      <c r="B1458" t="str">
        <f>InputData!$G$1</f>
        <v>San Antonio, TX</v>
      </c>
      <c r="C1458" t="s">
        <v>227</v>
      </c>
      <c r="D1458" t="str">
        <f>Graph_Ophtha!$J$6</f>
        <v>IBRr</v>
      </c>
      <c r="E1458" t="str">
        <f t="shared" si="22"/>
        <v>Ophthalmology IBRr</v>
      </c>
      <c r="F1458">
        <f>Graph_Ophtha!$A23</f>
        <v>2029</v>
      </c>
      <c r="G1458">
        <f>Graph_Ophtha!$B23</f>
        <v>17</v>
      </c>
      <c r="H1458" s="165">
        <f>Graph_Ophtha!$J23</f>
        <v>737638.23891742749</v>
      </c>
      <c r="I1458" s="160">
        <f>InputData!$C$3</f>
        <v>0.02</v>
      </c>
      <c r="J1458" s="160">
        <f>InputData!$C$4</f>
        <v>0.01</v>
      </c>
      <c r="K1458" s="160">
        <f>InputData!$C$5</f>
        <v>0.01</v>
      </c>
      <c r="L1458" s="160">
        <f>InputData!$C$6</f>
        <v>6.2100000000000002E-2</v>
      </c>
      <c r="M1458" s="160">
        <f>InputData!$C$7</f>
        <v>0.03</v>
      </c>
      <c r="N1458" s="160">
        <f>InputData!$C$8</f>
        <v>0.02</v>
      </c>
      <c r="O1458" s="160">
        <f>InputData!$C$9</f>
        <v>0.06</v>
      </c>
      <c r="P1458" s="160">
        <f>InputData!$C$10</f>
        <v>0.02</v>
      </c>
      <c r="Q1458" s="160">
        <f>InputData!$C$11</f>
        <v>0.02</v>
      </c>
      <c r="R1458" s="160">
        <f>InputData!$C$12</f>
        <v>0.02</v>
      </c>
      <c r="S1458" s="160">
        <f>InputData!$C$13</f>
        <v>0.9</v>
      </c>
      <c r="T1458" s="116">
        <f>InputData!$C$88</f>
        <v>180000</v>
      </c>
      <c r="U1458" s="116">
        <f>InputData!$C$81</f>
        <v>178500</v>
      </c>
      <c r="V1458" s="116">
        <f>InputData!$C$82</f>
        <v>303960</v>
      </c>
      <c r="W1458" s="116">
        <f>InputData!$C$84</f>
        <v>215220</v>
      </c>
      <c r="X1458" s="116">
        <f>InputData!$C$85</f>
        <v>409020</v>
      </c>
      <c r="Y1458" s="116">
        <f>InputData!$C$116</f>
        <v>140000</v>
      </c>
      <c r="Z1458" s="160">
        <f>InputData!$E$13</f>
        <v>0</v>
      </c>
    </row>
    <row r="1459" spans="1:26" x14ac:dyDescent="0.25">
      <c r="A1459">
        <f>InputData!$K$1</f>
        <v>2013</v>
      </c>
      <c r="B1459" t="str">
        <f>InputData!$G$1</f>
        <v>San Antonio, TX</v>
      </c>
      <c r="C1459" t="s">
        <v>227</v>
      </c>
      <c r="D1459" t="str">
        <f>Graph_Ophtha!$J$6</f>
        <v>IBRr</v>
      </c>
      <c r="E1459" t="str">
        <f t="shared" si="22"/>
        <v>Ophthalmology IBRr</v>
      </c>
      <c r="F1459">
        <f>Graph_Ophtha!$A24</f>
        <v>2030</v>
      </c>
      <c r="G1459">
        <f>Graph_Ophtha!$B24</f>
        <v>18</v>
      </c>
      <c r="H1459" s="165">
        <f>Graph_Ophtha!$J24</f>
        <v>819435.67278043949</v>
      </c>
      <c r="I1459" s="160">
        <f>InputData!$C$3</f>
        <v>0.02</v>
      </c>
      <c r="J1459" s="160">
        <f>InputData!$C$4</f>
        <v>0.01</v>
      </c>
      <c r="K1459" s="160">
        <f>InputData!$C$5</f>
        <v>0.01</v>
      </c>
      <c r="L1459" s="160">
        <f>InputData!$C$6</f>
        <v>6.2100000000000002E-2</v>
      </c>
      <c r="M1459" s="160">
        <f>InputData!$C$7</f>
        <v>0.03</v>
      </c>
      <c r="N1459" s="160">
        <f>InputData!$C$8</f>
        <v>0.02</v>
      </c>
      <c r="O1459" s="160">
        <f>InputData!$C$9</f>
        <v>0.06</v>
      </c>
      <c r="P1459" s="160">
        <f>InputData!$C$10</f>
        <v>0.02</v>
      </c>
      <c r="Q1459" s="160">
        <f>InputData!$C$11</f>
        <v>0.02</v>
      </c>
      <c r="R1459" s="160">
        <f>InputData!$C$12</f>
        <v>0.02</v>
      </c>
      <c r="S1459" s="160">
        <f>InputData!$C$13</f>
        <v>0.9</v>
      </c>
      <c r="T1459" s="116">
        <f>InputData!$C$88</f>
        <v>180000</v>
      </c>
      <c r="U1459" s="116">
        <f>InputData!$C$81</f>
        <v>178500</v>
      </c>
      <c r="V1459" s="116">
        <f>InputData!$C$82</f>
        <v>303960</v>
      </c>
      <c r="W1459" s="116">
        <f>InputData!$C$84</f>
        <v>215220</v>
      </c>
      <c r="X1459" s="116">
        <f>InputData!$C$85</f>
        <v>409020</v>
      </c>
      <c r="Y1459" s="116">
        <f>InputData!$C$116</f>
        <v>140000</v>
      </c>
      <c r="Z1459" s="160">
        <f>InputData!$E$13</f>
        <v>0</v>
      </c>
    </row>
    <row r="1460" spans="1:26" x14ac:dyDescent="0.25">
      <c r="A1460">
        <f>InputData!$K$1</f>
        <v>2013</v>
      </c>
      <c r="B1460" t="str">
        <f>InputData!$G$1</f>
        <v>San Antonio, TX</v>
      </c>
      <c r="C1460" t="s">
        <v>227</v>
      </c>
      <c r="D1460" t="str">
        <f>Graph_Ophtha!$J$6</f>
        <v>IBRr</v>
      </c>
      <c r="E1460" t="str">
        <f t="shared" si="22"/>
        <v>Ophthalmology IBRr</v>
      </c>
      <c r="F1460">
        <f>Graph_Ophtha!$A25</f>
        <v>2031</v>
      </c>
      <c r="G1460">
        <f>Graph_Ophtha!$B25</f>
        <v>19</v>
      </c>
      <c r="H1460" s="165">
        <f>Graph_Ophtha!$J25</f>
        <v>899926.48698054033</v>
      </c>
      <c r="I1460" s="160">
        <f>InputData!$C$3</f>
        <v>0.02</v>
      </c>
      <c r="J1460" s="160">
        <f>InputData!$C$4</f>
        <v>0.01</v>
      </c>
      <c r="K1460" s="160">
        <f>InputData!$C$5</f>
        <v>0.01</v>
      </c>
      <c r="L1460" s="160">
        <f>InputData!$C$6</f>
        <v>6.2100000000000002E-2</v>
      </c>
      <c r="M1460" s="160">
        <f>InputData!$C$7</f>
        <v>0.03</v>
      </c>
      <c r="N1460" s="160">
        <f>InputData!$C$8</f>
        <v>0.02</v>
      </c>
      <c r="O1460" s="160">
        <f>InputData!$C$9</f>
        <v>0.06</v>
      </c>
      <c r="P1460" s="160">
        <f>InputData!$C$10</f>
        <v>0.02</v>
      </c>
      <c r="Q1460" s="160">
        <f>InputData!$C$11</f>
        <v>0.02</v>
      </c>
      <c r="R1460" s="160">
        <f>InputData!$C$12</f>
        <v>0.02</v>
      </c>
      <c r="S1460" s="160">
        <f>InputData!$C$13</f>
        <v>0.9</v>
      </c>
      <c r="T1460" s="116">
        <f>InputData!$C$88</f>
        <v>180000</v>
      </c>
      <c r="U1460" s="116">
        <f>InputData!$C$81</f>
        <v>178500</v>
      </c>
      <c r="V1460" s="116">
        <f>InputData!$C$82</f>
        <v>303960</v>
      </c>
      <c r="W1460" s="116">
        <f>InputData!$C$84</f>
        <v>215220</v>
      </c>
      <c r="X1460" s="116">
        <f>InputData!$C$85</f>
        <v>409020</v>
      </c>
      <c r="Y1460" s="116">
        <f>InputData!$C$116</f>
        <v>140000</v>
      </c>
      <c r="Z1460" s="160">
        <f>InputData!$E$13</f>
        <v>0</v>
      </c>
    </row>
    <row r="1461" spans="1:26" x14ac:dyDescent="0.25">
      <c r="A1461">
        <f>InputData!$K$1</f>
        <v>2013</v>
      </c>
      <c r="B1461" t="str">
        <f>InputData!$G$1</f>
        <v>San Antonio, TX</v>
      </c>
      <c r="C1461" t="s">
        <v>227</v>
      </c>
      <c r="D1461" t="str">
        <f>Graph_Ophtha!$J$6</f>
        <v>IBRr</v>
      </c>
      <c r="E1461" t="str">
        <f t="shared" si="22"/>
        <v>Ophthalmology IBRr</v>
      </c>
      <c r="F1461">
        <f>Graph_Ophtha!$A26</f>
        <v>2032</v>
      </c>
      <c r="G1461">
        <f>Graph_Ophtha!$B26</f>
        <v>20</v>
      </c>
      <c r="H1461" s="165">
        <f>Graph_Ophtha!$J26</f>
        <v>984875.28177740646</v>
      </c>
      <c r="I1461" s="160">
        <f>InputData!$C$3</f>
        <v>0.02</v>
      </c>
      <c r="J1461" s="160">
        <f>InputData!$C$4</f>
        <v>0.01</v>
      </c>
      <c r="K1461" s="160">
        <f>InputData!$C$5</f>
        <v>0.01</v>
      </c>
      <c r="L1461" s="160">
        <f>InputData!$C$6</f>
        <v>6.2100000000000002E-2</v>
      </c>
      <c r="M1461" s="160">
        <f>InputData!$C$7</f>
        <v>0.03</v>
      </c>
      <c r="N1461" s="160">
        <f>InputData!$C$8</f>
        <v>0.02</v>
      </c>
      <c r="O1461" s="160">
        <f>InputData!$C$9</f>
        <v>0.06</v>
      </c>
      <c r="P1461" s="160">
        <f>InputData!$C$10</f>
        <v>0.02</v>
      </c>
      <c r="Q1461" s="160">
        <f>InputData!$C$11</f>
        <v>0.02</v>
      </c>
      <c r="R1461" s="160">
        <f>InputData!$C$12</f>
        <v>0.02</v>
      </c>
      <c r="S1461" s="160">
        <f>InputData!$C$13</f>
        <v>0.9</v>
      </c>
      <c r="T1461" s="116">
        <f>InputData!$C$88</f>
        <v>180000</v>
      </c>
      <c r="U1461" s="116">
        <f>InputData!$C$81</f>
        <v>178500</v>
      </c>
      <c r="V1461" s="116">
        <f>InputData!$C$82</f>
        <v>303960</v>
      </c>
      <c r="W1461" s="116">
        <f>InputData!$C$84</f>
        <v>215220</v>
      </c>
      <c r="X1461" s="116">
        <f>InputData!$C$85</f>
        <v>409020</v>
      </c>
      <c r="Y1461" s="116">
        <f>InputData!$C$116</f>
        <v>140000</v>
      </c>
      <c r="Z1461" s="160">
        <f>InputData!$E$13</f>
        <v>0</v>
      </c>
    </row>
    <row r="1462" spans="1:26" x14ac:dyDescent="0.25">
      <c r="A1462">
        <f>InputData!$K$1</f>
        <v>2013</v>
      </c>
      <c r="B1462" t="str">
        <f>InputData!$G$1</f>
        <v>San Antonio, TX</v>
      </c>
      <c r="C1462" t="s">
        <v>227</v>
      </c>
      <c r="D1462" t="str">
        <f>Graph_Ophtha!$J$6</f>
        <v>IBRr</v>
      </c>
      <c r="E1462" t="str">
        <f t="shared" si="22"/>
        <v>Ophthalmology IBRr</v>
      </c>
      <c r="F1462">
        <f>Graph_Ophtha!$A27</f>
        <v>2033</v>
      </c>
      <c r="G1462">
        <f>Graph_Ophtha!$B27</f>
        <v>21</v>
      </c>
      <c r="H1462" s="165">
        <f>Graph_Ophtha!$J27</f>
        <v>1073644.7042415654</v>
      </c>
      <c r="I1462" s="160">
        <f>InputData!$C$3</f>
        <v>0.02</v>
      </c>
      <c r="J1462" s="160">
        <f>InputData!$C$4</f>
        <v>0.01</v>
      </c>
      <c r="K1462" s="160">
        <f>InputData!$C$5</f>
        <v>0.01</v>
      </c>
      <c r="L1462" s="160">
        <f>InputData!$C$6</f>
        <v>6.2100000000000002E-2</v>
      </c>
      <c r="M1462" s="160">
        <f>InputData!$C$7</f>
        <v>0.03</v>
      </c>
      <c r="N1462" s="160">
        <f>InputData!$C$8</f>
        <v>0.02</v>
      </c>
      <c r="O1462" s="160">
        <f>InputData!$C$9</f>
        <v>0.06</v>
      </c>
      <c r="P1462" s="160">
        <f>InputData!$C$10</f>
        <v>0.02</v>
      </c>
      <c r="Q1462" s="160">
        <f>InputData!$C$11</f>
        <v>0.02</v>
      </c>
      <c r="R1462" s="160">
        <f>InputData!$C$12</f>
        <v>0.02</v>
      </c>
      <c r="S1462" s="160">
        <f>InputData!$C$13</f>
        <v>0.9</v>
      </c>
      <c r="T1462" s="116">
        <f>InputData!$C$88</f>
        <v>180000</v>
      </c>
      <c r="U1462" s="116">
        <f>InputData!$C$81</f>
        <v>178500</v>
      </c>
      <c r="V1462" s="116">
        <f>InputData!$C$82</f>
        <v>303960</v>
      </c>
      <c r="W1462" s="116">
        <f>InputData!$C$84</f>
        <v>215220</v>
      </c>
      <c r="X1462" s="116">
        <f>InputData!$C$85</f>
        <v>409020</v>
      </c>
      <c r="Y1462" s="116">
        <f>InputData!$C$116</f>
        <v>140000</v>
      </c>
      <c r="Z1462" s="160">
        <f>InputData!$E$13</f>
        <v>0</v>
      </c>
    </row>
    <row r="1463" spans="1:26" x14ac:dyDescent="0.25">
      <c r="A1463">
        <f>InputData!$K$1</f>
        <v>2013</v>
      </c>
      <c r="B1463" t="str">
        <f>InputData!$G$1</f>
        <v>San Antonio, TX</v>
      </c>
      <c r="C1463" t="s">
        <v>227</v>
      </c>
      <c r="D1463" t="str">
        <f>Graph_Ophtha!$J$6</f>
        <v>IBRr</v>
      </c>
      <c r="E1463" t="str">
        <f t="shared" si="22"/>
        <v>Ophthalmology IBRr</v>
      </c>
      <c r="F1463">
        <f>Graph_Ophtha!$A28</f>
        <v>2034</v>
      </c>
      <c r="G1463">
        <f>Graph_Ophtha!$B28</f>
        <v>22</v>
      </c>
      <c r="H1463" s="165">
        <f>Graph_Ophtha!$J28</f>
        <v>1160616.4596900202</v>
      </c>
      <c r="I1463" s="160">
        <f>InputData!$C$3</f>
        <v>0.02</v>
      </c>
      <c r="J1463" s="160">
        <f>InputData!$C$4</f>
        <v>0.01</v>
      </c>
      <c r="K1463" s="160">
        <f>InputData!$C$5</f>
        <v>0.01</v>
      </c>
      <c r="L1463" s="160">
        <f>InputData!$C$6</f>
        <v>6.2100000000000002E-2</v>
      </c>
      <c r="M1463" s="160">
        <f>InputData!$C$7</f>
        <v>0.03</v>
      </c>
      <c r="N1463" s="160">
        <f>InputData!$C$8</f>
        <v>0.02</v>
      </c>
      <c r="O1463" s="160">
        <f>InputData!$C$9</f>
        <v>0.06</v>
      </c>
      <c r="P1463" s="160">
        <f>InputData!$C$10</f>
        <v>0.02</v>
      </c>
      <c r="Q1463" s="160">
        <f>InputData!$C$11</f>
        <v>0.02</v>
      </c>
      <c r="R1463" s="160">
        <f>InputData!$C$12</f>
        <v>0.02</v>
      </c>
      <c r="S1463" s="160">
        <f>InputData!$C$13</f>
        <v>0.9</v>
      </c>
      <c r="T1463" s="116">
        <f>InputData!$C$88</f>
        <v>180000</v>
      </c>
      <c r="U1463" s="116">
        <f>InputData!$C$81</f>
        <v>178500</v>
      </c>
      <c r="V1463" s="116">
        <f>InputData!$C$82</f>
        <v>303960</v>
      </c>
      <c r="W1463" s="116">
        <f>InputData!$C$84</f>
        <v>215220</v>
      </c>
      <c r="X1463" s="116">
        <f>InputData!$C$85</f>
        <v>409020</v>
      </c>
      <c r="Y1463" s="116">
        <f>InputData!$C$116</f>
        <v>140000</v>
      </c>
      <c r="Z1463" s="160">
        <f>InputData!$E$13</f>
        <v>0</v>
      </c>
    </row>
    <row r="1464" spans="1:26" x14ac:dyDescent="0.25">
      <c r="A1464">
        <f>InputData!$K$1</f>
        <v>2013</v>
      </c>
      <c r="B1464" t="str">
        <f>InputData!$G$1</f>
        <v>San Antonio, TX</v>
      </c>
      <c r="C1464" t="s">
        <v>227</v>
      </c>
      <c r="D1464" t="str">
        <f>Graph_Ophtha!$J$6</f>
        <v>IBRr</v>
      </c>
      <c r="E1464" t="str">
        <f t="shared" si="22"/>
        <v>Ophthalmology IBRr</v>
      </c>
      <c r="F1464">
        <f>Graph_Ophtha!$A29</f>
        <v>2035</v>
      </c>
      <c r="G1464">
        <f>Graph_Ophtha!$B29</f>
        <v>23</v>
      </c>
      <c r="H1464" s="165">
        <f>Graph_Ophtha!$J29</f>
        <v>1245827.4593142092</v>
      </c>
      <c r="I1464" s="160">
        <f>InputData!$C$3</f>
        <v>0.02</v>
      </c>
      <c r="J1464" s="160">
        <f>InputData!$C$4</f>
        <v>0.01</v>
      </c>
      <c r="K1464" s="160">
        <f>InputData!$C$5</f>
        <v>0.01</v>
      </c>
      <c r="L1464" s="160">
        <f>InputData!$C$6</f>
        <v>6.2100000000000002E-2</v>
      </c>
      <c r="M1464" s="160">
        <f>InputData!$C$7</f>
        <v>0.03</v>
      </c>
      <c r="N1464" s="160">
        <f>InputData!$C$8</f>
        <v>0.02</v>
      </c>
      <c r="O1464" s="160">
        <f>InputData!$C$9</f>
        <v>0.06</v>
      </c>
      <c r="P1464" s="160">
        <f>InputData!$C$10</f>
        <v>0.02</v>
      </c>
      <c r="Q1464" s="160">
        <f>InputData!$C$11</f>
        <v>0.02</v>
      </c>
      <c r="R1464" s="160">
        <f>InputData!$C$12</f>
        <v>0.02</v>
      </c>
      <c r="S1464" s="160">
        <f>InputData!$C$13</f>
        <v>0.9</v>
      </c>
      <c r="T1464" s="116">
        <f>InputData!$C$88</f>
        <v>180000</v>
      </c>
      <c r="U1464" s="116">
        <f>InputData!$C$81</f>
        <v>178500</v>
      </c>
      <c r="V1464" s="116">
        <f>InputData!$C$82</f>
        <v>303960</v>
      </c>
      <c r="W1464" s="116">
        <f>InputData!$C$84</f>
        <v>215220</v>
      </c>
      <c r="X1464" s="116">
        <f>InputData!$C$85</f>
        <v>409020</v>
      </c>
      <c r="Y1464" s="116">
        <f>InputData!$C$116</f>
        <v>140000</v>
      </c>
      <c r="Z1464" s="160">
        <f>InputData!$E$13</f>
        <v>0</v>
      </c>
    </row>
    <row r="1465" spans="1:26" x14ac:dyDescent="0.25">
      <c r="A1465">
        <f>InputData!$K$1</f>
        <v>2013</v>
      </c>
      <c r="B1465" t="str">
        <f>InputData!$G$1</f>
        <v>San Antonio, TX</v>
      </c>
      <c r="C1465" t="s">
        <v>227</v>
      </c>
      <c r="D1465" t="str">
        <f>Graph_Ophtha!$J$6</f>
        <v>IBRr</v>
      </c>
      <c r="E1465" t="str">
        <f t="shared" si="22"/>
        <v>Ophthalmology IBRr</v>
      </c>
      <c r="F1465">
        <f>Graph_Ophtha!$A30</f>
        <v>2036</v>
      </c>
      <c r="G1465">
        <f>Graph_Ophtha!$B30</f>
        <v>24</v>
      </c>
      <c r="H1465" s="165">
        <f>Graph_Ophtha!$J30</f>
        <v>1329313.8421251103</v>
      </c>
      <c r="I1465" s="160">
        <f>InputData!$C$3</f>
        <v>0.02</v>
      </c>
      <c r="J1465" s="160">
        <f>InputData!$C$4</f>
        <v>0.01</v>
      </c>
      <c r="K1465" s="160">
        <f>InputData!$C$5</f>
        <v>0.01</v>
      </c>
      <c r="L1465" s="160">
        <f>InputData!$C$6</f>
        <v>6.2100000000000002E-2</v>
      </c>
      <c r="M1465" s="160">
        <f>InputData!$C$7</f>
        <v>0.03</v>
      </c>
      <c r="N1465" s="160">
        <f>InputData!$C$8</f>
        <v>0.02</v>
      </c>
      <c r="O1465" s="160">
        <f>InputData!$C$9</f>
        <v>0.06</v>
      </c>
      <c r="P1465" s="160">
        <f>InputData!$C$10</f>
        <v>0.02</v>
      </c>
      <c r="Q1465" s="160">
        <f>InputData!$C$11</f>
        <v>0.02</v>
      </c>
      <c r="R1465" s="160">
        <f>InputData!$C$12</f>
        <v>0.02</v>
      </c>
      <c r="S1465" s="160">
        <f>InputData!$C$13</f>
        <v>0.9</v>
      </c>
      <c r="T1465" s="116">
        <f>InputData!$C$88</f>
        <v>180000</v>
      </c>
      <c r="U1465" s="116">
        <f>InputData!$C$81</f>
        <v>178500</v>
      </c>
      <c r="V1465" s="116">
        <f>InputData!$C$82</f>
        <v>303960</v>
      </c>
      <c r="W1465" s="116">
        <f>InputData!$C$84</f>
        <v>215220</v>
      </c>
      <c r="X1465" s="116">
        <f>InputData!$C$85</f>
        <v>409020</v>
      </c>
      <c r="Y1465" s="116">
        <f>InputData!$C$116</f>
        <v>140000</v>
      </c>
      <c r="Z1465" s="160">
        <f>InputData!$E$13</f>
        <v>0</v>
      </c>
    </row>
    <row r="1466" spans="1:26" x14ac:dyDescent="0.25">
      <c r="A1466">
        <f>InputData!$K$1</f>
        <v>2013</v>
      </c>
      <c r="B1466" t="str">
        <f>InputData!$G$1</f>
        <v>San Antonio, TX</v>
      </c>
      <c r="C1466" t="s">
        <v>227</v>
      </c>
      <c r="D1466" t="str">
        <f>Graph_Ophtha!$J$6</f>
        <v>IBRr</v>
      </c>
      <c r="E1466" t="str">
        <f t="shared" si="22"/>
        <v>Ophthalmology IBRr</v>
      </c>
      <c r="F1466">
        <f>Graph_Ophtha!$A31</f>
        <v>2037</v>
      </c>
      <c r="G1466">
        <f>Graph_Ophtha!$B31</f>
        <v>25</v>
      </c>
      <c r="H1466" s="165">
        <f>Graph_Ophtha!$J31</f>
        <v>1411110.9915046634</v>
      </c>
      <c r="I1466" s="160">
        <f>InputData!$C$3</f>
        <v>0.02</v>
      </c>
      <c r="J1466" s="160">
        <f>InputData!$C$4</f>
        <v>0.01</v>
      </c>
      <c r="K1466" s="160">
        <f>InputData!$C$5</f>
        <v>0.01</v>
      </c>
      <c r="L1466" s="160">
        <f>InputData!$C$6</f>
        <v>6.2100000000000002E-2</v>
      </c>
      <c r="M1466" s="160">
        <f>InputData!$C$7</f>
        <v>0.03</v>
      </c>
      <c r="N1466" s="160">
        <f>InputData!$C$8</f>
        <v>0.02</v>
      </c>
      <c r="O1466" s="160">
        <f>InputData!$C$9</f>
        <v>0.06</v>
      </c>
      <c r="P1466" s="160">
        <f>InputData!$C$10</f>
        <v>0.02</v>
      </c>
      <c r="Q1466" s="160">
        <f>InputData!$C$11</f>
        <v>0.02</v>
      </c>
      <c r="R1466" s="160">
        <f>InputData!$C$12</f>
        <v>0.02</v>
      </c>
      <c r="S1466" s="160">
        <f>InputData!$C$13</f>
        <v>0.9</v>
      </c>
      <c r="T1466" s="116">
        <f>InputData!$C$88</f>
        <v>180000</v>
      </c>
      <c r="U1466" s="116">
        <f>InputData!$C$81</f>
        <v>178500</v>
      </c>
      <c r="V1466" s="116">
        <f>InputData!$C$82</f>
        <v>303960</v>
      </c>
      <c r="W1466" s="116">
        <f>InputData!$C$84</f>
        <v>215220</v>
      </c>
      <c r="X1466" s="116">
        <f>InputData!$C$85</f>
        <v>409020</v>
      </c>
      <c r="Y1466" s="116">
        <f>InputData!$C$116</f>
        <v>140000</v>
      </c>
      <c r="Z1466" s="160">
        <f>InputData!$E$13</f>
        <v>0</v>
      </c>
    </row>
    <row r="1467" spans="1:26" x14ac:dyDescent="0.25">
      <c r="A1467">
        <f>InputData!$K$1</f>
        <v>2013</v>
      </c>
      <c r="B1467" t="str">
        <f>InputData!$G$1</f>
        <v>San Antonio, TX</v>
      </c>
      <c r="C1467" t="s">
        <v>227</v>
      </c>
      <c r="D1467" t="str">
        <f>Graph_Ophtha!$J$6</f>
        <v>IBRr</v>
      </c>
      <c r="E1467" t="str">
        <f t="shared" si="22"/>
        <v>Ophthalmology IBRr</v>
      </c>
      <c r="F1467">
        <f>Graph_Ophtha!$A32</f>
        <v>2038</v>
      </c>
      <c r="G1467">
        <f>Graph_Ophtha!$B32</f>
        <v>26</v>
      </c>
      <c r="H1467" s="165">
        <f>Graph_Ophtha!$J32</f>
        <v>1491253.5513915687</v>
      </c>
      <c r="I1467" s="160">
        <f>InputData!$C$3</f>
        <v>0.02</v>
      </c>
      <c r="J1467" s="160">
        <f>InputData!$C$4</f>
        <v>0.01</v>
      </c>
      <c r="K1467" s="160">
        <f>InputData!$C$5</f>
        <v>0.01</v>
      </c>
      <c r="L1467" s="160">
        <f>InputData!$C$6</f>
        <v>6.2100000000000002E-2</v>
      </c>
      <c r="M1467" s="160">
        <f>InputData!$C$7</f>
        <v>0.03</v>
      </c>
      <c r="N1467" s="160">
        <f>InputData!$C$8</f>
        <v>0.02</v>
      </c>
      <c r="O1467" s="160">
        <f>InputData!$C$9</f>
        <v>0.06</v>
      </c>
      <c r="P1467" s="160">
        <f>InputData!$C$10</f>
        <v>0.02</v>
      </c>
      <c r="Q1467" s="160">
        <f>InputData!$C$11</f>
        <v>0.02</v>
      </c>
      <c r="R1467" s="160">
        <f>InputData!$C$12</f>
        <v>0.02</v>
      </c>
      <c r="S1467" s="160">
        <f>InputData!$C$13</f>
        <v>0.9</v>
      </c>
      <c r="T1467" s="116">
        <f>InputData!$C$88</f>
        <v>180000</v>
      </c>
      <c r="U1467" s="116">
        <f>InputData!$C$81</f>
        <v>178500</v>
      </c>
      <c r="V1467" s="116">
        <f>InputData!$C$82</f>
        <v>303960</v>
      </c>
      <c r="W1467" s="116">
        <f>InputData!$C$84</f>
        <v>215220</v>
      </c>
      <c r="X1467" s="116">
        <f>InputData!$C$85</f>
        <v>409020</v>
      </c>
      <c r="Y1467" s="116">
        <f>InputData!$C$116</f>
        <v>140000</v>
      </c>
      <c r="Z1467" s="160">
        <f>InputData!$E$13</f>
        <v>0</v>
      </c>
    </row>
    <row r="1468" spans="1:26" x14ac:dyDescent="0.25">
      <c r="A1468">
        <f>InputData!$K$1</f>
        <v>2013</v>
      </c>
      <c r="B1468" t="str">
        <f>InputData!$G$1</f>
        <v>San Antonio, TX</v>
      </c>
      <c r="C1468" t="s">
        <v>227</v>
      </c>
      <c r="D1468" t="str">
        <f>Graph_Ophtha!$J$6</f>
        <v>IBRr</v>
      </c>
      <c r="E1468" t="str">
        <f t="shared" si="22"/>
        <v>Ophthalmology IBRr</v>
      </c>
      <c r="F1468">
        <f>Graph_Ophtha!$A33</f>
        <v>2039</v>
      </c>
      <c r="G1468">
        <f>Graph_Ophtha!$B33</f>
        <v>27</v>
      </c>
      <c r="H1468" s="165">
        <f>Graph_Ophtha!$J33</f>
        <v>1569775.4421098274</v>
      </c>
      <c r="I1468" s="160">
        <f>InputData!$C$3</f>
        <v>0.02</v>
      </c>
      <c r="J1468" s="160">
        <f>InputData!$C$4</f>
        <v>0.01</v>
      </c>
      <c r="K1468" s="160">
        <f>InputData!$C$5</f>
        <v>0.01</v>
      </c>
      <c r="L1468" s="160">
        <f>InputData!$C$6</f>
        <v>6.2100000000000002E-2</v>
      </c>
      <c r="M1468" s="160">
        <f>InputData!$C$7</f>
        <v>0.03</v>
      </c>
      <c r="N1468" s="160">
        <f>InputData!$C$8</f>
        <v>0.02</v>
      </c>
      <c r="O1468" s="160">
        <f>InputData!$C$9</f>
        <v>0.06</v>
      </c>
      <c r="P1468" s="160">
        <f>InputData!$C$10</f>
        <v>0.02</v>
      </c>
      <c r="Q1468" s="160">
        <f>InputData!$C$11</f>
        <v>0.02</v>
      </c>
      <c r="R1468" s="160">
        <f>InputData!$C$12</f>
        <v>0.02</v>
      </c>
      <c r="S1468" s="160">
        <f>InputData!$C$13</f>
        <v>0.9</v>
      </c>
      <c r="T1468" s="116">
        <f>InputData!$C$88</f>
        <v>180000</v>
      </c>
      <c r="U1468" s="116">
        <f>InputData!$C$81</f>
        <v>178500</v>
      </c>
      <c r="V1468" s="116">
        <f>InputData!$C$82</f>
        <v>303960</v>
      </c>
      <c r="W1468" s="116">
        <f>InputData!$C$84</f>
        <v>215220</v>
      </c>
      <c r="X1468" s="116">
        <f>InputData!$C$85</f>
        <v>409020</v>
      </c>
      <c r="Y1468" s="116">
        <f>InputData!$C$116</f>
        <v>140000</v>
      </c>
      <c r="Z1468" s="160">
        <f>InputData!$E$13</f>
        <v>0</v>
      </c>
    </row>
    <row r="1469" spans="1:26" x14ac:dyDescent="0.25">
      <c r="A1469">
        <f>InputData!$K$1</f>
        <v>2013</v>
      </c>
      <c r="B1469" t="str">
        <f>InputData!$G$1</f>
        <v>San Antonio, TX</v>
      </c>
      <c r="C1469" t="s">
        <v>227</v>
      </c>
      <c r="D1469" t="str">
        <f>Graph_Ophtha!$J$6</f>
        <v>IBRr</v>
      </c>
      <c r="E1469" t="str">
        <f t="shared" si="22"/>
        <v>Ophthalmology IBRr</v>
      </c>
      <c r="F1469">
        <f>Graph_Ophtha!$A34</f>
        <v>2040</v>
      </c>
      <c r="G1469">
        <f>Graph_Ophtha!$B34</f>
        <v>28</v>
      </c>
      <c r="H1469" s="165">
        <f>Graph_Ophtha!$J34</f>
        <v>1646709.8758481913</v>
      </c>
      <c r="I1469" s="160">
        <f>InputData!$C$3</f>
        <v>0.02</v>
      </c>
      <c r="J1469" s="160">
        <f>InputData!$C$4</f>
        <v>0.01</v>
      </c>
      <c r="K1469" s="160">
        <f>InputData!$C$5</f>
        <v>0.01</v>
      </c>
      <c r="L1469" s="160">
        <f>InputData!$C$6</f>
        <v>6.2100000000000002E-2</v>
      </c>
      <c r="M1469" s="160">
        <f>InputData!$C$7</f>
        <v>0.03</v>
      </c>
      <c r="N1469" s="160">
        <f>InputData!$C$8</f>
        <v>0.02</v>
      </c>
      <c r="O1469" s="160">
        <f>InputData!$C$9</f>
        <v>0.06</v>
      </c>
      <c r="P1469" s="160">
        <f>InputData!$C$10</f>
        <v>0.02</v>
      </c>
      <c r="Q1469" s="160">
        <f>InputData!$C$11</f>
        <v>0.02</v>
      </c>
      <c r="R1469" s="160">
        <f>InputData!$C$12</f>
        <v>0.02</v>
      </c>
      <c r="S1469" s="160">
        <f>InputData!$C$13</f>
        <v>0.9</v>
      </c>
      <c r="T1469" s="116">
        <f>InputData!$C$88</f>
        <v>180000</v>
      </c>
      <c r="U1469" s="116">
        <f>InputData!$C$81</f>
        <v>178500</v>
      </c>
      <c r="V1469" s="116">
        <f>InputData!$C$82</f>
        <v>303960</v>
      </c>
      <c r="W1469" s="116">
        <f>InputData!$C$84</f>
        <v>215220</v>
      </c>
      <c r="X1469" s="116">
        <f>InputData!$C$85</f>
        <v>409020</v>
      </c>
      <c r="Y1469" s="116">
        <f>InputData!$C$116</f>
        <v>140000</v>
      </c>
      <c r="Z1469" s="160">
        <f>InputData!$E$13</f>
        <v>0</v>
      </c>
    </row>
    <row r="1470" spans="1:26" x14ac:dyDescent="0.25">
      <c r="A1470">
        <f>InputData!$K$1</f>
        <v>2013</v>
      </c>
      <c r="B1470" t="str">
        <f>InputData!$G$1</f>
        <v>San Antonio, TX</v>
      </c>
      <c r="C1470" t="s">
        <v>227</v>
      </c>
      <c r="D1470" t="str">
        <f>Graph_Ophtha!$J$6</f>
        <v>IBRr</v>
      </c>
      <c r="E1470" t="str">
        <f t="shared" si="22"/>
        <v>Ophthalmology IBRr</v>
      </c>
      <c r="F1470">
        <f>Graph_Ophtha!$A35</f>
        <v>2041</v>
      </c>
      <c r="G1470">
        <f>Graph_Ophtha!$B35</f>
        <v>29</v>
      </c>
      <c r="H1470" s="165">
        <f>Graph_Ophtha!$J35</f>
        <v>1722089.3717984934</v>
      </c>
      <c r="I1470" s="160">
        <f>InputData!$C$3</f>
        <v>0.02</v>
      </c>
      <c r="J1470" s="160">
        <f>InputData!$C$4</f>
        <v>0.01</v>
      </c>
      <c r="K1470" s="160">
        <f>InputData!$C$5</f>
        <v>0.01</v>
      </c>
      <c r="L1470" s="160">
        <f>InputData!$C$6</f>
        <v>6.2100000000000002E-2</v>
      </c>
      <c r="M1470" s="160">
        <f>InputData!$C$7</f>
        <v>0.03</v>
      </c>
      <c r="N1470" s="160">
        <f>InputData!$C$8</f>
        <v>0.02</v>
      </c>
      <c r="O1470" s="160">
        <f>InputData!$C$9</f>
        <v>0.06</v>
      </c>
      <c r="P1470" s="160">
        <f>InputData!$C$10</f>
        <v>0.02</v>
      </c>
      <c r="Q1470" s="160">
        <f>InputData!$C$11</f>
        <v>0.02</v>
      </c>
      <c r="R1470" s="160">
        <f>InputData!$C$12</f>
        <v>0.02</v>
      </c>
      <c r="S1470" s="160">
        <f>InputData!$C$13</f>
        <v>0.9</v>
      </c>
      <c r="T1470" s="116">
        <f>InputData!$C$88</f>
        <v>180000</v>
      </c>
      <c r="U1470" s="116">
        <f>InputData!$C$81</f>
        <v>178500</v>
      </c>
      <c r="V1470" s="116">
        <f>InputData!$C$82</f>
        <v>303960</v>
      </c>
      <c r="W1470" s="116">
        <f>InputData!$C$84</f>
        <v>215220</v>
      </c>
      <c r="X1470" s="116">
        <f>InputData!$C$85</f>
        <v>409020</v>
      </c>
      <c r="Y1470" s="116">
        <f>InputData!$C$116</f>
        <v>140000</v>
      </c>
      <c r="Z1470" s="160">
        <f>InputData!$E$13</f>
        <v>0</v>
      </c>
    </row>
    <row r="1471" spans="1:26" x14ac:dyDescent="0.25">
      <c r="A1471">
        <f>InputData!$K$1</f>
        <v>2013</v>
      </c>
      <c r="B1471" t="str">
        <f>InputData!$G$1</f>
        <v>San Antonio, TX</v>
      </c>
      <c r="C1471" t="s">
        <v>227</v>
      </c>
      <c r="D1471" t="str">
        <f>Graph_Ophtha!$J$6</f>
        <v>IBRr</v>
      </c>
      <c r="E1471" t="str">
        <f t="shared" si="22"/>
        <v>Ophthalmology IBRr</v>
      </c>
      <c r="F1471">
        <f>Graph_Ophtha!$A36</f>
        <v>2042</v>
      </c>
      <c r="G1471">
        <f>Graph_Ophtha!$B36</f>
        <v>30</v>
      </c>
      <c r="H1471" s="165">
        <f>Graph_Ophtha!$J36</f>
        <v>1795945.7709606439</v>
      </c>
      <c r="I1471" s="160">
        <f>InputData!$C$3</f>
        <v>0.02</v>
      </c>
      <c r="J1471" s="160">
        <f>InputData!$C$4</f>
        <v>0.01</v>
      </c>
      <c r="K1471" s="160">
        <f>InputData!$C$5</f>
        <v>0.01</v>
      </c>
      <c r="L1471" s="160">
        <f>InputData!$C$6</f>
        <v>6.2100000000000002E-2</v>
      </c>
      <c r="M1471" s="160">
        <f>InputData!$C$7</f>
        <v>0.03</v>
      </c>
      <c r="N1471" s="160">
        <f>InputData!$C$8</f>
        <v>0.02</v>
      </c>
      <c r="O1471" s="160">
        <f>InputData!$C$9</f>
        <v>0.06</v>
      </c>
      <c r="P1471" s="160">
        <f>InputData!$C$10</f>
        <v>0.02</v>
      </c>
      <c r="Q1471" s="160">
        <f>InputData!$C$11</f>
        <v>0.02</v>
      </c>
      <c r="R1471" s="160">
        <f>InputData!$C$12</f>
        <v>0.02</v>
      </c>
      <c r="S1471" s="160">
        <f>InputData!$C$13</f>
        <v>0.9</v>
      </c>
      <c r="T1471" s="116">
        <f>InputData!$C$88</f>
        <v>180000</v>
      </c>
      <c r="U1471" s="116">
        <f>InputData!$C$81</f>
        <v>178500</v>
      </c>
      <c r="V1471" s="116">
        <f>InputData!$C$82</f>
        <v>303960</v>
      </c>
      <c r="W1471" s="116">
        <f>InputData!$C$84</f>
        <v>215220</v>
      </c>
      <c r="X1471" s="116">
        <f>InputData!$C$85</f>
        <v>409020</v>
      </c>
      <c r="Y1471" s="116">
        <f>InputData!$C$116</f>
        <v>140000</v>
      </c>
      <c r="Z1471" s="160">
        <f>InputData!$E$13</f>
        <v>0</v>
      </c>
    </row>
    <row r="1472" spans="1:26" x14ac:dyDescent="0.25">
      <c r="A1472">
        <f>InputData!$K$1</f>
        <v>2013</v>
      </c>
      <c r="B1472" t="str">
        <f>InputData!$G$1</f>
        <v>San Antonio, TX</v>
      </c>
      <c r="C1472" t="s">
        <v>227</v>
      </c>
      <c r="D1472" t="str">
        <f>Graph_Ophtha!$K$6</f>
        <v>PAYEr</v>
      </c>
      <c r="E1472" t="str">
        <f t="shared" si="22"/>
        <v>Ophthalmology PAYEr</v>
      </c>
      <c r="F1472">
        <f>Graph_Ophtha!$A7</f>
        <v>2013</v>
      </c>
      <c r="G1472">
        <f>Graph_Ophtha!$B7</f>
        <v>1</v>
      </c>
      <c r="H1472" s="165">
        <f>Graph_Ophtha!$K7</f>
        <v>-43015.05</v>
      </c>
      <c r="I1472" s="160">
        <f>InputData!$C$3</f>
        <v>0.02</v>
      </c>
      <c r="J1472" s="160">
        <f>InputData!$C$4</f>
        <v>0.01</v>
      </c>
      <c r="K1472" s="160">
        <f>InputData!$C$5</f>
        <v>0.01</v>
      </c>
      <c r="L1472" s="160">
        <f>InputData!$C$6</f>
        <v>6.2100000000000002E-2</v>
      </c>
      <c r="M1472" s="160">
        <f>InputData!$C$7</f>
        <v>0.03</v>
      </c>
      <c r="N1472" s="160">
        <f>InputData!$C$8</f>
        <v>0.02</v>
      </c>
      <c r="O1472" s="160">
        <f>InputData!$C$9</f>
        <v>0.06</v>
      </c>
      <c r="P1472" s="160">
        <f>InputData!$C$10</f>
        <v>0.02</v>
      </c>
      <c r="Q1472" s="160">
        <f>InputData!$C$11</f>
        <v>0.02</v>
      </c>
      <c r="R1472" s="160">
        <f>InputData!$C$12</f>
        <v>0.02</v>
      </c>
      <c r="S1472" s="160">
        <f>InputData!$C$13</f>
        <v>0.9</v>
      </c>
      <c r="T1472" s="116">
        <f>InputData!$C$88</f>
        <v>180000</v>
      </c>
      <c r="U1472" s="116">
        <f>InputData!$C$81</f>
        <v>178500</v>
      </c>
      <c r="V1472" s="116">
        <f>InputData!$C$82</f>
        <v>303960</v>
      </c>
      <c r="W1472" s="116">
        <f>InputData!$C$84</f>
        <v>215220</v>
      </c>
      <c r="X1472" s="116">
        <f>InputData!$C$85</f>
        <v>409020</v>
      </c>
      <c r="Y1472" s="116">
        <f>InputData!$C$116</f>
        <v>140000</v>
      </c>
      <c r="Z1472" s="160">
        <f>InputData!$E$13</f>
        <v>0</v>
      </c>
    </row>
    <row r="1473" spans="1:26" x14ac:dyDescent="0.25">
      <c r="A1473">
        <f>InputData!$K$1</f>
        <v>2013</v>
      </c>
      <c r="B1473" t="str">
        <f>InputData!$G$1</f>
        <v>San Antonio, TX</v>
      </c>
      <c r="C1473" t="s">
        <v>227</v>
      </c>
      <c r="D1473" t="str">
        <f>Graph_Ophtha!$K$6</f>
        <v>PAYEr</v>
      </c>
      <c r="E1473" t="str">
        <f t="shared" si="22"/>
        <v>Ophthalmology PAYEr</v>
      </c>
      <c r="F1473">
        <f>Graph_Ophtha!$A8</f>
        <v>2014</v>
      </c>
      <c r="G1473">
        <f>Graph_Ophtha!$B8</f>
        <v>2</v>
      </c>
      <c r="H1473" s="165">
        <f>Graph_Ophtha!$K8</f>
        <v>-86352.285865219877</v>
      </c>
      <c r="I1473" s="160">
        <f>InputData!$C$3</f>
        <v>0.02</v>
      </c>
      <c r="J1473" s="160">
        <f>InputData!$C$4</f>
        <v>0.01</v>
      </c>
      <c r="K1473" s="160">
        <f>InputData!$C$5</f>
        <v>0.01</v>
      </c>
      <c r="L1473" s="160">
        <f>InputData!$C$6</f>
        <v>6.2100000000000002E-2</v>
      </c>
      <c r="M1473" s="160">
        <f>InputData!$C$7</f>
        <v>0.03</v>
      </c>
      <c r="N1473" s="160">
        <f>InputData!$C$8</f>
        <v>0.02</v>
      </c>
      <c r="O1473" s="160">
        <f>InputData!$C$9</f>
        <v>0.06</v>
      </c>
      <c r="P1473" s="160">
        <f>InputData!$C$10</f>
        <v>0.02</v>
      </c>
      <c r="Q1473" s="160">
        <f>InputData!$C$11</f>
        <v>0.02</v>
      </c>
      <c r="R1473" s="160">
        <f>InputData!$C$12</f>
        <v>0.02</v>
      </c>
      <c r="S1473" s="160">
        <f>InputData!$C$13</f>
        <v>0.9</v>
      </c>
      <c r="T1473" s="116">
        <f>InputData!$C$88</f>
        <v>180000</v>
      </c>
      <c r="U1473" s="116">
        <f>InputData!$C$81</f>
        <v>178500</v>
      </c>
      <c r="V1473" s="116">
        <f>InputData!$C$82</f>
        <v>303960</v>
      </c>
      <c r="W1473" s="116">
        <f>InputData!$C$84</f>
        <v>215220</v>
      </c>
      <c r="X1473" s="116">
        <f>InputData!$C$85</f>
        <v>409020</v>
      </c>
      <c r="Y1473" s="116">
        <f>InputData!$C$116</f>
        <v>140000</v>
      </c>
      <c r="Z1473" s="160">
        <f>InputData!$E$13</f>
        <v>0</v>
      </c>
    </row>
    <row r="1474" spans="1:26" x14ac:dyDescent="0.25">
      <c r="A1474">
        <f>InputData!$K$1</f>
        <v>2013</v>
      </c>
      <c r="B1474" t="str">
        <f>InputData!$G$1</f>
        <v>San Antonio, TX</v>
      </c>
      <c r="C1474" t="s">
        <v>227</v>
      </c>
      <c r="D1474" t="str">
        <f>Graph_Ophtha!$K$6</f>
        <v>PAYEr</v>
      </c>
      <c r="E1474" t="str">
        <f t="shared" si="22"/>
        <v>Ophthalmology PAYEr</v>
      </c>
      <c r="F1474">
        <f>Graph_Ophtha!$A9</f>
        <v>2015</v>
      </c>
      <c r="G1474">
        <f>Graph_Ophtha!$B9</f>
        <v>3</v>
      </c>
      <c r="H1474" s="165">
        <f>Graph_Ophtha!$K9</f>
        <v>-138541.19578403595</v>
      </c>
      <c r="I1474" s="160">
        <f>InputData!$C$3</f>
        <v>0.02</v>
      </c>
      <c r="J1474" s="160">
        <f>InputData!$C$4</f>
        <v>0.01</v>
      </c>
      <c r="K1474" s="160">
        <f>InputData!$C$5</f>
        <v>0.01</v>
      </c>
      <c r="L1474" s="160">
        <f>InputData!$C$6</f>
        <v>6.2100000000000002E-2</v>
      </c>
      <c r="M1474" s="160">
        <f>InputData!$C$7</f>
        <v>0.03</v>
      </c>
      <c r="N1474" s="160">
        <f>InputData!$C$8</f>
        <v>0.02</v>
      </c>
      <c r="O1474" s="160">
        <f>InputData!$C$9</f>
        <v>0.06</v>
      </c>
      <c r="P1474" s="160">
        <f>InputData!$C$10</f>
        <v>0.02</v>
      </c>
      <c r="Q1474" s="160">
        <f>InputData!$C$11</f>
        <v>0.02</v>
      </c>
      <c r="R1474" s="160">
        <f>InputData!$C$12</f>
        <v>0.02</v>
      </c>
      <c r="S1474" s="160">
        <f>InputData!$C$13</f>
        <v>0.9</v>
      </c>
      <c r="T1474" s="116">
        <f>InputData!$C$88</f>
        <v>180000</v>
      </c>
      <c r="U1474" s="116">
        <f>InputData!$C$81</f>
        <v>178500</v>
      </c>
      <c r="V1474" s="116">
        <f>InputData!$C$82</f>
        <v>303960</v>
      </c>
      <c r="W1474" s="116">
        <f>InputData!$C$84</f>
        <v>215220</v>
      </c>
      <c r="X1474" s="116">
        <f>InputData!$C$85</f>
        <v>409020</v>
      </c>
      <c r="Y1474" s="116">
        <f>InputData!$C$116</f>
        <v>140000</v>
      </c>
      <c r="Z1474" s="160">
        <f>InputData!$E$13</f>
        <v>0</v>
      </c>
    </row>
    <row r="1475" spans="1:26" x14ac:dyDescent="0.25">
      <c r="A1475">
        <f>InputData!$K$1</f>
        <v>2013</v>
      </c>
      <c r="B1475" t="str">
        <f>InputData!$G$1</f>
        <v>San Antonio, TX</v>
      </c>
      <c r="C1475" t="s">
        <v>227</v>
      </c>
      <c r="D1475" t="str">
        <f>Graph_Ophtha!$K$6</f>
        <v>PAYEr</v>
      </c>
      <c r="E1475" t="str">
        <f t="shared" ref="E1475:E1538" si="23">C1475 &amp; " " &amp; D1475</f>
        <v>Ophthalmology PAYEr</v>
      </c>
      <c r="F1475">
        <f>Graph_Ophtha!$A10</f>
        <v>2016</v>
      </c>
      <c r="G1475">
        <f>Graph_Ophtha!$B10</f>
        <v>4</v>
      </c>
      <c r="H1475" s="165">
        <f>Graph_Ophtha!$K10</f>
        <v>-190867.38028908212</v>
      </c>
      <c r="I1475" s="160">
        <f>InputData!$C$3</f>
        <v>0.02</v>
      </c>
      <c r="J1475" s="160">
        <f>InputData!$C$4</f>
        <v>0.01</v>
      </c>
      <c r="K1475" s="160">
        <f>InputData!$C$5</f>
        <v>0.01</v>
      </c>
      <c r="L1475" s="160">
        <f>InputData!$C$6</f>
        <v>6.2100000000000002E-2</v>
      </c>
      <c r="M1475" s="160">
        <f>InputData!$C$7</f>
        <v>0.03</v>
      </c>
      <c r="N1475" s="160">
        <f>InputData!$C$8</f>
        <v>0.02</v>
      </c>
      <c r="O1475" s="160">
        <f>InputData!$C$9</f>
        <v>0.06</v>
      </c>
      <c r="P1475" s="160">
        <f>InputData!$C$10</f>
        <v>0.02</v>
      </c>
      <c r="Q1475" s="160">
        <f>InputData!$C$11</f>
        <v>0.02</v>
      </c>
      <c r="R1475" s="160">
        <f>InputData!$C$12</f>
        <v>0.02</v>
      </c>
      <c r="S1475" s="160">
        <f>InputData!$C$13</f>
        <v>0.9</v>
      </c>
      <c r="T1475" s="116">
        <f>InputData!$C$88</f>
        <v>180000</v>
      </c>
      <c r="U1475" s="116">
        <f>InputData!$C$81</f>
        <v>178500</v>
      </c>
      <c r="V1475" s="116">
        <f>InputData!$C$82</f>
        <v>303960</v>
      </c>
      <c r="W1475" s="116">
        <f>InputData!$C$84</f>
        <v>215220</v>
      </c>
      <c r="X1475" s="116">
        <f>InputData!$C$85</f>
        <v>409020</v>
      </c>
      <c r="Y1475" s="116">
        <f>InputData!$C$116</f>
        <v>140000</v>
      </c>
      <c r="Z1475" s="160">
        <f>InputData!$E$13</f>
        <v>0</v>
      </c>
    </row>
    <row r="1476" spans="1:26" x14ac:dyDescent="0.25">
      <c r="A1476">
        <f>InputData!$K$1</f>
        <v>2013</v>
      </c>
      <c r="B1476" t="str">
        <f>InputData!$G$1</f>
        <v>San Antonio, TX</v>
      </c>
      <c r="C1476" t="s">
        <v>227</v>
      </c>
      <c r="D1476" t="str">
        <f>Graph_Ophtha!$K$6</f>
        <v>PAYEr</v>
      </c>
      <c r="E1476" t="str">
        <f t="shared" si="23"/>
        <v>Ophthalmology PAYEr</v>
      </c>
      <c r="F1476">
        <f>Graph_Ophtha!$A11</f>
        <v>2017</v>
      </c>
      <c r="G1476">
        <f>Graph_Ophtha!$B11</f>
        <v>5</v>
      </c>
      <c r="H1476" s="165">
        <f>Graph_Ophtha!$K11</f>
        <v>-157911.19312249744</v>
      </c>
      <c r="I1476" s="160">
        <f>InputData!$C$3</f>
        <v>0.02</v>
      </c>
      <c r="J1476" s="160">
        <f>InputData!$C$4</f>
        <v>0.01</v>
      </c>
      <c r="K1476" s="160">
        <f>InputData!$C$5</f>
        <v>0.01</v>
      </c>
      <c r="L1476" s="160">
        <f>InputData!$C$6</f>
        <v>6.2100000000000002E-2</v>
      </c>
      <c r="M1476" s="160">
        <f>InputData!$C$7</f>
        <v>0.03</v>
      </c>
      <c r="N1476" s="160">
        <f>InputData!$C$8</f>
        <v>0.02</v>
      </c>
      <c r="O1476" s="160">
        <f>InputData!$C$9</f>
        <v>0.06</v>
      </c>
      <c r="P1476" s="160">
        <f>InputData!$C$10</f>
        <v>0.02</v>
      </c>
      <c r="Q1476" s="160">
        <f>InputData!$C$11</f>
        <v>0.02</v>
      </c>
      <c r="R1476" s="160">
        <f>InputData!$C$12</f>
        <v>0.02</v>
      </c>
      <c r="S1476" s="160">
        <f>InputData!$C$13</f>
        <v>0.9</v>
      </c>
      <c r="T1476" s="116">
        <f>InputData!$C$88</f>
        <v>180000</v>
      </c>
      <c r="U1476" s="116">
        <f>InputData!$C$81</f>
        <v>178500</v>
      </c>
      <c r="V1476" s="116">
        <f>InputData!$C$82</f>
        <v>303960</v>
      </c>
      <c r="W1476" s="116">
        <f>InputData!$C$84</f>
        <v>215220</v>
      </c>
      <c r="X1476" s="116">
        <f>InputData!$C$85</f>
        <v>409020</v>
      </c>
      <c r="Y1476" s="116">
        <f>InputData!$C$116</f>
        <v>140000</v>
      </c>
      <c r="Z1476" s="160">
        <f>InputData!$E$13</f>
        <v>0</v>
      </c>
    </row>
    <row r="1477" spans="1:26" x14ac:dyDescent="0.25">
      <c r="A1477">
        <f>InputData!$K$1</f>
        <v>2013</v>
      </c>
      <c r="B1477" t="str">
        <f>InputData!$G$1</f>
        <v>San Antonio, TX</v>
      </c>
      <c r="C1477" t="s">
        <v>227</v>
      </c>
      <c r="D1477" t="str">
        <f>Graph_Ophtha!$K$6</f>
        <v>PAYEr</v>
      </c>
      <c r="E1477" t="str">
        <f t="shared" si="23"/>
        <v>Ophthalmology PAYEr</v>
      </c>
      <c r="F1477">
        <f>Graph_Ophtha!$A12</f>
        <v>2018</v>
      </c>
      <c r="G1477">
        <f>Graph_Ophtha!$B12</f>
        <v>6</v>
      </c>
      <c r="H1477" s="165">
        <f>Graph_Ophtha!$K12</f>
        <v>-124940.73121601369</v>
      </c>
      <c r="I1477" s="160">
        <f>InputData!$C$3</f>
        <v>0.02</v>
      </c>
      <c r="J1477" s="160">
        <f>InputData!$C$4</f>
        <v>0.01</v>
      </c>
      <c r="K1477" s="160">
        <f>InputData!$C$5</f>
        <v>0.01</v>
      </c>
      <c r="L1477" s="160">
        <f>InputData!$C$6</f>
        <v>6.2100000000000002E-2</v>
      </c>
      <c r="M1477" s="160">
        <f>InputData!$C$7</f>
        <v>0.03</v>
      </c>
      <c r="N1477" s="160">
        <f>InputData!$C$8</f>
        <v>0.02</v>
      </c>
      <c r="O1477" s="160">
        <f>InputData!$C$9</f>
        <v>0.06</v>
      </c>
      <c r="P1477" s="160">
        <f>InputData!$C$10</f>
        <v>0.02</v>
      </c>
      <c r="Q1477" s="160">
        <f>InputData!$C$11</f>
        <v>0.02</v>
      </c>
      <c r="R1477" s="160">
        <f>InputData!$C$12</f>
        <v>0.02</v>
      </c>
      <c r="S1477" s="160">
        <f>InputData!$C$13</f>
        <v>0.9</v>
      </c>
      <c r="T1477" s="116">
        <f>InputData!$C$88</f>
        <v>180000</v>
      </c>
      <c r="U1477" s="116">
        <f>InputData!$C$81</f>
        <v>178500</v>
      </c>
      <c r="V1477" s="116">
        <f>InputData!$C$82</f>
        <v>303960</v>
      </c>
      <c r="W1477" s="116">
        <f>InputData!$C$84</f>
        <v>215220</v>
      </c>
      <c r="X1477" s="116">
        <f>InputData!$C$85</f>
        <v>409020</v>
      </c>
      <c r="Y1477" s="116">
        <f>InputData!$C$116</f>
        <v>140000</v>
      </c>
      <c r="Z1477" s="160">
        <f>InputData!$E$13</f>
        <v>0</v>
      </c>
    </row>
    <row r="1478" spans="1:26" x14ac:dyDescent="0.25">
      <c r="A1478">
        <f>InputData!$K$1</f>
        <v>2013</v>
      </c>
      <c r="B1478" t="str">
        <f>InputData!$G$1</f>
        <v>San Antonio, TX</v>
      </c>
      <c r="C1478" t="s">
        <v>227</v>
      </c>
      <c r="D1478" t="str">
        <f>Graph_Ophtha!$K$6</f>
        <v>PAYEr</v>
      </c>
      <c r="E1478" t="str">
        <f t="shared" si="23"/>
        <v>Ophthalmology PAYEr</v>
      </c>
      <c r="F1478">
        <f>Graph_Ophtha!$A13</f>
        <v>2019</v>
      </c>
      <c r="G1478">
        <f>Graph_Ophtha!$B13</f>
        <v>7</v>
      </c>
      <c r="H1478" s="165">
        <f>Graph_Ophtha!$K13</f>
        <v>-91947.694234953393</v>
      </c>
      <c r="I1478" s="160">
        <f>InputData!$C$3</f>
        <v>0.02</v>
      </c>
      <c r="J1478" s="160">
        <f>InputData!$C$4</f>
        <v>0.01</v>
      </c>
      <c r="K1478" s="160">
        <f>InputData!$C$5</f>
        <v>0.01</v>
      </c>
      <c r="L1478" s="160">
        <f>InputData!$C$6</f>
        <v>6.2100000000000002E-2</v>
      </c>
      <c r="M1478" s="160">
        <f>InputData!$C$7</f>
        <v>0.03</v>
      </c>
      <c r="N1478" s="160">
        <f>InputData!$C$8</f>
        <v>0.02</v>
      </c>
      <c r="O1478" s="160">
        <f>InputData!$C$9</f>
        <v>0.06</v>
      </c>
      <c r="P1478" s="160">
        <f>InputData!$C$10</f>
        <v>0.02</v>
      </c>
      <c r="Q1478" s="160">
        <f>InputData!$C$11</f>
        <v>0.02</v>
      </c>
      <c r="R1478" s="160">
        <f>InputData!$C$12</f>
        <v>0.02</v>
      </c>
      <c r="S1478" s="160">
        <f>InputData!$C$13</f>
        <v>0.9</v>
      </c>
      <c r="T1478" s="116">
        <f>InputData!$C$88</f>
        <v>180000</v>
      </c>
      <c r="U1478" s="116">
        <f>InputData!$C$81</f>
        <v>178500</v>
      </c>
      <c r="V1478" s="116">
        <f>InputData!$C$82</f>
        <v>303960</v>
      </c>
      <c r="W1478" s="116">
        <f>InputData!$C$84</f>
        <v>215220</v>
      </c>
      <c r="X1478" s="116">
        <f>InputData!$C$85</f>
        <v>409020</v>
      </c>
      <c r="Y1478" s="116">
        <f>InputData!$C$116</f>
        <v>140000</v>
      </c>
      <c r="Z1478" s="160">
        <f>InputData!$E$13</f>
        <v>0</v>
      </c>
    </row>
    <row r="1479" spans="1:26" x14ac:dyDescent="0.25">
      <c r="A1479">
        <f>InputData!$K$1</f>
        <v>2013</v>
      </c>
      <c r="B1479" t="str">
        <f>InputData!$G$1</f>
        <v>San Antonio, TX</v>
      </c>
      <c r="C1479" t="s">
        <v>227</v>
      </c>
      <c r="D1479" t="str">
        <f>Graph_Ophtha!$K$6</f>
        <v>PAYEr</v>
      </c>
      <c r="E1479" t="str">
        <f t="shared" si="23"/>
        <v>Ophthalmology PAYEr</v>
      </c>
      <c r="F1479">
        <f>Graph_Ophtha!$A14</f>
        <v>2020</v>
      </c>
      <c r="G1479">
        <f>Graph_Ophtha!$B14</f>
        <v>8</v>
      </c>
      <c r="H1479" s="165">
        <f>Graph_Ophtha!$K14</f>
        <v>-58923.94561664114</v>
      </c>
      <c r="I1479" s="160">
        <f>InputData!$C$3</f>
        <v>0.02</v>
      </c>
      <c r="J1479" s="160">
        <f>InputData!$C$4</f>
        <v>0.01</v>
      </c>
      <c r="K1479" s="160">
        <f>InputData!$C$5</f>
        <v>0.01</v>
      </c>
      <c r="L1479" s="160">
        <f>InputData!$C$6</f>
        <v>6.2100000000000002E-2</v>
      </c>
      <c r="M1479" s="160">
        <f>InputData!$C$7</f>
        <v>0.03</v>
      </c>
      <c r="N1479" s="160">
        <f>InputData!$C$8</f>
        <v>0.02</v>
      </c>
      <c r="O1479" s="160">
        <f>InputData!$C$9</f>
        <v>0.06</v>
      </c>
      <c r="P1479" s="160">
        <f>InputData!$C$10</f>
        <v>0.02</v>
      </c>
      <c r="Q1479" s="160">
        <f>InputData!$C$11</f>
        <v>0.02</v>
      </c>
      <c r="R1479" s="160">
        <f>InputData!$C$12</f>
        <v>0.02</v>
      </c>
      <c r="S1479" s="160">
        <f>InputData!$C$13</f>
        <v>0.9</v>
      </c>
      <c r="T1479" s="116">
        <f>InputData!$C$88</f>
        <v>180000</v>
      </c>
      <c r="U1479" s="116">
        <f>InputData!$C$81</f>
        <v>178500</v>
      </c>
      <c r="V1479" s="116">
        <f>InputData!$C$82</f>
        <v>303960</v>
      </c>
      <c r="W1479" s="116">
        <f>InputData!$C$84</f>
        <v>215220</v>
      </c>
      <c r="X1479" s="116">
        <f>InputData!$C$85</f>
        <v>409020</v>
      </c>
      <c r="Y1479" s="116">
        <f>InputData!$C$116</f>
        <v>140000</v>
      </c>
      <c r="Z1479" s="160">
        <f>InputData!$E$13</f>
        <v>0</v>
      </c>
    </row>
    <row r="1480" spans="1:26" x14ac:dyDescent="0.25">
      <c r="A1480">
        <f>InputData!$K$1</f>
        <v>2013</v>
      </c>
      <c r="B1480" t="str">
        <f>InputData!$G$1</f>
        <v>San Antonio, TX</v>
      </c>
      <c r="C1480" t="s">
        <v>227</v>
      </c>
      <c r="D1480" t="str">
        <f>Graph_Ophtha!$K$6</f>
        <v>PAYEr</v>
      </c>
      <c r="E1480" t="str">
        <f t="shared" si="23"/>
        <v>Ophthalmology PAYEr</v>
      </c>
      <c r="F1480">
        <f>Graph_Ophtha!$A15</f>
        <v>2021</v>
      </c>
      <c r="G1480">
        <f>Graph_Ophtha!$B15</f>
        <v>9</v>
      </c>
      <c r="H1480" s="165">
        <f>Graph_Ophtha!$K15</f>
        <v>45365.745102361281</v>
      </c>
      <c r="I1480" s="160">
        <f>InputData!$C$3</f>
        <v>0.02</v>
      </c>
      <c r="J1480" s="160">
        <f>InputData!$C$4</f>
        <v>0.01</v>
      </c>
      <c r="K1480" s="160">
        <f>InputData!$C$5</f>
        <v>0.01</v>
      </c>
      <c r="L1480" s="160">
        <f>InputData!$C$6</f>
        <v>6.2100000000000002E-2</v>
      </c>
      <c r="M1480" s="160">
        <f>InputData!$C$7</f>
        <v>0.03</v>
      </c>
      <c r="N1480" s="160">
        <f>InputData!$C$8</f>
        <v>0.02</v>
      </c>
      <c r="O1480" s="160">
        <f>InputData!$C$9</f>
        <v>0.06</v>
      </c>
      <c r="P1480" s="160">
        <f>InputData!$C$10</f>
        <v>0.02</v>
      </c>
      <c r="Q1480" s="160">
        <f>InputData!$C$11</f>
        <v>0.02</v>
      </c>
      <c r="R1480" s="160">
        <f>InputData!$C$12</f>
        <v>0.02</v>
      </c>
      <c r="S1480" s="160">
        <f>InputData!$C$13</f>
        <v>0.9</v>
      </c>
      <c r="T1480" s="116">
        <f>InputData!$C$88</f>
        <v>180000</v>
      </c>
      <c r="U1480" s="116">
        <f>InputData!$C$81</f>
        <v>178500</v>
      </c>
      <c r="V1480" s="116">
        <f>InputData!$C$82</f>
        <v>303960</v>
      </c>
      <c r="W1480" s="116">
        <f>InputData!$C$84</f>
        <v>215220</v>
      </c>
      <c r="X1480" s="116">
        <f>InputData!$C$85</f>
        <v>409020</v>
      </c>
      <c r="Y1480" s="116">
        <f>InputData!$C$116</f>
        <v>140000</v>
      </c>
      <c r="Z1480" s="160">
        <f>InputData!$E$13</f>
        <v>0</v>
      </c>
    </row>
    <row r="1481" spans="1:26" x14ac:dyDescent="0.25">
      <c r="A1481">
        <f>InputData!$K$1</f>
        <v>2013</v>
      </c>
      <c r="B1481" t="str">
        <f>InputData!$G$1</f>
        <v>San Antonio, TX</v>
      </c>
      <c r="C1481" t="s">
        <v>227</v>
      </c>
      <c r="D1481" t="str">
        <f>Graph_Ophtha!$K$6</f>
        <v>PAYEr</v>
      </c>
      <c r="E1481" t="str">
        <f t="shared" si="23"/>
        <v>Ophthalmology PAYEr</v>
      </c>
      <c r="F1481">
        <f>Graph_Ophtha!$A16</f>
        <v>2022</v>
      </c>
      <c r="G1481">
        <f>Graph_Ophtha!$B16</f>
        <v>10</v>
      </c>
      <c r="H1481" s="165">
        <f>Graph_Ophtha!$K16</f>
        <v>142204.76165152679</v>
      </c>
      <c r="I1481" s="160">
        <f>InputData!$C$3</f>
        <v>0.02</v>
      </c>
      <c r="J1481" s="160">
        <f>InputData!$C$4</f>
        <v>0.01</v>
      </c>
      <c r="K1481" s="160">
        <f>InputData!$C$5</f>
        <v>0.01</v>
      </c>
      <c r="L1481" s="160">
        <f>InputData!$C$6</f>
        <v>6.2100000000000002E-2</v>
      </c>
      <c r="M1481" s="160">
        <f>InputData!$C$7</f>
        <v>0.03</v>
      </c>
      <c r="N1481" s="160">
        <f>InputData!$C$8</f>
        <v>0.02</v>
      </c>
      <c r="O1481" s="160">
        <f>InputData!$C$9</f>
        <v>0.06</v>
      </c>
      <c r="P1481" s="160">
        <f>InputData!$C$10</f>
        <v>0.02</v>
      </c>
      <c r="Q1481" s="160">
        <f>InputData!$C$11</f>
        <v>0.02</v>
      </c>
      <c r="R1481" s="160">
        <f>InputData!$C$12</f>
        <v>0.02</v>
      </c>
      <c r="S1481" s="160">
        <f>InputData!$C$13</f>
        <v>0.9</v>
      </c>
      <c r="T1481" s="116">
        <f>InputData!$C$88</f>
        <v>180000</v>
      </c>
      <c r="U1481" s="116">
        <f>InputData!$C$81</f>
        <v>178500</v>
      </c>
      <c r="V1481" s="116">
        <f>InputData!$C$82</f>
        <v>303960</v>
      </c>
      <c r="W1481" s="116">
        <f>InputData!$C$84</f>
        <v>215220</v>
      </c>
      <c r="X1481" s="116">
        <f>InputData!$C$85</f>
        <v>409020</v>
      </c>
      <c r="Y1481" s="116">
        <f>InputData!$C$116</f>
        <v>140000</v>
      </c>
      <c r="Z1481" s="160">
        <f>InputData!$E$13</f>
        <v>0</v>
      </c>
    </row>
    <row r="1482" spans="1:26" x14ac:dyDescent="0.25">
      <c r="A1482">
        <f>InputData!$K$1</f>
        <v>2013</v>
      </c>
      <c r="B1482" t="str">
        <f>InputData!$G$1</f>
        <v>San Antonio, TX</v>
      </c>
      <c r="C1482" t="s">
        <v>227</v>
      </c>
      <c r="D1482" t="str">
        <f>Graph_Ophtha!$K$6</f>
        <v>PAYEr</v>
      </c>
      <c r="E1482" t="str">
        <f t="shared" si="23"/>
        <v>Ophthalmology PAYEr</v>
      </c>
      <c r="F1482">
        <f>Graph_Ophtha!$A17</f>
        <v>2023</v>
      </c>
      <c r="G1482">
        <f>Graph_Ophtha!$B17</f>
        <v>11</v>
      </c>
      <c r="H1482" s="165">
        <f>Graph_Ophtha!$K17</f>
        <v>237053.37489945069</v>
      </c>
      <c r="I1482" s="160">
        <f>InputData!$C$3</f>
        <v>0.02</v>
      </c>
      <c r="J1482" s="160">
        <f>InputData!$C$4</f>
        <v>0.01</v>
      </c>
      <c r="K1482" s="160">
        <f>InputData!$C$5</f>
        <v>0.01</v>
      </c>
      <c r="L1482" s="160">
        <f>InputData!$C$6</f>
        <v>6.2100000000000002E-2</v>
      </c>
      <c r="M1482" s="160">
        <f>InputData!$C$7</f>
        <v>0.03</v>
      </c>
      <c r="N1482" s="160">
        <f>InputData!$C$8</f>
        <v>0.02</v>
      </c>
      <c r="O1482" s="160">
        <f>InputData!$C$9</f>
        <v>0.06</v>
      </c>
      <c r="P1482" s="160">
        <f>InputData!$C$10</f>
        <v>0.02</v>
      </c>
      <c r="Q1482" s="160">
        <f>InputData!$C$11</f>
        <v>0.02</v>
      </c>
      <c r="R1482" s="160">
        <f>InputData!$C$12</f>
        <v>0.02</v>
      </c>
      <c r="S1482" s="160">
        <f>InputData!$C$13</f>
        <v>0.9</v>
      </c>
      <c r="T1482" s="116">
        <f>InputData!$C$88</f>
        <v>180000</v>
      </c>
      <c r="U1482" s="116">
        <f>InputData!$C$81</f>
        <v>178500</v>
      </c>
      <c r="V1482" s="116">
        <f>InputData!$C$82</f>
        <v>303960</v>
      </c>
      <c r="W1482" s="116">
        <f>InputData!$C$84</f>
        <v>215220</v>
      </c>
      <c r="X1482" s="116">
        <f>InputData!$C$85</f>
        <v>409020</v>
      </c>
      <c r="Y1482" s="116">
        <f>InputData!$C$116</f>
        <v>140000</v>
      </c>
      <c r="Z1482" s="160">
        <f>InputData!$E$13</f>
        <v>0</v>
      </c>
    </row>
    <row r="1483" spans="1:26" x14ac:dyDescent="0.25">
      <c r="A1483">
        <f>InputData!$K$1</f>
        <v>2013</v>
      </c>
      <c r="B1483" t="str">
        <f>InputData!$G$1</f>
        <v>San Antonio, TX</v>
      </c>
      <c r="C1483" t="s">
        <v>227</v>
      </c>
      <c r="D1483" t="str">
        <f>Graph_Ophtha!$K$6</f>
        <v>PAYEr</v>
      </c>
      <c r="E1483" t="str">
        <f t="shared" si="23"/>
        <v>Ophthalmology PAYEr</v>
      </c>
      <c r="F1483">
        <f>Graph_Ophtha!$A18</f>
        <v>2024</v>
      </c>
      <c r="G1483">
        <f>Graph_Ophtha!$B18</f>
        <v>12</v>
      </c>
      <c r="H1483" s="165">
        <f>Graph_Ophtha!$K18</f>
        <v>329953.28029548959</v>
      </c>
      <c r="I1483" s="160">
        <f>InputData!$C$3</f>
        <v>0.02</v>
      </c>
      <c r="J1483" s="160">
        <f>InputData!$C$4</f>
        <v>0.01</v>
      </c>
      <c r="K1483" s="160">
        <f>InputData!$C$5</f>
        <v>0.01</v>
      </c>
      <c r="L1483" s="160">
        <f>InputData!$C$6</f>
        <v>6.2100000000000002E-2</v>
      </c>
      <c r="M1483" s="160">
        <f>InputData!$C$7</f>
        <v>0.03</v>
      </c>
      <c r="N1483" s="160">
        <f>InputData!$C$8</f>
        <v>0.02</v>
      </c>
      <c r="O1483" s="160">
        <f>InputData!$C$9</f>
        <v>0.06</v>
      </c>
      <c r="P1483" s="160">
        <f>InputData!$C$10</f>
        <v>0.02</v>
      </c>
      <c r="Q1483" s="160">
        <f>InputData!$C$11</f>
        <v>0.02</v>
      </c>
      <c r="R1483" s="160">
        <f>InputData!$C$12</f>
        <v>0.02</v>
      </c>
      <c r="S1483" s="160">
        <f>InputData!$C$13</f>
        <v>0.9</v>
      </c>
      <c r="T1483" s="116">
        <f>InputData!$C$88</f>
        <v>180000</v>
      </c>
      <c r="U1483" s="116">
        <f>InputData!$C$81</f>
        <v>178500</v>
      </c>
      <c r="V1483" s="116">
        <f>InputData!$C$82</f>
        <v>303960</v>
      </c>
      <c r="W1483" s="116">
        <f>InputData!$C$84</f>
        <v>215220</v>
      </c>
      <c r="X1483" s="116">
        <f>InputData!$C$85</f>
        <v>409020</v>
      </c>
      <c r="Y1483" s="116">
        <f>InputData!$C$116</f>
        <v>140000</v>
      </c>
      <c r="Z1483" s="160">
        <f>InputData!$E$13</f>
        <v>0</v>
      </c>
    </row>
    <row r="1484" spans="1:26" x14ac:dyDescent="0.25">
      <c r="A1484">
        <f>InputData!$K$1</f>
        <v>2013</v>
      </c>
      <c r="B1484" t="str">
        <f>InputData!$G$1</f>
        <v>San Antonio, TX</v>
      </c>
      <c r="C1484" t="s">
        <v>227</v>
      </c>
      <c r="D1484" t="str">
        <f>Graph_Ophtha!$K$6</f>
        <v>PAYEr</v>
      </c>
      <c r="E1484" t="str">
        <f t="shared" si="23"/>
        <v>Ophthalmology PAYEr</v>
      </c>
      <c r="F1484">
        <f>Graph_Ophtha!$A19</f>
        <v>2025</v>
      </c>
      <c r="G1484">
        <f>Graph_Ophtha!$B19</f>
        <v>13</v>
      </c>
      <c r="H1484" s="165">
        <f>Graph_Ophtha!$K19</f>
        <v>420945.27802436438</v>
      </c>
      <c r="I1484" s="160">
        <f>InputData!$C$3</f>
        <v>0.02</v>
      </c>
      <c r="J1484" s="160">
        <f>InputData!$C$4</f>
        <v>0.01</v>
      </c>
      <c r="K1484" s="160">
        <f>InputData!$C$5</f>
        <v>0.01</v>
      </c>
      <c r="L1484" s="160">
        <f>InputData!$C$6</f>
        <v>6.2100000000000002E-2</v>
      </c>
      <c r="M1484" s="160">
        <f>InputData!$C$7</f>
        <v>0.03</v>
      </c>
      <c r="N1484" s="160">
        <f>InputData!$C$8</f>
        <v>0.02</v>
      </c>
      <c r="O1484" s="160">
        <f>InputData!$C$9</f>
        <v>0.06</v>
      </c>
      <c r="P1484" s="160">
        <f>InputData!$C$10</f>
        <v>0.02</v>
      </c>
      <c r="Q1484" s="160">
        <f>InputData!$C$11</f>
        <v>0.02</v>
      </c>
      <c r="R1484" s="160">
        <f>InputData!$C$12</f>
        <v>0.02</v>
      </c>
      <c r="S1484" s="160">
        <f>InputData!$C$13</f>
        <v>0.9</v>
      </c>
      <c r="T1484" s="116">
        <f>InputData!$C$88</f>
        <v>180000</v>
      </c>
      <c r="U1484" s="116">
        <f>InputData!$C$81</f>
        <v>178500</v>
      </c>
      <c r="V1484" s="116">
        <f>InputData!$C$82</f>
        <v>303960</v>
      </c>
      <c r="W1484" s="116">
        <f>InputData!$C$84</f>
        <v>215220</v>
      </c>
      <c r="X1484" s="116">
        <f>InputData!$C$85</f>
        <v>409020</v>
      </c>
      <c r="Y1484" s="116">
        <f>InputData!$C$116</f>
        <v>140000</v>
      </c>
      <c r="Z1484" s="160">
        <f>InputData!$E$13</f>
        <v>0</v>
      </c>
    </row>
    <row r="1485" spans="1:26" x14ac:dyDescent="0.25">
      <c r="A1485">
        <f>InputData!$K$1</f>
        <v>2013</v>
      </c>
      <c r="B1485" t="str">
        <f>InputData!$G$1</f>
        <v>San Antonio, TX</v>
      </c>
      <c r="C1485" t="s">
        <v>227</v>
      </c>
      <c r="D1485" t="str">
        <f>Graph_Ophtha!$K$6</f>
        <v>PAYEr</v>
      </c>
      <c r="E1485" t="str">
        <f t="shared" si="23"/>
        <v>Ophthalmology PAYEr</v>
      </c>
      <c r="F1485">
        <f>Graph_Ophtha!$A20</f>
        <v>2026</v>
      </c>
      <c r="G1485">
        <f>Graph_Ophtha!$B20</f>
        <v>14</v>
      </c>
      <c r="H1485" s="165">
        <f>Graph_Ophtha!$K20</f>
        <v>510069.29282367381</v>
      </c>
      <c r="I1485" s="160">
        <f>InputData!$C$3</f>
        <v>0.02</v>
      </c>
      <c r="J1485" s="160">
        <f>InputData!$C$4</f>
        <v>0.01</v>
      </c>
      <c r="K1485" s="160">
        <f>InputData!$C$5</f>
        <v>0.01</v>
      </c>
      <c r="L1485" s="160">
        <f>InputData!$C$6</f>
        <v>6.2100000000000002E-2</v>
      </c>
      <c r="M1485" s="160">
        <f>InputData!$C$7</f>
        <v>0.03</v>
      </c>
      <c r="N1485" s="160">
        <f>InputData!$C$8</f>
        <v>0.02</v>
      </c>
      <c r="O1485" s="160">
        <f>InputData!$C$9</f>
        <v>0.06</v>
      </c>
      <c r="P1485" s="160">
        <f>InputData!$C$10</f>
        <v>0.02</v>
      </c>
      <c r="Q1485" s="160">
        <f>InputData!$C$11</f>
        <v>0.02</v>
      </c>
      <c r="R1485" s="160">
        <f>InputData!$C$12</f>
        <v>0.02</v>
      </c>
      <c r="S1485" s="160">
        <f>InputData!$C$13</f>
        <v>0.9</v>
      </c>
      <c r="T1485" s="116">
        <f>InputData!$C$88</f>
        <v>180000</v>
      </c>
      <c r="U1485" s="116">
        <f>InputData!$C$81</f>
        <v>178500</v>
      </c>
      <c r="V1485" s="116">
        <f>InputData!$C$82</f>
        <v>303960</v>
      </c>
      <c r="W1485" s="116">
        <f>InputData!$C$84</f>
        <v>215220</v>
      </c>
      <c r="X1485" s="116">
        <f>InputData!$C$85</f>
        <v>409020</v>
      </c>
      <c r="Y1485" s="116">
        <f>InputData!$C$116</f>
        <v>140000</v>
      </c>
      <c r="Z1485" s="160">
        <f>InputData!$E$13</f>
        <v>0</v>
      </c>
    </row>
    <row r="1486" spans="1:26" x14ac:dyDescent="0.25">
      <c r="A1486">
        <f>InputData!$K$1</f>
        <v>2013</v>
      </c>
      <c r="B1486" t="str">
        <f>InputData!$G$1</f>
        <v>San Antonio, TX</v>
      </c>
      <c r="C1486" t="s">
        <v>227</v>
      </c>
      <c r="D1486" t="str">
        <f>Graph_Ophtha!$K$6</f>
        <v>PAYEr</v>
      </c>
      <c r="E1486" t="str">
        <f t="shared" si="23"/>
        <v>Ophthalmology PAYEr</v>
      </c>
      <c r="F1486">
        <f>Graph_Ophtha!$A21</f>
        <v>2027</v>
      </c>
      <c r="G1486">
        <f>Graph_Ophtha!$B21</f>
        <v>15</v>
      </c>
      <c r="H1486" s="165">
        <f>Graph_Ophtha!$K21</f>
        <v>597364.39334690757</v>
      </c>
      <c r="I1486" s="160">
        <f>InputData!$C$3</f>
        <v>0.02</v>
      </c>
      <c r="J1486" s="160">
        <f>InputData!$C$4</f>
        <v>0.01</v>
      </c>
      <c r="K1486" s="160">
        <f>InputData!$C$5</f>
        <v>0.01</v>
      </c>
      <c r="L1486" s="160">
        <f>InputData!$C$6</f>
        <v>6.2100000000000002E-2</v>
      </c>
      <c r="M1486" s="160">
        <f>InputData!$C$7</f>
        <v>0.03</v>
      </c>
      <c r="N1486" s="160">
        <f>InputData!$C$8</f>
        <v>0.02</v>
      </c>
      <c r="O1486" s="160">
        <f>InputData!$C$9</f>
        <v>0.06</v>
      </c>
      <c r="P1486" s="160">
        <f>InputData!$C$10</f>
        <v>0.02</v>
      </c>
      <c r="Q1486" s="160">
        <f>InputData!$C$11</f>
        <v>0.02</v>
      </c>
      <c r="R1486" s="160">
        <f>InputData!$C$12</f>
        <v>0.02</v>
      </c>
      <c r="S1486" s="160">
        <f>InputData!$C$13</f>
        <v>0.9</v>
      </c>
      <c r="T1486" s="116">
        <f>InputData!$C$88</f>
        <v>180000</v>
      </c>
      <c r="U1486" s="116">
        <f>InputData!$C$81</f>
        <v>178500</v>
      </c>
      <c r="V1486" s="116">
        <f>InputData!$C$82</f>
        <v>303960</v>
      </c>
      <c r="W1486" s="116">
        <f>InputData!$C$84</f>
        <v>215220</v>
      </c>
      <c r="X1486" s="116">
        <f>InputData!$C$85</f>
        <v>409020</v>
      </c>
      <c r="Y1486" s="116">
        <f>InputData!$C$116</f>
        <v>140000</v>
      </c>
      <c r="Z1486" s="160">
        <f>InputData!$E$13</f>
        <v>0</v>
      </c>
    </row>
    <row r="1487" spans="1:26" x14ac:dyDescent="0.25">
      <c r="A1487">
        <f>InputData!$K$1</f>
        <v>2013</v>
      </c>
      <c r="B1487" t="str">
        <f>InputData!$G$1</f>
        <v>San Antonio, TX</v>
      </c>
      <c r="C1487" t="s">
        <v>227</v>
      </c>
      <c r="D1487" t="str">
        <f>Graph_Ophtha!$K$6</f>
        <v>PAYEr</v>
      </c>
      <c r="E1487" t="str">
        <f t="shared" si="23"/>
        <v>Ophthalmology PAYEr</v>
      </c>
      <c r="F1487">
        <f>Graph_Ophtha!$A22</f>
        <v>2028</v>
      </c>
      <c r="G1487">
        <f>Graph_Ophtha!$B22</f>
        <v>16</v>
      </c>
      <c r="H1487" s="165">
        <f>Graph_Ophtha!$K22</f>
        <v>682868.81108279177</v>
      </c>
      <c r="I1487" s="160">
        <f>InputData!$C$3</f>
        <v>0.02</v>
      </c>
      <c r="J1487" s="160">
        <f>InputData!$C$4</f>
        <v>0.01</v>
      </c>
      <c r="K1487" s="160">
        <f>InputData!$C$5</f>
        <v>0.01</v>
      </c>
      <c r="L1487" s="160">
        <f>InputData!$C$6</f>
        <v>6.2100000000000002E-2</v>
      </c>
      <c r="M1487" s="160">
        <f>InputData!$C$7</f>
        <v>0.03</v>
      </c>
      <c r="N1487" s="160">
        <f>InputData!$C$8</f>
        <v>0.02</v>
      </c>
      <c r="O1487" s="160">
        <f>InputData!$C$9</f>
        <v>0.06</v>
      </c>
      <c r="P1487" s="160">
        <f>InputData!$C$10</f>
        <v>0.02</v>
      </c>
      <c r="Q1487" s="160">
        <f>InputData!$C$11</f>
        <v>0.02</v>
      </c>
      <c r="R1487" s="160">
        <f>InputData!$C$12</f>
        <v>0.02</v>
      </c>
      <c r="S1487" s="160">
        <f>InputData!$C$13</f>
        <v>0.9</v>
      </c>
      <c r="T1487" s="116">
        <f>InputData!$C$88</f>
        <v>180000</v>
      </c>
      <c r="U1487" s="116">
        <f>InputData!$C$81</f>
        <v>178500</v>
      </c>
      <c r="V1487" s="116">
        <f>InputData!$C$82</f>
        <v>303960</v>
      </c>
      <c r="W1487" s="116">
        <f>InputData!$C$84</f>
        <v>215220</v>
      </c>
      <c r="X1487" s="116">
        <f>InputData!$C$85</f>
        <v>409020</v>
      </c>
      <c r="Y1487" s="116">
        <f>InputData!$C$116</f>
        <v>140000</v>
      </c>
      <c r="Z1487" s="160">
        <f>InputData!$E$13</f>
        <v>0</v>
      </c>
    </row>
    <row r="1488" spans="1:26" x14ac:dyDescent="0.25">
      <c r="A1488">
        <f>InputData!$K$1</f>
        <v>2013</v>
      </c>
      <c r="B1488" t="str">
        <f>InputData!$G$1</f>
        <v>San Antonio, TX</v>
      </c>
      <c r="C1488" t="s">
        <v>227</v>
      </c>
      <c r="D1488" t="str">
        <f>Graph_Ophtha!$K$6</f>
        <v>PAYEr</v>
      </c>
      <c r="E1488" t="str">
        <f t="shared" si="23"/>
        <v>Ophthalmology PAYEr</v>
      </c>
      <c r="F1488">
        <f>Graph_Ophtha!$A23</f>
        <v>2029</v>
      </c>
      <c r="G1488">
        <f>Graph_Ophtha!$B23</f>
        <v>17</v>
      </c>
      <c r="H1488" s="165">
        <f>Graph_Ophtha!$K23</f>
        <v>766619.95884152851</v>
      </c>
      <c r="I1488" s="160">
        <f>InputData!$C$3</f>
        <v>0.02</v>
      </c>
      <c r="J1488" s="160">
        <f>InputData!$C$4</f>
        <v>0.01</v>
      </c>
      <c r="K1488" s="160">
        <f>InputData!$C$5</f>
        <v>0.01</v>
      </c>
      <c r="L1488" s="160">
        <f>InputData!$C$6</f>
        <v>6.2100000000000002E-2</v>
      </c>
      <c r="M1488" s="160">
        <f>InputData!$C$7</f>
        <v>0.03</v>
      </c>
      <c r="N1488" s="160">
        <f>InputData!$C$8</f>
        <v>0.02</v>
      </c>
      <c r="O1488" s="160">
        <f>InputData!$C$9</f>
        <v>0.06</v>
      </c>
      <c r="P1488" s="160">
        <f>InputData!$C$10</f>
        <v>0.02</v>
      </c>
      <c r="Q1488" s="160">
        <f>InputData!$C$11</f>
        <v>0.02</v>
      </c>
      <c r="R1488" s="160">
        <f>InputData!$C$12</f>
        <v>0.02</v>
      </c>
      <c r="S1488" s="160">
        <f>InputData!$C$13</f>
        <v>0.9</v>
      </c>
      <c r="T1488" s="116">
        <f>InputData!$C$88</f>
        <v>180000</v>
      </c>
      <c r="U1488" s="116">
        <f>InputData!$C$81</f>
        <v>178500</v>
      </c>
      <c r="V1488" s="116">
        <f>InputData!$C$82</f>
        <v>303960</v>
      </c>
      <c r="W1488" s="116">
        <f>InputData!$C$84</f>
        <v>215220</v>
      </c>
      <c r="X1488" s="116">
        <f>InputData!$C$85</f>
        <v>409020</v>
      </c>
      <c r="Y1488" s="116">
        <f>InputData!$C$116</f>
        <v>140000</v>
      </c>
      <c r="Z1488" s="160">
        <f>InputData!$E$13</f>
        <v>0</v>
      </c>
    </row>
    <row r="1489" spans="1:26" x14ac:dyDescent="0.25">
      <c r="A1489">
        <f>InputData!$K$1</f>
        <v>2013</v>
      </c>
      <c r="B1489" t="str">
        <f>InputData!$G$1</f>
        <v>San Antonio, TX</v>
      </c>
      <c r="C1489" t="s">
        <v>227</v>
      </c>
      <c r="D1489" t="str">
        <f>Graph_Ophtha!$K$6</f>
        <v>PAYEr</v>
      </c>
      <c r="E1489" t="str">
        <f t="shared" si="23"/>
        <v>Ophthalmology PAYEr</v>
      </c>
      <c r="F1489">
        <f>Graph_Ophtha!$A24</f>
        <v>2030</v>
      </c>
      <c r="G1489">
        <f>Graph_Ophtha!$B24</f>
        <v>18</v>
      </c>
      <c r="H1489" s="165">
        <f>Graph_Ophtha!$K24</f>
        <v>848654.44881823333</v>
      </c>
      <c r="I1489" s="160">
        <f>InputData!$C$3</f>
        <v>0.02</v>
      </c>
      <c r="J1489" s="160">
        <f>InputData!$C$4</f>
        <v>0.01</v>
      </c>
      <c r="K1489" s="160">
        <f>InputData!$C$5</f>
        <v>0.01</v>
      </c>
      <c r="L1489" s="160">
        <f>InputData!$C$6</f>
        <v>6.2100000000000002E-2</v>
      </c>
      <c r="M1489" s="160">
        <f>InputData!$C$7</f>
        <v>0.03</v>
      </c>
      <c r="N1489" s="160">
        <f>InputData!$C$8</f>
        <v>0.02</v>
      </c>
      <c r="O1489" s="160">
        <f>InputData!$C$9</f>
        <v>0.06</v>
      </c>
      <c r="P1489" s="160">
        <f>InputData!$C$10</f>
        <v>0.02</v>
      </c>
      <c r="Q1489" s="160">
        <f>InputData!$C$11</f>
        <v>0.02</v>
      </c>
      <c r="R1489" s="160">
        <f>InputData!$C$12</f>
        <v>0.02</v>
      </c>
      <c r="S1489" s="160">
        <f>InputData!$C$13</f>
        <v>0.9</v>
      </c>
      <c r="T1489" s="116">
        <f>InputData!$C$88</f>
        <v>180000</v>
      </c>
      <c r="U1489" s="116">
        <f>InputData!$C$81</f>
        <v>178500</v>
      </c>
      <c r="V1489" s="116">
        <f>InputData!$C$82</f>
        <v>303960</v>
      </c>
      <c r="W1489" s="116">
        <f>InputData!$C$84</f>
        <v>215220</v>
      </c>
      <c r="X1489" s="116">
        <f>InputData!$C$85</f>
        <v>409020</v>
      </c>
      <c r="Y1489" s="116">
        <f>InputData!$C$116</f>
        <v>140000</v>
      </c>
      <c r="Z1489" s="160">
        <f>InputData!$E$13</f>
        <v>0</v>
      </c>
    </row>
    <row r="1490" spans="1:26" x14ac:dyDescent="0.25">
      <c r="A1490">
        <f>InputData!$K$1</f>
        <v>2013</v>
      </c>
      <c r="B1490" t="str">
        <f>InputData!$G$1</f>
        <v>San Antonio, TX</v>
      </c>
      <c r="C1490" t="s">
        <v>227</v>
      </c>
      <c r="D1490" t="str">
        <f>Graph_Ophtha!$K$6</f>
        <v>PAYEr</v>
      </c>
      <c r="E1490" t="str">
        <f t="shared" si="23"/>
        <v>Ophthalmology PAYEr</v>
      </c>
      <c r="F1490">
        <f>Graph_Ophtha!$A25</f>
        <v>2031</v>
      </c>
      <c r="G1490">
        <f>Graph_Ophtha!$B25</f>
        <v>19</v>
      </c>
      <c r="H1490" s="165">
        <f>Graph_Ophtha!$K25</f>
        <v>929145.26301833417</v>
      </c>
      <c r="I1490" s="160">
        <f>InputData!$C$3</f>
        <v>0.02</v>
      </c>
      <c r="J1490" s="160">
        <f>InputData!$C$4</f>
        <v>0.01</v>
      </c>
      <c r="K1490" s="160">
        <f>InputData!$C$5</f>
        <v>0.01</v>
      </c>
      <c r="L1490" s="160">
        <f>InputData!$C$6</f>
        <v>6.2100000000000002E-2</v>
      </c>
      <c r="M1490" s="160">
        <f>InputData!$C$7</f>
        <v>0.03</v>
      </c>
      <c r="N1490" s="160">
        <f>InputData!$C$8</f>
        <v>0.02</v>
      </c>
      <c r="O1490" s="160">
        <f>InputData!$C$9</f>
        <v>0.06</v>
      </c>
      <c r="P1490" s="160">
        <f>InputData!$C$10</f>
        <v>0.02</v>
      </c>
      <c r="Q1490" s="160">
        <f>InputData!$C$11</f>
        <v>0.02</v>
      </c>
      <c r="R1490" s="160">
        <f>InputData!$C$12</f>
        <v>0.02</v>
      </c>
      <c r="S1490" s="160">
        <f>InputData!$C$13</f>
        <v>0.9</v>
      </c>
      <c r="T1490" s="116">
        <f>InputData!$C$88</f>
        <v>180000</v>
      </c>
      <c r="U1490" s="116">
        <f>InputData!$C$81</f>
        <v>178500</v>
      </c>
      <c r="V1490" s="116">
        <f>InputData!$C$82</f>
        <v>303960</v>
      </c>
      <c r="W1490" s="116">
        <f>InputData!$C$84</f>
        <v>215220</v>
      </c>
      <c r="X1490" s="116">
        <f>InputData!$C$85</f>
        <v>409020</v>
      </c>
      <c r="Y1490" s="116">
        <f>InputData!$C$116</f>
        <v>140000</v>
      </c>
      <c r="Z1490" s="160">
        <f>InputData!$E$13</f>
        <v>0</v>
      </c>
    </row>
    <row r="1491" spans="1:26" x14ac:dyDescent="0.25">
      <c r="A1491">
        <f>InputData!$K$1</f>
        <v>2013</v>
      </c>
      <c r="B1491" t="str">
        <f>InputData!$G$1</f>
        <v>San Antonio, TX</v>
      </c>
      <c r="C1491" t="s">
        <v>227</v>
      </c>
      <c r="D1491" t="str">
        <f>Graph_Ophtha!$K$6</f>
        <v>PAYEr</v>
      </c>
      <c r="E1491" t="str">
        <f t="shared" si="23"/>
        <v>Ophthalmology PAYEr</v>
      </c>
      <c r="F1491">
        <f>Graph_Ophtha!$A26</f>
        <v>2032</v>
      </c>
      <c r="G1491">
        <f>Graph_Ophtha!$B26</f>
        <v>20</v>
      </c>
      <c r="H1491" s="165">
        <f>Graph_Ophtha!$K26</f>
        <v>1008339.573448025</v>
      </c>
      <c r="I1491" s="160">
        <f>InputData!$C$3</f>
        <v>0.02</v>
      </c>
      <c r="J1491" s="160">
        <f>InputData!$C$4</f>
        <v>0.01</v>
      </c>
      <c r="K1491" s="160">
        <f>InputData!$C$5</f>
        <v>0.01</v>
      </c>
      <c r="L1491" s="160">
        <f>InputData!$C$6</f>
        <v>6.2100000000000002E-2</v>
      </c>
      <c r="M1491" s="160">
        <f>InputData!$C$7</f>
        <v>0.03</v>
      </c>
      <c r="N1491" s="160">
        <f>InputData!$C$8</f>
        <v>0.02</v>
      </c>
      <c r="O1491" s="160">
        <f>InputData!$C$9</f>
        <v>0.06</v>
      </c>
      <c r="P1491" s="160">
        <f>InputData!$C$10</f>
        <v>0.02</v>
      </c>
      <c r="Q1491" s="160">
        <f>InputData!$C$11</f>
        <v>0.02</v>
      </c>
      <c r="R1491" s="160">
        <f>InputData!$C$12</f>
        <v>0.02</v>
      </c>
      <c r="S1491" s="160">
        <f>InputData!$C$13</f>
        <v>0.9</v>
      </c>
      <c r="T1491" s="116">
        <f>InputData!$C$88</f>
        <v>180000</v>
      </c>
      <c r="U1491" s="116">
        <f>InputData!$C$81</f>
        <v>178500</v>
      </c>
      <c r="V1491" s="116">
        <f>InputData!$C$82</f>
        <v>303960</v>
      </c>
      <c r="W1491" s="116">
        <f>InputData!$C$84</f>
        <v>215220</v>
      </c>
      <c r="X1491" s="116">
        <f>InputData!$C$85</f>
        <v>409020</v>
      </c>
      <c r="Y1491" s="116">
        <f>InputData!$C$116</f>
        <v>140000</v>
      </c>
      <c r="Z1491" s="160">
        <f>InputData!$E$13</f>
        <v>0</v>
      </c>
    </row>
    <row r="1492" spans="1:26" x14ac:dyDescent="0.25">
      <c r="A1492">
        <f>InputData!$K$1</f>
        <v>2013</v>
      </c>
      <c r="B1492" t="str">
        <f>InputData!$G$1</f>
        <v>San Antonio, TX</v>
      </c>
      <c r="C1492" t="s">
        <v>227</v>
      </c>
      <c r="D1492" t="str">
        <f>Graph_Ophtha!$K$6</f>
        <v>PAYEr</v>
      </c>
      <c r="E1492" t="str">
        <f t="shared" si="23"/>
        <v>Ophthalmology PAYEr</v>
      </c>
      <c r="F1492">
        <f>Graph_Ophtha!$A27</f>
        <v>2033</v>
      </c>
      <c r="G1492">
        <f>Graph_Ophtha!$B27</f>
        <v>21</v>
      </c>
      <c r="H1492" s="165">
        <f>Graph_Ophtha!$K27</f>
        <v>1086248.0789621661</v>
      </c>
      <c r="I1492" s="160">
        <f>InputData!$C$3</f>
        <v>0.02</v>
      </c>
      <c r="J1492" s="160">
        <f>InputData!$C$4</f>
        <v>0.01</v>
      </c>
      <c r="K1492" s="160">
        <f>InputData!$C$5</f>
        <v>0.01</v>
      </c>
      <c r="L1492" s="160">
        <f>InputData!$C$6</f>
        <v>6.2100000000000002E-2</v>
      </c>
      <c r="M1492" s="160">
        <f>InputData!$C$7</f>
        <v>0.03</v>
      </c>
      <c r="N1492" s="160">
        <f>InputData!$C$8</f>
        <v>0.02</v>
      </c>
      <c r="O1492" s="160">
        <f>InputData!$C$9</f>
        <v>0.06</v>
      </c>
      <c r="P1492" s="160">
        <f>InputData!$C$10</f>
        <v>0.02</v>
      </c>
      <c r="Q1492" s="160">
        <f>InputData!$C$11</f>
        <v>0.02</v>
      </c>
      <c r="R1492" s="160">
        <f>InputData!$C$12</f>
        <v>0.02</v>
      </c>
      <c r="S1492" s="160">
        <f>InputData!$C$13</f>
        <v>0.9</v>
      </c>
      <c r="T1492" s="116">
        <f>InputData!$C$88</f>
        <v>180000</v>
      </c>
      <c r="U1492" s="116">
        <f>InputData!$C$81</f>
        <v>178500</v>
      </c>
      <c r="V1492" s="116">
        <f>InputData!$C$82</f>
        <v>303960</v>
      </c>
      <c r="W1492" s="116">
        <f>InputData!$C$84</f>
        <v>215220</v>
      </c>
      <c r="X1492" s="116">
        <f>InputData!$C$85</f>
        <v>409020</v>
      </c>
      <c r="Y1492" s="116">
        <f>InputData!$C$116</f>
        <v>140000</v>
      </c>
      <c r="Z1492" s="160">
        <f>InputData!$E$13</f>
        <v>0</v>
      </c>
    </row>
    <row r="1493" spans="1:26" x14ac:dyDescent="0.25">
      <c r="A1493">
        <f>InputData!$K$1</f>
        <v>2013</v>
      </c>
      <c r="B1493" t="str">
        <f>InputData!$G$1</f>
        <v>San Antonio, TX</v>
      </c>
      <c r="C1493" t="s">
        <v>227</v>
      </c>
      <c r="D1493" t="str">
        <f>Graph_Ophtha!$K$6</f>
        <v>PAYEr</v>
      </c>
      <c r="E1493" t="str">
        <f t="shared" si="23"/>
        <v>Ophthalmology PAYEr</v>
      </c>
      <c r="F1493">
        <f>Graph_Ophtha!$A28</f>
        <v>2034</v>
      </c>
      <c r="G1493">
        <f>Graph_Ophtha!$B28</f>
        <v>22</v>
      </c>
      <c r="H1493" s="165">
        <f>Graph_Ophtha!$K28</f>
        <v>1162882.0113095187</v>
      </c>
      <c r="I1493" s="160">
        <f>InputData!$C$3</f>
        <v>0.02</v>
      </c>
      <c r="J1493" s="160">
        <f>InputData!$C$4</f>
        <v>0.01</v>
      </c>
      <c r="K1493" s="160">
        <f>InputData!$C$5</f>
        <v>0.01</v>
      </c>
      <c r="L1493" s="160">
        <f>InputData!$C$6</f>
        <v>6.2100000000000002E-2</v>
      </c>
      <c r="M1493" s="160">
        <f>InputData!$C$7</f>
        <v>0.03</v>
      </c>
      <c r="N1493" s="160">
        <f>InputData!$C$8</f>
        <v>0.02</v>
      </c>
      <c r="O1493" s="160">
        <f>InputData!$C$9</f>
        <v>0.06</v>
      </c>
      <c r="P1493" s="160">
        <f>InputData!$C$10</f>
        <v>0.02</v>
      </c>
      <c r="Q1493" s="160">
        <f>InputData!$C$11</f>
        <v>0.02</v>
      </c>
      <c r="R1493" s="160">
        <f>InputData!$C$12</f>
        <v>0.02</v>
      </c>
      <c r="S1493" s="160">
        <f>InputData!$C$13</f>
        <v>0.9</v>
      </c>
      <c r="T1493" s="116">
        <f>InputData!$C$88</f>
        <v>180000</v>
      </c>
      <c r="U1493" s="116">
        <f>InputData!$C$81</f>
        <v>178500</v>
      </c>
      <c r="V1493" s="116">
        <f>InputData!$C$82</f>
        <v>303960</v>
      </c>
      <c r="W1493" s="116">
        <f>InputData!$C$84</f>
        <v>215220</v>
      </c>
      <c r="X1493" s="116">
        <f>InputData!$C$85</f>
        <v>409020</v>
      </c>
      <c r="Y1493" s="116">
        <f>InputData!$C$116</f>
        <v>140000</v>
      </c>
      <c r="Z1493" s="160">
        <f>InputData!$E$13</f>
        <v>0</v>
      </c>
    </row>
    <row r="1494" spans="1:26" x14ac:dyDescent="0.25">
      <c r="A1494">
        <f>InputData!$K$1</f>
        <v>2013</v>
      </c>
      <c r="B1494" t="str">
        <f>InputData!$G$1</f>
        <v>San Antonio, TX</v>
      </c>
      <c r="C1494" t="s">
        <v>227</v>
      </c>
      <c r="D1494" t="str">
        <f>Graph_Ophtha!$K$6</f>
        <v>PAYEr</v>
      </c>
      <c r="E1494" t="str">
        <f t="shared" si="23"/>
        <v>Ophthalmology PAYEr</v>
      </c>
      <c r="F1494">
        <f>Graph_Ophtha!$A29</f>
        <v>2035</v>
      </c>
      <c r="G1494">
        <f>Graph_Ophtha!$B29</f>
        <v>23</v>
      </c>
      <c r="H1494" s="165">
        <f>Graph_Ophtha!$K29</f>
        <v>1245670.1882869587</v>
      </c>
      <c r="I1494" s="160">
        <f>InputData!$C$3</f>
        <v>0.02</v>
      </c>
      <c r="J1494" s="160">
        <f>InputData!$C$4</f>
        <v>0.01</v>
      </c>
      <c r="K1494" s="160">
        <f>InputData!$C$5</f>
        <v>0.01</v>
      </c>
      <c r="L1494" s="160">
        <f>InputData!$C$6</f>
        <v>6.2100000000000002E-2</v>
      </c>
      <c r="M1494" s="160">
        <f>InputData!$C$7</f>
        <v>0.03</v>
      </c>
      <c r="N1494" s="160">
        <f>InputData!$C$8</f>
        <v>0.02</v>
      </c>
      <c r="O1494" s="160">
        <f>InputData!$C$9</f>
        <v>0.06</v>
      </c>
      <c r="P1494" s="160">
        <f>InputData!$C$10</f>
        <v>0.02</v>
      </c>
      <c r="Q1494" s="160">
        <f>InputData!$C$11</f>
        <v>0.02</v>
      </c>
      <c r="R1494" s="160">
        <f>InputData!$C$12</f>
        <v>0.02</v>
      </c>
      <c r="S1494" s="160">
        <f>InputData!$C$13</f>
        <v>0.9</v>
      </c>
      <c r="T1494" s="116">
        <f>InputData!$C$88</f>
        <v>180000</v>
      </c>
      <c r="U1494" s="116">
        <f>InputData!$C$81</f>
        <v>178500</v>
      </c>
      <c r="V1494" s="116">
        <f>InputData!$C$82</f>
        <v>303960</v>
      </c>
      <c r="W1494" s="116">
        <f>InputData!$C$84</f>
        <v>215220</v>
      </c>
      <c r="X1494" s="116">
        <f>InputData!$C$85</f>
        <v>409020</v>
      </c>
      <c r="Y1494" s="116">
        <f>InputData!$C$116</f>
        <v>140000</v>
      </c>
      <c r="Z1494" s="160">
        <f>InputData!$E$13</f>
        <v>0</v>
      </c>
    </row>
    <row r="1495" spans="1:26" x14ac:dyDescent="0.25">
      <c r="A1495">
        <f>InputData!$K$1</f>
        <v>2013</v>
      </c>
      <c r="B1495" t="str">
        <f>InputData!$G$1</f>
        <v>San Antonio, TX</v>
      </c>
      <c r="C1495" t="s">
        <v>227</v>
      </c>
      <c r="D1495" t="str">
        <f>Graph_Ophtha!$K$6</f>
        <v>PAYEr</v>
      </c>
      <c r="E1495" t="str">
        <f t="shared" si="23"/>
        <v>Ophthalmology PAYEr</v>
      </c>
      <c r="F1495">
        <f>Graph_Ophtha!$A30</f>
        <v>2036</v>
      </c>
      <c r="G1495">
        <f>Graph_Ophtha!$B30</f>
        <v>24</v>
      </c>
      <c r="H1495" s="165">
        <f>Graph_Ophtha!$K30</f>
        <v>1329156.5710978599</v>
      </c>
      <c r="I1495" s="160">
        <f>InputData!$C$3</f>
        <v>0.02</v>
      </c>
      <c r="J1495" s="160">
        <f>InputData!$C$4</f>
        <v>0.01</v>
      </c>
      <c r="K1495" s="160">
        <f>InputData!$C$5</f>
        <v>0.01</v>
      </c>
      <c r="L1495" s="160">
        <f>InputData!$C$6</f>
        <v>6.2100000000000002E-2</v>
      </c>
      <c r="M1495" s="160">
        <f>InputData!$C$7</f>
        <v>0.03</v>
      </c>
      <c r="N1495" s="160">
        <f>InputData!$C$8</f>
        <v>0.02</v>
      </c>
      <c r="O1495" s="160">
        <f>InputData!$C$9</f>
        <v>0.06</v>
      </c>
      <c r="P1495" s="160">
        <f>InputData!$C$10</f>
        <v>0.02</v>
      </c>
      <c r="Q1495" s="160">
        <f>InputData!$C$11</f>
        <v>0.02</v>
      </c>
      <c r="R1495" s="160">
        <f>InputData!$C$12</f>
        <v>0.02</v>
      </c>
      <c r="S1495" s="160">
        <f>InputData!$C$13</f>
        <v>0.9</v>
      </c>
      <c r="T1495" s="116">
        <f>InputData!$C$88</f>
        <v>180000</v>
      </c>
      <c r="U1495" s="116">
        <f>InputData!$C$81</f>
        <v>178500</v>
      </c>
      <c r="V1495" s="116">
        <f>InputData!$C$82</f>
        <v>303960</v>
      </c>
      <c r="W1495" s="116">
        <f>InputData!$C$84</f>
        <v>215220</v>
      </c>
      <c r="X1495" s="116">
        <f>InputData!$C$85</f>
        <v>409020</v>
      </c>
      <c r="Y1495" s="116">
        <f>InputData!$C$116</f>
        <v>140000</v>
      </c>
      <c r="Z1495" s="160">
        <f>InputData!$E$13</f>
        <v>0</v>
      </c>
    </row>
    <row r="1496" spans="1:26" x14ac:dyDescent="0.25">
      <c r="A1496">
        <f>InputData!$K$1</f>
        <v>2013</v>
      </c>
      <c r="B1496" t="str">
        <f>InputData!$G$1</f>
        <v>San Antonio, TX</v>
      </c>
      <c r="C1496" t="s">
        <v>227</v>
      </c>
      <c r="D1496" t="str">
        <f>Graph_Ophtha!$K$6</f>
        <v>PAYEr</v>
      </c>
      <c r="E1496" t="str">
        <f t="shared" si="23"/>
        <v>Ophthalmology PAYEr</v>
      </c>
      <c r="F1496">
        <f>Graph_Ophtha!$A31</f>
        <v>2037</v>
      </c>
      <c r="G1496">
        <f>Graph_Ophtha!$B31</f>
        <v>25</v>
      </c>
      <c r="H1496" s="165">
        <f>Graph_Ophtha!$K31</f>
        <v>1410953.7204774129</v>
      </c>
      <c r="I1496" s="160">
        <f>InputData!$C$3</f>
        <v>0.02</v>
      </c>
      <c r="J1496" s="160">
        <f>InputData!$C$4</f>
        <v>0.01</v>
      </c>
      <c r="K1496" s="160">
        <f>InputData!$C$5</f>
        <v>0.01</v>
      </c>
      <c r="L1496" s="160">
        <f>InputData!$C$6</f>
        <v>6.2100000000000002E-2</v>
      </c>
      <c r="M1496" s="160">
        <f>InputData!$C$7</f>
        <v>0.03</v>
      </c>
      <c r="N1496" s="160">
        <f>InputData!$C$8</f>
        <v>0.02</v>
      </c>
      <c r="O1496" s="160">
        <f>InputData!$C$9</f>
        <v>0.06</v>
      </c>
      <c r="P1496" s="160">
        <f>InputData!$C$10</f>
        <v>0.02</v>
      </c>
      <c r="Q1496" s="160">
        <f>InputData!$C$11</f>
        <v>0.02</v>
      </c>
      <c r="R1496" s="160">
        <f>InputData!$C$12</f>
        <v>0.02</v>
      </c>
      <c r="S1496" s="160">
        <f>InputData!$C$13</f>
        <v>0.9</v>
      </c>
      <c r="T1496" s="116">
        <f>InputData!$C$88</f>
        <v>180000</v>
      </c>
      <c r="U1496" s="116">
        <f>InputData!$C$81</f>
        <v>178500</v>
      </c>
      <c r="V1496" s="116">
        <f>InputData!$C$82</f>
        <v>303960</v>
      </c>
      <c r="W1496" s="116">
        <f>InputData!$C$84</f>
        <v>215220</v>
      </c>
      <c r="X1496" s="116">
        <f>InputData!$C$85</f>
        <v>409020</v>
      </c>
      <c r="Y1496" s="116">
        <f>InputData!$C$116</f>
        <v>140000</v>
      </c>
      <c r="Z1496" s="160">
        <f>InputData!$E$13</f>
        <v>0</v>
      </c>
    </row>
    <row r="1497" spans="1:26" x14ac:dyDescent="0.25">
      <c r="A1497">
        <f>InputData!$K$1</f>
        <v>2013</v>
      </c>
      <c r="B1497" t="str">
        <f>InputData!$G$1</f>
        <v>San Antonio, TX</v>
      </c>
      <c r="C1497" t="s">
        <v>227</v>
      </c>
      <c r="D1497" t="str">
        <f>Graph_Ophtha!$K$6</f>
        <v>PAYEr</v>
      </c>
      <c r="E1497" t="str">
        <f t="shared" si="23"/>
        <v>Ophthalmology PAYEr</v>
      </c>
      <c r="F1497">
        <f>Graph_Ophtha!$A32</f>
        <v>2038</v>
      </c>
      <c r="G1497">
        <f>Graph_Ophtha!$B32</f>
        <v>26</v>
      </c>
      <c r="H1497" s="165">
        <f>Graph_Ophtha!$K32</f>
        <v>1491096.2803643183</v>
      </c>
      <c r="I1497" s="160">
        <f>InputData!$C$3</f>
        <v>0.02</v>
      </c>
      <c r="J1497" s="160">
        <f>InputData!$C$4</f>
        <v>0.01</v>
      </c>
      <c r="K1497" s="160">
        <f>InputData!$C$5</f>
        <v>0.01</v>
      </c>
      <c r="L1497" s="160">
        <f>InputData!$C$6</f>
        <v>6.2100000000000002E-2</v>
      </c>
      <c r="M1497" s="160">
        <f>InputData!$C$7</f>
        <v>0.03</v>
      </c>
      <c r="N1497" s="160">
        <f>InputData!$C$8</f>
        <v>0.02</v>
      </c>
      <c r="O1497" s="160">
        <f>InputData!$C$9</f>
        <v>0.06</v>
      </c>
      <c r="P1497" s="160">
        <f>InputData!$C$10</f>
        <v>0.02</v>
      </c>
      <c r="Q1497" s="160">
        <f>InputData!$C$11</f>
        <v>0.02</v>
      </c>
      <c r="R1497" s="160">
        <f>InputData!$C$12</f>
        <v>0.02</v>
      </c>
      <c r="S1497" s="160">
        <f>InputData!$C$13</f>
        <v>0.9</v>
      </c>
      <c r="T1497" s="116">
        <f>InputData!$C$88</f>
        <v>180000</v>
      </c>
      <c r="U1497" s="116">
        <f>InputData!$C$81</f>
        <v>178500</v>
      </c>
      <c r="V1497" s="116">
        <f>InputData!$C$82</f>
        <v>303960</v>
      </c>
      <c r="W1497" s="116">
        <f>InputData!$C$84</f>
        <v>215220</v>
      </c>
      <c r="X1497" s="116">
        <f>InputData!$C$85</f>
        <v>409020</v>
      </c>
      <c r="Y1497" s="116">
        <f>InputData!$C$116</f>
        <v>140000</v>
      </c>
      <c r="Z1497" s="160">
        <f>InputData!$E$13</f>
        <v>0</v>
      </c>
    </row>
    <row r="1498" spans="1:26" x14ac:dyDescent="0.25">
      <c r="A1498">
        <f>InputData!$K$1</f>
        <v>2013</v>
      </c>
      <c r="B1498" t="str">
        <f>InputData!$G$1</f>
        <v>San Antonio, TX</v>
      </c>
      <c r="C1498" t="s">
        <v>227</v>
      </c>
      <c r="D1498" t="str">
        <f>Graph_Ophtha!$K$6</f>
        <v>PAYEr</v>
      </c>
      <c r="E1498" t="str">
        <f t="shared" si="23"/>
        <v>Ophthalmology PAYEr</v>
      </c>
      <c r="F1498">
        <f>Graph_Ophtha!$A33</f>
        <v>2039</v>
      </c>
      <c r="G1498">
        <f>Graph_Ophtha!$B33</f>
        <v>27</v>
      </c>
      <c r="H1498" s="165">
        <f>Graph_Ophtha!$K33</f>
        <v>1569618.171082577</v>
      </c>
      <c r="I1498" s="160">
        <f>InputData!$C$3</f>
        <v>0.02</v>
      </c>
      <c r="J1498" s="160">
        <f>InputData!$C$4</f>
        <v>0.01</v>
      </c>
      <c r="K1498" s="160">
        <f>InputData!$C$5</f>
        <v>0.01</v>
      </c>
      <c r="L1498" s="160">
        <f>InputData!$C$6</f>
        <v>6.2100000000000002E-2</v>
      </c>
      <c r="M1498" s="160">
        <f>InputData!$C$7</f>
        <v>0.03</v>
      </c>
      <c r="N1498" s="160">
        <f>InputData!$C$8</f>
        <v>0.02</v>
      </c>
      <c r="O1498" s="160">
        <f>InputData!$C$9</f>
        <v>0.06</v>
      </c>
      <c r="P1498" s="160">
        <f>InputData!$C$10</f>
        <v>0.02</v>
      </c>
      <c r="Q1498" s="160">
        <f>InputData!$C$11</f>
        <v>0.02</v>
      </c>
      <c r="R1498" s="160">
        <f>InputData!$C$12</f>
        <v>0.02</v>
      </c>
      <c r="S1498" s="160">
        <f>InputData!$C$13</f>
        <v>0.9</v>
      </c>
      <c r="T1498" s="116">
        <f>InputData!$C$88</f>
        <v>180000</v>
      </c>
      <c r="U1498" s="116">
        <f>InputData!$C$81</f>
        <v>178500</v>
      </c>
      <c r="V1498" s="116">
        <f>InputData!$C$82</f>
        <v>303960</v>
      </c>
      <c r="W1498" s="116">
        <f>InputData!$C$84</f>
        <v>215220</v>
      </c>
      <c r="X1498" s="116">
        <f>InputData!$C$85</f>
        <v>409020</v>
      </c>
      <c r="Y1498" s="116">
        <f>InputData!$C$116</f>
        <v>140000</v>
      </c>
      <c r="Z1498" s="160">
        <f>InputData!$E$13</f>
        <v>0</v>
      </c>
    </row>
    <row r="1499" spans="1:26" x14ac:dyDescent="0.25">
      <c r="A1499">
        <f>InputData!$K$1</f>
        <v>2013</v>
      </c>
      <c r="B1499" t="str">
        <f>InputData!$G$1</f>
        <v>San Antonio, TX</v>
      </c>
      <c r="C1499" t="s">
        <v>227</v>
      </c>
      <c r="D1499" t="str">
        <f>Graph_Ophtha!$K$6</f>
        <v>PAYEr</v>
      </c>
      <c r="E1499" t="str">
        <f t="shared" si="23"/>
        <v>Ophthalmology PAYEr</v>
      </c>
      <c r="F1499">
        <f>Graph_Ophtha!$A34</f>
        <v>2040</v>
      </c>
      <c r="G1499">
        <f>Graph_Ophtha!$B34</f>
        <v>28</v>
      </c>
      <c r="H1499" s="165">
        <f>Graph_Ophtha!$K34</f>
        <v>1646552.6048209409</v>
      </c>
      <c r="I1499" s="160">
        <f>InputData!$C$3</f>
        <v>0.02</v>
      </c>
      <c r="J1499" s="160">
        <f>InputData!$C$4</f>
        <v>0.01</v>
      </c>
      <c r="K1499" s="160">
        <f>InputData!$C$5</f>
        <v>0.01</v>
      </c>
      <c r="L1499" s="160">
        <f>InputData!$C$6</f>
        <v>6.2100000000000002E-2</v>
      </c>
      <c r="M1499" s="160">
        <f>InputData!$C$7</f>
        <v>0.03</v>
      </c>
      <c r="N1499" s="160">
        <f>InputData!$C$8</f>
        <v>0.02</v>
      </c>
      <c r="O1499" s="160">
        <f>InputData!$C$9</f>
        <v>0.06</v>
      </c>
      <c r="P1499" s="160">
        <f>InputData!$C$10</f>
        <v>0.02</v>
      </c>
      <c r="Q1499" s="160">
        <f>InputData!$C$11</f>
        <v>0.02</v>
      </c>
      <c r="R1499" s="160">
        <f>InputData!$C$12</f>
        <v>0.02</v>
      </c>
      <c r="S1499" s="160">
        <f>InputData!$C$13</f>
        <v>0.9</v>
      </c>
      <c r="T1499" s="116">
        <f>InputData!$C$88</f>
        <v>180000</v>
      </c>
      <c r="U1499" s="116">
        <f>InputData!$C$81</f>
        <v>178500</v>
      </c>
      <c r="V1499" s="116">
        <f>InputData!$C$82</f>
        <v>303960</v>
      </c>
      <c r="W1499" s="116">
        <f>InputData!$C$84</f>
        <v>215220</v>
      </c>
      <c r="X1499" s="116">
        <f>InputData!$C$85</f>
        <v>409020</v>
      </c>
      <c r="Y1499" s="116">
        <f>InputData!$C$116</f>
        <v>140000</v>
      </c>
      <c r="Z1499" s="160">
        <f>InputData!$E$13</f>
        <v>0</v>
      </c>
    </row>
    <row r="1500" spans="1:26" x14ac:dyDescent="0.25">
      <c r="A1500">
        <f>InputData!$K$1</f>
        <v>2013</v>
      </c>
      <c r="B1500" t="str">
        <f>InputData!$G$1</f>
        <v>San Antonio, TX</v>
      </c>
      <c r="C1500" t="s">
        <v>227</v>
      </c>
      <c r="D1500" t="str">
        <f>Graph_Ophtha!$K$6</f>
        <v>PAYEr</v>
      </c>
      <c r="E1500" t="str">
        <f t="shared" si="23"/>
        <v>Ophthalmology PAYEr</v>
      </c>
      <c r="F1500">
        <f>Graph_Ophtha!$A35</f>
        <v>2041</v>
      </c>
      <c r="G1500">
        <f>Graph_Ophtha!$B35</f>
        <v>29</v>
      </c>
      <c r="H1500" s="165">
        <f>Graph_Ophtha!$K35</f>
        <v>1721932.100771243</v>
      </c>
      <c r="I1500" s="160">
        <f>InputData!$C$3</f>
        <v>0.02</v>
      </c>
      <c r="J1500" s="160">
        <f>InputData!$C$4</f>
        <v>0.01</v>
      </c>
      <c r="K1500" s="160">
        <f>InputData!$C$5</f>
        <v>0.01</v>
      </c>
      <c r="L1500" s="160">
        <f>InputData!$C$6</f>
        <v>6.2100000000000002E-2</v>
      </c>
      <c r="M1500" s="160">
        <f>InputData!$C$7</f>
        <v>0.03</v>
      </c>
      <c r="N1500" s="160">
        <f>InputData!$C$8</f>
        <v>0.02</v>
      </c>
      <c r="O1500" s="160">
        <f>InputData!$C$9</f>
        <v>0.06</v>
      </c>
      <c r="P1500" s="160">
        <f>InputData!$C$10</f>
        <v>0.02</v>
      </c>
      <c r="Q1500" s="160">
        <f>InputData!$C$11</f>
        <v>0.02</v>
      </c>
      <c r="R1500" s="160">
        <f>InputData!$C$12</f>
        <v>0.02</v>
      </c>
      <c r="S1500" s="160">
        <f>InputData!$C$13</f>
        <v>0.9</v>
      </c>
      <c r="T1500" s="116">
        <f>InputData!$C$88</f>
        <v>180000</v>
      </c>
      <c r="U1500" s="116">
        <f>InputData!$C$81</f>
        <v>178500</v>
      </c>
      <c r="V1500" s="116">
        <f>InputData!$C$82</f>
        <v>303960</v>
      </c>
      <c r="W1500" s="116">
        <f>InputData!$C$84</f>
        <v>215220</v>
      </c>
      <c r="X1500" s="116">
        <f>InputData!$C$85</f>
        <v>409020</v>
      </c>
      <c r="Y1500" s="116">
        <f>InputData!$C$116</f>
        <v>140000</v>
      </c>
      <c r="Z1500" s="160">
        <f>InputData!$E$13</f>
        <v>0</v>
      </c>
    </row>
    <row r="1501" spans="1:26" x14ac:dyDescent="0.25">
      <c r="A1501">
        <f>InputData!$K$1</f>
        <v>2013</v>
      </c>
      <c r="B1501" t="str">
        <f>InputData!$G$1</f>
        <v>San Antonio, TX</v>
      </c>
      <c r="C1501" t="s">
        <v>227</v>
      </c>
      <c r="D1501" t="str">
        <f>Graph_Ophtha!$K$6</f>
        <v>PAYEr</v>
      </c>
      <c r="E1501" t="str">
        <f t="shared" si="23"/>
        <v>Ophthalmology PAYEr</v>
      </c>
      <c r="F1501">
        <f>Graph_Ophtha!$A36</f>
        <v>2042</v>
      </c>
      <c r="G1501">
        <f>Graph_Ophtha!$B36</f>
        <v>30</v>
      </c>
      <c r="H1501" s="165">
        <f>Graph_Ophtha!$K36</f>
        <v>1795788.4999333934</v>
      </c>
      <c r="I1501" s="160">
        <f>InputData!$C$3</f>
        <v>0.02</v>
      </c>
      <c r="J1501" s="160">
        <f>InputData!$C$4</f>
        <v>0.01</v>
      </c>
      <c r="K1501" s="160">
        <f>InputData!$C$5</f>
        <v>0.01</v>
      </c>
      <c r="L1501" s="160">
        <f>InputData!$C$6</f>
        <v>6.2100000000000002E-2</v>
      </c>
      <c r="M1501" s="160">
        <f>InputData!$C$7</f>
        <v>0.03</v>
      </c>
      <c r="N1501" s="160">
        <f>InputData!$C$8</f>
        <v>0.02</v>
      </c>
      <c r="O1501" s="160">
        <f>InputData!$C$9</f>
        <v>0.06</v>
      </c>
      <c r="P1501" s="160">
        <f>InputData!$C$10</f>
        <v>0.02</v>
      </c>
      <c r="Q1501" s="160">
        <f>InputData!$C$11</f>
        <v>0.02</v>
      </c>
      <c r="R1501" s="160">
        <f>InputData!$C$12</f>
        <v>0.02</v>
      </c>
      <c r="S1501" s="160">
        <f>InputData!$C$13</f>
        <v>0.9</v>
      </c>
      <c r="T1501" s="116">
        <f>InputData!$C$88</f>
        <v>180000</v>
      </c>
      <c r="U1501" s="116">
        <f>InputData!$C$81</f>
        <v>178500</v>
      </c>
      <c r="V1501" s="116">
        <f>InputData!$C$82</f>
        <v>303960</v>
      </c>
      <c r="W1501" s="116">
        <f>InputData!$C$84</f>
        <v>215220</v>
      </c>
      <c r="X1501" s="116">
        <f>InputData!$C$85</f>
        <v>409020</v>
      </c>
      <c r="Y1501" s="116">
        <f>InputData!$C$116</f>
        <v>140000</v>
      </c>
      <c r="Z1501" s="160">
        <f>InputData!$E$13</f>
        <v>0</v>
      </c>
    </row>
    <row r="1502" spans="1:26" x14ac:dyDescent="0.25">
      <c r="A1502">
        <f>InputData!$K$1</f>
        <v>2013</v>
      </c>
      <c r="B1502" t="str">
        <f>InputData!$G$1</f>
        <v>San Antonio, TX</v>
      </c>
      <c r="C1502" t="s">
        <v>227</v>
      </c>
      <c r="D1502" t="str">
        <f>Graph_Ophtha!$L$6</f>
        <v>USU20</v>
      </c>
      <c r="E1502" t="str">
        <f t="shared" si="23"/>
        <v>Ophthalmology USU20</v>
      </c>
      <c r="F1502">
        <f>Graph_Ophtha!$A7</f>
        <v>2013</v>
      </c>
      <c r="G1502">
        <f>Graph_Ophtha!$B7</f>
        <v>1</v>
      </c>
      <c r="H1502" s="165">
        <f>Graph_Ophtha!$L7</f>
        <v>54056.194799999997</v>
      </c>
      <c r="I1502" s="160">
        <f>InputData!$C$3</f>
        <v>0.02</v>
      </c>
      <c r="J1502" s="160">
        <f>InputData!$C$4</f>
        <v>0.01</v>
      </c>
      <c r="K1502" s="160">
        <f>InputData!$C$5</f>
        <v>0.01</v>
      </c>
      <c r="L1502" s="160">
        <f>InputData!$C$6</f>
        <v>6.2100000000000002E-2</v>
      </c>
      <c r="M1502" s="160">
        <f>InputData!$C$7</f>
        <v>0.03</v>
      </c>
      <c r="N1502" s="160">
        <f>InputData!$C$8</f>
        <v>0.02</v>
      </c>
      <c r="O1502" s="160">
        <f>InputData!$C$9</f>
        <v>0.06</v>
      </c>
      <c r="P1502" s="160">
        <f>InputData!$C$10</f>
        <v>0.02</v>
      </c>
      <c r="Q1502" s="160">
        <f>InputData!$C$11</f>
        <v>0.02</v>
      </c>
      <c r="R1502" s="160">
        <f>InputData!$C$12</f>
        <v>0.02</v>
      </c>
      <c r="S1502" s="160">
        <f>InputData!$C$13</f>
        <v>0.9</v>
      </c>
      <c r="T1502" s="116">
        <f>InputData!$C$88</f>
        <v>180000</v>
      </c>
      <c r="U1502" s="116">
        <f>InputData!$C$81</f>
        <v>178500</v>
      </c>
      <c r="V1502" s="116">
        <f>InputData!$C$82</f>
        <v>303960</v>
      </c>
      <c r="W1502" s="116">
        <f>InputData!$C$84</f>
        <v>215220</v>
      </c>
      <c r="X1502" s="116">
        <f>InputData!$C$85</f>
        <v>409020</v>
      </c>
      <c r="Y1502" s="116">
        <f>InputData!$C$116</f>
        <v>140000</v>
      </c>
      <c r="Z1502" s="160">
        <f>InputData!$E$13</f>
        <v>0</v>
      </c>
    </row>
    <row r="1503" spans="1:26" x14ac:dyDescent="0.25">
      <c r="A1503">
        <f>InputData!$K$1</f>
        <v>2013</v>
      </c>
      <c r="B1503" t="str">
        <f>InputData!$G$1</f>
        <v>San Antonio, TX</v>
      </c>
      <c r="C1503" t="s">
        <v>227</v>
      </c>
      <c r="D1503" t="str">
        <f>Graph_Ophtha!$L$6</f>
        <v>USU20</v>
      </c>
      <c r="E1503" t="str">
        <f t="shared" si="23"/>
        <v>Ophthalmology USU20</v>
      </c>
      <c r="F1503">
        <f>Graph_Ophtha!$A8</f>
        <v>2014</v>
      </c>
      <c r="G1503">
        <f>Graph_Ophtha!$B8</f>
        <v>2</v>
      </c>
      <c r="H1503" s="165">
        <f>Graph_Ophtha!$L8</f>
        <v>106041.93556527697</v>
      </c>
      <c r="I1503" s="160">
        <f>InputData!$C$3</f>
        <v>0.02</v>
      </c>
      <c r="J1503" s="160">
        <f>InputData!$C$4</f>
        <v>0.01</v>
      </c>
      <c r="K1503" s="160">
        <f>InputData!$C$5</f>
        <v>0.01</v>
      </c>
      <c r="L1503" s="160">
        <f>InputData!$C$6</f>
        <v>6.2100000000000002E-2</v>
      </c>
      <c r="M1503" s="160">
        <f>InputData!$C$7</f>
        <v>0.03</v>
      </c>
      <c r="N1503" s="160">
        <f>InputData!$C$8</f>
        <v>0.02</v>
      </c>
      <c r="O1503" s="160">
        <f>InputData!$C$9</f>
        <v>0.06</v>
      </c>
      <c r="P1503" s="160">
        <f>InputData!$C$10</f>
        <v>0.02</v>
      </c>
      <c r="Q1503" s="160">
        <f>InputData!$C$11</f>
        <v>0.02</v>
      </c>
      <c r="R1503" s="160">
        <f>InputData!$C$12</f>
        <v>0.02</v>
      </c>
      <c r="S1503" s="160">
        <f>InputData!$C$13</f>
        <v>0.9</v>
      </c>
      <c r="T1503" s="116">
        <f>InputData!$C$88</f>
        <v>180000</v>
      </c>
      <c r="U1503" s="116">
        <f>InputData!$C$81</f>
        <v>178500</v>
      </c>
      <c r="V1503" s="116">
        <f>InputData!$C$82</f>
        <v>303960</v>
      </c>
      <c r="W1503" s="116">
        <f>InputData!$C$84</f>
        <v>215220</v>
      </c>
      <c r="X1503" s="116">
        <f>InputData!$C$85</f>
        <v>409020</v>
      </c>
      <c r="Y1503" s="116">
        <f>InputData!$C$116</f>
        <v>140000</v>
      </c>
      <c r="Z1503" s="160">
        <f>InputData!$E$13</f>
        <v>0</v>
      </c>
    </row>
    <row r="1504" spans="1:26" x14ac:dyDescent="0.25">
      <c r="A1504">
        <f>InputData!$K$1</f>
        <v>2013</v>
      </c>
      <c r="B1504" t="str">
        <f>InputData!$G$1</f>
        <v>San Antonio, TX</v>
      </c>
      <c r="C1504" t="s">
        <v>227</v>
      </c>
      <c r="D1504" t="str">
        <f>Graph_Ophtha!$L$6</f>
        <v>USU20</v>
      </c>
      <c r="E1504" t="str">
        <f t="shared" si="23"/>
        <v>Ophthalmology USU20</v>
      </c>
      <c r="F1504">
        <f>Graph_Ophtha!$A9</f>
        <v>2015</v>
      </c>
      <c r="G1504">
        <f>Graph_Ophtha!$B9</f>
        <v>3</v>
      </c>
      <c r="H1504" s="165">
        <f>Graph_Ophtha!$L9</f>
        <v>157045.52189700573</v>
      </c>
      <c r="I1504" s="160">
        <f>InputData!$C$3</f>
        <v>0.02</v>
      </c>
      <c r="J1504" s="160">
        <f>InputData!$C$4</f>
        <v>0.01</v>
      </c>
      <c r="K1504" s="160">
        <f>InputData!$C$5</f>
        <v>0.01</v>
      </c>
      <c r="L1504" s="160">
        <f>InputData!$C$6</f>
        <v>6.2100000000000002E-2</v>
      </c>
      <c r="M1504" s="160">
        <f>InputData!$C$7</f>
        <v>0.03</v>
      </c>
      <c r="N1504" s="160">
        <f>InputData!$C$8</f>
        <v>0.02</v>
      </c>
      <c r="O1504" s="160">
        <f>InputData!$C$9</f>
        <v>0.06</v>
      </c>
      <c r="P1504" s="160">
        <f>InputData!$C$10</f>
        <v>0.02</v>
      </c>
      <c r="Q1504" s="160">
        <f>InputData!$C$11</f>
        <v>0.02</v>
      </c>
      <c r="R1504" s="160">
        <f>InputData!$C$12</f>
        <v>0.02</v>
      </c>
      <c r="S1504" s="160">
        <f>InputData!$C$13</f>
        <v>0.9</v>
      </c>
      <c r="T1504" s="116">
        <f>InputData!$C$88</f>
        <v>180000</v>
      </c>
      <c r="U1504" s="116">
        <f>InputData!$C$81</f>
        <v>178500</v>
      </c>
      <c r="V1504" s="116">
        <f>InputData!$C$82</f>
        <v>303960</v>
      </c>
      <c r="W1504" s="116">
        <f>InputData!$C$84</f>
        <v>215220</v>
      </c>
      <c r="X1504" s="116">
        <f>InputData!$C$85</f>
        <v>409020</v>
      </c>
      <c r="Y1504" s="116">
        <f>InputData!$C$116</f>
        <v>140000</v>
      </c>
      <c r="Z1504" s="160">
        <f>InputData!$E$13</f>
        <v>0</v>
      </c>
    </row>
    <row r="1505" spans="1:26" x14ac:dyDescent="0.25">
      <c r="A1505">
        <f>InputData!$K$1</f>
        <v>2013</v>
      </c>
      <c r="B1505" t="str">
        <f>InputData!$G$1</f>
        <v>San Antonio, TX</v>
      </c>
      <c r="C1505" t="s">
        <v>227</v>
      </c>
      <c r="D1505" t="str">
        <f>Graph_Ophtha!$L$6</f>
        <v>USU20</v>
      </c>
      <c r="E1505" t="str">
        <f t="shared" si="23"/>
        <v>Ophthalmology USU20</v>
      </c>
      <c r="F1505">
        <f>Graph_Ophtha!$A10</f>
        <v>2016</v>
      </c>
      <c r="G1505">
        <f>Graph_Ophtha!$B10</f>
        <v>4</v>
      </c>
      <c r="H1505" s="165">
        <f>Graph_Ophtha!$L10</f>
        <v>211251.55229740124</v>
      </c>
      <c r="I1505" s="160">
        <f>InputData!$C$3</f>
        <v>0.02</v>
      </c>
      <c r="J1505" s="160">
        <f>InputData!$C$4</f>
        <v>0.01</v>
      </c>
      <c r="K1505" s="160">
        <f>InputData!$C$5</f>
        <v>0.01</v>
      </c>
      <c r="L1505" s="160">
        <f>InputData!$C$6</f>
        <v>6.2100000000000002E-2</v>
      </c>
      <c r="M1505" s="160">
        <f>InputData!$C$7</f>
        <v>0.03</v>
      </c>
      <c r="N1505" s="160">
        <f>InputData!$C$8</f>
        <v>0.02</v>
      </c>
      <c r="O1505" s="160">
        <f>InputData!$C$9</f>
        <v>0.06</v>
      </c>
      <c r="P1505" s="160">
        <f>InputData!$C$10</f>
        <v>0.02</v>
      </c>
      <c r="Q1505" s="160">
        <f>InputData!$C$11</f>
        <v>0.02</v>
      </c>
      <c r="R1505" s="160">
        <f>InputData!$C$12</f>
        <v>0.02</v>
      </c>
      <c r="S1505" s="160">
        <f>InputData!$C$13</f>
        <v>0.9</v>
      </c>
      <c r="T1505" s="116">
        <f>InputData!$C$88</f>
        <v>180000</v>
      </c>
      <c r="U1505" s="116">
        <f>InputData!$C$81</f>
        <v>178500</v>
      </c>
      <c r="V1505" s="116">
        <f>InputData!$C$82</f>
        <v>303960</v>
      </c>
      <c r="W1505" s="116">
        <f>InputData!$C$84</f>
        <v>215220</v>
      </c>
      <c r="X1505" s="116">
        <f>InputData!$C$85</f>
        <v>409020</v>
      </c>
      <c r="Y1505" s="116">
        <f>InputData!$C$116</f>
        <v>140000</v>
      </c>
      <c r="Z1505" s="160">
        <f>InputData!$E$13</f>
        <v>0</v>
      </c>
    </row>
    <row r="1506" spans="1:26" x14ac:dyDescent="0.25">
      <c r="A1506">
        <f>InputData!$K$1</f>
        <v>2013</v>
      </c>
      <c r="B1506" t="str">
        <f>InputData!$G$1</f>
        <v>San Antonio, TX</v>
      </c>
      <c r="C1506" t="s">
        <v>227</v>
      </c>
      <c r="D1506" t="str">
        <f>Graph_Ophtha!$L$6</f>
        <v>USU20</v>
      </c>
      <c r="E1506" t="str">
        <f t="shared" si="23"/>
        <v>Ophthalmology USU20</v>
      </c>
      <c r="F1506">
        <f>Graph_Ophtha!$A11</f>
        <v>2017</v>
      </c>
      <c r="G1506">
        <f>Graph_Ophtha!$B11</f>
        <v>5</v>
      </c>
      <c r="H1506" s="165">
        <f>Graph_Ophtha!$L11</f>
        <v>261213.54479899554</v>
      </c>
      <c r="I1506" s="160">
        <f>InputData!$C$3</f>
        <v>0.02</v>
      </c>
      <c r="J1506" s="160">
        <f>InputData!$C$4</f>
        <v>0.01</v>
      </c>
      <c r="K1506" s="160">
        <f>InputData!$C$5</f>
        <v>0.01</v>
      </c>
      <c r="L1506" s="160">
        <f>InputData!$C$6</f>
        <v>6.2100000000000002E-2</v>
      </c>
      <c r="M1506" s="160">
        <f>InputData!$C$7</f>
        <v>0.03</v>
      </c>
      <c r="N1506" s="160">
        <f>InputData!$C$8</f>
        <v>0.02</v>
      </c>
      <c r="O1506" s="160">
        <f>InputData!$C$9</f>
        <v>0.06</v>
      </c>
      <c r="P1506" s="160">
        <f>InputData!$C$10</f>
        <v>0.02</v>
      </c>
      <c r="Q1506" s="160">
        <f>InputData!$C$11</f>
        <v>0.02</v>
      </c>
      <c r="R1506" s="160">
        <f>InputData!$C$12</f>
        <v>0.02</v>
      </c>
      <c r="S1506" s="160">
        <f>InputData!$C$13</f>
        <v>0.9</v>
      </c>
      <c r="T1506" s="116">
        <f>InputData!$C$88</f>
        <v>180000</v>
      </c>
      <c r="U1506" s="116">
        <f>InputData!$C$81</f>
        <v>178500</v>
      </c>
      <c r="V1506" s="116">
        <f>InputData!$C$82</f>
        <v>303960</v>
      </c>
      <c r="W1506" s="116">
        <f>InputData!$C$84</f>
        <v>215220</v>
      </c>
      <c r="X1506" s="116">
        <f>InputData!$C$85</f>
        <v>409020</v>
      </c>
      <c r="Y1506" s="116">
        <f>InputData!$C$116</f>
        <v>140000</v>
      </c>
      <c r="Z1506" s="160">
        <f>InputData!$E$13</f>
        <v>0</v>
      </c>
    </row>
    <row r="1507" spans="1:26" x14ac:dyDescent="0.25">
      <c r="A1507">
        <f>InputData!$K$1</f>
        <v>2013</v>
      </c>
      <c r="B1507" t="str">
        <f>InputData!$G$1</f>
        <v>San Antonio, TX</v>
      </c>
      <c r="C1507" t="s">
        <v>227</v>
      </c>
      <c r="D1507" t="str">
        <f>Graph_Ophtha!$L$6</f>
        <v>USU20</v>
      </c>
      <c r="E1507" t="str">
        <f t="shared" si="23"/>
        <v>Ophthalmology USU20</v>
      </c>
      <c r="F1507">
        <f>Graph_Ophtha!$A12</f>
        <v>2018</v>
      </c>
      <c r="G1507">
        <f>Graph_Ophtha!$B12</f>
        <v>6</v>
      </c>
      <c r="H1507" s="165">
        <f>Graph_Ophtha!$L12</f>
        <v>311474.37448667729</v>
      </c>
      <c r="I1507" s="160">
        <f>InputData!$C$3</f>
        <v>0.02</v>
      </c>
      <c r="J1507" s="160">
        <f>InputData!$C$4</f>
        <v>0.01</v>
      </c>
      <c r="K1507" s="160">
        <f>InputData!$C$5</f>
        <v>0.01</v>
      </c>
      <c r="L1507" s="160">
        <f>InputData!$C$6</f>
        <v>6.2100000000000002E-2</v>
      </c>
      <c r="M1507" s="160">
        <f>InputData!$C$7</f>
        <v>0.03</v>
      </c>
      <c r="N1507" s="160">
        <f>InputData!$C$8</f>
        <v>0.02</v>
      </c>
      <c r="O1507" s="160">
        <f>InputData!$C$9</f>
        <v>0.06</v>
      </c>
      <c r="P1507" s="160">
        <f>InputData!$C$10</f>
        <v>0.02</v>
      </c>
      <c r="Q1507" s="160">
        <f>InputData!$C$11</f>
        <v>0.02</v>
      </c>
      <c r="R1507" s="160">
        <f>InputData!$C$12</f>
        <v>0.02</v>
      </c>
      <c r="S1507" s="160">
        <f>InputData!$C$13</f>
        <v>0.9</v>
      </c>
      <c r="T1507" s="116">
        <f>InputData!$C$88</f>
        <v>180000</v>
      </c>
      <c r="U1507" s="116">
        <f>InputData!$C$81</f>
        <v>178500</v>
      </c>
      <c r="V1507" s="116">
        <f>InputData!$C$82</f>
        <v>303960</v>
      </c>
      <c r="W1507" s="116">
        <f>InputData!$C$84</f>
        <v>215220</v>
      </c>
      <c r="X1507" s="116">
        <f>InputData!$C$85</f>
        <v>409020</v>
      </c>
      <c r="Y1507" s="116">
        <f>InputData!$C$116</f>
        <v>140000</v>
      </c>
      <c r="Z1507" s="160">
        <f>InputData!$E$13</f>
        <v>0</v>
      </c>
    </row>
    <row r="1508" spans="1:26" x14ac:dyDescent="0.25">
      <c r="A1508">
        <f>InputData!$K$1</f>
        <v>2013</v>
      </c>
      <c r="B1508" t="str">
        <f>InputData!$G$1</f>
        <v>San Antonio, TX</v>
      </c>
      <c r="C1508" t="s">
        <v>227</v>
      </c>
      <c r="D1508" t="str">
        <f>Graph_Ophtha!$L$6</f>
        <v>USU20</v>
      </c>
      <c r="E1508" t="str">
        <f t="shared" si="23"/>
        <v>Ophthalmology USU20</v>
      </c>
      <c r="F1508">
        <f>Graph_Ophtha!$A13</f>
        <v>2019</v>
      </c>
      <c r="G1508">
        <f>Graph_Ophtha!$B13</f>
        <v>7</v>
      </c>
      <c r="H1508" s="165">
        <f>Graph_Ophtha!$L13</f>
        <v>363115.97670968575</v>
      </c>
      <c r="I1508" s="160">
        <f>InputData!$C$3</f>
        <v>0.02</v>
      </c>
      <c r="J1508" s="160">
        <f>InputData!$C$4</f>
        <v>0.01</v>
      </c>
      <c r="K1508" s="160">
        <f>InputData!$C$5</f>
        <v>0.01</v>
      </c>
      <c r="L1508" s="160">
        <f>InputData!$C$6</f>
        <v>6.2100000000000002E-2</v>
      </c>
      <c r="M1508" s="160">
        <f>InputData!$C$7</f>
        <v>0.03</v>
      </c>
      <c r="N1508" s="160">
        <f>InputData!$C$8</f>
        <v>0.02</v>
      </c>
      <c r="O1508" s="160">
        <f>InputData!$C$9</f>
        <v>0.06</v>
      </c>
      <c r="P1508" s="160">
        <f>InputData!$C$10</f>
        <v>0.02</v>
      </c>
      <c r="Q1508" s="160">
        <f>InputData!$C$11</f>
        <v>0.02</v>
      </c>
      <c r="R1508" s="160">
        <f>InputData!$C$12</f>
        <v>0.02</v>
      </c>
      <c r="S1508" s="160">
        <f>InputData!$C$13</f>
        <v>0.9</v>
      </c>
      <c r="T1508" s="116">
        <f>InputData!$C$88</f>
        <v>180000</v>
      </c>
      <c r="U1508" s="116">
        <f>InputData!$C$81</f>
        <v>178500</v>
      </c>
      <c r="V1508" s="116">
        <f>InputData!$C$82</f>
        <v>303960</v>
      </c>
      <c r="W1508" s="116">
        <f>InputData!$C$84</f>
        <v>215220</v>
      </c>
      <c r="X1508" s="116">
        <f>InputData!$C$85</f>
        <v>409020</v>
      </c>
      <c r="Y1508" s="116">
        <f>InputData!$C$116</f>
        <v>140000</v>
      </c>
      <c r="Z1508" s="160">
        <f>InputData!$E$13</f>
        <v>0</v>
      </c>
    </row>
    <row r="1509" spans="1:26" x14ac:dyDescent="0.25">
      <c r="A1509">
        <f>InputData!$K$1</f>
        <v>2013</v>
      </c>
      <c r="B1509" t="str">
        <f>InputData!$G$1</f>
        <v>San Antonio, TX</v>
      </c>
      <c r="C1509" t="s">
        <v>227</v>
      </c>
      <c r="D1509" t="str">
        <f>Graph_Ophtha!$L$6</f>
        <v>USU20</v>
      </c>
      <c r="E1509" t="str">
        <f t="shared" si="23"/>
        <v>Ophthalmology USU20</v>
      </c>
      <c r="F1509">
        <f>Graph_Ophtha!$A14</f>
        <v>2020</v>
      </c>
      <c r="G1509">
        <f>Graph_Ophtha!$B14</f>
        <v>8</v>
      </c>
      <c r="H1509" s="165">
        <f>Graph_Ophtha!$L14</f>
        <v>414930.34262192424</v>
      </c>
      <c r="I1509" s="160">
        <f>InputData!$C$3</f>
        <v>0.02</v>
      </c>
      <c r="J1509" s="160">
        <f>InputData!$C$4</f>
        <v>0.01</v>
      </c>
      <c r="K1509" s="160">
        <f>InputData!$C$5</f>
        <v>0.01</v>
      </c>
      <c r="L1509" s="160">
        <f>InputData!$C$6</f>
        <v>6.2100000000000002E-2</v>
      </c>
      <c r="M1509" s="160">
        <f>InputData!$C$7</f>
        <v>0.03</v>
      </c>
      <c r="N1509" s="160">
        <f>InputData!$C$8</f>
        <v>0.02</v>
      </c>
      <c r="O1509" s="160">
        <f>InputData!$C$9</f>
        <v>0.06</v>
      </c>
      <c r="P1509" s="160">
        <f>InputData!$C$10</f>
        <v>0.02</v>
      </c>
      <c r="Q1509" s="160">
        <f>InputData!$C$11</f>
        <v>0.02</v>
      </c>
      <c r="R1509" s="160">
        <f>InputData!$C$12</f>
        <v>0.02</v>
      </c>
      <c r="S1509" s="160">
        <f>InputData!$C$13</f>
        <v>0.9</v>
      </c>
      <c r="T1509" s="116">
        <f>InputData!$C$88</f>
        <v>180000</v>
      </c>
      <c r="U1509" s="116">
        <f>InputData!$C$81</f>
        <v>178500</v>
      </c>
      <c r="V1509" s="116">
        <f>InputData!$C$82</f>
        <v>303960</v>
      </c>
      <c r="W1509" s="116">
        <f>InputData!$C$84</f>
        <v>215220</v>
      </c>
      <c r="X1509" s="116">
        <f>InputData!$C$85</f>
        <v>409020</v>
      </c>
      <c r="Y1509" s="116">
        <f>InputData!$C$116</f>
        <v>140000</v>
      </c>
      <c r="Z1509" s="160">
        <f>InputData!$E$13</f>
        <v>0</v>
      </c>
    </row>
    <row r="1510" spans="1:26" x14ac:dyDescent="0.25">
      <c r="A1510">
        <f>InputData!$K$1</f>
        <v>2013</v>
      </c>
      <c r="B1510" t="str">
        <f>InputData!$G$1</f>
        <v>San Antonio, TX</v>
      </c>
      <c r="C1510" t="s">
        <v>227</v>
      </c>
      <c r="D1510" t="str">
        <f>Graph_Ophtha!$L$6</f>
        <v>USU20</v>
      </c>
      <c r="E1510" t="str">
        <f t="shared" si="23"/>
        <v>Ophthalmology USU20</v>
      </c>
      <c r="F1510">
        <f>Graph_Ophtha!$A15</f>
        <v>2021</v>
      </c>
      <c r="G1510">
        <f>Graph_Ophtha!$B15</f>
        <v>9</v>
      </c>
      <c r="H1510" s="165">
        <f>Graph_Ophtha!$L15</f>
        <v>474661.52056107915</v>
      </c>
      <c r="I1510" s="160">
        <f>InputData!$C$3</f>
        <v>0.02</v>
      </c>
      <c r="J1510" s="160">
        <f>InputData!$C$4</f>
        <v>0.01</v>
      </c>
      <c r="K1510" s="160">
        <f>InputData!$C$5</f>
        <v>0.01</v>
      </c>
      <c r="L1510" s="160">
        <f>InputData!$C$6</f>
        <v>6.2100000000000002E-2</v>
      </c>
      <c r="M1510" s="160">
        <f>InputData!$C$7</f>
        <v>0.03</v>
      </c>
      <c r="N1510" s="160">
        <f>InputData!$C$8</f>
        <v>0.02</v>
      </c>
      <c r="O1510" s="160">
        <f>InputData!$C$9</f>
        <v>0.06</v>
      </c>
      <c r="P1510" s="160">
        <f>InputData!$C$10</f>
        <v>0.02</v>
      </c>
      <c r="Q1510" s="160">
        <f>InputData!$C$11</f>
        <v>0.02</v>
      </c>
      <c r="R1510" s="160">
        <f>InputData!$C$12</f>
        <v>0.02</v>
      </c>
      <c r="S1510" s="160">
        <f>InputData!$C$13</f>
        <v>0.9</v>
      </c>
      <c r="T1510" s="116">
        <f>InputData!$C$88</f>
        <v>180000</v>
      </c>
      <c r="U1510" s="116">
        <f>InputData!$C$81</f>
        <v>178500</v>
      </c>
      <c r="V1510" s="116">
        <f>InputData!$C$82</f>
        <v>303960</v>
      </c>
      <c r="W1510" s="116">
        <f>InputData!$C$84</f>
        <v>215220</v>
      </c>
      <c r="X1510" s="116">
        <f>InputData!$C$85</f>
        <v>409020</v>
      </c>
      <c r="Y1510" s="116">
        <f>InputData!$C$116</f>
        <v>140000</v>
      </c>
      <c r="Z1510" s="160">
        <f>InputData!$E$13</f>
        <v>0</v>
      </c>
    </row>
    <row r="1511" spans="1:26" x14ac:dyDescent="0.25">
      <c r="A1511">
        <f>InputData!$K$1</f>
        <v>2013</v>
      </c>
      <c r="B1511" t="str">
        <f>InputData!$G$1</f>
        <v>San Antonio, TX</v>
      </c>
      <c r="C1511" t="s">
        <v>227</v>
      </c>
      <c r="D1511" t="str">
        <f>Graph_Ophtha!$L$6</f>
        <v>USU20</v>
      </c>
      <c r="E1511" t="str">
        <f t="shared" si="23"/>
        <v>Ophthalmology USU20</v>
      </c>
      <c r="F1511">
        <f>Graph_Ophtha!$A16</f>
        <v>2022</v>
      </c>
      <c r="G1511">
        <f>Graph_Ophtha!$B16</f>
        <v>10</v>
      </c>
      <c r="H1511" s="165">
        <f>Graph_Ophtha!$L16</f>
        <v>533314.72387588245</v>
      </c>
      <c r="I1511" s="160">
        <f>InputData!$C$3</f>
        <v>0.02</v>
      </c>
      <c r="J1511" s="160">
        <f>InputData!$C$4</f>
        <v>0.01</v>
      </c>
      <c r="K1511" s="160">
        <f>InputData!$C$5</f>
        <v>0.01</v>
      </c>
      <c r="L1511" s="160">
        <f>InputData!$C$6</f>
        <v>6.2100000000000002E-2</v>
      </c>
      <c r="M1511" s="160">
        <f>InputData!$C$7</f>
        <v>0.03</v>
      </c>
      <c r="N1511" s="160">
        <f>InputData!$C$8</f>
        <v>0.02</v>
      </c>
      <c r="O1511" s="160">
        <f>InputData!$C$9</f>
        <v>0.06</v>
      </c>
      <c r="P1511" s="160">
        <f>InputData!$C$10</f>
        <v>0.02</v>
      </c>
      <c r="Q1511" s="160">
        <f>InputData!$C$11</f>
        <v>0.02</v>
      </c>
      <c r="R1511" s="160">
        <f>InputData!$C$12</f>
        <v>0.02</v>
      </c>
      <c r="S1511" s="160">
        <f>InputData!$C$13</f>
        <v>0.9</v>
      </c>
      <c r="T1511" s="116">
        <f>InputData!$C$88</f>
        <v>180000</v>
      </c>
      <c r="U1511" s="116">
        <f>InputData!$C$81</f>
        <v>178500</v>
      </c>
      <c r="V1511" s="116">
        <f>InputData!$C$82</f>
        <v>303960</v>
      </c>
      <c r="W1511" s="116">
        <f>InputData!$C$84</f>
        <v>215220</v>
      </c>
      <c r="X1511" s="116">
        <f>InputData!$C$85</f>
        <v>409020</v>
      </c>
      <c r="Y1511" s="116">
        <f>InputData!$C$116</f>
        <v>140000</v>
      </c>
      <c r="Z1511" s="160">
        <f>InputData!$E$13</f>
        <v>0</v>
      </c>
    </row>
    <row r="1512" spans="1:26" x14ac:dyDescent="0.25">
      <c r="A1512">
        <f>InputData!$K$1</f>
        <v>2013</v>
      </c>
      <c r="B1512" t="str">
        <f>InputData!$G$1</f>
        <v>San Antonio, TX</v>
      </c>
      <c r="C1512" t="s">
        <v>227</v>
      </c>
      <c r="D1512" t="str">
        <f>Graph_Ophtha!$L$6</f>
        <v>USU20</v>
      </c>
      <c r="E1512" t="str">
        <f t="shared" si="23"/>
        <v>Ophthalmology USU20</v>
      </c>
      <c r="F1512">
        <f>Graph_Ophtha!$A17</f>
        <v>2023</v>
      </c>
      <c r="G1512">
        <f>Graph_Ophtha!$B17</f>
        <v>11</v>
      </c>
      <c r="H1512" s="165">
        <f>Graph_Ophtha!$L17</f>
        <v>597000.51990297018</v>
      </c>
      <c r="I1512" s="160">
        <f>InputData!$C$3</f>
        <v>0.02</v>
      </c>
      <c r="J1512" s="160">
        <f>InputData!$C$4</f>
        <v>0.01</v>
      </c>
      <c r="K1512" s="160">
        <f>InputData!$C$5</f>
        <v>0.01</v>
      </c>
      <c r="L1512" s="160">
        <f>InputData!$C$6</f>
        <v>6.2100000000000002E-2</v>
      </c>
      <c r="M1512" s="160">
        <f>InputData!$C$7</f>
        <v>0.03</v>
      </c>
      <c r="N1512" s="160">
        <f>InputData!$C$8</f>
        <v>0.02</v>
      </c>
      <c r="O1512" s="160">
        <f>InputData!$C$9</f>
        <v>0.06</v>
      </c>
      <c r="P1512" s="160">
        <f>InputData!$C$10</f>
        <v>0.02</v>
      </c>
      <c r="Q1512" s="160">
        <f>InputData!$C$11</f>
        <v>0.02</v>
      </c>
      <c r="R1512" s="160">
        <f>InputData!$C$12</f>
        <v>0.02</v>
      </c>
      <c r="S1512" s="160">
        <f>InputData!$C$13</f>
        <v>0.9</v>
      </c>
      <c r="T1512" s="116">
        <f>InputData!$C$88</f>
        <v>180000</v>
      </c>
      <c r="U1512" s="116">
        <f>InputData!$C$81</f>
        <v>178500</v>
      </c>
      <c r="V1512" s="116">
        <f>InputData!$C$82</f>
        <v>303960</v>
      </c>
      <c r="W1512" s="116">
        <f>InputData!$C$84</f>
        <v>215220</v>
      </c>
      <c r="X1512" s="116">
        <f>InputData!$C$85</f>
        <v>409020</v>
      </c>
      <c r="Y1512" s="116">
        <f>InputData!$C$116</f>
        <v>140000</v>
      </c>
      <c r="Z1512" s="160">
        <f>InputData!$E$13</f>
        <v>0</v>
      </c>
    </row>
    <row r="1513" spans="1:26" x14ac:dyDescent="0.25">
      <c r="A1513">
        <f>InputData!$K$1</f>
        <v>2013</v>
      </c>
      <c r="B1513" t="str">
        <f>InputData!$G$1</f>
        <v>San Antonio, TX</v>
      </c>
      <c r="C1513" t="s">
        <v>227</v>
      </c>
      <c r="D1513" t="str">
        <f>Graph_Ophtha!$L$6</f>
        <v>USU20</v>
      </c>
      <c r="E1513" t="str">
        <f t="shared" si="23"/>
        <v>Ophthalmology USU20</v>
      </c>
      <c r="F1513">
        <f>Graph_Ophtha!$A18</f>
        <v>2024</v>
      </c>
      <c r="G1513">
        <f>Graph_Ophtha!$B18</f>
        <v>12</v>
      </c>
      <c r="H1513" s="165">
        <f>Graph_Ophtha!$L18</f>
        <v>658271.74611536425</v>
      </c>
      <c r="I1513" s="160">
        <f>InputData!$C$3</f>
        <v>0.02</v>
      </c>
      <c r="J1513" s="160">
        <f>InputData!$C$4</f>
        <v>0.01</v>
      </c>
      <c r="K1513" s="160">
        <f>InputData!$C$5</f>
        <v>0.01</v>
      </c>
      <c r="L1513" s="160">
        <f>InputData!$C$6</f>
        <v>6.2100000000000002E-2</v>
      </c>
      <c r="M1513" s="160">
        <f>InputData!$C$7</f>
        <v>0.03</v>
      </c>
      <c r="N1513" s="160">
        <f>InputData!$C$8</f>
        <v>0.02</v>
      </c>
      <c r="O1513" s="160">
        <f>InputData!$C$9</f>
        <v>0.06</v>
      </c>
      <c r="P1513" s="160">
        <f>InputData!$C$10</f>
        <v>0.02</v>
      </c>
      <c r="Q1513" s="160">
        <f>InputData!$C$11</f>
        <v>0.02</v>
      </c>
      <c r="R1513" s="160">
        <f>InputData!$C$12</f>
        <v>0.02</v>
      </c>
      <c r="S1513" s="160">
        <f>InputData!$C$13</f>
        <v>0.9</v>
      </c>
      <c r="T1513" s="116">
        <f>InputData!$C$88</f>
        <v>180000</v>
      </c>
      <c r="U1513" s="116">
        <f>InputData!$C$81</f>
        <v>178500</v>
      </c>
      <c r="V1513" s="116">
        <f>InputData!$C$82</f>
        <v>303960</v>
      </c>
      <c r="W1513" s="116">
        <f>InputData!$C$84</f>
        <v>215220</v>
      </c>
      <c r="X1513" s="116">
        <f>InputData!$C$85</f>
        <v>409020</v>
      </c>
      <c r="Y1513" s="116">
        <f>InputData!$C$116</f>
        <v>140000</v>
      </c>
      <c r="Z1513" s="160">
        <f>InputData!$E$13</f>
        <v>0</v>
      </c>
    </row>
    <row r="1514" spans="1:26" x14ac:dyDescent="0.25">
      <c r="A1514">
        <f>InputData!$K$1</f>
        <v>2013</v>
      </c>
      <c r="B1514" t="str">
        <f>InputData!$G$1</f>
        <v>San Antonio, TX</v>
      </c>
      <c r="C1514" t="s">
        <v>227</v>
      </c>
      <c r="D1514" t="str">
        <f>Graph_Ophtha!$L$6</f>
        <v>USU20</v>
      </c>
      <c r="E1514" t="str">
        <f t="shared" si="23"/>
        <v>Ophthalmology USU20</v>
      </c>
      <c r="F1514">
        <f>Graph_Ophtha!$A19</f>
        <v>2025</v>
      </c>
      <c r="G1514">
        <f>Graph_Ophtha!$B19</f>
        <v>13</v>
      </c>
      <c r="H1514" s="165">
        <f>Graph_Ophtha!$L19</f>
        <v>718698.20947738958</v>
      </c>
      <c r="I1514" s="160">
        <f>InputData!$C$3</f>
        <v>0.02</v>
      </c>
      <c r="J1514" s="160">
        <f>InputData!$C$4</f>
        <v>0.01</v>
      </c>
      <c r="K1514" s="160">
        <f>InputData!$C$5</f>
        <v>0.01</v>
      </c>
      <c r="L1514" s="160">
        <f>InputData!$C$6</f>
        <v>6.2100000000000002E-2</v>
      </c>
      <c r="M1514" s="160">
        <f>InputData!$C$7</f>
        <v>0.03</v>
      </c>
      <c r="N1514" s="160">
        <f>InputData!$C$8</f>
        <v>0.02</v>
      </c>
      <c r="O1514" s="160">
        <f>InputData!$C$9</f>
        <v>0.06</v>
      </c>
      <c r="P1514" s="160">
        <f>InputData!$C$10</f>
        <v>0.02</v>
      </c>
      <c r="Q1514" s="160">
        <f>InputData!$C$11</f>
        <v>0.02</v>
      </c>
      <c r="R1514" s="160">
        <f>InputData!$C$12</f>
        <v>0.02</v>
      </c>
      <c r="S1514" s="160">
        <f>InputData!$C$13</f>
        <v>0.9</v>
      </c>
      <c r="T1514" s="116">
        <f>InputData!$C$88</f>
        <v>180000</v>
      </c>
      <c r="U1514" s="116">
        <f>InputData!$C$81</f>
        <v>178500</v>
      </c>
      <c r="V1514" s="116">
        <f>InputData!$C$82</f>
        <v>303960</v>
      </c>
      <c r="W1514" s="116">
        <f>InputData!$C$84</f>
        <v>215220</v>
      </c>
      <c r="X1514" s="116">
        <f>InputData!$C$85</f>
        <v>409020</v>
      </c>
      <c r="Y1514" s="116">
        <f>InputData!$C$116</f>
        <v>140000</v>
      </c>
      <c r="Z1514" s="160">
        <f>InputData!$E$13</f>
        <v>0</v>
      </c>
    </row>
    <row r="1515" spans="1:26" x14ac:dyDescent="0.25">
      <c r="A1515">
        <f>InputData!$K$1</f>
        <v>2013</v>
      </c>
      <c r="B1515" t="str">
        <f>InputData!$G$1</f>
        <v>San Antonio, TX</v>
      </c>
      <c r="C1515" t="s">
        <v>227</v>
      </c>
      <c r="D1515" t="str">
        <f>Graph_Ophtha!$L$6</f>
        <v>USU20</v>
      </c>
      <c r="E1515" t="str">
        <f t="shared" si="23"/>
        <v>Ophthalmology USU20</v>
      </c>
      <c r="F1515">
        <f>Graph_Ophtha!$A20</f>
        <v>2026</v>
      </c>
      <c r="G1515">
        <f>Graph_Ophtha!$B20</f>
        <v>14</v>
      </c>
      <c r="H1515" s="165">
        <f>Graph_Ophtha!$L20</f>
        <v>776833.3869198251</v>
      </c>
      <c r="I1515" s="160">
        <f>InputData!$C$3</f>
        <v>0.02</v>
      </c>
      <c r="J1515" s="160">
        <f>InputData!$C$4</f>
        <v>0.01</v>
      </c>
      <c r="K1515" s="160">
        <f>InputData!$C$5</f>
        <v>0.01</v>
      </c>
      <c r="L1515" s="160">
        <f>InputData!$C$6</f>
        <v>6.2100000000000002E-2</v>
      </c>
      <c r="M1515" s="160">
        <f>InputData!$C$7</f>
        <v>0.03</v>
      </c>
      <c r="N1515" s="160">
        <f>InputData!$C$8</f>
        <v>0.02</v>
      </c>
      <c r="O1515" s="160">
        <f>InputData!$C$9</f>
        <v>0.06</v>
      </c>
      <c r="P1515" s="160">
        <f>InputData!$C$10</f>
        <v>0.02</v>
      </c>
      <c r="Q1515" s="160">
        <f>InputData!$C$11</f>
        <v>0.02</v>
      </c>
      <c r="R1515" s="160">
        <f>InputData!$C$12</f>
        <v>0.02</v>
      </c>
      <c r="S1515" s="160">
        <f>InputData!$C$13</f>
        <v>0.9</v>
      </c>
      <c r="T1515" s="116">
        <f>InputData!$C$88</f>
        <v>180000</v>
      </c>
      <c r="U1515" s="116">
        <f>InputData!$C$81</f>
        <v>178500</v>
      </c>
      <c r="V1515" s="116">
        <f>InputData!$C$82</f>
        <v>303960</v>
      </c>
      <c r="W1515" s="116">
        <f>InputData!$C$84</f>
        <v>215220</v>
      </c>
      <c r="X1515" s="116">
        <f>InputData!$C$85</f>
        <v>409020</v>
      </c>
      <c r="Y1515" s="116">
        <f>InputData!$C$116</f>
        <v>140000</v>
      </c>
      <c r="Z1515" s="160">
        <f>InputData!$E$13</f>
        <v>0</v>
      </c>
    </row>
    <row r="1516" spans="1:26" x14ac:dyDescent="0.25">
      <c r="A1516">
        <f>InputData!$K$1</f>
        <v>2013</v>
      </c>
      <c r="B1516" t="str">
        <f>InputData!$G$1</f>
        <v>San Antonio, TX</v>
      </c>
      <c r="C1516" t="s">
        <v>227</v>
      </c>
      <c r="D1516" t="str">
        <f>Graph_Ophtha!$L$6</f>
        <v>USU20</v>
      </c>
      <c r="E1516" t="str">
        <f t="shared" si="23"/>
        <v>Ophthalmology USU20</v>
      </c>
      <c r="F1516">
        <f>Graph_Ophtha!$A21</f>
        <v>2027</v>
      </c>
      <c r="G1516">
        <f>Graph_Ophtha!$B21</f>
        <v>15</v>
      </c>
      <c r="H1516" s="165">
        <f>Graph_Ophtha!$L21</f>
        <v>834903.67436399602</v>
      </c>
      <c r="I1516" s="160">
        <f>InputData!$C$3</f>
        <v>0.02</v>
      </c>
      <c r="J1516" s="160">
        <f>InputData!$C$4</f>
        <v>0.01</v>
      </c>
      <c r="K1516" s="160">
        <f>InputData!$C$5</f>
        <v>0.01</v>
      </c>
      <c r="L1516" s="160">
        <f>InputData!$C$6</f>
        <v>6.2100000000000002E-2</v>
      </c>
      <c r="M1516" s="160">
        <f>InputData!$C$7</f>
        <v>0.03</v>
      </c>
      <c r="N1516" s="160">
        <f>InputData!$C$8</f>
        <v>0.02</v>
      </c>
      <c r="O1516" s="160">
        <f>InputData!$C$9</f>
        <v>0.06</v>
      </c>
      <c r="P1516" s="160">
        <f>InputData!$C$10</f>
        <v>0.02</v>
      </c>
      <c r="Q1516" s="160">
        <f>InputData!$C$11</f>
        <v>0.02</v>
      </c>
      <c r="R1516" s="160">
        <f>InputData!$C$12</f>
        <v>0.02</v>
      </c>
      <c r="S1516" s="160">
        <f>InputData!$C$13</f>
        <v>0.9</v>
      </c>
      <c r="T1516" s="116">
        <f>InputData!$C$88</f>
        <v>180000</v>
      </c>
      <c r="U1516" s="116">
        <f>InputData!$C$81</f>
        <v>178500</v>
      </c>
      <c r="V1516" s="116">
        <f>InputData!$C$82</f>
        <v>303960</v>
      </c>
      <c r="W1516" s="116">
        <f>InputData!$C$84</f>
        <v>215220</v>
      </c>
      <c r="X1516" s="116">
        <f>InputData!$C$85</f>
        <v>409020</v>
      </c>
      <c r="Y1516" s="116">
        <f>InputData!$C$116</f>
        <v>140000</v>
      </c>
      <c r="Z1516" s="160">
        <f>InputData!$E$13</f>
        <v>0</v>
      </c>
    </row>
    <row r="1517" spans="1:26" x14ac:dyDescent="0.25">
      <c r="A1517">
        <f>InputData!$K$1</f>
        <v>2013</v>
      </c>
      <c r="B1517" t="str">
        <f>InputData!$G$1</f>
        <v>San Antonio, TX</v>
      </c>
      <c r="C1517" t="s">
        <v>227</v>
      </c>
      <c r="D1517" t="str">
        <f>Graph_Ophtha!$L$6</f>
        <v>USU20</v>
      </c>
      <c r="E1517" t="str">
        <f t="shared" si="23"/>
        <v>Ophthalmology USU20</v>
      </c>
      <c r="F1517">
        <f>Graph_Ophtha!$A22</f>
        <v>2028</v>
      </c>
      <c r="G1517">
        <f>Graph_Ophtha!$B22</f>
        <v>16</v>
      </c>
      <c r="H1517" s="165">
        <f>Graph_Ophtha!$L22</f>
        <v>911525.4134748918</v>
      </c>
      <c r="I1517" s="160">
        <f>InputData!$C$3</f>
        <v>0.02</v>
      </c>
      <c r="J1517" s="160">
        <f>InputData!$C$4</f>
        <v>0.01</v>
      </c>
      <c r="K1517" s="160">
        <f>InputData!$C$5</f>
        <v>0.01</v>
      </c>
      <c r="L1517" s="160">
        <f>InputData!$C$6</f>
        <v>6.2100000000000002E-2</v>
      </c>
      <c r="M1517" s="160">
        <f>InputData!$C$7</f>
        <v>0.03</v>
      </c>
      <c r="N1517" s="160">
        <f>InputData!$C$8</f>
        <v>0.02</v>
      </c>
      <c r="O1517" s="160">
        <f>InputData!$C$9</f>
        <v>0.06</v>
      </c>
      <c r="P1517" s="160">
        <f>InputData!$C$10</f>
        <v>0.02</v>
      </c>
      <c r="Q1517" s="160">
        <f>InputData!$C$11</f>
        <v>0.02</v>
      </c>
      <c r="R1517" s="160">
        <f>InputData!$C$12</f>
        <v>0.02</v>
      </c>
      <c r="S1517" s="160">
        <f>InputData!$C$13</f>
        <v>0.9</v>
      </c>
      <c r="T1517" s="116">
        <f>InputData!$C$88</f>
        <v>180000</v>
      </c>
      <c r="U1517" s="116">
        <f>InputData!$C$81</f>
        <v>178500</v>
      </c>
      <c r="V1517" s="116">
        <f>InputData!$C$82</f>
        <v>303960</v>
      </c>
      <c r="W1517" s="116">
        <f>InputData!$C$84</f>
        <v>215220</v>
      </c>
      <c r="X1517" s="116">
        <f>InputData!$C$85</f>
        <v>409020</v>
      </c>
      <c r="Y1517" s="116">
        <f>InputData!$C$116</f>
        <v>140000</v>
      </c>
      <c r="Z1517" s="160">
        <f>InputData!$E$13</f>
        <v>0</v>
      </c>
    </row>
    <row r="1518" spans="1:26" x14ac:dyDescent="0.25">
      <c r="A1518">
        <f>InputData!$K$1</f>
        <v>2013</v>
      </c>
      <c r="B1518" t="str">
        <f>InputData!$G$1</f>
        <v>San Antonio, TX</v>
      </c>
      <c r="C1518" t="s">
        <v>227</v>
      </c>
      <c r="D1518" t="str">
        <f>Graph_Ophtha!$L$6</f>
        <v>USU20</v>
      </c>
      <c r="E1518" t="str">
        <f t="shared" si="23"/>
        <v>Ophthalmology USU20</v>
      </c>
      <c r="F1518">
        <f>Graph_Ophtha!$A23</f>
        <v>2029</v>
      </c>
      <c r="G1518">
        <f>Graph_Ophtha!$B23</f>
        <v>17</v>
      </c>
      <c r="H1518" s="165">
        <f>Graph_Ophtha!$L23</f>
        <v>987866.92202686938</v>
      </c>
      <c r="I1518" s="160">
        <f>InputData!$C$3</f>
        <v>0.02</v>
      </c>
      <c r="J1518" s="160">
        <f>InputData!$C$4</f>
        <v>0.01</v>
      </c>
      <c r="K1518" s="160">
        <f>InputData!$C$5</f>
        <v>0.01</v>
      </c>
      <c r="L1518" s="160">
        <f>InputData!$C$6</f>
        <v>6.2100000000000002E-2</v>
      </c>
      <c r="M1518" s="160">
        <f>InputData!$C$7</f>
        <v>0.03</v>
      </c>
      <c r="N1518" s="160">
        <f>InputData!$C$8</f>
        <v>0.02</v>
      </c>
      <c r="O1518" s="160">
        <f>InputData!$C$9</f>
        <v>0.06</v>
      </c>
      <c r="P1518" s="160">
        <f>InputData!$C$10</f>
        <v>0.02</v>
      </c>
      <c r="Q1518" s="160">
        <f>InputData!$C$11</f>
        <v>0.02</v>
      </c>
      <c r="R1518" s="160">
        <f>InputData!$C$12</f>
        <v>0.02</v>
      </c>
      <c r="S1518" s="160">
        <f>InputData!$C$13</f>
        <v>0.9</v>
      </c>
      <c r="T1518" s="116">
        <f>InputData!$C$88</f>
        <v>180000</v>
      </c>
      <c r="U1518" s="116">
        <f>InputData!$C$81</f>
        <v>178500</v>
      </c>
      <c r="V1518" s="116">
        <f>InputData!$C$82</f>
        <v>303960</v>
      </c>
      <c r="W1518" s="116">
        <f>InputData!$C$84</f>
        <v>215220</v>
      </c>
      <c r="X1518" s="116">
        <f>InputData!$C$85</f>
        <v>409020</v>
      </c>
      <c r="Y1518" s="116">
        <f>InputData!$C$116</f>
        <v>140000</v>
      </c>
      <c r="Z1518" s="160">
        <f>InputData!$E$13</f>
        <v>0</v>
      </c>
    </row>
    <row r="1519" spans="1:26" x14ac:dyDescent="0.25">
      <c r="A1519">
        <f>InputData!$K$1</f>
        <v>2013</v>
      </c>
      <c r="B1519" t="str">
        <f>InputData!$G$1</f>
        <v>San Antonio, TX</v>
      </c>
      <c r="C1519" t="s">
        <v>227</v>
      </c>
      <c r="D1519" t="str">
        <f>Graph_Ophtha!$L$6</f>
        <v>USU20</v>
      </c>
      <c r="E1519" t="str">
        <f t="shared" si="23"/>
        <v>Ophthalmology USU20</v>
      </c>
      <c r="F1519">
        <f>Graph_Ophtha!$A24</f>
        <v>2030</v>
      </c>
      <c r="G1519">
        <f>Graph_Ophtha!$B24</f>
        <v>18</v>
      </c>
      <c r="H1519" s="165">
        <f>Graph_Ophtha!$L24</f>
        <v>1061272.8205898602</v>
      </c>
      <c r="I1519" s="160">
        <f>InputData!$C$3</f>
        <v>0.02</v>
      </c>
      <c r="J1519" s="160">
        <f>InputData!$C$4</f>
        <v>0.01</v>
      </c>
      <c r="K1519" s="160">
        <f>InputData!$C$5</f>
        <v>0.01</v>
      </c>
      <c r="L1519" s="160">
        <f>InputData!$C$6</f>
        <v>6.2100000000000002E-2</v>
      </c>
      <c r="M1519" s="160">
        <f>InputData!$C$7</f>
        <v>0.03</v>
      </c>
      <c r="N1519" s="160">
        <f>InputData!$C$8</f>
        <v>0.02</v>
      </c>
      <c r="O1519" s="160">
        <f>InputData!$C$9</f>
        <v>0.06</v>
      </c>
      <c r="P1519" s="160">
        <f>InputData!$C$10</f>
        <v>0.02</v>
      </c>
      <c r="Q1519" s="160">
        <f>InputData!$C$11</f>
        <v>0.02</v>
      </c>
      <c r="R1519" s="160">
        <f>InputData!$C$12</f>
        <v>0.02</v>
      </c>
      <c r="S1519" s="160">
        <f>InputData!$C$13</f>
        <v>0.9</v>
      </c>
      <c r="T1519" s="116">
        <f>InputData!$C$88</f>
        <v>180000</v>
      </c>
      <c r="U1519" s="116">
        <f>InputData!$C$81</f>
        <v>178500</v>
      </c>
      <c r="V1519" s="116">
        <f>InputData!$C$82</f>
        <v>303960</v>
      </c>
      <c r="W1519" s="116">
        <f>InputData!$C$84</f>
        <v>215220</v>
      </c>
      <c r="X1519" s="116">
        <f>InputData!$C$85</f>
        <v>409020</v>
      </c>
      <c r="Y1519" s="116">
        <f>InputData!$C$116</f>
        <v>140000</v>
      </c>
      <c r="Z1519" s="160">
        <f>InputData!$E$13</f>
        <v>0</v>
      </c>
    </row>
    <row r="1520" spans="1:26" x14ac:dyDescent="0.25">
      <c r="A1520">
        <f>InputData!$K$1</f>
        <v>2013</v>
      </c>
      <c r="B1520" t="str">
        <f>InputData!$G$1</f>
        <v>San Antonio, TX</v>
      </c>
      <c r="C1520" t="s">
        <v>227</v>
      </c>
      <c r="D1520" t="str">
        <f>Graph_Ophtha!$L$6</f>
        <v>USU20</v>
      </c>
      <c r="E1520" t="str">
        <f t="shared" si="23"/>
        <v>Ophthalmology USU20</v>
      </c>
      <c r="F1520">
        <f>Graph_Ophtha!$A25</f>
        <v>2031</v>
      </c>
      <c r="G1520">
        <f>Graph_Ophtha!$B25</f>
        <v>19</v>
      </c>
      <c r="H1520" s="165">
        <f>Graph_Ophtha!$L25</f>
        <v>1133134.2945309146</v>
      </c>
      <c r="I1520" s="160">
        <f>InputData!$C$3</f>
        <v>0.02</v>
      </c>
      <c r="J1520" s="160">
        <f>InputData!$C$4</f>
        <v>0.01</v>
      </c>
      <c r="K1520" s="160">
        <f>InputData!$C$5</f>
        <v>0.01</v>
      </c>
      <c r="L1520" s="160">
        <f>InputData!$C$6</f>
        <v>6.2100000000000002E-2</v>
      </c>
      <c r="M1520" s="160">
        <f>InputData!$C$7</f>
        <v>0.03</v>
      </c>
      <c r="N1520" s="160">
        <f>InputData!$C$8</f>
        <v>0.02</v>
      </c>
      <c r="O1520" s="160">
        <f>InputData!$C$9</f>
        <v>0.06</v>
      </c>
      <c r="P1520" s="160">
        <f>InputData!$C$10</f>
        <v>0.02</v>
      </c>
      <c r="Q1520" s="160">
        <f>InputData!$C$11</f>
        <v>0.02</v>
      </c>
      <c r="R1520" s="160">
        <f>InputData!$C$12</f>
        <v>0.02</v>
      </c>
      <c r="S1520" s="160">
        <f>InputData!$C$13</f>
        <v>0.9</v>
      </c>
      <c r="T1520" s="116">
        <f>InputData!$C$88</f>
        <v>180000</v>
      </c>
      <c r="U1520" s="116">
        <f>InputData!$C$81</f>
        <v>178500</v>
      </c>
      <c r="V1520" s="116">
        <f>InputData!$C$82</f>
        <v>303960</v>
      </c>
      <c r="W1520" s="116">
        <f>InputData!$C$84</f>
        <v>215220</v>
      </c>
      <c r="X1520" s="116">
        <f>InputData!$C$85</f>
        <v>409020</v>
      </c>
      <c r="Y1520" s="116">
        <f>InputData!$C$116</f>
        <v>140000</v>
      </c>
      <c r="Z1520" s="160">
        <f>InputData!$E$13</f>
        <v>0</v>
      </c>
    </row>
    <row r="1521" spans="1:26" x14ac:dyDescent="0.25">
      <c r="A1521">
        <f>InputData!$K$1</f>
        <v>2013</v>
      </c>
      <c r="B1521" t="str">
        <f>InputData!$G$1</f>
        <v>San Antonio, TX</v>
      </c>
      <c r="C1521" t="s">
        <v>227</v>
      </c>
      <c r="D1521" t="str">
        <f>Graph_Ophtha!$L$6</f>
        <v>USU20</v>
      </c>
      <c r="E1521" t="str">
        <f t="shared" si="23"/>
        <v>Ophthalmology USU20</v>
      </c>
      <c r="F1521">
        <f>Graph_Ophtha!$A26</f>
        <v>2032</v>
      </c>
      <c r="G1521">
        <f>Graph_Ophtha!$B26</f>
        <v>20</v>
      </c>
      <c r="H1521" s="165">
        <f>Graph_Ophtha!$L26</f>
        <v>1202232.45084336</v>
      </c>
      <c r="I1521" s="160">
        <f>InputData!$C$3</f>
        <v>0.02</v>
      </c>
      <c r="J1521" s="160">
        <f>InputData!$C$4</f>
        <v>0.01</v>
      </c>
      <c r="K1521" s="160">
        <f>InputData!$C$5</f>
        <v>0.01</v>
      </c>
      <c r="L1521" s="160">
        <f>InputData!$C$6</f>
        <v>6.2100000000000002E-2</v>
      </c>
      <c r="M1521" s="160">
        <f>InputData!$C$7</f>
        <v>0.03</v>
      </c>
      <c r="N1521" s="160">
        <f>InputData!$C$8</f>
        <v>0.02</v>
      </c>
      <c r="O1521" s="160">
        <f>InputData!$C$9</f>
        <v>0.06</v>
      </c>
      <c r="P1521" s="160">
        <f>InputData!$C$10</f>
        <v>0.02</v>
      </c>
      <c r="Q1521" s="160">
        <f>InputData!$C$11</f>
        <v>0.02</v>
      </c>
      <c r="R1521" s="160">
        <f>InputData!$C$12</f>
        <v>0.02</v>
      </c>
      <c r="S1521" s="160">
        <f>InputData!$C$13</f>
        <v>0.9</v>
      </c>
      <c r="T1521" s="116">
        <f>InputData!$C$88</f>
        <v>180000</v>
      </c>
      <c r="U1521" s="116">
        <f>InputData!$C$81</f>
        <v>178500</v>
      </c>
      <c r="V1521" s="116">
        <f>InputData!$C$82</f>
        <v>303960</v>
      </c>
      <c r="W1521" s="116">
        <f>InputData!$C$84</f>
        <v>215220</v>
      </c>
      <c r="X1521" s="116">
        <f>InputData!$C$85</f>
        <v>409020</v>
      </c>
      <c r="Y1521" s="116">
        <f>InputData!$C$116</f>
        <v>140000</v>
      </c>
      <c r="Z1521" s="160">
        <f>InputData!$E$13</f>
        <v>0</v>
      </c>
    </row>
    <row r="1522" spans="1:26" x14ac:dyDescent="0.25">
      <c r="A1522">
        <f>InputData!$K$1</f>
        <v>2013</v>
      </c>
      <c r="B1522" t="str">
        <f>InputData!$G$1</f>
        <v>San Antonio, TX</v>
      </c>
      <c r="C1522" t="s">
        <v>227</v>
      </c>
      <c r="D1522" t="str">
        <f>Graph_Ophtha!$L$6</f>
        <v>USU20</v>
      </c>
      <c r="E1522" t="str">
        <f t="shared" si="23"/>
        <v>Ophthalmology USU20</v>
      </c>
      <c r="F1522">
        <f>Graph_Ophtha!$A27</f>
        <v>2033</v>
      </c>
      <c r="G1522">
        <f>Graph_Ophtha!$B27</f>
        <v>21</v>
      </c>
      <c r="H1522" s="165">
        <f>Graph_Ophtha!$L27</f>
        <v>1270481.9780365375</v>
      </c>
      <c r="I1522" s="160">
        <f>InputData!$C$3</f>
        <v>0.02</v>
      </c>
      <c r="J1522" s="160">
        <f>InputData!$C$4</f>
        <v>0.01</v>
      </c>
      <c r="K1522" s="160">
        <f>InputData!$C$5</f>
        <v>0.01</v>
      </c>
      <c r="L1522" s="160">
        <f>InputData!$C$6</f>
        <v>6.2100000000000002E-2</v>
      </c>
      <c r="M1522" s="160">
        <f>InputData!$C$7</f>
        <v>0.03</v>
      </c>
      <c r="N1522" s="160">
        <f>InputData!$C$8</f>
        <v>0.02</v>
      </c>
      <c r="O1522" s="160">
        <f>InputData!$C$9</f>
        <v>0.06</v>
      </c>
      <c r="P1522" s="160">
        <f>InputData!$C$10</f>
        <v>0.02</v>
      </c>
      <c r="Q1522" s="160">
        <f>InputData!$C$11</f>
        <v>0.02</v>
      </c>
      <c r="R1522" s="160">
        <f>InputData!$C$12</f>
        <v>0.02</v>
      </c>
      <c r="S1522" s="160">
        <f>InputData!$C$13</f>
        <v>0.9</v>
      </c>
      <c r="T1522" s="116">
        <f>InputData!$C$88</f>
        <v>180000</v>
      </c>
      <c r="U1522" s="116">
        <f>InputData!$C$81</f>
        <v>178500</v>
      </c>
      <c r="V1522" s="116">
        <f>InputData!$C$82</f>
        <v>303960</v>
      </c>
      <c r="W1522" s="116">
        <f>InputData!$C$84</f>
        <v>215220</v>
      </c>
      <c r="X1522" s="116">
        <f>InputData!$C$85</f>
        <v>409020</v>
      </c>
      <c r="Y1522" s="116">
        <f>InputData!$C$116</f>
        <v>140000</v>
      </c>
      <c r="Z1522" s="160">
        <f>InputData!$E$13</f>
        <v>0</v>
      </c>
    </row>
    <row r="1523" spans="1:26" x14ac:dyDescent="0.25">
      <c r="A1523">
        <f>InputData!$K$1</f>
        <v>2013</v>
      </c>
      <c r="B1523" t="str">
        <f>InputData!$G$1</f>
        <v>San Antonio, TX</v>
      </c>
      <c r="C1523" t="s">
        <v>227</v>
      </c>
      <c r="D1523" t="str">
        <f>Graph_Ophtha!$L$6</f>
        <v>USU20</v>
      </c>
      <c r="E1523" t="str">
        <f t="shared" si="23"/>
        <v>Ophthalmology USU20</v>
      </c>
      <c r="F1523">
        <f>Graph_Ophtha!$A28</f>
        <v>2034</v>
      </c>
      <c r="G1523">
        <f>Graph_Ophtha!$B28</f>
        <v>22</v>
      </c>
      <c r="H1523" s="165">
        <f>Graph_Ophtha!$L28</f>
        <v>1336106.981097888</v>
      </c>
      <c r="I1523" s="160">
        <f>InputData!$C$3</f>
        <v>0.02</v>
      </c>
      <c r="J1523" s="160">
        <f>InputData!$C$4</f>
        <v>0.01</v>
      </c>
      <c r="K1523" s="160">
        <f>InputData!$C$5</f>
        <v>0.01</v>
      </c>
      <c r="L1523" s="160">
        <f>InputData!$C$6</f>
        <v>6.2100000000000002E-2</v>
      </c>
      <c r="M1523" s="160">
        <f>InputData!$C$7</f>
        <v>0.03</v>
      </c>
      <c r="N1523" s="160">
        <f>InputData!$C$8</f>
        <v>0.02</v>
      </c>
      <c r="O1523" s="160">
        <f>InputData!$C$9</f>
        <v>0.06</v>
      </c>
      <c r="P1523" s="160">
        <f>InputData!$C$10</f>
        <v>0.02</v>
      </c>
      <c r="Q1523" s="160">
        <f>InputData!$C$11</f>
        <v>0.02</v>
      </c>
      <c r="R1523" s="160">
        <f>InputData!$C$12</f>
        <v>0.02</v>
      </c>
      <c r="S1523" s="160">
        <f>InputData!$C$13</f>
        <v>0.9</v>
      </c>
      <c r="T1523" s="116">
        <f>InputData!$C$88</f>
        <v>180000</v>
      </c>
      <c r="U1523" s="116">
        <f>InputData!$C$81</f>
        <v>178500</v>
      </c>
      <c r="V1523" s="116">
        <f>InputData!$C$82</f>
        <v>303960</v>
      </c>
      <c r="W1523" s="116">
        <f>InputData!$C$84</f>
        <v>215220</v>
      </c>
      <c r="X1523" s="116">
        <f>InputData!$C$85</f>
        <v>409020</v>
      </c>
      <c r="Y1523" s="116">
        <f>InputData!$C$116</f>
        <v>140000</v>
      </c>
      <c r="Z1523" s="160">
        <f>InputData!$E$13</f>
        <v>0</v>
      </c>
    </row>
    <row r="1524" spans="1:26" x14ac:dyDescent="0.25">
      <c r="A1524">
        <f>InputData!$K$1</f>
        <v>2013</v>
      </c>
      <c r="B1524" t="str">
        <f>InputData!$G$1</f>
        <v>San Antonio, TX</v>
      </c>
      <c r="C1524" t="s">
        <v>227</v>
      </c>
      <c r="D1524" t="str">
        <f>Graph_Ophtha!$L$6</f>
        <v>USU20</v>
      </c>
      <c r="E1524" t="str">
        <f t="shared" si="23"/>
        <v>Ophthalmology USU20</v>
      </c>
      <c r="F1524">
        <f>Graph_Ophtha!$A29</f>
        <v>2035</v>
      </c>
      <c r="G1524">
        <f>Graph_Ophtha!$B29</f>
        <v>23</v>
      </c>
      <c r="H1524" s="165">
        <f>Graph_Ophtha!$L29</f>
        <v>1403141.9443251938</v>
      </c>
      <c r="I1524" s="160">
        <f>InputData!$C$3</f>
        <v>0.02</v>
      </c>
      <c r="J1524" s="160">
        <f>InputData!$C$4</f>
        <v>0.01</v>
      </c>
      <c r="K1524" s="160">
        <f>InputData!$C$5</f>
        <v>0.01</v>
      </c>
      <c r="L1524" s="160">
        <f>InputData!$C$6</f>
        <v>6.2100000000000002E-2</v>
      </c>
      <c r="M1524" s="160">
        <f>InputData!$C$7</f>
        <v>0.03</v>
      </c>
      <c r="N1524" s="160">
        <f>InputData!$C$8</f>
        <v>0.02</v>
      </c>
      <c r="O1524" s="160">
        <f>InputData!$C$9</f>
        <v>0.06</v>
      </c>
      <c r="P1524" s="160">
        <f>InputData!$C$10</f>
        <v>0.02</v>
      </c>
      <c r="Q1524" s="160">
        <f>InputData!$C$11</f>
        <v>0.02</v>
      </c>
      <c r="R1524" s="160">
        <f>InputData!$C$12</f>
        <v>0.02</v>
      </c>
      <c r="S1524" s="160">
        <f>InputData!$C$13</f>
        <v>0.9</v>
      </c>
      <c r="T1524" s="116">
        <f>InputData!$C$88</f>
        <v>180000</v>
      </c>
      <c r="U1524" s="116">
        <f>InputData!$C$81</f>
        <v>178500</v>
      </c>
      <c r="V1524" s="116">
        <f>InputData!$C$82</f>
        <v>303960</v>
      </c>
      <c r="W1524" s="116">
        <f>InputData!$C$84</f>
        <v>215220</v>
      </c>
      <c r="X1524" s="116">
        <f>InputData!$C$85</f>
        <v>409020</v>
      </c>
      <c r="Y1524" s="116">
        <f>InputData!$C$116</f>
        <v>140000</v>
      </c>
      <c r="Z1524" s="160">
        <f>InputData!$E$13</f>
        <v>0</v>
      </c>
    </row>
    <row r="1525" spans="1:26" x14ac:dyDescent="0.25">
      <c r="A1525">
        <f>InputData!$K$1</f>
        <v>2013</v>
      </c>
      <c r="B1525" t="str">
        <f>InputData!$G$1</f>
        <v>San Antonio, TX</v>
      </c>
      <c r="C1525" t="s">
        <v>227</v>
      </c>
      <c r="D1525" t="str">
        <f>Graph_Ophtha!$L$6</f>
        <v>USU20</v>
      </c>
      <c r="E1525" t="str">
        <f t="shared" si="23"/>
        <v>Ophthalmology USU20</v>
      </c>
      <c r="F1525">
        <f>Graph_Ophtha!$A30</f>
        <v>2036</v>
      </c>
      <c r="G1525">
        <f>Graph_Ophtha!$B30</f>
        <v>24</v>
      </c>
      <c r="H1525" s="165">
        <f>Graph_Ophtha!$L30</f>
        <v>1467593.1517484181</v>
      </c>
      <c r="I1525" s="160">
        <f>InputData!$C$3</f>
        <v>0.02</v>
      </c>
      <c r="J1525" s="160">
        <f>InputData!$C$4</f>
        <v>0.01</v>
      </c>
      <c r="K1525" s="160">
        <f>InputData!$C$5</f>
        <v>0.01</v>
      </c>
      <c r="L1525" s="160">
        <f>InputData!$C$6</f>
        <v>6.2100000000000002E-2</v>
      </c>
      <c r="M1525" s="160">
        <f>InputData!$C$7</f>
        <v>0.03</v>
      </c>
      <c r="N1525" s="160">
        <f>InputData!$C$8</f>
        <v>0.02</v>
      </c>
      <c r="O1525" s="160">
        <f>InputData!$C$9</f>
        <v>0.06</v>
      </c>
      <c r="P1525" s="160">
        <f>InputData!$C$10</f>
        <v>0.02</v>
      </c>
      <c r="Q1525" s="160">
        <f>InputData!$C$11</f>
        <v>0.02</v>
      </c>
      <c r="R1525" s="160">
        <f>InputData!$C$12</f>
        <v>0.02</v>
      </c>
      <c r="S1525" s="160">
        <f>InputData!$C$13</f>
        <v>0.9</v>
      </c>
      <c r="T1525" s="116">
        <f>InputData!$C$88</f>
        <v>180000</v>
      </c>
      <c r="U1525" s="116">
        <f>InputData!$C$81</f>
        <v>178500</v>
      </c>
      <c r="V1525" s="116">
        <f>InputData!$C$82</f>
        <v>303960</v>
      </c>
      <c r="W1525" s="116">
        <f>InputData!$C$84</f>
        <v>215220</v>
      </c>
      <c r="X1525" s="116">
        <f>InputData!$C$85</f>
        <v>409020</v>
      </c>
      <c r="Y1525" s="116">
        <f>InputData!$C$116</f>
        <v>140000</v>
      </c>
      <c r="Z1525" s="160">
        <f>InputData!$E$13</f>
        <v>0</v>
      </c>
    </row>
    <row r="1526" spans="1:26" x14ac:dyDescent="0.25">
      <c r="A1526">
        <f>InputData!$K$1</f>
        <v>2013</v>
      </c>
      <c r="B1526" t="str">
        <f>InputData!$G$1</f>
        <v>San Antonio, TX</v>
      </c>
      <c r="C1526" t="s">
        <v>227</v>
      </c>
      <c r="D1526" t="str">
        <f>Graph_Ophtha!$L$6</f>
        <v>USU20</v>
      </c>
      <c r="E1526" t="str">
        <f t="shared" si="23"/>
        <v>Ophthalmology USU20</v>
      </c>
      <c r="F1526">
        <f>Graph_Ophtha!$A31</f>
        <v>2037</v>
      </c>
      <c r="G1526">
        <f>Graph_Ophtha!$B31</f>
        <v>25</v>
      </c>
      <c r="H1526" s="165">
        <f>Graph_Ophtha!$L31</f>
        <v>1523995.0217652966</v>
      </c>
      <c r="I1526" s="160">
        <f>InputData!$C$3</f>
        <v>0.02</v>
      </c>
      <c r="J1526" s="160">
        <f>InputData!$C$4</f>
        <v>0.01</v>
      </c>
      <c r="K1526" s="160">
        <f>InputData!$C$5</f>
        <v>0.01</v>
      </c>
      <c r="L1526" s="160">
        <f>InputData!$C$6</f>
        <v>6.2100000000000002E-2</v>
      </c>
      <c r="M1526" s="160">
        <f>InputData!$C$7</f>
        <v>0.03</v>
      </c>
      <c r="N1526" s="160">
        <f>InputData!$C$8</f>
        <v>0.02</v>
      </c>
      <c r="O1526" s="160">
        <f>InputData!$C$9</f>
        <v>0.06</v>
      </c>
      <c r="P1526" s="160">
        <f>InputData!$C$10</f>
        <v>0.02</v>
      </c>
      <c r="Q1526" s="160">
        <f>InputData!$C$11</f>
        <v>0.02</v>
      </c>
      <c r="R1526" s="160">
        <f>InputData!$C$12</f>
        <v>0.02</v>
      </c>
      <c r="S1526" s="160">
        <f>InputData!$C$13</f>
        <v>0.9</v>
      </c>
      <c r="T1526" s="116">
        <f>InputData!$C$88</f>
        <v>180000</v>
      </c>
      <c r="U1526" s="116">
        <f>InputData!$C$81</f>
        <v>178500</v>
      </c>
      <c r="V1526" s="116">
        <f>InputData!$C$82</f>
        <v>303960</v>
      </c>
      <c r="W1526" s="116">
        <f>InputData!$C$84</f>
        <v>215220</v>
      </c>
      <c r="X1526" s="116">
        <f>InputData!$C$85</f>
        <v>409020</v>
      </c>
      <c r="Y1526" s="116">
        <f>InputData!$C$116</f>
        <v>140000</v>
      </c>
      <c r="Z1526" s="160">
        <f>InputData!$E$13</f>
        <v>0</v>
      </c>
    </row>
    <row r="1527" spans="1:26" x14ac:dyDescent="0.25">
      <c r="A1527">
        <f>InputData!$K$1</f>
        <v>2013</v>
      </c>
      <c r="B1527" t="str">
        <f>InputData!$G$1</f>
        <v>San Antonio, TX</v>
      </c>
      <c r="C1527" t="s">
        <v>227</v>
      </c>
      <c r="D1527" t="str">
        <f>Graph_Ophtha!$L$6</f>
        <v>USU20</v>
      </c>
      <c r="E1527" t="str">
        <f t="shared" si="23"/>
        <v>Ophthalmology USU20</v>
      </c>
      <c r="F1527">
        <f>Graph_Ophtha!$A32</f>
        <v>2038</v>
      </c>
      <c r="G1527">
        <f>Graph_Ophtha!$B32</f>
        <v>26</v>
      </c>
      <c r="H1527" s="165">
        <f>Graph_Ophtha!$L32</f>
        <v>1578223.658101025</v>
      </c>
      <c r="I1527" s="160">
        <f>InputData!$C$3</f>
        <v>0.02</v>
      </c>
      <c r="J1527" s="160">
        <f>InputData!$C$4</f>
        <v>0.01</v>
      </c>
      <c r="K1527" s="160">
        <f>InputData!$C$5</f>
        <v>0.01</v>
      </c>
      <c r="L1527" s="160">
        <f>InputData!$C$6</f>
        <v>6.2100000000000002E-2</v>
      </c>
      <c r="M1527" s="160">
        <f>InputData!$C$7</f>
        <v>0.03</v>
      </c>
      <c r="N1527" s="160">
        <f>InputData!$C$8</f>
        <v>0.02</v>
      </c>
      <c r="O1527" s="160">
        <f>InputData!$C$9</f>
        <v>0.06</v>
      </c>
      <c r="P1527" s="160">
        <f>InputData!$C$10</f>
        <v>0.02</v>
      </c>
      <c r="Q1527" s="160">
        <f>InputData!$C$11</f>
        <v>0.02</v>
      </c>
      <c r="R1527" s="160">
        <f>InputData!$C$12</f>
        <v>0.02</v>
      </c>
      <c r="S1527" s="160">
        <f>InputData!$C$13</f>
        <v>0.9</v>
      </c>
      <c r="T1527" s="116">
        <f>InputData!$C$88</f>
        <v>180000</v>
      </c>
      <c r="U1527" s="116">
        <f>InputData!$C$81</f>
        <v>178500</v>
      </c>
      <c r="V1527" s="116">
        <f>InputData!$C$82</f>
        <v>303960</v>
      </c>
      <c r="W1527" s="116">
        <f>InputData!$C$84</f>
        <v>215220</v>
      </c>
      <c r="X1527" s="116">
        <f>InputData!$C$85</f>
        <v>409020</v>
      </c>
      <c r="Y1527" s="116">
        <f>InputData!$C$116</f>
        <v>140000</v>
      </c>
      <c r="Z1527" s="160">
        <f>InputData!$E$13</f>
        <v>0</v>
      </c>
    </row>
    <row r="1528" spans="1:26" x14ac:dyDescent="0.25">
      <c r="A1528">
        <f>InputData!$K$1</f>
        <v>2013</v>
      </c>
      <c r="B1528" t="str">
        <f>InputData!$G$1</f>
        <v>San Antonio, TX</v>
      </c>
      <c r="C1528" t="s">
        <v>227</v>
      </c>
      <c r="D1528" t="str">
        <f>Graph_Ophtha!$L$6</f>
        <v>USU20</v>
      </c>
      <c r="E1528" t="str">
        <f t="shared" si="23"/>
        <v>Ophthalmology USU20</v>
      </c>
      <c r="F1528">
        <f>Graph_Ophtha!$A33</f>
        <v>2039</v>
      </c>
      <c r="G1528">
        <f>Graph_Ophtha!$B33</f>
        <v>27</v>
      </c>
      <c r="H1528" s="165">
        <f>Graph_Ophtha!$L33</f>
        <v>1631858.7201920692</v>
      </c>
      <c r="I1528" s="160">
        <f>InputData!$C$3</f>
        <v>0.02</v>
      </c>
      <c r="J1528" s="160">
        <f>InputData!$C$4</f>
        <v>0.01</v>
      </c>
      <c r="K1528" s="160">
        <f>InputData!$C$5</f>
        <v>0.01</v>
      </c>
      <c r="L1528" s="160">
        <f>InputData!$C$6</f>
        <v>6.2100000000000002E-2</v>
      </c>
      <c r="M1528" s="160">
        <f>InputData!$C$7</f>
        <v>0.03</v>
      </c>
      <c r="N1528" s="160">
        <f>InputData!$C$8</f>
        <v>0.02</v>
      </c>
      <c r="O1528" s="160">
        <f>InputData!$C$9</f>
        <v>0.06</v>
      </c>
      <c r="P1528" s="160">
        <f>InputData!$C$10</f>
        <v>0.02</v>
      </c>
      <c r="Q1528" s="160">
        <f>InputData!$C$11</f>
        <v>0.02</v>
      </c>
      <c r="R1528" s="160">
        <f>InputData!$C$12</f>
        <v>0.02</v>
      </c>
      <c r="S1528" s="160">
        <f>InputData!$C$13</f>
        <v>0.9</v>
      </c>
      <c r="T1528" s="116">
        <f>InputData!$C$88</f>
        <v>180000</v>
      </c>
      <c r="U1528" s="116">
        <f>InputData!$C$81</f>
        <v>178500</v>
      </c>
      <c r="V1528" s="116">
        <f>InputData!$C$82</f>
        <v>303960</v>
      </c>
      <c r="W1528" s="116">
        <f>InputData!$C$84</f>
        <v>215220</v>
      </c>
      <c r="X1528" s="116">
        <f>InputData!$C$85</f>
        <v>409020</v>
      </c>
      <c r="Y1528" s="116">
        <f>InputData!$C$116</f>
        <v>140000</v>
      </c>
      <c r="Z1528" s="160">
        <f>InputData!$E$13</f>
        <v>0</v>
      </c>
    </row>
    <row r="1529" spans="1:26" x14ac:dyDescent="0.25">
      <c r="A1529">
        <f>InputData!$K$1</f>
        <v>2013</v>
      </c>
      <c r="B1529" t="str">
        <f>InputData!$G$1</f>
        <v>San Antonio, TX</v>
      </c>
      <c r="C1529" t="s">
        <v>227</v>
      </c>
      <c r="D1529" t="str">
        <f>Graph_Ophtha!$L$6</f>
        <v>USU20</v>
      </c>
      <c r="E1529" t="str">
        <f t="shared" si="23"/>
        <v>Ophthalmology USU20</v>
      </c>
      <c r="F1529">
        <f>Graph_Ophtha!$A34</f>
        <v>2040</v>
      </c>
      <c r="G1529">
        <f>Graph_Ophtha!$B34</f>
        <v>28</v>
      </c>
      <c r="H1529" s="165">
        <f>Graph_Ophtha!$L34</f>
        <v>1717503.0837172905</v>
      </c>
      <c r="I1529" s="160">
        <f>InputData!$C$3</f>
        <v>0.02</v>
      </c>
      <c r="J1529" s="160">
        <f>InputData!$C$4</f>
        <v>0.01</v>
      </c>
      <c r="K1529" s="160">
        <f>InputData!$C$5</f>
        <v>0.01</v>
      </c>
      <c r="L1529" s="160">
        <f>InputData!$C$6</f>
        <v>6.2100000000000002E-2</v>
      </c>
      <c r="M1529" s="160">
        <f>InputData!$C$7</f>
        <v>0.03</v>
      </c>
      <c r="N1529" s="160">
        <f>InputData!$C$8</f>
        <v>0.02</v>
      </c>
      <c r="O1529" s="160">
        <f>InputData!$C$9</f>
        <v>0.06</v>
      </c>
      <c r="P1529" s="160">
        <f>InputData!$C$10</f>
        <v>0.02</v>
      </c>
      <c r="Q1529" s="160">
        <f>InputData!$C$11</f>
        <v>0.02</v>
      </c>
      <c r="R1529" s="160">
        <f>InputData!$C$12</f>
        <v>0.02</v>
      </c>
      <c r="S1529" s="160">
        <f>InputData!$C$13</f>
        <v>0.9</v>
      </c>
      <c r="T1529" s="116">
        <f>InputData!$C$88</f>
        <v>180000</v>
      </c>
      <c r="U1529" s="116">
        <f>InputData!$C$81</f>
        <v>178500</v>
      </c>
      <c r="V1529" s="116">
        <f>InputData!$C$82</f>
        <v>303960</v>
      </c>
      <c r="W1529" s="116">
        <f>InputData!$C$84</f>
        <v>215220</v>
      </c>
      <c r="X1529" s="116">
        <f>InputData!$C$85</f>
        <v>409020</v>
      </c>
      <c r="Y1529" s="116">
        <f>InputData!$C$116</f>
        <v>140000</v>
      </c>
      <c r="Z1529" s="160">
        <f>InputData!$E$13</f>
        <v>0</v>
      </c>
    </row>
    <row r="1530" spans="1:26" x14ac:dyDescent="0.25">
      <c r="A1530">
        <f>InputData!$K$1</f>
        <v>2013</v>
      </c>
      <c r="B1530" t="str">
        <f>InputData!$G$1</f>
        <v>San Antonio, TX</v>
      </c>
      <c r="C1530" t="s">
        <v>227</v>
      </c>
      <c r="D1530" t="str">
        <f>Graph_Ophtha!$L$6</f>
        <v>USU20</v>
      </c>
      <c r="E1530" t="str">
        <f t="shared" si="23"/>
        <v>Ophthalmology USU20</v>
      </c>
      <c r="F1530">
        <f>Graph_Ophtha!$A35</f>
        <v>2041</v>
      </c>
      <c r="G1530">
        <f>Graph_Ophtha!$B35</f>
        <v>29</v>
      </c>
      <c r="H1530" s="165">
        <f>Graph_Ophtha!$L35</f>
        <v>1801118.7436484366</v>
      </c>
      <c r="I1530" s="160">
        <f>InputData!$C$3</f>
        <v>0.02</v>
      </c>
      <c r="J1530" s="160">
        <f>InputData!$C$4</f>
        <v>0.01</v>
      </c>
      <c r="K1530" s="160">
        <f>InputData!$C$5</f>
        <v>0.01</v>
      </c>
      <c r="L1530" s="160">
        <f>InputData!$C$6</f>
        <v>6.2100000000000002E-2</v>
      </c>
      <c r="M1530" s="160">
        <f>InputData!$C$7</f>
        <v>0.03</v>
      </c>
      <c r="N1530" s="160">
        <f>InputData!$C$8</f>
        <v>0.02</v>
      </c>
      <c r="O1530" s="160">
        <f>InputData!$C$9</f>
        <v>0.06</v>
      </c>
      <c r="P1530" s="160">
        <f>InputData!$C$10</f>
        <v>0.02</v>
      </c>
      <c r="Q1530" s="160">
        <f>InputData!$C$11</f>
        <v>0.02</v>
      </c>
      <c r="R1530" s="160">
        <f>InputData!$C$12</f>
        <v>0.02</v>
      </c>
      <c r="S1530" s="160">
        <f>InputData!$C$13</f>
        <v>0.9</v>
      </c>
      <c r="T1530" s="116">
        <f>InputData!$C$88</f>
        <v>180000</v>
      </c>
      <c r="U1530" s="116">
        <f>InputData!$C$81</f>
        <v>178500</v>
      </c>
      <c r="V1530" s="116">
        <f>InputData!$C$82</f>
        <v>303960</v>
      </c>
      <c r="W1530" s="116">
        <f>InputData!$C$84</f>
        <v>215220</v>
      </c>
      <c r="X1530" s="116">
        <f>InputData!$C$85</f>
        <v>409020</v>
      </c>
      <c r="Y1530" s="116">
        <f>InputData!$C$116</f>
        <v>140000</v>
      </c>
      <c r="Z1530" s="160">
        <f>InputData!$E$13</f>
        <v>0</v>
      </c>
    </row>
    <row r="1531" spans="1:26" x14ac:dyDescent="0.25">
      <c r="A1531">
        <f>InputData!$K$1</f>
        <v>2013</v>
      </c>
      <c r="B1531" t="str">
        <f>InputData!$G$1</f>
        <v>San Antonio, TX</v>
      </c>
      <c r="C1531" t="s">
        <v>227</v>
      </c>
      <c r="D1531" t="str">
        <f>Graph_Ophtha!$L$6</f>
        <v>USU20</v>
      </c>
      <c r="E1531" t="str">
        <f t="shared" si="23"/>
        <v>Ophthalmology USU20</v>
      </c>
      <c r="F1531">
        <f>Graph_Ophtha!$A36</f>
        <v>2042</v>
      </c>
      <c r="G1531">
        <f>Graph_Ophtha!$B36</f>
        <v>30</v>
      </c>
      <c r="H1531" s="165">
        <f>Graph_Ophtha!$L36</f>
        <v>1882758.5391579724</v>
      </c>
      <c r="I1531" s="160">
        <f>InputData!$C$3</f>
        <v>0.02</v>
      </c>
      <c r="J1531" s="160">
        <f>InputData!$C$4</f>
        <v>0.01</v>
      </c>
      <c r="K1531" s="160">
        <f>InputData!$C$5</f>
        <v>0.01</v>
      </c>
      <c r="L1531" s="160">
        <f>InputData!$C$6</f>
        <v>6.2100000000000002E-2</v>
      </c>
      <c r="M1531" s="160">
        <f>InputData!$C$7</f>
        <v>0.03</v>
      </c>
      <c r="N1531" s="160">
        <f>InputData!$C$8</f>
        <v>0.02</v>
      </c>
      <c r="O1531" s="160">
        <f>InputData!$C$9</f>
        <v>0.06</v>
      </c>
      <c r="P1531" s="160">
        <f>InputData!$C$10</f>
        <v>0.02</v>
      </c>
      <c r="Q1531" s="160">
        <f>InputData!$C$11</f>
        <v>0.02</v>
      </c>
      <c r="R1531" s="160">
        <f>InputData!$C$12</f>
        <v>0.02</v>
      </c>
      <c r="S1531" s="160">
        <f>InputData!$C$13</f>
        <v>0.9</v>
      </c>
      <c r="T1531" s="116">
        <f>InputData!$C$88</f>
        <v>180000</v>
      </c>
      <c r="U1531" s="116">
        <f>InputData!$C$81</f>
        <v>178500</v>
      </c>
      <c r="V1531" s="116">
        <f>InputData!$C$82</f>
        <v>303960</v>
      </c>
      <c r="W1531" s="116">
        <f>InputData!$C$84</f>
        <v>215220</v>
      </c>
      <c r="X1531" s="116">
        <f>InputData!$C$85</f>
        <v>409020</v>
      </c>
      <c r="Y1531" s="116">
        <f>InputData!$C$116</f>
        <v>140000</v>
      </c>
      <c r="Z1531" s="160">
        <f>InputData!$E$13</f>
        <v>0</v>
      </c>
    </row>
    <row r="1532" spans="1:26" x14ac:dyDescent="0.25">
      <c r="A1532">
        <f>InputData!$K$1</f>
        <v>2013</v>
      </c>
      <c r="B1532" t="str">
        <f>InputData!$G$1</f>
        <v>San Antonio, TX</v>
      </c>
      <c r="C1532" t="s">
        <v>227</v>
      </c>
      <c r="D1532" t="str">
        <f>Graph_Ophtha!$M$6</f>
        <v>HPSP20</v>
      </c>
      <c r="E1532" t="str">
        <f t="shared" si="23"/>
        <v>Ophthalmology HPSP20</v>
      </c>
      <c r="F1532">
        <f>Graph_Ophtha!$A7</f>
        <v>2013</v>
      </c>
      <c r="G1532">
        <f>Graph_Ophtha!$B7</f>
        <v>1</v>
      </c>
      <c r="H1532" s="165">
        <f>Graph_Ophtha!$M7</f>
        <v>43551.744866529771</v>
      </c>
      <c r="I1532" s="160">
        <f>InputData!$C$3</f>
        <v>0.02</v>
      </c>
      <c r="J1532" s="160">
        <f>InputData!$C$4</f>
        <v>0.01</v>
      </c>
      <c r="K1532" s="160">
        <f>InputData!$C$5</f>
        <v>0.01</v>
      </c>
      <c r="L1532" s="160">
        <f>InputData!$C$6</f>
        <v>6.2100000000000002E-2</v>
      </c>
      <c r="M1532" s="160">
        <f>InputData!$C$7</f>
        <v>0.03</v>
      </c>
      <c r="N1532" s="160">
        <f>InputData!$C$8</f>
        <v>0.02</v>
      </c>
      <c r="O1532" s="160">
        <f>InputData!$C$9</f>
        <v>0.06</v>
      </c>
      <c r="P1532" s="160">
        <f>InputData!$C$10</f>
        <v>0.02</v>
      </c>
      <c r="Q1532" s="160">
        <f>InputData!$C$11</f>
        <v>0.02</v>
      </c>
      <c r="R1532" s="160">
        <f>InputData!$C$12</f>
        <v>0.02</v>
      </c>
      <c r="S1532" s="160">
        <f>InputData!$C$13</f>
        <v>0.9</v>
      </c>
      <c r="T1532" s="116">
        <f>InputData!$C$88</f>
        <v>180000</v>
      </c>
      <c r="U1532" s="116">
        <f>InputData!$C$81</f>
        <v>178500</v>
      </c>
      <c r="V1532" s="116">
        <f>InputData!$C$82</f>
        <v>303960</v>
      </c>
      <c r="W1532" s="116">
        <f>InputData!$C$84</f>
        <v>215220</v>
      </c>
      <c r="X1532" s="116">
        <f>InputData!$C$85</f>
        <v>409020</v>
      </c>
      <c r="Y1532" s="116">
        <f>InputData!$C$116</f>
        <v>140000</v>
      </c>
      <c r="Z1532" s="160">
        <f>InputData!$E$13</f>
        <v>0</v>
      </c>
    </row>
    <row r="1533" spans="1:26" x14ac:dyDescent="0.25">
      <c r="A1533">
        <f>InputData!$K$1</f>
        <v>2013</v>
      </c>
      <c r="B1533" t="str">
        <f>InputData!$G$1</f>
        <v>San Antonio, TX</v>
      </c>
      <c r="C1533" t="s">
        <v>227</v>
      </c>
      <c r="D1533" t="str">
        <f>Graph_Ophtha!$M$6</f>
        <v>HPSP20</v>
      </c>
      <c r="E1533" t="str">
        <f t="shared" si="23"/>
        <v>Ophthalmology HPSP20</v>
      </c>
      <c r="F1533">
        <f>Graph_Ophtha!$A8</f>
        <v>2014</v>
      </c>
      <c r="G1533">
        <f>Graph_Ophtha!$B8</f>
        <v>2</v>
      </c>
      <c r="H1533" s="165">
        <f>Graph_Ophtha!$M8</f>
        <v>69389.851463288214</v>
      </c>
      <c r="I1533" s="160">
        <f>InputData!$C$3</f>
        <v>0.02</v>
      </c>
      <c r="J1533" s="160">
        <f>InputData!$C$4</f>
        <v>0.01</v>
      </c>
      <c r="K1533" s="160">
        <f>InputData!$C$5</f>
        <v>0.01</v>
      </c>
      <c r="L1533" s="160">
        <f>InputData!$C$6</f>
        <v>6.2100000000000002E-2</v>
      </c>
      <c r="M1533" s="160">
        <f>InputData!$C$7</f>
        <v>0.03</v>
      </c>
      <c r="N1533" s="160">
        <f>InputData!$C$8</f>
        <v>0.02</v>
      </c>
      <c r="O1533" s="160">
        <f>InputData!$C$9</f>
        <v>0.06</v>
      </c>
      <c r="P1533" s="160">
        <f>InputData!$C$10</f>
        <v>0.02</v>
      </c>
      <c r="Q1533" s="160">
        <f>InputData!$C$11</f>
        <v>0.02</v>
      </c>
      <c r="R1533" s="160">
        <f>InputData!$C$12</f>
        <v>0.02</v>
      </c>
      <c r="S1533" s="160">
        <f>InputData!$C$13</f>
        <v>0.9</v>
      </c>
      <c r="T1533" s="116">
        <f>InputData!$C$88</f>
        <v>180000</v>
      </c>
      <c r="U1533" s="116">
        <f>InputData!$C$81</f>
        <v>178500</v>
      </c>
      <c r="V1533" s="116">
        <f>InputData!$C$82</f>
        <v>303960</v>
      </c>
      <c r="W1533" s="116">
        <f>InputData!$C$84</f>
        <v>215220</v>
      </c>
      <c r="X1533" s="116">
        <f>InputData!$C$85</f>
        <v>409020</v>
      </c>
      <c r="Y1533" s="116">
        <f>InputData!$C$116</f>
        <v>140000</v>
      </c>
      <c r="Z1533" s="160">
        <f>InputData!$E$13</f>
        <v>0</v>
      </c>
    </row>
    <row r="1534" spans="1:26" x14ac:dyDescent="0.25">
      <c r="A1534">
        <f>InputData!$K$1</f>
        <v>2013</v>
      </c>
      <c r="B1534" t="str">
        <f>InputData!$G$1</f>
        <v>San Antonio, TX</v>
      </c>
      <c r="C1534" t="s">
        <v>227</v>
      </c>
      <c r="D1534" t="str">
        <f>Graph_Ophtha!$M$6</f>
        <v>HPSP20</v>
      </c>
      <c r="E1534" t="str">
        <f t="shared" si="23"/>
        <v>Ophthalmology HPSP20</v>
      </c>
      <c r="F1534">
        <f>Graph_Ophtha!$A9</f>
        <v>2015</v>
      </c>
      <c r="G1534">
        <f>Graph_Ophtha!$B9</f>
        <v>3</v>
      </c>
      <c r="H1534" s="165">
        <f>Graph_Ophtha!$M9</f>
        <v>94384.024082394724</v>
      </c>
      <c r="I1534" s="160">
        <f>InputData!$C$3</f>
        <v>0.02</v>
      </c>
      <c r="J1534" s="160">
        <f>InputData!$C$4</f>
        <v>0.01</v>
      </c>
      <c r="K1534" s="160">
        <f>InputData!$C$5</f>
        <v>0.01</v>
      </c>
      <c r="L1534" s="160">
        <f>InputData!$C$6</f>
        <v>6.2100000000000002E-2</v>
      </c>
      <c r="M1534" s="160">
        <f>InputData!$C$7</f>
        <v>0.03</v>
      </c>
      <c r="N1534" s="160">
        <f>InputData!$C$8</f>
        <v>0.02</v>
      </c>
      <c r="O1534" s="160">
        <f>InputData!$C$9</f>
        <v>0.06</v>
      </c>
      <c r="P1534" s="160">
        <f>InputData!$C$10</f>
        <v>0.02</v>
      </c>
      <c r="Q1534" s="160">
        <f>InputData!$C$11</f>
        <v>0.02</v>
      </c>
      <c r="R1534" s="160">
        <f>InputData!$C$12</f>
        <v>0.02</v>
      </c>
      <c r="S1534" s="160">
        <f>InputData!$C$13</f>
        <v>0.9</v>
      </c>
      <c r="T1534" s="116">
        <f>InputData!$C$88</f>
        <v>180000</v>
      </c>
      <c r="U1534" s="116">
        <f>InputData!$C$81</f>
        <v>178500</v>
      </c>
      <c r="V1534" s="116">
        <f>InputData!$C$82</f>
        <v>303960</v>
      </c>
      <c r="W1534" s="116">
        <f>InputData!$C$84</f>
        <v>215220</v>
      </c>
      <c r="X1534" s="116">
        <f>InputData!$C$85</f>
        <v>409020</v>
      </c>
      <c r="Y1534" s="116">
        <f>InputData!$C$116</f>
        <v>140000</v>
      </c>
      <c r="Z1534" s="160">
        <f>InputData!$E$13</f>
        <v>0</v>
      </c>
    </row>
    <row r="1535" spans="1:26" x14ac:dyDescent="0.25">
      <c r="A1535">
        <f>InputData!$K$1</f>
        <v>2013</v>
      </c>
      <c r="B1535" t="str">
        <f>InputData!$G$1</f>
        <v>San Antonio, TX</v>
      </c>
      <c r="C1535" t="s">
        <v>227</v>
      </c>
      <c r="D1535" t="str">
        <f>Graph_Ophtha!$M$6</f>
        <v>HPSP20</v>
      </c>
      <c r="E1535" t="str">
        <f t="shared" si="23"/>
        <v>Ophthalmology HPSP20</v>
      </c>
      <c r="F1535">
        <f>Graph_Ophtha!$A10</f>
        <v>2016</v>
      </c>
      <c r="G1535">
        <f>Graph_Ophtha!$B10</f>
        <v>4</v>
      </c>
      <c r="H1535" s="165">
        <f>Graph_Ophtha!$M10</f>
        <v>119127.82998672797</v>
      </c>
      <c r="I1535" s="160">
        <f>InputData!$C$3</f>
        <v>0.02</v>
      </c>
      <c r="J1535" s="160">
        <f>InputData!$C$4</f>
        <v>0.01</v>
      </c>
      <c r="K1535" s="160">
        <f>InputData!$C$5</f>
        <v>0.01</v>
      </c>
      <c r="L1535" s="160">
        <f>InputData!$C$6</f>
        <v>6.2100000000000002E-2</v>
      </c>
      <c r="M1535" s="160">
        <f>InputData!$C$7</f>
        <v>0.03</v>
      </c>
      <c r="N1535" s="160">
        <f>InputData!$C$8</f>
        <v>0.02</v>
      </c>
      <c r="O1535" s="160">
        <f>InputData!$C$9</f>
        <v>0.06</v>
      </c>
      <c r="P1535" s="160">
        <f>InputData!$C$10</f>
        <v>0.02</v>
      </c>
      <c r="Q1535" s="160">
        <f>InputData!$C$11</f>
        <v>0.02</v>
      </c>
      <c r="R1535" s="160">
        <f>InputData!$C$12</f>
        <v>0.02</v>
      </c>
      <c r="S1535" s="160">
        <f>InputData!$C$13</f>
        <v>0.9</v>
      </c>
      <c r="T1535" s="116">
        <f>InputData!$C$88</f>
        <v>180000</v>
      </c>
      <c r="U1535" s="116">
        <f>InputData!$C$81</f>
        <v>178500</v>
      </c>
      <c r="V1535" s="116">
        <f>InputData!$C$82</f>
        <v>303960</v>
      </c>
      <c r="W1535" s="116">
        <f>InputData!$C$84</f>
        <v>215220</v>
      </c>
      <c r="X1535" s="116">
        <f>InputData!$C$85</f>
        <v>409020</v>
      </c>
      <c r="Y1535" s="116">
        <f>InputData!$C$116</f>
        <v>140000</v>
      </c>
      <c r="Z1535" s="160">
        <f>InputData!$E$13</f>
        <v>0</v>
      </c>
    </row>
    <row r="1536" spans="1:26" x14ac:dyDescent="0.25">
      <c r="A1536">
        <f>InputData!$K$1</f>
        <v>2013</v>
      </c>
      <c r="B1536" t="str">
        <f>InputData!$G$1</f>
        <v>San Antonio, TX</v>
      </c>
      <c r="C1536" t="s">
        <v>227</v>
      </c>
      <c r="D1536" t="str">
        <f>Graph_Ophtha!$M$6</f>
        <v>HPSP20</v>
      </c>
      <c r="E1536" t="str">
        <f t="shared" si="23"/>
        <v>Ophthalmology HPSP20</v>
      </c>
      <c r="F1536">
        <f>Graph_Ophtha!$A11</f>
        <v>2017</v>
      </c>
      <c r="G1536">
        <f>Graph_Ophtha!$B11</f>
        <v>5</v>
      </c>
      <c r="H1536" s="165">
        <f>Graph_Ophtha!$M11</f>
        <v>169089.82248832227</v>
      </c>
      <c r="I1536" s="160">
        <f>InputData!$C$3</f>
        <v>0.02</v>
      </c>
      <c r="J1536" s="160">
        <f>InputData!$C$4</f>
        <v>0.01</v>
      </c>
      <c r="K1536" s="160">
        <f>InputData!$C$5</f>
        <v>0.01</v>
      </c>
      <c r="L1536" s="160">
        <f>InputData!$C$6</f>
        <v>6.2100000000000002E-2</v>
      </c>
      <c r="M1536" s="160">
        <f>InputData!$C$7</f>
        <v>0.03</v>
      </c>
      <c r="N1536" s="160">
        <f>InputData!$C$8</f>
        <v>0.02</v>
      </c>
      <c r="O1536" s="160">
        <f>InputData!$C$9</f>
        <v>0.06</v>
      </c>
      <c r="P1536" s="160">
        <f>InputData!$C$10</f>
        <v>0.02</v>
      </c>
      <c r="Q1536" s="160">
        <f>InputData!$C$11</f>
        <v>0.02</v>
      </c>
      <c r="R1536" s="160">
        <f>InputData!$C$12</f>
        <v>0.02</v>
      </c>
      <c r="S1536" s="160">
        <f>InputData!$C$13</f>
        <v>0.9</v>
      </c>
      <c r="T1536" s="116">
        <f>InputData!$C$88</f>
        <v>180000</v>
      </c>
      <c r="U1536" s="116">
        <f>InputData!$C$81</f>
        <v>178500</v>
      </c>
      <c r="V1536" s="116">
        <f>InputData!$C$82</f>
        <v>303960</v>
      </c>
      <c r="W1536" s="116">
        <f>InputData!$C$84</f>
        <v>215220</v>
      </c>
      <c r="X1536" s="116">
        <f>InputData!$C$85</f>
        <v>409020</v>
      </c>
      <c r="Y1536" s="116">
        <f>InputData!$C$116</f>
        <v>140000</v>
      </c>
      <c r="Z1536" s="160">
        <f>InputData!$E$13</f>
        <v>0</v>
      </c>
    </row>
    <row r="1537" spans="1:26" x14ac:dyDescent="0.25">
      <c r="A1537">
        <f>InputData!$K$1</f>
        <v>2013</v>
      </c>
      <c r="B1537" t="str">
        <f>InputData!$G$1</f>
        <v>San Antonio, TX</v>
      </c>
      <c r="C1537" t="s">
        <v>227</v>
      </c>
      <c r="D1537" t="str">
        <f>Graph_Ophtha!$M$6</f>
        <v>HPSP20</v>
      </c>
      <c r="E1537" t="str">
        <f t="shared" si="23"/>
        <v>Ophthalmology HPSP20</v>
      </c>
      <c r="F1537">
        <f>Graph_Ophtha!$A12</f>
        <v>2018</v>
      </c>
      <c r="G1537">
        <f>Graph_Ophtha!$B12</f>
        <v>6</v>
      </c>
      <c r="H1537" s="165">
        <f>Graph_Ophtha!$M12</f>
        <v>219350.65217600405</v>
      </c>
      <c r="I1537" s="160">
        <f>InputData!$C$3</f>
        <v>0.02</v>
      </c>
      <c r="J1537" s="160">
        <f>InputData!$C$4</f>
        <v>0.01</v>
      </c>
      <c r="K1537" s="160">
        <f>InputData!$C$5</f>
        <v>0.01</v>
      </c>
      <c r="L1537" s="160">
        <f>InputData!$C$6</f>
        <v>6.2100000000000002E-2</v>
      </c>
      <c r="M1537" s="160">
        <f>InputData!$C$7</f>
        <v>0.03</v>
      </c>
      <c r="N1537" s="160">
        <f>InputData!$C$8</f>
        <v>0.02</v>
      </c>
      <c r="O1537" s="160">
        <f>InputData!$C$9</f>
        <v>0.06</v>
      </c>
      <c r="P1537" s="160">
        <f>InputData!$C$10</f>
        <v>0.02</v>
      </c>
      <c r="Q1537" s="160">
        <f>InputData!$C$11</f>
        <v>0.02</v>
      </c>
      <c r="R1537" s="160">
        <f>InputData!$C$12</f>
        <v>0.02</v>
      </c>
      <c r="S1537" s="160">
        <f>InputData!$C$13</f>
        <v>0.9</v>
      </c>
      <c r="T1537" s="116">
        <f>InputData!$C$88</f>
        <v>180000</v>
      </c>
      <c r="U1537" s="116">
        <f>InputData!$C$81</f>
        <v>178500</v>
      </c>
      <c r="V1537" s="116">
        <f>InputData!$C$82</f>
        <v>303960</v>
      </c>
      <c r="W1537" s="116">
        <f>InputData!$C$84</f>
        <v>215220</v>
      </c>
      <c r="X1537" s="116">
        <f>InputData!$C$85</f>
        <v>409020</v>
      </c>
      <c r="Y1537" s="116">
        <f>InputData!$C$116</f>
        <v>140000</v>
      </c>
      <c r="Z1537" s="160">
        <f>InputData!$E$13</f>
        <v>0</v>
      </c>
    </row>
    <row r="1538" spans="1:26" x14ac:dyDescent="0.25">
      <c r="A1538">
        <f>InputData!$K$1</f>
        <v>2013</v>
      </c>
      <c r="B1538" t="str">
        <f>InputData!$G$1</f>
        <v>San Antonio, TX</v>
      </c>
      <c r="C1538" t="s">
        <v>227</v>
      </c>
      <c r="D1538" t="str">
        <f>Graph_Ophtha!$M$6</f>
        <v>HPSP20</v>
      </c>
      <c r="E1538" t="str">
        <f t="shared" si="23"/>
        <v>Ophthalmology HPSP20</v>
      </c>
      <c r="F1538">
        <f>Graph_Ophtha!$A13</f>
        <v>2019</v>
      </c>
      <c r="G1538">
        <f>Graph_Ophtha!$B13</f>
        <v>7</v>
      </c>
      <c r="H1538" s="165">
        <f>Graph_Ophtha!$M13</f>
        <v>270992.25439901254</v>
      </c>
      <c r="I1538" s="160">
        <f>InputData!$C$3</f>
        <v>0.02</v>
      </c>
      <c r="J1538" s="160">
        <f>InputData!$C$4</f>
        <v>0.01</v>
      </c>
      <c r="K1538" s="160">
        <f>InputData!$C$5</f>
        <v>0.01</v>
      </c>
      <c r="L1538" s="160">
        <f>InputData!$C$6</f>
        <v>6.2100000000000002E-2</v>
      </c>
      <c r="M1538" s="160">
        <f>InputData!$C$7</f>
        <v>0.03</v>
      </c>
      <c r="N1538" s="160">
        <f>InputData!$C$8</f>
        <v>0.02</v>
      </c>
      <c r="O1538" s="160">
        <f>InputData!$C$9</f>
        <v>0.06</v>
      </c>
      <c r="P1538" s="160">
        <f>InputData!$C$10</f>
        <v>0.02</v>
      </c>
      <c r="Q1538" s="160">
        <f>InputData!$C$11</f>
        <v>0.02</v>
      </c>
      <c r="R1538" s="160">
        <f>InputData!$C$12</f>
        <v>0.02</v>
      </c>
      <c r="S1538" s="160">
        <f>InputData!$C$13</f>
        <v>0.9</v>
      </c>
      <c r="T1538" s="116">
        <f>InputData!$C$88</f>
        <v>180000</v>
      </c>
      <c r="U1538" s="116">
        <f>InputData!$C$81</f>
        <v>178500</v>
      </c>
      <c r="V1538" s="116">
        <f>InputData!$C$82</f>
        <v>303960</v>
      </c>
      <c r="W1538" s="116">
        <f>InputData!$C$84</f>
        <v>215220</v>
      </c>
      <c r="X1538" s="116">
        <f>InputData!$C$85</f>
        <v>409020</v>
      </c>
      <c r="Y1538" s="116">
        <f>InputData!$C$116</f>
        <v>140000</v>
      </c>
      <c r="Z1538" s="160">
        <f>InputData!$E$13</f>
        <v>0</v>
      </c>
    </row>
    <row r="1539" spans="1:26" x14ac:dyDescent="0.25">
      <c r="A1539">
        <f>InputData!$K$1</f>
        <v>2013</v>
      </c>
      <c r="B1539" t="str">
        <f>InputData!$G$1</f>
        <v>San Antonio, TX</v>
      </c>
      <c r="C1539" t="s">
        <v>227</v>
      </c>
      <c r="D1539" t="str">
        <f>Graph_Ophtha!$M$6</f>
        <v>HPSP20</v>
      </c>
      <c r="E1539" t="str">
        <f t="shared" ref="E1539:E1602" si="24">C1539 &amp; " " &amp; D1539</f>
        <v>Ophthalmology HPSP20</v>
      </c>
      <c r="F1539">
        <f>Graph_Ophtha!$A14</f>
        <v>2020</v>
      </c>
      <c r="G1539">
        <f>Graph_Ophtha!$B14</f>
        <v>8</v>
      </c>
      <c r="H1539" s="165">
        <f>Graph_Ophtha!$M14</f>
        <v>322806.62031125103</v>
      </c>
      <c r="I1539" s="160">
        <f>InputData!$C$3</f>
        <v>0.02</v>
      </c>
      <c r="J1539" s="160">
        <f>InputData!$C$4</f>
        <v>0.01</v>
      </c>
      <c r="K1539" s="160">
        <f>InputData!$C$5</f>
        <v>0.01</v>
      </c>
      <c r="L1539" s="160">
        <f>InputData!$C$6</f>
        <v>6.2100000000000002E-2</v>
      </c>
      <c r="M1539" s="160">
        <f>InputData!$C$7</f>
        <v>0.03</v>
      </c>
      <c r="N1539" s="160">
        <f>InputData!$C$8</f>
        <v>0.02</v>
      </c>
      <c r="O1539" s="160">
        <f>InputData!$C$9</f>
        <v>0.06</v>
      </c>
      <c r="P1539" s="160">
        <f>InputData!$C$10</f>
        <v>0.02</v>
      </c>
      <c r="Q1539" s="160">
        <f>InputData!$C$11</f>
        <v>0.02</v>
      </c>
      <c r="R1539" s="160">
        <f>InputData!$C$12</f>
        <v>0.02</v>
      </c>
      <c r="S1539" s="160">
        <f>InputData!$C$13</f>
        <v>0.9</v>
      </c>
      <c r="T1539" s="116">
        <f>InputData!$C$88</f>
        <v>180000</v>
      </c>
      <c r="U1539" s="116">
        <f>InputData!$C$81</f>
        <v>178500</v>
      </c>
      <c r="V1539" s="116">
        <f>InputData!$C$82</f>
        <v>303960</v>
      </c>
      <c r="W1539" s="116">
        <f>InputData!$C$84</f>
        <v>215220</v>
      </c>
      <c r="X1539" s="116">
        <f>InputData!$C$85</f>
        <v>409020</v>
      </c>
      <c r="Y1539" s="116">
        <f>InputData!$C$116</f>
        <v>140000</v>
      </c>
      <c r="Z1539" s="160">
        <f>InputData!$E$13</f>
        <v>0</v>
      </c>
    </row>
    <row r="1540" spans="1:26" x14ac:dyDescent="0.25">
      <c r="A1540">
        <f>InputData!$K$1</f>
        <v>2013</v>
      </c>
      <c r="B1540" t="str">
        <f>InputData!$G$1</f>
        <v>San Antonio, TX</v>
      </c>
      <c r="C1540" t="s">
        <v>227</v>
      </c>
      <c r="D1540" t="str">
        <f>Graph_Ophtha!$M$6</f>
        <v>HPSP20</v>
      </c>
      <c r="E1540" t="str">
        <f t="shared" si="24"/>
        <v>Ophthalmology HPSP20</v>
      </c>
      <c r="F1540">
        <f>Graph_Ophtha!$A15</f>
        <v>2021</v>
      </c>
      <c r="G1540">
        <f>Graph_Ophtha!$B15</f>
        <v>9</v>
      </c>
      <c r="H1540" s="165">
        <f>Graph_Ophtha!$M15</f>
        <v>382537.79825040593</v>
      </c>
      <c r="I1540" s="160">
        <f>InputData!$C$3</f>
        <v>0.02</v>
      </c>
      <c r="J1540" s="160">
        <f>InputData!$C$4</f>
        <v>0.01</v>
      </c>
      <c r="K1540" s="160">
        <f>InputData!$C$5</f>
        <v>0.01</v>
      </c>
      <c r="L1540" s="160">
        <f>InputData!$C$6</f>
        <v>6.2100000000000002E-2</v>
      </c>
      <c r="M1540" s="160">
        <f>InputData!$C$7</f>
        <v>0.03</v>
      </c>
      <c r="N1540" s="160">
        <f>InputData!$C$8</f>
        <v>0.02</v>
      </c>
      <c r="O1540" s="160">
        <f>InputData!$C$9</f>
        <v>0.06</v>
      </c>
      <c r="P1540" s="160">
        <f>InputData!$C$10</f>
        <v>0.02</v>
      </c>
      <c r="Q1540" s="160">
        <f>InputData!$C$11</f>
        <v>0.02</v>
      </c>
      <c r="R1540" s="160">
        <f>InputData!$C$12</f>
        <v>0.02</v>
      </c>
      <c r="S1540" s="160">
        <f>InputData!$C$13</f>
        <v>0.9</v>
      </c>
      <c r="T1540" s="116">
        <f>InputData!$C$88</f>
        <v>180000</v>
      </c>
      <c r="U1540" s="116">
        <f>InputData!$C$81</f>
        <v>178500</v>
      </c>
      <c r="V1540" s="116">
        <f>InputData!$C$82</f>
        <v>303960</v>
      </c>
      <c r="W1540" s="116">
        <f>InputData!$C$84</f>
        <v>215220</v>
      </c>
      <c r="X1540" s="116">
        <f>InputData!$C$85</f>
        <v>409020</v>
      </c>
      <c r="Y1540" s="116">
        <f>InputData!$C$116</f>
        <v>140000</v>
      </c>
      <c r="Z1540" s="160">
        <f>InputData!$E$13</f>
        <v>0</v>
      </c>
    </row>
    <row r="1541" spans="1:26" x14ac:dyDescent="0.25">
      <c r="A1541">
        <f>InputData!$K$1</f>
        <v>2013</v>
      </c>
      <c r="B1541" t="str">
        <f>InputData!$G$1</f>
        <v>San Antonio, TX</v>
      </c>
      <c r="C1541" t="s">
        <v>227</v>
      </c>
      <c r="D1541" t="str">
        <f>Graph_Ophtha!$M$6</f>
        <v>HPSP20</v>
      </c>
      <c r="E1541" t="str">
        <f t="shared" si="24"/>
        <v>Ophthalmology HPSP20</v>
      </c>
      <c r="F1541">
        <f>Graph_Ophtha!$A16</f>
        <v>2022</v>
      </c>
      <c r="G1541">
        <f>Graph_Ophtha!$B16</f>
        <v>10</v>
      </c>
      <c r="H1541" s="165">
        <f>Graph_Ophtha!$M16</f>
        <v>441191.00156520924</v>
      </c>
      <c r="I1541" s="160">
        <f>InputData!$C$3</f>
        <v>0.02</v>
      </c>
      <c r="J1541" s="160">
        <f>InputData!$C$4</f>
        <v>0.01</v>
      </c>
      <c r="K1541" s="160">
        <f>InputData!$C$5</f>
        <v>0.01</v>
      </c>
      <c r="L1541" s="160">
        <f>InputData!$C$6</f>
        <v>6.2100000000000002E-2</v>
      </c>
      <c r="M1541" s="160">
        <f>InputData!$C$7</f>
        <v>0.03</v>
      </c>
      <c r="N1541" s="160">
        <f>InputData!$C$8</f>
        <v>0.02</v>
      </c>
      <c r="O1541" s="160">
        <f>InputData!$C$9</f>
        <v>0.06</v>
      </c>
      <c r="P1541" s="160">
        <f>InputData!$C$10</f>
        <v>0.02</v>
      </c>
      <c r="Q1541" s="160">
        <f>InputData!$C$11</f>
        <v>0.02</v>
      </c>
      <c r="R1541" s="160">
        <f>InputData!$C$12</f>
        <v>0.02</v>
      </c>
      <c r="S1541" s="160">
        <f>InputData!$C$13</f>
        <v>0.9</v>
      </c>
      <c r="T1541" s="116">
        <f>InputData!$C$88</f>
        <v>180000</v>
      </c>
      <c r="U1541" s="116">
        <f>InputData!$C$81</f>
        <v>178500</v>
      </c>
      <c r="V1541" s="116">
        <f>InputData!$C$82</f>
        <v>303960</v>
      </c>
      <c r="W1541" s="116">
        <f>InputData!$C$84</f>
        <v>215220</v>
      </c>
      <c r="X1541" s="116">
        <f>InputData!$C$85</f>
        <v>409020</v>
      </c>
      <c r="Y1541" s="116">
        <f>InputData!$C$116</f>
        <v>140000</v>
      </c>
      <c r="Z1541" s="160">
        <f>InputData!$E$13</f>
        <v>0</v>
      </c>
    </row>
    <row r="1542" spans="1:26" x14ac:dyDescent="0.25">
      <c r="A1542">
        <f>InputData!$K$1</f>
        <v>2013</v>
      </c>
      <c r="B1542" t="str">
        <f>InputData!$G$1</f>
        <v>San Antonio, TX</v>
      </c>
      <c r="C1542" t="s">
        <v>227</v>
      </c>
      <c r="D1542" t="str">
        <f>Graph_Ophtha!$M$6</f>
        <v>HPSP20</v>
      </c>
      <c r="E1542" t="str">
        <f t="shared" si="24"/>
        <v>Ophthalmology HPSP20</v>
      </c>
      <c r="F1542">
        <f>Graph_Ophtha!$A17</f>
        <v>2023</v>
      </c>
      <c r="G1542">
        <f>Graph_Ophtha!$B17</f>
        <v>11</v>
      </c>
      <c r="H1542" s="165">
        <f>Graph_Ophtha!$M17</f>
        <v>504876.79759229696</v>
      </c>
      <c r="I1542" s="160">
        <f>InputData!$C$3</f>
        <v>0.02</v>
      </c>
      <c r="J1542" s="160">
        <f>InputData!$C$4</f>
        <v>0.01</v>
      </c>
      <c r="K1542" s="160">
        <f>InputData!$C$5</f>
        <v>0.01</v>
      </c>
      <c r="L1542" s="160">
        <f>InputData!$C$6</f>
        <v>6.2100000000000002E-2</v>
      </c>
      <c r="M1542" s="160">
        <f>InputData!$C$7</f>
        <v>0.03</v>
      </c>
      <c r="N1542" s="160">
        <f>InputData!$C$8</f>
        <v>0.02</v>
      </c>
      <c r="O1542" s="160">
        <f>InputData!$C$9</f>
        <v>0.06</v>
      </c>
      <c r="P1542" s="160">
        <f>InputData!$C$10</f>
        <v>0.02</v>
      </c>
      <c r="Q1542" s="160">
        <f>InputData!$C$11</f>
        <v>0.02</v>
      </c>
      <c r="R1542" s="160">
        <f>InputData!$C$12</f>
        <v>0.02</v>
      </c>
      <c r="S1542" s="160">
        <f>InputData!$C$13</f>
        <v>0.9</v>
      </c>
      <c r="T1542" s="116">
        <f>InputData!$C$88</f>
        <v>180000</v>
      </c>
      <c r="U1542" s="116">
        <f>InputData!$C$81</f>
        <v>178500</v>
      </c>
      <c r="V1542" s="116">
        <f>InputData!$C$82</f>
        <v>303960</v>
      </c>
      <c r="W1542" s="116">
        <f>InputData!$C$84</f>
        <v>215220</v>
      </c>
      <c r="X1542" s="116">
        <f>InputData!$C$85</f>
        <v>409020</v>
      </c>
      <c r="Y1542" s="116">
        <f>InputData!$C$116</f>
        <v>140000</v>
      </c>
      <c r="Z1542" s="160">
        <f>InputData!$E$13</f>
        <v>0</v>
      </c>
    </row>
    <row r="1543" spans="1:26" x14ac:dyDescent="0.25">
      <c r="A1543">
        <f>InputData!$K$1</f>
        <v>2013</v>
      </c>
      <c r="B1543" t="str">
        <f>InputData!$G$1</f>
        <v>San Antonio, TX</v>
      </c>
      <c r="C1543" t="s">
        <v>227</v>
      </c>
      <c r="D1543" t="str">
        <f>Graph_Ophtha!$M$6</f>
        <v>HPSP20</v>
      </c>
      <c r="E1543" t="str">
        <f t="shared" si="24"/>
        <v>Ophthalmology HPSP20</v>
      </c>
      <c r="F1543">
        <f>Graph_Ophtha!$A18</f>
        <v>2024</v>
      </c>
      <c r="G1543">
        <f>Graph_Ophtha!$B18</f>
        <v>12</v>
      </c>
      <c r="H1543" s="165">
        <f>Graph_Ophtha!$M18</f>
        <v>566148.02380469104</v>
      </c>
      <c r="I1543" s="160">
        <f>InputData!$C$3</f>
        <v>0.02</v>
      </c>
      <c r="J1543" s="160">
        <f>InputData!$C$4</f>
        <v>0.01</v>
      </c>
      <c r="K1543" s="160">
        <f>InputData!$C$5</f>
        <v>0.01</v>
      </c>
      <c r="L1543" s="160">
        <f>InputData!$C$6</f>
        <v>6.2100000000000002E-2</v>
      </c>
      <c r="M1543" s="160">
        <f>InputData!$C$7</f>
        <v>0.03</v>
      </c>
      <c r="N1543" s="160">
        <f>InputData!$C$8</f>
        <v>0.02</v>
      </c>
      <c r="O1543" s="160">
        <f>InputData!$C$9</f>
        <v>0.06</v>
      </c>
      <c r="P1543" s="160">
        <f>InputData!$C$10</f>
        <v>0.02</v>
      </c>
      <c r="Q1543" s="160">
        <f>InputData!$C$11</f>
        <v>0.02</v>
      </c>
      <c r="R1543" s="160">
        <f>InputData!$C$12</f>
        <v>0.02</v>
      </c>
      <c r="S1543" s="160">
        <f>InputData!$C$13</f>
        <v>0.9</v>
      </c>
      <c r="T1543" s="116">
        <f>InputData!$C$88</f>
        <v>180000</v>
      </c>
      <c r="U1543" s="116">
        <f>InputData!$C$81</f>
        <v>178500</v>
      </c>
      <c r="V1543" s="116">
        <f>InputData!$C$82</f>
        <v>303960</v>
      </c>
      <c r="W1543" s="116">
        <f>InputData!$C$84</f>
        <v>215220</v>
      </c>
      <c r="X1543" s="116">
        <f>InputData!$C$85</f>
        <v>409020</v>
      </c>
      <c r="Y1543" s="116">
        <f>InputData!$C$116</f>
        <v>140000</v>
      </c>
      <c r="Z1543" s="160">
        <f>InputData!$E$13</f>
        <v>0</v>
      </c>
    </row>
    <row r="1544" spans="1:26" x14ac:dyDescent="0.25">
      <c r="A1544">
        <f>InputData!$K$1</f>
        <v>2013</v>
      </c>
      <c r="B1544" t="str">
        <f>InputData!$G$1</f>
        <v>San Antonio, TX</v>
      </c>
      <c r="C1544" t="s">
        <v>227</v>
      </c>
      <c r="D1544" t="str">
        <f>Graph_Ophtha!$M$6</f>
        <v>HPSP20</v>
      </c>
      <c r="E1544" t="str">
        <f t="shared" si="24"/>
        <v>Ophthalmology HPSP20</v>
      </c>
      <c r="F1544">
        <f>Graph_Ophtha!$A19</f>
        <v>2025</v>
      </c>
      <c r="G1544">
        <f>Graph_Ophtha!$B19</f>
        <v>13</v>
      </c>
      <c r="H1544" s="165">
        <f>Graph_Ophtha!$M19</f>
        <v>649910.06493425183</v>
      </c>
      <c r="I1544" s="160">
        <f>InputData!$C$3</f>
        <v>0.02</v>
      </c>
      <c r="J1544" s="160">
        <f>InputData!$C$4</f>
        <v>0.01</v>
      </c>
      <c r="K1544" s="160">
        <f>InputData!$C$5</f>
        <v>0.01</v>
      </c>
      <c r="L1544" s="160">
        <f>InputData!$C$6</f>
        <v>6.2100000000000002E-2</v>
      </c>
      <c r="M1544" s="160">
        <f>InputData!$C$7</f>
        <v>0.03</v>
      </c>
      <c r="N1544" s="160">
        <f>InputData!$C$8</f>
        <v>0.02</v>
      </c>
      <c r="O1544" s="160">
        <f>InputData!$C$9</f>
        <v>0.06</v>
      </c>
      <c r="P1544" s="160">
        <f>InputData!$C$10</f>
        <v>0.02</v>
      </c>
      <c r="Q1544" s="160">
        <f>InputData!$C$11</f>
        <v>0.02</v>
      </c>
      <c r="R1544" s="160">
        <f>InputData!$C$12</f>
        <v>0.02</v>
      </c>
      <c r="S1544" s="160">
        <f>InputData!$C$13</f>
        <v>0.9</v>
      </c>
      <c r="T1544" s="116">
        <f>InputData!$C$88</f>
        <v>180000</v>
      </c>
      <c r="U1544" s="116">
        <f>InputData!$C$81</f>
        <v>178500</v>
      </c>
      <c r="V1544" s="116">
        <f>InputData!$C$82</f>
        <v>303960</v>
      </c>
      <c r="W1544" s="116">
        <f>InputData!$C$84</f>
        <v>215220</v>
      </c>
      <c r="X1544" s="116">
        <f>InputData!$C$85</f>
        <v>409020</v>
      </c>
      <c r="Y1544" s="116">
        <f>InputData!$C$116</f>
        <v>140000</v>
      </c>
      <c r="Z1544" s="160">
        <f>InputData!$E$13</f>
        <v>0</v>
      </c>
    </row>
    <row r="1545" spans="1:26" x14ac:dyDescent="0.25">
      <c r="A1545">
        <f>InputData!$K$1</f>
        <v>2013</v>
      </c>
      <c r="B1545" t="str">
        <f>InputData!$G$1</f>
        <v>San Antonio, TX</v>
      </c>
      <c r="C1545" t="s">
        <v>227</v>
      </c>
      <c r="D1545" t="str">
        <f>Graph_Ophtha!$M$6</f>
        <v>HPSP20</v>
      </c>
      <c r="E1545" t="str">
        <f t="shared" si="24"/>
        <v>Ophthalmology HPSP20</v>
      </c>
      <c r="F1545">
        <f>Graph_Ophtha!$A20</f>
        <v>2026</v>
      </c>
      <c r="G1545">
        <f>Graph_Ophtha!$B20</f>
        <v>14</v>
      </c>
      <c r="H1545" s="165">
        <f>Graph_Ophtha!$M20</f>
        <v>730451.56207811472</v>
      </c>
      <c r="I1545" s="160">
        <f>InputData!$C$3</f>
        <v>0.02</v>
      </c>
      <c r="J1545" s="160">
        <f>InputData!$C$4</f>
        <v>0.01</v>
      </c>
      <c r="K1545" s="160">
        <f>InputData!$C$5</f>
        <v>0.01</v>
      </c>
      <c r="L1545" s="160">
        <f>InputData!$C$6</f>
        <v>6.2100000000000002E-2</v>
      </c>
      <c r="M1545" s="160">
        <f>InputData!$C$7</f>
        <v>0.03</v>
      </c>
      <c r="N1545" s="160">
        <f>InputData!$C$8</f>
        <v>0.02</v>
      </c>
      <c r="O1545" s="160">
        <f>InputData!$C$9</f>
        <v>0.06</v>
      </c>
      <c r="P1545" s="160">
        <f>InputData!$C$10</f>
        <v>0.02</v>
      </c>
      <c r="Q1545" s="160">
        <f>InputData!$C$11</f>
        <v>0.02</v>
      </c>
      <c r="R1545" s="160">
        <f>InputData!$C$12</f>
        <v>0.02</v>
      </c>
      <c r="S1545" s="160">
        <f>InputData!$C$13</f>
        <v>0.9</v>
      </c>
      <c r="T1545" s="116">
        <f>InputData!$C$88</f>
        <v>180000</v>
      </c>
      <c r="U1545" s="116">
        <f>InputData!$C$81</f>
        <v>178500</v>
      </c>
      <c r="V1545" s="116">
        <f>InputData!$C$82</f>
        <v>303960</v>
      </c>
      <c r="W1545" s="116">
        <f>InputData!$C$84</f>
        <v>215220</v>
      </c>
      <c r="X1545" s="116">
        <f>InputData!$C$85</f>
        <v>409020</v>
      </c>
      <c r="Y1545" s="116">
        <f>InputData!$C$116</f>
        <v>140000</v>
      </c>
      <c r="Z1545" s="160">
        <f>InputData!$E$13</f>
        <v>0</v>
      </c>
    </row>
    <row r="1546" spans="1:26" x14ac:dyDescent="0.25">
      <c r="A1546">
        <f>InputData!$K$1</f>
        <v>2013</v>
      </c>
      <c r="B1546" t="str">
        <f>InputData!$G$1</f>
        <v>San Antonio, TX</v>
      </c>
      <c r="C1546" t="s">
        <v>227</v>
      </c>
      <c r="D1546" t="str">
        <f>Graph_Ophtha!$M$6</f>
        <v>HPSP20</v>
      </c>
      <c r="E1546" t="str">
        <f t="shared" si="24"/>
        <v>Ophthalmology HPSP20</v>
      </c>
      <c r="F1546">
        <f>Graph_Ophtha!$A21</f>
        <v>2027</v>
      </c>
      <c r="G1546">
        <f>Graph_Ophtha!$B21</f>
        <v>15</v>
      </c>
      <c r="H1546" s="165">
        <f>Graph_Ophtha!$M21</f>
        <v>810137.25824792241</v>
      </c>
      <c r="I1546" s="160">
        <f>InputData!$C$3</f>
        <v>0.02</v>
      </c>
      <c r="J1546" s="160">
        <f>InputData!$C$4</f>
        <v>0.01</v>
      </c>
      <c r="K1546" s="160">
        <f>InputData!$C$5</f>
        <v>0.01</v>
      </c>
      <c r="L1546" s="160">
        <f>InputData!$C$6</f>
        <v>6.2100000000000002E-2</v>
      </c>
      <c r="M1546" s="160">
        <f>InputData!$C$7</f>
        <v>0.03</v>
      </c>
      <c r="N1546" s="160">
        <f>InputData!$C$8</f>
        <v>0.02</v>
      </c>
      <c r="O1546" s="160">
        <f>InputData!$C$9</f>
        <v>0.06</v>
      </c>
      <c r="P1546" s="160">
        <f>InputData!$C$10</f>
        <v>0.02</v>
      </c>
      <c r="Q1546" s="160">
        <f>InputData!$C$11</f>
        <v>0.02</v>
      </c>
      <c r="R1546" s="160">
        <f>InputData!$C$12</f>
        <v>0.02</v>
      </c>
      <c r="S1546" s="160">
        <f>InputData!$C$13</f>
        <v>0.9</v>
      </c>
      <c r="T1546" s="116">
        <f>InputData!$C$88</f>
        <v>180000</v>
      </c>
      <c r="U1546" s="116">
        <f>InputData!$C$81</f>
        <v>178500</v>
      </c>
      <c r="V1546" s="116">
        <f>InputData!$C$82</f>
        <v>303960</v>
      </c>
      <c r="W1546" s="116">
        <f>InputData!$C$84</f>
        <v>215220</v>
      </c>
      <c r="X1546" s="116">
        <f>InputData!$C$85</f>
        <v>409020</v>
      </c>
      <c r="Y1546" s="116">
        <f>InputData!$C$116</f>
        <v>140000</v>
      </c>
      <c r="Z1546" s="160">
        <f>InputData!$E$13</f>
        <v>0</v>
      </c>
    </row>
    <row r="1547" spans="1:26" x14ac:dyDescent="0.25">
      <c r="A1547">
        <f>InputData!$K$1</f>
        <v>2013</v>
      </c>
      <c r="B1547" t="str">
        <f>InputData!$G$1</f>
        <v>San Antonio, TX</v>
      </c>
      <c r="C1547" t="s">
        <v>227</v>
      </c>
      <c r="D1547" t="str">
        <f>Graph_Ophtha!$M$6</f>
        <v>HPSP20</v>
      </c>
      <c r="E1547" t="str">
        <f t="shared" si="24"/>
        <v>Ophthalmology HPSP20</v>
      </c>
      <c r="F1547">
        <f>Graph_Ophtha!$A22</f>
        <v>2028</v>
      </c>
      <c r="G1547">
        <f>Graph_Ophtha!$B22</f>
        <v>16</v>
      </c>
      <c r="H1547" s="165">
        <f>Graph_Ophtha!$M22</f>
        <v>886758.99735881819</v>
      </c>
      <c r="I1547" s="160">
        <f>InputData!$C$3</f>
        <v>0.02</v>
      </c>
      <c r="J1547" s="160">
        <f>InputData!$C$4</f>
        <v>0.01</v>
      </c>
      <c r="K1547" s="160">
        <f>InputData!$C$5</f>
        <v>0.01</v>
      </c>
      <c r="L1547" s="160">
        <f>InputData!$C$6</f>
        <v>6.2100000000000002E-2</v>
      </c>
      <c r="M1547" s="160">
        <f>InputData!$C$7</f>
        <v>0.03</v>
      </c>
      <c r="N1547" s="160">
        <f>InputData!$C$8</f>
        <v>0.02</v>
      </c>
      <c r="O1547" s="160">
        <f>InputData!$C$9</f>
        <v>0.06</v>
      </c>
      <c r="P1547" s="160">
        <f>InputData!$C$10</f>
        <v>0.02</v>
      </c>
      <c r="Q1547" s="160">
        <f>InputData!$C$11</f>
        <v>0.02</v>
      </c>
      <c r="R1547" s="160">
        <f>InputData!$C$12</f>
        <v>0.02</v>
      </c>
      <c r="S1547" s="160">
        <f>InputData!$C$13</f>
        <v>0.9</v>
      </c>
      <c r="T1547" s="116">
        <f>InputData!$C$88</f>
        <v>180000</v>
      </c>
      <c r="U1547" s="116">
        <f>InputData!$C$81</f>
        <v>178500</v>
      </c>
      <c r="V1547" s="116">
        <f>InputData!$C$82</f>
        <v>303960</v>
      </c>
      <c r="W1547" s="116">
        <f>InputData!$C$84</f>
        <v>215220</v>
      </c>
      <c r="X1547" s="116">
        <f>InputData!$C$85</f>
        <v>409020</v>
      </c>
      <c r="Y1547" s="116">
        <f>InputData!$C$116</f>
        <v>140000</v>
      </c>
      <c r="Z1547" s="160">
        <f>InputData!$E$13</f>
        <v>0</v>
      </c>
    </row>
    <row r="1548" spans="1:26" x14ac:dyDescent="0.25">
      <c r="A1548">
        <f>InputData!$K$1</f>
        <v>2013</v>
      </c>
      <c r="B1548" t="str">
        <f>InputData!$G$1</f>
        <v>San Antonio, TX</v>
      </c>
      <c r="C1548" t="s">
        <v>227</v>
      </c>
      <c r="D1548" t="str">
        <f>Graph_Ophtha!$M$6</f>
        <v>HPSP20</v>
      </c>
      <c r="E1548" t="str">
        <f t="shared" si="24"/>
        <v>Ophthalmology HPSP20</v>
      </c>
      <c r="F1548">
        <f>Graph_Ophtha!$A23</f>
        <v>2029</v>
      </c>
      <c r="G1548">
        <f>Graph_Ophtha!$B23</f>
        <v>17</v>
      </c>
      <c r="H1548" s="165">
        <f>Graph_Ophtha!$M23</f>
        <v>963100.50591079576</v>
      </c>
      <c r="I1548" s="160">
        <f>InputData!$C$3</f>
        <v>0.02</v>
      </c>
      <c r="J1548" s="160">
        <f>InputData!$C$4</f>
        <v>0.01</v>
      </c>
      <c r="K1548" s="160">
        <f>InputData!$C$5</f>
        <v>0.01</v>
      </c>
      <c r="L1548" s="160">
        <f>InputData!$C$6</f>
        <v>6.2100000000000002E-2</v>
      </c>
      <c r="M1548" s="160">
        <f>InputData!$C$7</f>
        <v>0.03</v>
      </c>
      <c r="N1548" s="160">
        <f>InputData!$C$8</f>
        <v>0.02</v>
      </c>
      <c r="O1548" s="160">
        <f>InputData!$C$9</f>
        <v>0.06</v>
      </c>
      <c r="P1548" s="160">
        <f>InputData!$C$10</f>
        <v>0.02</v>
      </c>
      <c r="Q1548" s="160">
        <f>InputData!$C$11</f>
        <v>0.02</v>
      </c>
      <c r="R1548" s="160">
        <f>InputData!$C$12</f>
        <v>0.02</v>
      </c>
      <c r="S1548" s="160">
        <f>InputData!$C$13</f>
        <v>0.9</v>
      </c>
      <c r="T1548" s="116">
        <f>InputData!$C$88</f>
        <v>180000</v>
      </c>
      <c r="U1548" s="116">
        <f>InputData!$C$81</f>
        <v>178500</v>
      </c>
      <c r="V1548" s="116">
        <f>InputData!$C$82</f>
        <v>303960</v>
      </c>
      <c r="W1548" s="116">
        <f>InputData!$C$84</f>
        <v>215220</v>
      </c>
      <c r="X1548" s="116">
        <f>InputData!$C$85</f>
        <v>409020</v>
      </c>
      <c r="Y1548" s="116">
        <f>InputData!$C$116</f>
        <v>140000</v>
      </c>
      <c r="Z1548" s="160">
        <f>InputData!$E$13</f>
        <v>0</v>
      </c>
    </row>
    <row r="1549" spans="1:26" x14ac:dyDescent="0.25">
      <c r="A1549">
        <f>InputData!$K$1</f>
        <v>2013</v>
      </c>
      <c r="B1549" t="str">
        <f>InputData!$G$1</f>
        <v>San Antonio, TX</v>
      </c>
      <c r="C1549" t="s">
        <v>227</v>
      </c>
      <c r="D1549" t="str">
        <f>Graph_Ophtha!$M$6</f>
        <v>HPSP20</v>
      </c>
      <c r="E1549" t="str">
        <f t="shared" si="24"/>
        <v>Ophthalmology HPSP20</v>
      </c>
      <c r="F1549">
        <f>Graph_Ophtha!$A24</f>
        <v>2030</v>
      </c>
      <c r="G1549">
        <f>Graph_Ophtha!$B24</f>
        <v>18</v>
      </c>
      <c r="H1549" s="165">
        <f>Graph_Ophtha!$M24</f>
        <v>1036506.4044737867</v>
      </c>
      <c r="I1549" s="160">
        <f>InputData!$C$3</f>
        <v>0.02</v>
      </c>
      <c r="J1549" s="160">
        <f>InputData!$C$4</f>
        <v>0.01</v>
      </c>
      <c r="K1549" s="160">
        <f>InputData!$C$5</f>
        <v>0.01</v>
      </c>
      <c r="L1549" s="160">
        <f>InputData!$C$6</f>
        <v>6.2100000000000002E-2</v>
      </c>
      <c r="M1549" s="160">
        <f>InputData!$C$7</f>
        <v>0.03</v>
      </c>
      <c r="N1549" s="160">
        <f>InputData!$C$8</f>
        <v>0.02</v>
      </c>
      <c r="O1549" s="160">
        <f>InputData!$C$9</f>
        <v>0.06</v>
      </c>
      <c r="P1549" s="160">
        <f>InputData!$C$10</f>
        <v>0.02</v>
      </c>
      <c r="Q1549" s="160">
        <f>InputData!$C$11</f>
        <v>0.02</v>
      </c>
      <c r="R1549" s="160">
        <f>InputData!$C$12</f>
        <v>0.02</v>
      </c>
      <c r="S1549" s="160">
        <f>InputData!$C$13</f>
        <v>0.9</v>
      </c>
      <c r="T1549" s="116">
        <f>InputData!$C$88</f>
        <v>180000</v>
      </c>
      <c r="U1549" s="116">
        <f>InputData!$C$81</f>
        <v>178500</v>
      </c>
      <c r="V1549" s="116">
        <f>InputData!$C$82</f>
        <v>303960</v>
      </c>
      <c r="W1549" s="116">
        <f>InputData!$C$84</f>
        <v>215220</v>
      </c>
      <c r="X1549" s="116">
        <f>InputData!$C$85</f>
        <v>409020</v>
      </c>
      <c r="Y1549" s="116">
        <f>InputData!$C$116</f>
        <v>140000</v>
      </c>
      <c r="Z1549" s="160">
        <f>InputData!$E$13</f>
        <v>0</v>
      </c>
    </row>
    <row r="1550" spans="1:26" x14ac:dyDescent="0.25">
      <c r="A1550">
        <f>InputData!$K$1</f>
        <v>2013</v>
      </c>
      <c r="B1550" t="str">
        <f>InputData!$G$1</f>
        <v>San Antonio, TX</v>
      </c>
      <c r="C1550" t="s">
        <v>227</v>
      </c>
      <c r="D1550" t="str">
        <f>Graph_Ophtha!$M$6</f>
        <v>HPSP20</v>
      </c>
      <c r="E1550" t="str">
        <f t="shared" si="24"/>
        <v>Ophthalmology HPSP20</v>
      </c>
      <c r="F1550">
        <f>Graph_Ophtha!$A25</f>
        <v>2031</v>
      </c>
      <c r="G1550">
        <f>Graph_Ophtha!$B25</f>
        <v>19</v>
      </c>
      <c r="H1550" s="165">
        <f>Graph_Ophtha!$M25</f>
        <v>1108367.8784148411</v>
      </c>
      <c r="I1550" s="160">
        <f>InputData!$C$3</f>
        <v>0.02</v>
      </c>
      <c r="J1550" s="160">
        <f>InputData!$C$4</f>
        <v>0.01</v>
      </c>
      <c r="K1550" s="160">
        <f>InputData!$C$5</f>
        <v>0.01</v>
      </c>
      <c r="L1550" s="160">
        <f>InputData!$C$6</f>
        <v>6.2100000000000002E-2</v>
      </c>
      <c r="M1550" s="160">
        <f>InputData!$C$7</f>
        <v>0.03</v>
      </c>
      <c r="N1550" s="160">
        <f>InputData!$C$8</f>
        <v>0.02</v>
      </c>
      <c r="O1550" s="160">
        <f>InputData!$C$9</f>
        <v>0.06</v>
      </c>
      <c r="P1550" s="160">
        <f>InputData!$C$10</f>
        <v>0.02</v>
      </c>
      <c r="Q1550" s="160">
        <f>InputData!$C$11</f>
        <v>0.02</v>
      </c>
      <c r="R1550" s="160">
        <f>InputData!$C$12</f>
        <v>0.02</v>
      </c>
      <c r="S1550" s="160">
        <f>InputData!$C$13</f>
        <v>0.9</v>
      </c>
      <c r="T1550" s="116">
        <f>InputData!$C$88</f>
        <v>180000</v>
      </c>
      <c r="U1550" s="116">
        <f>InputData!$C$81</f>
        <v>178500</v>
      </c>
      <c r="V1550" s="116">
        <f>InputData!$C$82</f>
        <v>303960</v>
      </c>
      <c r="W1550" s="116">
        <f>InputData!$C$84</f>
        <v>215220</v>
      </c>
      <c r="X1550" s="116">
        <f>InputData!$C$85</f>
        <v>409020</v>
      </c>
      <c r="Y1550" s="116">
        <f>InputData!$C$116</f>
        <v>140000</v>
      </c>
      <c r="Z1550" s="160">
        <f>InputData!$E$13</f>
        <v>0</v>
      </c>
    </row>
    <row r="1551" spans="1:26" x14ac:dyDescent="0.25">
      <c r="A1551">
        <f>InputData!$K$1</f>
        <v>2013</v>
      </c>
      <c r="B1551" t="str">
        <f>InputData!$G$1</f>
        <v>San Antonio, TX</v>
      </c>
      <c r="C1551" t="s">
        <v>227</v>
      </c>
      <c r="D1551" t="str">
        <f>Graph_Ophtha!$M$6</f>
        <v>HPSP20</v>
      </c>
      <c r="E1551" t="str">
        <f t="shared" si="24"/>
        <v>Ophthalmology HPSP20</v>
      </c>
      <c r="F1551">
        <f>Graph_Ophtha!$A26</f>
        <v>2032</v>
      </c>
      <c r="G1551">
        <f>Graph_Ophtha!$B26</f>
        <v>20</v>
      </c>
      <c r="H1551" s="165">
        <f>Graph_Ophtha!$M26</f>
        <v>1177466.0347272865</v>
      </c>
      <c r="I1551" s="160">
        <f>InputData!$C$3</f>
        <v>0.02</v>
      </c>
      <c r="J1551" s="160">
        <f>InputData!$C$4</f>
        <v>0.01</v>
      </c>
      <c r="K1551" s="160">
        <f>InputData!$C$5</f>
        <v>0.01</v>
      </c>
      <c r="L1551" s="160">
        <f>InputData!$C$6</f>
        <v>6.2100000000000002E-2</v>
      </c>
      <c r="M1551" s="160">
        <f>InputData!$C$7</f>
        <v>0.03</v>
      </c>
      <c r="N1551" s="160">
        <f>InputData!$C$8</f>
        <v>0.02</v>
      </c>
      <c r="O1551" s="160">
        <f>InputData!$C$9</f>
        <v>0.06</v>
      </c>
      <c r="P1551" s="160">
        <f>InputData!$C$10</f>
        <v>0.02</v>
      </c>
      <c r="Q1551" s="160">
        <f>InputData!$C$11</f>
        <v>0.02</v>
      </c>
      <c r="R1551" s="160">
        <f>InputData!$C$12</f>
        <v>0.02</v>
      </c>
      <c r="S1551" s="160">
        <f>InputData!$C$13</f>
        <v>0.9</v>
      </c>
      <c r="T1551" s="116">
        <f>InputData!$C$88</f>
        <v>180000</v>
      </c>
      <c r="U1551" s="116">
        <f>InputData!$C$81</f>
        <v>178500</v>
      </c>
      <c r="V1551" s="116">
        <f>InputData!$C$82</f>
        <v>303960</v>
      </c>
      <c r="W1551" s="116">
        <f>InputData!$C$84</f>
        <v>215220</v>
      </c>
      <c r="X1551" s="116">
        <f>InputData!$C$85</f>
        <v>409020</v>
      </c>
      <c r="Y1551" s="116">
        <f>InputData!$C$116</f>
        <v>140000</v>
      </c>
      <c r="Z1551" s="160">
        <f>InputData!$E$13</f>
        <v>0</v>
      </c>
    </row>
    <row r="1552" spans="1:26" x14ac:dyDescent="0.25">
      <c r="A1552">
        <f>InputData!$K$1</f>
        <v>2013</v>
      </c>
      <c r="B1552" t="str">
        <f>InputData!$G$1</f>
        <v>San Antonio, TX</v>
      </c>
      <c r="C1552" t="s">
        <v>227</v>
      </c>
      <c r="D1552" t="str">
        <f>Graph_Ophtha!$M$6</f>
        <v>HPSP20</v>
      </c>
      <c r="E1552" t="str">
        <f t="shared" si="24"/>
        <v>Ophthalmology HPSP20</v>
      </c>
      <c r="F1552">
        <f>Graph_Ophtha!$A27</f>
        <v>2033</v>
      </c>
      <c r="G1552">
        <f>Graph_Ophtha!$B27</f>
        <v>21</v>
      </c>
      <c r="H1552" s="165">
        <f>Graph_Ophtha!$M27</f>
        <v>1245715.561920464</v>
      </c>
      <c r="I1552" s="160">
        <f>InputData!$C$3</f>
        <v>0.02</v>
      </c>
      <c r="J1552" s="160">
        <f>InputData!$C$4</f>
        <v>0.01</v>
      </c>
      <c r="K1552" s="160">
        <f>InputData!$C$5</f>
        <v>0.01</v>
      </c>
      <c r="L1552" s="160">
        <f>InputData!$C$6</f>
        <v>6.2100000000000002E-2</v>
      </c>
      <c r="M1552" s="160">
        <f>InputData!$C$7</f>
        <v>0.03</v>
      </c>
      <c r="N1552" s="160">
        <f>InputData!$C$8</f>
        <v>0.02</v>
      </c>
      <c r="O1552" s="160">
        <f>InputData!$C$9</f>
        <v>0.06</v>
      </c>
      <c r="P1552" s="160">
        <f>InputData!$C$10</f>
        <v>0.02</v>
      </c>
      <c r="Q1552" s="160">
        <f>InputData!$C$11</f>
        <v>0.02</v>
      </c>
      <c r="R1552" s="160">
        <f>InputData!$C$12</f>
        <v>0.02</v>
      </c>
      <c r="S1552" s="160">
        <f>InputData!$C$13</f>
        <v>0.9</v>
      </c>
      <c r="T1552" s="116">
        <f>InputData!$C$88</f>
        <v>180000</v>
      </c>
      <c r="U1552" s="116">
        <f>InputData!$C$81</f>
        <v>178500</v>
      </c>
      <c r="V1552" s="116">
        <f>InputData!$C$82</f>
        <v>303960</v>
      </c>
      <c r="W1552" s="116">
        <f>InputData!$C$84</f>
        <v>215220</v>
      </c>
      <c r="X1552" s="116">
        <f>InputData!$C$85</f>
        <v>409020</v>
      </c>
      <c r="Y1552" s="116">
        <f>InputData!$C$116</f>
        <v>140000</v>
      </c>
      <c r="Z1552" s="160">
        <f>InputData!$E$13</f>
        <v>0</v>
      </c>
    </row>
    <row r="1553" spans="1:26" x14ac:dyDescent="0.25">
      <c r="A1553">
        <f>InputData!$K$1</f>
        <v>2013</v>
      </c>
      <c r="B1553" t="str">
        <f>InputData!$G$1</f>
        <v>San Antonio, TX</v>
      </c>
      <c r="C1553" t="s">
        <v>227</v>
      </c>
      <c r="D1553" t="str">
        <f>Graph_Ophtha!$M$6</f>
        <v>HPSP20</v>
      </c>
      <c r="E1553" t="str">
        <f t="shared" si="24"/>
        <v>Ophthalmology HPSP20</v>
      </c>
      <c r="F1553">
        <f>Graph_Ophtha!$A28</f>
        <v>2034</v>
      </c>
      <c r="G1553">
        <f>Graph_Ophtha!$B28</f>
        <v>22</v>
      </c>
      <c r="H1553" s="165">
        <f>Graph_Ophtha!$M28</f>
        <v>1311340.5649818145</v>
      </c>
      <c r="I1553" s="160">
        <f>InputData!$C$3</f>
        <v>0.02</v>
      </c>
      <c r="J1553" s="160">
        <f>InputData!$C$4</f>
        <v>0.01</v>
      </c>
      <c r="K1553" s="160">
        <f>InputData!$C$5</f>
        <v>0.01</v>
      </c>
      <c r="L1553" s="160">
        <f>InputData!$C$6</f>
        <v>6.2100000000000002E-2</v>
      </c>
      <c r="M1553" s="160">
        <f>InputData!$C$7</f>
        <v>0.03</v>
      </c>
      <c r="N1553" s="160">
        <f>InputData!$C$8</f>
        <v>0.02</v>
      </c>
      <c r="O1553" s="160">
        <f>InputData!$C$9</f>
        <v>0.06</v>
      </c>
      <c r="P1553" s="160">
        <f>InputData!$C$10</f>
        <v>0.02</v>
      </c>
      <c r="Q1553" s="160">
        <f>InputData!$C$11</f>
        <v>0.02</v>
      </c>
      <c r="R1553" s="160">
        <f>InputData!$C$12</f>
        <v>0.02</v>
      </c>
      <c r="S1553" s="160">
        <f>InputData!$C$13</f>
        <v>0.9</v>
      </c>
      <c r="T1553" s="116">
        <f>InputData!$C$88</f>
        <v>180000</v>
      </c>
      <c r="U1553" s="116">
        <f>InputData!$C$81</f>
        <v>178500</v>
      </c>
      <c r="V1553" s="116">
        <f>InputData!$C$82</f>
        <v>303960</v>
      </c>
      <c r="W1553" s="116">
        <f>InputData!$C$84</f>
        <v>215220</v>
      </c>
      <c r="X1553" s="116">
        <f>InputData!$C$85</f>
        <v>409020</v>
      </c>
      <c r="Y1553" s="116">
        <f>InputData!$C$116</f>
        <v>140000</v>
      </c>
      <c r="Z1553" s="160">
        <f>InputData!$E$13</f>
        <v>0</v>
      </c>
    </row>
    <row r="1554" spans="1:26" x14ac:dyDescent="0.25">
      <c r="A1554">
        <f>InputData!$K$1</f>
        <v>2013</v>
      </c>
      <c r="B1554" t="str">
        <f>InputData!$G$1</f>
        <v>San Antonio, TX</v>
      </c>
      <c r="C1554" t="s">
        <v>227</v>
      </c>
      <c r="D1554" t="str">
        <f>Graph_Ophtha!$M$6</f>
        <v>HPSP20</v>
      </c>
      <c r="E1554" t="str">
        <f t="shared" si="24"/>
        <v>Ophthalmology HPSP20</v>
      </c>
      <c r="F1554">
        <f>Graph_Ophtha!$A29</f>
        <v>2035</v>
      </c>
      <c r="G1554">
        <f>Graph_Ophtha!$B29</f>
        <v>23</v>
      </c>
      <c r="H1554" s="165">
        <f>Graph_Ophtha!$M29</f>
        <v>1378375.5282091203</v>
      </c>
      <c r="I1554" s="160">
        <f>InputData!$C$3</f>
        <v>0.02</v>
      </c>
      <c r="J1554" s="160">
        <f>InputData!$C$4</f>
        <v>0.01</v>
      </c>
      <c r="K1554" s="160">
        <f>InputData!$C$5</f>
        <v>0.01</v>
      </c>
      <c r="L1554" s="160">
        <f>InputData!$C$6</f>
        <v>6.2100000000000002E-2</v>
      </c>
      <c r="M1554" s="160">
        <f>InputData!$C$7</f>
        <v>0.03</v>
      </c>
      <c r="N1554" s="160">
        <f>InputData!$C$8</f>
        <v>0.02</v>
      </c>
      <c r="O1554" s="160">
        <f>InputData!$C$9</f>
        <v>0.06</v>
      </c>
      <c r="P1554" s="160">
        <f>InputData!$C$10</f>
        <v>0.02</v>
      </c>
      <c r="Q1554" s="160">
        <f>InputData!$C$11</f>
        <v>0.02</v>
      </c>
      <c r="R1554" s="160">
        <f>InputData!$C$12</f>
        <v>0.02</v>
      </c>
      <c r="S1554" s="160">
        <f>InputData!$C$13</f>
        <v>0.9</v>
      </c>
      <c r="T1554" s="116">
        <f>InputData!$C$88</f>
        <v>180000</v>
      </c>
      <c r="U1554" s="116">
        <f>InputData!$C$81</f>
        <v>178500</v>
      </c>
      <c r="V1554" s="116">
        <f>InputData!$C$82</f>
        <v>303960</v>
      </c>
      <c r="W1554" s="116">
        <f>InputData!$C$84</f>
        <v>215220</v>
      </c>
      <c r="X1554" s="116">
        <f>InputData!$C$85</f>
        <v>409020</v>
      </c>
      <c r="Y1554" s="116">
        <f>InputData!$C$116</f>
        <v>140000</v>
      </c>
      <c r="Z1554" s="160">
        <f>InputData!$E$13</f>
        <v>0</v>
      </c>
    </row>
    <row r="1555" spans="1:26" x14ac:dyDescent="0.25">
      <c r="A1555">
        <f>InputData!$K$1</f>
        <v>2013</v>
      </c>
      <c r="B1555" t="str">
        <f>InputData!$G$1</f>
        <v>San Antonio, TX</v>
      </c>
      <c r="C1555" t="s">
        <v>227</v>
      </c>
      <c r="D1555" t="str">
        <f>Graph_Ophtha!$M$6</f>
        <v>HPSP20</v>
      </c>
      <c r="E1555" t="str">
        <f t="shared" si="24"/>
        <v>Ophthalmology HPSP20</v>
      </c>
      <c r="F1555">
        <f>Graph_Ophtha!$A30</f>
        <v>2036</v>
      </c>
      <c r="G1555">
        <f>Graph_Ophtha!$B30</f>
        <v>24</v>
      </c>
      <c r="H1555" s="165">
        <f>Graph_Ophtha!$M30</f>
        <v>1442826.7356323446</v>
      </c>
      <c r="I1555" s="160">
        <f>InputData!$C$3</f>
        <v>0.02</v>
      </c>
      <c r="J1555" s="160">
        <f>InputData!$C$4</f>
        <v>0.01</v>
      </c>
      <c r="K1555" s="160">
        <f>InputData!$C$5</f>
        <v>0.01</v>
      </c>
      <c r="L1555" s="160">
        <f>InputData!$C$6</f>
        <v>6.2100000000000002E-2</v>
      </c>
      <c r="M1555" s="160">
        <f>InputData!$C$7</f>
        <v>0.03</v>
      </c>
      <c r="N1555" s="160">
        <f>InputData!$C$8</f>
        <v>0.02</v>
      </c>
      <c r="O1555" s="160">
        <f>InputData!$C$9</f>
        <v>0.06</v>
      </c>
      <c r="P1555" s="160">
        <f>InputData!$C$10</f>
        <v>0.02</v>
      </c>
      <c r="Q1555" s="160">
        <f>InputData!$C$11</f>
        <v>0.02</v>
      </c>
      <c r="R1555" s="160">
        <f>InputData!$C$12</f>
        <v>0.02</v>
      </c>
      <c r="S1555" s="160">
        <f>InputData!$C$13</f>
        <v>0.9</v>
      </c>
      <c r="T1555" s="116">
        <f>InputData!$C$88</f>
        <v>180000</v>
      </c>
      <c r="U1555" s="116">
        <f>InputData!$C$81</f>
        <v>178500</v>
      </c>
      <c r="V1555" s="116">
        <f>InputData!$C$82</f>
        <v>303960</v>
      </c>
      <c r="W1555" s="116">
        <f>InputData!$C$84</f>
        <v>215220</v>
      </c>
      <c r="X1555" s="116">
        <f>InputData!$C$85</f>
        <v>409020</v>
      </c>
      <c r="Y1555" s="116">
        <f>InputData!$C$116</f>
        <v>140000</v>
      </c>
      <c r="Z1555" s="160">
        <f>InputData!$E$13</f>
        <v>0</v>
      </c>
    </row>
    <row r="1556" spans="1:26" x14ac:dyDescent="0.25">
      <c r="A1556">
        <f>InputData!$K$1</f>
        <v>2013</v>
      </c>
      <c r="B1556" t="str">
        <f>InputData!$G$1</f>
        <v>San Antonio, TX</v>
      </c>
      <c r="C1556" t="s">
        <v>227</v>
      </c>
      <c r="D1556" t="str">
        <f>Graph_Ophtha!$M$6</f>
        <v>HPSP20</v>
      </c>
      <c r="E1556" t="str">
        <f t="shared" si="24"/>
        <v>Ophthalmology HPSP20</v>
      </c>
      <c r="F1556">
        <f>Graph_Ophtha!$A31</f>
        <v>2037</v>
      </c>
      <c r="G1556">
        <f>Graph_Ophtha!$B31</f>
        <v>25</v>
      </c>
      <c r="H1556" s="165">
        <f>Graph_Ophtha!$M31</f>
        <v>1530251.7570200455</v>
      </c>
      <c r="I1556" s="160">
        <f>InputData!$C$3</f>
        <v>0.02</v>
      </c>
      <c r="J1556" s="160">
        <f>InputData!$C$4</f>
        <v>0.01</v>
      </c>
      <c r="K1556" s="160">
        <f>InputData!$C$5</f>
        <v>0.01</v>
      </c>
      <c r="L1556" s="160">
        <f>InputData!$C$6</f>
        <v>6.2100000000000002E-2</v>
      </c>
      <c r="M1556" s="160">
        <f>InputData!$C$7</f>
        <v>0.03</v>
      </c>
      <c r="N1556" s="160">
        <f>InputData!$C$8</f>
        <v>0.02</v>
      </c>
      <c r="O1556" s="160">
        <f>InputData!$C$9</f>
        <v>0.06</v>
      </c>
      <c r="P1556" s="160">
        <f>InputData!$C$10</f>
        <v>0.02</v>
      </c>
      <c r="Q1556" s="160">
        <f>InputData!$C$11</f>
        <v>0.02</v>
      </c>
      <c r="R1556" s="160">
        <f>InputData!$C$12</f>
        <v>0.02</v>
      </c>
      <c r="S1556" s="160">
        <f>InputData!$C$13</f>
        <v>0.9</v>
      </c>
      <c r="T1556" s="116">
        <f>InputData!$C$88</f>
        <v>180000</v>
      </c>
      <c r="U1556" s="116">
        <f>InputData!$C$81</f>
        <v>178500</v>
      </c>
      <c r="V1556" s="116">
        <f>InputData!$C$82</f>
        <v>303960</v>
      </c>
      <c r="W1556" s="116">
        <f>InputData!$C$84</f>
        <v>215220</v>
      </c>
      <c r="X1556" s="116">
        <f>InputData!$C$85</f>
        <v>409020</v>
      </c>
      <c r="Y1556" s="116">
        <f>InputData!$C$116</f>
        <v>140000</v>
      </c>
      <c r="Z1556" s="160">
        <f>InputData!$E$13</f>
        <v>0</v>
      </c>
    </row>
    <row r="1557" spans="1:26" x14ac:dyDescent="0.25">
      <c r="A1557">
        <f>InputData!$K$1</f>
        <v>2013</v>
      </c>
      <c r="B1557" t="str">
        <f>InputData!$G$1</f>
        <v>San Antonio, TX</v>
      </c>
      <c r="C1557" t="s">
        <v>227</v>
      </c>
      <c r="D1557" t="str">
        <f>Graph_Ophtha!$M$6</f>
        <v>HPSP20</v>
      </c>
      <c r="E1557" t="str">
        <f t="shared" si="24"/>
        <v>Ophthalmology HPSP20</v>
      </c>
      <c r="F1557">
        <f>Graph_Ophtha!$A32</f>
        <v>2038</v>
      </c>
      <c r="G1557">
        <f>Graph_Ophtha!$B32</f>
        <v>26</v>
      </c>
      <c r="H1557" s="165">
        <f>Graph_Ophtha!$M32</f>
        <v>1615659.1317919896</v>
      </c>
      <c r="I1557" s="160">
        <f>InputData!$C$3</f>
        <v>0.02</v>
      </c>
      <c r="J1557" s="160">
        <f>InputData!$C$4</f>
        <v>0.01</v>
      </c>
      <c r="K1557" s="160">
        <f>InputData!$C$5</f>
        <v>0.01</v>
      </c>
      <c r="L1557" s="160">
        <f>InputData!$C$6</f>
        <v>6.2100000000000002E-2</v>
      </c>
      <c r="M1557" s="160">
        <f>InputData!$C$7</f>
        <v>0.03</v>
      </c>
      <c r="N1557" s="160">
        <f>InputData!$C$8</f>
        <v>0.02</v>
      </c>
      <c r="O1557" s="160">
        <f>InputData!$C$9</f>
        <v>0.06</v>
      </c>
      <c r="P1557" s="160">
        <f>InputData!$C$10</f>
        <v>0.02</v>
      </c>
      <c r="Q1557" s="160">
        <f>InputData!$C$11</f>
        <v>0.02</v>
      </c>
      <c r="R1557" s="160">
        <f>InputData!$C$12</f>
        <v>0.02</v>
      </c>
      <c r="S1557" s="160">
        <f>InputData!$C$13</f>
        <v>0.9</v>
      </c>
      <c r="T1557" s="116">
        <f>InputData!$C$88</f>
        <v>180000</v>
      </c>
      <c r="U1557" s="116">
        <f>InputData!$C$81</f>
        <v>178500</v>
      </c>
      <c r="V1557" s="116">
        <f>InputData!$C$82</f>
        <v>303960</v>
      </c>
      <c r="W1557" s="116">
        <f>InputData!$C$84</f>
        <v>215220</v>
      </c>
      <c r="X1557" s="116">
        <f>InputData!$C$85</f>
        <v>409020</v>
      </c>
      <c r="Y1557" s="116">
        <f>InputData!$C$116</f>
        <v>140000</v>
      </c>
      <c r="Z1557" s="160">
        <f>InputData!$E$13</f>
        <v>0</v>
      </c>
    </row>
    <row r="1558" spans="1:26" x14ac:dyDescent="0.25">
      <c r="A1558">
        <f>InputData!$K$1</f>
        <v>2013</v>
      </c>
      <c r="B1558" t="str">
        <f>InputData!$G$1</f>
        <v>San Antonio, TX</v>
      </c>
      <c r="C1558" t="s">
        <v>227</v>
      </c>
      <c r="D1558" t="str">
        <f>Graph_Ophtha!$M$6</f>
        <v>HPSP20</v>
      </c>
      <c r="E1558" t="str">
        <f t="shared" si="24"/>
        <v>Ophthalmology HPSP20</v>
      </c>
      <c r="F1558">
        <f>Graph_Ophtha!$A33</f>
        <v>2039</v>
      </c>
      <c r="G1558">
        <f>Graph_Ophtha!$B33</f>
        <v>27</v>
      </c>
      <c r="H1558" s="165">
        <f>Graph_Ophtha!$M33</f>
        <v>1699099.6647842797</v>
      </c>
      <c r="I1558" s="160">
        <f>InputData!$C$3</f>
        <v>0.02</v>
      </c>
      <c r="J1558" s="160">
        <f>InputData!$C$4</f>
        <v>0.01</v>
      </c>
      <c r="K1558" s="160">
        <f>InputData!$C$5</f>
        <v>0.01</v>
      </c>
      <c r="L1558" s="160">
        <f>InputData!$C$6</f>
        <v>6.2100000000000002E-2</v>
      </c>
      <c r="M1558" s="160">
        <f>InputData!$C$7</f>
        <v>0.03</v>
      </c>
      <c r="N1558" s="160">
        <f>InputData!$C$8</f>
        <v>0.02</v>
      </c>
      <c r="O1558" s="160">
        <f>InputData!$C$9</f>
        <v>0.06</v>
      </c>
      <c r="P1558" s="160">
        <f>InputData!$C$10</f>
        <v>0.02</v>
      </c>
      <c r="Q1558" s="160">
        <f>InputData!$C$11</f>
        <v>0.02</v>
      </c>
      <c r="R1558" s="160">
        <f>InputData!$C$12</f>
        <v>0.02</v>
      </c>
      <c r="S1558" s="160">
        <f>InputData!$C$13</f>
        <v>0.9</v>
      </c>
      <c r="T1558" s="116">
        <f>InputData!$C$88</f>
        <v>180000</v>
      </c>
      <c r="U1558" s="116">
        <f>InputData!$C$81</f>
        <v>178500</v>
      </c>
      <c r="V1558" s="116">
        <f>InputData!$C$82</f>
        <v>303960</v>
      </c>
      <c r="W1558" s="116">
        <f>InputData!$C$84</f>
        <v>215220</v>
      </c>
      <c r="X1558" s="116">
        <f>InputData!$C$85</f>
        <v>409020</v>
      </c>
      <c r="Y1558" s="116">
        <f>InputData!$C$116</f>
        <v>140000</v>
      </c>
      <c r="Z1558" s="160">
        <f>InputData!$E$13</f>
        <v>0</v>
      </c>
    </row>
    <row r="1559" spans="1:26" x14ac:dyDescent="0.25">
      <c r="A1559">
        <f>InputData!$K$1</f>
        <v>2013</v>
      </c>
      <c r="B1559" t="str">
        <f>InputData!$G$1</f>
        <v>San Antonio, TX</v>
      </c>
      <c r="C1559" t="s">
        <v>227</v>
      </c>
      <c r="D1559" t="str">
        <f>Graph_Ophtha!$M$6</f>
        <v>HPSP20</v>
      </c>
      <c r="E1559" t="str">
        <f t="shared" si="24"/>
        <v>Ophthalmology HPSP20</v>
      </c>
      <c r="F1559">
        <f>Graph_Ophtha!$A34</f>
        <v>2040</v>
      </c>
      <c r="G1559">
        <f>Graph_Ophtha!$B34</f>
        <v>28</v>
      </c>
      <c r="H1559" s="165">
        <f>Graph_Ophtha!$M34</f>
        <v>1780622.7442357517</v>
      </c>
      <c r="I1559" s="160">
        <f>InputData!$C$3</f>
        <v>0.02</v>
      </c>
      <c r="J1559" s="160">
        <f>InputData!$C$4</f>
        <v>0.01</v>
      </c>
      <c r="K1559" s="160">
        <f>InputData!$C$5</f>
        <v>0.01</v>
      </c>
      <c r="L1559" s="160">
        <f>InputData!$C$6</f>
        <v>6.2100000000000002E-2</v>
      </c>
      <c r="M1559" s="160">
        <f>InputData!$C$7</f>
        <v>0.03</v>
      </c>
      <c r="N1559" s="160">
        <f>InputData!$C$8</f>
        <v>0.02</v>
      </c>
      <c r="O1559" s="160">
        <f>InputData!$C$9</f>
        <v>0.06</v>
      </c>
      <c r="P1559" s="160">
        <f>InputData!$C$10</f>
        <v>0.02</v>
      </c>
      <c r="Q1559" s="160">
        <f>InputData!$C$11</f>
        <v>0.02</v>
      </c>
      <c r="R1559" s="160">
        <f>InputData!$C$12</f>
        <v>0.02</v>
      </c>
      <c r="S1559" s="160">
        <f>InputData!$C$13</f>
        <v>0.9</v>
      </c>
      <c r="T1559" s="116">
        <f>InputData!$C$88</f>
        <v>180000</v>
      </c>
      <c r="U1559" s="116">
        <f>InputData!$C$81</f>
        <v>178500</v>
      </c>
      <c r="V1559" s="116">
        <f>InputData!$C$82</f>
        <v>303960</v>
      </c>
      <c r="W1559" s="116">
        <f>InputData!$C$84</f>
        <v>215220</v>
      </c>
      <c r="X1559" s="116">
        <f>InputData!$C$85</f>
        <v>409020</v>
      </c>
      <c r="Y1559" s="116">
        <f>InputData!$C$116</f>
        <v>140000</v>
      </c>
      <c r="Z1559" s="160">
        <f>InputData!$E$13</f>
        <v>0</v>
      </c>
    </row>
    <row r="1560" spans="1:26" x14ac:dyDescent="0.25">
      <c r="A1560">
        <f>InputData!$K$1</f>
        <v>2013</v>
      </c>
      <c r="B1560" t="str">
        <f>InputData!$G$1</f>
        <v>San Antonio, TX</v>
      </c>
      <c r="C1560" t="s">
        <v>227</v>
      </c>
      <c r="D1560" t="str">
        <f>Graph_Ophtha!$M$6</f>
        <v>HPSP20</v>
      </c>
      <c r="E1560" t="str">
        <f t="shared" si="24"/>
        <v>Ophthalmology HPSP20</v>
      </c>
      <c r="F1560">
        <f>Graph_Ophtha!$A35</f>
        <v>2041</v>
      </c>
      <c r="G1560">
        <f>Graph_Ophtha!$B35</f>
        <v>29</v>
      </c>
      <c r="H1560" s="165">
        <f>Graph_Ophtha!$M35</f>
        <v>1860276.385401919</v>
      </c>
      <c r="I1560" s="160">
        <f>InputData!$C$3</f>
        <v>0.02</v>
      </c>
      <c r="J1560" s="160">
        <f>InputData!$C$4</f>
        <v>0.01</v>
      </c>
      <c r="K1560" s="160">
        <f>InputData!$C$5</f>
        <v>0.01</v>
      </c>
      <c r="L1560" s="160">
        <f>InputData!$C$6</f>
        <v>6.2100000000000002E-2</v>
      </c>
      <c r="M1560" s="160">
        <f>InputData!$C$7</f>
        <v>0.03</v>
      </c>
      <c r="N1560" s="160">
        <f>InputData!$C$8</f>
        <v>0.02</v>
      </c>
      <c r="O1560" s="160">
        <f>InputData!$C$9</f>
        <v>0.06</v>
      </c>
      <c r="P1560" s="160">
        <f>InputData!$C$10</f>
        <v>0.02</v>
      </c>
      <c r="Q1560" s="160">
        <f>InputData!$C$11</f>
        <v>0.02</v>
      </c>
      <c r="R1560" s="160">
        <f>InputData!$C$12</f>
        <v>0.02</v>
      </c>
      <c r="S1560" s="160">
        <f>InputData!$C$13</f>
        <v>0.9</v>
      </c>
      <c r="T1560" s="116">
        <f>InputData!$C$88</f>
        <v>180000</v>
      </c>
      <c r="U1560" s="116">
        <f>InputData!$C$81</f>
        <v>178500</v>
      </c>
      <c r="V1560" s="116">
        <f>InputData!$C$82</f>
        <v>303960</v>
      </c>
      <c r="W1560" s="116">
        <f>InputData!$C$84</f>
        <v>215220</v>
      </c>
      <c r="X1560" s="116">
        <f>InputData!$C$85</f>
        <v>409020</v>
      </c>
      <c r="Y1560" s="116">
        <f>InputData!$C$116</f>
        <v>140000</v>
      </c>
      <c r="Z1560" s="160">
        <f>InputData!$E$13</f>
        <v>0</v>
      </c>
    </row>
    <row r="1561" spans="1:26" x14ac:dyDescent="0.25">
      <c r="A1561">
        <f>InputData!$K$1</f>
        <v>2013</v>
      </c>
      <c r="B1561" t="str">
        <f>InputData!$G$1</f>
        <v>San Antonio, TX</v>
      </c>
      <c r="C1561" t="s">
        <v>227</v>
      </c>
      <c r="D1561" t="str">
        <f>Graph_Ophtha!$M$6</f>
        <v>HPSP20</v>
      </c>
      <c r="E1561" t="str">
        <f t="shared" si="24"/>
        <v>Ophthalmology HPSP20</v>
      </c>
      <c r="F1561">
        <f>Graph_Ophtha!$A36</f>
        <v>2042</v>
      </c>
      <c r="G1561">
        <f>Graph_Ophtha!$B36</f>
        <v>30</v>
      </c>
      <c r="H1561" s="165">
        <f>Graph_Ophtha!$M36</f>
        <v>1938107.2727136358</v>
      </c>
      <c r="I1561" s="160">
        <f>InputData!$C$3</f>
        <v>0.02</v>
      </c>
      <c r="J1561" s="160">
        <f>InputData!$C$4</f>
        <v>0.01</v>
      </c>
      <c r="K1561" s="160">
        <f>InputData!$C$5</f>
        <v>0.01</v>
      </c>
      <c r="L1561" s="160">
        <f>InputData!$C$6</f>
        <v>6.2100000000000002E-2</v>
      </c>
      <c r="M1561" s="160">
        <f>InputData!$C$7</f>
        <v>0.03</v>
      </c>
      <c r="N1561" s="160">
        <f>InputData!$C$8</f>
        <v>0.02</v>
      </c>
      <c r="O1561" s="160">
        <f>InputData!$C$9</f>
        <v>0.06</v>
      </c>
      <c r="P1561" s="160">
        <f>InputData!$C$10</f>
        <v>0.02</v>
      </c>
      <c r="Q1561" s="160">
        <f>InputData!$C$11</f>
        <v>0.02</v>
      </c>
      <c r="R1561" s="160">
        <f>InputData!$C$12</f>
        <v>0.02</v>
      </c>
      <c r="S1561" s="160">
        <f>InputData!$C$13</f>
        <v>0.9</v>
      </c>
      <c r="T1561" s="116">
        <f>InputData!$C$88</f>
        <v>180000</v>
      </c>
      <c r="U1561" s="116">
        <f>InputData!$C$81</f>
        <v>178500</v>
      </c>
      <c r="V1561" s="116">
        <f>InputData!$C$82</f>
        <v>303960</v>
      </c>
      <c r="W1561" s="116">
        <f>InputData!$C$84</f>
        <v>215220</v>
      </c>
      <c r="X1561" s="116">
        <f>InputData!$C$85</f>
        <v>409020</v>
      </c>
      <c r="Y1561" s="116">
        <f>InputData!$C$116</f>
        <v>140000</v>
      </c>
      <c r="Z1561" s="160">
        <f>InputData!$E$13</f>
        <v>0</v>
      </c>
    </row>
    <row r="1562" spans="1:26" x14ac:dyDescent="0.25">
      <c r="A1562">
        <f>InputData!$K$1</f>
        <v>2013</v>
      </c>
      <c r="B1562" t="str">
        <f>InputData!$G$1</f>
        <v>San Antonio, TX</v>
      </c>
      <c r="C1562" t="s">
        <v>227</v>
      </c>
      <c r="D1562" t="str">
        <f>Graph_Ophtha!$N$6</f>
        <v>USUim</v>
      </c>
      <c r="E1562" t="str">
        <f t="shared" si="24"/>
        <v>Ophthalmology USUim</v>
      </c>
      <c r="F1562">
        <f>Graph_Ophtha!$A7</f>
        <v>2013</v>
      </c>
      <c r="G1562">
        <f>Graph_Ophtha!$B7</f>
        <v>1</v>
      </c>
      <c r="H1562" s="165">
        <f>Graph_Ophtha!$N7</f>
        <v>54056.194799999997</v>
      </c>
      <c r="I1562" s="160">
        <f>InputData!$C$3</f>
        <v>0.02</v>
      </c>
      <c r="J1562" s="160">
        <f>InputData!$C$4</f>
        <v>0.01</v>
      </c>
      <c r="K1562" s="160">
        <f>InputData!$C$5</f>
        <v>0.01</v>
      </c>
      <c r="L1562" s="160">
        <f>InputData!$C$6</f>
        <v>6.2100000000000002E-2</v>
      </c>
      <c r="M1562" s="160">
        <f>InputData!$C$7</f>
        <v>0.03</v>
      </c>
      <c r="N1562" s="160">
        <f>InputData!$C$8</f>
        <v>0.02</v>
      </c>
      <c r="O1562" s="160">
        <f>InputData!$C$9</f>
        <v>0.06</v>
      </c>
      <c r="P1562" s="160">
        <f>InputData!$C$10</f>
        <v>0.02</v>
      </c>
      <c r="Q1562" s="160">
        <f>InputData!$C$11</f>
        <v>0.02</v>
      </c>
      <c r="R1562" s="160">
        <f>InputData!$C$12</f>
        <v>0.02</v>
      </c>
      <c r="S1562" s="160">
        <f>InputData!$C$13</f>
        <v>0.9</v>
      </c>
      <c r="T1562" s="116">
        <f>InputData!$C$88</f>
        <v>180000</v>
      </c>
      <c r="U1562" s="116">
        <f>InputData!$C$81</f>
        <v>178500</v>
      </c>
      <c r="V1562" s="116">
        <f>InputData!$C$82</f>
        <v>303960</v>
      </c>
      <c r="W1562" s="116">
        <f>InputData!$C$84</f>
        <v>215220</v>
      </c>
      <c r="X1562" s="116">
        <f>InputData!$C$85</f>
        <v>409020</v>
      </c>
      <c r="Y1562" s="116">
        <f>InputData!$C$116</f>
        <v>140000</v>
      </c>
      <c r="Z1562" s="160">
        <f>InputData!$E$13</f>
        <v>0</v>
      </c>
    </row>
    <row r="1563" spans="1:26" x14ac:dyDescent="0.25">
      <c r="A1563">
        <f>InputData!$K$1</f>
        <v>2013</v>
      </c>
      <c r="B1563" t="str">
        <f>InputData!$G$1</f>
        <v>San Antonio, TX</v>
      </c>
      <c r="C1563" t="s">
        <v>227</v>
      </c>
      <c r="D1563" t="str">
        <f>Graph_Ophtha!$N$6</f>
        <v>USUim</v>
      </c>
      <c r="E1563" t="str">
        <f t="shared" si="24"/>
        <v>Ophthalmology USUim</v>
      </c>
      <c r="F1563">
        <f>Graph_Ophtha!$A8</f>
        <v>2014</v>
      </c>
      <c r="G1563">
        <f>Graph_Ophtha!$B8</f>
        <v>2</v>
      </c>
      <c r="H1563" s="165">
        <f>Graph_Ophtha!$N8</f>
        <v>106041.93556527697</v>
      </c>
      <c r="I1563" s="160">
        <f>InputData!$C$3</f>
        <v>0.02</v>
      </c>
      <c r="J1563" s="160">
        <f>InputData!$C$4</f>
        <v>0.01</v>
      </c>
      <c r="K1563" s="160">
        <f>InputData!$C$5</f>
        <v>0.01</v>
      </c>
      <c r="L1563" s="160">
        <f>InputData!$C$6</f>
        <v>6.2100000000000002E-2</v>
      </c>
      <c r="M1563" s="160">
        <f>InputData!$C$7</f>
        <v>0.03</v>
      </c>
      <c r="N1563" s="160">
        <f>InputData!$C$8</f>
        <v>0.02</v>
      </c>
      <c r="O1563" s="160">
        <f>InputData!$C$9</f>
        <v>0.06</v>
      </c>
      <c r="P1563" s="160">
        <f>InputData!$C$10</f>
        <v>0.02</v>
      </c>
      <c r="Q1563" s="160">
        <f>InputData!$C$11</f>
        <v>0.02</v>
      </c>
      <c r="R1563" s="160">
        <f>InputData!$C$12</f>
        <v>0.02</v>
      </c>
      <c r="S1563" s="160">
        <f>InputData!$C$13</f>
        <v>0.9</v>
      </c>
      <c r="T1563" s="116">
        <f>InputData!$C$88</f>
        <v>180000</v>
      </c>
      <c r="U1563" s="116">
        <f>InputData!$C$81</f>
        <v>178500</v>
      </c>
      <c r="V1563" s="116">
        <f>InputData!$C$82</f>
        <v>303960</v>
      </c>
      <c r="W1563" s="116">
        <f>InputData!$C$84</f>
        <v>215220</v>
      </c>
      <c r="X1563" s="116">
        <f>InputData!$C$85</f>
        <v>409020</v>
      </c>
      <c r="Y1563" s="116">
        <f>InputData!$C$116</f>
        <v>140000</v>
      </c>
      <c r="Z1563" s="160">
        <f>InputData!$E$13</f>
        <v>0</v>
      </c>
    </row>
    <row r="1564" spans="1:26" x14ac:dyDescent="0.25">
      <c r="A1564">
        <f>InputData!$K$1</f>
        <v>2013</v>
      </c>
      <c r="B1564" t="str">
        <f>InputData!$G$1</f>
        <v>San Antonio, TX</v>
      </c>
      <c r="C1564" t="s">
        <v>227</v>
      </c>
      <c r="D1564" t="str">
        <f>Graph_Ophtha!$N$6</f>
        <v>USUim</v>
      </c>
      <c r="E1564" t="str">
        <f t="shared" si="24"/>
        <v>Ophthalmology USUim</v>
      </c>
      <c r="F1564">
        <f>Graph_Ophtha!$A9</f>
        <v>2015</v>
      </c>
      <c r="G1564">
        <f>Graph_Ophtha!$B9</f>
        <v>3</v>
      </c>
      <c r="H1564" s="165">
        <f>Graph_Ophtha!$N9</f>
        <v>157045.52189700573</v>
      </c>
      <c r="I1564" s="160">
        <f>InputData!$C$3</f>
        <v>0.02</v>
      </c>
      <c r="J1564" s="160">
        <f>InputData!$C$4</f>
        <v>0.01</v>
      </c>
      <c r="K1564" s="160">
        <f>InputData!$C$5</f>
        <v>0.01</v>
      </c>
      <c r="L1564" s="160">
        <f>InputData!$C$6</f>
        <v>6.2100000000000002E-2</v>
      </c>
      <c r="M1564" s="160">
        <f>InputData!$C$7</f>
        <v>0.03</v>
      </c>
      <c r="N1564" s="160">
        <f>InputData!$C$8</f>
        <v>0.02</v>
      </c>
      <c r="O1564" s="160">
        <f>InputData!$C$9</f>
        <v>0.06</v>
      </c>
      <c r="P1564" s="160">
        <f>InputData!$C$10</f>
        <v>0.02</v>
      </c>
      <c r="Q1564" s="160">
        <f>InputData!$C$11</f>
        <v>0.02</v>
      </c>
      <c r="R1564" s="160">
        <f>InputData!$C$12</f>
        <v>0.02</v>
      </c>
      <c r="S1564" s="160">
        <f>InputData!$C$13</f>
        <v>0.9</v>
      </c>
      <c r="T1564" s="116">
        <f>InputData!$C$88</f>
        <v>180000</v>
      </c>
      <c r="U1564" s="116">
        <f>InputData!$C$81</f>
        <v>178500</v>
      </c>
      <c r="V1564" s="116">
        <f>InputData!$C$82</f>
        <v>303960</v>
      </c>
      <c r="W1564" s="116">
        <f>InputData!$C$84</f>
        <v>215220</v>
      </c>
      <c r="X1564" s="116">
        <f>InputData!$C$85</f>
        <v>409020</v>
      </c>
      <c r="Y1564" s="116">
        <f>InputData!$C$116</f>
        <v>140000</v>
      </c>
      <c r="Z1564" s="160">
        <f>InputData!$E$13</f>
        <v>0</v>
      </c>
    </row>
    <row r="1565" spans="1:26" x14ac:dyDescent="0.25">
      <c r="A1565">
        <f>InputData!$K$1</f>
        <v>2013</v>
      </c>
      <c r="B1565" t="str">
        <f>InputData!$G$1</f>
        <v>San Antonio, TX</v>
      </c>
      <c r="C1565" t="s">
        <v>227</v>
      </c>
      <c r="D1565" t="str">
        <f>Graph_Ophtha!$N$6</f>
        <v>USUim</v>
      </c>
      <c r="E1565" t="str">
        <f t="shared" si="24"/>
        <v>Ophthalmology USUim</v>
      </c>
      <c r="F1565">
        <f>Graph_Ophtha!$A10</f>
        <v>2016</v>
      </c>
      <c r="G1565">
        <f>Graph_Ophtha!$B10</f>
        <v>4</v>
      </c>
      <c r="H1565" s="165">
        <f>Graph_Ophtha!$N10</f>
        <v>211251.55229740124</v>
      </c>
      <c r="I1565" s="160">
        <f>InputData!$C$3</f>
        <v>0.02</v>
      </c>
      <c r="J1565" s="160">
        <f>InputData!$C$4</f>
        <v>0.01</v>
      </c>
      <c r="K1565" s="160">
        <f>InputData!$C$5</f>
        <v>0.01</v>
      </c>
      <c r="L1565" s="160">
        <f>InputData!$C$6</f>
        <v>6.2100000000000002E-2</v>
      </c>
      <c r="M1565" s="160">
        <f>InputData!$C$7</f>
        <v>0.03</v>
      </c>
      <c r="N1565" s="160">
        <f>InputData!$C$8</f>
        <v>0.02</v>
      </c>
      <c r="O1565" s="160">
        <f>InputData!$C$9</f>
        <v>0.06</v>
      </c>
      <c r="P1565" s="160">
        <f>InputData!$C$10</f>
        <v>0.02</v>
      </c>
      <c r="Q1565" s="160">
        <f>InputData!$C$11</f>
        <v>0.02</v>
      </c>
      <c r="R1565" s="160">
        <f>InputData!$C$12</f>
        <v>0.02</v>
      </c>
      <c r="S1565" s="160">
        <f>InputData!$C$13</f>
        <v>0.9</v>
      </c>
      <c r="T1565" s="116">
        <f>InputData!$C$88</f>
        <v>180000</v>
      </c>
      <c r="U1565" s="116">
        <f>InputData!$C$81</f>
        <v>178500</v>
      </c>
      <c r="V1565" s="116">
        <f>InputData!$C$82</f>
        <v>303960</v>
      </c>
      <c r="W1565" s="116">
        <f>InputData!$C$84</f>
        <v>215220</v>
      </c>
      <c r="X1565" s="116">
        <f>InputData!$C$85</f>
        <v>409020</v>
      </c>
      <c r="Y1565" s="116">
        <f>InputData!$C$116</f>
        <v>140000</v>
      </c>
      <c r="Z1565" s="160">
        <f>InputData!$E$13</f>
        <v>0</v>
      </c>
    </row>
    <row r="1566" spans="1:26" x14ac:dyDescent="0.25">
      <c r="A1566">
        <f>InputData!$K$1</f>
        <v>2013</v>
      </c>
      <c r="B1566" t="str">
        <f>InputData!$G$1</f>
        <v>San Antonio, TX</v>
      </c>
      <c r="C1566" t="s">
        <v>227</v>
      </c>
      <c r="D1566" t="str">
        <f>Graph_Ophtha!$N$6</f>
        <v>USUim</v>
      </c>
      <c r="E1566" t="str">
        <f t="shared" si="24"/>
        <v>Ophthalmology USUim</v>
      </c>
      <c r="F1566">
        <f>Graph_Ophtha!$A11</f>
        <v>2017</v>
      </c>
      <c r="G1566">
        <f>Graph_Ophtha!$B11</f>
        <v>5</v>
      </c>
      <c r="H1566" s="165">
        <f>Graph_Ophtha!$N11</f>
        <v>261213.54479899554</v>
      </c>
      <c r="I1566" s="160">
        <f>InputData!$C$3</f>
        <v>0.02</v>
      </c>
      <c r="J1566" s="160">
        <f>InputData!$C$4</f>
        <v>0.01</v>
      </c>
      <c r="K1566" s="160">
        <f>InputData!$C$5</f>
        <v>0.01</v>
      </c>
      <c r="L1566" s="160">
        <f>InputData!$C$6</f>
        <v>6.2100000000000002E-2</v>
      </c>
      <c r="M1566" s="160">
        <f>InputData!$C$7</f>
        <v>0.03</v>
      </c>
      <c r="N1566" s="160">
        <f>InputData!$C$8</f>
        <v>0.02</v>
      </c>
      <c r="O1566" s="160">
        <f>InputData!$C$9</f>
        <v>0.06</v>
      </c>
      <c r="P1566" s="160">
        <f>InputData!$C$10</f>
        <v>0.02</v>
      </c>
      <c r="Q1566" s="160">
        <f>InputData!$C$11</f>
        <v>0.02</v>
      </c>
      <c r="R1566" s="160">
        <f>InputData!$C$12</f>
        <v>0.02</v>
      </c>
      <c r="S1566" s="160">
        <f>InputData!$C$13</f>
        <v>0.9</v>
      </c>
      <c r="T1566" s="116">
        <f>InputData!$C$88</f>
        <v>180000</v>
      </c>
      <c r="U1566" s="116">
        <f>InputData!$C$81</f>
        <v>178500</v>
      </c>
      <c r="V1566" s="116">
        <f>InputData!$C$82</f>
        <v>303960</v>
      </c>
      <c r="W1566" s="116">
        <f>InputData!$C$84</f>
        <v>215220</v>
      </c>
      <c r="X1566" s="116">
        <f>InputData!$C$85</f>
        <v>409020</v>
      </c>
      <c r="Y1566" s="116">
        <f>InputData!$C$116</f>
        <v>140000</v>
      </c>
      <c r="Z1566" s="160">
        <f>InputData!$E$13</f>
        <v>0</v>
      </c>
    </row>
    <row r="1567" spans="1:26" x14ac:dyDescent="0.25">
      <c r="A1567">
        <f>InputData!$K$1</f>
        <v>2013</v>
      </c>
      <c r="B1567" t="str">
        <f>InputData!$G$1</f>
        <v>San Antonio, TX</v>
      </c>
      <c r="C1567" t="s">
        <v>227</v>
      </c>
      <c r="D1567" t="str">
        <f>Graph_Ophtha!$N$6</f>
        <v>USUim</v>
      </c>
      <c r="E1567" t="str">
        <f t="shared" si="24"/>
        <v>Ophthalmology USUim</v>
      </c>
      <c r="F1567">
        <f>Graph_Ophtha!$A12</f>
        <v>2018</v>
      </c>
      <c r="G1567">
        <f>Graph_Ophtha!$B12</f>
        <v>6</v>
      </c>
      <c r="H1567" s="165">
        <f>Graph_Ophtha!$N12</f>
        <v>311474.37448667729</v>
      </c>
      <c r="I1567" s="160">
        <f>InputData!$C$3</f>
        <v>0.02</v>
      </c>
      <c r="J1567" s="160">
        <f>InputData!$C$4</f>
        <v>0.01</v>
      </c>
      <c r="K1567" s="160">
        <f>InputData!$C$5</f>
        <v>0.01</v>
      </c>
      <c r="L1567" s="160">
        <f>InputData!$C$6</f>
        <v>6.2100000000000002E-2</v>
      </c>
      <c r="M1567" s="160">
        <f>InputData!$C$7</f>
        <v>0.03</v>
      </c>
      <c r="N1567" s="160">
        <f>InputData!$C$8</f>
        <v>0.02</v>
      </c>
      <c r="O1567" s="160">
        <f>InputData!$C$9</f>
        <v>0.06</v>
      </c>
      <c r="P1567" s="160">
        <f>InputData!$C$10</f>
        <v>0.02</v>
      </c>
      <c r="Q1567" s="160">
        <f>InputData!$C$11</f>
        <v>0.02</v>
      </c>
      <c r="R1567" s="160">
        <f>InputData!$C$12</f>
        <v>0.02</v>
      </c>
      <c r="S1567" s="160">
        <f>InputData!$C$13</f>
        <v>0.9</v>
      </c>
      <c r="T1567" s="116">
        <f>InputData!$C$88</f>
        <v>180000</v>
      </c>
      <c r="U1567" s="116">
        <f>InputData!$C$81</f>
        <v>178500</v>
      </c>
      <c r="V1567" s="116">
        <f>InputData!$C$82</f>
        <v>303960</v>
      </c>
      <c r="W1567" s="116">
        <f>InputData!$C$84</f>
        <v>215220</v>
      </c>
      <c r="X1567" s="116">
        <f>InputData!$C$85</f>
        <v>409020</v>
      </c>
      <c r="Y1567" s="116">
        <f>InputData!$C$116</f>
        <v>140000</v>
      </c>
      <c r="Z1567" s="160">
        <f>InputData!$E$13</f>
        <v>0</v>
      </c>
    </row>
    <row r="1568" spans="1:26" x14ac:dyDescent="0.25">
      <c r="A1568">
        <f>InputData!$K$1</f>
        <v>2013</v>
      </c>
      <c r="B1568" t="str">
        <f>InputData!$G$1</f>
        <v>San Antonio, TX</v>
      </c>
      <c r="C1568" t="s">
        <v>227</v>
      </c>
      <c r="D1568" t="str">
        <f>Graph_Ophtha!$N$6</f>
        <v>USUim</v>
      </c>
      <c r="E1568" t="str">
        <f t="shared" si="24"/>
        <v>Ophthalmology USUim</v>
      </c>
      <c r="F1568">
        <f>Graph_Ophtha!$A13</f>
        <v>2019</v>
      </c>
      <c r="G1568">
        <f>Graph_Ophtha!$B13</f>
        <v>7</v>
      </c>
      <c r="H1568" s="165">
        <f>Graph_Ophtha!$N13</f>
        <v>363115.97670968575</v>
      </c>
      <c r="I1568" s="160">
        <f>InputData!$C$3</f>
        <v>0.02</v>
      </c>
      <c r="J1568" s="160">
        <f>InputData!$C$4</f>
        <v>0.01</v>
      </c>
      <c r="K1568" s="160">
        <f>InputData!$C$5</f>
        <v>0.01</v>
      </c>
      <c r="L1568" s="160">
        <f>InputData!$C$6</f>
        <v>6.2100000000000002E-2</v>
      </c>
      <c r="M1568" s="160">
        <f>InputData!$C$7</f>
        <v>0.03</v>
      </c>
      <c r="N1568" s="160">
        <f>InputData!$C$8</f>
        <v>0.02</v>
      </c>
      <c r="O1568" s="160">
        <f>InputData!$C$9</f>
        <v>0.06</v>
      </c>
      <c r="P1568" s="160">
        <f>InputData!$C$10</f>
        <v>0.02</v>
      </c>
      <c r="Q1568" s="160">
        <f>InputData!$C$11</f>
        <v>0.02</v>
      </c>
      <c r="R1568" s="160">
        <f>InputData!$C$12</f>
        <v>0.02</v>
      </c>
      <c r="S1568" s="160">
        <f>InputData!$C$13</f>
        <v>0.9</v>
      </c>
      <c r="T1568" s="116">
        <f>InputData!$C$88</f>
        <v>180000</v>
      </c>
      <c r="U1568" s="116">
        <f>InputData!$C$81</f>
        <v>178500</v>
      </c>
      <c r="V1568" s="116">
        <f>InputData!$C$82</f>
        <v>303960</v>
      </c>
      <c r="W1568" s="116">
        <f>InputData!$C$84</f>
        <v>215220</v>
      </c>
      <c r="X1568" s="116">
        <f>InputData!$C$85</f>
        <v>409020</v>
      </c>
      <c r="Y1568" s="116">
        <f>InputData!$C$116</f>
        <v>140000</v>
      </c>
      <c r="Z1568" s="160">
        <f>InputData!$E$13</f>
        <v>0</v>
      </c>
    </row>
    <row r="1569" spans="1:26" x14ac:dyDescent="0.25">
      <c r="A1569">
        <f>InputData!$K$1</f>
        <v>2013</v>
      </c>
      <c r="B1569" t="str">
        <f>InputData!$G$1</f>
        <v>San Antonio, TX</v>
      </c>
      <c r="C1569" t="s">
        <v>227</v>
      </c>
      <c r="D1569" t="str">
        <f>Graph_Ophtha!$N$6</f>
        <v>USUim</v>
      </c>
      <c r="E1569" t="str">
        <f t="shared" si="24"/>
        <v>Ophthalmology USUim</v>
      </c>
      <c r="F1569">
        <f>Graph_Ophtha!$A14</f>
        <v>2020</v>
      </c>
      <c r="G1569">
        <f>Graph_Ophtha!$B14</f>
        <v>8</v>
      </c>
      <c r="H1569" s="165">
        <f>Graph_Ophtha!$N14</f>
        <v>414930.34262192424</v>
      </c>
      <c r="I1569" s="160">
        <f>InputData!$C$3</f>
        <v>0.02</v>
      </c>
      <c r="J1569" s="160">
        <f>InputData!$C$4</f>
        <v>0.01</v>
      </c>
      <c r="K1569" s="160">
        <f>InputData!$C$5</f>
        <v>0.01</v>
      </c>
      <c r="L1569" s="160">
        <f>InputData!$C$6</f>
        <v>6.2100000000000002E-2</v>
      </c>
      <c r="M1569" s="160">
        <f>InputData!$C$7</f>
        <v>0.03</v>
      </c>
      <c r="N1569" s="160">
        <f>InputData!$C$8</f>
        <v>0.02</v>
      </c>
      <c r="O1569" s="160">
        <f>InputData!$C$9</f>
        <v>0.06</v>
      </c>
      <c r="P1569" s="160">
        <f>InputData!$C$10</f>
        <v>0.02</v>
      </c>
      <c r="Q1569" s="160">
        <f>InputData!$C$11</f>
        <v>0.02</v>
      </c>
      <c r="R1569" s="160">
        <f>InputData!$C$12</f>
        <v>0.02</v>
      </c>
      <c r="S1569" s="160">
        <f>InputData!$C$13</f>
        <v>0.9</v>
      </c>
      <c r="T1569" s="116">
        <f>InputData!$C$88</f>
        <v>180000</v>
      </c>
      <c r="U1569" s="116">
        <f>InputData!$C$81</f>
        <v>178500</v>
      </c>
      <c r="V1569" s="116">
        <f>InputData!$C$82</f>
        <v>303960</v>
      </c>
      <c r="W1569" s="116">
        <f>InputData!$C$84</f>
        <v>215220</v>
      </c>
      <c r="X1569" s="116">
        <f>InputData!$C$85</f>
        <v>409020</v>
      </c>
      <c r="Y1569" s="116">
        <f>InputData!$C$116</f>
        <v>140000</v>
      </c>
      <c r="Z1569" s="160">
        <f>InputData!$E$13</f>
        <v>0</v>
      </c>
    </row>
    <row r="1570" spans="1:26" x14ac:dyDescent="0.25">
      <c r="A1570">
        <f>InputData!$K$1</f>
        <v>2013</v>
      </c>
      <c r="B1570" t="str">
        <f>InputData!$G$1</f>
        <v>San Antonio, TX</v>
      </c>
      <c r="C1570" t="s">
        <v>227</v>
      </c>
      <c r="D1570" t="str">
        <f>Graph_Ophtha!$N$6</f>
        <v>USUim</v>
      </c>
      <c r="E1570" t="str">
        <f t="shared" si="24"/>
        <v>Ophthalmology USUim</v>
      </c>
      <c r="F1570">
        <f>Graph_Ophtha!$A15</f>
        <v>2021</v>
      </c>
      <c r="G1570">
        <f>Graph_Ophtha!$B15</f>
        <v>9</v>
      </c>
      <c r="H1570" s="165">
        <f>Graph_Ophtha!$N15</f>
        <v>474661.52056107915</v>
      </c>
      <c r="I1570" s="160">
        <f>InputData!$C$3</f>
        <v>0.02</v>
      </c>
      <c r="J1570" s="160">
        <f>InputData!$C$4</f>
        <v>0.01</v>
      </c>
      <c r="K1570" s="160">
        <f>InputData!$C$5</f>
        <v>0.01</v>
      </c>
      <c r="L1570" s="160">
        <f>InputData!$C$6</f>
        <v>6.2100000000000002E-2</v>
      </c>
      <c r="M1570" s="160">
        <f>InputData!$C$7</f>
        <v>0.03</v>
      </c>
      <c r="N1570" s="160">
        <f>InputData!$C$8</f>
        <v>0.02</v>
      </c>
      <c r="O1570" s="160">
        <f>InputData!$C$9</f>
        <v>0.06</v>
      </c>
      <c r="P1570" s="160">
        <f>InputData!$C$10</f>
        <v>0.02</v>
      </c>
      <c r="Q1570" s="160">
        <f>InputData!$C$11</f>
        <v>0.02</v>
      </c>
      <c r="R1570" s="160">
        <f>InputData!$C$12</f>
        <v>0.02</v>
      </c>
      <c r="S1570" s="160">
        <f>InputData!$C$13</f>
        <v>0.9</v>
      </c>
      <c r="T1570" s="116">
        <f>InputData!$C$88</f>
        <v>180000</v>
      </c>
      <c r="U1570" s="116">
        <f>InputData!$C$81</f>
        <v>178500</v>
      </c>
      <c r="V1570" s="116">
        <f>InputData!$C$82</f>
        <v>303960</v>
      </c>
      <c r="W1570" s="116">
        <f>InputData!$C$84</f>
        <v>215220</v>
      </c>
      <c r="X1570" s="116">
        <f>InputData!$C$85</f>
        <v>409020</v>
      </c>
      <c r="Y1570" s="116">
        <f>InputData!$C$116</f>
        <v>140000</v>
      </c>
      <c r="Z1570" s="160">
        <f>InputData!$E$13</f>
        <v>0</v>
      </c>
    </row>
    <row r="1571" spans="1:26" x14ac:dyDescent="0.25">
      <c r="A1571">
        <f>InputData!$K$1</f>
        <v>2013</v>
      </c>
      <c r="B1571" t="str">
        <f>InputData!$G$1</f>
        <v>San Antonio, TX</v>
      </c>
      <c r="C1571" t="s">
        <v>227</v>
      </c>
      <c r="D1571" t="str">
        <f>Graph_Ophtha!$N$6</f>
        <v>USUim</v>
      </c>
      <c r="E1571" t="str">
        <f t="shared" si="24"/>
        <v>Ophthalmology USUim</v>
      </c>
      <c r="F1571">
        <f>Graph_Ophtha!$A16</f>
        <v>2022</v>
      </c>
      <c r="G1571">
        <f>Graph_Ophtha!$B16</f>
        <v>10</v>
      </c>
      <c r="H1571" s="165">
        <f>Graph_Ophtha!$N16</f>
        <v>533314.72387588245</v>
      </c>
      <c r="I1571" s="160">
        <f>InputData!$C$3</f>
        <v>0.02</v>
      </c>
      <c r="J1571" s="160">
        <f>InputData!$C$4</f>
        <v>0.01</v>
      </c>
      <c r="K1571" s="160">
        <f>InputData!$C$5</f>
        <v>0.01</v>
      </c>
      <c r="L1571" s="160">
        <f>InputData!$C$6</f>
        <v>6.2100000000000002E-2</v>
      </c>
      <c r="M1571" s="160">
        <f>InputData!$C$7</f>
        <v>0.03</v>
      </c>
      <c r="N1571" s="160">
        <f>InputData!$C$8</f>
        <v>0.02</v>
      </c>
      <c r="O1571" s="160">
        <f>InputData!$C$9</f>
        <v>0.06</v>
      </c>
      <c r="P1571" s="160">
        <f>InputData!$C$10</f>
        <v>0.02</v>
      </c>
      <c r="Q1571" s="160">
        <f>InputData!$C$11</f>
        <v>0.02</v>
      </c>
      <c r="R1571" s="160">
        <f>InputData!$C$12</f>
        <v>0.02</v>
      </c>
      <c r="S1571" s="160">
        <f>InputData!$C$13</f>
        <v>0.9</v>
      </c>
      <c r="T1571" s="116">
        <f>InputData!$C$88</f>
        <v>180000</v>
      </c>
      <c r="U1571" s="116">
        <f>InputData!$C$81</f>
        <v>178500</v>
      </c>
      <c r="V1571" s="116">
        <f>InputData!$C$82</f>
        <v>303960</v>
      </c>
      <c r="W1571" s="116">
        <f>InputData!$C$84</f>
        <v>215220</v>
      </c>
      <c r="X1571" s="116">
        <f>InputData!$C$85</f>
        <v>409020</v>
      </c>
      <c r="Y1571" s="116">
        <f>InputData!$C$116</f>
        <v>140000</v>
      </c>
      <c r="Z1571" s="160">
        <f>InputData!$E$13</f>
        <v>0</v>
      </c>
    </row>
    <row r="1572" spans="1:26" x14ac:dyDescent="0.25">
      <c r="A1572">
        <f>InputData!$K$1</f>
        <v>2013</v>
      </c>
      <c r="B1572" t="str">
        <f>InputData!$G$1</f>
        <v>San Antonio, TX</v>
      </c>
      <c r="C1572" t="s">
        <v>227</v>
      </c>
      <c r="D1572" t="str">
        <f>Graph_Ophtha!$N$6</f>
        <v>USUim</v>
      </c>
      <c r="E1572" t="str">
        <f t="shared" si="24"/>
        <v>Ophthalmology USUim</v>
      </c>
      <c r="F1572">
        <f>Graph_Ophtha!$A17</f>
        <v>2023</v>
      </c>
      <c r="G1572">
        <f>Graph_Ophtha!$B17</f>
        <v>11</v>
      </c>
      <c r="H1572" s="165">
        <f>Graph_Ophtha!$N17</f>
        <v>597000.51990297018</v>
      </c>
      <c r="I1572" s="160">
        <f>InputData!$C$3</f>
        <v>0.02</v>
      </c>
      <c r="J1572" s="160">
        <f>InputData!$C$4</f>
        <v>0.01</v>
      </c>
      <c r="K1572" s="160">
        <f>InputData!$C$5</f>
        <v>0.01</v>
      </c>
      <c r="L1572" s="160">
        <f>InputData!$C$6</f>
        <v>6.2100000000000002E-2</v>
      </c>
      <c r="M1572" s="160">
        <f>InputData!$C$7</f>
        <v>0.03</v>
      </c>
      <c r="N1572" s="160">
        <f>InputData!$C$8</f>
        <v>0.02</v>
      </c>
      <c r="O1572" s="160">
        <f>InputData!$C$9</f>
        <v>0.06</v>
      </c>
      <c r="P1572" s="160">
        <f>InputData!$C$10</f>
        <v>0.02</v>
      </c>
      <c r="Q1572" s="160">
        <f>InputData!$C$11</f>
        <v>0.02</v>
      </c>
      <c r="R1572" s="160">
        <f>InputData!$C$12</f>
        <v>0.02</v>
      </c>
      <c r="S1572" s="160">
        <f>InputData!$C$13</f>
        <v>0.9</v>
      </c>
      <c r="T1572" s="116">
        <f>InputData!$C$88</f>
        <v>180000</v>
      </c>
      <c r="U1572" s="116">
        <f>InputData!$C$81</f>
        <v>178500</v>
      </c>
      <c r="V1572" s="116">
        <f>InputData!$C$82</f>
        <v>303960</v>
      </c>
      <c r="W1572" s="116">
        <f>InputData!$C$84</f>
        <v>215220</v>
      </c>
      <c r="X1572" s="116">
        <f>InputData!$C$85</f>
        <v>409020</v>
      </c>
      <c r="Y1572" s="116">
        <f>InputData!$C$116</f>
        <v>140000</v>
      </c>
      <c r="Z1572" s="160">
        <f>InputData!$E$13</f>
        <v>0</v>
      </c>
    </row>
    <row r="1573" spans="1:26" x14ac:dyDescent="0.25">
      <c r="A1573">
        <f>InputData!$K$1</f>
        <v>2013</v>
      </c>
      <c r="B1573" t="str">
        <f>InputData!$G$1</f>
        <v>San Antonio, TX</v>
      </c>
      <c r="C1573" t="s">
        <v>227</v>
      </c>
      <c r="D1573" t="str">
        <f>Graph_Ophtha!$N$6</f>
        <v>USUim</v>
      </c>
      <c r="E1573" t="str">
        <f t="shared" si="24"/>
        <v>Ophthalmology USUim</v>
      </c>
      <c r="F1573">
        <f>Graph_Ophtha!$A18</f>
        <v>2024</v>
      </c>
      <c r="G1573">
        <f>Graph_Ophtha!$B18</f>
        <v>12</v>
      </c>
      <c r="H1573" s="165">
        <f>Graph_Ophtha!$N18</f>
        <v>658271.74611536425</v>
      </c>
      <c r="I1573" s="160">
        <f>InputData!$C$3</f>
        <v>0.02</v>
      </c>
      <c r="J1573" s="160">
        <f>InputData!$C$4</f>
        <v>0.01</v>
      </c>
      <c r="K1573" s="160">
        <f>InputData!$C$5</f>
        <v>0.01</v>
      </c>
      <c r="L1573" s="160">
        <f>InputData!$C$6</f>
        <v>6.2100000000000002E-2</v>
      </c>
      <c r="M1573" s="160">
        <f>InputData!$C$7</f>
        <v>0.03</v>
      </c>
      <c r="N1573" s="160">
        <f>InputData!$C$8</f>
        <v>0.02</v>
      </c>
      <c r="O1573" s="160">
        <f>InputData!$C$9</f>
        <v>0.06</v>
      </c>
      <c r="P1573" s="160">
        <f>InputData!$C$10</f>
        <v>0.02</v>
      </c>
      <c r="Q1573" s="160">
        <f>InputData!$C$11</f>
        <v>0.02</v>
      </c>
      <c r="R1573" s="160">
        <f>InputData!$C$12</f>
        <v>0.02</v>
      </c>
      <c r="S1573" s="160">
        <f>InputData!$C$13</f>
        <v>0.9</v>
      </c>
      <c r="T1573" s="116">
        <f>InputData!$C$88</f>
        <v>180000</v>
      </c>
      <c r="U1573" s="116">
        <f>InputData!$C$81</f>
        <v>178500</v>
      </c>
      <c r="V1573" s="116">
        <f>InputData!$C$82</f>
        <v>303960</v>
      </c>
      <c r="W1573" s="116">
        <f>InputData!$C$84</f>
        <v>215220</v>
      </c>
      <c r="X1573" s="116">
        <f>InputData!$C$85</f>
        <v>409020</v>
      </c>
      <c r="Y1573" s="116">
        <f>InputData!$C$116</f>
        <v>140000</v>
      </c>
      <c r="Z1573" s="160">
        <f>InputData!$E$13</f>
        <v>0</v>
      </c>
    </row>
    <row r="1574" spans="1:26" x14ac:dyDescent="0.25">
      <c r="A1574">
        <f>InputData!$K$1</f>
        <v>2013</v>
      </c>
      <c r="B1574" t="str">
        <f>InputData!$G$1</f>
        <v>San Antonio, TX</v>
      </c>
      <c r="C1574" t="s">
        <v>227</v>
      </c>
      <c r="D1574" t="str">
        <f>Graph_Ophtha!$N$6</f>
        <v>USUim</v>
      </c>
      <c r="E1574" t="str">
        <f t="shared" si="24"/>
        <v>Ophthalmology USUim</v>
      </c>
      <c r="F1574">
        <f>Graph_Ophtha!$A19</f>
        <v>2025</v>
      </c>
      <c r="G1574">
        <f>Graph_Ophtha!$B19</f>
        <v>13</v>
      </c>
      <c r="H1574" s="165">
        <f>Graph_Ophtha!$N19</f>
        <v>718698.20947738958</v>
      </c>
      <c r="I1574" s="160">
        <f>InputData!$C$3</f>
        <v>0.02</v>
      </c>
      <c r="J1574" s="160">
        <f>InputData!$C$4</f>
        <v>0.01</v>
      </c>
      <c r="K1574" s="160">
        <f>InputData!$C$5</f>
        <v>0.01</v>
      </c>
      <c r="L1574" s="160">
        <f>InputData!$C$6</f>
        <v>6.2100000000000002E-2</v>
      </c>
      <c r="M1574" s="160">
        <f>InputData!$C$7</f>
        <v>0.03</v>
      </c>
      <c r="N1574" s="160">
        <f>InputData!$C$8</f>
        <v>0.02</v>
      </c>
      <c r="O1574" s="160">
        <f>InputData!$C$9</f>
        <v>0.06</v>
      </c>
      <c r="P1574" s="160">
        <f>InputData!$C$10</f>
        <v>0.02</v>
      </c>
      <c r="Q1574" s="160">
        <f>InputData!$C$11</f>
        <v>0.02</v>
      </c>
      <c r="R1574" s="160">
        <f>InputData!$C$12</f>
        <v>0.02</v>
      </c>
      <c r="S1574" s="160">
        <f>InputData!$C$13</f>
        <v>0.9</v>
      </c>
      <c r="T1574" s="116">
        <f>InputData!$C$88</f>
        <v>180000</v>
      </c>
      <c r="U1574" s="116">
        <f>InputData!$C$81</f>
        <v>178500</v>
      </c>
      <c r="V1574" s="116">
        <f>InputData!$C$82</f>
        <v>303960</v>
      </c>
      <c r="W1574" s="116">
        <f>InputData!$C$84</f>
        <v>215220</v>
      </c>
      <c r="X1574" s="116">
        <f>InputData!$C$85</f>
        <v>409020</v>
      </c>
      <c r="Y1574" s="116">
        <f>InputData!$C$116</f>
        <v>140000</v>
      </c>
      <c r="Z1574" s="160">
        <f>InputData!$E$13</f>
        <v>0</v>
      </c>
    </row>
    <row r="1575" spans="1:26" x14ac:dyDescent="0.25">
      <c r="A1575">
        <f>InputData!$K$1</f>
        <v>2013</v>
      </c>
      <c r="B1575" t="str">
        <f>InputData!$G$1</f>
        <v>San Antonio, TX</v>
      </c>
      <c r="C1575" t="s">
        <v>227</v>
      </c>
      <c r="D1575" t="str">
        <f>Graph_Ophtha!$N$6</f>
        <v>USUim</v>
      </c>
      <c r="E1575" t="str">
        <f t="shared" si="24"/>
        <v>Ophthalmology USUim</v>
      </c>
      <c r="F1575">
        <f>Graph_Ophtha!$A20</f>
        <v>2026</v>
      </c>
      <c r="G1575">
        <f>Graph_Ophtha!$B20</f>
        <v>14</v>
      </c>
      <c r="H1575" s="165">
        <f>Graph_Ophtha!$N20</f>
        <v>776833.3869198251</v>
      </c>
      <c r="I1575" s="160">
        <f>InputData!$C$3</f>
        <v>0.02</v>
      </c>
      <c r="J1575" s="160">
        <f>InputData!$C$4</f>
        <v>0.01</v>
      </c>
      <c r="K1575" s="160">
        <f>InputData!$C$5</f>
        <v>0.01</v>
      </c>
      <c r="L1575" s="160">
        <f>InputData!$C$6</f>
        <v>6.2100000000000002E-2</v>
      </c>
      <c r="M1575" s="160">
        <f>InputData!$C$7</f>
        <v>0.03</v>
      </c>
      <c r="N1575" s="160">
        <f>InputData!$C$8</f>
        <v>0.02</v>
      </c>
      <c r="O1575" s="160">
        <f>InputData!$C$9</f>
        <v>0.06</v>
      </c>
      <c r="P1575" s="160">
        <f>InputData!$C$10</f>
        <v>0.02</v>
      </c>
      <c r="Q1575" s="160">
        <f>InputData!$C$11</f>
        <v>0.02</v>
      </c>
      <c r="R1575" s="160">
        <f>InputData!$C$12</f>
        <v>0.02</v>
      </c>
      <c r="S1575" s="160">
        <f>InputData!$C$13</f>
        <v>0.9</v>
      </c>
      <c r="T1575" s="116">
        <f>InputData!$C$88</f>
        <v>180000</v>
      </c>
      <c r="U1575" s="116">
        <f>InputData!$C$81</f>
        <v>178500</v>
      </c>
      <c r="V1575" s="116">
        <f>InputData!$C$82</f>
        <v>303960</v>
      </c>
      <c r="W1575" s="116">
        <f>InputData!$C$84</f>
        <v>215220</v>
      </c>
      <c r="X1575" s="116">
        <f>InputData!$C$85</f>
        <v>409020</v>
      </c>
      <c r="Y1575" s="116">
        <f>InputData!$C$116</f>
        <v>140000</v>
      </c>
      <c r="Z1575" s="160">
        <f>InputData!$E$13</f>
        <v>0</v>
      </c>
    </row>
    <row r="1576" spans="1:26" x14ac:dyDescent="0.25">
      <c r="A1576">
        <f>InputData!$K$1</f>
        <v>2013</v>
      </c>
      <c r="B1576" t="str">
        <f>InputData!$G$1</f>
        <v>San Antonio, TX</v>
      </c>
      <c r="C1576" t="s">
        <v>227</v>
      </c>
      <c r="D1576" t="str">
        <f>Graph_Ophtha!$N$6</f>
        <v>USUim</v>
      </c>
      <c r="E1576" t="str">
        <f t="shared" si="24"/>
        <v>Ophthalmology USUim</v>
      </c>
      <c r="F1576">
        <f>Graph_Ophtha!$A21</f>
        <v>2027</v>
      </c>
      <c r="G1576">
        <f>Graph_Ophtha!$B21</f>
        <v>15</v>
      </c>
      <c r="H1576" s="165">
        <f>Graph_Ophtha!$N21</f>
        <v>834903.67436399602</v>
      </c>
      <c r="I1576" s="160">
        <f>InputData!$C$3</f>
        <v>0.02</v>
      </c>
      <c r="J1576" s="160">
        <f>InputData!$C$4</f>
        <v>0.01</v>
      </c>
      <c r="K1576" s="160">
        <f>InputData!$C$5</f>
        <v>0.01</v>
      </c>
      <c r="L1576" s="160">
        <f>InputData!$C$6</f>
        <v>6.2100000000000002E-2</v>
      </c>
      <c r="M1576" s="160">
        <f>InputData!$C$7</f>
        <v>0.03</v>
      </c>
      <c r="N1576" s="160">
        <f>InputData!$C$8</f>
        <v>0.02</v>
      </c>
      <c r="O1576" s="160">
        <f>InputData!$C$9</f>
        <v>0.06</v>
      </c>
      <c r="P1576" s="160">
        <f>InputData!$C$10</f>
        <v>0.02</v>
      </c>
      <c r="Q1576" s="160">
        <f>InputData!$C$11</f>
        <v>0.02</v>
      </c>
      <c r="R1576" s="160">
        <f>InputData!$C$12</f>
        <v>0.02</v>
      </c>
      <c r="S1576" s="160">
        <f>InputData!$C$13</f>
        <v>0.9</v>
      </c>
      <c r="T1576" s="116">
        <f>InputData!$C$88</f>
        <v>180000</v>
      </c>
      <c r="U1576" s="116">
        <f>InputData!$C$81</f>
        <v>178500</v>
      </c>
      <c r="V1576" s="116">
        <f>InputData!$C$82</f>
        <v>303960</v>
      </c>
      <c r="W1576" s="116">
        <f>InputData!$C$84</f>
        <v>215220</v>
      </c>
      <c r="X1576" s="116">
        <f>InputData!$C$85</f>
        <v>409020</v>
      </c>
      <c r="Y1576" s="116">
        <f>InputData!$C$116</f>
        <v>140000</v>
      </c>
      <c r="Z1576" s="160">
        <f>InputData!$E$13</f>
        <v>0</v>
      </c>
    </row>
    <row r="1577" spans="1:26" x14ac:dyDescent="0.25">
      <c r="A1577">
        <f>InputData!$K$1</f>
        <v>2013</v>
      </c>
      <c r="B1577" t="str">
        <f>InputData!$G$1</f>
        <v>San Antonio, TX</v>
      </c>
      <c r="C1577" t="s">
        <v>227</v>
      </c>
      <c r="D1577" t="str">
        <f>Graph_Ophtha!$N$6</f>
        <v>USUim</v>
      </c>
      <c r="E1577" t="str">
        <f t="shared" si="24"/>
        <v>Ophthalmology USUim</v>
      </c>
      <c r="F1577">
        <f>Graph_Ophtha!$A22</f>
        <v>2028</v>
      </c>
      <c r="G1577">
        <f>Graph_Ophtha!$B22</f>
        <v>16</v>
      </c>
      <c r="H1577" s="165">
        <f>Graph_Ophtha!$N22</f>
        <v>924104.6861849085</v>
      </c>
      <c r="I1577" s="160">
        <f>InputData!$C$3</f>
        <v>0.02</v>
      </c>
      <c r="J1577" s="160">
        <f>InputData!$C$4</f>
        <v>0.01</v>
      </c>
      <c r="K1577" s="160">
        <f>InputData!$C$5</f>
        <v>0.01</v>
      </c>
      <c r="L1577" s="160">
        <f>InputData!$C$6</f>
        <v>6.2100000000000002E-2</v>
      </c>
      <c r="M1577" s="160">
        <f>InputData!$C$7</f>
        <v>0.03</v>
      </c>
      <c r="N1577" s="160">
        <f>InputData!$C$8</f>
        <v>0.02</v>
      </c>
      <c r="O1577" s="160">
        <f>InputData!$C$9</f>
        <v>0.06</v>
      </c>
      <c r="P1577" s="160">
        <f>InputData!$C$10</f>
        <v>0.02</v>
      </c>
      <c r="Q1577" s="160">
        <f>InputData!$C$11</f>
        <v>0.02</v>
      </c>
      <c r="R1577" s="160">
        <f>InputData!$C$12</f>
        <v>0.02</v>
      </c>
      <c r="S1577" s="160">
        <f>InputData!$C$13</f>
        <v>0.9</v>
      </c>
      <c r="T1577" s="116">
        <f>InputData!$C$88</f>
        <v>180000</v>
      </c>
      <c r="U1577" s="116">
        <f>InputData!$C$81</f>
        <v>178500</v>
      </c>
      <c r="V1577" s="116">
        <f>InputData!$C$82</f>
        <v>303960</v>
      </c>
      <c r="W1577" s="116">
        <f>InputData!$C$84</f>
        <v>215220</v>
      </c>
      <c r="X1577" s="116">
        <f>InputData!$C$85</f>
        <v>409020</v>
      </c>
      <c r="Y1577" s="116">
        <f>InputData!$C$116</f>
        <v>140000</v>
      </c>
      <c r="Z1577" s="160">
        <f>InputData!$E$13</f>
        <v>0</v>
      </c>
    </row>
    <row r="1578" spans="1:26" x14ac:dyDescent="0.25">
      <c r="A1578">
        <f>InputData!$K$1</f>
        <v>2013</v>
      </c>
      <c r="B1578" t="str">
        <f>InputData!$G$1</f>
        <v>San Antonio, TX</v>
      </c>
      <c r="C1578" t="s">
        <v>227</v>
      </c>
      <c r="D1578" t="str">
        <f>Graph_Ophtha!$N$6</f>
        <v>USUim</v>
      </c>
      <c r="E1578" t="str">
        <f t="shared" si="24"/>
        <v>Ophthalmology USUim</v>
      </c>
      <c r="F1578">
        <f>Graph_Ophtha!$A23</f>
        <v>2029</v>
      </c>
      <c r="G1578">
        <f>Graph_Ophtha!$B23</f>
        <v>17</v>
      </c>
      <c r="H1578" s="165">
        <f>Graph_Ophtha!$N23</f>
        <v>1011490.4754801411</v>
      </c>
      <c r="I1578" s="160">
        <f>InputData!$C$3</f>
        <v>0.02</v>
      </c>
      <c r="J1578" s="160">
        <f>InputData!$C$4</f>
        <v>0.01</v>
      </c>
      <c r="K1578" s="160">
        <f>InputData!$C$5</f>
        <v>0.01</v>
      </c>
      <c r="L1578" s="160">
        <f>InputData!$C$6</f>
        <v>6.2100000000000002E-2</v>
      </c>
      <c r="M1578" s="160">
        <f>InputData!$C$7</f>
        <v>0.03</v>
      </c>
      <c r="N1578" s="160">
        <f>InputData!$C$8</f>
        <v>0.02</v>
      </c>
      <c r="O1578" s="160">
        <f>InputData!$C$9</f>
        <v>0.06</v>
      </c>
      <c r="P1578" s="160">
        <f>InputData!$C$10</f>
        <v>0.02</v>
      </c>
      <c r="Q1578" s="160">
        <f>InputData!$C$11</f>
        <v>0.02</v>
      </c>
      <c r="R1578" s="160">
        <f>InputData!$C$12</f>
        <v>0.02</v>
      </c>
      <c r="S1578" s="160">
        <f>InputData!$C$13</f>
        <v>0.9</v>
      </c>
      <c r="T1578" s="116">
        <f>InputData!$C$88</f>
        <v>180000</v>
      </c>
      <c r="U1578" s="116">
        <f>InputData!$C$81</f>
        <v>178500</v>
      </c>
      <c r="V1578" s="116">
        <f>InputData!$C$82</f>
        <v>303960</v>
      </c>
      <c r="W1578" s="116">
        <f>InputData!$C$84</f>
        <v>215220</v>
      </c>
      <c r="X1578" s="116">
        <f>InputData!$C$85</f>
        <v>409020</v>
      </c>
      <c r="Y1578" s="116">
        <f>InputData!$C$116</f>
        <v>140000</v>
      </c>
      <c r="Z1578" s="160">
        <f>InputData!$E$13</f>
        <v>0</v>
      </c>
    </row>
    <row r="1579" spans="1:26" x14ac:dyDescent="0.25">
      <c r="A1579">
        <f>InputData!$K$1</f>
        <v>2013</v>
      </c>
      <c r="B1579" t="str">
        <f>InputData!$G$1</f>
        <v>San Antonio, TX</v>
      </c>
      <c r="C1579" t="s">
        <v>227</v>
      </c>
      <c r="D1579" t="str">
        <f>Graph_Ophtha!$N$6</f>
        <v>USUim</v>
      </c>
      <c r="E1579" t="str">
        <f t="shared" si="24"/>
        <v>Ophthalmology USUim</v>
      </c>
      <c r="F1579">
        <f>Graph_Ophtha!$A24</f>
        <v>2030</v>
      </c>
      <c r="G1579">
        <f>Graph_Ophtha!$B24</f>
        <v>18</v>
      </c>
      <c r="H1579" s="165">
        <f>Graph_Ophtha!$N24</f>
        <v>1097098.5625107086</v>
      </c>
      <c r="I1579" s="160">
        <f>InputData!$C$3</f>
        <v>0.02</v>
      </c>
      <c r="J1579" s="160">
        <f>InputData!$C$4</f>
        <v>0.01</v>
      </c>
      <c r="K1579" s="160">
        <f>InputData!$C$5</f>
        <v>0.01</v>
      </c>
      <c r="L1579" s="160">
        <f>InputData!$C$6</f>
        <v>6.2100000000000002E-2</v>
      </c>
      <c r="M1579" s="160">
        <f>InputData!$C$7</f>
        <v>0.03</v>
      </c>
      <c r="N1579" s="160">
        <f>InputData!$C$8</f>
        <v>0.02</v>
      </c>
      <c r="O1579" s="160">
        <f>InputData!$C$9</f>
        <v>0.06</v>
      </c>
      <c r="P1579" s="160">
        <f>InputData!$C$10</f>
        <v>0.02</v>
      </c>
      <c r="Q1579" s="160">
        <f>InputData!$C$11</f>
        <v>0.02</v>
      </c>
      <c r="R1579" s="160">
        <f>InputData!$C$12</f>
        <v>0.02</v>
      </c>
      <c r="S1579" s="160">
        <f>InputData!$C$13</f>
        <v>0.9</v>
      </c>
      <c r="T1579" s="116">
        <f>InputData!$C$88</f>
        <v>180000</v>
      </c>
      <c r="U1579" s="116">
        <f>InputData!$C$81</f>
        <v>178500</v>
      </c>
      <c r="V1579" s="116">
        <f>InputData!$C$82</f>
        <v>303960</v>
      </c>
      <c r="W1579" s="116">
        <f>InputData!$C$84</f>
        <v>215220</v>
      </c>
      <c r="X1579" s="116">
        <f>InputData!$C$85</f>
        <v>409020</v>
      </c>
      <c r="Y1579" s="116">
        <f>InputData!$C$116</f>
        <v>140000</v>
      </c>
      <c r="Z1579" s="160">
        <f>InputData!$E$13</f>
        <v>0</v>
      </c>
    </row>
    <row r="1580" spans="1:26" x14ac:dyDescent="0.25">
      <c r="A1580">
        <f>InputData!$K$1</f>
        <v>2013</v>
      </c>
      <c r="B1580" t="str">
        <f>InputData!$G$1</f>
        <v>San Antonio, TX</v>
      </c>
      <c r="C1580" t="s">
        <v>227</v>
      </c>
      <c r="D1580" t="str">
        <f>Graph_Ophtha!$N$6</f>
        <v>USUim</v>
      </c>
      <c r="E1580" t="str">
        <f t="shared" si="24"/>
        <v>Ophthalmology USUim</v>
      </c>
      <c r="F1580">
        <f>Graph_Ophtha!$A25</f>
        <v>2031</v>
      </c>
      <c r="G1580">
        <f>Graph_Ophtha!$B25</f>
        <v>19</v>
      </c>
      <c r="H1580" s="165">
        <f>Graph_Ophtha!$N25</f>
        <v>1180965.6757007246</v>
      </c>
      <c r="I1580" s="160">
        <f>InputData!$C$3</f>
        <v>0.02</v>
      </c>
      <c r="J1580" s="160">
        <f>InputData!$C$4</f>
        <v>0.01</v>
      </c>
      <c r="K1580" s="160">
        <f>InputData!$C$5</f>
        <v>0.01</v>
      </c>
      <c r="L1580" s="160">
        <f>InputData!$C$6</f>
        <v>6.2100000000000002E-2</v>
      </c>
      <c r="M1580" s="160">
        <f>InputData!$C$7</f>
        <v>0.03</v>
      </c>
      <c r="N1580" s="160">
        <f>InputData!$C$8</f>
        <v>0.02</v>
      </c>
      <c r="O1580" s="160">
        <f>InputData!$C$9</f>
        <v>0.06</v>
      </c>
      <c r="P1580" s="160">
        <f>InputData!$C$10</f>
        <v>0.02</v>
      </c>
      <c r="Q1580" s="160">
        <f>InputData!$C$11</f>
        <v>0.02</v>
      </c>
      <c r="R1580" s="160">
        <f>InputData!$C$12</f>
        <v>0.02</v>
      </c>
      <c r="S1580" s="160">
        <f>InputData!$C$13</f>
        <v>0.9</v>
      </c>
      <c r="T1580" s="116">
        <f>InputData!$C$88</f>
        <v>180000</v>
      </c>
      <c r="U1580" s="116">
        <f>InputData!$C$81</f>
        <v>178500</v>
      </c>
      <c r="V1580" s="116">
        <f>InputData!$C$82</f>
        <v>303960</v>
      </c>
      <c r="W1580" s="116">
        <f>InputData!$C$84</f>
        <v>215220</v>
      </c>
      <c r="X1580" s="116">
        <f>InputData!$C$85</f>
        <v>409020</v>
      </c>
      <c r="Y1580" s="116">
        <f>InputData!$C$116</f>
        <v>140000</v>
      </c>
      <c r="Z1580" s="160">
        <f>InputData!$E$13</f>
        <v>0</v>
      </c>
    </row>
    <row r="1581" spans="1:26" x14ac:dyDescent="0.25">
      <c r="A1581">
        <f>InputData!$K$1</f>
        <v>2013</v>
      </c>
      <c r="B1581" t="str">
        <f>InputData!$G$1</f>
        <v>San Antonio, TX</v>
      </c>
      <c r="C1581" t="s">
        <v>227</v>
      </c>
      <c r="D1581" t="str">
        <f>Graph_Ophtha!$N$6</f>
        <v>USUim</v>
      </c>
      <c r="E1581" t="str">
        <f t="shared" si="24"/>
        <v>Ophthalmology USUim</v>
      </c>
      <c r="F1581">
        <f>Graph_Ophtha!$A26</f>
        <v>2032</v>
      </c>
      <c r="G1581">
        <f>Graph_Ophtha!$B26</f>
        <v>20</v>
      </c>
      <c r="H1581" s="165">
        <f>Graph_Ophtha!$N26</f>
        <v>1263127.7687989213</v>
      </c>
      <c r="I1581" s="160">
        <f>InputData!$C$3</f>
        <v>0.02</v>
      </c>
      <c r="J1581" s="160">
        <f>InputData!$C$4</f>
        <v>0.01</v>
      </c>
      <c r="K1581" s="160">
        <f>InputData!$C$5</f>
        <v>0.01</v>
      </c>
      <c r="L1581" s="160">
        <f>InputData!$C$6</f>
        <v>6.2100000000000002E-2</v>
      </c>
      <c r="M1581" s="160">
        <f>InputData!$C$7</f>
        <v>0.03</v>
      </c>
      <c r="N1581" s="160">
        <f>InputData!$C$8</f>
        <v>0.02</v>
      </c>
      <c r="O1581" s="160">
        <f>InputData!$C$9</f>
        <v>0.06</v>
      </c>
      <c r="P1581" s="160">
        <f>InputData!$C$10</f>
        <v>0.02</v>
      </c>
      <c r="Q1581" s="160">
        <f>InputData!$C$11</f>
        <v>0.02</v>
      </c>
      <c r="R1581" s="160">
        <f>InputData!$C$12</f>
        <v>0.02</v>
      </c>
      <c r="S1581" s="160">
        <f>InputData!$C$13</f>
        <v>0.9</v>
      </c>
      <c r="T1581" s="116">
        <f>InputData!$C$88</f>
        <v>180000</v>
      </c>
      <c r="U1581" s="116">
        <f>InputData!$C$81</f>
        <v>178500</v>
      </c>
      <c r="V1581" s="116">
        <f>InputData!$C$82</f>
        <v>303960</v>
      </c>
      <c r="W1581" s="116">
        <f>InputData!$C$84</f>
        <v>215220</v>
      </c>
      <c r="X1581" s="116">
        <f>InputData!$C$85</f>
        <v>409020</v>
      </c>
      <c r="Y1581" s="116">
        <f>InputData!$C$116</f>
        <v>140000</v>
      </c>
      <c r="Z1581" s="160">
        <f>InputData!$E$13</f>
        <v>0</v>
      </c>
    </row>
    <row r="1582" spans="1:26" x14ac:dyDescent="0.25">
      <c r="A1582">
        <f>InputData!$K$1</f>
        <v>2013</v>
      </c>
      <c r="B1582" t="str">
        <f>InputData!$G$1</f>
        <v>San Antonio, TX</v>
      </c>
      <c r="C1582" t="s">
        <v>227</v>
      </c>
      <c r="D1582" t="str">
        <f>Graph_Ophtha!$N$6</f>
        <v>USUim</v>
      </c>
      <c r="E1582" t="str">
        <f t="shared" si="24"/>
        <v>Ophthalmology USUim</v>
      </c>
      <c r="F1582">
        <f>Graph_Ophtha!$A27</f>
        <v>2033</v>
      </c>
      <c r="G1582">
        <f>Graph_Ophtha!$B27</f>
        <v>21</v>
      </c>
      <c r="H1582" s="165">
        <f>Graph_Ophtha!$N27</f>
        <v>1343620.0376560381</v>
      </c>
      <c r="I1582" s="160">
        <f>InputData!$C$3</f>
        <v>0.02</v>
      </c>
      <c r="J1582" s="160">
        <f>InputData!$C$4</f>
        <v>0.01</v>
      </c>
      <c r="K1582" s="160">
        <f>InputData!$C$5</f>
        <v>0.01</v>
      </c>
      <c r="L1582" s="160">
        <f>InputData!$C$6</f>
        <v>6.2100000000000002E-2</v>
      </c>
      <c r="M1582" s="160">
        <f>InputData!$C$7</f>
        <v>0.03</v>
      </c>
      <c r="N1582" s="160">
        <f>InputData!$C$8</f>
        <v>0.02</v>
      </c>
      <c r="O1582" s="160">
        <f>InputData!$C$9</f>
        <v>0.06</v>
      </c>
      <c r="P1582" s="160">
        <f>InputData!$C$10</f>
        <v>0.02</v>
      </c>
      <c r="Q1582" s="160">
        <f>InputData!$C$11</f>
        <v>0.02</v>
      </c>
      <c r="R1582" s="160">
        <f>InputData!$C$12</f>
        <v>0.02</v>
      </c>
      <c r="S1582" s="160">
        <f>InputData!$C$13</f>
        <v>0.9</v>
      </c>
      <c r="T1582" s="116">
        <f>InputData!$C$88</f>
        <v>180000</v>
      </c>
      <c r="U1582" s="116">
        <f>InputData!$C$81</f>
        <v>178500</v>
      </c>
      <c r="V1582" s="116">
        <f>InputData!$C$82</f>
        <v>303960</v>
      </c>
      <c r="W1582" s="116">
        <f>InputData!$C$84</f>
        <v>215220</v>
      </c>
      <c r="X1582" s="116">
        <f>InputData!$C$85</f>
        <v>409020</v>
      </c>
      <c r="Y1582" s="116">
        <f>InputData!$C$116</f>
        <v>140000</v>
      </c>
      <c r="Z1582" s="160">
        <f>InputData!$E$13</f>
        <v>0</v>
      </c>
    </row>
    <row r="1583" spans="1:26" x14ac:dyDescent="0.25">
      <c r="A1583">
        <f>InputData!$K$1</f>
        <v>2013</v>
      </c>
      <c r="B1583" t="str">
        <f>InputData!$G$1</f>
        <v>San Antonio, TX</v>
      </c>
      <c r="C1583" t="s">
        <v>227</v>
      </c>
      <c r="D1583" t="str">
        <f>Graph_Ophtha!$N$6</f>
        <v>USUim</v>
      </c>
      <c r="E1583" t="str">
        <f t="shared" si="24"/>
        <v>Ophthalmology USUim</v>
      </c>
      <c r="F1583">
        <f>Graph_Ophtha!$A28</f>
        <v>2034</v>
      </c>
      <c r="G1583">
        <f>Graph_Ophtha!$B28</f>
        <v>22</v>
      </c>
      <c r="H1583" s="165">
        <f>Graph_Ophtha!$N28</f>
        <v>1422476.9366270003</v>
      </c>
      <c r="I1583" s="160">
        <f>InputData!$C$3</f>
        <v>0.02</v>
      </c>
      <c r="J1583" s="160">
        <f>InputData!$C$4</f>
        <v>0.01</v>
      </c>
      <c r="K1583" s="160">
        <f>InputData!$C$5</f>
        <v>0.01</v>
      </c>
      <c r="L1583" s="160">
        <f>InputData!$C$6</f>
        <v>6.2100000000000002E-2</v>
      </c>
      <c r="M1583" s="160">
        <f>InputData!$C$7</f>
        <v>0.03</v>
      </c>
      <c r="N1583" s="160">
        <f>InputData!$C$8</f>
        <v>0.02</v>
      </c>
      <c r="O1583" s="160">
        <f>InputData!$C$9</f>
        <v>0.06</v>
      </c>
      <c r="P1583" s="160">
        <f>InputData!$C$10</f>
        <v>0.02</v>
      </c>
      <c r="Q1583" s="160">
        <f>InputData!$C$11</f>
        <v>0.02</v>
      </c>
      <c r="R1583" s="160">
        <f>InputData!$C$12</f>
        <v>0.02</v>
      </c>
      <c r="S1583" s="160">
        <f>InputData!$C$13</f>
        <v>0.9</v>
      </c>
      <c r="T1583" s="116">
        <f>InputData!$C$88</f>
        <v>180000</v>
      </c>
      <c r="U1583" s="116">
        <f>InputData!$C$81</f>
        <v>178500</v>
      </c>
      <c r="V1583" s="116">
        <f>InputData!$C$82</f>
        <v>303960</v>
      </c>
      <c r="W1583" s="116">
        <f>InputData!$C$84</f>
        <v>215220</v>
      </c>
      <c r="X1583" s="116">
        <f>InputData!$C$85</f>
        <v>409020</v>
      </c>
      <c r="Y1583" s="116">
        <f>InputData!$C$116</f>
        <v>140000</v>
      </c>
      <c r="Z1583" s="160">
        <f>InputData!$E$13</f>
        <v>0</v>
      </c>
    </row>
    <row r="1584" spans="1:26" x14ac:dyDescent="0.25">
      <c r="A1584">
        <f>InputData!$K$1</f>
        <v>2013</v>
      </c>
      <c r="B1584" t="str">
        <f>InputData!$G$1</f>
        <v>San Antonio, TX</v>
      </c>
      <c r="C1584" t="s">
        <v>227</v>
      </c>
      <c r="D1584" t="str">
        <f>Graph_Ophtha!$N$6</f>
        <v>USUim</v>
      </c>
      <c r="E1584" t="str">
        <f t="shared" si="24"/>
        <v>Ophthalmology USUim</v>
      </c>
      <c r="F1584">
        <f>Graph_Ophtha!$A29</f>
        <v>2035</v>
      </c>
      <c r="G1584">
        <f>Graph_Ophtha!$B29</f>
        <v>23</v>
      </c>
      <c r="H1584" s="165">
        <f>Graph_Ophtha!$N29</f>
        <v>1499732.1946065892</v>
      </c>
      <c r="I1584" s="160">
        <f>InputData!$C$3</f>
        <v>0.02</v>
      </c>
      <c r="J1584" s="160">
        <f>InputData!$C$4</f>
        <v>0.01</v>
      </c>
      <c r="K1584" s="160">
        <f>InputData!$C$5</f>
        <v>0.01</v>
      </c>
      <c r="L1584" s="160">
        <f>InputData!$C$6</f>
        <v>6.2100000000000002E-2</v>
      </c>
      <c r="M1584" s="160">
        <f>InputData!$C$7</f>
        <v>0.03</v>
      </c>
      <c r="N1584" s="160">
        <f>InputData!$C$8</f>
        <v>0.02</v>
      </c>
      <c r="O1584" s="160">
        <f>InputData!$C$9</f>
        <v>0.06</v>
      </c>
      <c r="P1584" s="160">
        <f>InputData!$C$10</f>
        <v>0.02</v>
      </c>
      <c r="Q1584" s="160">
        <f>InputData!$C$11</f>
        <v>0.02</v>
      </c>
      <c r="R1584" s="160">
        <f>InputData!$C$12</f>
        <v>0.02</v>
      </c>
      <c r="S1584" s="160">
        <f>InputData!$C$13</f>
        <v>0.9</v>
      </c>
      <c r="T1584" s="116">
        <f>InputData!$C$88</f>
        <v>180000</v>
      </c>
      <c r="U1584" s="116">
        <f>InputData!$C$81</f>
        <v>178500</v>
      </c>
      <c r="V1584" s="116">
        <f>InputData!$C$82</f>
        <v>303960</v>
      </c>
      <c r="W1584" s="116">
        <f>InputData!$C$84</f>
        <v>215220</v>
      </c>
      <c r="X1584" s="116">
        <f>InputData!$C$85</f>
        <v>409020</v>
      </c>
      <c r="Y1584" s="116">
        <f>InputData!$C$116</f>
        <v>140000</v>
      </c>
      <c r="Z1584" s="160">
        <f>InputData!$E$13</f>
        <v>0</v>
      </c>
    </row>
    <row r="1585" spans="1:26" x14ac:dyDescent="0.25">
      <c r="A1585">
        <f>InputData!$K$1</f>
        <v>2013</v>
      </c>
      <c r="B1585" t="str">
        <f>InputData!$G$1</f>
        <v>San Antonio, TX</v>
      </c>
      <c r="C1585" t="s">
        <v>227</v>
      </c>
      <c r="D1585" t="str">
        <f>Graph_Ophtha!$N$6</f>
        <v>USUim</v>
      </c>
      <c r="E1585" t="str">
        <f t="shared" si="24"/>
        <v>Ophthalmology USUim</v>
      </c>
      <c r="F1585">
        <f>Graph_Ophtha!$A30</f>
        <v>2036</v>
      </c>
      <c r="G1585">
        <f>Graph_Ophtha!$B30</f>
        <v>24</v>
      </c>
      <c r="H1585" s="165">
        <f>Graph_Ophtha!$N30</f>
        <v>1575418.8307070979</v>
      </c>
      <c r="I1585" s="160">
        <f>InputData!$C$3</f>
        <v>0.02</v>
      </c>
      <c r="J1585" s="160">
        <f>InputData!$C$4</f>
        <v>0.01</v>
      </c>
      <c r="K1585" s="160">
        <f>InputData!$C$5</f>
        <v>0.01</v>
      </c>
      <c r="L1585" s="160">
        <f>InputData!$C$6</f>
        <v>6.2100000000000002E-2</v>
      </c>
      <c r="M1585" s="160">
        <f>InputData!$C$7</f>
        <v>0.03</v>
      </c>
      <c r="N1585" s="160">
        <f>InputData!$C$8</f>
        <v>0.02</v>
      </c>
      <c r="O1585" s="160">
        <f>InputData!$C$9</f>
        <v>0.06</v>
      </c>
      <c r="P1585" s="160">
        <f>InputData!$C$10</f>
        <v>0.02</v>
      </c>
      <c r="Q1585" s="160">
        <f>InputData!$C$11</f>
        <v>0.02</v>
      </c>
      <c r="R1585" s="160">
        <f>InputData!$C$12</f>
        <v>0.02</v>
      </c>
      <c r="S1585" s="160">
        <f>InputData!$C$13</f>
        <v>0.9</v>
      </c>
      <c r="T1585" s="116">
        <f>InputData!$C$88</f>
        <v>180000</v>
      </c>
      <c r="U1585" s="116">
        <f>InputData!$C$81</f>
        <v>178500</v>
      </c>
      <c r="V1585" s="116">
        <f>InputData!$C$82</f>
        <v>303960</v>
      </c>
      <c r="W1585" s="116">
        <f>InputData!$C$84</f>
        <v>215220</v>
      </c>
      <c r="X1585" s="116">
        <f>InputData!$C$85</f>
        <v>409020</v>
      </c>
      <c r="Y1585" s="116">
        <f>InputData!$C$116</f>
        <v>140000</v>
      </c>
      <c r="Z1585" s="160">
        <f>InputData!$E$13</f>
        <v>0</v>
      </c>
    </row>
    <row r="1586" spans="1:26" x14ac:dyDescent="0.25">
      <c r="A1586">
        <f>InputData!$K$1</f>
        <v>2013</v>
      </c>
      <c r="B1586" t="str">
        <f>InputData!$G$1</f>
        <v>San Antonio, TX</v>
      </c>
      <c r="C1586" t="s">
        <v>227</v>
      </c>
      <c r="D1586" t="str">
        <f>Graph_Ophtha!$N$6</f>
        <v>USUim</v>
      </c>
      <c r="E1586" t="str">
        <f t="shared" si="24"/>
        <v>Ophthalmology USUim</v>
      </c>
      <c r="F1586">
        <f>Graph_Ophtha!$A31</f>
        <v>2037</v>
      </c>
      <c r="G1586">
        <f>Graph_Ophtha!$B31</f>
        <v>25</v>
      </c>
      <c r="H1586" s="165">
        <f>Graph_Ophtha!$N31</f>
        <v>1649569.1695862662</v>
      </c>
      <c r="I1586" s="160">
        <f>InputData!$C$3</f>
        <v>0.02</v>
      </c>
      <c r="J1586" s="160">
        <f>InputData!$C$4</f>
        <v>0.01</v>
      </c>
      <c r="K1586" s="160">
        <f>InputData!$C$5</f>
        <v>0.01</v>
      </c>
      <c r="L1586" s="160">
        <f>InputData!$C$6</f>
        <v>6.2100000000000002E-2</v>
      </c>
      <c r="M1586" s="160">
        <f>InputData!$C$7</f>
        <v>0.03</v>
      </c>
      <c r="N1586" s="160">
        <f>InputData!$C$8</f>
        <v>0.02</v>
      </c>
      <c r="O1586" s="160">
        <f>InputData!$C$9</f>
        <v>0.06</v>
      </c>
      <c r="P1586" s="160">
        <f>InputData!$C$10</f>
        <v>0.02</v>
      </c>
      <c r="Q1586" s="160">
        <f>InputData!$C$11</f>
        <v>0.02</v>
      </c>
      <c r="R1586" s="160">
        <f>InputData!$C$12</f>
        <v>0.02</v>
      </c>
      <c r="S1586" s="160">
        <f>InputData!$C$13</f>
        <v>0.9</v>
      </c>
      <c r="T1586" s="116">
        <f>InputData!$C$88</f>
        <v>180000</v>
      </c>
      <c r="U1586" s="116">
        <f>InputData!$C$81</f>
        <v>178500</v>
      </c>
      <c r="V1586" s="116">
        <f>InputData!$C$82</f>
        <v>303960</v>
      </c>
      <c r="W1586" s="116">
        <f>InputData!$C$84</f>
        <v>215220</v>
      </c>
      <c r="X1586" s="116">
        <f>InputData!$C$85</f>
        <v>409020</v>
      </c>
      <c r="Y1586" s="116">
        <f>InputData!$C$116</f>
        <v>140000</v>
      </c>
      <c r="Z1586" s="160">
        <f>InputData!$E$13</f>
        <v>0</v>
      </c>
    </row>
    <row r="1587" spans="1:26" x14ac:dyDescent="0.25">
      <c r="A1587">
        <f>InputData!$K$1</f>
        <v>2013</v>
      </c>
      <c r="B1587" t="str">
        <f>InputData!$G$1</f>
        <v>San Antonio, TX</v>
      </c>
      <c r="C1587" t="s">
        <v>227</v>
      </c>
      <c r="D1587" t="str">
        <f>Graph_Ophtha!$N$6</f>
        <v>USUim</v>
      </c>
      <c r="E1587" t="str">
        <f t="shared" si="24"/>
        <v>Ophthalmology USUim</v>
      </c>
      <c r="F1587">
        <f>Graph_Ophtha!$A32</f>
        <v>2038</v>
      </c>
      <c r="G1587">
        <f>Graph_Ophtha!$B32</f>
        <v>26</v>
      </c>
      <c r="H1587" s="165">
        <f>Graph_Ophtha!$N32</f>
        <v>1722214.8564335785</v>
      </c>
      <c r="I1587" s="160">
        <f>InputData!$C$3</f>
        <v>0.02</v>
      </c>
      <c r="J1587" s="160">
        <f>InputData!$C$4</f>
        <v>0.01</v>
      </c>
      <c r="K1587" s="160">
        <f>InputData!$C$5</f>
        <v>0.01</v>
      </c>
      <c r="L1587" s="160">
        <f>InputData!$C$6</f>
        <v>6.2100000000000002E-2</v>
      </c>
      <c r="M1587" s="160">
        <f>InputData!$C$7</f>
        <v>0.03</v>
      </c>
      <c r="N1587" s="160">
        <f>InputData!$C$8</f>
        <v>0.02</v>
      </c>
      <c r="O1587" s="160">
        <f>InputData!$C$9</f>
        <v>0.06</v>
      </c>
      <c r="P1587" s="160">
        <f>InputData!$C$10</f>
        <v>0.02</v>
      </c>
      <c r="Q1587" s="160">
        <f>InputData!$C$11</f>
        <v>0.02</v>
      </c>
      <c r="R1587" s="160">
        <f>InputData!$C$12</f>
        <v>0.02</v>
      </c>
      <c r="S1587" s="160">
        <f>InputData!$C$13</f>
        <v>0.9</v>
      </c>
      <c r="T1587" s="116">
        <f>InputData!$C$88</f>
        <v>180000</v>
      </c>
      <c r="U1587" s="116">
        <f>InputData!$C$81</f>
        <v>178500</v>
      </c>
      <c r="V1587" s="116">
        <f>InputData!$C$82</f>
        <v>303960</v>
      </c>
      <c r="W1587" s="116">
        <f>InputData!$C$84</f>
        <v>215220</v>
      </c>
      <c r="X1587" s="116">
        <f>InputData!$C$85</f>
        <v>409020</v>
      </c>
      <c r="Y1587" s="116">
        <f>InputData!$C$116</f>
        <v>140000</v>
      </c>
      <c r="Z1587" s="160">
        <f>InputData!$E$13</f>
        <v>0</v>
      </c>
    </row>
    <row r="1588" spans="1:26" x14ac:dyDescent="0.25">
      <c r="A1588">
        <f>InputData!$K$1</f>
        <v>2013</v>
      </c>
      <c r="B1588" t="str">
        <f>InputData!$G$1</f>
        <v>San Antonio, TX</v>
      </c>
      <c r="C1588" t="s">
        <v>227</v>
      </c>
      <c r="D1588" t="str">
        <f>Graph_Ophtha!$N$6</f>
        <v>USUim</v>
      </c>
      <c r="E1588" t="str">
        <f t="shared" si="24"/>
        <v>Ophthalmology USUim</v>
      </c>
      <c r="F1588">
        <f>Graph_Ophtha!$A33</f>
        <v>2039</v>
      </c>
      <c r="G1588">
        <f>Graph_Ophtha!$B33</f>
        <v>27</v>
      </c>
      <c r="H1588" s="165">
        <f>Graph_Ophtha!$N33</f>
        <v>1793386.8716228246</v>
      </c>
      <c r="I1588" s="160">
        <f>InputData!$C$3</f>
        <v>0.02</v>
      </c>
      <c r="J1588" s="160">
        <f>InputData!$C$4</f>
        <v>0.01</v>
      </c>
      <c r="K1588" s="160">
        <f>InputData!$C$5</f>
        <v>0.01</v>
      </c>
      <c r="L1588" s="160">
        <f>InputData!$C$6</f>
        <v>6.2100000000000002E-2</v>
      </c>
      <c r="M1588" s="160">
        <f>InputData!$C$7</f>
        <v>0.03</v>
      </c>
      <c r="N1588" s="160">
        <f>InputData!$C$8</f>
        <v>0.02</v>
      </c>
      <c r="O1588" s="160">
        <f>InputData!$C$9</f>
        <v>0.06</v>
      </c>
      <c r="P1588" s="160">
        <f>InputData!$C$10</f>
        <v>0.02</v>
      </c>
      <c r="Q1588" s="160">
        <f>InputData!$C$11</f>
        <v>0.02</v>
      </c>
      <c r="R1588" s="160">
        <f>InputData!$C$12</f>
        <v>0.02</v>
      </c>
      <c r="S1588" s="160">
        <f>InputData!$C$13</f>
        <v>0.9</v>
      </c>
      <c r="T1588" s="116">
        <f>InputData!$C$88</f>
        <v>180000</v>
      </c>
      <c r="U1588" s="116">
        <f>InputData!$C$81</f>
        <v>178500</v>
      </c>
      <c r="V1588" s="116">
        <f>InputData!$C$82</f>
        <v>303960</v>
      </c>
      <c r="W1588" s="116">
        <f>InputData!$C$84</f>
        <v>215220</v>
      </c>
      <c r="X1588" s="116">
        <f>InputData!$C$85</f>
        <v>409020</v>
      </c>
      <c r="Y1588" s="116">
        <f>InputData!$C$116</f>
        <v>140000</v>
      </c>
      <c r="Z1588" s="160">
        <f>InputData!$E$13</f>
        <v>0</v>
      </c>
    </row>
    <row r="1589" spans="1:26" x14ac:dyDescent="0.25">
      <c r="A1589">
        <f>InputData!$K$1</f>
        <v>2013</v>
      </c>
      <c r="B1589" t="str">
        <f>InputData!$G$1</f>
        <v>San Antonio, TX</v>
      </c>
      <c r="C1589" t="s">
        <v>227</v>
      </c>
      <c r="D1589" t="str">
        <f>Graph_Ophtha!$N$6</f>
        <v>USUim</v>
      </c>
      <c r="E1589" t="str">
        <f t="shared" si="24"/>
        <v>Ophthalmology USUim</v>
      </c>
      <c r="F1589">
        <f>Graph_Ophtha!$A34</f>
        <v>2040</v>
      </c>
      <c r="G1589">
        <f>Graph_Ophtha!$B34</f>
        <v>28</v>
      </c>
      <c r="H1589" s="165">
        <f>Graph_Ophtha!$N34</f>
        <v>1863115.5450386272</v>
      </c>
      <c r="I1589" s="160">
        <f>InputData!$C$3</f>
        <v>0.02</v>
      </c>
      <c r="J1589" s="160">
        <f>InputData!$C$4</f>
        <v>0.01</v>
      </c>
      <c r="K1589" s="160">
        <f>InputData!$C$5</f>
        <v>0.01</v>
      </c>
      <c r="L1589" s="160">
        <f>InputData!$C$6</f>
        <v>6.2100000000000002E-2</v>
      </c>
      <c r="M1589" s="160">
        <f>InputData!$C$7</f>
        <v>0.03</v>
      </c>
      <c r="N1589" s="160">
        <f>InputData!$C$8</f>
        <v>0.02</v>
      </c>
      <c r="O1589" s="160">
        <f>InputData!$C$9</f>
        <v>0.06</v>
      </c>
      <c r="P1589" s="160">
        <f>InputData!$C$10</f>
        <v>0.02</v>
      </c>
      <c r="Q1589" s="160">
        <f>InputData!$C$11</f>
        <v>0.02</v>
      </c>
      <c r="R1589" s="160">
        <f>InputData!$C$12</f>
        <v>0.02</v>
      </c>
      <c r="S1589" s="160">
        <f>InputData!$C$13</f>
        <v>0.9</v>
      </c>
      <c r="T1589" s="116">
        <f>InputData!$C$88</f>
        <v>180000</v>
      </c>
      <c r="U1589" s="116">
        <f>InputData!$C$81</f>
        <v>178500</v>
      </c>
      <c r="V1589" s="116">
        <f>InputData!$C$82</f>
        <v>303960</v>
      </c>
      <c r="W1589" s="116">
        <f>InputData!$C$84</f>
        <v>215220</v>
      </c>
      <c r="X1589" s="116">
        <f>InputData!$C$85</f>
        <v>409020</v>
      </c>
      <c r="Y1589" s="116">
        <f>InputData!$C$116</f>
        <v>140000</v>
      </c>
      <c r="Z1589" s="160">
        <f>InputData!$E$13</f>
        <v>0</v>
      </c>
    </row>
    <row r="1590" spans="1:26" x14ac:dyDescent="0.25">
      <c r="A1590">
        <f>InputData!$K$1</f>
        <v>2013</v>
      </c>
      <c r="B1590" t="str">
        <f>InputData!$G$1</f>
        <v>San Antonio, TX</v>
      </c>
      <c r="C1590" t="s">
        <v>227</v>
      </c>
      <c r="D1590" t="str">
        <f>Graph_Ophtha!$N$6</f>
        <v>USUim</v>
      </c>
      <c r="E1590" t="str">
        <f t="shared" si="24"/>
        <v>Ophthalmology USUim</v>
      </c>
      <c r="F1590">
        <f>Graph_Ophtha!$A35</f>
        <v>2041</v>
      </c>
      <c r="G1590">
        <f>Graph_Ophtha!$B35</f>
        <v>29</v>
      </c>
      <c r="H1590" s="165">
        <f>Graph_Ophtha!$N35</f>
        <v>1931430.5700844573</v>
      </c>
      <c r="I1590" s="160">
        <f>InputData!$C$3</f>
        <v>0.02</v>
      </c>
      <c r="J1590" s="160">
        <f>InputData!$C$4</f>
        <v>0.01</v>
      </c>
      <c r="K1590" s="160">
        <f>InputData!$C$5</f>
        <v>0.01</v>
      </c>
      <c r="L1590" s="160">
        <f>InputData!$C$6</f>
        <v>6.2100000000000002E-2</v>
      </c>
      <c r="M1590" s="160">
        <f>InputData!$C$7</f>
        <v>0.03</v>
      </c>
      <c r="N1590" s="160">
        <f>InputData!$C$8</f>
        <v>0.02</v>
      </c>
      <c r="O1590" s="160">
        <f>InputData!$C$9</f>
        <v>0.06</v>
      </c>
      <c r="P1590" s="160">
        <f>InputData!$C$10</f>
        <v>0.02</v>
      </c>
      <c r="Q1590" s="160">
        <f>InputData!$C$11</f>
        <v>0.02</v>
      </c>
      <c r="R1590" s="160">
        <f>InputData!$C$12</f>
        <v>0.02</v>
      </c>
      <c r="S1590" s="160">
        <f>InputData!$C$13</f>
        <v>0.9</v>
      </c>
      <c r="T1590" s="116">
        <f>InputData!$C$88</f>
        <v>180000</v>
      </c>
      <c r="U1590" s="116">
        <f>InputData!$C$81</f>
        <v>178500</v>
      </c>
      <c r="V1590" s="116">
        <f>InputData!$C$82</f>
        <v>303960</v>
      </c>
      <c r="W1590" s="116">
        <f>InputData!$C$84</f>
        <v>215220</v>
      </c>
      <c r="X1590" s="116">
        <f>InputData!$C$85</f>
        <v>409020</v>
      </c>
      <c r="Y1590" s="116">
        <f>InputData!$C$116</f>
        <v>140000</v>
      </c>
      <c r="Z1590" s="160">
        <f>InputData!$E$13</f>
        <v>0</v>
      </c>
    </row>
    <row r="1591" spans="1:26" x14ac:dyDescent="0.25">
      <c r="A1591">
        <f>InputData!$K$1</f>
        <v>2013</v>
      </c>
      <c r="B1591" t="str">
        <f>InputData!$G$1</f>
        <v>San Antonio, TX</v>
      </c>
      <c r="C1591" t="s">
        <v>227</v>
      </c>
      <c r="D1591" t="str">
        <f>Graph_Ophtha!$N$6</f>
        <v>USUim</v>
      </c>
      <c r="E1591" t="str">
        <f t="shared" si="24"/>
        <v>Ophthalmology USUim</v>
      </c>
      <c r="F1591">
        <f>Graph_Ophtha!$A36</f>
        <v>2042</v>
      </c>
      <c r="G1591">
        <f>Graph_Ophtha!$B36</f>
        <v>30</v>
      </c>
      <c r="H1591" s="165">
        <f>Graph_Ophtha!$N36</f>
        <v>1998361.0173794786</v>
      </c>
      <c r="I1591" s="160">
        <f>InputData!$C$3</f>
        <v>0.02</v>
      </c>
      <c r="J1591" s="160">
        <f>InputData!$C$4</f>
        <v>0.01</v>
      </c>
      <c r="K1591" s="160">
        <f>InputData!$C$5</f>
        <v>0.01</v>
      </c>
      <c r="L1591" s="160">
        <f>InputData!$C$6</f>
        <v>6.2100000000000002E-2</v>
      </c>
      <c r="M1591" s="160">
        <f>InputData!$C$7</f>
        <v>0.03</v>
      </c>
      <c r="N1591" s="160">
        <f>InputData!$C$8</f>
        <v>0.02</v>
      </c>
      <c r="O1591" s="160">
        <f>InputData!$C$9</f>
        <v>0.06</v>
      </c>
      <c r="P1591" s="160">
        <f>InputData!$C$10</f>
        <v>0.02</v>
      </c>
      <c r="Q1591" s="160">
        <f>InputData!$C$11</f>
        <v>0.02</v>
      </c>
      <c r="R1591" s="160">
        <f>InputData!$C$12</f>
        <v>0.02</v>
      </c>
      <c r="S1591" s="160">
        <f>InputData!$C$13</f>
        <v>0.9</v>
      </c>
      <c r="T1591" s="116">
        <f>InputData!$C$88</f>
        <v>180000</v>
      </c>
      <c r="U1591" s="116">
        <f>InputData!$C$81</f>
        <v>178500</v>
      </c>
      <c r="V1591" s="116">
        <f>InputData!$C$82</f>
        <v>303960</v>
      </c>
      <c r="W1591" s="116">
        <f>InputData!$C$84</f>
        <v>215220</v>
      </c>
      <c r="X1591" s="116">
        <f>InputData!$C$85</f>
        <v>409020</v>
      </c>
      <c r="Y1591" s="116">
        <f>InputData!$C$116</f>
        <v>140000</v>
      </c>
      <c r="Z1591" s="160">
        <f>InputData!$E$13</f>
        <v>0</v>
      </c>
    </row>
    <row r="1592" spans="1:26" x14ac:dyDescent="0.25">
      <c r="A1592">
        <f>InputData!$K$1</f>
        <v>2013</v>
      </c>
      <c r="B1592" t="str">
        <f>InputData!$G$1</f>
        <v>San Antonio, TX</v>
      </c>
      <c r="C1592" t="s">
        <v>227</v>
      </c>
      <c r="D1592" t="str">
        <f>Graph_Ophtha!$O$6</f>
        <v>HPSPim</v>
      </c>
      <c r="E1592" t="str">
        <f t="shared" si="24"/>
        <v>Ophthalmology HPSPim</v>
      </c>
      <c r="F1592">
        <f>Graph_Ophtha!$A7</f>
        <v>2013</v>
      </c>
      <c r="G1592">
        <f>Graph_Ophtha!$B7</f>
        <v>1</v>
      </c>
      <c r="H1592" s="165">
        <f>Graph_Ophtha!$O7</f>
        <v>43551.744866529771</v>
      </c>
      <c r="I1592" s="160">
        <f>InputData!$C$3</f>
        <v>0.02</v>
      </c>
      <c r="J1592" s="160">
        <f>InputData!$C$4</f>
        <v>0.01</v>
      </c>
      <c r="K1592" s="160">
        <f>InputData!$C$5</f>
        <v>0.01</v>
      </c>
      <c r="L1592" s="160">
        <f>InputData!$C$6</f>
        <v>6.2100000000000002E-2</v>
      </c>
      <c r="M1592" s="160">
        <f>InputData!$C$7</f>
        <v>0.03</v>
      </c>
      <c r="N1592" s="160">
        <f>InputData!$C$8</f>
        <v>0.02</v>
      </c>
      <c r="O1592" s="160">
        <f>InputData!$C$9</f>
        <v>0.06</v>
      </c>
      <c r="P1592" s="160">
        <f>InputData!$C$10</f>
        <v>0.02</v>
      </c>
      <c r="Q1592" s="160">
        <f>InputData!$C$11</f>
        <v>0.02</v>
      </c>
      <c r="R1592" s="160">
        <f>InputData!$C$12</f>
        <v>0.02</v>
      </c>
      <c r="S1592" s="160">
        <f>InputData!$C$13</f>
        <v>0.9</v>
      </c>
      <c r="T1592" s="116">
        <f>InputData!$C$88</f>
        <v>180000</v>
      </c>
      <c r="U1592" s="116">
        <f>InputData!$C$81</f>
        <v>178500</v>
      </c>
      <c r="V1592" s="116">
        <f>InputData!$C$82</f>
        <v>303960</v>
      </c>
      <c r="W1592" s="116">
        <f>InputData!$C$84</f>
        <v>215220</v>
      </c>
      <c r="X1592" s="116">
        <f>InputData!$C$85</f>
        <v>409020</v>
      </c>
      <c r="Y1592" s="116">
        <f>InputData!$C$116</f>
        <v>140000</v>
      </c>
      <c r="Z1592" s="160">
        <f>InputData!$E$13</f>
        <v>0</v>
      </c>
    </row>
    <row r="1593" spans="1:26" x14ac:dyDescent="0.25">
      <c r="A1593">
        <f>InputData!$K$1</f>
        <v>2013</v>
      </c>
      <c r="B1593" t="str">
        <f>InputData!$G$1</f>
        <v>San Antonio, TX</v>
      </c>
      <c r="C1593" t="s">
        <v>227</v>
      </c>
      <c r="D1593" t="str">
        <f>Graph_Ophtha!$O$6</f>
        <v>HPSPim</v>
      </c>
      <c r="E1593" t="str">
        <f t="shared" si="24"/>
        <v>Ophthalmology HPSPim</v>
      </c>
      <c r="F1593">
        <f>Graph_Ophtha!$A8</f>
        <v>2014</v>
      </c>
      <c r="G1593">
        <f>Graph_Ophtha!$B8</f>
        <v>2</v>
      </c>
      <c r="H1593" s="165">
        <f>Graph_Ophtha!$O8</f>
        <v>69389.851463288214</v>
      </c>
      <c r="I1593" s="160">
        <f>InputData!$C$3</f>
        <v>0.02</v>
      </c>
      <c r="J1593" s="160">
        <f>InputData!$C$4</f>
        <v>0.01</v>
      </c>
      <c r="K1593" s="160">
        <f>InputData!$C$5</f>
        <v>0.01</v>
      </c>
      <c r="L1593" s="160">
        <f>InputData!$C$6</f>
        <v>6.2100000000000002E-2</v>
      </c>
      <c r="M1593" s="160">
        <f>InputData!$C$7</f>
        <v>0.03</v>
      </c>
      <c r="N1593" s="160">
        <f>InputData!$C$8</f>
        <v>0.02</v>
      </c>
      <c r="O1593" s="160">
        <f>InputData!$C$9</f>
        <v>0.06</v>
      </c>
      <c r="P1593" s="160">
        <f>InputData!$C$10</f>
        <v>0.02</v>
      </c>
      <c r="Q1593" s="160">
        <f>InputData!$C$11</f>
        <v>0.02</v>
      </c>
      <c r="R1593" s="160">
        <f>InputData!$C$12</f>
        <v>0.02</v>
      </c>
      <c r="S1593" s="160">
        <f>InputData!$C$13</f>
        <v>0.9</v>
      </c>
      <c r="T1593" s="116">
        <f>InputData!$C$88</f>
        <v>180000</v>
      </c>
      <c r="U1593" s="116">
        <f>InputData!$C$81</f>
        <v>178500</v>
      </c>
      <c r="V1593" s="116">
        <f>InputData!$C$82</f>
        <v>303960</v>
      </c>
      <c r="W1593" s="116">
        <f>InputData!$C$84</f>
        <v>215220</v>
      </c>
      <c r="X1593" s="116">
        <f>InputData!$C$85</f>
        <v>409020</v>
      </c>
      <c r="Y1593" s="116">
        <f>InputData!$C$116</f>
        <v>140000</v>
      </c>
      <c r="Z1593" s="160">
        <f>InputData!$E$13</f>
        <v>0</v>
      </c>
    </row>
    <row r="1594" spans="1:26" x14ac:dyDescent="0.25">
      <c r="A1594">
        <f>InputData!$K$1</f>
        <v>2013</v>
      </c>
      <c r="B1594" t="str">
        <f>InputData!$G$1</f>
        <v>San Antonio, TX</v>
      </c>
      <c r="C1594" t="s">
        <v>227</v>
      </c>
      <c r="D1594" t="str">
        <f>Graph_Ophtha!$O$6</f>
        <v>HPSPim</v>
      </c>
      <c r="E1594" t="str">
        <f t="shared" si="24"/>
        <v>Ophthalmology HPSPim</v>
      </c>
      <c r="F1594">
        <f>Graph_Ophtha!$A9</f>
        <v>2015</v>
      </c>
      <c r="G1594">
        <f>Graph_Ophtha!$B9</f>
        <v>3</v>
      </c>
      <c r="H1594" s="165">
        <f>Graph_Ophtha!$O9</f>
        <v>94384.024082394724</v>
      </c>
      <c r="I1594" s="160">
        <f>InputData!$C$3</f>
        <v>0.02</v>
      </c>
      <c r="J1594" s="160">
        <f>InputData!$C$4</f>
        <v>0.01</v>
      </c>
      <c r="K1594" s="160">
        <f>InputData!$C$5</f>
        <v>0.01</v>
      </c>
      <c r="L1594" s="160">
        <f>InputData!$C$6</f>
        <v>6.2100000000000002E-2</v>
      </c>
      <c r="M1594" s="160">
        <f>InputData!$C$7</f>
        <v>0.03</v>
      </c>
      <c r="N1594" s="160">
        <f>InputData!$C$8</f>
        <v>0.02</v>
      </c>
      <c r="O1594" s="160">
        <f>InputData!$C$9</f>
        <v>0.06</v>
      </c>
      <c r="P1594" s="160">
        <f>InputData!$C$10</f>
        <v>0.02</v>
      </c>
      <c r="Q1594" s="160">
        <f>InputData!$C$11</f>
        <v>0.02</v>
      </c>
      <c r="R1594" s="160">
        <f>InputData!$C$12</f>
        <v>0.02</v>
      </c>
      <c r="S1594" s="160">
        <f>InputData!$C$13</f>
        <v>0.9</v>
      </c>
      <c r="T1594" s="116">
        <f>InputData!$C$88</f>
        <v>180000</v>
      </c>
      <c r="U1594" s="116">
        <f>InputData!$C$81</f>
        <v>178500</v>
      </c>
      <c r="V1594" s="116">
        <f>InputData!$C$82</f>
        <v>303960</v>
      </c>
      <c r="W1594" s="116">
        <f>InputData!$C$84</f>
        <v>215220</v>
      </c>
      <c r="X1594" s="116">
        <f>InputData!$C$85</f>
        <v>409020</v>
      </c>
      <c r="Y1594" s="116">
        <f>InputData!$C$116</f>
        <v>140000</v>
      </c>
      <c r="Z1594" s="160">
        <f>InputData!$E$13</f>
        <v>0</v>
      </c>
    </row>
    <row r="1595" spans="1:26" x14ac:dyDescent="0.25">
      <c r="A1595">
        <f>InputData!$K$1</f>
        <v>2013</v>
      </c>
      <c r="B1595" t="str">
        <f>InputData!$G$1</f>
        <v>San Antonio, TX</v>
      </c>
      <c r="C1595" t="s">
        <v>227</v>
      </c>
      <c r="D1595" t="str">
        <f>Graph_Ophtha!$O$6</f>
        <v>HPSPim</v>
      </c>
      <c r="E1595" t="str">
        <f t="shared" si="24"/>
        <v>Ophthalmology HPSPim</v>
      </c>
      <c r="F1595">
        <f>Graph_Ophtha!$A10</f>
        <v>2016</v>
      </c>
      <c r="G1595">
        <f>Graph_Ophtha!$B10</f>
        <v>4</v>
      </c>
      <c r="H1595" s="165">
        <f>Graph_Ophtha!$O10</f>
        <v>119127.82998672797</v>
      </c>
      <c r="I1595" s="160">
        <f>InputData!$C$3</f>
        <v>0.02</v>
      </c>
      <c r="J1595" s="160">
        <f>InputData!$C$4</f>
        <v>0.01</v>
      </c>
      <c r="K1595" s="160">
        <f>InputData!$C$5</f>
        <v>0.01</v>
      </c>
      <c r="L1595" s="160">
        <f>InputData!$C$6</f>
        <v>6.2100000000000002E-2</v>
      </c>
      <c r="M1595" s="160">
        <f>InputData!$C$7</f>
        <v>0.03</v>
      </c>
      <c r="N1595" s="160">
        <f>InputData!$C$8</f>
        <v>0.02</v>
      </c>
      <c r="O1595" s="160">
        <f>InputData!$C$9</f>
        <v>0.06</v>
      </c>
      <c r="P1595" s="160">
        <f>InputData!$C$10</f>
        <v>0.02</v>
      </c>
      <c r="Q1595" s="160">
        <f>InputData!$C$11</f>
        <v>0.02</v>
      </c>
      <c r="R1595" s="160">
        <f>InputData!$C$12</f>
        <v>0.02</v>
      </c>
      <c r="S1595" s="160">
        <f>InputData!$C$13</f>
        <v>0.9</v>
      </c>
      <c r="T1595" s="116">
        <f>InputData!$C$88</f>
        <v>180000</v>
      </c>
      <c r="U1595" s="116">
        <f>InputData!$C$81</f>
        <v>178500</v>
      </c>
      <c r="V1595" s="116">
        <f>InputData!$C$82</f>
        <v>303960</v>
      </c>
      <c r="W1595" s="116">
        <f>InputData!$C$84</f>
        <v>215220</v>
      </c>
      <c r="X1595" s="116">
        <f>InputData!$C$85</f>
        <v>409020</v>
      </c>
      <c r="Y1595" s="116">
        <f>InputData!$C$116</f>
        <v>140000</v>
      </c>
      <c r="Z1595" s="160">
        <f>InputData!$E$13</f>
        <v>0</v>
      </c>
    </row>
    <row r="1596" spans="1:26" x14ac:dyDescent="0.25">
      <c r="A1596">
        <f>InputData!$K$1</f>
        <v>2013</v>
      </c>
      <c r="B1596" t="str">
        <f>InputData!$G$1</f>
        <v>San Antonio, TX</v>
      </c>
      <c r="C1596" t="s">
        <v>227</v>
      </c>
      <c r="D1596" t="str">
        <f>Graph_Ophtha!$O$6</f>
        <v>HPSPim</v>
      </c>
      <c r="E1596" t="str">
        <f t="shared" si="24"/>
        <v>Ophthalmology HPSPim</v>
      </c>
      <c r="F1596">
        <f>Graph_Ophtha!$A11</f>
        <v>2017</v>
      </c>
      <c r="G1596">
        <f>Graph_Ophtha!$B11</f>
        <v>5</v>
      </c>
      <c r="H1596" s="165">
        <f>Graph_Ophtha!$O11</f>
        <v>169089.82248832227</v>
      </c>
      <c r="I1596" s="160">
        <f>InputData!$C$3</f>
        <v>0.02</v>
      </c>
      <c r="J1596" s="160">
        <f>InputData!$C$4</f>
        <v>0.01</v>
      </c>
      <c r="K1596" s="160">
        <f>InputData!$C$5</f>
        <v>0.01</v>
      </c>
      <c r="L1596" s="160">
        <f>InputData!$C$6</f>
        <v>6.2100000000000002E-2</v>
      </c>
      <c r="M1596" s="160">
        <f>InputData!$C$7</f>
        <v>0.03</v>
      </c>
      <c r="N1596" s="160">
        <f>InputData!$C$8</f>
        <v>0.02</v>
      </c>
      <c r="O1596" s="160">
        <f>InputData!$C$9</f>
        <v>0.06</v>
      </c>
      <c r="P1596" s="160">
        <f>InputData!$C$10</f>
        <v>0.02</v>
      </c>
      <c r="Q1596" s="160">
        <f>InputData!$C$11</f>
        <v>0.02</v>
      </c>
      <c r="R1596" s="160">
        <f>InputData!$C$12</f>
        <v>0.02</v>
      </c>
      <c r="S1596" s="160">
        <f>InputData!$C$13</f>
        <v>0.9</v>
      </c>
      <c r="T1596" s="116">
        <f>InputData!$C$88</f>
        <v>180000</v>
      </c>
      <c r="U1596" s="116">
        <f>InputData!$C$81</f>
        <v>178500</v>
      </c>
      <c r="V1596" s="116">
        <f>InputData!$C$82</f>
        <v>303960</v>
      </c>
      <c r="W1596" s="116">
        <f>InputData!$C$84</f>
        <v>215220</v>
      </c>
      <c r="X1596" s="116">
        <f>InputData!$C$85</f>
        <v>409020</v>
      </c>
      <c r="Y1596" s="116">
        <f>InputData!$C$116</f>
        <v>140000</v>
      </c>
      <c r="Z1596" s="160">
        <f>InputData!$E$13</f>
        <v>0</v>
      </c>
    </row>
    <row r="1597" spans="1:26" x14ac:dyDescent="0.25">
      <c r="A1597">
        <f>InputData!$K$1</f>
        <v>2013</v>
      </c>
      <c r="B1597" t="str">
        <f>InputData!$G$1</f>
        <v>San Antonio, TX</v>
      </c>
      <c r="C1597" t="s">
        <v>227</v>
      </c>
      <c r="D1597" t="str">
        <f>Graph_Ophtha!$O$6</f>
        <v>HPSPim</v>
      </c>
      <c r="E1597" t="str">
        <f t="shared" si="24"/>
        <v>Ophthalmology HPSPim</v>
      </c>
      <c r="F1597">
        <f>Graph_Ophtha!$A12</f>
        <v>2018</v>
      </c>
      <c r="G1597">
        <f>Graph_Ophtha!$B12</f>
        <v>6</v>
      </c>
      <c r="H1597" s="165">
        <f>Graph_Ophtha!$O12</f>
        <v>219350.65217600405</v>
      </c>
      <c r="I1597" s="160">
        <f>InputData!$C$3</f>
        <v>0.02</v>
      </c>
      <c r="J1597" s="160">
        <f>InputData!$C$4</f>
        <v>0.01</v>
      </c>
      <c r="K1597" s="160">
        <f>InputData!$C$5</f>
        <v>0.01</v>
      </c>
      <c r="L1597" s="160">
        <f>InputData!$C$6</f>
        <v>6.2100000000000002E-2</v>
      </c>
      <c r="M1597" s="160">
        <f>InputData!$C$7</f>
        <v>0.03</v>
      </c>
      <c r="N1597" s="160">
        <f>InputData!$C$8</f>
        <v>0.02</v>
      </c>
      <c r="O1597" s="160">
        <f>InputData!$C$9</f>
        <v>0.06</v>
      </c>
      <c r="P1597" s="160">
        <f>InputData!$C$10</f>
        <v>0.02</v>
      </c>
      <c r="Q1597" s="160">
        <f>InputData!$C$11</f>
        <v>0.02</v>
      </c>
      <c r="R1597" s="160">
        <f>InputData!$C$12</f>
        <v>0.02</v>
      </c>
      <c r="S1597" s="160">
        <f>InputData!$C$13</f>
        <v>0.9</v>
      </c>
      <c r="T1597" s="116">
        <f>InputData!$C$88</f>
        <v>180000</v>
      </c>
      <c r="U1597" s="116">
        <f>InputData!$C$81</f>
        <v>178500</v>
      </c>
      <c r="V1597" s="116">
        <f>InputData!$C$82</f>
        <v>303960</v>
      </c>
      <c r="W1597" s="116">
        <f>InputData!$C$84</f>
        <v>215220</v>
      </c>
      <c r="X1597" s="116">
        <f>InputData!$C$85</f>
        <v>409020</v>
      </c>
      <c r="Y1597" s="116">
        <f>InputData!$C$116</f>
        <v>140000</v>
      </c>
      <c r="Z1597" s="160">
        <f>InputData!$E$13</f>
        <v>0</v>
      </c>
    </row>
    <row r="1598" spans="1:26" x14ac:dyDescent="0.25">
      <c r="A1598">
        <f>InputData!$K$1</f>
        <v>2013</v>
      </c>
      <c r="B1598" t="str">
        <f>InputData!$G$1</f>
        <v>San Antonio, TX</v>
      </c>
      <c r="C1598" t="s">
        <v>227</v>
      </c>
      <c r="D1598" t="str">
        <f>Graph_Ophtha!$O$6</f>
        <v>HPSPim</v>
      </c>
      <c r="E1598" t="str">
        <f t="shared" si="24"/>
        <v>Ophthalmology HPSPim</v>
      </c>
      <c r="F1598">
        <f>Graph_Ophtha!$A13</f>
        <v>2019</v>
      </c>
      <c r="G1598">
        <f>Graph_Ophtha!$B13</f>
        <v>7</v>
      </c>
      <c r="H1598" s="165">
        <f>Graph_Ophtha!$O13</f>
        <v>270992.25439901254</v>
      </c>
      <c r="I1598" s="160">
        <f>InputData!$C$3</f>
        <v>0.02</v>
      </c>
      <c r="J1598" s="160">
        <f>InputData!$C$4</f>
        <v>0.01</v>
      </c>
      <c r="K1598" s="160">
        <f>InputData!$C$5</f>
        <v>0.01</v>
      </c>
      <c r="L1598" s="160">
        <f>InputData!$C$6</f>
        <v>6.2100000000000002E-2</v>
      </c>
      <c r="M1598" s="160">
        <f>InputData!$C$7</f>
        <v>0.03</v>
      </c>
      <c r="N1598" s="160">
        <f>InputData!$C$8</f>
        <v>0.02</v>
      </c>
      <c r="O1598" s="160">
        <f>InputData!$C$9</f>
        <v>0.06</v>
      </c>
      <c r="P1598" s="160">
        <f>InputData!$C$10</f>
        <v>0.02</v>
      </c>
      <c r="Q1598" s="160">
        <f>InputData!$C$11</f>
        <v>0.02</v>
      </c>
      <c r="R1598" s="160">
        <f>InputData!$C$12</f>
        <v>0.02</v>
      </c>
      <c r="S1598" s="160">
        <f>InputData!$C$13</f>
        <v>0.9</v>
      </c>
      <c r="T1598" s="116">
        <f>InputData!$C$88</f>
        <v>180000</v>
      </c>
      <c r="U1598" s="116">
        <f>InputData!$C$81</f>
        <v>178500</v>
      </c>
      <c r="V1598" s="116">
        <f>InputData!$C$82</f>
        <v>303960</v>
      </c>
      <c r="W1598" s="116">
        <f>InputData!$C$84</f>
        <v>215220</v>
      </c>
      <c r="X1598" s="116">
        <f>InputData!$C$85</f>
        <v>409020</v>
      </c>
      <c r="Y1598" s="116">
        <f>InputData!$C$116</f>
        <v>140000</v>
      </c>
      <c r="Z1598" s="160">
        <f>InputData!$E$13</f>
        <v>0</v>
      </c>
    </row>
    <row r="1599" spans="1:26" x14ac:dyDescent="0.25">
      <c r="A1599">
        <f>InputData!$K$1</f>
        <v>2013</v>
      </c>
      <c r="B1599" t="str">
        <f>InputData!$G$1</f>
        <v>San Antonio, TX</v>
      </c>
      <c r="C1599" t="s">
        <v>227</v>
      </c>
      <c r="D1599" t="str">
        <f>Graph_Ophtha!$O$6</f>
        <v>HPSPim</v>
      </c>
      <c r="E1599" t="str">
        <f t="shared" si="24"/>
        <v>Ophthalmology HPSPim</v>
      </c>
      <c r="F1599">
        <f>Graph_Ophtha!$A14</f>
        <v>2020</v>
      </c>
      <c r="G1599">
        <f>Graph_Ophtha!$B14</f>
        <v>8</v>
      </c>
      <c r="H1599" s="165">
        <f>Graph_Ophtha!$O14</f>
        <v>322806.62031125103</v>
      </c>
      <c r="I1599" s="160">
        <f>InputData!$C$3</f>
        <v>0.02</v>
      </c>
      <c r="J1599" s="160">
        <f>InputData!$C$4</f>
        <v>0.01</v>
      </c>
      <c r="K1599" s="160">
        <f>InputData!$C$5</f>
        <v>0.01</v>
      </c>
      <c r="L1599" s="160">
        <f>InputData!$C$6</f>
        <v>6.2100000000000002E-2</v>
      </c>
      <c r="M1599" s="160">
        <f>InputData!$C$7</f>
        <v>0.03</v>
      </c>
      <c r="N1599" s="160">
        <f>InputData!$C$8</f>
        <v>0.02</v>
      </c>
      <c r="O1599" s="160">
        <f>InputData!$C$9</f>
        <v>0.06</v>
      </c>
      <c r="P1599" s="160">
        <f>InputData!$C$10</f>
        <v>0.02</v>
      </c>
      <c r="Q1599" s="160">
        <f>InputData!$C$11</f>
        <v>0.02</v>
      </c>
      <c r="R1599" s="160">
        <f>InputData!$C$12</f>
        <v>0.02</v>
      </c>
      <c r="S1599" s="160">
        <f>InputData!$C$13</f>
        <v>0.9</v>
      </c>
      <c r="T1599" s="116">
        <f>InputData!$C$88</f>
        <v>180000</v>
      </c>
      <c r="U1599" s="116">
        <f>InputData!$C$81</f>
        <v>178500</v>
      </c>
      <c r="V1599" s="116">
        <f>InputData!$C$82</f>
        <v>303960</v>
      </c>
      <c r="W1599" s="116">
        <f>InputData!$C$84</f>
        <v>215220</v>
      </c>
      <c r="X1599" s="116">
        <f>InputData!$C$85</f>
        <v>409020</v>
      </c>
      <c r="Y1599" s="116">
        <f>InputData!$C$116</f>
        <v>140000</v>
      </c>
      <c r="Z1599" s="160">
        <f>InputData!$E$13</f>
        <v>0</v>
      </c>
    </row>
    <row r="1600" spans="1:26" x14ac:dyDescent="0.25">
      <c r="A1600">
        <f>InputData!$K$1</f>
        <v>2013</v>
      </c>
      <c r="B1600" t="str">
        <f>InputData!$G$1</f>
        <v>San Antonio, TX</v>
      </c>
      <c r="C1600" t="s">
        <v>227</v>
      </c>
      <c r="D1600" t="str">
        <f>Graph_Ophtha!$O$6</f>
        <v>HPSPim</v>
      </c>
      <c r="E1600" t="str">
        <f t="shared" si="24"/>
        <v>Ophthalmology HPSPim</v>
      </c>
      <c r="F1600">
        <f>Graph_Ophtha!$A15</f>
        <v>2021</v>
      </c>
      <c r="G1600">
        <f>Graph_Ophtha!$B15</f>
        <v>9</v>
      </c>
      <c r="H1600" s="165">
        <f>Graph_Ophtha!$O15</f>
        <v>382537.79825040593</v>
      </c>
      <c r="I1600" s="160">
        <f>InputData!$C$3</f>
        <v>0.02</v>
      </c>
      <c r="J1600" s="160">
        <f>InputData!$C$4</f>
        <v>0.01</v>
      </c>
      <c r="K1600" s="160">
        <f>InputData!$C$5</f>
        <v>0.01</v>
      </c>
      <c r="L1600" s="160">
        <f>InputData!$C$6</f>
        <v>6.2100000000000002E-2</v>
      </c>
      <c r="M1600" s="160">
        <f>InputData!$C$7</f>
        <v>0.03</v>
      </c>
      <c r="N1600" s="160">
        <f>InputData!$C$8</f>
        <v>0.02</v>
      </c>
      <c r="O1600" s="160">
        <f>InputData!$C$9</f>
        <v>0.06</v>
      </c>
      <c r="P1600" s="160">
        <f>InputData!$C$10</f>
        <v>0.02</v>
      </c>
      <c r="Q1600" s="160">
        <f>InputData!$C$11</f>
        <v>0.02</v>
      </c>
      <c r="R1600" s="160">
        <f>InputData!$C$12</f>
        <v>0.02</v>
      </c>
      <c r="S1600" s="160">
        <f>InputData!$C$13</f>
        <v>0.9</v>
      </c>
      <c r="T1600" s="116">
        <f>InputData!$C$88</f>
        <v>180000</v>
      </c>
      <c r="U1600" s="116">
        <f>InputData!$C$81</f>
        <v>178500</v>
      </c>
      <c r="V1600" s="116">
        <f>InputData!$C$82</f>
        <v>303960</v>
      </c>
      <c r="W1600" s="116">
        <f>InputData!$C$84</f>
        <v>215220</v>
      </c>
      <c r="X1600" s="116">
        <f>InputData!$C$85</f>
        <v>409020</v>
      </c>
      <c r="Y1600" s="116">
        <f>InputData!$C$116</f>
        <v>140000</v>
      </c>
      <c r="Z1600" s="160">
        <f>InputData!$E$13</f>
        <v>0</v>
      </c>
    </row>
    <row r="1601" spans="1:26" x14ac:dyDescent="0.25">
      <c r="A1601">
        <f>InputData!$K$1</f>
        <v>2013</v>
      </c>
      <c r="B1601" t="str">
        <f>InputData!$G$1</f>
        <v>San Antonio, TX</v>
      </c>
      <c r="C1601" t="s">
        <v>227</v>
      </c>
      <c r="D1601" t="str">
        <f>Graph_Ophtha!$O$6</f>
        <v>HPSPim</v>
      </c>
      <c r="E1601" t="str">
        <f t="shared" si="24"/>
        <v>Ophthalmology HPSPim</v>
      </c>
      <c r="F1601">
        <f>Graph_Ophtha!$A16</f>
        <v>2022</v>
      </c>
      <c r="G1601">
        <f>Graph_Ophtha!$B16</f>
        <v>10</v>
      </c>
      <c r="H1601" s="165">
        <f>Graph_Ophtha!$O16</f>
        <v>441191.00156520924</v>
      </c>
      <c r="I1601" s="160">
        <f>InputData!$C$3</f>
        <v>0.02</v>
      </c>
      <c r="J1601" s="160">
        <f>InputData!$C$4</f>
        <v>0.01</v>
      </c>
      <c r="K1601" s="160">
        <f>InputData!$C$5</f>
        <v>0.01</v>
      </c>
      <c r="L1601" s="160">
        <f>InputData!$C$6</f>
        <v>6.2100000000000002E-2</v>
      </c>
      <c r="M1601" s="160">
        <f>InputData!$C$7</f>
        <v>0.03</v>
      </c>
      <c r="N1601" s="160">
        <f>InputData!$C$8</f>
        <v>0.02</v>
      </c>
      <c r="O1601" s="160">
        <f>InputData!$C$9</f>
        <v>0.06</v>
      </c>
      <c r="P1601" s="160">
        <f>InputData!$C$10</f>
        <v>0.02</v>
      </c>
      <c r="Q1601" s="160">
        <f>InputData!$C$11</f>
        <v>0.02</v>
      </c>
      <c r="R1601" s="160">
        <f>InputData!$C$12</f>
        <v>0.02</v>
      </c>
      <c r="S1601" s="160">
        <f>InputData!$C$13</f>
        <v>0.9</v>
      </c>
      <c r="T1601" s="116">
        <f>InputData!$C$88</f>
        <v>180000</v>
      </c>
      <c r="U1601" s="116">
        <f>InputData!$C$81</f>
        <v>178500</v>
      </c>
      <c r="V1601" s="116">
        <f>InputData!$C$82</f>
        <v>303960</v>
      </c>
      <c r="W1601" s="116">
        <f>InputData!$C$84</f>
        <v>215220</v>
      </c>
      <c r="X1601" s="116">
        <f>InputData!$C$85</f>
        <v>409020</v>
      </c>
      <c r="Y1601" s="116">
        <f>InputData!$C$116</f>
        <v>140000</v>
      </c>
      <c r="Z1601" s="160">
        <f>InputData!$E$13</f>
        <v>0</v>
      </c>
    </row>
    <row r="1602" spans="1:26" x14ac:dyDescent="0.25">
      <c r="A1602">
        <f>InputData!$K$1</f>
        <v>2013</v>
      </c>
      <c r="B1602" t="str">
        <f>InputData!$G$1</f>
        <v>San Antonio, TX</v>
      </c>
      <c r="C1602" t="s">
        <v>227</v>
      </c>
      <c r="D1602" t="str">
        <f>Graph_Ophtha!$O$6</f>
        <v>HPSPim</v>
      </c>
      <c r="E1602" t="str">
        <f t="shared" si="24"/>
        <v>Ophthalmology HPSPim</v>
      </c>
      <c r="F1602">
        <f>Graph_Ophtha!$A17</f>
        <v>2023</v>
      </c>
      <c r="G1602">
        <f>Graph_Ophtha!$B17</f>
        <v>11</v>
      </c>
      <c r="H1602" s="165">
        <f>Graph_Ophtha!$O17</f>
        <v>504876.79759229696</v>
      </c>
      <c r="I1602" s="160">
        <f>InputData!$C$3</f>
        <v>0.02</v>
      </c>
      <c r="J1602" s="160">
        <f>InputData!$C$4</f>
        <v>0.01</v>
      </c>
      <c r="K1602" s="160">
        <f>InputData!$C$5</f>
        <v>0.01</v>
      </c>
      <c r="L1602" s="160">
        <f>InputData!$C$6</f>
        <v>6.2100000000000002E-2</v>
      </c>
      <c r="M1602" s="160">
        <f>InputData!$C$7</f>
        <v>0.03</v>
      </c>
      <c r="N1602" s="160">
        <f>InputData!$C$8</f>
        <v>0.02</v>
      </c>
      <c r="O1602" s="160">
        <f>InputData!$C$9</f>
        <v>0.06</v>
      </c>
      <c r="P1602" s="160">
        <f>InputData!$C$10</f>
        <v>0.02</v>
      </c>
      <c r="Q1602" s="160">
        <f>InputData!$C$11</f>
        <v>0.02</v>
      </c>
      <c r="R1602" s="160">
        <f>InputData!$C$12</f>
        <v>0.02</v>
      </c>
      <c r="S1602" s="160">
        <f>InputData!$C$13</f>
        <v>0.9</v>
      </c>
      <c r="T1602" s="116">
        <f>InputData!$C$88</f>
        <v>180000</v>
      </c>
      <c r="U1602" s="116">
        <f>InputData!$C$81</f>
        <v>178500</v>
      </c>
      <c r="V1602" s="116">
        <f>InputData!$C$82</f>
        <v>303960</v>
      </c>
      <c r="W1602" s="116">
        <f>InputData!$C$84</f>
        <v>215220</v>
      </c>
      <c r="X1602" s="116">
        <f>InputData!$C$85</f>
        <v>409020</v>
      </c>
      <c r="Y1602" s="116">
        <f>InputData!$C$116</f>
        <v>140000</v>
      </c>
      <c r="Z1602" s="160">
        <f>InputData!$E$13</f>
        <v>0</v>
      </c>
    </row>
    <row r="1603" spans="1:26" x14ac:dyDescent="0.25">
      <c r="A1603">
        <f>InputData!$K$1</f>
        <v>2013</v>
      </c>
      <c r="B1603" t="str">
        <f>InputData!$G$1</f>
        <v>San Antonio, TX</v>
      </c>
      <c r="C1603" t="s">
        <v>227</v>
      </c>
      <c r="D1603" t="str">
        <f>Graph_Ophtha!$O$6</f>
        <v>HPSPim</v>
      </c>
      <c r="E1603" t="str">
        <f t="shared" ref="E1603:E1622" si="25">C1603 &amp; " " &amp; D1603</f>
        <v>Ophthalmology HPSPim</v>
      </c>
      <c r="F1603">
        <f>Graph_Ophtha!$A18</f>
        <v>2024</v>
      </c>
      <c r="G1603">
        <f>Graph_Ophtha!$B18</f>
        <v>12</v>
      </c>
      <c r="H1603" s="165">
        <f>Graph_Ophtha!$O18</f>
        <v>566148.02380469104</v>
      </c>
      <c r="I1603" s="160">
        <f>InputData!$C$3</f>
        <v>0.02</v>
      </c>
      <c r="J1603" s="160">
        <f>InputData!$C$4</f>
        <v>0.01</v>
      </c>
      <c r="K1603" s="160">
        <f>InputData!$C$5</f>
        <v>0.01</v>
      </c>
      <c r="L1603" s="160">
        <f>InputData!$C$6</f>
        <v>6.2100000000000002E-2</v>
      </c>
      <c r="M1603" s="160">
        <f>InputData!$C$7</f>
        <v>0.03</v>
      </c>
      <c r="N1603" s="160">
        <f>InputData!$C$8</f>
        <v>0.02</v>
      </c>
      <c r="O1603" s="160">
        <f>InputData!$C$9</f>
        <v>0.06</v>
      </c>
      <c r="P1603" s="160">
        <f>InputData!$C$10</f>
        <v>0.02</v>
      </c>
      <c r="Q1603" s="160">
        <f>InputData!$C$11</f>
        <v>0.02</v>
      </c>
      <c r="R1603" s="160">
        <f>InputData!$C$12</f>
        <v>0.02</v>
      </c>
      <c r="S1603" s="160">
        <f>InputData!$C$13</f>
        <v>0.9</v>
      </c>
      <c r="T1603" s="116">
        <f>InputData!$C$88</f>
        <v>180000</v>
      </c>
      <c r="U1603" s="116">
        <f>InputData!$C$81</f>
        <v>178500</v>
      </c>
      <c r="V1603" s="116">
        <f>InputData!$C$82</f>
        <v>303960</v>
      </c>
      <c r="W1603" s="116">
        <f>InputData!$C$84</f>
        <v>215220</v>
      </c>
      <c r="X1603" s="116">
        <f>InputData!$C$85</f>
        <v>409020</v>
      </c>
      <c r="Y1603" s="116">
        <f>InputData!$C$116</f>
        <v>140000</v>
      </c>
      <c r="Z1603" s="160">
        <f>InputData!$E$13</f>
        <v>0</v>
      </c>
    </row>
    <row r="1604" spans="1:26" x14ac:dyDescent="0.25">
      <c r="A1604">
        <f>InputData!$K$1</f>
        <v>2013</v>
      </c>
      <c r="B1604" t="str">
        <f>InputData!$G$1</f>
        <v>San Antonio, TX</v>
      </c>
      <c r="C1604" t="s">
        <v>227</v>
      </c>
      <c r="D1604" t="str">
        <f>Graph_Ophtha!$O$6</f>
        <v>HPSPim</v>
      </c>
      <c r="E1604" t="str">
        <f t="shared" si="25"/>
        <v>Ophthalmology HPSPim</v>
      </c>
      <c r="F1604">
        <f>Graph_Ophtha!$A19</f>
        <v>2025</v>
      </c>
      <c r="G1604">
        <f>Graph_Ophtha!$B19</f>
        <v>13</v>
      </c>
      <c r="H1604" s="165">
        <f>Graph_Ophtha!$O19</f>
        <v>661028.00888502866</v>
      </c>
      <c r="I1604" s="160">
        <f>InputData!$C$3</f>
        <v>0.02</v>
      </c>
      <c r="J1604" s="160">
        <f>InputData!$C$4</f>
        <v>0.01</v>
      </c>
      <c r="K1604" s="160">
        <f>InputData!$C$5</f>
        <v>0.01</v>
      </c>
      <c r="L1604" s="160">
        <f>InputData!$C$6</f>
        <v>6.2100000000000002E-2</v>
      </c>
      <c r="M1604" s="160">
        <f>InputData!$C$7</f>
        <v>0.03</v>
      </c>
      <c r="N1604" s="160">
        <f>InputData!$C$8</f>
        <v>0.02</v>
      </c>
      <c r="O1604" s="160">
        <f>InputData!$C$9</f>
        <v>0.06</v>
      </c>
      <c r="P1604" s="160">
        <f>InputData!$C$10</f>
        <v>0.02</v>
      </c>
      <c r="Q1604" s="160">
        <f>InputData!$C$11</f>
        <v>0.02</v>
      </c>
      <c r="R1604" s="160">
        <f>InputData!$C$12</f>
        <v>0.02</v>
      </c>
      <c r="S1604" s="160">
        <f>InputData!$C$13</f>
        <v>0.9</v>
      </c>
      <c r="T1604" s="116">
        <f>InputData!$C$88</f>
        <v>180000</v>
      </c>
      <c r="U1604" s="116">
        <f>InputData!$C$81</f>
        <v>178500</v>
      </c>
      <c r="V1604" s="116">
        <f>InputData!$C$82</f>
        <v>303960</v>
      </c>
      <c r="W1604" s="116">
        <f>InputData!$C$84</f>
        <v>215220</v>
      </c>
      <c r="X1604" s="116">
        <f>InputData!$C$85</f>
        <v>409020</v>
      </c>
      <c r="Y1604" s="116">
        <f>InputData!$C$116</f>
        <v>140000</v>
      </c>
      <c r="Z1604" s="160">
        <f>InputData!$E$13</f>
        <v>0</v>
      </c>
    </row>
    <row r="1605" spans="1:26" x14ac:dyDescent="0.25">
      <c r="A1605">
        <f>InputData!$K$1</f>
        <v>2013</v>
      </c>
      <c r="B1605" t="str">
        <f>InputData!$G$1</f>
        <v>San Antonio, TX</v>
      </c>
      <c r="C1605" t="s">
        <v>227</v>
      </c>
      <c r="D1605" t="str">
        <f>Graph_Ophtha!$O$6</f>
        <v>HPSPim</v>
      </c>
      <c r="E1605" t="str">
        <f t="shared" si="25"/>
        <v>Ophthalmology HPSPim</v>
      </c>
      <c r="F1605">
        <f>Graph_Ophtha!$A20</f>
        <v>2026</v>
      </c>
      <c r="G1605">
        <f>Graph_Ophtha!$B20</f>
        <v>14</v>
      </c>
      <c r="H1605" s="165">
        <f>Graph_Ophtha!$O20</f>
        <v>753975.28206454159</v>
      </c>
      <c r="I1605" s="160">
        <f>InputData!$C$3</f>
        <v>0.02</v>
      </c>
      <c r="J1605" s="160">
        <f>InputData!$C$4</f>
        <v>0.01</v>
      </c>
      <c r="K1605" s="160">
        <f>InputData!$C$5</f>
        <v>0.01</v>
      </c>
      <c r="L1605" s="160">
        <f>InputData!$C$6</f>
        <v>6.2100000000000002E-2</v>
      </c>
      <c r="M1605" s="160">
        <f>InputData!$C$7</f>
        <v>0.03</v>
      </c>
      <c r="N1605" s="160">
        <f>InputData!$C$8</f>
        <v>0.02</v>
      </c>
      <c r="O1605" s="160">
        <f>InputData!$C$9</f>
        <v>0.06</v>
      </c>
      <c r="P1605" s="160">
        <f>InputData!$C$10</f>
        <v>0.02</v>
      </c>
      <c r="Q1605" s="160">
        <f>InputData!$C$11</f>
        <v>0.02</v>
      </c>
      <c r="R1605" s="160">
        <f>InputData!$C$12</f>
        <v>0.02</v>
      </c>
      <c r="S1605" s="160">
        <f>InputData!$C$13</f>
        <v>0.9</v>
      </c>
      <c r="T1605" s="116">
        <f>InputData!$C$88</f>
        <v>180000</v>
      </c>
      <c r="U1605" s="116">
        <f>InputData!$C$81</f>
        <v>178500</v>
      </c>
      <c r="V1605" s="116">
        <f>InputData!$C$82</f>
        <v>303960</v>
      </c>
      <c r="W1605" s="116">
        <f>InputData!$C$84</f>
        <v>215220</v>
      </c>
      <c r="X1605" s="116">
        <f>InputData!$C$85</f>
        <v>409020</v>
      </c>
      <c r="Y1605" s="116">
        <f>InputData!$C$116</f>
        <v>140000</v>
      </c>
      <c r="Z1605" s="160">
        <f>InputData!$E$13</f>
        <v>0</v>
      </c>
    </row>
    <row r="1606" spans="1:26" x14ac:dyDescent="0.25">
      <c r="A1606">
        <f>InputData!$K$1</f>
        <v>2013</v>
      </c>
      <c r="B1606" t="str">
        <f>InputData!$G$1</f>
        <v>San Antonio, TX</v>
      </c>
      <c r="C1606" t="s">
        <v>227</v>
      </c>
      <c r="D1606" t="str">
        <f>Graph_Ophtha!$O$6</f>
        <v>HPSPim</v>
      </c>
      <c r="E1606" t="str">
        <f t="shared" si="25"/>
        <v>Ophthalmology HPSPim</v>
      </c>
      <c r="F1606">
        <f>Graph_Ophtha!$A21</f>
        <v>2027</v>
      </c>
      <c r="G1606">
        <f>Graph_Ophtha!$B21</f>
        <v>15</v>
      </c>
      <c r="H1606" s="165">
        <f>Graph_Ophtha!$O21</f>
        <v>845029.8460638409</v>
      </c>
      <c r="I1606" s="160">
        <f>InputData!$C$3</f>
        <v>0.02</v>
      </c>
      <c r="J1606" s="160">
        <f>InputData!$C$4</f>
        <v>0.01</v>
      </c>
      <c r="K1606" s="160">
        <f>InputData!$C$5</f>
        <v>0.01</v>
      </c>
      <c r="L1606" s="160">
        <f>InputData!$C$6</f>
        <v>6.2100000000000002E-2</v>
      </c>
      <c r="M1606" s="160">
        <f>InputData!$C$7</f>
        <v>0.03</v>
      </c>
      <c r="N1606" s="160">
        <f>InputData!$C$8</f>
        <v>0.02</v>
      </c>
      <c r="O1606" s="160">
        <f>InputData!$C$9</f>
        <v>0.06</v>
      </c>
      <c r="P1606" s="160">
        <f>InputData!$C$10</f>
        <v>0.02</v>
      </c>
      <c r="Q1606" s="160">
        <f>InputData!$C$11</f>
        <v>0.02</v>
      </c>
      <c r="R1606" s="160">
        <f>InputData!$C$12</f>
        <v>0.02</v>
      </c>
      <c r="S1606" s="160">
        <f>InputData!$C$13</f>
        <v>0.9</v>
      </c>
      <c r="T1606" s="116">
        <f>InputData!$C$88</f>
        <v>180000</v>
      </c>
      <c r="U1606" s="116">
        <f>InputData!$C$81</f>
        <v>178500</v>
      </c>
      <c r="V1606" s="116">
        <f>InputData!$C$82</f>
        <v>303960</v>
      </c>
      <c r="W1606" s="116">
        <f>InputData!$C$84</f>
        <v>215220</v>
      </c>
      <c r="X1606" s="116">
        <f>InputData!$C$85</f>
        <v>409020</v>
      </c>
      <c r="Y1606" s="116">
        <f>InputData!$C$116</f>
        <v>140000</v>
      </c>
      <c r="Z1606" s="160">
        <f>InputData!$E$13</f>
        <v>0</v>
      </c>
    </row>
    <row r="1607" spans="1:26" x14ac:dyDescent="0.25">
      <c r="A1607">
        <f>InputData!$K$1</f>
        <v>2013</v>
      </c>
      <c r="B1607" t="str">
        <f>InputData!$G$1</f>
        <v>San Antonio, TX</v>
      </c>
      <c r="C1607" t="s">
        <v>227</v>
      </c>
      <c r="D1607" t="str">
        <f>Graph_Ophtha!$O$6</f>
        <v>HPSPim</v>
      </c>
      <c r="E1607" t="str">
        <f t="shared" si="25"/>
        <v>Ophthalmology HPSPim</v>
      </c>
      <c r="F1607">
        <f>Graph_Ophtha!$A22</f>
        <v>2028</v>
      </c>
      <c r="G1607">
        <f>Graph_Ophtha!$B22</f>
        <v>16</v>
      </c>
      <c r="H1607" s="165">
        <f>Graph_Ophtha!$O22</f>
        <v>934230.8578847535</v>
      </c>
      <c r="I1607" s="160">
        <f>InputData!$C$3</f>
        <v>0.02</v>
      </c>
      <c r="J1607" s="160">
        <f>InputData!$C$4</f>
        <v>0.01</v>
      </c>
      <c r="K1607" s="160">
        <f>InputData!$C$5</f>
        <v>0.01</v>
      </c>
      <c r="L1607" s="160">
        <f>InputData!$C$6</f>
        <v>6.2100000000000002E-2</v>
      </c>
      <c r="M1607" s="160">
        <f>InputData!$C$7</f>
        <v>0.03</v>
      </c>
      <c r="N1607" s="160">
        <f>InputData!$C$8</f>
        <v>0.02</v>
      </c>
      <c r="O1607" s="160">
        <f>InputData!$C$9</f>
        <v>0.06</v>
      </c>
      <c r="P1607" s="160">
        <f>InputData!$C$10</f>
        <v>0.02</v>
      </c>
      <c r="Q1607" s="160">
        <f>InputData!$C$11</f>
        <v>0.02</v>
      </c>
      <c r="R1607" s="160">
        <f>InputData!$C$12</f>
        <v>0.02</v>
      </c>
      <c r="S1607" s="160">
        <f>InputData!$C$13</f>
        <v>0.9</v>
      </c>
      <c r="T1607" s="116">
        <f>InputData!$C$88</f>
        <v>180000</v>
      </c>
      <c r="U1607" s="116">
        <f>InputData!$C$81</f>
        <v>178500</v>
      </c>
      <c r="V1607" s="116">
        <f>InputData!$C$82</f>
        <v>303960</v>
      </c>
      <c r="W1607" s="116">
        <f>InputData!$C$84</f>
        <v>215220</v>
      </c>
      <c r="X1607" s="116">
        <f>InputData!$C$85</f>
        <v>409020</v>
      </c>
      <c r="Y1607" s="116">
        <f>InputData!$C$116</f>
        <v>140000</v>
      </c>
      <c r="Z1607" s="160">
        <f>InputData!$E$13</f>
        <v>0</v>
      </c>
    </row>
    <row r="1608" spans="1:26" x14ac:dyDescent="0.25">
      <c r="A1608">
        <f>InputData!$K$1</f>
        <v>2013</v>
      </c>
      <c r="B1608" t="str">
        <f>InputData!$G$1</f>
        <v>San Antonio, TX</v>
      </c>
      <c r="C1608" t="s">
        <v>227</v>
      </c>
      <c r="D1608" t="str">
        <f>Graph_Ophtha!$O$6</f>
        <v>HPSPim</v>
      </c>
      <c r="E1608" t="str">
        <f t="shared" si="25"/>
        <v>Ophthalmology HPSPim</v>
      </c>
      <c r="F1608">
        <f>Graph_Ophtha!$A23</f>
        <v>2029</v>
      </c>
      <c r="G1608">
        <f>Graph_Ophtha!$B23</f>
        <v>17</v>
      </c>
      <c r="H1608" s="165">
        <f>Graph_Ophtha!$O23</f>
        <v>1021616.6471799861</v>
      </c>
      <c r="I1608" s="160">
        <f>InputData!$C$3</f>
        <v>0.02</v>
      </c>
      <c r="J1608" s="160">
        <f>InputData!$C$4</f>
        <v>0.01</v>
      </c>
      <c r="K1608" s="160">
        <f>InputData!$C$5</f>
        <v>0.01</v>
      </c>
      <c r="L1608" s="160">
        <f>InputData!$C$6</f>
        <v>6.2100000000000002E-2</v>
      </c>
      <c r="M1608" s="160">
        <f>InputData!$C$7</f>
        <v>0.03</v>
      </c>
      <c r="N1608" s="160">
        <f>InputData!$C$8</f>
        <v>0.02</v>
      </c>
      <c r="O1608" s="160">
        <f>InputData!$C$9</f>
        <v>0.06</v>
      </c>
      <c r="P1608" s="160">
        <f>InputData!$C$10</f>
        <v>0.02</v>
      </c>
      <c r="Q1608" s="160">
        <f>InputData!$C$11</f>
        <v>0.02</v>
      </c>
      <c r="R1608" s="160">
        <f>InputData!$C$12</f>
        <v>0.02</v>
      </c>
      <c r="S1608" s="160">
        <f>InputData!$C$13</f>
        <v>0.9</v>
      </c>
      <c r="T1608" s="116">
        <f>InputData!$C$88</f>
        <v>180000</v>
      </c>
      <c r="U1608" s="116">
        <f>InputData!$C$81</f>
        <v>178500</v>
      </c>
      <c r="V1608" s="116">
        <f>InputData!$C$82</f>
        <v>303960</v>
      </c>
      <c r="W1608" s="116">
        <f>InputData!$C$84</f>
        <v>215220</v>
      </c>
      <c r="X1608" s="116">
        <f>InputData!$C$85</f>
        <v>409020</v>
      </c>
      <c r="Y1608" s="116">
        <f>InputData!$C$116</f>
        <v>140000</v>
      </c>
      <c r="Z1608" s="160">
        <f>InputData!$E$13</f>
        <v>0</v>
      </c>
    </row>
    <row r="1609" spans="1:26" x14ac:dyDescent="0.25">
      <c r="A1609">
        <f>InputData!$K$1</f>
        <v>2013</v>
      </c>
      <c r="B1609" t="str">
        <f>InputData!$G$1</f>
        <v>San Antonio, TX</v>
      </c>
      <c r="C1609" t="s">
        <v>227</v>
      </c>
      <c r="D1609" t="str">
        <f>Graph_Ophtha!$O$6</f>
        <v>HPSPim</v>
      </c>
      <c r="E1609" t="str">
        <f t="shared" si="25"/>
        <v>Ophthalmology HPSPim</v>
      </c>
      <c r="F1609">
        <f>Graph_Ophtha!$A24</f>
        <v>2030</v>
      </c>
      <c r="G1609">
        <f>Graph_Ophtha!$B24</f>
        <v>18</v>
      </c>
      <c r="H1609" s="165">
        <f>Graph_Ophtha!$O24</f>
        <v>1107224.7342105536</v>
      </c>
      <c r="I1609" s="160">
        <f>InputData!$C$3</f>
        <v>0.02</v>
      </c>
      <c r="J1609" s="160">
        <f>InputData!$C$4</f>
        <v>0.01</v>
      </c>
      <c r="K1609" s="160">
        <f>InputData!$C$5</f>
        <v>0.01</v>
      </c>
      <c r="L1609" s="160">
        <f>InputData!$C$6</f>
        <v>6.2100000000000002E-2</v>
      </c>
      <c r="M1609" s="160">
        <f>InputData!$C$7</f>
        <v>0.03</v>
      </c>
      <c r="N1609" s="160">
        <f>InputData!$C$8</f>
        <v>0.02</v>
      </c>
      <c r="O1609" s="160">
        <f>InputData!$C$9</f>
        <v>0.06</v>
      </c>
      <c r="P1609" s="160">
        <f>InputData!$C$10</f>
        <v>0.02</v>
      </c>
      <c r="Q1609" s="160">
        <f>InputData!$C$11</f>
        <v>0.02</v>
      </c>
      <c r="R1609" s="160">
        <f>InputData!$C$12</f>
        <v>0.02</v>
      </c>
      <c r="S1609" s="160">
        <f>InputData!$C$13</f>
        <v>0.9</v>
      </c>
      <c r="T1609" s="116">
        <f>InputData!$C$88</f>
        <v>180000</v>
      </c>
      <c r="U1609" s="116">
        <f>InputData!$C$81</f>
        <v>178500</v>
      </c>
      <c r="V1609" s="116">
        <f>InputData!$C$82</f>
        <v>303960</v>
      </c>
      <c r="W1609" s="116">
        <f>InputData!$C$84</f>
        <v>215220</v>
      </c>
      <c r="X1609" s="116">
        <f>InputData!$C$85</f>
        <v>409020</v>
      </c>
      <c r="Y1609" s="116">
        <f>InputData!$C$116</f>
        <v>140000</v>
      </c>
      <c r="Z1609" s="160">
        <f>InputData!$E$13</f>
        <v>0</v>
      </c>
    </row>
    <row r="1610" spans="1:26" x14ac:dyDescent="0.25">
      <c r="A1610">
        <f>InputData!$K$1</f>
        <v>2013</v>
      </c>
      <c r="B1610" t="str">
        <f>InputData!$G$1</f>
        <v>San Antonio, TX</v>
      </c>
      <c r="C1610" t="s">
        <v>227</v>
      </c>
      <c r="D1610" t="str">
        <f>Graph_Ophtha!$O$6</f>
        <v>HPSPim</v>
      </c>
      <c r="E1610" t="str">
        <f t="shared" si="25"/>
        <v>Ophthalmology HPSPim</v>
      </c>
      <c r="F1610">
        <f>Graph_Ophtha!$A25</f>
        <v>2031</v>
      </c>
      <c r="G1610">
        <f>Graph_Ophtha!$B25</f>
        <v>19</v>
      </c>
      <c r="H1610" s="165">
        <f>Graph_Ophtha!$O25</f>
        <v>1191091.8474005696</v>
      </c>
      <c r="I1610" s="160">
        <f>InputData!$C$3</f>
        <v>0.02</v>
      </c>
      <c r="J1610" s="160">
        <f>InputData!$C$4</f>
        <v>0.01</v>
      </c>
      <c r="K1610" s="160">
        <f>InputData!$C$5</f>
        <v>0.01</v>
      </c>
      <c r="L1610" s="160">
        <f>InputData!$C$6</f>
        <v>6.2100000000000002E-2</v>
      </c>
      <c r="M1610" s="160">
        <f>InputData!$C$7</f>
        <v>0.03</v>
      </c>
      <c r="N1610" s="160">
        <f>InputData!$C$8</f>
        <v>0.02</v>
      </c>
      <c r="O1610" s="160">
        <f>InputData!$C$9</f>
        <v>0.06</v>
      </c>
      <c r="P1610" s="160">
        <f>InputData!$C$10</f>
        <v>0.02</v>
      </c>
      <c r="Q1610" s="160">
        <f>InputData!$C$11</f>
        <v>0.02</v>
      </c>
      <c r="R1610" s="160">
        <f>InputData!$C$12</f>
        <v>0.02</v>
      </c>
      <c r="S1610" s="160">
        <f>InputData!$C$13</f>
        <v>0.9</v>
      </c>
      <c r="T1610" s="116">
        <f>InputData!$C$88</f>
        <v>180000</v>
      </c>
      <c r="U1610" s="116">
        <f>InputData!$C$81</f>
        <v>178500</v>
      </c>
      <c r="V1610" s="116">
        <f>InputData!$C$82</f>
        <v>303960</v>
      </c>
      <c r="W1610" s="116">
        <f>InputData!$C$84</f>
        <v>215220</v>
      </c>
      <c r="X1610" s="116">
        <f>InputData!$C$85</f>
        <v>409020</v>
      </c>
      <c r="Y1610" s="116">
        <f>InputData!$C$116</f>
        <v>140000</v>
      </c>
      <c r="Z1610" s="160">
        <f>InputData!$E$13</f>
        <v>0</v>
      </c>
    </row>
    <row r="1611" spans="1:26" x14ac:dyDescent="0.25">
      <c r="A1611">
        <f>InputData!$K$1</f>
        <v>2013</v>
      </c>
      <c r="B1611" t="str">
        <f>InputData!$G$1</f>
        <v>San Antonio, TX</v>
      </c>
      <c r="C1611" t="s">
        <v>227</v>
      </c>
      <c r="D1611" t="str">
        <f>Graph_Ophtha!$O$6</f>
        <v>HPSPim</v>
      </c>
      <c r="E1611" t="str">
        <f t="shared" si="25"/>
        <v>Ophthalmology HPSPim</v>
      </c>
      <c r="F1611">
        <f>Graph_Ophtha!$A26</f>
        <v>2032</v>
      </c>
      <c r="G1611">
        <f>Graph_Ophtha!$B26</f>
        <v>20</v>
      </c>
      <c r="H1611" s="165">
        <f>Graph_Ophtha!$O26</f>
        <v>1273253.9404987663</v>
      </c>
      <c r="I1611" s="160">
        <f>InputData!$C$3</f>
        <v>0.02</v>
      </c>
      <c r="J1611" s="160">
        <f>InputData!$C$4</f>
        <v>0.01</v>
      </c>
      <c r="K1611" s="160">
        <f>InputData!$C$5</f>
        <v>0.01</v>
      </c>
      <c r="L1611" s="160">
        <f>InputData!$C$6</f>
        <v>6.2100000000000002E-2</v>
      </c>
      <c r="M1611" s="160">
        <f>InputData!$C$7</f>
        <v>0.03</v>
      </c>
      <c r="N1611" s="160">
        <f>InputData!$C$8</f>
        <v>0.02</v>
      </c>
      <c r="O1611" s="160">
        <f>InputData!$C$9</f>
        <v>0.06</v>
      </c>
      <c r="P1611" s="160">
        <f>InputData!$C$10</f>
        <v>0.02</v>
      </c>
      <c r="Q1611" s="160">
        <f>InputData!$C$11</f>
        <v>0.02</v>
      </c>
      <c r="R1611" s="160">
        <f>InputData!$C$12</f>
        <v>0.02</v>
      </c>
      <c r="S1611" s="160">
        <f>InputData!$C$13</f>
        <v>0.9</v>
      </c>
      <c r="T1611" s="116">
        <f>InputData!$C$88</f>
        <v>180000</v>
      </c>
      <c r="U1611" s="116">
        <f>InputData!$C$81</f>
        <v>178500</v>
      </c>
      <c r="V1611" s="116">
        <f>InputData!$C$82</f>
        <v>303960</v>
      </c>
      <c r="W1611" s="116">
        <f>InputData!$C$84</f>
        <v>215220</v>
      </c>
      <c r="X1611" s="116">
        <f>InputData!$C$85</f>
        <v>409020</v>
      </c>
      <c r="Y1611" s="116">
        <f>InputData!$C$116</f>
        <v>140000</v>
      </c>
      <c r="Z1611" s="160">
        <f>InputData!$E$13</f>
        <v>0</v>
      </c>
    </row>
    <row r="1612" spans="1:26" x14ac:dyDescent="0.25">
      <c r="A1612">
        <f>InputData!$K$1</f>
        <v>2013</v>
      </c>
      <c r="B1612" t="str">
        <f>InputData!$G$1</f>
        <v>San Antonio, TX</v>
      </c>
      <c r="C1612" t="s">
        <v>227</v>
      </c>
      <c r="D1612" t="str">
        <f>Graph_Ophtha!$O$6</f>
        <v>HPSPim</v>
      </c>
      <c r="E1612" t="str">
        <f t="shared" si="25"/>
        <v>Ophthalmology HPSPim</v>
      </c>
      <c r="F1612">
        <f>Graph_Ophtha!$A27</f>
        <v>2033</v>
      </c>
      <c r="G1612">
        <f>Graph_Ophtha!$B27</f>
        <v>21</v>
      </c>
      <c r="H1612" s="165">
        <f>Graph_Ophtha!$O27</f>
        <v>1353746.2093558831</v>
      </c>
      <c r="I1612" s="160">
        <f>InputData!$C$3</f>
        <v>0.02</v>
      </c>
      <c r="J1612" s="160">
        <f>InputData!$C$4</f>
        <v>0.01</v>
      </c>
      <c r="K1612" s="160">
        <f>InputData!$C$5</f>
        <v>0.01</v>
      </c>
      <c r="L1612" s="160">
        <f>InputData!$C$6</f>
        <v>6.2100000000000002E-2</v>
      </c>
      <c r="M1612" s="160">
        <f>InputData!$C$7</f>
        <v>0.03</v>
      </c>
      <c r="N1612" s="160">
        <f>InputData!$C$8</f>
        <v>0.02</v>
      </c>
      <c r="O1612" s="160">
        <f>InputData!$C$9</f>
        <v>0.06</v>
      </c>
      <c r="P1612" s="160">
        <f>InputData!$C$10</f>
        <v>0.02</v>
      </c>
      <c r="Q1612" s="160">
        <f>InputData!$C$11</f>
        <v>0.02</v>
      </c>
      <c r="R1612" s="160">
        <f>InputData!$C$12</f>
        <v>0.02</v>
      </c>
      <c r="S1612" s="160">
        <f>InputData!$C$13</f>
        <v>0.9</v>
      </c>
      <c r="T1612" s="116">
        <f>InputData!$C$88</f>
        <v>180000</v>
      </c>
      <c r="U1612" s="116">
        <f>InputData!$C$81</f>
        <v>178500</v>
      </c>
      <c r="V1612" s="116">
        <f>InputData!$C$82</f>
        <v>303960</v>
      </c>
      <c r="W1612" s="116">
        <f>InputData!$C$84</f>
        <v>215220</v>
      </c>
      <c r="X1612" s="116">
        <f>InputData!$C$85</f>
        <v>409020</v>
      </c>
      <c r="Y1612" s="116">
        <f>InputData!$C$116</f>
        <v>140000</v>
      </c>
      <c r="Z1612" s="160">
        <f>InputData!$E$13</f>
        <v>0</v>
      </c>
    </row>
    <row r="1613" spans="1:26" x14ac:dyDescent="0.25">
      <c r="A1613">
        <f>InputData!$K$1</f>
        <v>2013</v>
      </c>
      <c r="B1613" t="str">
        <f>InputData!$G$1</f>
        <v>San Antonio, TX</v>
      </c>
      <c r="C1613" t="s">
        <v>227</v>
      </c>
      <c r="D1613" t="str">
        <f>Graph_Ophtha!$O$6</f>
        <v>HPSPim</v>
      </c>
      <c r="E1613" t="str">
        <f t="shared" si="25"/>
        <v>Ophthalmology HPSPim</v>
      </c>
      <c r="F1613">
        <f>Graph_Ophtha!$A28</f>
        <v>2034</v>
      </c>
      <c r="G1613">
        <f>Graph_Ophtha!$B28</f>
        <v>22</v>
      </c>
      <c r="H1613" s="165">
        <f>Graph_Ophtha!$O28</f>
        <v>1432603.1083268453</v>
      </c>
      <c r="I1613" s="160">
        <f>InputData!$C$3</f>
        <v>0.02</v>
      </c>
      <c r="J1613" s="160">
        <f>InputData!$C$4</f>
        <v>0.01</v>
      </c>
      <c r="K1613" s="160">
        <f>InputData!$C$5</f>
        <v>0.01</v>
      </c>
      <c r="L1613" s="160">
        <f>InputData!$C$6</f>
        <v>6.2100000000000002E-2</v>
      </c>
      <c r="M1613" s="160">
        <f>InputData!$C$7</f>
        <v>0.03</v>
      </c>
      <c r="N1613" s="160">
        <f>InputData!$C$8</f>
        <v>0.02</v>
      </c>
      <c r="O1613" s="160">
        <f>InputData!$C$9</f>
        <v>0.06</v>
      </c>
      <c r="P1613" s="160">
        <f>InputData!$C$10</f>
        <v>0.02</v>
      </c>
      <c r="Q1613" s="160">
        <f>InputData!$C$11</f>
        <v>0.02</v>
      </c>
      <c r="R1613" s="160">
        <f>InputData!$C$12</f>
        <v>0.02</v>
      </c>
      <c r="S1613" s="160">
        <f>InputData!$C$13</f>
        <v>0.9</v>
      </c>
      <c r="T1613" s="116">
        <f>InputData!$C$88</f>
        <v>180000</v>
      </c>
      <c r="U1613" s="116">
        <f>InputData!$C$81</f>
        <v>178500</v>
      </c>
      <c r="V1613" s="116">
        <f>InputData!$C$82</f>
        <v>303960</v>
      </c>
      <c r="W1613" s="116">
        <f>InputData!$C$84</f>
        <v>215220</v>
      </c>
      <c r="X1613" s="116">
        <f>InputData!$C$85</f>
        <v>409020</v>
      </c>
      <c r="Y1613" s="116">
        <f>InputData!$C$116</f>
        <v>140000</v>
      </c>
      <c r="Z1613" s="160">
        <f>InputData!$E$13</f>
        <v>0</v>
      </c>
    </row>
    <row r="1614" spans="1:26" x14ac:dyDescent="0.25">
      <c r="A1614">
        <f>InputData!$K$1</f>
        <v>2013</v>
      </c>
      <c r="B1614" t="str">
        <f>InputData!$G$1</f>
        <v>San Antonio, TX</v>
      </c>
      <c r="C1614" t="s">
        <v>227</v>
      </c>
      <c r="D1614" t="str">
        <f>Graph_Ophtha!$O$6</f>
        <v>HPSPim</v>
      </c>
      <c r="E1614" t="str">
        <f t="shared" si="25"/>
        <v>Ophthalmology HPSPim</v>
      </c>
      <c r="F1614">
        <f>Graph_Ophtha!$A29</f>
        <v>2035</v>
      </c>
      <c r="G1614">
        <f>Graph_Ophtha!$B29</f>
        <v>23</v>
      </c>
      <c r="H1614" s="165">
        <f>Graph_Ophtha!$O29</f>
        <v>1509858.3663064342</v>
      </c>
      <c r="I1614" s="160">
        <f>InputData!$C$3</f>
        <v>0.02</v>
      </c>
      <c r="J1614" s="160">
        <f>InputData!$C$4</f>
        <v>0.01</v>
      </c>
      <c r="K1614" s="160">
        <f>InputData!$C$5</f>
        <v>0.01</v>
      </c>
      <c r="L1614" s="160">
        <f>InputData!$C$6</f>
        <v>6.2100000000000002E-2</v>
      </c>
      <c r="M1614" s="160">
        <f>InputData!$C$7</f>
        <v>0.03</v>
      </c>
      <c r="N1614" s="160">
        <f>InputData!$C$8</f>
        <v>0.02</v>
      </c>
      <c r="O1614" s="160">
        <f>InputData!$C$9</f>
        <v>0.06</v>
      </c>
      <c r="P1614" s="160">
        <f>InputData!$C$10</f>
        <v>0.02</v>
      </c>
      <c r="Q1614" s="160">
        <f>InputData!$C$11</f>
        <v>0.02</v>
      </c>
      <c r="R1614" s="160">
        <f>InputData!$C$12</f>
        <v>0.02</v>
      </c>
      <c r="S1614" s="160">
        <f>InputData!$C$13</f>
        <v>0.9</v>
      </c>
      <c r="T1614" s="116">
        <f>InputData!$C$88</f>
        <v>180000</v>
      </c>
      <c r="U1614" s="116">
        <f>InputData!$C$81</f>
        <v>178500</v>
      </c>
      <c r="V1614" s="116">
        <f>InputData!$C$82</f>
        <v>303960</v>
      </c>
      <c r="W1614" s="116">
        <f>InputData!$C$84</f>
        <v>215220</v>
      </c>
      <c r="X1614" s="116">
        <f>InputData!$C$85</f>
        <v>409020</v>
      </c>
      <c r="Y1614" s="116">
        <f>InputData!$C$116</f>
        <v>140000</v>
      </c>
      <c r="Z1614" s="160">
        <f>InputData!$E$13</f>
        <v>0</v>
      </c>
    </row>
    <row r="1615" spans="1:26" x14ac:dyDescent="0.25">
      <c r="A1615">
        <f>InputData!$K$1</f>
        <v>2013</v>
      </c>
      <c r="B1615" t="str">
        <f>InputData!$G$1</f>
        <v>San Antonio, TX</v>
      </c>
      <c r="C1615" t="s">
        <v>227</v>
      </c>
      <c r="D1615" t="str">
        <f>Graph_Ophtha!$O$6</f>
        <v>HPSPim</v>
      </c>
      <c r="E1615" t="str">
        <f t="shared" si="25"/>
        <v>Ophthalmology HPSPim</v>
      </c>
      <c r="F1615">
        <f>Graph_Ophtha!$A30</f>
        <v>2036</v>
      </c>
      <c r="G1615">
        <f>Graph_Ophtha!$B30</f>
        <v>24</v>
      </c>
      <c r="H1615" s="165">
        <f>Graph_Ophtha!$O30</f>
        <v>1585545.0024069429</v>
      </c>
      <c r="I1615" s="160">
        <f>InputData!$C$3</f>
        <v>0.02</v>
      </c>
      <c r="J1615" s="160">
        <f>InputData!$C$4</f>
        <v>0.01</v>
      </c>
      <c r="K1615" s="160">
        <f>InputData!$C$5</f>
        <v>0.01</v>
      </c>
      <c r="L1615" s="160">
        <f>InputData!$C$6</f>
        <v>6.2100000000000002E-2</v>
      </c>
      <c r="M1615" s="160">
        <f>InputData!$C$7</f>
        <v>0.03</v>
      </c>
      <c r="N1615" s="160">
        <f>InputData!$C$8</f>
        <v>0.02</v>
      </c>
      <c r="O1615" s="160">
        <f>InputData!$C$9</f>
        <v>0.06</v>
      </c>
      <c r="P1615" s="160">
        <f>InputData!$C$10</f>
        <v>0.02</v>
      </c>
      <c r="Q1615" s="160">
        <f>InputData!$C$11</f>
        <v>0.02</v>
      </c>
      <c r="R1615" s="160">
        <f>InputData!$C$12</f>
        <v>0.02</v>
      </c>
      <c r="S1615" s="160">
        <f>InputData!$C$13</f>
        <v>0.9</v>
      </c>
      <c r="T1615" s="116">
        <f>InputData!$C$88</f>
        <v>180000</v>
      </c>
      <c r="U1615" s="116">
        <f>InputData!$C$81</f>
        <v>178500</v>
      </c>
      <c r="V1615" s="116">
        <f>InputData!$C$82</f>
        <v>303960</v>
      </c>
      <c r="W1615" s="116">
        <f>InputData!$C$84</f>
        <v>215220</v>
      </c>
      <c r="X1615" s="116">
        <f>InputData!$C$85</f>
        <v>409020</v>
      </c>
      <c r="Y1615" s="116">
        <f>InputData!$C$116</f>
        <v>140000</v>
      </c>
      <c r="Z1615" s="160">
        <f>InputData!$E$13</f>
        <v>0</v>
      </c>
    </row>
    <row r="1616" spans="1:26" x14ac:dyDescent="0.25">
      <c r="A1616">
        <f>InputData!$K$1</f>
        <v>2013</v>
      </c>
      <c r="B1616" t="str">
        <f>InputData!$G$1</f>
        <v>San Antonio, TX</v>
      </c>
      <c r="C1616" t="s">
        <v>227</v>
      </c>
      <c r="D1616" t="str">
        <f>Graph_Ophtha!$O$6</f>
        <v>HPSPim</v>
      </c>
      <c r="E1616" t="str">
        <f t="shared" si="25"/>
        <v>Ophthalmology HPSPim</v>
      </c>
      <c r="F1616">
        <f>Graph_Ophtha!$A31</f>
        <v>2037</v>
      </c>
      <c r="G1616">
        <f>Graph_Ophtha!$B31</f>
        <v>25</v>
      </c>
      <c r="H1616" s="165">
        <f>Graph_Ophtha!$O31</f>
        <v>1659695.3412861112</v>
      </c>
      <c r="I1616" s="160">
        <f>InputData!$C$3</f>
        <v>0.02</v>
      </c>
      <c r="J1616" s="160">
        <f>InputData!$C$4</f>
        <v>0.01</v>
      </c>
      <c r="K1616" s="160">
        <f>InputData!$C$5</f>
        <v>0.01</v>
      </c>
      <c r="L1616" s="160">
        <f>InputData!$C$6</f>
        <v>6.2100000000000002E-2</v>
      </c>
      <c r="M1616" s="160">
        <f>InputData!$C$7</f>
        <v>0.03</v>
      </c>
      <c r="N1616" s="160">
        <f>InputData!$C$8</f>
        <v>0.02</v>
      </c>
      <c r="O1616" s="160">
        <f>InputData!$C$9</f>
        <v>0.06</v>
      </c>
      <c r="P1616" s="160">
        <f>InputData!$C$10</f>
        <v>0.02</v>
      </c>
      <c r="Q1616" s="160">
        <f>InputData!$C$11</f>
        <v>0.02</v>
      </c>
      <c r="R1616" s="160">
        <f>InputData!$C$12</f>
        <v>0.02</v>
      </c>
      <c r="S1616" s="160">
        <f>InputData!$C$13</f>
        <v>0.9</v>
      </c>
      <c r="T1616" s="116">
        <f>InputData!$C$88</f>
        <v>180000</v>
      </c>
      <c r="U1616" s="116">
        <f>InputData!$C$81</f>
        <v>178500</v>
      </c>
      <c r="V1616" s="116">
        <f>InputData!$C$82</f>
        <v>303960</v>
      </c>
      <c r="W1616" s="116">
        <f>InputData!$C$84</f>
        <v>215220</v>
      </c>
      <c r="X1616" s="116">
        <f>InputData!$C$85</f>
        <v>409020</v>
      </c>
      <c r="Y1616" s="116">
        <f>InputData!$C$116</f>
        <v>140000</v>
      </c>
      <c r="Z1616" s="160">
        <f>InputData!$E$13</f>
        <v>0</v>
      </c>
    </row>
    <row r="1617" spans="1:26" x14ac:dyDescent="0.25">
      <c r="A1617">
        <f>InputData!$K$1</f>
        <v>2013</v>
      </c>
      <c r="B1617" t="str">
        <f>InputData!$G$1</f>
        <v>San Antonio, TX</v>
      </c>
      <c r="C1617" t="s">
        <v>227</v>
      </c>
      <c r="D1617" t="str">
        <f>Graph_Ophtha!$O$6</f>
        <v>HPSPim</v>
      </c>
      <c r="E1617" t="str">
        <f t="shared" si="25"/>
        <v>Ophthalmology HPSPim</v>
      </c>
      <c r="F1617">
        <f>Graph_Ophtha!$A32</f>
        <v>2038</v>
      </c>
      <c r="G1617">
        <f>Graph_Ophtha!$B32</f>
        <v>26</v>
      </c>
      <c r="H1617" s="165">
        <f>Graph_Ophtha!$O32</f>
        <v>1732341.0281334235</v>
      </c>
      <c r="I1617" s="160">
        <f>InputData!$C$3</f>
        <v>0.02</v>
      </c>
      <c r="J1617" s="160">
        <f>InputData!$C$4</f>
        <v>0.01</v>
      </c>
      <c r="K1617" s="160">
        <f>InputData!$C$5</f>
        <v>0.01</v>
      </c>
      <c r="L1617" s="160">
        <f>InputData!$C$6</f>
        <v>6.2100000000000002E-2</v>
      </c>
      <c r="M1617" s="160">
        <f>InputData!$C$7</f>
        <v>0.03</v>
      </c>
      <c r="N1617" s="160">
        <f>InputData!$C$8</f>
        <v>0.02</v>
      </c>
      <c r="O1617" s="160">
        <f>InputData!$C$9</f>
        <v>0.06</v>
      </c>
      <c r="P1617" s="160">
        <f>InputData!$C$10</f>
        <v>0.02</v>
      </c>
      <c r="Q1617" s="160">
        <f>InputData!$C$11</f>
        <v>0.02</v>
      </c>
      <c r="R1617" s="160">
        <f>InputData!$C$12</f>
        <v>0.02</v>
      </c>
      <c r="S1617" s="160">
        <f>InputData!$C$13</f>
        <v>0.9</v>
      </c>
      <c r="T1617" s="116">
        <f>InputData!$C$88</f>
        <v>180000</v>
      </c>
      <c r="U1617" s="116">
        <f>InputData!$C$81</f>
        <v>178500</v>
      </c>
      <c r="V1617" s="116">
        <f>InputData!$C$82</f>
        <v>303960</v>
      </c>
      <c r="W1617" s="116">
        <f>InputData!$C$84</f>
        <v>215220</v>
      </c>
      <c r="X1617" s="116">
        <f>InputData!$C$85</f>
        <v>409020</v>
      </c>
      <c r="Y1617" s="116">
        <f>InputData!$C$116</f>
        <v>140000</v>
      </c>
      <c r="Z1617" s="160">
        <f>InputData!$E$13</f>
        <v>0</v>
      </c>
    </row>
    <row r="1618" spans="1:26" x14ac:dyDescent="0.25">
      <c r="A1618">
        <f>InputData!$K$1</f>
        <v>2013</v>
      </c>
      <c r="B1618" t="str">
        <f>InputData!$G$1</f>
        <v>San Antonio, TX</v>
      </c>
      <c r="C1618" t="s">
        <v>227</v>
      </c>
      <c r="D1618" t="str">
        <f>Graph_Ophtha!$O$6</f>
        <v>HPSPim</v>
      </c>
      <c r="E1618" t="str">
        <f t="shared" si="25"/>
        <v>Ophthalmology HPSPim</v>
      </c>
      <c r="F1618">
        <f>Graph_Ophtha!$A33</f>
        <v>2039</v>
      </c>
      <c r="G1618">
        <f>Graph_Ophtha!$B33</f>
        <v>27</v>
      </c>
      <c r="H1618" s="165">
        <f>Graph_Ophtha!$O33</f>
        <v>1803513.0433226696</v>
      </c>
      <c r="I1618" s="160">
        <f>InputData!$C$3</f>
        <v>0.02</v>
      </c>
      <c r="J1618" s="160">
        <f>InputData!$C$4</f>
        <v>0.01</v>
      </c>
      <c r="K1618" s="160">
        <f>InputData!$C$5</f>
        <v>0.01</v>
      </c>
      <c r="L1618" s="160">
        <f>InputData!$C$6</f>
        <v>6.2100000000000002E-2</v>
      </c>
      <c r="M1618" s="160">
        <f>InputData!$C$7</f>
        <v>0.03</v>
      </c>
      <c r="N1618" s="160">
        <f>InputData!$C$8</f>
        <v>0.02</v>
      </c>
      <c r="O1618" s="160">
        <f>InputData!$C$9</f>
        <v>0.06</v>
      </c>
      <c r="P1618" s="160">
        <f>InputData!$C$10</f>
        <v>0.02</v>
      </c>
      <c r="Q1618" s="160">
        <f>InputData!$C$11</f>
        <v>0.02</v>
      </c>
      <c r="R1618" s="160">
        <f>InputData!$C$12</f>
        <v>0.02</v>
      </c>
      <c r="S1618" s="160">
        <f>InputData!$C$13</f>
        <v>0.9</v>
      </c>
      <c r="T1618" s="116">
        <f>InputData!$C$88</f>
        <v>180000</v>
      </c>
      <c r="U1618" s="116">
        <f>InputData!$C$81</f>
        <v>178500</v>
      </c>
      <c r="V1618" s="116">
        <f>InputData!$C$82</f>
        <v>303960</v>
      </c>
      <c r="W1618" s="116">
        <f>InputData!$C$84</f>
        <v>215220</v>
      </c>
      <c r="X1618" s="116">
        <f>InputData!$C$85</f>
        <v>409020</v>
      </c>
      <c r="Y1618" s="116">
        <f>InputData!$C$116</f>
        <v>140000</v>
      </c>
      <c r="Z1618" s="160">
        <f>InputData!$E$13</f>
        <v>0</v>
      </c>
    </row>
    <row r="1619" spans="1:26" x14ac:dyDescent="0.25">
      <c r="A1619">
        <f>InputData!$K$1</f>
        <v>2013</v>
      </c>
      <c r="B1619" t="str">
        <f>InputData!$G$1</f>
        <v>San Antonio, TX</v>
      </c>
      <c r="C1619" t="s">
        <v>227</v>
      </c>
      <c r="D1619" t="str">
        <f>Graph_Ophtha!$O$6</f>
        <v>HPSPim</v>
      </c>
      <c r="E1619" t="str">
        <f t="shared" si="25"/>
        <v>Ophthalmology HPSPim</v>
      </c>
      <c r="F1619">
        <f>Graph_Ophtha!$A34</f>
        <v>2040</v>
      </c>
      <c r="G1619">
        <f>Graph_Ophtha!$B34</f>
        <v>28</v>
      </c>
      <c r="H1619" s="165">
        <f>Graph_Ophtha!$O34</f>
        <v>1873241.7167384722</v>
      </c>
      <c r="I1619" s="160">
        <f>InputData!$C$3</f>
        <v>0.02</v>
      </c>
      <c r="J1619" s="160">
        <f>InputData!$C$4</f>
        <v>0.01</v>
      </c>
      <c r="K1619" s="160">
        <f>InputData!$C$5</f>
        <v>0.01</v>
      </c>
      <c r="L1619" s="160">
        <f>InputData!$C$6</f>
        <v>6.2100000000000002E-2</v>
      </c>
      <c r="M1619" s="160">
        <f>InputData!$C$7</f>
        <v>0.03</v>
      </c>
      <c r="N1619" s="160">
        <f>InputData!$C$8</f>
        <v>0.02</v>
      </c>
      <c r="O1619" s="160">
        <f>InputData!$C$9</f>
        <v>0.06</v>
      </c>
      <c r="P1619" s="160">
        <f>InputData!$C$10</f>
        <v>0.02</v>
      </c>
      <c r="Q1619" s="160">
        <f>InputData!$C$11</f>
        <v>0.02</v>
      </c>
      <c r="R1619" s="160">
        <f>InputData!$C$12</f>
        <v>0.02</v>
      </c>
      <c r="S1619" s="160">
        <f>InputData!$C$13</f>
        <v>0.9</v>
      </c>
      <c r="T1619" s="116">
        <f>InputData!$C$88</f>
        <v>180000</v>
      </c>
      <c r="U1619" s="116">
        <f>InputData!$C$81</f>
        <v>178500</v>
      </c>
      <c r="V1619" s="116">
        <f>InputData!$C$82</f>
        <v>303960</v>
      </c>
      <c r="W1619" s="116">
        <f>InputData!$C$84</f>
        <v>215220</v>
      </c>
      <c r="X1619" s="116">
        <f>InputData!$C$85</f>
        <v>409020</v>
      </c>
      <c r="Y1619" s="116">
        <f>InputData!$C$116</f>
        <v>140000</v>
      </c>
      <c r="Z1619" s="160">
        <f>InputData!$E$13</f>
        <v>0</v>
      </c>
    </row>
    <row r="1620" spans="1:26" x14ac:dyDescent="0.25">
      <c r="A1620">
        <f>InputData!$K$1</f>
        <v>2013</v>
      </c>
      <c r="B1620" t="str">
        <f>InputData!$G$1</f>
        <v>San Antonio, TX</v>
      </c>
      <c r="C1620" s="8" t="s">
        <v>227</v>
      </c>
      <c r="D1620" s="8" t="str">
        <f>Graph_Ophtha!$O$6</f>
        <v>HPSPim</v>
      </c>
      <c r="E1620" s="8" t="str">
        <f t="shared" si="25"/>
        <v>Ophthalmology HPSPim</v>
      </c>
      <c r="F1620" s="8">
        <f>Graph_Ophtha!$A35</f>
        <v>2041</v>
      </c>
      <c r="G1620" s="8">
        <f>Graph_Ophtha!$B35</f>
        <v>29</v>
      </c>
      <c r="H1620" s="165">
        <f>Graph_Ophtha!$O35</f>
        <v>1941556.7417843023</v>
      </c>
      <c r="I1620" s="160">
        <f>InputData!$C$3</f>
        <v>0.02</v>
      </c>
      <c r="J1620" s="160">
        <f>InputData!$C$4</f>
        <v>0.01</v>
      </c>
      <c r="K1620" s="160">
        <f>InputData!$C$5</f>
        <v>0.01</v>
      </c>
      <c r="L1620" s="160">
        <f>InputData!$C$6</f>
        <v>6.2100000000000002E-2</v>
      </c>
      <c r="M1620" s="160">
        <f>InputData!$C$7</f>
        <v>0.03</v>
      </c>
      <c r="N1620" s="160">
        <f>InputData!$C$8</f>
        <v>0.02</v>
      </c>
      <c r="O1620" s="160">
        <f>InputData!$C$9</f>
        <v>0.06</v>
      </c>
      <c r="P1620" s="160">
        <f>InputData!$C$10</f>
        <v>0.02</v>
      </c>
      <c r="Q1620" s="160">
        <f>InputData!$C$11</f>
        <v>0.02</v>
      </c>
      <c r="R1620" s="160">
        <f>InputData!$C$12</f>
        <v>0.02</v>
      </c>
      <c r="S1620" s="160">
        <f>InputData!$C$13</f>
        <v>0.9</v>
      </c>
      <c r="T1620" s="116">
        <f>InputData!$C$88</f>
        <v>180000</v>
      </c>
      <c r="U1620" s="116">
        <f>InputData!$C$81</f>
        <v>178500</v>
      </c>
      <c r="V1620" s="116">
        <f>InputData!$C$82</f>
        <v>303960</v>
      </c>
      <c r="W1620" s="116">
        <f>InputData!$C$84</f>
        <v>215220</v>
      </c>
      <c r="X1620" s="116">
        <f>InputData!$C$85</f>
        <v>409020</v>
      </c>
      <c r="Y1620" s="116">
        <f>InputData!$C$116</f>
        <v>140000</v>
      </c>
      <c r="Z1620" s="160">
        <f>InputData!$E$13</f>
        <v>0</v>
      </c>
    </row>
    <row r="1621" spans="1:26" x14ac:dyDescent="0.25">
      <c r="A1621">
        <f>InputData!$K$1</f>
        <v>2013</v>
      </c>
      <c r="B1621" t="str">
        <f>InputData!$G$1</f>
        <v>San Antonio, TX</v>
      </c>
      <c r="C1621" s="11" t="s">
        <v>227</v>
      </c>
      <c r="D1621" s="11" t="str">
        <f>Graph_Ophtha!$O$6</f>
        <v>HPSPim</v>
      </c>
      <c r="E1621" s="11" t="str">
        <f t="shared" si="25"/>
        <v>Ophthalmology HPSPim</v>
      </c>
      <c r="F1621" s="11">
        <f>Graph_Ophtha!$A36</f>
        <v>2042</v>
      </c>
      <c r="G1621" s="11">
        <f>Graph_Ophtha!$B36</f>
        <v>30</v>
      </c>
      <c r="H1621" s="166">
        <f>Graph_Ophtha!$O36</f>
        <v>2008487.1890793233</v>
      </c>
      <c r="I1621" s="160">
        <f>InputData!$C$3</f>
        <v>0.02</v>
      </c>
      <c r="J1621" s="160">
        <f>InputData!$C$4</f>
        <v>0.01</v>
      </c>
      <c r="K1621" s="160">
        <f>InputData!$C$5</f>
        <v>0.01</v>
      </c>
      <c r="L1621" s="160">
        <f>InputData!$C$6</f>
        <v>6.2100000000000002E-2</v>
      </c>
      <c r="M1621" s="160">
        <f>InputData!$C$7</f>
        <v>0.03</v>
      </c>
      <c r="N1621" s="160">
        <f>InputData!$C$8</f>
        <v>0.02</v>
      </c>
      <c r="O1621" s="160">
        <f>InputData!$C$9</f>
        <v>0.06</v>
      </c>
      <c r="P1621" s="160">
        <f>InputData!$C$10</f>
        <v>0.02</v>
      </c>
      <c r="Q1621" s="160">
        <f>InputData!$C$11</f>
        <v>0.02</v>
      </c>
      <c r="R1621" s="160">
        <f>InputData!$C$12</f>
        <v>0.02</v>
      </c>
      <c r="S1621" s="160">
        <f>InputData!$C$13</f>
        <v>0.9</v>
      </c>
      <c r="T1621" s="116">
        <f>InputData!$C$88</f>
        <v>180000</v>
      </c>
      <c r="U1621" s="116">
        <f>InputData!$C$81</f>
        <v>178500</v>
      </c>
      <c r="V1621" s="116">
        <f>InputData!$C$82</f>
        <v>303960</v>
      </c>
      <c r="W1621" s="116">
        <f>InputData!$C$84</f>
        <v>215220</v>
      </c>
      <c r="X1621" s="116">
        <f>InputData!$C$85</f>
        <v>409020</v>
      </c>
      <c r="Y1621" s="116">
        <f>InputData!$C$116</f>
        <v>140000</v>
      </c>
      <c r="Z1621" s="160">
        <f>InputData!$E$13</f>
        <v>0</v>
      </c>
    </row>
    <row r="1622" spans="1:26" x14ac:dyDescent="0.25">
      <c r="A1622">
        <f>InputData!$K$1</f>
        <v>2013</v>
      </c>
      <c r="B1622" t="str">
        <f>InputData!$G$1</f>
        <v>San Antonio, TX</v>
      </c>
      <c r="C1622" t="s">
        <v>11</v>
      </c>
      <c r="D1622" t="str">
        <f>Graph_IntMed!$R$6</f>
        <v>SELF</v>
      </c>
      <c r="E1622" t="str">
        <f t="shared" si="25"/>
        <v>Internal Medicine SELF</v>
      </c>
      <c r="F1622">
        <f>Graph_IntMed!A7</f>
        <v>2013</v>
      </c>
      <c r="G1622">
        <f>Graph_IntMed!B7</f>
        <v>1</v>
      </c>
      <c r="H1622" s="165">
        <f>Graph_IntMed!R7</f>
        <v>0</v>
      </c>
      <c r="I1622" s="160">
        <f>InputData!$C$3</f>
        <v>0.02</v>
      </c>
      <c r="J1622" s="160">
        <f>InputData!$C$4</f>
        <v>0.01</v>
      </c>
      <c r="K1622" s="160">
        <f>InputData!$C$5</f>
        <v>0.01</v>
      </c>
      <c r="L1622" s="160">
        <f>InputData!$C$6</f>
        <v>6.2100000000000002E-2</v>
      </c>
      <c r="M1622" s="160">
        <f>InputData!$C$7</f>
        <v>0.03</v>
      </c>
      <c r="N1622" s="160">
        <f>InputData!$C$8</f>
        <v>0.02</v>
      </c>
      <c r="O1622" s="160">
        <f>InputData!$C$9</f>
        <v>0.06</v>
      </c>
      <c r="P1622" s="160">
        <f>InputData!$C$10</f>
        <v>0.02</v>
      </c>
      <c r="Q1622" s="160">
        <f>InputData!$C$11</f>
        <v>0.02</v>
      </c>
      <c r="R1622" s="160">
        <f>InputData!$C$12</f>
        <v>0.02</v>
      </c>
      <c r="S1622" s="160">
        <f>InputData!$C$13</f>
        <v>0.9</v>
      </c>
      <c r="T1622" s="116">
        <f>InputData!$C$88</f>
        <v>180000</v>
      </c>
      <c r="U1622" s="116">
        <f>InputData!$C$81</f>
        <v>178500</v>
      </c>
      <c r="V1622" s="116">
        <f>InputData!$C$82</f>
        <v>303960</v>
      </c>
      <c r="W1622" s="116">
        <f>InputData!$C$84</f>
        <v>215220</v>
      </c>
      <c r="X1622" s="116">
        <f>InputData!$C$85</f>
        <v>409020</v>
      </c>
      <c r="Y1622" s="116">
        <f>InputData!$C$116</f>
        <v>140000</v>
      </c>
      <c r="Z1622" s="160">
        <f>InputData!$E$13</f>
        <v>0</v>
      </c>
    </row>
    <row r="1623" spans="1:26" x14ac:dyDescent="0.25">
      <c r="A1623">
        <f>InputData!$K$1</f>
        <v>2013</v>
      </c>
      <c r="B1623" t="str">
        <f>InputData!$G$1</f>
        <v>San Antonio, TX</v>
      </c>
      <c r="C1623" t="s">
        <v>11</v>
      </c>
      <c r="D1623" t="str">
        <f>Graph_IntMed!$R$6</f>
        <v>SELF</v>
      </c>
      <c r="E1623" t="str">
        <f t="shared" ref="E1623:E1686" si="26">C1623 &amp; " " &amp; D1623</f>
        <v>Internal Medicine SELF</v>
      </c>
      <c r="F1623">
        <f>Graph_IntMed!A8</f>
        <v>2014</v>
      </c>
      <c r="G1623">
        <f>Graph_IntMed!B8</f>
        <v>2</v>
      </c>
      <c r="H1623" s="165">
        <f>Graph_IntMed!R8</f>
        <v>0</v>
      </c>
      <c r="I1623" s="160">
        <f>InputData!$C$3</f>
        <v>0.02</v>
      </c>
      <c r="J1623" s="160">
        <f>InputData!$C$4</f>
        <v>0.01</v>
      </c>
      <c r="K1623" s="160">
        <f>InputData!$C$5</f>
        <v>0.01</v>
      </c>
      <c r="L1623" s="160">
        <f>InputData!$C$6</f>
        <v>6.2100000000000002E-2</v>
      </c>
      <c r="M1623" s="160">
        <f>InputData!$C$7</f>
        <v>0.03</v>
      </c>
      <c r="N1623" s="160">
        <f>InputData!$C$8</f>
        <v>0.02</v>
      </c>
      <c r="O1623" s="160">
        <f>InputData!$C$9</f>
        <v>0.06</v>
      </c>
      <c r="P1623" s="160">
        <f>InputData!$C$10</f>
        <v>0.02</v>
      </c>
      <c r="Q1623" s="160">
        <f>InputData!$C$11</f>
        <v>0.02</v>
      </c>
      <c r="R1623" s="160">
        <f>InputData!$C$12</f>
        <v>0.02</v>
      </c>
      <c r="S1623" s="160">
        <f>InputData!$C$13</f>
        <v>0.9</v>
      </c>
      <c r="T1623" s="116">
        <f>InputData!$C$88</f>
        <v>180000</v>
      </c>
      <c r="U1623" s="116">
        <f>InputData!$C$81</f>
        <v>178500</v>
      </c>
      <c r="V1623" s="116">
        <f>InputData!$C$82</f>
        <v>303960</v>
      </c>
      <c r="W1623" s="116">
        <f>InputData!$C$84</f>
        <v>215220</v>
      </c>
      <c r="X1623" s="116">
        <f>InputData!$C$85</f>
        <v>409020</v>
      </c>
      <c r="Y1623" s="116">
        <f>InputData!$C$116</f>
        <v>140000</v>
      </c>
      <c r="Z1623" s="160">
        <f>InputData!$E$13</f>
        <v>0</v>
      </c>
    </row>
    <row r="1624" spans="1:26" x14ac:dyDescent="0.25">
      <c r="A1624">
        <f>InputData!$K$1</f>
        <v>2013</v>
      </c>
      <c r="B1624" t="str">
        <f>InputData!$G$1</f>
        <v>San Antonio, TX</v>
      </c>
      <c r="C1624" t="s">
        <v>11</v>
      </c>
      <c r="D1624" t="str">
        <f>Graph_IntMed!$R$6</f>
        <v>SELF</v>
      </c>
      <c r="E1624" t="str">
        <f t="shared" si="26"/>
        <v>Internal Medicine SELF</v>
      </c>
      <c r="F1624">
        <f>Graph_IntMed!A9</f>
        <v>2015</v>
      </c>
      <c r="G1624">
        <f>Graph_IntMed!B9</f>
        <v>3</v>
      </c>
      <c r="H1624" s="165">
        <f>Graph_IntMed!R9</f>
        <v>0</v>
      </c>
      <c r="I1624" s="160">
        <f>InputData!$C$3</f>
        <v>0.02</v>
      </c>
      <c r="J1624" s="160">
        <f>InputData!$C$4</f>
        <v>0.01</v>
      </c>
      <c r="K1624" s="160">
        <f>InputData!$C$5</f>
        <v>0.01</v>
      </c>
      <c r="L1624" s="160">
        <f>InputData!$C$6</f>
        <v>6.2100000000000002E-2</v>
      </c>
      <c r="M1624" s="160">
        <f>InputData!$C$7</f>
        <v>0.03</v>
      </c>
      <c r="N1624" s="160">
        <f>InputData!$C$8</f>
        <v>0.02</v>
      </c>
      <c r="O1624" s="160">
        <f>InputData!$C$9</f>
        <v>0.06</v>
      </c>
      <c r="P1624" s="160">
        <f>InputData!$C$10</f>
        <v>0.02</v>
      </c>
      <c r="Q1624" s="160">
        <f>InputData!$C$11</f>
        <v>0.02</v>
      </c>
      <c r="R1624" s="160">
        <f>InputData!$C$12</f>
        <v>0.02</v>
      </c>
      <c r="S1624" s="160">
        <f>InputData!$C$13</f>
        <v>0.9</v>
      </c>
      <c r="T1624" s="116">
        <f>InputData!$C$88</f>
        <v>180000</v>
      </c>
      <c r="U1624" s="116">
        <f>InputData!$C$81</f>
        <v>178500</v>
      </c>
      <c r="V1624" s="116">
        <f>InputData!$C$82</f>
        <v>303960</v>
      </c>
      <c r="W1624" s="116">
        <f>InputData!$C$84</f>
        <v>215220</v>
      </c>
      <c r="X1624" s="116">
        <f>InputData!$C$85</f>
        <v>409020</v>
      </c>
      <c r="Y1624" s="116">
        <f>InputData!$C$116</f>
        <v>140000</v>
      </c>
      <c r="Z1624" s="160">
        <f>InputData!$E$13</f>
        <v>0</v>
      </c>
    </row>
    <row r="1625" spans="1:26" x14ac:dyDescent="0.25">
      <c r="A1625">
        <f>InputData!$K$1</f>
        <v>2013</v>
      </c>
      <c r="B1625" t="str">
        <f>InputData!$G$1</f>
        <v>San Antonio, TX</v>
      </c>
      <c r="C1625" t="s">
        <v>11</v>
      </c>
      <c r="D1625" t="str">
        <f>Graph_IntMed!$R$6</f>
        <v>SELF</v>
      </c>
      <c r="E1625" t="str">
        <f t="shared" si="26"/>
        <v>Internal Medicine SELF</v>
      </c>
      <c r="F1625">
        <f>Graph_IntMed!A10</f>
        <v>2016</v>
      </c>
      <c r="G1625">
        <f>Graph_IntMed!B10</f>
        <v>4</v>
      </c>
      <c r="H1625" s="165">
        <f>Graph_IntMed!R10</f>
        <v>0</v>
      </c>
      <c r="I1625" s="160">
        <f>InputData!$C$3</f>
        <v>0.02</v>
      </c>
      <c r="J1625" s="160">
        <f>InputData!$C$4</f>
        <v>0.01</v>
      </c>
      <c r="K1625" s="160">
        <f>InputData!$C$5</f>
        <v>0.01</v>
      </c>
      <c r="L1625" s="160">
        <f>InputData!$C$6</f>
        <v>6.2100000000000002E-2</v>
      </c>
      <c r="M1625" s="160">
        <f>InputData!$C$7</f>
        <v>0.03</v>
      </c>
      <c r="N1625" s="160">
        <f>InputData!$C$8</f>
        <v>0.02</v>
      </c>
      <c r="O1625" s="160">
        <f>InputData!$C$9</f>
        <v>0.06</v>
      </c>
      <c r="P1625" s="160">
        <f>InputData!$C$10</f>
        <v>0.02</v>
      </c>
      <c r="Q1625" s="160">
        <f>InputData!$C$11</f>
        <v>0.02</v>
      </c>
      <c r="R1625" s="160">
        <f>InputData!$C$12</f>
        <v>0.02</v>
      </c>
      <c r="S1625" s="160">
        <f>InputData!$C$13</f>
        <v>0.9</v>
      </c>
      <c r="T1625" s="116">
        <f>InputData!$C$88</f>
        <v>180000</v>
      </c>
      <c r="U1625" s="116">
        <f>InputData!$C$81</f>
        <v>178500</v>
      </c>
      <c r="V1625" s="116">
        <f>InputData!$C$82</f>
        <v>303960</v>
      </c>
      <c r="W1625" s="116">
        <f>InputData!$C$84</f>
        <v>215220</v>
      </c>
      <c r="X1625" s="116">
        <f>InputData!$C$85</f>
        <v>409020</v>
      </c>
      <c r="Y1625" s="116">
        <f>InputData!$C$116</f>
        <v>140000</v>
      </c>
      <c r="Z1625" s="160">
        <f>InputData!$E$13</f>
        <v>0</v>
      </c>
    </row>
    <row r="1626" spans="1:26" x14ac:dyDescent="0.25">
      <c r="A1626">
        <f>InputData!$K$1</f>
        <v>2013</v>
      </c>
      <c r="B1626" t="str">
        <f>InputData!$G$1</f>
        <v>San Antonio, TX</v>
      </c>
      <c r="C1626" t="s">
        <v>11</v>
      </c>
      <c r="D1626" t="str">
        <f>Graph_IntMed!$R$6</f>
        <v>SELF</v>
      </c>
      <c r="E1626" t="str">
        <f t="shared" si="26"/>
        <v>Internal Medicine SELF</v>
      </c>
      <c r="F1626">
        <f>Graph_IntMed!A11</f>
        <v>2017</v>
      </c>
      <c r="G1626">
        <f>Graph_IntMed!B11</f>
        <v>5</v>
      </c>
      <c r="H1626" s="165">
        <f>Graph_IntMed!R11</f>
        <v>35886.328601905836</v>
      </c>
      <c r="I1626" s="160">
        <f>InputData!$C$3</f>
        <v>0.02</v>
      </c>
      <c r="J1626" s="160">
        <f>InputData!$C$4</f>
        <v>0.01</v>
      </c>
      <c r="K1626" s="160">
        <f>InputData!$C$5</f>
        <v>0.01</v>
      </c>
      <c r="L1626" s="160">
        <f>InputData!$C$6</f>
        <v>6.2100000000000002E-2</v>
      </c>
      <c r="M1626" s="160">
        <f>InputData!$C$7</f>
        <v>0.03</v>
      </c>
      <c r="N1626" s="160">
        <f>InputData!$C$8</f>
        <v>0.02</v>
      </c>
      <c r="O1626" s="160">
        <f>InputData!$C$9</f>
        <v>0.06</v>
      </c>
      <c r="P1626" s="160">
        <f>InputData!$C$10</f>
        <v>0.02</v>
      </c>
      <c r="Q1626" s="160">
        <f>InputData!$C$11</f>
        <v>0.02</v>
      </c>
      <c r="R1626" s="160">
        <f>InputData!$C$12</f>
        <v>0.02</v>
      </c>
      <c r="S1626" s="160">
        <f>InputData!$C$13</f>
        <v>0.9</v>
      </c>
      <c r="T1626" s="116">
        <f>InputData!$C$88</f>
        <v>180000</v>
      </c>
      <c r="U1626" s="116">
        <f>InputData!$C$81</f>
        <v>178500</v>
      </c>
      <c r="V1626" s="116">
        <f>InputData!$C$82</f>
        <v>303960</v>
      </c>
      <c r="W1626" s="116">
        <f>InputData!$C$84</f>
        <v>215220</v>
      </c>
      <c r="X1626" s="116">
        <f>InputData!$C$85</f>
        <v>409020</v>
      </c>
      <c r="Y1626" s="116">
        <f>InputData!$C$116</f>
        <v>140000</v>
      </c>
      <c r="Z1626" s="160">
        <f>InputData!$E$13</f>
        <v>0</v>
      </c>
    </row>
    <row r="1627" spans="1:26" x14ac:dyDescent="0.25">
      <c r="A1627">
        <f>InputData!$K$1</f>
        <v>2013</v>
      </c>
      <c r="B1627" t="str">
        <f>InputData!$G$1</f>
        <v>San Antonio, TX</v>
      </c>
      <c r="C1627" t="s">
        <v>11</v>
      </c>
      <c r="D1627" t="str">
        <f>Graph_IntMed!$R$6</f>
        <v>SELF</v>
      </c>
      <c r="E1627" t="str">
        <f t="shared" si="26"/>
        <v>Internal Medicine SELF</v>
      </c>
      <c r="F1627">
        <f>Graph_IntMed!A12</f>
        <v>2018</v>
      </c>
      <c r="G1627">
        <f>Graph_IntMed!B12</f>
        <v>6</v>
      </c>
      <c r="H1627" s="165">
        <f>Graph_IntMed!R12</f>
        <v>71871.450910563319</v>
      </c>
      <c r="I1627" s="160">
        <f>InputData!$C$3</f>
        <v>0.02</v>
      </c>
      <c r="J1627" s="160">
        <f>InputData!$C$4</f>
        <v>0.01</v>
      </c>
      <c r="K1627" s="160">
        <f>InputData!$C$5</f>
        <v>0.01</v>
      </c>
      <c r="L1627" s="160">
        <f>InputData!$C$6</f>
        <v>6.2100000000000002E-2</v>
      </c>
      <c r="M1627" s="160">
        <f>InputData!$C$7</f>
        <v>0.03</v>
      </c>
      <c r="N1627" s="160">
        <f>InputData!$C$8</f>
        <v>0.02</v>
      </c>
      <c r="O1627" s="160">
        <f>InputData!$C$9</f>
        <v>0.06</v>
      </c>
      <c r="P1627" s="160">
        <f>InputData!$C$10</f>
        <v>0.02</v>
      </c>
      <c r="Q1627" s="160">
        <f>InputData!$C$11</f>
        <v>0.02</v>
      </c>
      <c r="R1627" s="160">
        <f>InputData!$C$12</f>
        <v>0.02</v>
      </c>
      <c r="S1627" s="160">
        <f>InputData!$C$13</f>
        <v>0.9</v>
      </c>
      <c r="T1627" s="116">
        <f>InputData!$C$88</f>
        <v>180000</v>
      </c>
      <c r="U1627" s="116">
        <f>InputData!$C$81</f>
        <v>178500</v>
      </c>
      <c r="V1627" s="116">
        <f>InputData!$C$82</f>
        <v>303960</v>
      </c>
      <c r="W1627" s="116">
        <f>InputData!$C$84</f>
        <v>215220</v>
      </c>
      <c r="X1627" s="116">
        <f>InputData!$C$85</f>
        <v>409020</v>
      </c>
      <c r="Y1627" s="116">
        <f>InputData!$C$116</f>
        <v>140000</v>
      </c>
      <c r="Z1627" s="160">
        <f>InputData!$E$13</f>
        <v>0</v>
      </c>
    </row>
    <row r="1628" spans="1:26" x14ac:dyDescent="0.25">
      <c r="A1628">
        <f>InputData!$K$1</f>
        <v>2013</v>
      </c>
      <c r="B1628" t="str">
        <f>InputData!$G$1</f>
        <v>San Antonio, TX</v>
      </c>
      <c r="C1628" t="s">
        <v>11</v>
      </c>
      <c r="D1628" t="str">
        <f>Graph_IntMed!$R$6</f>
        <v>SELF</v>
      </c>
      <c r="E1628" t="str">
        <f t="shared" si="26"/>
        <v>Internal Medicine SELF</v>
      </c>
      <c r="F1628">
        <f>Graph_IntMed!A13</f>
        <v>2019</v>
      </c>
      <c r="G1628">
        <f>Graph_IntMed!B13</f>
        <v>7</v>
      </c>
      <c r="H1628" s="165">
        <f>Graph_IntMed!R13</f>
        <v>107962.72535202681</v>
      </c>
      <c r="I1628" s="160">
        <f>InputData!$C$3</f>
        <v>0.02</v>
      </c>
      <c r="J1628" s="160">
        <f>InputData!$C$4</f>
        <v>0.01</v>
      </c>
      <c r="K1628" s="160">
        <f>InputData!$C$5</f>
        <v>0.01</v>
      </c>
      <c r="L1628" s="160">
        <f>InputData!$C$6</f>
        <v>6.2100000000000002E-2</v>
      </c>
      <c r="M1628" s="160">
        <f>InputData!$C$7</f>
        <v>0.03</v>
      </c>
      <c r="N1628" s="160">
        <f>InputData!$C$8</f>
        <v>0.02</v>
      </c>
      <c r="O1628" s="160">
        <f>InputData!$C$9</f>
        <v>0.06</v>
      </c>
      <c r="P1628" s="160">
        <f>InputData!$C$10</f>
        <v>0.02</v>
      </c>
      <c r="Q1628" s="160">
        <f>InputData!$C$11</f>
        <v>0.02</v>
      </c>
      <c r="R1628" s="160">
        <f>InputData!$C$12</f>
        <v>0.02</v>
      </c>
      <c r="S1628" s="160">
        <f>InputData!$C$13</f>
        <v>0.9</v>
      </c>
      <c r="T1628" s="116">
        <f>InputData!$C$88</f>
        <v>180000</v>
      </c>
      <c r="U1628" s="116">
        <f>InputData!$C$81</f>
        <v>178500</v>
      </c>
      <c r="V1628" s="116">
        <f>InputData!$C$82</f>
        <v>303960</v>
      </c>
      <c r="W1628" s="116">
        <f>InputData!$C$84</f>
        <v>215220</v>
      </c>
      <c r="X1628" s="116">
        <f>InputData!$C$85</f>
        <v>409020</v>
      </c>
      <c r="Y1628" s="116">
        <f>InputData!$C$116</f>
        <v>140000</v>
      </c>
      <c r="Z1628" s="160">
        <f>InputData!$E$13</f>
        <v>0</v>
      </c>
    </row>
    <row r="1629" spans="1:26" x14ac:dyDescent="0.25">
      <c r="A1629">
        <f>InputData!$K$1</f>
        <v>2013</v>
      </c>
      <c r="B1629" t="str">
        <f>InputData!$G$1</f>
        <v>San Antonio, TX</v>
      </c>
      <c r="C1629" t="s">
        <v>11</v>
      </c>
      <c r="D1629" t="str">
        <f>Graph_IntMed!$R$6</f>
        <v>SELF</v>
      </c>
      <c r="E1629" t="str">
        <f t="shared" si="26"/>
        <v>Internal Medicine SELF</v>
      </c>
      <c r="F1629">
        <f>Graph_IntMed!A14</f>
        <v>2020</v>
      </c>
      <c r="G1629">
        <f>Graph_IntMed!B14</f>
        <v>8</v>
      </c>
      <c r="H1629" s="165">
        <f>Graph_IntMed!R14</f>
        <v>211466.91678065286</v>
      </c>
      <c r="I1629" s="160">
        <f>InputData!$C$3</f>
        <v>0.02</v>
      </c>
      <c r="J1629" s="160">
        <f>InputData!$C$4</f>
        <v>0.01</v>
      </c>
      <c r="K1629" s="160">
        <f>InputData!$C$5</f>
        <v>0.01</v>
      </c>
      <c r="L1629" s="160">
        <f>InputData!$C$6</f>
        <v>6.2100000000000002E-2</v>
      </c>
      <c r="M1629" s="160">
        <f>InputData!$C$7</f>
        <v>0.03</v>
      </c>
      <c r="N1629" s="160">
        <f>InputData!$C$8</f>
        <v>0.02</v>
      </c>
      <c r="O1629" s="160">
        <f>InputData!$C$9</f>
        <v>0.06</v>
      </c>
      <c r="P1629" s="160">
        <f>InputData!$C$10</f>
        <v>0.02</v>
      </c>
      <c r="Q1629" s="160">
        <f>InputData!$C$11</f>
        <v>0.02</v>
      </c>
      <c r="R1629" s="160">
        <f>InputData!$C$12</f>
        <v>0.02</v>
      </c>
      <c r="S1629" s="160">
        <f>InputData!$C$13</f>
        <v>0.9</v>
      </c>
      <c r="T1629" s="116">
        <f>InputData!$C$88</f>
        <v>180000</v>
      </c>
      <c r="U1629" s="116">
        <f>InputData!$C$81</f>
        <v>178500</v>
      </c>
      <c r="V1629" s="116">
        <f>InputData!$C$82</f>
        <v>303960</v>
      </c>
      <c r="W1629" s="116">
        <f>InputData!$C$84</f>
        <v>215220</v>
      </c>
      <c r="X1629" s="116">
        <f>InputData!$C$85</f>
        <v>409020</v>
      </c>
      <c r="Y1629" s="116">
        <f>InputData!$C$116</f>
        <v>140000</v>
      </c>
      <c r="Z1629" s="160">
        <f>InputData!$E$13</f>
        <v>0</v>
      </c>
    </row>
    <row r="1630" spans="1:26" x14ac:dyDescent="0.25">
      <c r="A1630">
        <f>InputData!$K$1</f>
        <v>2013</v>
      </c>
      <c r="B1630" t="str">
        <f>InputData!$G$1</f>
        <v>San Antonio, TX</v>
      </c>
      <c r="C1630" t="s">
        <v>11</v>
      </c>
      <c r="D1630" t="str">
        <f>Graph_IntMed!$R$6</f>
        <v>SELF</v>
      </c>
      <c r="E1630" t="str">
        <f t="shared" si="26"/>
        <v>Internal Medicine SELF</v>
      </c>
      <c r="F1630">
        <f>Graph_IntMed!A15</f>
        <v>2021</v>
      </c>
      <c r="G1630">
        <f>Graph_IntMed!B15</f>
        <v>9</v>
      </c>
      <c r="H1630" s="165">
        <f>Graph_IntMed!R15</f>
        <v>312931.04739795218</v>
      </c>
      <c r="I1630" s="160">
        <f>InputData!$C$3</f>
        <v>0.02</v>
      </c>
      <c r="J1630" s="160">
        <f>InputData!$C$4</f>
        <v>0.01</v>
      </c>
      <c r="K1630" s="160">
        <f>InputData!$C$5</f>
        <v>0.01</v>
      </c>
      <c r="L1630" s="160">
        <f>InputData!$C$6</f>
        <v>6.2100000000000002E-2</v>
      </c>
      <c r="M1630" s="160">
        <f>InputData!$C$7</f>
        <v>0.03</v>
      </c>
      <c r="N1630" s="160">
        <f>InputData!$C$8</f>
        <v>0.02</v>
      </c>
      <c r="O1630" s="160">
        <f>InputData!$C$9</f>
        <v>0.06</v>
      </c>
      <c r="P1630" s="160">
        <f>InputData!$C$10</f>
        <v>0.02</v>
      </c>
      <c r="Q1630" s="160">
        <f>InputData!$C$11</f>
        <v>0.02</v>
      </c>
      <c r="R1630" s="160">
        <f>InputData!$C$12</f>
        <v>0.02</v>
      </c>
      <c r="S1630" s="160">
        <f>InputData!$C$13</f>
        <v>0.9</v>
      </c>
      <c r="T1630" s="116">
        <f>InputData!$C$88</f>
        <v>180000</v>
      </c>
      <c r="U1630" s="116">
        <f>InputData!$C$81</f>
        <v>178500</v>
      </c>
      <c r="V1630" s="116">
        <f>InputData!$C$82</f>
        <v>303960</v>
      </c>
      <c r="W1630" s="116">
        <f>InputData!$C$84</f>
        <v>215220</v>
      </c>
      <c r="X1630" s="116">
        <f>InputData!$C$85</f>
        <v>409020</v>
      </c>
      <c r="Y1630" s="116">
        <f>InputData!$C$116</f>
        <v>140000</v>
      </c>
      <c r="Z1630" s="160">
        <f>InputData!$E$13</f>
        <v>0</v>
      </c>
    </row>
    <row r="1631" spans="1:26" x14ac:dyDescent="0.25">
      <c r="A1631">
        <f>InputData!$K$1</f>
        <v>2013</v>
      </c>
      <c r="B1631" t="str">
        <f>InputData!$G$1</f>
        <v>San Antonio, TX</v>
      </c>
      <c r="C1631" t="s">
        <v>11</v>
      </c>
      <c r="D1631" t="str">
        <f>Graph_IntMed!$R$6</f>
        <v>SELF</v>
      </c>
      <c r="E1631" t="str">
        <f t="shared" si="26"/>
        <v>Internal Medicine SELF</v>
      </c>
      <c r="F1631">
        <f>Graph_IntMed!A16</f>
        <v>2022</v>
      </c>
      <c r="G1631">
        <f>Graph_IntMed!B16</f>
        <v>10</v>
      </c>
      <c r="H1631" s="165">
        <f>Graph_IntMed!R16</f>
        <v>412395.426168976</v>
      </c>
      <c r="I1631" s="160">
        <f>InputData!$C$3</f>
        <v>0.02</v>
      </c>
      <c r="J1631" s="160">
        <f>InputData!$C$4</f>
        <v>0.01</v>
      </c>
      <c r="K1631" s="160">
        <f>InputData!$C$5</f>
        <v>0.01</v>
      </c>
      <c r="L1631" s="160">
        <f>InputData!$C$6</f>
        <v>6.2100000000000002E-2</v>
      </c>
      <c r="M1631" s="160">
        <f>InputData!$C$7</f>
        <v>0.03</v>
      </c>
      <c r="N1631" s="160">
        <f>InputData!$C$8</f>
        <v>0.02</v>
      </c>
      <c r="O1631" s="160">
        <f>InputData!$C$9</f>
        <v>0.06</v>
      </c>
      <c r="P1631" s="160">
        <f>InputData!$C$10</f>
        <v>0.02</v>
      </c>
      <c r="Q1631" s="160">
        <f>InputData!$C$11</f>
        <v>0.02</v>
      </c>
      <c r="R1631" s="160">
        <f>InputData!$C$12</f>
        <v>0.02</v>
      </c>
      <c r="S1631" s="160">
        <f>InputData!$C$13</f>
        <v>0.9</v>
      </c>
      <c r="T1631" s="116">
        <f>InputData!$C$88</f>
        <v>180000</v>
      </c>
      <c r="U1631" s="116">
        <f>InputData!$C$81</f>
        <v>178500</v>
      </c>
      <c r="V1631" s="116">
        <f>InputData!$C$82</f>
        <v>303960</v>
      </c>
      <c r="W1631" s="116">
        <f>InputData!$C$84</f>
        <v>215220</v>
      </c>
      <c r="X1631" s="116">
        <f>InputData!$C$85</f>
        <v>409020</v>
      </c>
      <c r="Y1631" s="116">
        <f>InputData!$C$116</f>
        <v>140000</v>
      </c>
      <c r="Z1631" s="160">
        <f>InputData!$E$13</f>
        <v>0</v>
      </c>
    </row>
    <row r="1632" spans="1:26" x14ac:dyDescent="0.25">
      <c r="A1632">
        <f>InputData!$K$1</f>
        <v>2013</v>
      </c>
      <c r="B1632" t="str">
        <f>InputData!$G$1</f>
        <v>San Antonio, TX</v>
      </c>
      <c r="C1632" t="s">
        <v>11</v>
      </c>
      <c r="D1632" t="str">
        <f>Graph_IntMed!$R$6</f>
        <v>SELF</v>
      </c>
      <c r="E1632" t="str">
        <f t="shared" si="26"/>
        <v>Internal Medicine SELF</v>
      </c>
      <c r="F1632">
        <f>Graph_IntMed!A17</f>
        <v>2023</v>
      </c>
      <c r="G1632">
        <f>Graph_IntMed!B17</f>
        <v>11</v>
      </c>
      <c r="H1632" s="165">
        <f>Graph_IntMed!R17</f>
        <v>509899.56272265909</v>
      </c>
      <c r="I1632" s="160">
        <f>InputData!$C$3</f>
        <v>0.02</v>
      </c>
      <c r="J1632" s="160">
        <f>InputData!$C$4</f>
        <v>0.01</v>
      </c>
      <c r="K1632" s="160">
        <f>InputData!$C$5</f>
        <v>0.01</v>
      </c>
      <c r="L1632" s="160">
        <f>InputData!$C$6</f>
        <v>6.2100000000000002E-2</v>
      </c>
      <c r="M1632" s="160">
        <f>InputData!$C$7</f>
        <v>0.03</v>
      </c>
      <c r="N1632" s="160">
        <f>InputData!$C$8</f>
        <v>0.02</v>
      </c>
      <c r="O1632" s="160">
        <f>InputData!$C$9</f>
        <v>0.06</v>
      </c>
      <c r="P1632" s="160">
        <f>InputData!$C$10</f>
        <v>0.02</v>
      </c>
      <c r="Q1632" s="160">
        <f>InputData!$C$11</f>
        <v>0.02</v>
      </c>
      <c r="R1632" s="160">
        <f>InputData!$C$12</f>
        <v>0.02</v>
      </c>
      <c r="S1632" s="160">
        <f>InputData!$C$13</f>
        <v>0.9</v>
      </c>
      <c r="T1632" s="116">
        <f>InputData!$C$88</f>
        <v>180000</v>
      </c>
      <c r="U1632" s="116">
        <f>InputData!$C$81</f>
        <v>178500</v>
      </c>
      <c r="V1632" s="116">
        <f>InputData!$C$82</f>
        <v>303960</v>
      </c>
      <c r="W1632" s="116">
        <f>InputData!$C$84</f>
        <v>215220</v>
      </c>
      <c r="X1632" s="116">
        <f>InputData!$C$85</f>
        <v>409020</v>
      </c>
      <c r="Y1632" s="116">
        <f>InputData!$C$116</f>
        <v>140000</v>
      </c>
      <c r="Z1632" s="160">
        <f>InputData!$E$13</f>
        <v>0</v>
      </c>
    </row>
    <row r="1633" spans="1:26" x14ac:dyDescent="0.25">
      <c r="A1633">
        <f>InputData!$K$1</f>
        <v>2013</v>
      </c>
      <c r="B1633" t="str">
        <f>InputData!$G$1</f>
        <v>San Antonio, TX</v>
      </c>
      <c r="C1633" t="s">
        <v>11</v>
      </c>
      <c r="D1633" t="str">
        <f>Graph_IntMed!$R$6</f>
        <v>SELF</v>
      </c>
      <c r="E1633" t="str">
        <f t="shared" si="26"/>
        <v>Internal Medicine SELF</v>
      </c>
      <c r="F1633">
        <f>Graph_IntMed!A18</f>
        <v>2024</v>
      </c>
      <c r="G1633">
        <f>Graph_IntMed!B18</f>
        <v>12</v>
      </c>
      <c r="H1633" s="165">
        <f>Graph_IntMed!R18</f>
        <v>605482.18328617187</v>
      </c>
      <c r="I1633" s="160">
        <f>InputData!$C$3</f>
        <v>0.02</v>
      </c>
      <c r="J1633" s="160">
        <f>InputData!$C$4</f>
        <v>0.01</v>
      </c>
      <c r="K1633" s="160">
        <f>InputData!$C$5</f>
        <v>0.01</v>
      </c>
      <c r="L1633" s="160">
        <f>InputData!$C$6</f>
        <v>6.2100000000000002E-2</v>
      </c>
      <c r="M1633" s="160">
        <f>InputData!$C$7</f>
        <v>0.03</v>
      </c>
      <c r="N1633" s="160">
        <f>InputData!$C$8</f>
        <v>0.02</v>
      </c>
      <c r="O1633" s="160">
        <f>InputData!$C$9</f>
        <v>0.06</v>
      </c>
      <c r="P1633" s="160">
        <f>InputData!$C$10</f>
        <v>0.02</v>
      </c>
      <c r="Q1633" s="160">
        <f>InputData!$C$11</f>
        <v>0.02</v>
      </c>
      <c r="R1633" s="160">
        <f>InputData!$C$12</f>
        <v>0.02</v>
      </c>
      <c r="S1633" s="160">
        <f>InputData!$C$13</f>
        <v>0.9</v>
      </c>
      <c r="T1633" s="116">
        <f>InputData!$C$88</f>
        <v>180000</v>
      </c>
      <c r="U1633" s="116">
        <f>InputData!$C$81</f>
        <v>178500</v>
      </c>
      <c r="V1633" s="116">
        <f>InputData!$C$82</f>
        <v>303960</v>
      </c>
      <c r="W1633" s="116">
        <f>InputData!$C$84</f>
        <v>215220</v>
      </c>
      <c r="X1633" s="116">
        <f>InputData!$C$85</f>
        <v>409020</v>
      </c>
      <c r="Y1633" s="116">
        <f>InputData!$C$116</f>
        <v>140000</v>
      </c>
      <c r="Z1633" s="160">
        <f>InputData!$E$13</f>
        <v>0</v>
      </c>
    </row>
    <row r="1634" spans="1:26" x14ac:dyDescent="0.25">
      <c r="A1634">
        <f>InputData!$K$1</f>
        <v>2013</v>
      </c>
      <c r="B1634" t="str">
        <f>InputData!$G$1</f>
        <v>San Antonio, TX</v>
      </c>
      <c r="C1634" t="s">
        <v>11</v>
      </c>
      <c r="D1634" t="str">
        <f>Graph_IntMed!$R$6</f>
        <v>SELF</v>
      </c>
      <c r="E1634" t="str">
        <f t="shared" si="26"/>
        <v>Internal Medicine SELF</v>
      </c>
      <c r="F1634">
        <f>Graph_IntMed!A19</f>
        <v>2025</v>
      </c>
      <c r="G1634">
        <f>Graph_IntMed!B19</f>
        <v>13</v>
      </c>
      <c r="H1634" s="165">
        <f>Graph_IntMed!R19</f>
        <v>699181.24629922933</v>
      </c>
      <c r="I1634" s="160">
        <f>InputData!$C$3</f>
        <v>0.02</v>
      </c>
      <c r="J1634" s="160">
        <f>InputData!$C$4</f>
        <v>0.01</v>
      </c>
      <c r="K1634" s="160">
        <f>InputData!$C$5</f>
        <v>0.01</v>
      </c>
      <c r="L1634" s="160">
        <f>InputData!$C$6</f>
        <v>6.2100000000000002E-2</v>
      </c>
      <c r="M1634" s="160">
        <f>InputData!$C$7</f>
        <v>0.03</v>
      </c>
      <c r="N1634" s="160">
        <f>InputData!$C$8</f>
        <v>0.02</v>
      </c>
      <c r="O1634" s="160">
        <f>InputData!$C$9</f>
        <v>0.06</v>
      </c>
      <c r="P1634" s="160">
        <f>InputData!$C$10</f>
        <v>0.02</v>
      </c>
      <c r="Q1634" s="160">
        <f>InputData!$C$11</f>
        <v>0.02</v>
      </c>
      <c r="R1634" s="160">
        <f>InputData!$C$12</f>
        <v>0.02</v>
      </c>
      <c r="S1634" s="160">
        <f>InputData!$C$13</f>
        <v>0.9</v>
      </c>
      <c r="T1634" s="116">
        <f>InputData!$C$88</f>
        <v>180000</v>
      </c>
      <c r="U1634" s="116">
        <f>InputData!$C$81</f>
        <v>178500</v>
      </c>
      <c r="V1634" s="116">
        <f>InputData!$C$82</f>
        <v>303960</v>
      </c>
      <c r="W1634" s="116">
        <f>InputData!$C$84</f>
        <v>215220</v>
      </c>
      <c r="X1634" s="116">
        <f>InputData!$C$85</f>
        <v>409020</v>
      </c>
      <c r="Y1634" s="116">
        <f>InputData!$C$116</f>
        <v>140000</v>
      </c>
      <c r="Z1634" s="160">
        <f>InputData!$E$13</f>
        <v>0</v>
      </c>
    </row>
    <row r="1635" spans="1:26" x14ac:dyDescent="0.25">
      <c r="A1635">
        <f>InputData!$K$1</f>
        <v>2013</v>
      </c>
      <c r="B1635" t="str">
        <f>InputData!$G$1</f>
        <v>San Antonio, TX</v>
      </c>
      <c r="C1635" t="s">
        <v>11</v>
      </c>
      <c r="D1635" t="str">
        <f>Graph_IntMed!$R$6</f>
        <v>SELF</v>
      </c>
      <c r="E1635" t="str">
        <f t="shared" si="26"/>
        <v>Internal Medicine SELF</v>
      </c>
      <c r="F1635">
        <f>Graph_IntMed!A20</f>
        <v>2026</v>
      </c>
      <c r="G1635">
        <f>Graph_IntMed!B20</f>
        <v>14</v>
      </c>
      <c r="H1635" s="165">
        <f>Graph_IntMed!R20</f>
        <v>791033.95771485369</v>
      </c>
      <c r="I1635" s="160">
        <f>InputData!$C$3</f>
        <v>0.02</v>
      </c>
      <c r="J1635" s="160">
        <f>InputData!$C$4</f>
        <v>0.01</v>
      </c>
      <c r="K1635" s="160">
        <f>InputData!$C$5</f>
        <v>0.01</v>
      </c>
      <c r="L1635" s="160">
        <f>InputData!$C$6</f>
        <v>6.2100000000000002E-2</v>
      </c>
      <c r="M1635" s="160">
        <f>InputData!$C$7</f>
        <v>0.03</v>
      </c>
      <c r="N1635" s="160">
        <f>InputData!$C$8</f>
        <v>0.02</v>
      </c>
      <c r="O1635" s="160">
        <f>InputData!$C$9</f>
        <v>0.06</v>
      </c>
      <c r="P1635" s="160">
        <f>InputData!$C$10</f>
        <v>0.02</v>
      </c>
      <c r="Q1635" s="160">
        <f>InputData!$C$11</f>
        <v>0.02</v>
      </c>
      <c r="R1635" s="160">
        <f>InputData!$C$12</f>
        <v>0.02</v>
      </c>
      <c r="S1635" s="160">
        <f>InputData!$C$13</f>
        <v>0.9</v>
      </c>
      <c r="T1635" s="116">
        <f>InputData!$C$88</f>
        <v>180000</v>
      </c>
      <c r="U1635" s="116">
        <f>InputData!$C$81</f>
        <v>178500</v>
      </c>
      <c r="V1635" s="116">
        <f>InputData!$C$82</f>
        <v>303960</v>
      </c>
      <c r="W1635" s="116">
        <f>InputData!$C$84</f>
        <v>215220</v>
      </c>
      <c r="X1635" s="116">
        <f>InputData!$C$85</f>
        <v>409020</v>
      </c>
      <c r="Y1635" s="116">
        <f>InputData!$C$116</f>
        <v>140000</v>
      </c>
      <c r="Z1635" s="160">
        <f>InputData!$E$13</f>
        <v>0</v>
      </c>
    </row>
    <row r="1636" spans="1:26" x14ac:dyDescent="0.25">
      <c r="A1636">
        <f>InputData!$K$1</f>
        <v>2013</v>
      </c>
      <c r="B1636" t="str">
        <f>InputData!$G$1</f>
        <v>San Antonio, TX</v>
      </c>
      <c r="C1636" t="s">
        <v>11</v>
      </c>
      <c r="D1636" t="str">
        <f>Graph_IntMed!$R$6</f>
        <v>SELF</v>
      </c>
      <c r="E1636" t="str">
        <f t="shared" si="26"/>
        <v>Internal Medicine SELF</v>
      </c>
      <c r="F1636">
        <f>Graph_IntMed!A21</f>
        <v>2027</v>
      </c>
      <c r="G1636">
        <f>Graph_IntMed!B21</f>
        <v>15</v>
      </c>
      <c r="H1636" s="165">
        <f>Graph_IntMed!R21</f>
        <v>881018.40137929213</v>
      </c>
      <c r="I1636" s="160">
        <f>InputData!$C$3</f>
        <v>0.02</v>
      </c>
      <c r="J1636" s="160">
        <f>InputData!$C$4</f>
        <v>0.01</v>
      </c>
      <c r="K1636" s="160">
        <f>InputData!$C$5</f>
        <v>0.01</v>
      </c>
      <c r="L1636" s="160">
        <f>InputData!$C$6</f>
        <v>6.2100000000000002E-2</v>
      </c>
      <c r="M1636" s="160">
        <f>InputData!$C$7</f>
        <v>0.03</v>
      </c>
      <c r="N1636" s="160">
        <f>InputData!$C$8</f>
        <v>0.02</v>
      </c>
      <c r="O1636" s="160">
        <f>InputData!$C$9</f>
        <v>0.06</v>
      </c>
      <c r="P1636" s="160">
        <f>InputData!$C$10</f>
        <v>0.02</v>
      </c>
      <c r="Q1636" s="160">
        <f>InputData!$C$11</f>
        <v>0.02</v>
      </c>
      <c r="R1636" s="160">
        <f>InputData!$C$12</f>
        <v>0.02</v>
      </c>
      <c r="S1636" s="160">
        <f>InputData!$C$13</f>
        <v>0.9</v>
      </c>
      <c r="T1636" s="116">
        <f>InputData!$C$88</f>
        <v>180000</v>
      </c>
      <c r="U1636" s="116">
        <f>InputData!$C$81</f>
        <v>178500</v>
      </c>
      <c r="V1636" s="116">
        <f>InputData!$C$82</f>
        <v>303960</v>
      </c>
      <c r="W1636" s="116">
        <f>InputData!$C$84</f>
        <v>215220</v>
      </c>
      <c r="X1636" s="116">
        <f>InputData!$C$85</f>
        <v>409020</v>
      </c>
      <c r="Y1636" s="116">
        <f>InputData!$C$116</f>
        <v>140000</v>
      </c>
      <c r="Z1636" s="160">
        <f>InputData!$E$13</f>
        <v>0</v>
      </c>
    </row>
    <row r="1637" spans="1:26" x14ac:dyDescent="0.25">
      <c r="A1637">
        <f>InputData!$K$1</f>
        <v>2013</v>
      </c>
      <c r="B1637" t="str">
        <f>InputData!$G$1</f>
        <v>San Antonio, TX</v>
      </c>
      <c r="C1637" t="s">
        <v>11</v>
      </c>
      <c r="D1637" t="str">
        <f>Graph_IntMed!$R$6</f>
        <v>SELF</v>
      </c>
      <c r="E1637" t="str">
        <f t="shared" si="26"/>
        <v>Internal Medicine SELF</v>
      </c>
      <c r="F1637">
        <f>Graph_IntMed!A22</f>
        <v>2028</v>
      </c>
      <c r="G1637">
        <f>Graph_IntMed!B22</f>
        <v>16</v>
      </c>
      <c r="H1637" s="165">
        <f>Graph_IntMed!R22</f>
        <v>969170.27561700775</v>
      </c>
      <c r="I1637" s="160">
        <f>InputData!$C$3</f>
        <v>0.02</v>
      </c>
      <c r="J1637" s="160">
        <f>InputData!$C$4</f>
        <v>0.01</v>
      </c>
      <c r="K1637" s="160">
        <f>InputData!$C$5</f>
        <v>0.01</v>
      </c>
      <c r="L1637" s="160">
        <f>InputData!$C$6</f>
        <v>6.2100000000000002E-2</v>
      </c>
      <c r="M1637" s="160">
        <f>InputData!$C$7</f>
        <v>0.03</v>
      </c>
      <c r="N1637" s="160">
        <f>InputData!$C$8</f>
        <v>0.02</v>
      </c>
      <c r="O1637" s="160">
        <f>InputData!$C$9</f>
        <v>0.06</v>
      </c>
      <c r="P1637" s="160">
        <f>InputData!$C$10</f>
        <v>0.02</v>
      </c>
      <c r="Q1637" s="160">
        <f>InputData!$C$11</f>
        <v>0.02</v>
      </c>
      <c r="R1637" s="160">
        <f>InputData!$C$12</f>
        <v>0.02</v>
      </c>
      <c r="S1637" s="160">
        <f>InputData!$C$13</f>
        <v>0.9</v>
      </c>
      <c r="T1637" s="116">
        <f>InputData!$C$88</f>
        <v>180000</v>
      </c>
      <c r="U1637" s="116">
        <f>InputData!$C$81</f>
        <v>178500</v>
      </c>
      <c r="V1637" s="116">
        <f>InputData!$C$82</f>
        <v>303960</v>
      </c>
      <c r="W1637" s="116">
        <f>InputData!$C$84</f>
        <v>215220</v>
      </c>
      <c r="X1637" s="116">
        <f>InputData!$C$85</f>
        <v>409020</v>
      </c>
      <c r="Y1637" s="116">
        <f>InputData!$C$116</f>
        <v>140000</v>
      </c>
      <c r="Z1637" s="160">
        <f>InputData!$E$13</f>
        <v>0</v>
      </c>
    </row>
    <row r="1638" spans="1:26" x14ac:dyDescent="0.25">
      <c r="A1638">
        <f>InputData!$K$1</f>
        <v>2013</v>
      </c>
      <c r="B1638" t="str">
        <f>InputData!$G$1</f>
        <v>San Antonio, TX</v>
      </c>
      <c r="C1638" t="s">
        <v>11</v>
      </c>
      <c r="D1638" t="str">
        <f>Graph_IntMed!$R$6</f>
        <v>SELF</v>
      </c>
      <c r="E1638" t="str">
        <f t="shared" si="26"/>
        <v>Internal Medicine SELF</v>
      </c>
      <c r="F1638">
        <f>Graph_IntMed!A23</f>
        <v>2029</v>
      </c>
      <c r="G1638">
        <f>Graph_IntMed!B23</f>
        <v>17</v>
      </c>
      <c r="H1638" s="165">
        <f>Graph_IntMed!R23</f>
        <v>1055527.4986542042</v>
      </c>
      <c r="I1638" s="160">
        <f>InputData!$C$3</f>
        <v>0.02</v>
      </c>
      <c r="J1638" s="160">
        <f>InputData!$C$4</f>
        <v>0.01</v>
      </c>
      <c r="K1638" s="160">
        <f>InputData!$C$5</f>
        <v>0.01</v>
      </c>
      <c r="L1638" s="160">
        <f>InputData!$C$6</f>
        <v>6.2100000000000002E-2</v>
      </c>
      <c r="M1638" s="160">
        <f>InputData!$C$7</f>
        <v>0.03</v>
      </c>
      <c r="N1638" s="160">
        <f>InputData!$C$8</f>
        <v>0.02</v>
      </c>
      <c r="O1638" s="160">
        <f>InputData!$C$9</f>
        <v>0.06</v>
      </c>
      <c r="P1638" s="160">
        <f>InputData!$C$10</f>
        <v>0.02</v>
      </c>
      <c r="Q1638" s="160">
        <f>InputData!$C$11</f>
        <v>0.02</v>
      </c>
      <c r="R1638" s="160">
        <f>InputData!$C$12</f>
        <v>0.02</v>
      </c>
      <c r="S1638" s="160">
        <f>InputData!$C$13</f>
        <v>0.9</v>
      </c>
      <c r="T1638" s="116">
        <f>InputData!$C$88</f>
        <v>180000</v>
      </c>
      <c r="U1638" s="116">
        <f>InputData!$C$81</f>
        <v>178500</v>
      </c>
      <c r="V1638" s="116">
        <f>InputData!$C$82</f>
        <v>303960</v>
      </c>
      <c r="W1638" s="116">
        <f>InputData!$C$84</f>
        <v>215220</v>
      </c>
      <c r="X1638" s="116">
        <f>InputData!$C$85</f>
        <v>409020</v>
      </c>
      <c r="Y1638" s="116">
        <f>InputData!$C$116</f>
        <v>140000</v>
      </c>
      <c r="Z1638" s="160">
        <f>InputData!$E$13</f>
        <v>0</v>
      </c>
    </row>
    <row r="1639" spans="1:26" x14ac:dyDescent="0.25">
      <c r="A1639">
        <f>InputData!$K$1</f>
        <v>2013</v>
      </c>
      <c r="B1639" t="str">
        <f>InputData!$G$1</f>
        <v>San Antonio, TX</v>
      </c>
      <c r="C1639" t="s">
        <v>11</v>
      </c>
      <c r="D1639" t="str">
        <f>Graph_IntMed!$R$6</f>
        <v>SELF</v>
      </c>
      <c r="E1639" t="str">
        <f t="shared" si="26"/>
        <v>Internal Medicine SELF</v>
      </c>
      <c r="F1639">
        <f>Graph_IntMed!A24</f>
        <v>2030</v>
      </c>
      <c r="G1639">
        <f>Graph_IntMed!B24</f>
        <v>18</v>
      </c>
      <c r="H1639" s="165">
        <f>Graph_IntMed!R24</f>
        <v>1140127.1873925794</v>
      </c>
      <c r="I1639" s="160">
        <f>InputData!$C$3</f>
        <v>0.02</v>
      </c>
      <c r="J1639" s="160">
        <f>InputData!$C$4</f>
        <v>0.01</v>
      </c>
      <c r="K1639" s="160">
        <f>InputData!$C$5</f>
        <v>0.01</v>
      </c>
      <c r="L1639" s="160">
        <f>InputData!$C$6</f>
        <v>6.2100000000000002E-2</v>
      </c>
      <c r="M1639" s="160">
        <f>InputData!$C$7</f>
        <v>0.03</v>
      </c>
      <c r="N1639" s="160">
        <f>InputData!$C$8</f>
        <v>0.02</v>
      </c>
      <c r="O1639" s="160">
        <f>InputData!$C$9</f>
        <v>0.06</v>
      </c>
      <c r="P1639" s="160">
        <f>InputData!$C$10</f>
        <v>0.02</v>
      </c>
      <c r="Q1639" s="160">
        <f>InputData!$C$11</f>
        <v>0.02</v>
      </c>
      <c r="R1639" s="160">
        <f>InputData!$C$12</f>
        <v>0.02</v>
      </c>
      <c r="S1639" s="160">
        <f>InputData!$C$13</f>
        <v>0.9</v>
      </c>
      <c r="T1639" s="116">
        <f>InputData!$C$88</f>
        <v>180000</v>
      </c>
      <c r="U1639" s="116">
        <f>InputData!$C$81</f>
        <v>178500</v>
      </c>
      <c r="V1639" s="116">
        <f>InputData!$C$82</f>
        <v>303960</v>
      </c>
      <c r="W1639" s="116">
        <f>InputData!$C$84</f>
        <v>215220</v>
      </c>
      <c r="X1639" s="116">
        <f>InputData!$C$85</f>
        <v>409020</v>
      </c>
      <c r="Y1639" s="116">
        <f>InputData!$C$116</f>
        <v>140000</v>
      </c>
      <c r="Z1639" s="160">
        <f>InputData!$E$13</f>
        <v>0</v>
      </c>
    </row>
    <row r="1640" spans="1:26" x14ac:dyDescent="0.25">
      <c r="A1640">
        <f>InputData!$K$1</f>
        <v>2013</v>
      </c>
      <c r="B1640" t="str">
        <f>InputData!$G$1</f>
        <v>San Antonio, TX</v>
      </c>
      <c r="C1640" t="s">
        <v>11</v>
      </c>
      <c r="D1640" t="str">
        <f>Graph_IntMed!$R$6</f>
        <v>SELF</v>
      </c>
      <c r="E1640" t="str">
        <f t="shared" si="26"/>
        <v>Internal Medicine SELF</v>
      </c>
      <c r="F1640">
        <f>Graph_IntMed!A25</f>
        <v>2031</v>
      </c>
      <c r="G1640">
        <f>Graph_IntMed!B25</f>
        <v>19</v>
      </c>
      <c r="H1640" s="165">
        <f>Graph_IntMed!R25</f>
        <v>1223005.6748059362</v>
      </c>
      <c r="I1640" s="160">
        <f>InputData!$C$3</f>
        <v>0.02</v>
      </c>
      <c r="J1640" s="160">
        <f>InputData!$C$4</f>
        <v>0.01</v>
      </c>
      <c r="K1640" s="160">
        <f>InputData!$C$5</f>
        <v>0.01</v>
      </c>
      <c r="L1640" s="160">
        <f>InputData!$C$6</f>
        <v>6.2100000000000002E-2</v>
      </c>
      <c r="M1640" s="160">
        <f>InputData!$C$7</f>
        <v>0.03</v>
      </c>
      <c r="N1640" s="160">
        <f>InputData!$C$8</f>
        <v>0.02</v>
      </c>
      <c r="O1640" s="160">
        <f>InputData!$C$9</f>
        <v>0.06</v>
      </c>
      <c r="P1640" s="160">
        <f>InputData!$C$10</f>
        <v>0.02</v>
      </c>
      <c r="Q1640" s="160">
        <f>InputData!$C$11</f>
        <v>0.02</v>
      </c>
      <c r="R1640" s="160">
        <f>InputData!$C$12</f>
        <v>0.02</v>
      </c>
      <c r="S1640" s="160">
        <f>InputData!$C$13</f>
        <v>0.9</v>
      </c>
      <c r="T1640" s="116">
        <f>InputData!$C$88</f>
        <v>180000</v>
      </c>
      <c r="U1640" s="116">
        <f>InputData!$C$81</f>
        <v>178500</v>
      </c>
      <c r="V1640" s="116">
        <f>InputData!$C$82</f>
        <v>303960</v>
      </c>
      <c r="W1640" s="116">
        <f>InputData!$C$84</f>
        <v>215220</v>
      </c>
      <c r="X1640" s="116">
        <f>InputData!$C$85</f>
        <v>409020</v>
      </c>
      <c r="Y1640" s="116">
        <f>InputData!$C$116</f>
        <v>140000</v>
      </c>
      <c r="Z1640" s="160">
        <f>InputData!$E$13</f>
        <v>0</v>
      </c>
    </row>
    <row r="1641" spans="1:26" x14ac:dyDescent="0.25">
      <c r="A1641">
        <f>InputData!$K$1</f>
        <v>2013</v>
      </c>
      <c r="B1641" t="str">
        <f>InputData!$G$1</f>
        <v>San Antonio, TX</v>
      </c>
      <c r="C1641" t="s">
        <v>11</v>
      </c>
      <c r="D1641" t="str">
        <f>Graph_IntMed!$R$6</f>
        <v>SELF</v>
      </c>
      <c r="E1641" t="str">
        <f t="shared" si="26"/>
        <v>Internal Medicine SELF</v>
      </c>
      <c r="F1641">
        <f>Graph_IntMed!A26</f>
        <v>2032</v>
      </c>
      <c r="G1641">
        <f>Graph_IntMed!B26</f>
        <v>20</v>
      </c>
      <c r="H1641" s="165">
        <f>Graph_IntMed!R26</f>
        <v>1304198.5269466238</v>
      </c>
      <c r="I1641" s="160">
        <f>InputData!$C$3</f>
        <v>0.02</v>
      </c>
      <c r="J1641" s="160">
        <f>InputData!$C$4</f>
        <v>0.01</v>
      </c>
      <c r="K1641" s="160">
        <f>InputData!$C$5</f>
        <v>0.01</v>
      </c>
      <c r="L1641" s="160">
        <f>InputData!$C$6</f>
        <v>6.2100000000000002E-2</v>
      </c>
      <c r="M1641" s="160">
        <f>InputData!$C$7</f>
        <v>0.03</v>
      </c>
      <c r="N1641" s="160">
        <f>InputData!$C$8</f>
        <v>0.02</v>
      </c>
      <c r="O1641" s="160">
        <f>InputData!$C$9</f>
        <v>0.06</v>
      </c>
      <c r="P1641" s="160">
        <f>InputData!$C$10</f>
        <v>0.02</v>
      </c>
      <c r="Q1641" s="160">
        <f>InputData!$C$11</f>
        <v>0.02</v>
      </c>
      <c r="R1641" s="160">
        <f>InputData!$C$12</f>
        <v>0.02</v>
      </c>
      <c r="S1641" s="160">
        <f>InputData!$C$13</f>
        <v>0.9</v>
      </c>
      <c r="T1641" s="116">
        <f>InputData!$C$88</f>
        <v>180000</v>
      </c>
      <c r="U1641" s="116">
        <f>InputData!$C$81</f>
        <v>178500</v>
      </c>
      <c r="V1641" s="116">
        <f>InputData!$C$82</f>
        <v>303960</v>
      </c>
      <c r="W1641" s="116">
        <f>InputData!$C$84</f>
        <v>215220</v>
      </c>
      <c r="X1641" s="116">
        <f>InputData!$C$85</f>
        <v>409020</v>
      </c>
      <c r="Y1641" s="116">
        <f>InputData!$C$116</f>
        <v>140000</v>
      </c>
      <c r="Z1641" s="160">
        <f>InputData!$E$13</f>
        <v>0</v>
      </c>
    </row>
    <row r="1642" spans="1:26" x14ac:dyDescent="0.25">
      <c r="A1642">
        <f>InputData!$K$1</f>
        <v>2013</v>
      </c>
      <c r="B1642" t="str">
        <f>InputData!$G$1</f>
        <v>San Antonio, TX</v>
      </c>
      <c r="C1642" t="s">
        <v>11</v>
      </c>
      <c r="D1642" t="str">
        <f>Graph_IntMed!$R$6</f>
        <v>SELF</v>
      </c>
      <c r="E1642" t="str">
        <f t="shared" si="26"/>
        <v>Internal Medicine SELF</v>
      </c>
      <c r="F1642">
        <f>Graph_IntMed!A27</f>
        <v>2033</v>
      </c>
      <c r="G1642">
        <f>Graph_IntMed!B27</f>
        <v>21</v>
      </c>
      <c r="H1642" s="165">
        <f>Graph_IntMed!R27</f>
        <v>1383740.5595708888</v>
      </c>
      <c r="I1642" s="160">
        <f>InputData!$C$3</f>
        <v>0.02</v>
      </c>
      <c r="J1642" s="160">
        <f>InputData!$C$4</f>
        <v>0.01</v>
      </c>
      <c r="K1642" s="160">
        <f>InputData!$C$5</f>
        <v>0.01</v>
      </c>
      <c r="L1642" s="160">
        <f>InputData!$C$6</f>
        <v>6.2100000000000002E-2</v>
      </c>
      <c r="M1642" s="160">
        <f>InputData!$C$7</f>
        <v>0.03</v>
      </c>
      <c r="N1642" s="160">
        <f>InputData!$C$8</f>
        <v>0.02</v>
      </c>
      <c r="O1642" s="160">
        <f>InputData!$C$9</f>
        <v>0.06</v>
      </c>
      <c r="P1642" s="160">
        <f>InputData!$C$10</f>
        <v>0.02</v>
      </c>
      <c r="Q1642" s="160">
        <f>InputData!$C$11</f>
        <v>0.02</v>
      </c>
      <c r="R1642" s="160">
        <f>InputData!$C$12</f>
        <v>0.02</v>
      </c>
      <c r="S1642" s="160">
        <f>InputData!$C$13</f>
        <v>0.9</v>
      </c>
      <c r="T1642" s="116">
        <f>InputData!$C$88</f>
        <v>180000</v>
      </c>
      <c r="U1642" s="116">
        <f>InputData!$C$81</f>
        <v>178500</v>
      </c>
      <c r="V1642" s="116">
        <f>InputData!$C$82</f>
        <v>303960</v>
      </c>
      <c r="W1642" s="116">
        <f>InputData!$C$84</f>
        <v>215220</v>
      </c>
      <c r="X1642" s="116">
        <f>InputData!$C$85</f>
        <v>409020</v>
      </c>
      <c r="Y1642" s="116">
        <f>InputData!$C$116</f>
        <v>140000</v>
      </c>
      <c r="Z1642" s="160">
        <f>InputData!$E$13</f>
        <v>0</v>
      </c>
    </row>
    <row r="1643" spans="1:26" x14ac:dyDescent="0.25">
      <c r="A1643">
        <f>InputData!$K$1</f>
        <v>2013</v>
      </c>
      <c r="B1643" t="str">
        <f>InputData!$G$1</f>
        <v>San Antonio, TX</v>
      </c>
      <c r="C1643" t="s">
        <v>11</v>
      </c>
      <c r="D1643" t="str">
        <f>Graph_IntMed!$R$6</f>
        <v>SELF</v>
      </c>
      <c r="E1643" t="str">
        <f t="shared" si="26"/>
        <v>Internal Medicine SELF</v>
      </c>
      <c r="F1643">
        <f>Graph_IntMed!A28</f>
        <v>2034</v>
      </c>
      <c r="G1643">
        <f>Graph_IntMed!B28</f>
        <v>22</v>
      </c>
      <c r="H1643" s="165">
        <f>Graph_IntMed!R28</f>
        <v>1461665.8543919963</v>
      </c>
      <c r="I1643" s="160">
        <f>InputData!$C$3</f>
        <v>0.02</v>
      </c>
      <c r="J1643" s="160">
        <f>InputData!$C$4</f>
        <v>0.01</v>
      </c>
      <c r="K1643" s="160">
        <f>InputData!$C$5</f>
        <v>0.01</v>
      </c>
      <c r="L1643" s="160">
        <f>InputData!$C$6</f>
        <v>6.2100000000000002E-2</v>
      </c>
      <c r="M1643" s="160">
        <f>InputData!$C$7</f>
        <v>0.03</v>
      </c>
      <c r="N1643" s="160">
        <f>InputData!$C$8</f>
        <v>0.02</v>
      </c>
      <c r="O1643" s="160">
        <f>InputData!$C$9</f>
        <v>0.06</v>
      </c>
      <c r="P1643" s="160">
        <f>InputData!$C$10</f>
        <v>0.02</v>
      </c>
      <c r="Q1643" s="160">
        <f>InputData!$C$11</f>
        <v>0.02</v>
      </c>
      <c r="R1643" s="160">
        <f>InputData!$C$12</f>
        <v>0.02</v>
      </c>
      <c r="S1643" s="160">
        <f>InputData!$C$13</f>
        <v>0.9</v>
      </c>
      <c r="T1643" s="116">
        <f>InputData!$C$88</f>
        <v>180000</v>
      </c>
      <c r="U1643" s="116">
        <f>InputData!$C$81</f>
        <v>178500</v>
      </c>
      <c r="V1643" s="116">
        <f>InputData!$C$82</f>
        <v>303960</v>
      </c>
      <c r="W1643" s="116">
        <f>InputData!$C$84</f>
        <v>215220</v>
      </c>
      <c r="X1643" s="116">
        <f>InputData!$C$85</f>
        <v>409020</v>
      </c>
      <c r="Y1643" s="116">
        <f>InputData!$C$116</f>
        <v>140000</v>
      </c>
      <c r="Z1643" s="160">
        <f>InputData!$E$13</f>
        <v>0</v>
      </c>
    </row>
    <row r="1644" spans="1:26" x14ac:dyDescent="0.25">
      <c r="A1644">
        <f>InputData!$K$1</f>
        <v>2013</v>
      </c>
      <c r="B1644" t="str">
        <f>InputData!$G$1</f>
        <v>San Antonio, TX</v>
      </c>
      <c r="C1644" t="s">
        <v>11</v>
      </c>
      <c r="D1644" t="str">
        <f>Graph_IntMed!$R$6</f>
        <v>SELF</v>
      </c>
      <c r="E1644" t="str">
        <f t="shared" si="26"/>
        <v>Internal Medicine SELF</v>
      </c>
      <c r="F1644">
        <f>Graph_IntMed!A29</f>
        <v>2035</v>
      </c>
      <c r="G1644">
        <f>Graph_IntMed!B29</f>
        <v>23</v>
      </c>
      <c r="H1644" s="165">
        <f>Graph_IntMed!R29</f>
        <v>1538007.7749697666</v>
      </c>
      <c r="I1644" s="160">
        <f>InputData!$C$3</f>
        <v>0.02</v>
      </c>
      <c r="J1644" s="160">
        <f>InputData!$C$4</f>
        <v>0.01</v>
      </c>
      <c r="K1644" s="160">
        <f>InputData!$C$5</f>
        <v>0.01</v>
      </c>
      <c r="L1644" s="160">
        <f>InputData!$C$6</f>
        <v>6.2100000000000002E-2</v>
      </c>
      <c r="M1644" s="160">
        <f>InputData!$C$7</f>
        <v>0.03</v>
      </c>
      <c r="N1644" s="160">
        <f>InputData!$C$8</f>
        <v>0.02</v>
      </c>
      <c r="O1644" s="160">
        <f>InputData!$C$9</f>
        <v>0.06</v>
      </c>
      <c r="P1644" s="160">
        <f>InputData!$C$10</f>
        <v>0.02</v>
      </c>
      <c r="Q1644" s="160">
        <f>InputData!$C$11</f>
        <v>0.02</v>
      </c>
      <c r="R1644" s="160">
        <f>InputData!$C$12</f>
        <v>0.02</v>
      </c>
      <c r="S1644" s="160">
        <f>InputData!$C$13</f>
        <v>0.9</v>
      </c>
      <c r="T1644" s="116">
        <f>InputData!$C$88</f>
        <v>180000</v>
      </c>
      <c r="U1644" s="116">
        <f>InputData!$C$81</f>
        <v>178500</v>
      </c>
      <c r="V1644" s="116">
        <f>InputData!$C$82</f>
        <v>303960</v>
      </c>
      <c r="W1644" s="116">
        <f>InputData!$C$84</f>
        <v>215220</v>
      </c>
      <c r="X1644" s="116">
        <f>InputData!$C$85</f>
        <v>409020</v>
      </c>
      <c r="Y1644" s="116">
        <f>InputData!$C$116</f>
        <v>140000</v>
      </c>
      <c r="Z1644" s="160">
        <f>InputData!$E$13</f>
        <v>0</v>
      </c>
    </row>
    <row r="1645" spans="1:26" x14ac:dyDescent="0.25">
      <c r="A1645">
        <f>InputData!$K$1</f>
        <v>2013</v>
      </c>
      <c r="B1645" t="str">
        <f>InputData!$G$1</f>
        <v>San Antonio, TX</v>
      </c>
      <c r="C1645" t="s">
        <v>11</v>
      </c>
      <c r="D1645" t="str">
        <f>Graph_IntMed!$R$6</f>
        <v>SELF</v>
      </c>
      <c r="E1645" t="str">
        <f t="shared" si="26"/>
        <v>Internal Medicine SELF</v>
      </c>
      <c r="F1645">
        <f>Graph_IntMed!A30</f>
        <v>2036</v>
      </c>
      <c r="G1645">
        <f>Graph_IntMed!B30</f>
        <v>24</v>
      </c>
      <c r="H1645" s="165">
        <f>Graph_IntMed!R30</f>
        <v>1612798.9822449631</v>
      </c>
      <c r="I1645" s="160">
        <f>InputData!$C$3</f>
        <v>0.02</v>
      </c>
      <c r="J1645" s="160">
        <f>InputData!$C$4</f>
        <v>0.01</v>
      </c>
      <c r="K1645" s="160">
        <f>InputData!$C$5</f>
        <v>0.01</v>
      </c>
      <c r="L1645" s="160">
        <f>InputData!$C$6</f>
        <v>6.2100000000000002E-2</v>
      </c>
      <c r="M1645" s="160">
        <f>InputData!$C$7</f>
        <v>0.03</v>
      </c>
      <c r="N1645" s="160">
        <f>InputData!$C$8</f>
        <v>0.02</v>
      </c>
      <c r="O1645" s="160">
        <f>InputData!$C$9</f>
        <v>0.06</v>
      </c>
      <c r="P1645" s="160">
        <f>InputData!$C$10</f>
        <v>0.02</v>
      </c>
      <c r="Q1645" s="160">
        <f>InputData!$C$11</f>
        <v>0.02</v>
      </c>
      <c r="R1645" s="160">
        <f>InputData!$C$12</f>
        <v>0.02</v>
      </c>
      <c r="S1645" s="160">
        <f>InputData!$C$13</f>
        <v>0.9</v>
      </c>
      <c r="T1645" s="116">
        <f>InputData!$C$88</f>
        <v>180000</v>
      </c>
      <c r="U1645" s="116">
        <f>InputData!$C$81</f>
        <v>178500</v>
      </c>
      <c r="V1645" s="116">
        <f>InputData!$C$82</f>
        <v>303960</v>
      </c>
      <c r="W1645" s="116">
        <f>InputData!$C$84</f>
        <v>215220</v>
      </c>
      <c r="X1645" s="116">
        <f>InputData!$C$85</f>
        <v>409020</v>
      </c>
      <c r="Y1645" s="116">
        <f>InputData!$C$116</f>
        <v>140000</v>
      </c>
      <c r="Z1645" s="160">
        <f>InputData!$E$13</f>
        <v>0</v>
      </c>
    </row>
    <row r="1646" spans="1:26" x14ac:dyDescent="0.25">
      <c r="A1646">
        <f>InputData!$K$1</f>
        <v>2013</v>
      </c>
      <c r="B1646" t="str">
        <f>InputData!$G$1</f>
        <v>San Antonio, TX</v>
      </c>
      <c r="C1646" t="s">
        <v>11</v>
      </c>
      <c r="D1646" t="str">
        <f>Graph_IntMed!$R$6</f>
        <v>SELF</v>
      </c>
      <c r="E1646" t="str">
        <f t="shared" si="26"/>
        <v>Internal Medicine SELF</v>
      </c>
      <c r="F1646">
        <f>Graph_IntMed!A31</f>
        <v>2037</v>
      </c>
      <c r="G1646">
        <f>Graph_IntMed!B31</f>
        <v>25</v>
      </c>
      <c r="H1646" s="165">
        <f>Graph_IntMed!R31</f>
        <v>1686071.4497267664</v>
      </c>
      <c r="I1646" s="160">
        <f>InputData!$C$3</f>
        <v>0.02</v>
      </c>
      <c r="J1646" s="160">
        <f>InputData!$C$4</f>
        <v>0.01</v>
      </c>
      <c r="K1646" s="160">
        <f>InputData!$C$5</f>
        <v>0.01</v>
      </c>
      <c r="L1646" s="160">
        <f>InputData!$C$6</f>
        <v>6.2100000000000002E-2</v>
      </c>
      <c r="M1646" s="160">
        <f>InputData!$C$7</f>
        <v>0.03</v>
      </c>
      <c r="N1646" s="160">
        <f>InputData!$C$8</f>
        <v>0.02</v>
      </c>
      <c r="O1646" s="160">
        <f>InputData!$C$9</f>
        <v>0.06</v>
      </c>
      <c r="P1646" s="160">
        <f>InputData!$C$10</f>
        <v>0.02</v>
      </c>
      <c r="Q1646" s="160">
        <f>InputData!$C$11</f>
        <v>0.02</v>
      </c>
      <c r="R1646" s="160">
        <f>InputData!$C$12</f>
        <v>0.02</v>
      </c>
      <c r="S1646" s="160">
        <f>InputData!$C$13</f>
        <v>0.9</v>
      </c>
      <c r="T1646" s="116">
        <f>InputData!$C$88</f>
        <v>180000</v>
      </c>
      <c r="U1646" s="116">
        <f>InputData!$C$81</f>
        <v>178500</v>
      </c>
      <c r="V1646" s="116">
        <f>InputData!$C$82</f>
        <v>303960</v>
      </c>
      <c r="W1646" s="116">
        <f>InputData!$C$84</f>
        <v>215220</v>
      </c>
      <c r="X1646" s="116">
        <f>InputData!$C$85</f>
        <v>409020</v>
      </c>
      <c r="Y1646" s="116">
        <f>InputData!$C$116</f>
        <v>140000</v>
      </c>
      <c r="Z1646" s="160">
        <f>InputData!$E$13</f>
        <v>0</v>
      </c>
    </row>
    <row r="1647" spans="1:26" x14ac:dyDescent="0.25">
      <c r="A1647">
        <f>InputData!$K$1</f>
        <v>2013</v>
      </c>
      <c r="B1647" t="str">
        <f>InputData!$G$1</f>
        <v>San Antonio, TX</v>
      </c>
      <c r="C1647" t="s">
        <v>11</v>
      </c>
      <c r="D1647" t="str">
        <f>Graph_IntMed!$R$6</f>
        <v>SELF</v>
      </c>
      <c r="E1647" t="str">
        <f t="shared" si="26"/>
        <v>Internal Medicine SELF</v>
      </c>
      <c r="F1647">
        <f>Graph_IntMed!A32</f>
        <v>2038</v>
      </c>
      <c r="G1647">
        <f>Graph_IntMed!B32</f>
        <v>26</v>
      </c>
      <c r="H1647" s="165">
        <f>Graph_IntMed!R32</f>
        <v>1757856.478341368</v>
      </c>
      <c r="I1647" s="160">
        <f>InputData!$C$3</f>
        <v>0.02</v>
      </c>
      <c r="J1647" s="160">
        <f>InputData!$C$4</f>
        <v>0.01</v>
      </c>
      <c r="K1647" s="160">
        <f>InputData!$C$5</f>
        <v>0.01</v>
      </c>
      <c r="L1647" s="160">
        <f>InputData!$C$6</f>
        <v>6.2100000000000002E-2</v>
      </c>
      <c r="M1647" s="160">
        <f>InputData!$C$7</f>
        <v>0.03</v>
      </c>
      <c r="N1647" s="160">
        <f>InputData!$C$8</f>
        <v>0.02</v>
      </c>
      <c r="O1647" s="160">
        <f>InputData!$C$9</f>
        <v>0.06</v>
      </c>
      <c r="P1647" s="160">
        <f>InputData!$C$10</f>
        <v>0.02</v>
      </c>
      <c r="Q1647" s="160">
        <f>InputData!$C$11</f>
        <v>0.02</v>
      </c>
      <c r="R1647" s="160">
        <f>InputData!$C$12</f>
        <v>0.02</v>
      </c>
      <c r="S1647" s="160">
        <f>InputData!$C$13</f>
        <v>0.9</v>
      </c>
      <c r="T1647" s="116">
        <f>InputData!$C$88</f>
        <v>180000</v>
      </c>
      <c r="U1647" s="116">
        <f>InputData!$C$81</f>
        <v>178500</v>
      </c>
      <c r="V1647" s="116">
        <f>InputData!$C$82</f>
        <v>303960</v>
      </c>
      <c r="W1647" s="116">
        <f>InputData!$C$84</f>
        <v>215220</v>
      </c>
      <c r="X1647" s="116">
        <f>InputData!$C$85</f>
        <v>409020</v>
      </c>
      <c r="Y1647" s="116">
        <f>InputData!$C$116</f>
        <v>140000</v>
      </c>
      <c r="Z1647" s="160">
        <f>InputData!$E$13</f>
        <v>0</v>
      </c>
    </row>
    <row r="1648" spans="1:26" x14ac:dyDescent="0.25">
      <c r="A1648">
        <f>InputData!$K$1</f>
        <v>2013</v>
      </c>
      <c r="B1648" t="str">
        <f>InputData!$G$1</f>
        <v>San Antonio, TX</v>
      </c>
      <c r="C1648" t="s">
        <v>11</v>
      </c>
      <c r="D1648" t="str">
        <f>Graph_IntMed!$R$6</f>
        <v>SELF</v>
      </c>
      <c r="E1648" t="str">
        <f t="shared" si="26"/>
        <v>Internal Medicine SELF</v>
      </c>
      <c r="F1648">
        <f>Graph_IntMed!A33</f>
        <v>2039</v>
      </c>
      <c r="G1648">
        <f>Graph_IntMed!B33</f>
        <v>27</v>
      </c>
      <c r="H1648" s="165">
        <f>Graph_IntMed!R33</f>
        <v>1828184.7109495252</v>
      </c>
      <c r="I1648" s="160">
        <f>InputData!$C$3</f>
        <v>0.02</v>
      </c>
      <c r="J1648" s="160">
        <f>InputData!$C$4</f>
        <v>0.01</v>
      </c>
      <c r="K1648" s="160">
        <f>InputData!$C$5</f>
        <v>0.01</v>
      </c>
      <c r="L1648" s="160">
        <f>InputData!$C$6</f>
        <v>6.2100000000000002E-2</v>
      </c>
      <c r="M1648" s="160">
        <f>InputData!$C$7</f>
        <v>0.03</v>
      </c>
      <c r="N1648" s="160">
        <f>InputData!$C$8</f>
        <v>0.02</v>
      </c>
      <c r="O1648" s="160">
        <f>InputData!$C$9</f>
        <v>0.06</v>
      </c>
      <c r="P1648" s="160">
        <f>InputData!$C$10</f>
        <v>0.02</v>
      </c>
      <c r="Q1648" s="160">
        <f>InputData!$C$11</f>
        <v>0.02</v>
      </c>
      <c r="R1648" s="160">
        <f>InputData!$C$12</f>
        <v>0.02</v>
      </c>
      <c r="S1648" s="160">
        <f>InputData!$C$13</f>
        <v>0.9</v>
      </c>
      <c r="T1648" s="116">
        <f>InputData!$C$88</f>
        <v>180000</v>
      </c>
      <c r="U1648" s="116">
        <f>InputData!$C$81</f>
        <v>178500</v>
      </c>
      <c r="V1648" s="116">
        <f>InputData!$C$82</f>
        <v>303960</v>
      </c>
      <c r="W1648" s="116">
        <f>InputData!$C$84</f>
        <v>215220</v>
      </c>
      <c r="X1648" s="116">
        <f>InputData!$C$85</f>
        <v>409020</v>
      </c>
      <c r="Y1648" s="116">
        <f>InputData!$C$116</f>
        <v>140000</v>
      </c>
      <c r="Z1648" s="160">
        <f>InputData!$E$13</f>
        <v>0</v>
      </c>
    </row>
    <row r="1649" spans="1:26" x14ac:dyDescent="0.25">
      <c r="A1649">
        <f>InputData!$K$1</f>
        <v>2013</v>
      </c>
      <c r="B1649" t="str">
        <f>InputData!$G$1</f>
        <v>San Antonio, TX</v>
      </c>
      <c r="C1649" t="s">
        <v>11</v>
      </c>
      <c r="D1649" t="str">
        <f>Graph_IntMed!$R$6</f>
        <v>SELF</v>
      </c>
      <c r="E1649" t="str">
        <f t="shared" si="26"/>
        <v>Internal Medicine SELF</v>
      </c>
      <c r="F1649">
        <f>Graph_IntMed!A34</f>
        <v>2040</v>
      </c>
      <c r="G1649">
        <f>Graph_IntMed!B34</f>
        <v>28</v>
      </c>
      <c r="H1649" s="165">
        <f>Graph_IntMed!R34</f>
        <v>1897086.1465407307</v>
      </c>
      <c r="I1649" s="160">
        <f>InputData!$C$3</f>
        <v>0.02</v>
      </c>
      <c r="J1649" s="160">
        <f>InputData!$C$4</f>
        <v>0.01</v>
      </c>
      <c r="K1649" s="160">
        <f>InputData!$C$5</f>
        <v>0.01</v>
      </c>
      <c r="L1649" s="160">
        <f>InputData!$C$6</f>
        <v>6.2100000000000002E-2</v>
      </c>
      <c r="M1649" s="160">
        <f>InputData!$C$7</f>
        <v>0.03</v>
      </c>
      <c r="N1649" s="160">
        <f>InputData!$C$8</f>
        <v>0.02</v>
      </c>
      <c r="O1649" s="160">
        <f>InputData!$C$9</f>
        <v>0.06</v>
      </c>
      <c r="P1649" s="160">
        <f>InputData!$C$10</f>
        <v>0.02</v>
      </c>
      <c r="Q1649" s="160">
        <f>InputData!$C$11</f>
        <v>0.02</v>
      </c>
      <c r="R1649" s="160">
        <f>InputData!$C$12</f>
        <v>0.02</v>
      </c>
      <c r="S1649" s="160">
        <f>InputData!$C$13</f>
        <v>0.9</v>
      </c>
      <c r="T1649" s="116">
        <f>InputData!$C$88</f>
        <v>180000</v>
      </c>
      <c r="U1649" s="116">
        <f>InputData!$C$81</f>
        <v>178500</v>
      </c>
      <c r="V1649" s="116">
        <f>InputData!$C$82</f>
        <v>303960</v>
      </c>
      <c r="W1649" s="116">
        <f>InputData!$C$84</f>
        <v>215220</v>
      </c>
      <c r="X1649" s="116">
        <f>InputData!$C$85</f>
        <v>409020</v>
      </c>
      <c r="Y1649" s="116">
        <f>InputData!$C$116</f>
        <v>140000</v>
      </c>
      <c r="Z1649" s="160">
        <f>InputData!$E$13</f>
        <v>0</v>
      </c>
    </row>
    <row r="1650" spans="1:26" x14ac:dyDescent="0.25">
      <c r="A1650">
        <f>InputData!$K$1</f>
        <v>2013</v>
      </c>
      <c r="B1650" t="str">
        <f>InputData!$G$1</f>
        <v>San Antonio, TX</v>
      </c>
      <c r="C1650" t="s">
        <v>11</v>
      </c>
      <c r="D1650" t="str">
        <f>Graph_IntMed!$R$6</f>
        <v>SELF</v>
      </c>
      <c r="E1650" t="str">
        <f t="shared" si="26"/>
        <v>Internal Medicine SELF</v>
      </c>
      <c r="F1650">
        <f>Graph_IntMed!A35</f>
        <v>2041</v>
      </c>
      <c r="G1650">
        <f>Graph_IntMed!B35</f>
        <v>29</v>
      </c>
      <c r="H1650" s="165">
        <f>Graph_IntMed!R35</f>
        <v>1964590.1541114657</v>
      </c>
      <c r="I1650" s="160">
        <f>InputData!$C$3</f>
        <v>0.02</v>
      </c>
      <c r="J1650" s="160">
        <f>InputData!$C$4</f>
        <v>0.01</v>
      </c>
      <c r="K1650" s="160">
        <f>InputData!$C$5</f>
        <v>0.01</v>
      </c>
      <c r="L1650" s="160">
        <f>InputData!$C$6</f>
        <v>6.2100000000000002E-2</v>
      </c>
      <c r="M1650" s="160">
        <f>InputData!$C$7</f>
        <v>0.03</v>
      </c>
      <c r="N1650" s="160">
        <f>InputData!$C$8</f>
        <v>0.02</v>
      </c>
      <c r="O1650" s="160">
        <f>InputData!$C$9</f>
        <v>0.06</v>
      </c>
      <c r="P1650" s="160">
        <f>InputData!$C$10</f>
        <v>0.02</v>
      </c>
      <c r="Q1650" s="160">
        <f>InputData!$C$11</f>
        <v>0.02</v>
      </c>
      <c r="R1650" s="160">
        <f>InputData!$C$12</f>
        <v>0.02</v>
      </c>
      <c r="S1650" s="160">
        <f>InputData!$C$13</f>
        <v>0.9</v>
      </c>
      <c r="T1650" s="116">
        <f>InputData!$C$88</f>
        <v>180000</v>
      </c>
      <c r="U1650" s="116">
        <f>InputData!$C$81</f>
        <v>178500</v>
      </c>
      <c r="V1650" s="116">
        <f>InputData!$C$82</f>
        <v>303960</v>
      </c>
      <c r="W1650" s="116">
        <f>InputData!$C$84</f>
        <v>215220</v>
      </c>
      <c r="X1650" s="116">
        <f>InputData!$C$85</f>
        <v>409020</v>
      </c>
      <c r="Y1650" s="116">
        <f>InputData!$C$116</f>
        <v>140000</v>
      </c>
      <c r="Z1650" s="160">
        <f>InputData!$E$13</f>
        <v>0</v>
      </c>
    </row>
    <row r="1651" spans="1:26" x14ac:dyDescent="0.25">
      <c r="A1651">
        <f>InputData!$K$1</f>
        <v>2013</v>
      </c>
      <c r="B1651" t="str">
        <f>InputData!$G$1</f>
        <v>San Antonio, TX</v>
      </c>
      <c r="C1651" t="s">
        <v>11</v>
      </c>
      <c r="D1651" t="str">
        <f>Graph_IntMed!$R$6</f>
        <v>SELF</v>
      </c>
      <c r="E1651" t="str">
        <f t="shared" si="26"/>
        <v>Internal Medicine SELF</v>
      </c>
      <c r="F1651">
        <f>Graph_IntMed!A36</f>
        <v>2042</v>
      </c>
      <c r="G1651">
        <f>Graph_IntMed!B36</f>
        <v>30</v>
      </c>
      <c r="H1651" s="165">
        <f>Graph_IntMed!R36</f>
        <v>2030725.4862348249</v>
      </c>
      <c r="I1651" s="160">
        <f>InputData!$C$3</f>
        <v>0.02</v>
      </c>
      <c r="J1651" s="160">
        <f>InputData!$C$4</f>
        <v>0.01</v>
      </c>
      <c r="K1651" s="160">
        <f>InputData!$C$5</f>
        <v>0.01</v>
      </c>
      <c r="L1651" s="160">
        <f>InputData!$C$6</f>
        <v>6.2100000000000002E-2</v>
      </c>
      <c r="M1651" s="160">
        <f>InputData!$C$7</f>
        <v>0.03</v>
      </c>
      <c r="N1651" s="160">
        <f>InputData!$C$8</f>
        <v>0.02</v>
      </c>
      <c r="O1651" s="160">
        <f>InputData!$C$9</f>
        <v>0.06</v>
      </c>
      <c r="P1651" s="160">
        <f>InputData!$C$10</f>
        <v>0.02</v>
      </c>
      <c r="Q1651" s="160">
        <f>InputData!$C$11</f>
        <v>0.02</v>
      </c>
      <c r="R1651" s="160">
        <f>InputData!$C$12</f>
        <v>0.02</v>
      </c>
      <c r="S1651" s="160">
        <f>InputData!$C$13</f>
        <v>0.9</v>
      </c>
      <c r="T1651" s="116">
        <f>InputData!$C$88</f>
        <v>180000</v>
      </c>
      <c r="U1651" s="116">
        <f>InputData!$C$81</f>
        <v>178500</v>
      </c>
      <c r="V1651" s="116">
        <f>InputData!$C$82</f>
        <v>303960</v>
      </c>
      <c r="W1651" s="116">
        <f>InputData!$C$84</f>
        <v>215220</v>
      </c>
      <c r="X1651" s="116">
        <f>InputData!$C$85</f>
        <v>409020</v>
      </c>
      <c r="Y1651" s="116">
        <f>InputData!$C$116</f>
        <v>140000</v>
      </c>
      <c r="Z1651" s="160">
        <f>InputData!$E$13</f>
        <v>0</v>
      </c>
    </row>
    <row r="1652" spans="1:26" x14ac:dyDescent="0.25">
      <c r="A1652">
        <f>InputData!$K$1</f>
        <v>2013</v>
      </c>
      <c r="B1652" t="str">
        <f>InputData!$G$1</f>
        <v>San Antonio, TX</v>
      </c>
      <c r="C1652" t="s">
        <v>177</v>
      </c>
      <c r="D1652" t="str">
        <f>Graph_Ortho!$P$6</f>
        <v>SELF</v>
      </c>
      <c r="E1652" t="str">
        <f t="shared" si="26"/>
        <v>Orthopedics SELF</v>
      </c>
      <c r="F1652">
        <f>Graph_Ortho!A7</f>
        <v>2013</v>
      </c>
      <c r="G1652">
        <f>Graph_Ortho!B7</f>
        <v>1</v>
      </c>
      <c r="H1652" s="165">
        <f>Graph_Ortho!P7</f>
        <v>0</v>
      </c>
      <c r="I1652" s="160">
        <f>InputData!$C$3</f>
        <v>0.02</v>
      </c>
      <c r="J1652" s="160">
        <f>InputData!$C$4</f>
        <v>0.01</v>
      </c>
      <c r="K1652" s="160">
        <f>InputData!$C$5</f>
        <v>0.01</v>
      </c>
      <c r="L1652" s="160">
        <f>InputData!$C$6</f>
        <v>6.2100000000000002E-2</v>
      </c>
      <c r="M1652" s="160">
        <f>InputData!$C$7</f>
        <v>0.03</v>
      </c>
      <c r="N1652" s="160">
        <f>InputData!$C$8</f>
        <v>0.02</v>
      </c>
      <c r="O1652" s="160">
        <f>InputData!$C$9</f>
        <v>0.06</v>
      </c>
      <c r="P1652" s="160">
        <f>InputData!$C$10</f>
        <v>0.02</v>
      </c>
      <c r="Q1652" s="160">
        <f>InputData!$C$11</f>
        <v>0.02</v>
      </c>
      <c r="R1652" s="160">
        <f>InputData!$C$12</f>
        <v>0.02</v>
      </c>
      <c r="S1652" s="160">
        <f>InputData!$C$13</f>
        <v>0.9</v>
      </c>
      <c r="T1652" s="116">
        <f>InputData!$C$88</f>
        <v>180000</v>
      </c>
      <c r="U1652" s="116">
        <f>InputData!$C$81</f>
        <v>178500</v>
      </c>
      <c r="V1652" s="116">
        <f>InputData!$C$82</f>
        <v>303960</v>
      </c>
      <c r="W1652" s="116">
        <f>InputData!$C$84</f>
        <v>215220</v>
      </c>
      <c r="X1652" s="116">
        <f>InputData!$C$85</f>
        <v>409020</v>
      </c>
      <c r="Y1652" s="116">
        <f>InputData!$C$116</f>
        <v>140000</v>
      </c>
      <c r="Z1652" s="160">
        <f>InputData!$E$13</f>
        <v>0</v>
      </c>
    </row>
    <row r="1653" spans="1:26" x14ac:dyDescent="0.25">
      <c r="A1653">
        <f>InputData!$K$1</f>
        <v>2013</v>
      </c>
      <c r="B1653" t="str">
        <f>InputData!$G$1</f>
        <v>San Antonio, TX</v>
      </c>
      <c r="C1653" t="s">
        <v>177</v>
      </c>
      <c r="D1653" t="str">
        <f>Graph_Ortho!$P$6</f>
        <v>SELF</v>
      </c>
      <c r="E1653" t="str">
        <f t="shared" si="26"/>
        <v>Orthopedics SELF</v>
      </c>
      <c r="F1653">
        <f>Graph_Ortho!A8</f>
        <v>2014</v>
      </c>
      <c r="G1653">
        <f>Graph_Ortho!B8</f>
        <v>2</v>
      </c>
      <c r="H1653" s="165">
        <f>Graph_Ortho!P8</f>
        <v>0</v>
      </c>
      <c r="I1653" s="160">
        <f>InputData!$C$3</f>
        <v>0.02</v>
      </c>
      <c r="J1653" s="160">
        <f>InputData!$C$4</f>
        <v>0.01</v>
      </c>
      <c r="K1653" s="160">
        <f>InputData!$C$5</f>
        <v>0.01</v>
      </c>
      <c r="L1653" s="160">
        <f>InputData!$C$6</f>
        <v>6.2100000000000002E-2</v>
      </c>
      <c r="M1653" s="160">
        <f>InputData!$C$7</f>
        <v>0.03</v>
      </c>
      <c r="N1653" s="160">
        <f>InputData!$C$8</f>
        <v>0.02</v>
      </c>
      <c r="O1653" s="160">
        <f>InputData!$C$9</f>
        <v>0.06</v>
      </c>
      <c r="P1653" s="160">
        <f>InputData!$C$10</f>
        <v>0.02</v>
      </c>
      <c r="Q1653" s="160">
        <f>InputData!$C$11</f>
        <v>0.02</v>
      </c>
      <c r="R1653" s="160">
        <f>InputData!$C$12</f>
        <v>0.02</v>
      </c>
      <c r="S1653" s="160">
        <f>InputData!$C$13</f>
        <v>0.9</v>
      </c>
      <c r="T1653" s="116">
        <f>InputData!$C$88</f>
        <v>180000</v>
      </c>
      <c r="U1653" s="116">
        <f>InputData!$C$81</f>
        <v>178500</v>
      </c>
      <c r="V1653" s="116">
        <f>InputData!$C$82</f>
        <v>303960</v>
      </c>
      <c r="W1653" s="116">
        <f>InputData!$C$84</f>
        <v>215220</v>
      </c>
      <c r="X1653" s="116">
        <f>InputData!$C$85</f>
        <v>409020</v>
      </c>
      <c r="Y1653" s="116">
        <f>InputData!$C$116</f>
        <v>140000</v>
      </c>
      <c r="Z1653" s="160">
        <f>InputData!$E$13</f>
        <v>0</v>
      </c>
    </row>
    <row r="1654" spans="1:26" x14ac:dyDescent="0.25">
      <c r="A1654">
        <f>InputData!$K$1</f>
        <v>2013</v>
      </c>
      <c r="B1654" t="str">
        <f>InputData!$G$1</f>
        <v>San Antonio, TX</v>
      </c>
      <c r="C1654" t="s">
        <v>177</v>
      </c>
      <c r="D1654" t="str">
        <f>Graph_Ortho!$P$6</f>
        <v>SELF</v>
      </c>
      <c r="E1654" t="str">
        <f t="shared" si="26"/>
        <v>Orthopedics SELF</v>
      </c>
      <c r="F1654">
        <f>Graph_Ortho!A9</f>
        <v>2015</v>
      </c>
      <c r="G1654">
        <f>Graph_Ortho!B9</f>
        <v>3</v>
      </c>
      <c r="H1654" s="165">
        <f>Graph_Ortho!P9</f>
        <v>0</v>
      </c>
      <c r="I1654" s="160">
        <f>InputData!$C$3</f>
        <v>0.02</v>
      </c>
      <c r="J1654" s="160">
        <f>InputData!$C$4</f>
        <v>0.01</v>
      </c>
      <c r="K1654" s="160">
        <f>InputData!$C$5</f>
        <v>0.01</v>
      </c>
      <c r="L1654" s="160">
        <f>InputData!$C$6</f>
        <v>6.2100000000000002E-2</v>
      </c>
      <c r="M1654" s="160">
        <f>InputData!$C$7</f>
        <v>0.03</v>
      </c>
      <c r="N1654" s="160">
        <f>InputData!$C$8</f>
        <v>0.02</v>
      </c>
      <c r="O1654" s="160">
        <f>InputData!$C$9</f>
        <v>0.06</v>
      </c>
      <c r="P1654" s="160">
        <f>InputData!$C$10</f>
        <v>0.02</v>
      </c>
      <c r="Q1654" s="160">
        <f>InputData!$C$11</f>
        <v>0.02</v>
      </c>
      <c r="R1654" s="160">
        <f>InputData!$C$12</f>
        <v>0.02</v>
      </c>
      <c r="S1654" s="160">
        <f>InputData!$C$13</f>
        <v>0.9</v>
      </c>
      <c r="T1654" s="116">
        <f>InputData!$C$88</f>
        <v>180000</v>
      </c>
      <c r="U1654" s="116">
        <f>InputData!$C$81</f>
        <v>178500</v>
      </c>
      <c r="V1654" s="116">
        <f>InputData!$C$82</f>
        <v>303960</v>
      </c>
      <c r="W1654" s="116">
        <f>InputData!$C$84</f>
        <v>215220</v>
      </c>
      <c r="X1654" s="116">
        <f>InputData!$C$85</f>
        <v>409020</v>
      </c>
      <c r="Y1654" s="116">
        <f>InputData!$C$116</f>
        <v>140000</v>
      </c>
      <c r="Z1654" s="160">
        <f>InputData!$E$13</f>
        <v>0</v>
      </c>
    </row>
    <row r="1655" spans="1:26" x14ac:dyDescent="0.25">
      <c r="A1655">
        <f>InputData!$K$1</f>
        <v>2013</v>
      </c>
      <c r="B1655" t="str">
        <f>InputData!$G$1</f>
        <v>San Antonio, TX</v>
      </c>
      <c r="C1655" t="s">
        <v>177</v>
      </c>
      <c r="D1655" t="str">
        <f>Graph_Ortho!$P$6</f>
        <v>SELF</v>
      </c>
      <c r="E1655" t="str">
        <f t="shared" si="26"/>
        <v>Orthopedics SELF</v>
      </c>
      <c r="F1655">
        <f>Graph_Ortho!A10</f>
        <v>2016</v>
      </c>
      <c r="G1655">
        <f>Graph_Ortho!B10</f>
        <v>4</v>
      </c>
      <c r="H1655" s="165">
        <f>Graph_Ortho!P10</f>
        <v>0</v>
      </c>
      <c r="I1655" s="160">
        <f>InputData!$C$3</f>
        <v>0.02</v>
      </c>
      <c r="J1655" s="160">
        <f>InputData!$C$4</f>
        <v>0.01</v>
      </c>
      <c r="K1655" s="160">
        <f>InputData!$C$5</f>
        <v>0.01</v>
      </c>
      <c r="L1655" s="160">
        <f>InputData!$C$6</f>
        <v>6.2100000000000002E-2</v>
      </c>
      <c r="M1655" s="160">
        <f>InputData!$C$7</f>
        <v>0.03</v>
      </c>
      <c r="N1655" s="160">
        <f>InputData!$C$8</f>
        <v>0.02</v>
      </c>
      <c r="O1655" s="160">
        <f>InputData!$C$9</f>
        <v>0.06</v>
      </c>
      <c r="P1655" s="160">
        <f>InputData!$C$10</f>
        <v>0.02</v>
      </c>
      <c r="Q1655" s="160">
        <f>InputData!$C$11</f>
        <v>0.02</v>
      </c>
      <c r="R1655" s="160">
        <f>InputData!$C$12</f>
        <v>0.02</v>
      </c>
      <c r="S1655" s="160">
        <f>InputData!$C$13</f>
        <v>0.9</v>
      </c>
      <c r="T1655" s="116">
        <f>InputData!$C$88</f>
        <v>180000</v>
      </c>
      <c r="U1655" s="116">
        <f>InputData!$C$81</f>
        <v>178500</v>
      </c>
      <c r="V1655" s="116">
        <f>InputData!$C$82</f>
        <v>303960</v>
      </c>
      <c r="W1655" s="116">
        <f>InputData!$C$84</f>
        <v>215220</v>
      </c>
      <c r="X1655" s="116">
        <f>InputData!$C$85</f>
        <v>409020</v>
      </c>
      <c r="Y1655" s="116">
        <f>InputData!$C$116</f>
        <v>140000</v>
      </c>
      <c r="Z1655" s="160">
        <f>InputData!$E$13</f>
        <v>0</v>
      </c>
    </row>
    <row r="1656" spans="1:26" x14ac:dyDescent="0.25">
      <c r="A1656">
        <f>InputData!$K$1</f>
        <v>2013</v>
      </c>
      <c r="B1656" t="str">
        <f>InputData!$G$1</f>
        <v>San Antonio, TX</v>
      </c>
      <c r="C1656" t="s">
        <v>177</v>
      </c>
      <c r="D1656" t="str">
        <f>Graph_Ortho!$P$6</f>
        <v>SELF</v>
      </c>
      <c r="E1656" t="str">
        <f t="shared" si="26"/>
        <v>Orthopedics SELF</v>
      </c>
      <c r="F1656">
        <f>Graph_Ortho!A11</f>
        <v>2017</v>
      </c>
      <c r="G1656">
        <f>Graph_Ortho!B11</f>
        <v>5</v>
      </c>
      <c r="H1656" s="165">
        <f>Graph_Ortho!P11</f>
        <v>35886.328601905836</v>
      </c>
      <c r="I1656" s="160">
        <f>InputData!$C$3</f>
        <v>0.02</v>
      </c>
      <c r="J1656" s="160">
        <f>InputData!$C$4</f>
        <v>0.01</v>
      </c>
      <c r="K1656" s="160">
        <f>InputData!$C$5</f>
        <v>0.01</v>
      </c>
      <c r="L1656" s="160">
        <f>InputData!$C$6</f>
        <v>6.2100000000000002E-2</v>
      </c>
      <c r="M1656" s="160">
        <f>InputData!$C$7</f>
        <v>0.03</v>
      </c>
      <c r="N1656" s="160">
        <f>InputData!$C$8</f>
        <v>0.02</v>
      </c>
      <c r="O1656" s="160">
        <f>InputData!$C$9</f>
        <v>0.06</v>
      </c>
      <c r="P1656" s="160">
        <f>InputData!$C$10</f>
        <v>0.02</v>
      </c>
      <c r="Q1656" s="160">
        <f>InputData!$C$11</f>
        <v>0.02</v>
      </c>
      <c r="R1656" s="160">
        <f>InputData!$C$12</f>
        <v>0.02</v>
      </c>
      <c r="S1656" s="160">
        <f>InputData!$C$13</f>
        <v>0.9</v>
      </c>
      <c r="T1656" s="116">
        <f>InputData!$C$88</f>
        <v>180000</v>
      </c>
      <c r="U1656" s="116">
        <f>InputData!$C$81</f>
        <v>178500</v>
      </c>
      <c r="V1656" s="116">
        <f>InputData!$C$82</f>
        <v>303960</v>
      </c>
      <c r="W1656" s="116">
        <f>InputData!$C$84</f>
        <v>215220</v>
      </c>
      <c r="X1656" s="116">
        <f>InputData!$C$85</f>
        <v>409020</v>
      </c>
      <c r="Y1656" s="116">
        <f>InputData!$C$116</f>
        <v>140000</v>
      </c>
      <c r="Z1656" s="160">
        <f>InputData!$E$13</f>
        <v>0</v>
      </c>
    </row>
    <row r="1657" spans="1:26" x14ac:dyDescent="0.25">
      <c r="A1657">
        <f>InputData!$K$1</f>
        <v>2013</v>
      </c>
      <c r="B1657" t="str">
        <f>InputData!$G$1</f>
        <v>San Antonio, TX</v>
      </c>
      <c r="C1657" t="s">
        <v>177</v>
      </c>
      <c r="D1657" t="str">
        <f>Graph_Ortho!$P$6</f>
        <v>SELF</v>
      </c>
      <c r="E1657" t="str">
        <f t="shared" si="26"/>
        <v>Orthopedics SELF</v>
      </c>
      <c r="F1657">
        <f>Graph_Ortho!A12</f>
        <v>2018</v>
      </c>
      <c r="G1657">
        <f>Graph_Ortho!B12</f>
        <v>6</v>
      </c>
      <c r="H1657" s="165">
        <f>Graph_Ortho!P12</f>
        <v>71871.450910563319</v>
      </c>
      <c r="I1657" s="160">
        <f>InputData!$C$3</f>
        <v>0.02</v>
      </c>
      <c r="J1657" s="160">
        <f>InputData!$C$4</f>
        <v>0.01</v>
      </c>
      <c r="K1657" s="160">
        <f>InputData!$C$5</f>
        <v>0.01</v>
      </c>
      <c r="L1657" s="160">
        <f>InputData!$C$6</f>
        <v>6.2100000000000002E-2</v>
      </c>
      <c r="M1657" s="160">
        <f>InputData!$C$7</f>
        <v>0.03</v>
      </c>
      <c r="N1657" s="160">
        <f>InputData!$C$8</f>
        <v>0.02</v>
      </c>
      <c r="O1657" s="160">
        <f>InputData!$C$9</f>
        <v>0.06</v>
      </c>
      <c r="P1657" s="160">
        <f>InputData!$C$10</f>
        <v>0.02</v>
      </c>
      <c r="Q1657" s="160">
        <f>InputData!$C$11</f>
        <v>0.02</v>
      </c>
      <c r="R1657" s="160">
        <f>InputData!$C$12</f>
        <v>0.02</v>
      </c>
      <c r="S1657" s="160">
        <f>InputData!$C$13</f>
        <v>0.9</v>
      </c>
      <c r="T1657" s="116">
        <f>InputData!$C$88</f>
        <v>180000</v>
      </c>
      <c r="U1657" s="116">
        <f>InputData!$C$81</f>
        <v>178500</v>
      </c>
      <c r="V1657" s="116">
        <f>InputData!$C$82</f>
        <v>303960</v>
      </c>
      <c r="W1657" s="116">
        <f>InputData!$C$84</f>
        <v>215220</v>
      </c>
      <c r="X1657" s="116">
        <f>InputData!$C$85</f>
        <v>409020</v>
      </c>
      <c r="Y1657" s="116">
        <f>InputData!$C$116</f>
        <v>140000</v>
      </c>
      <c r="Z1657" s="160">
        <f>InputData!$E$13</f>
        <v>0</v>
      </c>
    </row>
    <row r="1658" spans="1:26" x14ac:dyDescent="0.25">
      <c r="A1658">
        <f>InputData!$K$1</f>
        <v>2013</v>
      </c>
      <c r="B1658" t="str">
        <f>InputData!$G$1</f>
        <v>San Antonio, TX</v>
      </c>
      <c r="C1658" t="s">
        <v>177</v>
      </c>
      <c r="D1658" t="str">
        <f>Graph_Ortho!$P$6</f>
        <v>SELF</v>
      </c>
      <c r="E1658" t="str">
        <f t="shared" si="26"/>
        <v>Orthopedics SELF</v>
      </c>
      <c r="F1658">
        <f>Graph_Ortho!A13</f>
        <v>2019</v>
      </c>
      <c r="G1658">
        <f>Graph_Ortho!B13</f>
        <v>7</v>
      </c>
      <c r="H1658" s="165">
        <f>Graph_Ortho!P13</f>
        <v>107962.72535202681</v>
      </c>
      <c r="I1658" s="160">
        <f>InputData!$C$3</f>
        <v>0.02</v>
      </c>
      <c r="J1658" s="160">
        <f>InputData!$C$4</f>
        <v>0.01</v>
      </c>
      <c r="K1658" s="160">
        <f>InputData!$C$5</f>
        <v>0.01</v>
      </c>
      <c r="L1658" s="160">
        <f>InputData!$C$6</f>
        <v>6.2100000000000002E-2</v>
      </c>
      <c r="M1658" s="160">
        <f>InputData!$C$7</f>
        <v>0.03</v>
      </c>
      <c r="N1658" s="160">
        <f>InputData!$C$8</f>
        <v>0.02</v>
      </c>
      <c r="O1658" s="160">
        <f>InputData!$C$9</f>
        <v>0.06</v>
      </c>
      <c r="P1658" s="160">
        <f>InputData!$C$10</f>
        <v>0.02</v>
      </c>
      <c r="Q1658" s="160">
        <f>InputData!$C$11</f>
        <v>0.02</v>
      </c>
      <c r="R1658" s="160">
        <f>InputData!$C$12</f>
        <v>0.02</v>
      </c>
      <c r="S1658" s="160">
        <f>InputData!$C$13</f>
        <v>0.9</v>
      </c>
      <c r="T1658" s="116">
        <f>InputData!$C$88</f>
        <v>180000</v>
      </c>
      <c r="U1658" s="116">
        <f>InputData!$C$81</f>
        <v>178500</v>
      </c>
      <c r="V1658" s="116">
        <f>InputData!$C$82</f>
        <v>303960</v>
      </c>
      <c r="W1658" s="116">
        <f>InputData!$C$84</f>
        <v>215220</v>
      </c>
      <c r="X1658" s="116">
        <f>InputData!$C$85</f>
        <v>409020</v>
      </c>
      <c r="Y1658" s="116">
        <f>InputData!$C$116</f>
        <v>140000</v>
      </c>
      <c r="Z1658" s="160">
        <f>InputData!$E$13</f>
        <v>0</v>
      </c>
    </row>
    <row r="1659" spans="1:26" x14ac:dyDescent="0.25">
      <c r="A1659">
        <f>InputData!$K$1</f>
        <v>2013</v>
      </c>
      <c r="B1659" t="str">
        <f>InputData!$G$1</f>
        <v>San Antonio, TX</v>
      </c>
      <c r="C1659" t="s">
        <v>177</v>
      </c>
      <c r="D1659" t="str">
        <f>Graph_Ortho!$P$6</f>
        <v>SELF</v>
      </c>
      <c r="E1659" t="str">
        <f t="shared" si="26"/>
        <v>Orthopedics SELF</v>
      </c>
      <c r="F1659">
        <f>Graph_Ortho!A14</f>
        <v>2020</v>
      </c>
      <c r="G1659">
        <f>Graph_Ortho!B14</f>
        <v>8</v>
      </c>
      <c r="H1659" s="165">
        <f>Graph_Ortho!P14</f>
        <v>144167.38761271787</v>
      </c>
      <c r="I1659" s="160">
        <f>InputData!$C$3</f>
        <v>0.02</v>
      </c>
      <c r="J1659" s="160">
        <f>InputData!$C$4</f>
        <v>0.01</v>
      </c>
      <c r="K1659" s="160">
        <f>InputData!$C$5</f>
        <v>0.01</v>
      </c>
      <c r="L1659" s="160">
        <f>InputData!$C$6</f>
        <v>6.2100000000000002E-2</v>
      </c>
      <c r="M1659" s="160">
        <f>InputData!$C$7</f>
        <v>0.03</v>
      </c>
      <c r="N1659" s="160">
        <f>InputData!$C$8</f>
        <v>0.02</v>
      </c>
      <c r="O1659" s="160">
        <f>InputData!$C$9</f>
        <v>0.06</v>
      </c>
      <c r="P1659" s="160">
        <f>InputData!$C$10</f>
        <v>0.02</v>
      </c>
      <c r="Q1659" s="160">
        <f>InputData!$C$11</f>
        <v>0.02</v>
      </c>
      <c r="R1659" s="160">
        <f>InputData!$C$12</f>
        <v>0.02</v>
      </c>
      <c r="S1659" s="160">
        <f>InputData!$C$13</f>
        <v>0.9</v>
      </c>
      <c r="T1659" s="116">
        <f>InputData!$C$88</f>
        <v>180000</v>
      </c>
      <c r="U1659" s="116">
        <f>InputData!$C$81</f>
        <v>178500</v>
      </c>
      <c r="V1659" s="116">
        <f>InputData!$C$82</f>
        <v>303960</v>
      </c>
      <c r="W1659" s="116">
        <f>InputData!$C$84</f>
        <v>215220</v>
      </c>
      <c r="X1659" s="116">
        <f>InputData!$C$85</f>
        <v>409020</v>
      </c>
      <c r="Y1659" s="116">
        <f>InputData!$C$116</f>
        <v>140000</v>
      </c>
      <c r="Z1659" s="160">
        <f>InputData!$E$13</f>
        <v>0</v>
      </c>
    </row>
    <row r="1660" spans="1:26" x14ac:dyDescent="0.25">
      <c r="A1660">
        <f>InputData!$K$1</f>
        <v>2013</v>
      </c>
      <c r="B1660" t="str">
        <f>InputData!$G$1</f>
        <v>San Antonio, TX</v>
      </c>
      <c r="C1660" t="s">
        <v>177</v>
      </c>
      <c r="D1660" t="str">
        <f>Graph_Ortho!$P$6</f>
        <v>SELF</v>
      </c>
      <c r="E1660" t="str">
        <f t="shared" si="26"/>
        <v>Orthopedics SELF</v>
      </c>
      <c r="F1660">
        <f>Graph_Ortho!A15</f>
        <v>2021</v>
      </c>
      <c r="G1660">
        <f>Graph_Ortho!B15</f>
        <v>9</v>
      </c>
      <c r="H1660" s="165">
        <f>Graph_Ortho!P15</f>
        <v>180492.55503378765</v>
      </c>
      <c r="I1660" s="160">
        <f>InputData!$C$3</f>
        <v>0.02</v>
      </c>
      <c r="J1660" s="160">
        <f>InputData!$C$4</f>
        <v>0.01</v>
      </c>
      <c r="K1660" s="160">
        <f>InputData!$C$5</f>
        <v>0.01</v>
      </c>
      <c r="L1660" s="160">
        <f>InputData!$C$6</f>
        <v>6.2100000000000002E-2</v>
      </c>
      <c r="M1660" s="160">
        <f>InputData!$C$7</f>
        <v>0.03</v>
      </c>
      <c r="N1660" s="160">
        <f>InputData!$C$8</f>
        <v>0.02</v>
      </c>
      <c r="O1660" s="160">
        <f>InputData!$C$9</f>
        <v>0.06</v>
      </c>
      <c r="P1660" s="160">
        <f>InputData!$C$10</f>
        <v>0.02</v>
      </c>
      <c r="Q1660" s="160">
        <f>InputData!$C$11</f>
        <v>0.02</v>
      </c>
      <c r="R1660" s="160">
        <f>InputData!$C$12</f>
        <v>0.02</v>
      </c>
      <c r="S1660" s="160">
        <f>InputData!$C$13</f>
        <v>0.9</v>
      </c>
      <c r="T1660" s="116">
        <f>InputData!$C$88</f>
        <v>180000</v>
      </c>
      <c r="U1660" s="116">
        <f>InputData!$C$81</f>
        <v>178500</v>
      </c>
      <c r="V1660" s="116">
        <f>InputData!$C$82</f>
        <v>303960</v>
      </c>
      <c r="W1660" s="116">
        <f>InputData!$C$84</f>
        <v>215220</v>
      </c>
      <c r="X1660" s="116">
        <f>InputData!$C$85</f>
        <v>409020</v>
      </c>
      <c r="Y1660" s="116">
        <f>InputData!$C$116</f>
        <v>140000</v>
      </c>
      <c r="Z1660" s="160">
        <f>InputData!$E$13</f>
        <v>0</v>
      </c>
    </row>
    <row r="1661" spans="1:26" x14ac:dyDescent="0.25">
      <c r="A1661">
        <f>InputData!$K$1</f>
        <v>2013</v>
      </c>
      <c r="B1661" t="str">
        <f>InputData!$G$1</f>
        <v>San Antonio, TX</v>
      </c>
      <c r="C1661" t="s">
        <v>177</v>
      </c>
      <c r="D1661" t="str">
        <f>Graph_Ortho!$P$6</f>
        <v>SELF</v>
      </c>
      <c r="E1661" t="str">
        <f t="shared" si="26"/>
        <v>Orthopedics SELF</v>
      </c>
      <c r="F1661">
        <f>Graph_Ortho!A16</f>
        <v>2022</v>
      </c>
      <c r="G1661">
        <f>Graph_Ortho!B16</f>
        <v>10</v>
      </c>
      <c r="H1661" s="165">
        <f>Graph_Ortho!P16</f>
        <v>394108.02740425291</v>
      </c>
      <c r="I1661" s="160">
        <f>InputData!$C$3</f>
        <v>0.02</v>
      </c>
      <c r="J1661" s="160">
        <f>InputData!$C$4</f>
        <v>0.01</v>
      </c>
      <c r="K1661" s="160">
        <f>InputData!$C$5</f>
        <v>0.01</v>
      </c>
      <c r="L1661" s="160">
        <f>InputData!$C$6</f>
        <v>6.2100000000000002E-2</v>
      </c>
      <c r="M1661" s="160">
        <f>InputData!$C$7</f>
        <v>0.03</v>
      </c>
      <c r="N1661" s="160">
        <f>InputData!$C$8</f>
        <v>0.02</v>
      </c>
      <c r="O1661" s="160">
        <f>InputData!$C$9</f>
        <v>0.06</v>
      </c>
      <c r="P1661" s="160">
        <f>InputData!$C$10</f>
        <v>0.02</v>
      </c>
      <c r="Q1661" s="160">
        <f>InputData!$C$11</f>
        <v>0.02</v>
      </c>
      <c r="R1661" s="160">
        <f>InputData!$C$12</f>
        <v>0.02</v>
      </c>
      <c r="S1661" s="160">
        <f>InputData!$C$13</f>
        <v>0.9</v>
      </c>
      <c r="T1661" s="116">
        <f>InputData!$C$88</f>
        <v>180000</v>
      </c>
      <c r="U1661" s="116">
        <f>InputData!$C$81</f>
        <v>178500</v>
      </c>
      <c r="V1661" s="116">
        <f>InputData!$C$82</f>
        <v>303960</v>
      </c>
      <c r="W1661" s="116">
        <f>InputData!$C$84</f>
        <v>215220</v>
      </c>
      <c r="X1661" s="116">
        <f>InputData!$C$85</f>
        <v>409020</v>
      </c>
      <c r="Y1661" s="116">
        <f>InputData!$C$116</f>
        <v>140000</v>
      </c>
      <c r="Z1661" s="160">
        <f>InputData!$E$13</f>
        <v>0</v>
      </c>
    </row>
    <row r="1662" spans="1:26" x14ac:dyDescent="0.25">
      <c r="A1662">
        <f>InputData!$K$1</f>
        <v>2013</v>
      </c>
      <c r="B1662" t="str">
        <f>InputData!$G$1</f>
        <v>San Antonio, TX</v>
      </c>
      <c r="C1662" t="s">
        <v>177</v>
      </c>
      <c r="D1662" t="str">
        <f>Graph_Ortho!$P$6</f>
        <v>SELF</v>
      </c>
      <c r="E1662" t="str">
        <f t="shared" si="26"/>
        <v>Orthopedics SELF</v>
      </c>
      <c r="F1662">
        <f>Graph_Ortho!A17</f>
        <v>2023</v>
      </c>
      <c r="G1662">
        <f>Graph_Ortho!B17</f>
        <v>11</v>
      </c>
      <c r="H1662" s="165">
        <f>Graph_Ortho!P17</f>
        <v>601501.68989985029</v>
      </c>
      <c r="I1662" s="160">
        <f>InputData!$C$3</f>
        <v>0.02</v>
      </c>
      <c r="J1662" s="160">
        <f>InputData!$C$4</f>
        <v>0.01</v>
      </c>
      <c r="K1662" s="160">
        <f>InputData!$C$5</f>
        <v>0.01</v>
      </c>
      <c r="L1662" s="160">
        <f>InputData!$C$6</f>
        <v>6.2100000000000002E-2</v>
      </c>
      <c r="M1662" s="160">
        <f>InputData!$C$7</f>
        <v>0.03</v>
      </c>
      <c r="N1662" s="160">
        <f>InputData!$C$8</f>
        <v>0.02</v>
      </c>
      <c r="O1662" s="160">
        <f>InputData!$C$9</f>
        <v>0.06</v>
      </c>
      <c r="P1662" s="160">
        <f>InputData!$C$10</f>
        <v>0.02</v>
      </c>
      <c r="Q1662" s="160">
        <f>InputData!$C$11</f>
        <v>0.02</v>
      </c>
      <c r="R1662" s="160">
        <f>InputData!$C$12</f>
        <v>0.02</v>
      </c>
      <c r="S1662" s="160">
        <f>InputData!$C$13</f>
        <v>0.9</v>
      </c>
      <c r="T1662" s="116">
        <f>InputData!$C$88</f>
        <v>180000</v>
      </c>
      <c r="U1662" s="116">
        <f>InputData!$C$81</f>
        <v>178500</v>
      </c>
      <c r="V1662" s="116">
        <f>InputData!$C$82</f>
        <v>303960</v>
      </c>
      <c r="W1662" s="116">
        <f>InputData!$C$84</f>
        <v>215220</v>
      </c>
      <c r="X1662" s="116">
        <f>InputData!$C$85</f>
        <v>409020</v>
      </c>
      <c r="Y1662" s="116">
        <f>InputData!$C$116</f>
        <v>140000</v>
      </c>
      <c r="Z1662" s="160">
        <f>InputData!$E$13</f>
        <v>0</v>
      </c>
    </row>
    <row r="1663" spans="1:26" x14ac:dyDescent="0.25">
      <c r="A1663">
        <f>InputData!$K$1</f>
        <v>2013</v>
      </c>
      <c r="B1663" t="str">
        <f>InputData!$G$1</f>
        <v>San Antonio, TX</v>
      </c>
      <c r="C1663" t="s">
        <v>177</v>
      </c>
      <c r="D1663" t="str">
        <f>Graph_Ortho!$P$6</f>
        <v>SELF</v>
      </c>
      <c r="E1663" t="str">
        <f t="shared" si="26"/>
        <v>Orthopedics SELF</v>
      </c>
      <c r="F1663">
        <f>Graph_Ortho!A18</f>
        <v>2024</v>
      </c>
      <c r="G1663">
        <f>Graph_Ortho!B18</f>
        <v>12</v>
      </c>
      <c r="H1663" s="165">
        <f>Graph_Ortho!P18</f>
        <v>804562.48832757084</v>
      </c>
      <c r="I1663" s="160">
        <f>InputData!$C$3</f>
        <v>0.02</v>
      </c>
      <c r="J1663" s="160">
        <f>InputData!$C$4</f>
        <v>0.01</v>
      </c>
      <c r="K1663" s="160">
        <f>InputData!$C$5</f>
        <v>0.01</v>
      </c>
      <c r="L1663" s="160">
        <f>InputData!$C$6</f>
        <v>6.2100000000000002E-2</v>
      </c>
      <c r="M1663" s="160">
        <f>InputData!$C$7</f>
        <v>0.03</v>
      </c>
      <c r="N1663" s="160">
        <f>InputData!$C$8</f>
        <v>0.02</v>
      </c>
      <c r="O1663" s="160">
        <f>InputData!$C$9</f>
        <v>0.06</v>
      </c>
      <c r="P1663" s="160">
        <f>InputData!$C$10</f>
        <v>0.02</v>
      </c>
      <c r="Q1663" s="160">
        <f>InputData!$C$11</f>
        <v>0.02</v>
      </c>
      <c r="R1663" s="160">
        <f>InputData!$C$12</f>
        <v>0.02</v>
      </c>
      <c r="S1663" s="160">
        <f>InputData!$C$13</f>
        <v>0.9</v>
      </c>
      <c r="T1663" s="116">
        <f>InputData!$C$88</f>
        <v>180000</v>
      </c>
      <c r="U1663" s="116">
        <f>InputData!$C$81</f>
        <v>178500</v>
      </c>
      <c r="V1663" s="116">
        <f>InputData!$C$82</f>
        <v>303960</v>
      </c>
      <c r="W1663" s="116">
        <f>InputData!$C$84</f>
        <v>215220</v>
      </c>
      <c r="X1663" s="116">
        <f>InputData!$C$85</f>
        <v>409020</v>
      </c>
      <c r="Y1663" s="116">
        <f>InputData!$C$116</f>
        <v>140000</v>
      </c>
      <c r="Z1663" s="160">
        <f>InputData!$E$13</f>
        <v>0</v>
      </c>
    </row>
    <row r="1664" spans="1:26" x14ac:dyDescent="0.25">
      <c r="A1664">
        <f>InputData!$K$1</f>
        <v>2013</v>
      </c>
      <c r="B1664" t="str">
        <f>InputData!$G$1</f>
        <v>San Antonio, TX</v>
      </c>
      <c r="C1664" t="s">
        <v>177</v>
      </c>
      <c r="D1664" t="str">
        <f>Graph_Ortho!$P$6</f>
        <v>SELF</v>
      </c>
      <c r="E1664" t="str">
        <f t="shared" si="26"/>
        <v>Orthopedics SELF</v>
      </c>
      <c r="F1664">
        <f>Graph_Ortho!A19</f>
        <v>2025</v>
      </c>
      <c r="G1664">
        <f>Graph_Ortho!B19</f>
        <v>13</v>
      </c>
      <c r="H1664" s="165">
        <f>Graph_Ortho!P19</f>
        <v>1003383.1377481208</v>
      </c>
      <c r="I1664" s="160">
        <f>InputData!$C$3</f>
        <v>0.02</v>
      </c>
      <c r="J1664" s="160">
        <f>InputData!$C$4</f>
        <v>0.01</v>
      </c>
      <c r="K1664" s="160">
        <f>InputData!$C$5</f>
        <v>0.01</v>
      </c>
      <c r="L1664" s="160">
        <f>InputData!$C$6</f>
        <v>6.2100000000000002E-2</v>
      </c>
      <c r="M1664" s="160">
        <f>InputData!$C$7</f>
        <v>0.03</v>
      </c>
      <c r="N1664" s="160">
        <f>InputData!$C$8</f>
        <v>0.02</v>
      </c>
      <c r="O1664" s="160">
        <f>InputData!$C$9</f>
        <v>0.06</v>
      </c>
      <c r="P1664" s="160">
        <f>InputData!$C$10</f>
        <v>0.02</v>
      </c>
      <c r="Q1664" s="160">
        <f>InputData!$C$11</f>
        <v>0.02</v>
      </c>
      <c r="R1664" s="160">
        <f>InputData!$C$12</f>
        <v>0.02</v>
      </c>
      <c r="S1664" s="160">
        <f>InputData!$C$13</f>
        <v>0.9</v>
      </c>
      <c r="T1664" s="116">
        <f>InputData!$C$88</f>
        <v>180000</v>
      </c>
      <c r="U1664" s="116">
        <f>InputData!$C$81</f>
        <v>178500</v>
      </c>
      <c r="V1664" s="116">
        <f>InputData!$C$82</f>
        <v>303960</v>
      </c>
      <c r="W1664" s="116">
        <f>InputData!$C$84</f>
        <v>215220</v>
      </c>
      <c r="X1664" s="116">
        <f>InputData!$C$85</f>
        <v>409020</v>
      </c>
      <c r="Y1664" s="116">
        <f>InputData!$C$116</f>
        <v>140000</v>
      </c>
      <c r="Z1664" s="160">
        <f>InputData!$E$13</f>
        <v>0</v>
      </c>
    </row>
    <row r="1665" spans="1:26" x14ac:dyDescent="0.25">
      <c r="A1665">
        <f>InputData!$K$1</f>
        <v>2013</v>
      </c>
      <c r="B1665" t="str">
        <f>InputData!$G$1</f>
        <v>San Antonio, TX</v>
      </c>
      <c r="C1665" t="s">
        <v>177</v>
      </c>
      <c r="D1665" t="str">
        <f>Graph_Ortho!$P$6</f>
        <v>SELF</v>
      </c>
      <c r="E1665" t="str">
        <f t="shared" si="26"/>
        <v>Orthopedics SELF</v>
      </c>
      <c r="F1665">
        <f>Graph_Ortho!A20</f>
        <v>2026</v>
      </c>
      <c r="G1665">
        <f>Graph_Ortho!B20</f>
        <v>14</v>
      </c>
      <c r="H1665" s="165">
        <f>Graph_Ortho!P20</f>
        <v>1198054.309349498</v>
      </c>
      <c r="I1665" s="160">
        <f>InputData!$C$3</f>
        <v>0.02</v>
      </c>
      <c r="J1665" s="160">
        <f>InputData!$C$4</f>
        <v>0.01</v>
      </c>
      <c r="K1665" s="160">
        <f>InputData!$C$5</f>
        <v>0.01</v>
      </c>
      <c r="L1665" s="160">
        <f>InputData!$C$6</f>
        <v>6.2100000000000002E-2</v>
      </c>
      <c r="M1665" s="160">
        <f>InputData!$C$7</f>
        <v>0.03</v>
      </c>
      <c r="N1665" s="160">
        <f>InputData!$C$8</f>
        <v>0.02</v>
      </c>
      <c r="O1665" s="160">
        <f>InputData!$C$9</f>
        <v>0.06</v>
      </c>
      <c r="P1665" s="160">
        <f>InputData!$C$10</f>
        <v>0.02</v>
      </c>
      <c r="Q1665" s="160">
        <f>InputData!$C$11</f>
        <v>0.02</v>
      </c>
      <c r="R1665" s="160">
        <f>InputData!$C$12</f>
        <v>0.02</v>
      </c>
      <c r="S1665" s="160">
        <f>InputData!$C$13</f>
        <v>0.9</v>
      </c>
      <c r="T1665" s="116">
        <f>InputData!$C$88</f>
        <v>180000</v>
      </c>
      <c r="U1665" s="116">
        <f>InputData!$C$81</f>
        <v>178500</v>
      </c>
      <c r="V1665" s="116">
        <f>InputData!$C$82</f>
        <v>303960</v>
      </c>
      <c r="W1665" s="116">
        <f>InputData!$C$84</f>
        <v>215220</v>
      </c>
      <c r="X1665" s="116">
        <f>InputData!$C$85</f>
        <v>409020</v>
      </c>
      <c r="Y1665" s="116">
        <f>InputData!$C$116</f>
        <v>140000</v>
      </c>
      <c r="Z1665" s="160">
        <f>InputData!$E$13</f>
        <v>0</v>
      </c>
    </row>
    <row r="1666" spans="1:26" x14ac:dyDescent="0.25">
      <c r="A1666">
        <f>InputData!$K$1</f>
        <v>2013</v>
      </c>
      <c r="B1666" t="str">
        <f>InputData!$G$1</f>
        <v>San Antonio, TX</v>
      </c>
      <c r="C1666" t="s">
        <v>177</v>
      </c>
      <c r="D1666" t="str">
        <f>Graph_Ortho!$P$6</f>
        <v>SELF</v>
      </c>
      <c r="E1666" t="str">
        <f t="shared" si="26"/>
        <v>Orthopedics SELF</v>
      </c>
      <c r="F1666">
        <f>Graph_Ortho!A21</f>
        <v>2027</v>
      </c>
      <c r="G1666">
        <f>Graph_Ortho!B21</f>
        <v>15</v>
      </c>
      <c r="H1666" s="165">
        <f>Graph_Ortho!P21</f>
        <v>1388664.6771034226</v>
      </c>
      <c r="I1666" s="160">
        <f>InputData!$C$3</f>
        <v>0.02</v>
      </c>
      <c r="J1666" s="160">
        <f>InputData!$C$4</f>
        <v>0.01</v>
      </c>
      <c r="K1666" s="160">
        <f>InputData!$C$5</f>
        <v>0.01</v>
      </c>
      <c r="L1666" s="160">
        <f>InputData!$C$6</f>
        <v>6.2100000000000002E-2</v>
      </c>
      <c r="M1666" s="160">
        <f>InputData!$C$7</f>
        <v>0.03</v>
      </c>
      <c r="N1666" s="160">
        <f>InputData!$C$8</f>
        <v>0.02</v>
      </c>
      <c r="O1666" s="160">
        <f>InputData!$C$9</f>
        <v>0.06</v>
      </c>
      <c r="P1666" s="160">
        <f>InputData!$C$10</f>
        <v>0.02</v>
      </c>
      <c r="Q1666" s="160">
        <f>InputData!$C$11</f>
        <v>0.02</v>
      </c>
      <c r="R1666" s="160">
        <f>InputData!$C$12</f>
        <v>0.02</v>
      </c>
      <c r="S1666" s="160">
        <f>InputData!$C$13</f>
        <v>0.9</v>
      </c>
      <c r="T1666" s="116">
        <f>InputData!$C$88</f>
        <v>180000</v>
      </c>
      <c r="U1666" s="116">
        <f>InputData!$C$81</f>
        <v>178500</v>
      </c>
      <c r="V1666" s="116">
        <f>InputData!$C$82</f>
        <v>303960</v>
      </c>
      <c r="W1666" s="116">
        <f>InputData!$C$84</f>
        <v>215220</v>
      </c>
      <c r="X1666" s="116">
        <f>InputData!$C$85</f>
        <v>409020</v>
      </c>
      <c r="Y1666" s="116">
        <f>InputData!$C$116</f>
        <v>140000</v>
      </c>
      <c r="Z1666" s="160">
        <f>InputData!$E$13</f>
        <v>0</v>
      </c>
    </row>
    <row r="1667" spans="1:26" x14ac:dyDescent="0.25">
      <c r="A1667">
        <f>InputData!$K$1</f>
        <v>2013</v>
      </c>
      <c r="B1667" t="str">
        <f>InputData!$G$1</f>
        <v>San Antonio, TX</v>
      </c>
      <c r="C1667" t="s">
        <v>177</v>
      </c>
      <c r="D1667" t="str">
        <f>Graph_Ortho!$P$6</f>
        <v>SELF</v>
      </c>
      <c r="E1667" t="str">
        <f t="shared" si="26"/>
        <v>Orthopedics SELF</v>
      </c>
      <c r="F1667">
        <f>Graph_Ortho!A22</f>
        <v>2028</v>
      </c>
      <c r="G1667">
        <f>Graph_Ortho!B22</f>
        <v>16</v>
      </c>
      <c r="H1667" s="165">
        <f>Graph_Ortho!P22</f>
        <v>1575300.9633152713</v>
      </c>
      <c r="I1667" s="160">
        <f>InputData!$C$3</f>
        <v>0.02</v>
      </c>
      <c r="J1667" s="160">
        <f>InputData!$C$4</f>
        <v>0.01</v>
      </c>
      <c r="K1667" s="160">
        <f>InputData!$C$5</f>
        <v>0.01</v>
      </c>
      <c r="L1667" s="160">
        <f>InputData!$C$6</f>
        <v>6.2100000000000002E-2</v>
      </c>
      <c r="M1667" s="160">
        <f>InputData!$C$7</f>
        <v>0.03</v>
      </c>
      <c r="N1667" s="160">
        <f>InputData!$C$8</f>
        <v>0.02</v>
      </c>
      <c r="O1667" s="160">
        <f>InputData!$C$9</f>
        <v>0.06</v>
      </c>
      <c r="P1667" s="160">
        <f>InputData!$C$10</f>
        <v>0.02</v>
      </c>
      <c r="Q1667" s="160">
        <f>InputData!$C$11</f>
        <v>0.02</v>
      </c>
      <c r="R1667" s="160">
        <f>InputData!$C$12</f>
        <v>0.02</v>
      </c>
      <c r="S1667" s="160">
        <f>InputData!$C$13</f>
        <v>0.9</v>
      </c>
      <c r="T1667" s="116">
        <f>InputData!$C$88</f>
        <v>180000</v>
      </c>
      <c r="U1667" s="116">
        <f>InputData!$C$81</f>
        <v>178500</v>
      </c>
      <c r="V1667" s="116">
        <f>InputData!$C$82</f>
        <v>303960</v>
      </c>
      <c r="W1667" s="116">
        <f>InputData!$C$84</f>
        <v>215220</v>
      </c>
      <c r="X1667" s="116">
        <f>InputData!$C$85</f>
        <v>409020</v>
      </c>
      <c r="Y1667" s="116">
        <f>InputData!$C$116</f>
        <v>140000</v>
      </c>
      <c r="Z1667" s="160">
        <f>InputData!$E$13</f>
        <v>0</v>
      </c>
    </row>
    <row r="1668" spans="1:26" x14ac:dyDescent="0.25">
      <c r="A1668">
        <f>InputData!$K$1</f>
        <v>2013</v>
      </c>
      <c r="B1668" t="str">
        <f>InputData!$G$1</f>
        <v>San Antonio, TX</v>
      </c>
      <c r="C1668" t="s">
        <v>177</v>
      </c>
      <c r="D1668" t="str">
        <f>Graph_Ortho!$P$6</f>
        <v>SELF</v>
      </c>
      <c r="E1668" t="str">
        <f t="shared" si="26"/>
        <v>Orthopedics SELF</v>
      </c>
      <c r="F1668">
        <f>Graph_Ortho!A23</f>
        <v>2029</v>
      </c>
      <c r="G1668">
        <f>Graph_Ortho!B23</f>
        <v>17</v>
      </c>
      <c r="H1668" s="165">
        <f>Graph_Ortho!P23</f>
        <v>1758047.9830947928</v>
      </c>
      <c r="I1668" s="160">
        <f>InputData!$C$3</f>
        <v>0.02</v>
      </c>
      <c r="J1668" s="160">
        <f>InputData!$C$4</f>
        <v>0.01</v>
      </c>
      <c r="K1668" s="160">
        <f>InputData!$C$5</f>
        <v>0.01</v>
      </c>
      <c r="L1668" s="160">
        <f>InputData!$C$6</f>
        <v>6.2100000000000002E-2</v>
      </c>
      <c r="M1668" s="160">
        <f>InputData!$C$7</f>
        <v>0.03</v>
      </c>
      <c r="N1668" s="160">
        <f>InputData!$C$8</f>
        <v>0.02</v>
      </c>
      <c r="O1668" s="160">
        <f>InputData!$C$9</f>
        <v>0.06</v>
      </c>
      <c r="P1668" s="160">
        <f>InputData!$C$10</f>
        <v>0.02</v>
      </c>
      <c r="Q1668" s="160">
        <f>InputData!$C$11</f>
        <v>0.02</v>
      </c>
      <c r="R1668" s="160">
        <f>InputData!$C$12</f>
        <v>0.02</v>
      </c>
      <c r="S1668" s="160">
        <f>InputData!$C$13</f>
        <v>0.9</v>
      </c>
      <c r="T1668" s="116">
        <f>InputData!$C$88</f>
        <v>180000</v>
      </c>
      <c r="U1668" s="116">
        <f>InputData!$C$81</f>
        <v>178500</v>
      </c>
      <c r="V1668" s="116">
        <f>InputData!$C$82</f>
        <v>303960</v>
      </c>
      <c r="W1668" s="116">
        <f>InputData!$C$84</f>
        <v>215220</v>
      </c>
      <c r="X1668" s="116">
        <f>InputData!$C$85</f>
        <v>409020</v>
      </c>
      <c r="Y1668" s="116">
        <f>InputData!$C$116</f>
        <v>140000</v>
      </c>
      <c r="Z1668" s="160">
        <f>InputData!$E$13</f>
        <v>0</v>
      </c>
    </row>
    <row r="1669" spans="1:26" x14ac:dyDescent="0.25">
      <c r="A1669">
        <f>InputData!$K$1</f>
        <v>2013</v>
      </c>
      <c r="B1669" t="str">
        <f>InputData!$G$1</f>
        <v>San Antonio, TX</v>
      </c>
      <c r="C1669" t="s">
        <v>177</v>
      </c>
      <c r="D1669" t="str">
        <f>Graph_Ortho!$P$6</f>
        <v>SELF</v>
      </c>
      <c r="E1669" t="str">
        <f t="shared" si="26"/>
        <v>Orthopedics SELF</v>
      </c>
      <c r="F1669">
        <f>Graph_Ortho!A24</f>
        <v>2030</v>
      </c>
      <c r="G1669">
        <f>Graph_Ortho!B24</f>
        <v>18</v>
      </c>
      <c r="H1669" s="165">
        <f>Graph_Ortho!P24</f>
        <v>1936988.687774186</v>
      </c>
      <c r="I1669" s="160">
        <f>InputData!$C$3</f>
        <v>0.02</v>
      </c>
      <c r="J1669" s="160">
        <f>InputData!$C$4</f>
        <v>0.01</v>
      </c>
      <c r="K1669" s="160">
        <f>InputData!$C$5</f>
        <v>0.01</v>
      </c>
      <c r="L1669" s="160">
        <f>InputData!$C$6</f>
        <v>6.2100000000000002E-2</v>
      </c>
      <c r="M1669" s="160">
        <f>InputData!$C$7</f>
        <v>0.03</v>
      </c>
      <c r="N1669" s="160">
        <f>InputData!$C$8</f>
        <v>0.02</v>
      </c>
      <c r="O1669" s="160">
        <f>InputData!$C$9</f>
        <v>0.06</v>
      </c>
      <c r="P1669" s="160">
        <f>InputData!$C$10</f>
        <v>0.02</v>
      </c>
      <c r="Q1669" s="160">
        <f>InputData!$C$11</f>
        <v>0.02</v>
      </c>
      <c r="R1669" s="160">
        <f>InputData!$C$12</f>
        <v>0.02</v>
      </c>
      <c r="S1669" s="160">
        <f>InputData!$C$13</f>
        <v>0.9</v>
      </c>
      <c r="T1669" s="116">
        <f>InputData!$C$88</f>
        <v>180000</v>
      </c>
      <c r="U1669" s="116">
        <f>InputData!$C$81</f>
        <v>178500</v>
      </c>
      <c r="V1669" s="116">
        <f>InputData!$C$82</f>
        <v>303960</v>
      </c>
      <c r="W1669" s="116">
        <f>InputData!$C$84</f>
        <v>215220</v>
      </c>
      <c r="X1669" s="116">
        <f>InputData!$C$85</f>
        <v>409020</v>
      </c>
      <c r="Y1669" s="116">
        <f>InputData!$C$116</f>
        <v>140000</v>
      </c>
      <c r="Z1669" s="160">
        <f>InputData!$E$13</f>
        <v>0</v>
      </c>
    </row>
    <row r="1670" spans="1:26" x14ac:dyDescent="0.25">
      <c r="A1670">
        <f>InputData!$K$1</f>
        <v>2013</v>
      </c>
      <c r="B1670" t="str">
        <f>InputData!$G$1</f>
        <v>San Antonio, TX</v>
      </c>
      <c r="C1670" t="s">
        <v>177</v>
      </c>
      <c r="D1670" t="str">
        <f>Graph_Ortho!$P$6</f>
        <v>SELF</v>
      </c>
      <c r="E1670" t="str">
        <f t="shared" si="26"/>
        <v>Orthopedics SELF</v>
      </c>
      <c r="F1670">
        <f>Graph_Ortho!A25</f>
        <v>2031</v>
      </c>
      <c r="G1670">
        <f>Graph_Ortho!B25</f>
        <v>19</v>
      </c>
      <c r="H1670" s="165">
        <f>Graph_Ortho!P25</f>
        <v>2112204.2072994425</v>
      </c>
      <c r="I1670" s="160">
        <f>InputData!$C$3</f>
        <v>0.02</v>
      </c>
      <c r="J1670" s="160">
        <f>InputData!$C$4</f>
        <v>0.01</v>
      </c>
      <c r="K1670" s="160">
        <f>InputData!$C$5</f>
        <v>0.01</v>
      </c>
      <c r="L1670" s="160">
        <f>InputData!$C$6</f>
        <v>6.2100000000000002E-2</v>
      </c>
      <c r="M1670" s="160">
        <f>InputData!$C$7</f>
        <v>0.03</v>
      </c>
      <c r="N1670" s="160">
        <f>InputData!$C$8</f>
        <v>0.02</v>
      </c>
      <c r="O1670" s="160">
        <f>InputData!$C$9</f>
        <v>0.06</v>
      </c>
      <c r="P1670" s="160">
        <f>InputData!$C$10</f>
        <v>0.02</v>
      </c>
      <c r="Q1670" s="160">
        <f>InputData!$C$11</f>
        <v>0.02</v>
      </c>
      <c r="R1670" s="160">
        <f>InputData!$C$12</f>
        <v>0.02</v>
      </c>
      <c r="S1670" s="160">
        <f>InputData!$C$13</f>
        <v>0.9</v>
      </c>
      <c r="T1670" s="116">
        <f>InputData!$C$88</f>
        <v>180000</v>
      </c>
      <c r="U1670" s="116">
        <f>InputData!$C$81</f>
        <v>178500</v>
      </c>
      <c r="V1670" s="116">
        <f>InputData!$C$82</f>
        <v>303960</v>
      </c>
      <c r="W1670" s="116">
        <f>InputData!$C$84</f>
        <v>215220</v>
      </c>
      <c r="X1670" s="116">
        <f>InputData!$C$85</f>
        <v>409020</v>
      </c>
      <c r="Y1670" s="116">
        <f>InputData!$C$116</f>
        <v>140000</v>
      </c>
      <c r="Z1670" s="160">
        <f>InputData!$E$13</f>
        <v>0</v>
      </c>
    </row>
    <row r="1671" spans="1:26" x14ac:dyDescent="0.25">
      <c r="A1671">
        <f>InputData!$K$1</f>
        <v>2013</v>
      </c>
      <c r="B1671" t="str">
        <f>InputData!$G$1</f>
        <v>San Antonio, TX</v>
      </c>
      <c r="C1671" t="s">
        <v>177</v>
      </c>
      <c r="D1671" t="str">
        <f>Graph_Ortho!$P$6</f>
        <v>SELF</v>
      </c>
      <c r="E1671" t="str">
        <f t="shared" si="26"/>
        <v>Orthopedics SELF</v>
      </c>
      <c r="F1671">
        <f>Graph_Ortho!A26</f>
        <v>2032</v>
      </c>
      <c r="G1671">
        <f>Graph_Ortho!B26</f>
        <v>20</v>
      </c>
      <c r="H1671" s="165">
        <f>Graph_Ortho!P26</f>
        <v>2283773.891620195</v>
      </c>
      <c r="I1671" s="160">
        <f>InputData!$C$3</f>
        <v>0.02</v>
      </c>
      <c r="J1671" s="160">
        <f>InputData!$C$4</f>
        <v>0.01</v>
      </c>
      <c r="K1671" s="160">
        <f>InputData!$C$5</f>
        <v>0.01</v>
      </c>
      <c r="L1671" s="160">
        <f>InputData!$C$6</f>
        <v>6.2100000000000002E-2</v>
      </c>
      <c r="M1671" s="160">
        <f>InputData!$C$7</f>
        <v>0.03</v>
      </c>
      <c r="N1671" s="160">
        <f>InputData!$C$8</f>
        <v>0.02</v>
      </c>
      <c r="O1671" s="160">
        <f>InputData!$C$9</f>
        <v>0.06</v>
      </c>
      <c r="P1671" s="160">
        <f>InputData!$C$10</f>
        <v>0.02</v>
      </c>
      <c r="Q1671" s="160">
        <f>InputData!$C$11</f>
        <v>0.02</v>
      </c>
      <c r="R1671" s="160">
        <f>InputData!$C$12</f>
        <v>0.02</v>
      </c>
      <c r="S1671" s="160">
        <f>InputData!$C$13</f>
        <v>0.9</v>
      </c>
      <c r="T1671" s="116">
        <f>InputData!$C$88</f>
        <v>180000</v>
      </c>
      <c r="U1671" s="116">
        <f>InputData!$C$81</f>
        <v>178500</v>
      </c>
      <c r="V1671" s="116">
        <f>InputData!$C$82</f>
        <v>303960</v>
      </c>
      <c r="W1671" s="116">
        <f>InputData!$C$84</f>
        <v>215220</v>
      </c>
      <c r="X1671" s="116">
        <f>InputData!$C$85</f>
        <v>409020</v>
      </c>
      <c r="Y1671" s="116">
        <f>InputData!$C$116</f>
        <v>140000</v>
      </c>
      <c r="Z1671" s="160">
        <f>InputData!$E$13</f>
        <v>0</v>
      </c>
    </row>
    <row r="1672" spans="1:26" x14ac:dyDescent="0.25">
      <c r="A1672">
        <f>InputData!$K$1</f>
        <v>2013</v>
      </c>
      <c r="B1672" t="str">
        <f>InputData!$G$1</f>
        <v>San Antonio, TX</v>
      </c>
      <c r="C1672" t="s">
        <v>177</v>
      </c>
      <c r="D1672" t="str">
        <f>Graph_Ortho!$P$6</f>
        <v>SELF</v>
      </c>
      <c r="E1672" t="str">
        <f t="shared" si="26"/>
        <v>Orthopedics SELF</v>
      </c>
      <c r="F1672">
        <f>Graph_Ortho!A27</f>
        <v>2033</v>
      </c>
      <c r="G1672">
        <f>Graph_Ortho!B27</f>
        <v>21</v>
      </c>
      <c r="H1672" s="165">
        <f>Graph_Ortho!P27</f>
        <v>2451775.3511026679</v>
      </c>
      <c r="I1672" s="160">
        <f>InputData!$C$3</f>
        <v>0.02</v>
      </c>
      <c r="J1672" s="160">
        <f>InputData!$C$4</f>
        <v>0.01</v>
      </c>
      <c r="K1672" s="160">
        <f>InputData!$C$5</f>
        <v>0.01</v>
      </c>
      <c r="L1672" s="160">
        <f>InputData!$C$6</f>
        <v>6.2100000000000002E-2</v>
      </c>
      <c r="M1672" s="160">
        <f>InputData!$C$7</f>
        <v>0.03</v>
      </c>
      <c r="N1672" s="160">
        <f>InputData!$C$8</f>
        <v>0.02</v>
      </c>
      <c r="O1672" s="160">
        <f>InputData!$C$9</f>
        <v>0.06</v>
      </c>
      <c r="P1672" s="160">
        <f>InputData!$C$10</f>
        <v>0.02</v>
      </c>
      <c r="Q1672" s="160">
        <f>InputData!$C$11</f>
        <v>0.02</v>
      </c>
      <c r="R1672" s="160">
        <f>InputData!$C$12</f>
        <v>0.02</v>
      </c>
      <c r="S1672" s="160">
        <f>InputData!$C$13</f>
        <v>0.9</v>
      </c>
      <c r="T1672" s="116">
        <f>InputData!$C$88</f>
        <v>180000</v>
      </c>
      <c r="U1672" s="116">
        <f>InputData!$C$81</f>
        <v>178500</v>
      </c>
      <c r="V1672" s="116">
        <f>InputData!$C$82</f>
        <v>303960</v>
      </c>
      <c r="W1672" s="116">
        <f>InputData!$C$84</f>
        <v>215220</v>
      </c>
      <c r="X1672" s="116">
        <f>InputData!$C$85</f>
        <v>409020</v>
      </c>
      <c r="Y1672" s="116">
        <f>InputData!$C$116</f>
        <v>140000</v>
      </c>
      <c r="Z1672" s="160">
        <f>InputData!$E$13</f>
        <v>0</v>
      </c>
    </row>
    <row r="1673" spans="1:26" x14ac:dyDescent="0.25">
      <c r="A1673">
        <f>InputData!$K$1</f>
        <v>2013</v>
      </c>
      <c r="B1673" t="str">
        <f>InputData!$G$1</f>
        <v>San Antonio, TX</v>
      </c>
      <c r="C1673" t="s">
        <v>177</v>
      </c>
      <c r="D1673" t="str">
        <f>Graph_Ortho!$P$6</f>
        <v>SELF</v>
      </c>
      <c r="E1673" t="str">
        <f t="shared" si="26"/>
        <v>Orthopedics SELF</v>
      </c>
      <c r="F1673">
        <f>Graph_Ortho!A28</f>
        <v>2034</v>
      </c>
      <c r="G1673">
        <f>Graph_Ortho!B28</f>
        <v>22</v>
      </c>
      <c r="H1673" s="165">
        <f>Graph_Ortho!P28</f>
        <v>2616284.4959897012</v>
      </c>
      <c r="I1673" s="160">
        <f>InputData!$C$3</f>
        <v>0.02</v>
      </c>
      <c r="J1673" s="160">
        <f>InputData!$C$4</f>
        <v>0.01</v>
      </c>
      <c r="K1673" s="160">
        <f>InputData!$C$5</f>
        <v>0.01</v>
      </c>
      <c r="L1673" s="160">
        <f>InputData!$C$6</f>
        <v>6.2100000000000002E-2</v>
      </c>
      <c r="M1673" s="160">
        <f>InputData!$C$7</f>
        <v>0.03</v>
      </c>
      <c r="N1673" s="160">
        <f>InputData!$C$8</f>
        <v>0.02</v>
      </c>
      <c r="O1673" s="160">
        <f>InputData!$C$9</f>
        <v>0.06</v>
      </c>
      <c r="P1673" s="160">
        <f>InputData!$C$10</f>
        <v>0.02</v>
      </c>
      <c r="Q1673" s="160">
        <f>InputData!$C$11</f>
        <v>0.02</v>
      </c>
      <c r="R1673" s="160">
        <f>InputData!$C$12</f>
        <v>0.02</v>
      </c>
      <c r="S1673" s="160">
        <f>InputData!$C$13</f>
        <v>0.9</v>
      </c>
      <c r="T1673" s="116">
        <f>InputData!$C$88</f>
        <v>180000</v>
      </c>
      <c r="U1673" s="116">
        <f>InputData!$C$81</f>
        <v>178500</v>
      </c>
      <c r="V1673" s="116">
        <f>InputData!$C$82</f>
        <v>303960</v>
      </c>
      <c r="W1673" s="116">
        <f>InputData!$C$84</f>
        <v>215220</v>
      </c>
      <c r="X1673" s="116">
        <f>InputData!$C$85</f>
        <v>409020</v>
      </c>
      <c r="Y1673" s="116">
        <f>InputData!$C$116</f>
        <v>140000</v>
      </c>
      <c r="Z1673" s="160">
        <f>InputData!$E$13</f>
        <v>0</v>
      </c>
    </row>
    <row r="1674" spans="1:26" x14ac:dyDescent="0.25">
      <c r="A1674">
        <f>InputData!$K$1</f>
        <v>2013</v>
      </c>
      <c r="B1674" t="str">
        <f>InputData!$G$1</f>
        <v>San Antonio, TX</v>
      </c>
      <c r="C1674" t="s">
        <v>177</v>
      </c>
      <c r="D1674" t="str">
        <f>Graph_Ortho!$P$6</f>
        <v>SELF</v>
      </c>
      <c r="E1674" t="str">
        <f t="shared" si="26"/>
        <v>Orthopedics SELF</v>
      </c>
      <c r="F1674">
        <f>Graph_Ortho!A29</f>
        <v>2035</v>
      </c>
      <c r="G1674">
        <f>Graph_Ortho!B29</f>
        <v>23</v>
      </c>
      <c r="H1674" s="165">
        <f>Graph_Ortho!P29</f>
        <v>2777375.5749312062</v>
      </c>
      <c r="I1674" s="160">
        <f>InputData!$C$3</f>
        <v>0.02</v>
      </c>
      <c r="J1674" s="160">
        <f>InputData!$C$4</f>
        <v>0.01</v>
      </c>
      <c r="K1674" s="160">
        <f>InputData!$C$5</f>
        <v>0.01</v>
      </c>
      <c r="L1674" s="160">
        <f>InputData!$C$6</f>
        <v>6.2100000000000002E-2</v>
      </c>
      <c r="M1674" s="160">
        <f>InputData!$C$7</f>
        <v>0.03</v>
      </c>
      <c r="N1674" s="160">
        <f>InputData!$C$8</f>
        <v>0.02</v>
      </c>
      <c r="O1674" s="160">
        <f>InputData!$C$9</f>
        <v>0.06</v>
      </c>
      <c r="P1674" s="160">
        <f>InputData!$C$10</f>
        <v>0.02</v>
      </c>
      <c r="Q1674" s="160">
        <f>InputData!$C$11</f>
        <v>0.02</v>
      </c>
      <c r="R1674" s="160">
        <f>InputData!$C$12</f>
        <v>0.02</v>
      </c>
      <c r="S1674" s="160">
        <f>InputData!$C$13</f>
        <v>0.9</v>
      </c>
      <c r="T1674" s="116">
        <f>InputData!$C$88</f>
        <v>180000</v>
      </c>
      <c r="U1674" s="116">
        <f>InputData!$C$81</f>
        <v>178500</v>
      </c>
      <c r="V1674" s="116">
        <f>InputData!$C$82</f>
        <v>303960</v>
      </c>
      <c r="W1674" s="116">
        <f>InputData!$C$84</f>
        <v>215220</v>
      </c>
      <c r="X1674" s="116">
        <f>InputData!$C$85</f>
        <v>409020</v>
      </c>
      <c r="Y1674" s="116">
        <f>InputData!$C$116</f>
        <v>140000</v>
      </c>
      <c r="Z1674" s="160">
        <f>InputData!$E$13</f>
        <v>0</v>
      </c>
    </row>
    <row r="1675" spans="1:26" x14ac:dyDescent="0.25">
      <c r="A1675">
        <f>InputData!$K$1</f>
        <v>2013</v>
      </c>
      <c r="B1675" t="str">
        <f>InputData!$G$1</f>
        <v>San Antonio, TX</v>
      </c>
      <c r="C1675" t="s">
        <v>177</v>
      </c>
      <c r="D1675" t="str">
        <f>Graph_Ortho!$P$6</f>
        <v>SELF</v>
      </c>
      <c r="E1675" t="str">
        <f t="shared" si="26"/>
        <v>Orthopedics SELF</v>
      </c>
      <c r="F1675">
        <f>Graph_Ortho!A30</f>
        <v>2036</v>
      </c>
      <c r="G1675">
        <f>Graph_Ortho!B30</f>
        <v>24</v>
      </c>
      <c r="H1675" s="165">
        <f>Graph_Ortho!P30</f>
        <v>2935121.2126078214</v>
      </c>
      <c r="I1675" s="160">
        <f>InputData!$C$3</f>
        <v>0.02</v>
      </c>
      <c r="J1675" s="160">
        <f>InputData!$C$4</f>
        <v>0.01</v>
      </c>
      <c r="K1675" s="160">
        <f>InputData!$C$5</f>
        <v>0.01</v>
      </c>
      <c r="L1675" s="160">
        <f>InputData!$C$6</f>
        <v>6.2100000000000002E-2</v>
      </c>
      <c r="M1675" s="160">
        <f>InputData!$C$7</f>
        <v>0.03</v>
      </c>
      <c r="N1675" s="160">
        <f>InputData!$C$8</f>
        <v>0.02</v>
      </c>
      <c r="O1675" s="160">
        <f>InputData!$C$9</f>
        <v>0.06</v>
      </c>
      <c r="P1675" s="160">
        <f>InputData!$C$10</f>
        <v>0.02</v>
      </c>
      <c r="Q1675" s="160">
        <f>InputData!$C$11</f>
        <v>0.02</v>
      </c>
      <c r="R1675" s="160">
        <f>InputData!$C$12</f>
        <v>0.02</v>
      </c>
      <c r="S1675" s="160">
        <f>InputData!$C$13</f>
        <v>0.9</v>
      </c>
      <c r="T1675" s="116">
        <f>InputData!$C$88</f>
        <v>180000</v>
      </c>
      <c r="U1675" s="116">
        <f>InputData!$C$81</f>
        <v>178500</v>
      </c>
      <c r="V1675" s="116">
        <f>InputData!$C$82</f>
        <v>303960</v>
      </c>
      <c r="W1675" s="116">
        <f>InputData!$C$84</f>
        <v>215220</v>
      </c>
      <c r="X1675" s="116">
        <f>InputData!$C$85</f>
        <v>409020</v>
      </c>
      <c r="Y1675" s="116">
        <f>InputData!$C$116</f>
        <v>140000</v>
      </c>
      <c r="Z1675" s="160">
        <f>InputData!$E$13</f>
        <v>0</v>
      </c>
    </row>
    <row r="1676" spans="1:26" x14ac:dyDescent="0.25">
      <c r="A1676">
        <f>InputData!$K$1</f>
        <v>2013</v>
      </c>
      <c r="B1676" t="str">
        <f>InputData!$G$1</f>
        <v>San Antonio, TX</v>
      </c>
      <c r="C1676" t="s">
        <v>177</v>
      </c>
      <c r="D1676" t="str">
        <f>Graph_Ortho!$P$6</f>
        <v>SELF</v>
      </c>
      <c r="E1676" t="str">
        <f t="shared" si="26"/>
        <v>Orthopedics SELF</v>
      </c>
      <c r="F1676">
        <f>Graph_Ortho!A31</f>
        <v>2037</v>
      </c>
      <c r="G1676">
        <f>Graph_Ortho!B31</f>
        <v>25</v>
      </c>
      <c r="H1676" s="165">
        <f>Graph_Ortho!P31</f>
        <v>3089592.4464699537</v>
      </c>
      <c r="I1676" s="160">
        <f>InputData!$C$3</f>
        <v>0.02</v>
      </c>
      <c r="J1676" s="160">
        <f>InputData!$C$4</f>
        <v>0.01</v>
      </c>
      <c r="K1676" s="160">
        <f>InputData!$C$5</f>
        <v>0.01</v>
      </c>
      <c r="L1676" s="160">
        <f>InputData!$C$6</f>
        <v>6.2100000000000002E-2</v>
      </c>
      <c r="M1676" s="160">
        <f>InputData!$C$7</f>
        <v>0.03</v>
      </c>
      <c r="N1676" s="160">
        <f>InputData!$C$8</f>
        <v>0.02</v>
      </c>
      <c r="O1676" s="160">
        <f>InputData!$C$9</f>
        <v>0.06</v>
      </c>
      <c r="P1676" s="160">
        <f>InputData!$C$10</f>
        <v>0.02</v>
      </c>
      <c r="Q1676" s="160">
        <f>InputData!$C$11</f>
        <v>0.02</v>
      </c>
      <c r="R1676" s="160">
        <f>InputData!$C$12</f>
        <v>0.02</v>
      </c>
      <c r="S1676" s="160">
        <f>InputData!$C$13</f>
        <v>0.9</v>
      </c>
      <c r="T1676" s="116">
        <f>InputData!$C$88</f>
        <v>180000</v>
      </c>
      <c r="U1676" s="116">
        <f>InputData!$C$81</f>
        <v>178500</v>
      </c>
      <c r="V1676" s="116">
        <f>InputData!$C$82</f>
        <v>303960</v>
      </c>
      <c r="W1676" s="116">
        <f>InputData!$C$84</f>
        <v>215220</v>
      </c>
      <c r="X1676" s="116">
        <f>InputData!$C$85</f>
        <v>409020</v>
      </c>
      <c r="Y1676" s="116">
        <f>InputData!$C$116</f>
        <v>140000</v>
      </c>
      <c r="Z1676" s="160">
        <f>InputData!$E$13</f>
        <v>0</v>
      </c>
    </row>
    <row r="1677" spans="1:26" x14ac:dyDescent="0.25">
      <c r="A1677">
        <f>InputData!$K$1</f>
        <v>2013</v>
      </c>
      <c r="B1677" t="str">
        <f>InputData!$G$1</f>
        <v>San Antonio, TX</v>
      </c>
      <c r="C1677" t="s">
        <v>177</v>
      </c>
      <c r="D1677" t="str">
        <f>Graph_Ortho!$P$6</f>
        <v>SELF</v>
      </c>
      <c r="E1677" t="str">
        <f t="shared" si="26"/>
        <v>Orthopedics SELF</v>
      </c>
      <c r="F1677">
        <f>Graph_Ortho!A32</f>
        <v>2038</v>
      </c>
      <c r="G1677">
        <f>Graph_Ortho!B32</f>
        <v>26</v>
      </c>
      <c r="H1677" s="165">
        <f>Graph_Ortho!P32</f>
        <v>3240858.7626138297</v>
      </c>
      <c r="I1677" s="160">
        <f>InputData!$C$3</f>
        <v>0.02</v>
      </c>
      <c r="J1677" s="160">
        <f>InputData!$C$4</f>
        <v>0.01</v>
      </c>
      <c r="K1677" s="160">
        <f>InputData!$C$5</f>
        <v>0.01</v>
      </c>
      <c r="L1677" s="160">
        <f>InputData!$C$6</f>
        <v>6.2100000000000002E-2</v>
      </c>
      <c r="M1677" s="160">
        <f>InputData!$C$7</f>
        <v>0.03</v>
      </c>
      <c r="N1677" s="160">
        <f>InputData!$C$8</f>
        <v>0.02</v>
      </c>
      <c r="O1677" s="160">
        <f>InputData!$C$9</f>
        <v>0.06</v>
      </c>
      <c r="P1677" s="160">
        <f>InputData!$C$10</f>
        <v>0.02</v>
      </c>
      <c r="Q1677" s="160">
        <f>InputData!$C$11</f>
        <v>0.02</v>
      </c>
      <c r="R1677" s="160">
        <f>InputData!$C$12</f>
        <v>0.02</v>
      </c>
      <c r="S1677" s="160">
        <f>InputData!$C$13</f>
        <v>0.9</v>
      </c>
      <c r="T1677" s="116">
        <f>InputData!$C$88</f>
        <v>180000</v>
      </c>
      <c r="U1677" s="116">
        <f>InputData!$C$81</f>
        <v>178500</v>
      </c>
      <c r="V1677" s="116">
        <f>InputData!$C$82</f>
        <v>303960</v>
      </c>
      <c r="W1677" s="116">
        <f>InputData!$C$84</f>
        <v>215220</v>
      </c>
      <c r="X1677" s="116">
        <f>InputData!$C$85</f>
        <v>409020</v>
      </c>
      <c r="Y1677" s="116">
        <f>InputData!$C$116</f>
        <v>140000</v>
      </c>
      <c r="Z1677" s="160">
        <f>InputData!$E$13</f>
        <v>0</v>
      </c>
    </row>
    <row r="1678" spans="1:26" x14ac:dyDescent="0.25">
      <c r="A1678">
        <f>InputData!$K$1</f>
        <v>2013</v>
      </c>
      <c r="B1678" t="str">
        <f>InputData!$G$1</f>
        <v>San Antonio, TX</v>
      </c>
      <c r="C1678" t="s">
        <v>177</v>
      </c>
      <c r="D1678" t="str">
        <f>Graph_Ortho!$P$6</f>
        <v>SELF</v>
      </c>
      <c r="E1678" t="str">
        <f t="shared" si="26"/>
        <v>Orthopedics SELF</v>
      </c>
      <c r="F1678">
        <f>Graph_Ortho!A33</f>
        <v>2039</v>
      </c>
      <c r="G1678">
        <f>Graph_Ortho!B33</f>
        <v>27</v>
      </c>
      <c r="H1678" s="165">
        <f>Graph_Ortho!P33</f>
        <v>3388988.1308156322</v>
      </c>
      <c r="I1678" s="160">
        <f>InputData!$C$3</f>
        <v>0.02</v>
      </c>
      <c r="J1678" s="160">
        <f>InputData!$C$4</f>
        <v>0.01</v>
      </c>
      <c r="K1678" s="160">
        <f>InputData!$C$5</f>
        <v>0.01</v>
      </c>
      <c r="L1678" s="160">
        <f>InputData!$C$6</f>
        <v>6.2100000000000002E-2</v>
      </c>
      <c r="M1678" s="160">
        <f>InputData!$C$7</f>
        <v>0.03</v>
      </c>
      <c r="N1678" s="160">
        <f>InputData!$C$8</f>
        <v>0.02</v>
      </c>
      <c r="O1678" s="160">
        <f>InputData!$C$9</f>
        <v>0.06</v>
      </c>
      <c r="P1678" s="160">
        <f>InputData!$C$10</f>
        <v>0.02</v>
      </c>
      <c r="Q1678" s="160">
        <f>InputData!$C$11</f>
        <v>0.02</v>
      </c>
      <c r="R1678" s="160">
        <f>InputData!$C$12</f>
        <v>0.02</v>
      </c>
      <c r="S1678" s="160">
        <f>InputData!$C$13</f>
        <v>0.9</v>
      </c>
      <c r="T1678" s="116">
        <f>InputData!$C$88</f>
        <v>180000</v>
      </c>
      <c r="U1678" s="116">
        <f>InputData!$C$81</f>
        <v>178500</v>
      </c>
      <c r="V1678" s="116">
        <f>InputData!$C$82</f>
        <v>303960</v>
      </c>
      <c r="W1678" s="116">
        <f>InputData!$C$84</f>
        <v>215220</v>
      </c>
      <c r="X1678" s="116">
        <f>InputData!$C$85</f>
        <v>409020</v>
      </c>
      <c r="Y1678" s="116">
        <f>InputData!$C$116</f>
        <v>140000</v>
      </c>
      <c r="Z1678" s="160">
        <f>InputData!$E$13</f>
        <v>0</v>
      </c>
    </row>
    <row r="1679" spans="1:26" x14ac:dyDescent="0.25">
      <c r="A1679">
        <f>InputData!$K$1</f>
        <v>2013</v>
      </c>
      <c r="B1679" t="str">
        <f>InputData!$G$1</f>
        <v>San Antonio, TX</v>
      </c>
      <c r="C1679" t="s">
        <v>177</v>
      </c>
      <c r="D1679" t="str">
        <f>Graph_Ortho!$P$6</f>
        <v>SELF</v>
      </c>
      <c r="E1679" t="str">
        <f t="shared" si="26"/>
        <v>Orthopedics SELF</v>
      </c>
      <c r="F1679">
        <f>Graph_Ortho!A34</f>
        <v>2040</v>
      </c>
      <c r="G1679">
        <f>Graph_Ortho!B34</f>
        <v>28</v>
      </c>
      <c r="H1679" s="165">
        <f>Graph_Ortho!P34</f>
        <v>3534047.0387442624</v>
      </c>
      <c r="I1679" s="160">
        <f>InputData!$C$3</f>
        <v>0.02</v>
      </c>
      <c r="J1679" s="160">
        <f>InputData!$C$4</f>
        <v>0.01</v>
      </c>
      <c r="K1679" s="160">
        <f>InputData!$C$5</f>
        <v>0.01</v>
      </c>
      <c r="L1679" s="160">
        <f>InputData!$C$6</f>
        <v>6.2100000000000002E-2</v>
      </c>
      <c r="M1679" s="160">
        <f>InputData!$C$7</f>
        <v>0.03</v>
      </c>
      <c r="N1679" s="160">
        <f>InputData!$C$8</f>
        <v>0.02</v>
      </c>
      <c r="O1679" s="160">
        <f>InputData!$C$9</f>
        <v>0.06</v>
      </c>
      <c r="P1679" s="160">
        <f>InputData!$C$10</f>
        <v>0.02</v>
      </c>
      <c r="Q1679" s="160">
        <f>InputData!$C$11</f>
        <v>0.02</v>
      </c>
      <c r="R1679" s="160">
        <f>InputData!$C$12</f>
        <v>0.02</v>
      </c>
      <c r="S1679" s="160">
        <f>InputData!$C$13</f>
        <v>0.9</v>
      </c>
      <c r="T1679" s="116">
        <f>InputData!$C$88</f>
        <v>180000</v>
      </c>
      <c r="U1679" s="116">
        <f>InputData!$C$81</f>
        <v>178500</v>
      </c>
      <c r="V1679" s="116">
        <f>InputData!$C$82</f>
        <v>303960</v>
      </c>
      <c r="W1679" s="116">
        <f>InputData!$C$84</f>
        <v>215220</v>
      </c>
      <c r="X1679" s="116">
        <f>InputData!$C$85</f>
        <v>409020</v>
      </c>
      <c r="Y1679" s="116">
        <f>InputData!$C$116</f>
        <v>140000</v>
      </c>
      <c r="Z1679" s="160">
        <f>InputData!$E$13</f>
        <v>0</v>
      </c>
    </row>
    <row r="1680" spans="1:26" x14ac:dyDescent="0.25">
      <c r="A1680">
        <f>InputData!$K$1</f>
        <v>2013</v>
      </c>
      <c r="B1680" t="str">
        <f>InputData!$G$1</f>
        <v>San Antonio, TX</v>
      </c>
      <c r="C1680" t="s">
        <v>177</v>
      </c>
      <c r="D1680" t="str">
        <f>Graph_Ortho!$P$6</f>
        <v>SELF</v>
      </c>
      <c r="E1680" t="str">
        <f t="shared" si="26"/>
        <v>Orthopedics SELF</v>
      </c>
      <c r="F1680">
        <f>Graph_Ortho!A35</f>
        <v>2041</v>
      </c>
      <c r="G1680">
        <f>Graph_Ortho!B35</f>
        <v>29</v>
      </c>
      <c r="H1680" s="165">
        <f>Graph_Ortho!P35</f>
        <v>3676100.5253727501</v>
      </c>
      <c r="I1680" s="160">
        <f>InputData!$C$3</f>
        <v>0.02</v>
      </c>
      <c r="J1680" s="160">
        <f>InputData!$C$4</f>
        <v>0.01</v>
      </c>
      <c r="K1680" s="160">
        <f>InputData!$C$5</f>
        <v>0.01</v>
      </c>
      <c r="L1680" s="160">
        <f>InputData!$C$6</f>
        <v>6.2100000000000002E-2</v>
      </c>
      <c r="M1680" s="160">
        <f>InputData!$C$7</f>
        <v>0.03</v>
      </c>
      <c r="N1680" s="160">
        <f>InputData!$C$8</f>
        <v>0.02</v>
      </c>
      <c r="O1680" s="160">
        <f>InputData!$C$9</f>
        <v>0.06</v>
      </c>
      <c r="P1680" s="160">
        <f>InputData!$C$10</f>
        <v>0.02</v>
      </c>
      <c r="Q1680" s="160">
        <f>InputData!$C$11</f>
        <v>0.02</v>
      </c>
      <c r="R1680" s="160">
        <f>InputData!$C$12</f>
        <v>0.02</v>
      </c>
      <c r="S1680" s="160">
        <f>InputData!$C$13</f>
        <v>0.9</v>
      </c>
      <c r="T1680" s="116">
        <f>InputData!$C$88</f>
        <v>180000</v>
      </c>
      <c r="U1680" s="116">
        <f>InputData!$C$81</f>
        <v>178500</v>
      </c>
      <c r="V1680" s="116">
        <f>InputData!$C$82</f>
        <v>303960</v>
      </c>
      <c r="W1680" s="116">
        <f>InputData!$C$84</f>
        <v>215220</v>
      </c>
      <c r="X1680" s="116">
        <f>InputData!$C$85</f>
        <v>409020</v>
      </c>
      <c r="Y1680" s="116">
        <f>InputData!$C$116</f>
        <v>140000</v>
      </c>
      <c r="Z1680" s="160">
        <f>InputData!$E$13</f>
        <v>0</v>
      </c>
    </row>
    <row r="1681" spans="1:26" x14ac:dyDescent="0.25">
      <c r="A1681">
        <f>InputData!$K$1</f>
        <v>2013</v>
      </c>
      <c r="B1681" t="str">
        <f>InputData!$G$1</f>
        <v>San Antonio, TX</v>
      </c>
      <c r="C1681" t="s">
        <v>177</v>
      </c>
      <c r="D1681" t="str">
        <f>Graph_Ortho!$P$6</f>
        <v>SELF</v>
      </c>
      <c r="E1681" t="str">
        <f t="shared" si="26"/>
        <v>Orthopedics SELF</v>
      </c>
      <c r="F1681">
        <f>Graph_Ortho!A36</f>
        <v>2042</v>
      </c>
      <c r="G1681">
        <f>Graph_Ortho!B36</f>
        <v>30</v>
      </c>
      <c r="H1681" s="165">
        <f>Graph_Ortho!P36</f>
        <v>3815212.2136078253</v>
      </c>
      <c r="I1681" s="160">
        <f>InputData!$C$3</f>
        <v>0.02</v>
      </c>
      <c r="J1681" s="160">
        <f>InputData!$C$4</f>
        <v>0.01</v>
      </c>
      <c r="K1681" s="160">
        <f>InputData!$C$5</f>
        <v>0.01</v>
      </c>
      <c r="L1681" s="160">
        <f>InputData!$C$6</f>
        <v>6.2100000000000002E-2</v>
      </c>
      <c r="M1681" s="160">
        <f>InputData!$C$7</f>
        <v>0.03</v>
      </c>
      <c r="N1681" s="160">
        <f>InputData!$C$8</f>
        <v>0.02</v>
      </c>
      <c r="O1681" s="160">
        <f>InputData!$C$9</f>
        <v>0.06</v>
      </c>
      <c r="P1681" s="160">
        <f>InputData!$C$10</f>
        <v>0.02</v>
      </c>
      <c r="Q1681" s="160">
        <f>InputData!$C$11</f>
        <v>0.02</v>
      </c>
      <c r="R1681" s="160">
        <f>InputData!$C$12</f>
        <v>0.02</v>
      </c>
      <c r="S1681" s="160">
        <f>InputData!$C$13</f>
        <v>0.9</v>
      </c>
      <c r="T1681" s="116">
        <f>InputData!$C$88</f>
        <v>180000</v>
      </c>
      <c r="U1681" s="116">
        <f>InputData!$C$81</f>
        <v>178500</v>
      </c>
      <c r="V1681" s="116">
        <f>InputData!$C$82</f>
        <v>303960</v>
      </c>
      <c r="W1681" s="116">
        <f>InputData!$C$84</f>
        <v>215220</v>
      </c>
      <c r="X1681" s="116">
        <f>InputData!$C$85</f>
        <v>409020</v>
      </c>
      <c r="Y1681" s="116">
        <f>InputData!$C$116</f>
        <v>140000</v>
      </c>
      <c r="Z1681" s="160">
        <f>InputData!$E$13</f>
        <v>0</v>
      </c>
    </row>
    <row r="1682" spans="1:26" x14ac:dyDescent="0.25">
      <c r="A1682">
        <f>InputData!$K$1</f>
        <v>2013</v>
      </c>
      <c r="B1682" t="str">
        <f>InputData!$G$1</f>
        <v>San Antonio, TX</v>
      </c>
      <c r="C1682" t="s">
        <v>5</v>
      </c>
      <c r="D1682" t="str">
        <f>Graph_GenSurg!$P$6</f>
        <v>SELF</v>
      </c>
      <c r="E1682" t="str">
        <f t="shared" si="26"/>
        <v>General Surgery SELF</v>
      </c>
      <c r="F1682">
        <f>Graph_GenSurg!A7</f>
        <v>2013</v>
      </c>
      <c r="G1682">
        <f>Graph_GenSurg!B7</f>
        <v>1</v>
      </c>
      <c r="H1682" s="165">
        <f>Graph_GenSurg!P7</f>
        <v>0</v>
      </c>
      <c r="I1682" s="160">
        <f>InputData!$C$3</f>
        <v>0.02</v>
      </c>
      <c r="J1682" s="160">
        <f>InputData!$C$4</f>
        <v>0.01</v>
      </c>
      <c r="K1682" s="160">
        <f>InputData!$C$5</f>
        <v>0.01</v>
      </c>
      <c r="L1682" s="160">
        <f>InputData!$C$6</f>
        <v>6.2100000000000002E-2</v>
      </c>
      <c r="M1682" s="160">
        <f>InputData!$C$7</f>
        <v>0.03</v>
      </c>
      <c r="N1682" s="160">
        <f>InputData!$C$8</f>
        <v>0.02</v>
      </c>
      <c r="O1682" s="160">
        <f>InputData!$C$9</f>
        <v>0.06</v>
      </c>
      <c r="P1682" s="160">
        <f>InputData!$C$10</f>
        <v>0.02</v>
      </c>
      <c r="Q1682" s="160">
        <f>InputData!$C$11</f>
        <v>0.02</v>
      </c>
      <c r="R1682" s="160">
        <f>InputData!$C$12</f>
        <v>0.02</v>
      </c>
      <c r="S1682" s="160">
        <f>InputData!$C$13</f>
        <v>0.9</v>
      </c>
      <c r="T1682" s="116">
        <f>InputData!$C$88</f>
        <v>180000</v>
      </c>
      <c r="U1682" s="116">
        <f>InputData!$C$81</f>
        <v>178500</v>
      </c>
      <c r="V1682" s="116">
        <f>InputData!$C$82</f>
        <v>303960</v>
      </c>
      <c r="W1682" s="116">
        <f>InputData!$C$84</f>
        <v>215220</v>
      </c>
      <c r="X1682" s="116">
        <f>InputData!$C$85</f>
        <v>409020</v>
      </c>
      <c r="Y1682" s="116">
        <f>InputData!$C$116</f>
        <v>140000</v>
      </c>
      <c r="Z1682" s="160">
        <f>InputData!$E$13</f>
        <v>0</v>
      </c>
    </row>
    <row r="1683" spans="1:26" x14ac:dyDescent="0.25">
      <c r="A1683">
        <f>InputData!$K$1</f>
        <v>2013</v>
      </c>
      <c r="B1683" t="str">
        <f>InputData!$G$1</f>
        <v>San Antonio, TX</v>
      </c>
      <c r="C1683" t="s">
        <v>5</v>
      </c>
      <c r="D1683" t="str">
        <f>Graph_GenSurg!$P$6</f>
        <v>SELF</v>
      </c>
      <c r="E1683" t="str">
        <f t="shared" si="26"/>
        <v>General Surgery SELF</v>
      </c>
      <c r="F1683">
        <f>Graph_GenSurg!A8</f>
        <v>2014</v>
      </c>
      <c r="G1683">
        <f>Graph_GenSurg!B8</f>
        <v>2</v>
      </c>
      <c r="H1683" s="165">
        <f>Graph_GenSurg!P8</f>
        <v>0</v>
      </c>
      <c r="I1683" s="160">
        <f>InputData!$C$3</f>
        <v>0.02</v>
      </c>
      <c r="J1683" s="160">
        <f>InputData!$C$4</f>
        <v>0.01</v>
      </c>
      <c r="K1683" s="160">
        <f>InputData!$C$5</f>
        <v>0.01</v>
      </c>
      <c r="L1683" s="160">
        <f>InputData!$C$6</f>
        <v>6.2100000000000002E-2</v>
      </c>
      <c r="M1683" s="160">
        <f>InputData!$C$7</f>
        <v>0.03</v>
      </c>
      <c r="N1683" s="160">
        <f>InputData!$C$8</f>
        <v>0.02</v>
      </c>
      <c r="O1683" s="160">
        <f>InputData!$C$9</f>
        <v>0.06</v>
      </c>
      <c r="P1683" s="160">
        <f>InputData!$C$10</f>
        <v>0.02</v>
      </c>
      <c r="Q1683" s="160">
        <f>InputData!$C$11</f>
        <v>0.02</v>
      </c>
      <c r="R1683" s="160">
        <f>InputData!$C$12</f>
        <v>0.02</v>
      </c>
      <c r="S1683" s="160">
        <f>InputData!$C$13</f>
        <v>0.9</v>
      </c>
      <c r="T1683" s="116">
        <f>InputData!$C$88</f>
        <v>180000</v>
      </c>
      <c r="U1683" s="116">
        <f>InputData!$C$81</f>
        <v>178500</v>
      </c>
      <c r="V1683" s="116">
        <f>InputData!$C$82</f>
        <v>303960</v>
      </c>
      <c r="W1683" s="116">
        <f>InputData!$C$84</f>
        <v>215220</v>
      </c>
      <c r="X1683" s="116">
        <f>InputData!$C$85</f>
        <v>409020</v>
      </c>
      <c r="Y1683" s="116">
        <f>InputData!$C$116</f>
        <v>140000</v>
      </c>
      <c r="Z1683" s="160">
        <f>InputData!$E$13</f>
        <v>0</v>
      </c>
    </row>
    <row r="1684" spans="1:26" x14ac:dyDescent="0.25">
      <c r="A1684">
        <f>InputData!$K$1</f>
        <v>2013</v>
      </c>
      <c r="B1684" t="str">
        <f>InputData!$G$1</f>
        <v>San Antonio, TX</v>
      </c>
      <c r="C1684" t="s">
        <v>5</v>
      </c>
      <c r="D1684" t="str">
        <f>Graph_GenSurg!$P$6</f>
        <v>SELF</v>
      </c>
      <c r="E1684" t="str">
        <f t="shared" si="26"/>
        <v>General Surgery SELF</v>
      </c>
      <c r="F1684">
        <f>Graph_GenSurg!A9</f>
        <v>2015</v>
      </c>
      <c r="G1684">
        <f>Graph_GenSurg!B9</f>
        <v>3</v>
      </c>
      <c r="H1684" s="165">
        <f>Graph_GenSurg!P9</f>
        <v>0</v>
      </c>
      <c r="I1684" s="160">
        <f>InputData!$C$3</f>
        <v>0.02</v>
      </c>
      <c r="J1684" s="160">
        <f>InputData!$C$4</f>
        <v>0.01</v>
      </c>
      <c r="K1684" s="160">
        <f>InputData!$C$5</f>
        <v>0.01</v>
      </c>
      <c r="L1684" s="160">
        <f>InputData!$C$6</f>
        <v>6.2100000000000002E-2</v>
      </c>
      <c r="M1684" s="160">
        <f>InputData!$C$7</f>
        <v>0.03</v>
      </c>
      <c r="N1684" s="160">
        <f>InputData!$C$8</f>
        <v>0.02</v>
      </c>
      <c r="O1684" s="160">
        <f>InputData!$C$9</f>
        <v>0.06</v>
      </c>
      <c r="P1684" s="160">
        <f>InputData!$C$10</f>
        <v>0.02</v>
      </c>
      <c r="Q1684" s="160">
        <f>InputData!$C$11</f>
        <v>0.02</v>
      </c>
      <c r="R1684" s="160">
        <f>InputData!$C$12</f>
        <v>0.02</v>
      </c>
      <c r="S1684" s="160">
        <f>InputData!$C$13</f>
        <v>0.9</v>
      </c>
      <c r="T1684" s="116">
        <f>InputData!$C$88</f>
        <v>180000</v>
      </c>
      <c r="U1684" s="116">
        <f>InputData!$C$81</f>
        <v>178500</v>
      </c>
      <c r="V1684" s="116">
        <f>InputData!$C$82</f>
        <v>303960</v>
      </c>
      <c r="W1684" s="116">
        <f>InputData!$C$84</f>
        <v>215220</v>
      </c>
      <c r="X1684" s="116">
        <f>InputData!$C$85</f>
        <v>409020</v>
      </c>
      <c r="Y1684" s="116">
        <f>InputData!$C$116</f>
        <v>140000</v>
      </c>
      <c r="Z1684" s="160">
        <f>InputData!$E$13</f>
        <v>0</v>
      </c>
    </row>
    <row r="1685" spans="1:26" x14ac:dyDescent="0.25">
      <c r="A1685">
        <f>InputData!$K$1</f>
        <v>2013</v>
      </c>
      <c r="B1685" t="str">
        <f>InputData!$G$1</f>
        <v>San Antonio, TX</v>
      </c>
      <c r="C1685" t="s">
        <v>5</v>
      </c>
      <c r="D1685" t="str">
        <f>Graph_GenSurg!$P$6</f>
        <v>SELF</v>
      </c>
      <c r="E1685" t="str">
        <f t="shared" si="26"/>
        <v>General Surgery SELF</v>
      </c>
      <c r="F1685">
        <f>Graph_GenSurg!A10</f>
        <v>2016</v>
      </c>
      <c r="G1685">
        <f>Graph_GenSurg!B10</f>
        <v>4</v>
      </c>
      <c r="H1685" s="165">
        <f>Graph_GenSurg!P10</f>
        <v>0</v>
      </c>
      <c r="I1685" s="160">
        <f>InputData!$C$3</f>
        <v>0.02</v>
      </c>
      <c r="J1685" s="160">
        <f>InputData!$C$4</f>
        <v>0.01</v>
      </c>
      <c r="K1685" s="160">
        <f>InputData!$C$5</f>
        <v>0.01</v>
      </c>
      <c r="L1685" s="160">
        <f>InputData!$C$6</f>
        <v>6.2100000000000002E-2</v>
      </c>
      <c r="M1685" s="160">
        <f>InputData!$C$7</f>
        <v>0.03</v>
      </c>
      <c r="N1685" s="160">
        <f>InputData!$C$8</f>
        <v>0.02</v>
      </c>
      <c r="O1685" s="160">
        <f>InputData!$C$9</f>
        <v>0.06</v>
      </c>
      <c r="P1685" s="160">
        <f>InputData!$C$10</f>
        <v>0.02</v>
      </c>
      <c r="Q1685" s="160">
        <f>InputData!$C$11</f>
        <v>0.02</v>
      </c>
      <c r="R1685" s="160">
        <f>InputData!$C$12</f>
        <v>0.02</v>
      </c>
      <c r="S1685" s="160">
        <f>InputData!$C$13</f>
        <v>0.9</v>
      </c>
      <c r="T1685" s="116">
        <f>InputData!$C$88</f>
        <v>180000</v>
      </c>
      <c r="U1685" s="116">
        <f>InputData!$C$81</f>
        <v>178500</v>
      </c>
      <c r="V1685" s="116">
        <f>InputData!$C$82</f>
        <v>303960</v>
      </c>
      <c r="W1685" s="116">
        <f>InputData!$C$84</f>
        <v>215220</v>
      </c>
      <c r="X1685" s="116">
        <f>InputData!$C$85</f>
        <v>409020</v>
      </c>
      <c r="Y1685" s="116">
        <f>InputData!$C$116</f>
        <v>140000</v>
      </c>
      <c r="Z1685" s="160">
        <f>InputData!$E$13</f>
        <v>0</v>
      </c>
    </row>
    <row r="1686" spans="1:26" x14ac:dyDescent="0.25">
      <c r="A1686">
        <f>InputData!$K$1</f>
        <v>2013</v>
      </c>
      <c r="B1686" t="str">
        <f>InputData!$G$1</f>
        <v>San Antonio, TX</v>
      </c>
      <c r="C1686" t="s">
        <v>5</v>
      </c>
      <c r="D1686" t="str">
        <f>Graph_GenSurg!$P$6</f>
        <v>SELF</v>
      </c>
      <c r="E1686" t="str">
        <f t="shared" si="26"/>
        <v>General Surgery SELF</v>
      </c>
      <c r="F1686">
        <f>Graph_GenSurg!A11</f>
        <v>2017</v>
      </c>
      <c r="G1686">
        <f>Graph_GenSurg!B11</f>
        <v>5</v>
      </c>
      <c r="H1686" s="165">
        <f>Graph_GenSurg!P11</f>
        <v>35886.328601905836</v>
      </c>
      <c r="I1686" s="160">
        <f>InputData!$C$3</f>
        <v>0.02</v>
      </c>
      <c r="J1686" s="160">
        <f>InputData!$C$4</f>
        <v>0.01</v>
      </c>
      <c r="K1686" s="160">
        <f>InputData!$C$5</f>
        <v>0.01</v>
      </c>
      <c r="L1686" s="160">
        <f>InputData!$C$6</f>
        <v>6.2100000000000002E-2</v>
      </c>
      <c r="M1686" s="160">
        <f>InputData!$C$7</f>
        <v>0.03</v>
      </c>
      <c r="N1686" s="160">
        <f>InputData!$C$8</f>
        <v>0.02</v>
      </c>
      <c r="O1686" s="160">
        <f>InputData!$C$9</f>
        <v>0.06</v>
      </c>
      <c r="P1686" s="160">
        <f>InputData!$C$10</f>
        <v>0.02</v>
      </c>
      <c r="Q1686" s="160">
        <f>InputData!$C$11</f>
        <v>0.02</v>
      </c>
      <c r="R1686" s="160">
        <f>InputData!$C$12</f>
        <v>0.02</v>
      </c>
      <c r="S1686" s="160">
        <f>InputData!$C$13</f>
        <v>0.9</v>
      </c>
      <c r="T1686" s="116">
        <f>InputData!$C$88</f>
        <v>180000</v>
      </c>
      <c r="U1686" s="116">
        <f>InputData!$C$81</f>
        <v>178500</v>
      </c>
      <c r="V1686" s="116">
        <f>InputData!$C$82</f>
        <v>303960</v>
      </c>
      <c r="W1686" s="116">
        <f>InputData!$C$84</f>
        <v>215220</v>
      </c>
      <c r="X1686" s="116">
        <f>InputData!$C$85</f>
        <v>409020</v>
      </c>
      <c r="Y1686" s="116">
        <f>InputData!$C$116</f>
        <v>140000</v>
      </c>
      <c r="Z1686" s="160">
        <f>InputData!$E$13</f>
        <v>0</v>
      </c>
    </row>
    <row r="1687" spans="1:26" x14ac:dyDescent="0.25">
      <c r="A1687">
        <f>InputData!$K$1</f>
        <v>2013</v>
      </c>
      <c r="B1687" t="str">
        <f>InputData!$G$1</f>
        <v>San Antonio, TX</v>
      </c>
      <c r="C1687" t="s">
        <v>5</v>
      </c>
      <c r="D1687" t="str">
        <f>Graph_GenSurg!$P$6</f>
        <v>SELF</v>
      </c>
      <c r="E1687" t="str">
        <f t="shared" ref="E1687:E1712" si="27">C1687 &amp; " " &amp; D1687</f>
        <v>General Surgery SELF</v>
      </c>
      <c r="F1687">
        <f>Graph_GenSurg!A12</f>
        <v>2018</v>
      </c>
      <c r="G1687">
        <f>Graph_GenSurg!B12</f>
        <v>6</v>
      </c>
      <c r="H1687" s="165">
        <f>Graph_GenSurg!P12</f>
        <v>71871.450910563319</v>
      </c>
      <c r="I1687" s="160">
        <f>InputData!$C$3</f>
        <v>0.02</v>
      </c>
      <c r="J1687" s="160">
        <f>InputData!$C$4</f>
        <v>0.01</v>
      </c>
      <c r="K1687" s="160">
        <f>InputData!$C$5</f>
        <v>0.01</v>
      </c>
      <c r="L1687" s="160">
        <f>InputData!$C$6</f>
        <v>6.2100000000000002E-2</v>
      </c>
      <c r="M1687" s="160">
        <f>InputData!$C$7</f>
        <v>0.03</v>
      </c>
      <c r="N1687" s="160">
        <f>InputData!$C$8</f>
        <v>0.02</v>
      </c>
      <c r="O1687" s="160">
        <f>InputData!$C$9</f>
        <v>0.06</v>
      </c>
      <c r="P1687" s="160">
        <f>InputData!$C$10</f>
        <v>0.02</v>
      </c>
      <c r="Q1687" s="160">
        <f>InputData!$C$11</f>
        <v>0.02</v>
      </c>
      <c r="R1687" s="160">
        <f>InputData!$C$12</f>
        <v>0.02</v>
      </c>
      <c r="S1687" s="160">
        <f>InputData!$C$13</f>
        <v>0.9</v>
      </c>
      <c r="T1687" s="116">
        <f>InputData!$C$88</f>
        <v>180000</v>
      </c>
      <c r="U1687" s="116">
        <f>InputData!$C$81</f>
        <v>178500</v>
      </c>
      <c r="V1687" s="116">
        <f>InputData!$C$82</f>
        <v>303960</v>
      </c>
      <c r="W1687" s="116">
        <f>InputData!$C$84</f>
        <v>215220</v>
      </c>
      <c r="X1687" s="116">
        <f>InputData!$C$85</f>
        <v>409020</v>
      </c>
      <c r="Y1687" s="116">
        <f>InputData!$C$116</f>
        <v>140000</v>
      </c>
      <c r="Z1687" s="160">
        <f>InputData!$E$13</f>
        <v>0</v>
      </c>
    </row>
    <row r="1688" spans="1:26" x14ac:dyDescent="0.25">
      <c r="A1688">
        <f>InputData!$K$1</f>
        <v>2013</v>
      </c>
      <c r="B1688" t="str">
        <f>InputData!$G$1</f>
        <v>San Antonio, TX</v>
      </c>
      <c r="C1688" t="s">
        <v>5</v>
      </c>
      <c r="D1688" t="str">
        <f>Graph_GenSurg!$P$6</f>
        <v>SELF</v>
      </c>
      <c r="E1688" t="str">
        <f t="shared" si="27"/>
        <v>General Surgery SELF</v>
      </c>
      <c r="F1688">
        <f>Graph_GenSurg!A13</f>
        <v>2019</v>
      </c>
      <c r="G1688">
        <f>Graph_GenSurg!B13</f>
        <v>7</v>
      </c>
      <c r="H1688" s="165">
        <f>Graph_GenSurg!P13</f>
        <v>107962.72535202681</v>
      </c>
      <c r="I1688" s="160">
        <f>InputData!$C$3</f>
        <v>0.02</v>
      </c>
      <c r="J1688" s="160">
        <f>InputData!$C$4</f>
        <v>0.01</v>
      </c>
      <c r="K1688" s="160">
        <f>InputData!$C$5</f>
        <v>0.01</v>
      </c>
      <c r="L1688" s="160">
        <f>InputData!$C$6</f>
        <v>6.2100000000000002E-2</v>
      </c>
      <c r="M1688" s="160">
        <f>InputData!$C$7</f>
        <v>0.03</v>
      </c>
      <c r="N1688" s="160">
        <f>InputData!$C$8</f>
        <v>0.02</v>
      </c>
      <c r="O1688" s="160">
        <f>InputData!$C$9</f>
        <v>0.06</v>
      </c>
      <c r="P1688" s="160">
        <f>InputData!$C$10</f>
        <v>0.02</v>
      </c>
      <c r="Q1688" s="160">
        <f>InputData!$C$11</f>
        <v>0.02</v>
      </c>
      <c r="R1688" s="160">
        <f>InputData!$C$12</f>
        <v>0.02</v>
      </c>
      <c r="S1688" s="160">
        <f>InputData!$C$13</f>
        <v>0.9</v>
      </c>
      <c r="T1688" s="116">
        <f>InputData!$C$88</f>
        <v>180000</v>
      </c>
      <c r="U1688" s="116">
        <f>InputData!$C$81</f>
        <v>178500</v>
      </c>
      <c r="V1688" s="116">
        <f>InputData!$C$82</f>
        <v>303960</v>
      </c>
      <c r="W1688" s="116">
        <f>InputData!$C$84</f>
        <v>215220</v>
      </c>
      <c r="X1688" s="116">
        <f>InputData!$C$85</f>
        <v>409020</v>
      </c>
      <c r="Y1688" s="116">
        <f>InputData!$C$116</f>
        <v>140000</v>
      </c>
      <c r="Z1688" s="160">
        <f>InputData!$E$13</f>
        <v>0</v>
      </c>
    </row>
    <row r="1689" spans="1:26" x14ac:dyDescent="0.25">
      <c r="A1689">
        <f>InputData!$K$1</f>
        <v>2013</v>
      </c>
      <c r="B1689" t="str">
        <f>InputData!$G$1</f>
        <v>San Antonio, TX</v>
      </c>
      <c r="C1689" t="s">
        <v>5</v>
      </c>
      <c r="D1689" t="str">
        <f>Graph_GenSurg!$P$6</f>
        <v>SELF</v>
      </c>
      <c r="E1689" t="str">
        <f t="shared" si="27"/>
        <v>General Surgery SELF</v>
      </c>
      <c r="F1689">
        <f>Graph_GenSurg!A14</f>
        <v>2020</v>
      </c>
      <c r="G1689">
        <f>Graph_GenSurg!B14</f>
        <v>8</v>
      </c>
      <c r="H1689" s="165">
        <f>Graph_GenSurg!P14</f>
        <v>144167.38761271787</v>
      </c>
      <c r="I1689" s="160">
        <f>InputData!$C$3</f>
        <v>0.02</v>
      </c>
      <c r="J1689" s="160">
        <f>InputData!$C$4</f>
        <v>0.01</v>
      </c>
      <c r="K1689" s="160">
        <f>InputData!$C$5</f>
        <v>0.01</v>
      </c>
      <c r="L1689" s="160">
        <f>InputData!$C$6</f>
        <v>6.2100000000000002E-2</v>
      </c>
      <c r="M1689" s="160">
        <f>InputData!$C$7</f>
        <v>0.03</v>
      </c>
      <c r="N1689" s="160">
        <f>InputData!$C$8</f>
        <v>0.02</v>
      </c>
      <c r="O1689" s="160">
        <f>InputData!$C$9</f>
        <v>0.06</v>
      </c>
      <c r="P1689" s="160">
        <f>InputData!$C$10</f>
        <v>0.02</v>
      </c>
      <c r="Q1689" s="160">
        <f>InputData!$C$11</f>
        <v>0.02</v>
      </c>
      <c r="R1689" s="160">
        <f>InputData!$C$12</f>
        <v>0.02</v>
      </c>
      <c r="S1689" s="160">
        <f>InputData!$C$13</f>
        <v>0.9</v>
      </c>
      <c r="T1689" s="116">
        <f>InputData!$C$88</f>
        <v>180000</v>
      </c>
      <c r="U1689" s="116">
        <f>InputData!$C$81</f>
        <v>178500</v>
      </c>
      <c r="V1689" s="116">
        <f>InputData!$C$82</f>
        <v>303960</v>
      </c>
      <c r="W1689" s="116">
        <f>InputData!$C$84</f>
        <v>215220</v>
      </c>
      <c r="X1689" s="116">
        <f>InputData!$C$85</f>
        <v>409020</v>
      </c>
      <c r="Y1689" s="116">
        <f>InputData!$C$116</f>
        <v>140000</v>
      </c>
      <c r="Z1689" s="160">
        <f>InputData!$E$13</f>
        <v>0</v>
      </c>
    </row>
    <row r="1690" spans="1:26" x14ac:dyDescent="0.25">
      <c r="A1690">
        <f>InputData!$K$1</f>
        <v>2013</v>
      </c>
      <c r="B1690" t="str">
        <f>InputData!$G$1</f>
        <v>San Antonio, TX</v>
      </c>
      <c r="C1690" t="s">
        <v>5</v>
      </c>
      <c r="D1690" t="str">
        <f>Graph_GenSurg!$P$6</f>
        <v>SELF</v>
      </c>
      <c r="E1690" t="str">
        <f t="shared" si="27"/>
        <v>General Surgery SELF</v>
      </c>
      <c r="F1690">
        <f>Graph_GenSurg!A15</f>
        <v>2021</v>
      </c>
      <c r="G1690">
        <f>Graph_GenSurg!B15</f>
        <v>9</v>
      </c>
      <c r="H1690" s="165">
        <f>Graph_GenSurg!P15</f>
        <v>180492.55503378765</v>
      </c>
      <c r="I1690" s="160">
        <f>InputData!$C$3</f>
        <v>0.02</v>
      </c>
      <c r="J1690" s="160">
        <f>InputData!$C$4</f>
        <v>0.01</v>
      </c>
      <c r="K1690" s="160">
        <f>InputData!$C$5</f>
        <v>0.01</v>
      </c>
      <c r="L1690" s="160">
        <f>InputData!$C$6</f>
        <v>6.2100000000000002E-2</v>
      </c>
      <c r="M1690" s="160">
        <f>InputData!$C$7</f>
        <v>0.03</v>
      </c>
      <c r="N1690" s="160">
        <f>InputData!$C$8</f>
        <v>0.02</v>
      </c>
      <c r="O1690" s="160">
        <f>InputData!$C$9</f>
        <v>0.06</v>
      </c>
      <c r="P1690" s="160">
        <f>InputData!$C$10</f>
        <v>0.02</v>
      </c>
      <c r="Q1690" s="160">
        <f>InputData!$C$11</f>
        <v>0.02</v>
      </c>
      <c r="R1690" s="160">
        <f>InputData!$C$12</f>
        <v>0.02</v>
      </c>
      <c r="S1690" s="160">
        <f>InputData!$C$13</f>
        <v>0.9</v>
      </c>
      <c r="T1690" s="116">
        <f>InputData!$C$88</f>
        <v>180000</v>
      </c>
      <c r="U1690" s="116">
        <f>InputData!$C$81</f>
        <v>178500</v>
      </c>
      <c r="V1690" s="116">
        <f>InputData!$C$82</f>
        <v>303960</v>
      </c>
      <c r="W1690" s="116">
        <f>InputData!$C$84</f>
        <v>215220</v>
      </c>
      <c r="X1690" s="116">
        <f>InputData!$C$85</f>
        <v>409020</v>
      </c>
      <c r="Y1690" s="116">
        <f>InputData!$C$116</f>
        <v>140000</v>
      </c>
      <c r="Z1690" s="160">
        <f>InputData!$E$13</f>
        <v>0</v>
      </c>
    </row>
    <row r="1691" spans="1:26" x14ac:dyDescent="0.25">
      <c r="A1691">
        <f>InputData!$K$1</f>
        <v>2013</v>
      </c>
      <c r="B1691" t="str">
        <f>InputData!$G$1</f>
        <v>San Antonio, TX</v>
      </c>
      <c r="C1691" t="s">
        <v>5</v>
      </c>
      <c r="D1691" t="str">
        <f>Graph_GenSurg!$P$6</f>
        <v>SELF</v>
      </c>
      <c r="E1691" t="str">
        <f t="shared" si="27"/>
        <v>General Surgery SELF</v>
      </c>
      <c r="F1691">
        <f>Graph_GenSurg!A16</f>
        <v>2022</v>
      </c>
      <c r="G1691">
        <f>Graph_GenSurg!B16</f>
        <v>10</v>
      </c>
      <c r="H1691" s="165">
        <f>Graph_GenSurg!P16</f>
        <v>341500.33217361348</v>
      </c>
      <c r="I1691" s="160">
        <f>InputData!$C$3</f>
        <v>0.02</v>
      </c>
      <c r="J1691" s="160">
        <f>InputData!$C$4</f>
        <v>0.01</v>
      </c>
      <c r="K1691" s="160">
        <f>InputData!$C$5</f>
        <v>0.01</v>
      </c>
      <c r="L1691" s="160">
        <f>InputData!$C$6</f>
        <v>6.2100000000000002E-2</v>
      </c>
      <c r="M1691" s="160">
        <f>InputData!$C$7</f>
        <v>0.03</v>
      </c>
      <c r="N1691" s="160">
        <f>InputData!$C$8</f>
        <v>0.02</v>
      </c>
      <c r="O1691" s="160">
        <f>InputData!$C$9</f>
        <v>0.06</v>
      </c>
      <c r="P1691" s="160">
        <f>InputData!$C$10</f>
        <v>0.02</v>
      </c>
      <c r="Q1691" s="160">
        <f>InputData!$C$11</f>
        <v>0.02</v>
      </c>
      <c r="R1691" s="160">
        <f>InputData!$C$12</f>
        <v>0.02</v>
      </c>
      <c r="S1691" s="160">
        <f>InputData!$C$13</f>
        <v>0.9</v>
      </c>
      <c r="T1691" s="116">
        <f>InputData!$C$88</f>
        <v>180000</v>
      </c>
      <c r="U1691" s="116">
        <f>InputData!$C$81</f>
        <v>178500</v>
      </c>
      <c r="V1691" s="116">
        <f>InputData!$C$82</f>
        <v>303960</v>
      </c>
      <c r="W1691" s="116">
        <f>InputData!$C$84</f>
        <v>215220</v>
      </c>
      <c r="X1691" s="116">
        <f>InputData!$C$85</f>
        <v>409020</v>
      </c>
      <c r="Y1691" s="116">
        <f>InputData!$C$116</f>
        <v>140000</v>
      </c>
      <c r="Z1691" s="160">
        <f>InputData!$E$13</f>
        <v>0</v>
      </c>
    </row>
    <row r="1692" spans="1:26" x14ac:dyDescent="0.25">
      <c r="A1692">
        <f>InputData!$K$1</f>
        <v>2013</v>
      </c>
      <c r="B1692" t="str">
        <f>InputData!$G$1</f>
        <v>San Antonio, TX</v>
      </c>
      <c r="C1692" t="s">
        <v>5</v>
      </c>
      <c r="D1692" t="str">
        <f>Graph_GenSurg!$P$6</f>
        <v>SELF</v>
      </c>
      <c r="E1692" t="str">
        <f t="shared" si="27"/>
        <v>General Surgery SELF</v>
      </c>
      <c r="F1692">
        <f>Graph_GenSurg!A17</f>
        <v>2023</v>
      </c>
      <c r="G1692">
        <f>Graph_GenSurg!B17</f>
        <v>11</v>
      </c>
      <c r="H1692" s="165">
        <f>Graph_GenSurg!P17</f>
        <v>497818.56240645412</v>
      </c>
      <c r="I1692" s="160">
        <f>InputData!$C$3</f>
        <v>0.02</v>
      </c>
      <c r="J1692" s="160">
        <f>InputData!$C$4</f>
        <v>0.01</v>
      </c>
      <c r="K1692" s="160">
        <f>InputData!$C$5</f>
        <v>0.01</v>
      </c>
      <c r="L1692" s="160">
        <f>InputData!$C$6</f>
        <v>6.2100000000000002E-2</v>
      </c>
      <c r="M1692" s="160">
        <f>InputData!$C$7</f>
        <v>0.03</v>
      </c>
      <c r="N1692" s="160">
        <f>InputData!$C$8</f>
        <v>0.02</v>
      </c>
      <c r="O1692" s="160">
        <f>InputData!$C$9</f>
        <v>0.06</v>
      </c>
      <c r="P1692" s="160">
        <f>InputData!$C$10</f>
        <v>0.02</v>
      </c>
      <c r="Q1692" s="160">
        <f>InputData!$C$11</f>
        <v>0.02</v>
      </c>
      <c r="R1692" s="160">
        <f>InputData!$C$12</f>
        <v>0.02</v>
      </c>
      <c r="S1692" s="160">
        <f>InputData!$C$13</f>
        <v>0.9</v>
      </c>
      <c r="T1692" s="116">
        <f>InputData!$C$88</f>
        <v>180000</v>
      </c>
      <c r="U1692" s="116">
        <f>InputData!$C$81</f>
        <v>178500</v>
      </c>
      <c r="V1692" s="116">
        <f>InputData!$C$82</f>
        <v>303960</v>
      </c>
      <c r="W1692" s="116">
        <f>InputData!$C$84</f>
        <v>215220</v>
      </c>
      <c r="X1692" s="116">
        <f>InputData!$C$85</f>
        <v>409020</v>
      </c>
      <c r="Y1692" s="116">
        <f>InputData!$C$116</f>
        <v>140000</v>
      </c>
      <c r="Z1692" s="160">
        <f>InputData!$E$13</f>
        <v>0</v>
      </c>
    </row>
    <row r="1693" spans="1:26" x14ac:dyDescent="0.25">
      <c r="A1693">
        <f>InputData!$K$1</f>
        <v>2013</v>
      </c>
      <c r="B1693" t="str">
        <f>InputData!$G$1</f>
        <v>San Antonio, TX</v>
      </c>
      <c r="C1693" t="s">
        <v>5</v>
      </c>
      <c r="D1693" t="str">
        <f>Graph_GenSurg!$P$6</f>
        <v>SELF</v>
      </c>
      <c r="E1693" t="str">
        <f t="shared" si="27"/>
        <v>General Surgery SELF</v>
      </c>
      <c r="F1693">
        <f>Graph_GenSurg!A18</f>
        <v>2024</v>
      </c>
      <c r="G1693">
        <f>Graph_GenSurg!B18</f>
        <v>12</v>
      </c>
      <c r="H1693" s="165">
        <f>Graph_GenSurg!P18</f>
        <v>650995.00497466838</v>
      </c>
      <c r="I1693" s="160">
        <f>InputData!$C$3</f>
        <v>0.02</v>
      </c>
      <c r="J1693" s="160">
        <f>InputData!$C$4</f>
        <v>0.01</v>
      </c>
      <c r="K1693" s="160">
        <f>InputData!$C$5</f>
        <v>0.01</v>
      </c>
      <c r="L1693" s="160">
        <f>InputData!$C$6</f>
        <v>6.2100000000000002E-2</v>
      </c>
      <c r="M1693" s="160">
        <f>InputData!$C$7</f>
        <v>0.03</v>
      </c>
      <c r="N1693" s="160">
        <f>InputData!$C$8</f>
        <v>0.02</v>
      </c>
      <c r="O1693" s="160">
        <f>InputData!$C$9</f>
        <v>0.06</v>
      </c>
      <c r="P1693" s="160">
        <f>InputData!$C$10</f>
        <v>0.02</v>
      </c>
      <c r="Q1693" s="160">
        <f>InputData!$C$11</f>
        <v>0.02</v>
      </c>
      <c r="R1693" s="160">
        <f>InputData!$C$12</f>
        <v>0.02</v>
      </c>
      <c r="S1693" s="160">
        <f>InputData!$C$13</f>
        <v>0.9</v>
      </c>
      <c r="T1693" s="116">
        <f>InputData!$C$88</f>
        <v>180000</v>
      </c>
      <c r="U1693" s="116">
        <f>InputData!$C$81</f>
        <v>178500</v>
      </c>
      <c r="V1693" s="116">
        <f>InputData!$C$82</f>
        <v>303960</v>
      </c>
      <c r="W1693" s="116">
        <f>InputData!$C$84</f>
        <v>215220</v>
      </c>
      <c r="X1693" s="116">
        <f>InputData!$C$85</f>
        <v>409020</v>
      </c>
      <c r="Y1693" s="116">
        <f>InputData!$C$116</f>
        <v>140000</v>
      </c>
      <c r="Z1693" s="160">
        <f>InputData!$E$13</f>
        <v>0</v>
      </c>
    </row>
    <row r="1694" spans="1:26" x14ac:dyDescent="0.25">
      <c r="A1694">
        <f>InputData!$K$1</f>
        <v>2013</v>
      </c>
      <c r="B1694" t="str">
        <f>InputData!$G$1</f>
        <v>San Antonio, TX</v>
      </c>
      <c r="C1694" t="s">
        <v>5</v>
      </c>
      <c r="D1694" t="str">
        <f>Graph_GenSurg!$P$6</f>
        <v>SELF</v>
      </c>
      <c r="E1694" t="str">
        <f t="shared" si="27"/>
        <v>General Surgery SELF</v>
      </c>
      <c r="F1694">
        <f>Graph_GenSurg!A19</f>
        <v>2025</v>
      </c>
      <c r="G1694">
        <f>Graph_GenSurg!B19</f>
        <v>13</v>
      </c>
      <c r="H1694" s="165">
        <f>Graph_GenSurg!P19</f>
        <v>801093.49824708293</v>
      </c>
      <c r="I1694" s="160">
        <f>InputData!$C$3</f>
        <v>0.02</v>
      </c>
      <c r="J1694" s="160">
        <f>InputData!$C$4</f>
        <v>0.01</v>
      </c>
      <c r="K1694" s="160">
        <f>InputData!$C$5</f>
        <v>0.01</v>
      </c>
      <c r="L1694" s="160">
        <f>InputData!$C$6</f>
        <v>6.2100000000000002E-2</v>
      </c>
      <c r="M1694" s="160">
        <f>InputData!$C$7</f>
        <v>0.03</v>
      </c>
      <c r="N1694" s="160">
        <f>InputData!$C$8</f>
        <v>0.02</v>
      </c>
      <c r="O1694" s="160">
        <f>InputData!$C$9</f>
        <v>0.06</v>
      </c>
      <c r="P1694" s="160">
        <f>InputData!$C$10</f>
        <v>0.02</v>
      </c>
      <c r="Q1694" s="160">
        <f>InputData!$C$11</f>
        <v>0.02</v>
      </c>
      <c r="R1694" s="160">
        <f>InputData!$C$12</f>
        <v>0.02</v>
      </c>
      <c r="S1694" s="160">
        <f>InputData!$C$13</f>
        <v>0.9</v>
      </c>
      <c r="T1694" s="116">
        <f>InputData!$C$88</f>
        <v>180000</v>
      </c>
      <c r="U1694" s="116">
        <f>InputData!$C$81</f>
        <v>178500</v>
      </c>
      <c r="V1694" s="116">
        <f>InputData!$C$82</f>
        <v>303960</v>
      </c>
      <c r="W1694" s="116">
        <f>InputData!$C$84</f>
        <v>215220</v>
      </c>
      <c r="X1694" s="116">
        <f>InputData!$C$85</f>
        <v>409020</v>
      </c>
      <c r="Y1694" s="116">
        <f>InputData!$C$116</f>
        <v>140000</v>
      </c>
      <c r="Z1694" s="160">
        <f>InputData!$E$13</f>
        <v>0</v>
      </c>
    </row>
    <row r="1695" spans="1:26" x14ac:dyDescent="0.25">
      <c r="A1695">
        <f>InputData!$K$1</f>
        <v>2013</v>
      </c>
      <c r="B1695" t="str">
        <f>InputData!$G$1</f>
        <v>San Antonio, TX</v>
      </c>
      <c r="C1695" t="s">
        <v>5</v>
      </c>
      <c r="D1695" t="str">
        <f>Graph_GenSurg!$P$6</f>
        <v>SELF</v>
      </c>
      <c r="E1695" t="str">
        <f t="shared" si="27"/>
        <v>General Surgery SELF</v>
      </c>
      <c r="F1695">
        <f>Graph_GenSurg!A20</f>
        <v>2026</v>
      </c>
      <c r="G1695">
        <f>Graph_GenSurg!B20</f>
        <v>14</v>
      </c>
      <c r="H1695" s="165">
        <f>Graph_GenSurg!P20</f>
        <v>948176.56377176929</v>
      </c>
      <c r="I1695" s="160">
        <f>InputData!$C$3</f>
        <v>0.02</v>
      </c>
      <c r="J1695" s="160">
        <f>InputData!$C$4</f>
        <v>0.01</v>
      </c>
      <c r="K1695" s="160">
        <f>InputData!$C$5</f>
        <v>0.01</v>
      </c>
      <c r="L1695" s="160">
        <f>InputData!$C$6</f>
        <v>6.2100000000000002E-2</v>
      </c>
      <c r="M1695" s="160">
        <f>InputData!$C$7</f>
        <v>0.03</v>
      </c>
      <c r="N1695" s="160">
        <f>InputData!$C$8</f>
        <v>0.02</v>
      </c>
      <c r="O1695" s="160">
        <f>InputData!$C$9</f>
        <v>0.06</v>
      </c>
      <c r="P1695" s="160">
        <f>InputData!$C$10</f>
        <v>0.02</v>
      </c>
      <c r="Q1695" s="160">
        <f>InputData!$C$11</f>
        <v>0.02</v>
      </c>
      <c r="R1695" s="160">
        <f>InputData!$C$12</f>
        <v>0.02</v>
      </c>
      <c r="S1695" s="160">
        <f>InputData!$C$13</f>
        <v>0.9</v>
      </c>
      <c r="T1695" s="116">
        <f>InputData!$C$88</f>
        <v>180000</v>
      </c>
      <c r="U1695" s="116">
        <f>InputData!$C$81</f>
        <v>178500</v>
      </c>
      <c r="V1695" s="116">
        <f>InputData!$C$82</f>
        <v>303960</v>
      </c>
      <c r="W1695" s="116">
        <f>InputData!$C$84</f>
        <v>215220</v>
      </c>
      <c r="X1695" s="116">
        <f>InputData!$C$85</f>
        <v>409020</v>
      </c>
      <c r="Y1695" s="116">
        <f>InputData!$C$116</f>
        <v>140000</v>
      </c>
      <c r="Z1695" s="160">
        <f>InputData!$E$13</f>
        <v>0</v>
      </c>
    </row>
    <row r="1696" spans="1:26" x14ac:dyDescent="0.25">
      <c r="A1696">
        <f>InputData!$K$1</f>
        <v>2013</v>
      </c>
      <c r="B1696" t="str">
        <f>InputData!$G$1</f>
        <v>San Antonio, TX</v>
      </c>
      <c r="C1696" t="s">
        <v>5</v>
      </c>
      <c r="D1696" t="str">
        <f>Graph_GenSurg!$P$6</f>
        <v>SELF</v>
      </c>
      <c r="E1696" t="str">
        <f t="shared" si="27"/>
        <v>General Surgery SELF</v>
      </c>
      <c r="F1696">
        <f>Graph_GenSurg!A21</f>
        <v>2027</v>
      </c>
      <c r="G1696">
        <f>Graph_GenSurg!B21</f>
        <v>15</v>
      </c>
      <c r="H1696" s="165">
        <f>Graph_GenSurg!P21</f>
        <v>1092305.4339918268</v>
      </c>
      <c r="I1696" s="160">
        <f>InputData!$C$3</f>
        <v>0.02</v>
      </c>
      <c r="J1696" s="160">
        <f>InputData!$C$4</f>
        <v>0.01</v>
      </c>
      <c r="K1696" s="160">
        <f>InputData!$C$5</f>
        <v>0.01</v>
      </c>
      <c r="L1696" s="160">
        <f>InputData!$C$6</f>
        <v>6.2100000000000002E-2</v>
      </c>
      <c r="M1696" s="160">
        <f>InputData!$C$7</f>
        <v>0.03</v>
      </c>
      <c r="N1696" s="160">
        <f>InputData!$C$8</f>
        <v>0.02</v>
      </c>
      <c r="O1696" s="160">
        <f>InputData!$C$9</f>
        <v>0.06</v>
      </c>
      <c r="P1696" s="160">
        <f>InputData!$C$10</f>
        <v>0.02</v>
      </c>
      <c r="Q1696" s="160">
        <f>InputData!$C$11</f>
        <v>0.02</v>
      </c>
      <c r="R1696" s="160">
        <f>InputData!$C$12</f>
        <v>0.02</v>
      </c>
      <c r="S1696" s="160">
        <f>InputData!$C$13</f>
        <v>0.9</v>
      </c>
      <c r="T1696" s="116">
        <f>InputData!$C$88</f>
        <v>180000</v>
      </c>
      <c r="U1696" s="116">
        <f>InputData!$C$81</f>
        <v>178500</v>
      </c>
      <c r="V1696" s="116">
        <f>InputData!$C$82</f>
        <v>303960</v>
      </c>
      <c r="W1696" s="116">
        <f>InputData!$C$84</f>
        <v>215220</v>
      </c>
      <c r="X1696" s="116">
        <f>InputData!$C$85</f>
        <v>409020</v>
      </c>
      <c r="Y1696" s="116">
        <f>InputData!$C$116</f>
        <v>140000</v>
      </c>
      <c r="Z1696" s="160">
        <f>InputData!$E$13</f>
        <v>0</v>
      </c>
    </row>
    <row r="1697" spans="1:26" x14ac:dyDescent="0.25">
      <c r="A1697">
        <f>InputData!$K$1</f>
        <v>2013</v>
      </c>
      <c r="B1697" t="str">
        <f>InputData!$G$1</f>
        <v>San Antonio, TX</v>
      </c>
      <c r="C1697" t="s">
        <v>5</v>
      </c>
      <c r="D1697" t="str">
        <f>Graph_GenSurg!$P$6</f>
        <v>SELF</v>
      </c>
      <c r="E1697" t="str">
        <f t="shared" si="27"/>
        <v>General Surgery SELF</v>
      </c>
      <c r="F1697">
        <f>Graph_GenSurg!A22</f>
        <v>2028</v>
      </c>
      <c r="G1697">
        <f>Graph_GenSurg!B22</f>
        <v>16</v>
      </c>
      <c r="H1697" s="165">
        <f>Graph_GenSurg!P22</f>
        <v>1233540.0793625023</v>
      </c>
      <c r="I1697" s="160">
        <f>InputData!$C$3</f>
        <v>0.02</v>
      </c>
      <c r="J1697" s="160">
        <f>InputData!$C$4</f>
        <v>0.01</v>
      </c>
      <c r="K1697" s="160">
        <f>InputData!$C$5</f>
        <v>0.01</v>
      </c>
      <c r="L1697" s="160">
        <f>InputData!$C$6</f>
        <v>6.2100000000000002E-2</v>
      </c>
      <c r="M1697" s="160">
        <f>InputData!$C$7</f>
        <v>0.03</v>
      </c>
      <c r="N1697" s="160">
        <f>InputData!$C$8</f>
        <v>0.02</v>
      </c>
      <c r="O1697" s="160">
        <f>InputData!$C$9</f>
        <v>0.06</v>
      </c>
      <c r="P1697" s="160">
        <f>InputData!$C$10</f>
        <v>0.02</v>
      </c>
      <c r="Q1697" s="160">
        <f>InputData!$C$11</f>
        <v>0.02</v>
      </c>
      <c r="R1697" s="160">
        <f>InputData!$C$12</f>
        <v>0.02</v>
      </c>
      <c r="S1697" s="160">
        <f>InputData!$C$13</f>
        <v>0.9</v>
      </c>
      <c r="T1697" s="116">
        <f>InputData!$C$88</f>
        <v>180000</v>
      </c>
      <c r="U1697" s="116">
        <f>InputData!$C$81</f>
        <v>178500</v>
      </c>
      <c r="V1697" s="116">
        <f>InputData!$C$82</f>
        <v>303960</v>
      </c>
      <c r="W1697" s="116">
        <f>InputData!$C$84</f>
        <v>215220</v>
      </c>
      <c r="X1697" s="116">
        <f>InputData!$C$85</f>
        <v>409020</v>
      </c>
      <c r="Y1697" s="116">
        <f>InputData!$C$116</f>
        <v>140000</v>
      </c>
      <c r="Z1697" s="160">
        <f>InputData!$E$13</f>
        <v>0</v>
      </c>
    </row>
    <row r="1698" spans="1:26" x14ac:dyDescent="0.25">
      <c r="A1698">
        <f>InputData!$K$1</f>
        <v>2013</v>
      </c>
      <c r="B1698" t="str">
        <f>InputData!$G$1</f>
        <v>San Antonio, TX</v>
      </c>
      <c r="C1698" t="s">
        <v>5</v>
      </c>
      <c r="D1698" t="str">
        <f>Graph_GenSurg!$P$6</f>
        <v>SELF</v>
      </c>
      <c r="E1698" t="str">
        <f t="shared" si="27"/>
        <v>General Surgery SELF</v>
      </c>
      <c r="F1698">
        <f>Graph_GenSurg!A23</f>
        <v>2029</v>
      </c>
      <c r="G1698">
        <f>Graph_GenSurg!B23</f>
        <v>17</v>
      </c>
      <c r="H1698" s="165">
        <f>Graph_GenSurg!P23</f>
        <v>1371939.2348829927</v>
      </c>
      <c r="I1698" s="160">
        <f>InputData!$C$3</f>
        <v>0.02</v>
      </c>
      <c r="J1698" s="160">
        <f>InputData!$C$4</f>
        <v>0.01</v>
      </c>
      <c r="K1698" s="160">
        <f>InputData!$C$5</f>
        <v>0.01</v>
      </c>
      <c r="L1698" s="160">
        <f>InputData!$C$6</f>
        <v>6.2100000000000002E-2</v>
      </c>
      <c r="M1698" s="160">
        <f>InputData!$C$7</f>
        <v>0.03</v>
      </c>
      <c r="N1698" s="160">
        <f>InputData!$C$8</f>
        <v>0.02</v>
      </c>
      <c r="O1698" s="160">
        <f>InputData!$C$9</f>
        <v>0.06</v>
      </c>
      <c r="P1698" s="160">
        <f>InputData!$C$10</f>
        <v>0.02</v>
      </c>
      <c r="Q1698" s="160">
        <f>InputData!$C$11</f>
        <v>0.02</v>
      </c>
      <c r="R1698" s="160">
        <f>InputData!$C$12</f>
        <v>0.02</v>
      </c>
      <c r="S1698" s="160">
        <f>InputData!$C$13</f>
        <v>0.9</v>
      </c>
      <c r="T1698" s="116">
        <f>InputData!$C$88</f>
        <v>180000</v>
      </c>
      <c r="U1698" s="116">
        <f>InputData!$C$81</f>
        <v>178500</v>
      </c>
      <c r="V1698" s="116">
        <f>InputData!$C$82</f>
        <v>303960</v>
      </c>
      <c r="W1698" s="116">
        <f>InputData!$C$84</f>
        <v>215220</v>
      </c>
      <c r="X1698" s="116">
        <f>InputData!$C$85</f>
        <v>409020</v>
      </c>
      <c r="Y1698" s="116">
        <f>InputData!$C$116</f>
        <v>140000</v>
      </c>
      <c r="Z1698" s="160">
        <f>InputData!$E$13</f>
        <v>0</v>
      </c>
    </row>
    <row r="1699" spans="1:26" x14ac:dyDescent="0.25">
      <c r="A1699">
        <f>InputData!$K$1</f>
        <v>2013</v>
      </c>
      <c r="B1699" t="str">
        <f>InputData!$G$1</f>
        <v>San Antonio, TX</v>
      </c>
      <c r="C1699" t="s">
        <v>5</v>
      </c>
      <c r="D1699" t="str">
        <f>Graph_GenSurg!$P$6</f>
        <v>SELF</v>
      </c>
      <c r="E1699" t="str">
        <f t="shared" si="27"/>
        <v>General Surgery SELF</v>
      </c>
      <c r="F1699">
        <f>Graph_GenSurg!A24</f>
        <v>2030</v>
      </c>
      <c r="G1699">
        <f>Graph_GenSurg!B24</f>
        <v>18</v>
      </c>
      <c r="H1699" s="165">
        <f>Graph_GenSurg!P24</f>
        <v>1507560.4260559699</v>
      </c>
      <c r="I1699" s="160">
        <f>InputData!$C$3</f>
        <v>0.02</v>
      </c>
      <c r="J1699" s="160">
        <f>InputData!$C$4</f>
        <v>0.01</v>
      </c>
      <c r="K1699" s="160">
        <f>InputData!$C$5</f>
        <v>0.01</v>
      </c>
      <c r="L1699" s="160">
        <f>InputData!$C$6</f>
        <v>6.2100000000000002E-2</v>
      </c>
      <c r="M1699" s="160">
        <f>InputData!$C$7</f>
        <v>0.03</v>
      </c>
      <c r="N1699" s="160">
        <f>InputData!$C$8</f>
        <v>0.02</v>
      </c>
      <c r="O1699" s="160">
        <f>InputData!$C$9</f>
        <v>0.06</v>
      </c>
      <c r="P1699" s="160">
        <f>InputData!$C$10</f>
        <v>0.02</v>
      </c>
      <c r="Q1699" s="160">
        <f>InputData!$C$11</f>
        <v>0.02</v>
      </c>
      <c r="R1699" s="160">
        <f>InputData!$C$12</f>
        <v>0.02</v>
      </c>
      <c r="S1699" s="160">
        <f>InputData!$C$13</f>
        <v>0.9</v>
      </c>
      <c r="T1699" s="116">
        <f>InputData!$C$88</f>
        <v>180000</v>
      </c>
      <c r="U1699" s="116">
        <f>InputData!$C$81</f>
        <v>178500</v>
      </c>
      <c r="V1699" s="116">
        <f>InputData!$C$82</f>
        <v>303960</v>
      </c>
      <c r="W1699" s="116">
        <f>InputData!$C$84</f>
        <v>215220</v>
      </c>
      <c r="X1699" s="116">
        <f>InputData!$C$85</f>
        <v>409020</v>
      </c>
      <c r="Y1699" s="116">
        <f>InputData!$C$116</f>
        <v>140000</v>
      </c>
      <c r="Z1699" s="160">
        <f>InputData!$E$13</f>
        <v>0</v>
      </c>
    </row>
    <row r="1700" spans="1:26" x14ac:dyDescent="0.25">
      <c r="A1700">
        <f>InputData!$K$1</f>
        <v>2013</v>
      </c>
      <c r="B1700" t="str">
        <f>InputData!$G$1</f>
        <v>San Antonio, TX</v>
      </c>
      <c r="C1700" t="s">
        <v>5</v>
      </c>
      <c r="D1700" t="str">
        <f>Graph_GenSurg!$P$6</f>
        <v>SELF</v>
      </c>
      <c r="E1700" t="str">
        <f t="shared" si="27"/>
        <v>General Surgery SELF</v>
      </c>
      <c r="F1700">
        <f>Graph_GenSurg!A25</f>
        <v>2031</v>
      </c>
      <c r="G1700">
        <f>Graph_GenSurg!B25</f>
        <v>19</v>
      </c>
      <c r="H1700" s="165">
        <f>Graph_GenSurg!P25</f>
        <v>1640459.994287564</v>
      </c>
      <c r="I1700" s="160">
        <f>InputData!$C$3</f>
        <v>0.02</v>
      </c>
      <c r="J1700" s="160">
        <f>InputData!$C$4</f>
        <v>0.01</v>
      </c>
      <c r="K1700" s="160">
        <f>InputData!$C$5</f>
        <v>0.01</v>
      </c>
      <c r="L1700" s="160">
        <f>InputData!$C$6</f>
        <v>6.2100000000000002E-2</v>
      </c>
      <c r="M1700" s="160">
        <f>InputData!$C$7</f>
        <v>0.03</v>
      </c>
      <c r="N1700" s="160">
        <f>InputData!$C$8</f>
        <v>0.02</v>
      </c>
      <c r="O1700" s="160">
        <f>InputData!$C$9</f>
        <v>0.06</v>
      </c>
      <c r="P1700" s="160">
        <f>InputData!$C$10</f>
        <v>0.02</v>
      </c>
      <c r="Q1700" s="160">
        <f>InputData!$C$11</f>
        <v>0.02</v>
      </c>
      <c r="R1700" s="160">
        <f>InputData!$C$12</f>
        <v>0.02</v>
      </c>
      <c r="S1700" s="160">
        <f>InputData!$C$13</f>
        <v>0.9</v>
      </c>
      <c r="T1700" s="116">
        <f>InputData!$C$88</f>
        <v>180000</v>
      </c>
      <c r="U1700" s="116">
        <f>InputData!$C$81</f>
        <v>178500</v>
      </c>
      <c r="V1700" s="116">
        <f>InputData!$C$82</f>
        <v>303960</v>
      </c>
      <c r="W1700" s="116">
        <f>InputData!$C$84</f>
        <v>215220</v>
      </c>
      <c r="X1700" s="116">
        <f>InputData!$C$85</f>
        <v>409020</v>
      </c>
      <c r="Y1700" s="116">
        <f>InputData!$C$116</f>
        <v>140000</v>
      </c>
      <c r="Z1700" s="160">
        <f>InputData!$E$13</f>
        <v>0</v>
      </c>
    </row>
    <row r="1701" spans="1:26" x14ac:dyDescent="0.25">
      <c r="A1701">
        <f>InputData!$K$1</f>
        <v>2013</v>
      </c>
      <c r="B1701" t="str">
        <f>InputData!$G$1</f>
        <v>San Antonio, TX</v>
      </c>
      <c r="C1701" t="s">
        <v>5</v>
      </c>
      <c r="D1701" t="str">
        <f>Graph_GenSurg!$P$6</f>
        <v>SELF</v>
      </c>
      <c r="E1701" t="str">
        <f t="shared" si="27"/>
        <v>General Surgery SELF</v>
      </c>
      <c r="F1701">
        <f>Graph_GenSurg!A26</f>
        <v>2032</v>
      </c>
      <c r="G1701">
        <f>Graph_GenSurg!B26</f>
        <v>20</v>
      </c>
      <c r="H1701" s="165">
        <f>Graph_GenSurg!P26</f>
        <v>1770693.121740249</v>
      </c>
      <c r="I1701" s="160">
        <f>InputData!$C$3</f>
        <v>0.02</v>
      </c>
      <c r="J1701" s="160">
        <f>InputData!$C$4</f>
        <v>0.01</v>
      </c>
      <c r="K1701" s="160">
        <f>InputData!$C$5</f>
        <v>0.01</v>
      </c>
      <c r="L1701" s="160">
        <f>InputData!$C$6</f>
        <v>6.2100000000000002E-2</v>
      </c>
      <c r="M1701" s="160">
        <f>InputData!$C$7</f>
        <v>0.03</v>
      </c>
      <c r="N1701" s="160">
        <f>InputData!$C$8</f>
        <v>0.02</v>
      </c>
      <c r="O1701" s="160">
        <f>InputData!$C$9</f>
        <v>0.06</v>
      </c>
      <c r="P1701" s="160">
        <f>InputData!$C$10</f>
        <v>0.02</v>
      </c>
      <c r="Q1701" s="160">
        <f>InputData!$C$11</f>
        <v>0.02</v>
      </c>
      <c r="R1701" s="160">
        <f>InputData!$C$12</f>
        <v>0.02</v>
      </c>
      <c r="S1701" s="160">
        <f>InputData!$C$13</f>
        <v>0.9</v>
      </c>
      <c r="T1701" s="116">
        <f>InputData!$C$88</f>
        <v>180000</v>
      </c>
      <c r="U1701" s="116">
        <f>InputData!$C$81</f>
        <v>178500</v>
      </c>
      <c r="V1701" s="116">
        <f>InputData!$C$82</f>
        <v>303960</v>
      </c>
      <c r="W1701" s="116">
        <f>InputData!$C$84</f>
        <v>215220</v>
      </c>
      <c r="X1701" s="116">
        <f>InputData!$C$85</f>
        <v>409020</v>
      </c>
      <c r="Y1701" s="116">
        <f>InputData!$C$116</f>
        <v>140000</v>
      </c>
      <c r="Z1701" s="160">
        <f>InputData!$E$13</f>
        <v>0</v>
      </c>
    </row>
    <row r="1702" spans="1:26" x14ac:dyDescent="0.25">
      <c r="A1702">
        <f>InputData!$K$1</f>
        <v>2013</v>
      </c>
      <c r="B1702" t="str">
        <f>InputData!$G$1</f>
        <v>San Antonio, TX</v>
      </c>
      <c r="C1702" t="s">
        <v>5</v>
      </c>
      <c r="D1702" t="str">
        <f>Graph_GenSurg!$P$6</f>
        <v>SELF</v>
      </c>
      <c r="E1702" t="str">
        <f t="shared" si="27"/>
        <v>General Surgery SELF</v>
      </c>
      <c r="F1702">
        <f>Graph_GenSurg!A27</f>
        <v>2033</v>
      </c>
      <c r="G1702">
        <f>Graph_GenSurg!B27</f>
        <v>21</v>
      </c>
      <c r="H1702" s="165">
        <f>Graph_GenSurg!P27</f>
        <v>1898313.8556507858</v>
      </c>
      <c r="I1702" s="160">
        <f>InputData!$C$3</f>
        <v>0.02</v>
      </c>
      <c r="J1702" s="160">
        <f>InputData!$C$4</f>
        <v>0.01</v>
      </c>
      <c r="K1702" s="160">
        <f>InputData!$C$5</f>
        <v>0.01</v>
      </c>
      <c r="L1702" s="160">
        <f>InputData!$C$6</f>
        <v>6.2100000000000002E-2</v>
      </c>
      <c r="M1702" s="160">
        <f>InputData!$C$7</f>
        <v>0.03</v>
      </c>
      <c r="N1702" s="160">
        <f>InputData!$C$8</f>
        <v>0.02</v>
      </c>
      <c r="O1702" s="160">
        <f>InputData!$C$9</f>
        <v>0.06</v>
      </c>
      <c r="P1702" s="160">
        <f>InputData!$C$10</f>
        <v>0.02</v>
      </c>
      <c r="Q1702" s="160">
        <f>InputData!$C$11</f>
        <v>0.02</v>
      </c>
      <c r="R1702" s="160">
        <f>InputData!$C$12</f>
        <v>0.02</v>
      </c>
      <c r="S1702" s="160">
        <f>InputData!$C$13</f>
        <v>0.9</v>
      </c>
      <c r="T1702" s="116">
        <f>InputData!$C$88</f>
        <v>180000</v>
      </c>
      <c r="U1702" s="116">
        <f>InputData!$C$81</f>
        <v>178500</v>
      </c>
      <c r="V1702" s="116">
        <f>InputData!$C$82</f>
        <v>303960</v>
      </c>
      <c r="W1702" s="116">
        <f>InputData!$C$84</f>
        <v>215220</v>
      </c>
      <c r="X1702" s="116">
        <f>InputData!$C$85</f>
        <v>409020</v>
      </c>
      <c r="Y1702" s="116">
        <f>InputData!$C$116</f>
        <v>140000</v>
      </c>
      <c r="Z1702" s="160">
        <f>InputData!$E$13</f>
        <v>0</v>
      </c>
    </row>
    <row r="1703" spans="1:26" x14ac:dyDescent="0.25">
      <c r="A1703">
        <f>InputData!$K$1</f>
        <v>2013</v>
      </c>
      <c r="B1703" t="str">
        <f>InputData!$G$1</f>
        <v>San Antonio, TX</v>
      </c>
      <c r="C1703" t="s">
        <v>5</v>
      </c>
      <c r="D1703" t="str">
        <f>Graph_GenSurg!$P$6</f>
        <v>SELF</v>
      </c>
      <c r="E1703" t="str">
        <f t="shared" si="27"/>
        <v>General Surgery SELF</v>
      </c>
      <c r="F1703">
        <f>Graph_GenSurg!A28</f>
        <v>2034</v>
      </c>
      <c r="G1703">
        <f>Graph_GenSurg!B28</f>
        <v>22</v>
      </c>
      <c r="H1703" s="165">
        <f>Graph_GenSurg!P28</f>
        <v>2023375.1321251011</v>
      </c>
      <c r="I1703" s="160">
        <f>InputData!$C$3</f>
        <v>0.02</v>
      </c>
      <c r="J1703" s="160">
        <f>InputData!$C$4</f>
        <v>0.01</v>
      </c>
      <c r="K1703" s="160">
        <f>InputData!$C$5</f>
        <v>0.01</v>
      </c>
      <c r="L1703" s="160">
        <f>InputData!$C$6</f>
        <v>6.2100000000000002E-2</v>
      </c>
      <c r="M1703" s="160">
        <f>InputData!$C$7</f>
        <v>0.03</v>
      </c>
      <c r="N1703" s="160">
        <f>InputData!$C$8</f>
        <v>0.02</v>
      </c>
      <c r="O1703" s="160">
        <f>InputData!$C$9</f>
        <v>0.06</v>
      </c>
      <c r="P1703" s="160">
        <f>InputData!$C$10</f>
        <v>0.02</v>
      </c>
      <c r="Q1703" s="160">
        <f>InputData!$C$11</f>
        <v>0.02</v>
      </c>
      <c r="R1703" s="160">
        <f>InputData!$C$12</f>
        <v>0.02</v>
      </c>
      <c r="S1703" s="160">
        <f>InputData!$C$13</f>
        <v>0.9</v>
      </c>
      <c r="T1703" s="116">
        <f>InputData!$C$88</f>
        <v>180000</v>
      </c>
      <c r="U1703" s="116">
        <f>InputData!$C$81</f>
        <v>178500</v>
      </c>
      <c r="V1703" s="116">
        <f>InputData!$C$82</f>
        <v>303960</v>
      </c>
      <c r="W1703" s="116">
        <f>InputData!$C$84</f>
        <v>215220</v>
      </c>
      <c r="X1703" s="116">
        <f>InputData!$C$85</f>
        <v>409020</v>
      </c>
      <c r="Y1703" s="116">
        <f>InputData!$C$116</f>
        <v>140000</v>
      </c>
      <c r="Z1703" s="160">
        <f>InputData!$E$13</f>
        <v>0</v>
      </c>
    </row>
    <row r="1704" spans="1:26" x14ac:dyDescent="0.25">
      <c r="A1704">
        <f>InputData!$K$1</f>
        <v>2013</v>
      </c>
      <c r="B1704" t="str">
        <f>InputData!$G$1</f>
        <v>San Antonio, TX</v>
      </c>
      <c r="C1704" t="s">
        <v>5</v>
      </c>
      <c r="D1704" t="str">
        <f>Graph_GenSurg!$P$6</f>
        <v>SELF</v>
      </c>
      <c r="E1704" t="str">
        <f t="shared" si="27"/>
        <v>General Surgery SELF</v>
      </c>
      <c r="F1704">
        <f>Graph_GenSurg!A29</f>
        <v>2035</v>
      </c>
      <c r="G1704">
        <f>Graph_GenSurg!B29</f>
        <v>23</v>
      </c>
      <c r="H1704" s="165">
        <f>Graph_GenSurg!P29</f>
        <v>2145928.7994217025</v>
      </c>
      <c r="I1704" s="160">
        <f>InputData!$C$3</f>
        <v>0.02</v>
      </c>
      <c r="J1704" s="160">
        <f>InputData!$C$4</f>
        <v>0.01</v>
      </c>
      <c r="K1704" s="160">
        <f>InputData!$C$5</f>
        <v>0.01</v>
      </c>
      <c r="L1704" s="160">
        <f>InputData!$C$6</f>
        <v>6.2100000000000002E-2</v>
      </c>
      <c r="M1704" s="160">
        <f>InputData!$C$7</f>
        <v>0.03</v>
      </c>
      <c r="N1704" s="160">
        <f>InputData!$C$8</f>
        <v>0.02</v>
      </c>
      <c r="O1704" s="160">
        <f>InputData!$C$9</f>
        <v>0.06</v>
      </c>
      <c r="P1704" s="160">
        <f>InputData!$C$10</f>
        <v>0.02</v>
      </c>
      <c r="Q1704" s="160">
        <f>InputData!$C$11</f>
        <v>0.02</v>
      </c>
      <c r="R1704" s="160">
        <f>InputData!$C$12</f>
        <v>0.02</v>
      </c>
      <c r="S1704" s="160">
        <f>InputData!$C$13</f>
        <v>0.9</v>
      </c>
      <c r="T1704" s="116">
        <f>InputData!$C$88</f>
        <v>180000</v>
      </c>
      <c r="U1704" s="116">
        <f>InputData!$C$81</f>
        <v>178500</v>
      </c>
      <c r="V1704" s="116">
        <f>InputData!$C$82</f>
        <v>303960</v>
      </c>
      <c r="W1704" s="116">
        <f>InputData!$C$84</f>
        <v>215220</v>
      </c>
      <c r="X1704" s="116">
        <f>InputData!$C$85</f>
        <v>409020</v>
      </c>
      <c r="Y1704" s="116">
        <f>InputData!$C$116</f>
        <v>140000</v>
      </c>
      <c r="Z1704" s="160">
        <f>InputData!$E$13</f>
        <v>0</v>
      </c>
    </row>
    <row r="1705" spans="1:26" x14ac:dyDescent="0.25">
      <c r="A1705">
        <f>InputData!$K$1</f>
        <v>2013</v>
      </c>
      <c r="B1705" t="str">
        <f>InputData!$G$1</f>
        <v>San Antonio, TX</v>
      </c>
      <c r="C1705" t="s">
        <v>5</v>
      </c>
      <c r="D1705" t="str">
        <f>Graph_GenSurg!$P$6</f>
        <v>SELF</v>
      </c>
      <c r="E1705" t="str">
        <f t="shared" si="27"/>
        <v>General Surgery SELF</v>
      </c>
      <c r="F1705">
        <f>Graph_GenSurg!A30</f>
        <v>2036</v>
      </c>
      <c r="G1705">
        <f>Graph_GenSurg!B30</f>
        <v>24</v>
      </c>
      <c r="H1705" s="165">
        <f>Graph_GenSurg!P30</f>
        <v>2266025.6407349687</v>
      </c>
      <c r="I1705" s="160">
        <f>InputData!$C$3</f>
        <v>0.02</v>
      </c>
      <c r="J1705" s="160">
        <f>InputData!$C$4</f>
        <v>0.01</v>
      </c>
      <c r="K1705" s="160">
        <f>InputData!$C$5</f>
        <v>0.01</v>
      </c>
      <c r="L1705" s="160">
        <f>InputData!$C$6</f>
        <v>6.2100000000000002E-2</v>
      </c>
      <c r="M1705" s="160">
        <f>InputData!$C$7</f>
        <v>0.03</v>
      </c>
      <c r="N1705" s="160">
        <f>InputData!$C$8</f>
        <v>0.02</v>
      </c>
      <c r="O1705" s="160">
        <f>InputData!$C$9</f>
        <v>0.06</v>
      </c>
      <c r="P1705" s="160">
        <f>InputData!$C$10</f>
        <v>0.02</v>
      </c>
      <c r="Q1705" s="160">
        <f>InputData!$C$11</f>
        <v>0.02</v>
      </c>
      <c r="R1705" s="160">
        <f>InputData!$C$12</f>
        <v>0.02</v>
      </c>
      <c r="S1705" s="160">
        <f>InputData!$C$13</f>
        <v>0.9</v>
      </c>
      <c r="T1705" s="116">
        <f>InputData!$C$88</f>
        <v>180000</v>
      </c>
      <c r="U1705" s="116">
        <f>InputData!$C$81</f>
        <v>178500</v>
      </c>
      <c r="V1705" s="116">
        <f>InputData!$C$82</f>
        <v>303960</v>
      </c>
      <c r="W1705" s="116">
        <f>InputData!$C$84</f>
        <v>215220</v>
      </c>
      <c r="X1705" s="116">
        <f>InputData!$C$85</f>
        <v>409020</v>
      </c>
      <c r="Y1705" s="116">
        <f>InputData!$C$116</f>
        <v>140000</v>
      </c>
      <c r="Z1705" s="160">
        <f>InputData!$E$13</f>
        <v>0</v>
      </c>
    </row>
    <row r="1706" spans="1:26" x14ac:dyDescent="0.25">
      <c r="A1706">
        <f>InputData!$K$1</f>
        <v>2013</v>
      </c>
      <c r="B1706" t="str">
        <f>InputData!$G$1</f>
        <v>San Antonio, TX</v>
      </c>
      <c r="C1706" t="s">
        <v>5</v>
      </c>
      <c r="D1706" t="str">
        <f>Graph_GenSurg!$P$6</f>
        <v>SELF</v>
      </c>
      <c r="E1706" t="str">
        <f t="shared" si="27"/>
        <v>General Surgery SELF</v>
      </c>
      <c r="F1706">
        <f>Graph_GenSurg!A31</f>
        <v>2037</v>
      </c>
      <c r="G1706">
        <f>Graph_GenSurg!B31</f>
        <v>25</v>
      </c>
      <c r="H1706" s="165">
        <f>Graph_GenSurg!P31</f>
        <v>2383715.3964893892</v>
      </c>
      <c r="I1706" s="160">
        <f>InputData!$C$3</f>
        <v>0.02</v>
      </c>
      <c r="J1706" s="160">
        <f>InputData!$C$4</f>
        <v>0.01</v>
      </c>
      <c r="K1706" s="160">
        <f>InputData!$C$5</f>
        <v>0.01</v>
      </c>
      <c r="L1706" s="160">
        <f>InputData!$C$6</f>
        <v>6.2100000000000002E-2</v>
      </c>
      <c r="M1706" s="160">
        <f>InputData!$C$7</f>
        <v>0.03</v>
      </c>
      <c r="N1706" s="160">
        <f>InputData!$C$8</f>
        <v>0.02</v>
      </c>
      <c r="O1706" s="160">
        <f>InputData!$C$9</f>
        <v>0.06</v>
      </c>
      <c r="P1706" s="160">
        <f>InputData!$C$10</f>
        <v>0.02</v>
      </c>
      <c r="Q1706" s="160">
        <f>InputData!$C$11</f>
        <v>0.02</v>
      </c>
      <c r="R1706" s="160">
        <f>InputData!$C$12</f>
        <v>0.02</v>
      </c>
      <c r="S1706" s="160">
        <f>InputData!$C$13</f>
        <v>0.9</v>
      </c>
      <c r="T1706" s="116">
        <f>InputData!$C$88</f>
        <v>180000</v>
      </c>
      <c r="U1706" s="116">
        <f>InputData!$C$81</f>
        <v>178500</v>
      </c>
      <c r="V1706" s="116">
        <f>InputData!$C$82</f>
        <v>303960</v>
      </c>
      <c r="W1706" s="116">
        <f>InputData!$C$84</f>
        <v>215220</v>
      </c>
      <c r="X1706" s="116">
        <f>InputData!$C$85</f>
        <v>409020</v>
      </c>
      <c r="Y1706" s="116">
        <f>InputData!$C$116</f>
        <v>140000</v>
      </c>
      <c r="Z1706" s="160">
        <f>InputData!$E$13</f>
        <v>0</v>
      </c>
    </row>
    <row r="1707" spans="1:26" x14ac:dyDescent="0.25">
      <c r="A1707">
        <f>InputData!$K$1</f>
        <v>2013</v>
      </c>
      <c r="B1707" t="str">
        <f>InputData!$G$1</f>
        <v>San Antonio, TX</v>
      </c>
      <c r="C1707" t="s">
        <v>5</v>
      </c>
      <c r="D1707" t="str">
        <f>Graph_GenSurg!$P$6</f>
        <v>SELF</v>
      </c>
      <c r="E1707" t="str">
        <f t="shared" si="27"/>
        <v>General Surgery SELF</v>
      </c>
      <c r="F1707">
        <f>Graph_GenSurg!A32</f>
        <v>2038</v>
      </c>
      <c r="G1707">
        <f>Graph_GenSurg!B32</f>
        <v>26</v>
      </c>
      <c r="H1707" s="165">
        <f>Graph_GenSurg!P32</f>
        <v>2499046.7861555764</v>
      </c>
      <c r="I1707" s="160">
        <f>InputData!$C$3</f>
        <v>0.02</v>
      </c>
      <c r="J1707" s="160">
        <f>InputData!$C$4</f>
        <v>0.01</v>
      </c>
      <c r="K1707" s="160">
        <f>InputData!$C$5</f>
        <v>0.01</v>
      </c>
      <c r="L1707" s="160">
        <f>InputData!$C$6</f>
        <v>6.2100000000000002E-2</v>
      </c>
      <c r="M1707" s="160">
        <f>InputData!$C$7</f>
        <v>0.03</v>
      </c>
      <c r="N1707" s="160">
        <f>InputData!$C$8</f>
        <v>0.02</v>
      </c>
      <c r="O1707" s="160">
        <f>InputData!$C$9</f>
        <v>0.06</v>
      </c>
      <c r="P1707" s="160">
        <f>InputData!$C$10</f>
        <v>0.02</v>
      </c>
      <c r="Q1707" s="160">
        <f>InputData!$C$11</f>
        <v>0.02</v>
      </c>
      <c r="R1707" s="160">
        <f>InputData!$C$12</f>
        <v>0.02</v>
      </c>
      <c r="S1707" s="160">
        <f>InputData!$C$13</f>
        <v>0.9</v>
      </c>
      <c r="T1707" s="116">
        <f>InputData!$C$88</f>
        <v>180000</v>
      </c>
      <c r="U1707" s="116">
        <f>InputData!$C$81</f>
        <v>178500</v>
      </c>
      <c r="V1707" s="116">
        <f>InputData!$C$82</f>
        <v>303960</v>
      </c>
      <c r="W1707" s="116">
        <f>InputData!$C$84</f>
        <v>215220</v>
      </c>
      <c r="X1707" s="116">
        <f>InputData!$C$85</f>
        <v>409020</v>
      </c>
      <c r="Y1707" s="116">
        <f>InputData!$C$116</f>
        <v>140000</v>
      </c>
      <c r="Z1707" s="160">
        <f>InputData!$E$13</f>
        <v>0</v>
      </c>
    </row>
    <row r="1708" spans="1:26" x14ac:dyDescent="0.25">
      <c r="A1708">
        <f>InputData!$K$1</f>
        <v>2013</v>
      </c>
      <c r="B1708" t="str">
        <f>InputData!$G$1</f>
        <v>San Antonio, TX</v>
      </c>
      <c r="C1708" t="s">
        <v>5</v>
      </c>
      <c r="D1708" t="str">
        <f>Graph_GenSurg!$P$6</f>
        <v>SELF</v>
      </c>
      <c r="E1708" t="str">
        <f t="shared" si="27"/>
        <v>General Surgery SELF</v>
      </c>
      <c r="F1708">
        <f>Graph_GenSurg!A33</f>
        <v>2039</v>
      </c>
      <c r="G1708">
        <f>Graph_GenSurg!B33</f>
        <v>27</v>
      </c>
      <c r="H1708" s="165">
        <f>Graph_GenSurg!P33</f>
        <v>2612067.5295986212</v>
      </c>
      <c r="I1708" s="160">
        <f>InputData!$C$3</f>
        <v>0.02</v>
      </c>
      <c r="J1708" s="160">
        <f>InputData!$C$4</f>
        <v>0.01</v>
      </c>
      <c r="K1708" s="160">
        <f>InputData!$C$5</f>
        <v>0.01</v>
      </c>
      <c r="L1708" s="160">
        <f>InputData!$C$6</f>
        <v>6.2100000000000002E-2</v>
      </c>
      <c r="M1708" s="160">
        <f>InputData!$C$7</f>
        <v>0.03</v>
      </c>
      <c r="N1708" s="160">
        <f>InputData!$C$8</f>
        <v>0.02</v>
      </c>
      <c r="O1708" s="160">
        <f>InputData!$C$9</f>
        <v>0.06</v>
      </c>
      <c r="P1708" s="160">
        <f>InputData!$C$10</f>
        <v>0.02</v>
      </c>
      <c r="Q1708" s="160">
        <f>InputData!$C$11</f>
        <v>0.02</v>
      </c>
      <c r="R1708" s="160">
        <f>InputData!$C$12</f>
        <v>0.02</v>
      </c>
      <c r="S1708" s="160">
        <f>InputData!$C$13</f>
        <v>0.9</v>
      </c>
      <c r="T1708" s="116">
        <f>InputData!$C$88</f>
        <v>180000</v>
      </c>
      <c r="U1708" s="116">
        <f>InputData!$C$81</f>
        <v>178500</v>
      </c>
      <c r="V1708" s="116">
        <f>InputData!$C$82</f>
        <v>303960</v>
      </c>
      <c r="W1708" s="116">
        <f>InputData!$C$84</f>
        <v>215220</v>
      </c>
      <c r="X1708" s="116">
        <f>InputData!$C$85</f>
        <v>409020</v>
      </c>
      <c r="Y1708" s="116">
        <f>InputData!$C$116</f>
        <v>140000</v>
      </c>
      <c r="Z1708" s="160">
        <f>InputData!$E$13</f>
        <v>0</v>
      </c>
    </row>
    <row r="1709" spans="1:26" x14ac:dyDescent="0.25">
      <c r="A1709">
        <f>InputData!$K$1</f>
        <v>2013</v>
      </c>
      <c r="B1709" t="str">
        <f>InputData!$G$1</f>
        <v>San Antonio, TX</v>
      </c>
      <c r="C1709" t="s">
        <v>5</v>
      </c>
      <c r="D1709" t="str">
        <f>Graph_GenSurg!$P$6</f>
        <v>SELF</v>
      </c>
      <c r="E1709" t="str">
        <f t="shared" si="27"/>
        <v>General Surgery SELF</v>
      </c>
      <c r="F1709">
        <f>Graph_GenSurg!A34</f>
        <v>2040</v>
      </c>
      <c r="G1709">
        <f>Graph_GenSurg!B34</f>
        <v>28</v>
      </c>
      <c r="H1709" s="165">
        <f>Graph_GenSurg!P34</f>
        <v>2722824.3679691288</v>
      </c>
      <c r="I1709" s="160">
        <f>InputData!$C$3</f>
        <v>0.02</v>
      </c>
      <c r="J1709" s="160">
        <f>InputData!$C$4</f>
        <v>0.01</v>
      </c>
      <c r="K1709" s="160">
        <f>InputData!$C$5</f>
        <v>0.01</v>
      </c>
      <c r="L1709" s="160">
        <f>InputData!$C$6</f>
        <v>6.2100000000000002E-2</v>
      </c>
      <c r="M1709" s="160">
        <f>InputData!$C$7</f>
        <v>0.03</v>
      </c>
      <c r="N1709" s="160">
        <f>InputData!$C$8</f>
        <v>0.02</v>
      </c>
      <c r="O1709" s="160">
        <f>InputData!$C$9</f>
        <v>0.06</v>
      </c>
      <c r="P1709" s="160">
        <f>InputData!$C$10</f>
        <v>0.02</v>
      </c>
      <c r="Q1709" s="160">
        <f>InputData!$C$11</f>
        <v>0.02</v>
      </c>
      <c r="R1709" s="160">
        <f>InputData!$C$12</f>
        <v>0.02</v>
      </c>
      <c r="S1709" s="160">
        <f>InputData!$C$13</f>
        <v>0.9</v>
      </c>
      <c r="T1709" s="116">
        <f>InputData!$C$88</f>
        <v>180000</v>
      </c>
      <c r="U1709" s="116">
        <f>InputData!$C$81</f>
        <v>178500</v>
      </c>
      <c r="V1709" s="116">
        <f>InputData!$C$82</f>
        <v>303960</v>
      </c>
      <c r="W1709" s="116">
        <f>InputData!$C$84</f>
        <v>215220</v>
      </c>
      <c r="X1709" s="116">
        <f>InputData!$C$85</f>
        <v>409020</v>
      </c>
      <c r="Y1709" s="116">
        <f>InputData!$C$116</f>
        <v>140000</v>
      </c>
      <c r="Z1709" s="160">
        <f>InputData!$E$13</f>
        <v>0</v>
      </c>
    </row>
    <row r="1710" spans="1:26" x14ac:dyDescent="0.25">
      <c r="A1710">
        <f>InputData!$K$1</f>
        <v>2013</v>
      </c>
      <c r="B1710" t="str">
        <f>InputData!$G$1</f>
        <v>San Antonio, TX</v>
      </c>
      <c r="C1710" t="s">
        <v>5</v>
      </c>
      <c r="D1710" t="str">
        <f>Graph_GenSurg!$P$6</f>
        <v>SELF</v>
      </c>
      <c r="E1710" t="str">
        <f t="shared" si="27"/>
        <v>General Surgery SELF</v>
      </c>
      <c r="F1710">
        <f>Graph_GenSurg!A35</f>
        <v>2041</v>
      </c>
      <c r="G1710">
        <f>Graph_GenSurg!B35</f>
        <v>29</v>
      </c>
      <c r="H1710" s="165">
        <f>Graph_GenSurg!P35</f>
        <v>2831363.0841470226</v>
      </c>
      <c r="I1710" s="160">
        <f>InputData!$C$3</f>
        <v>0.02</v>
      </c>
      <c r="J1710" s="160">
        <f>InputData!$C$4</f>
        <v>0.01</v>
      </c>
      <c r="K1710" s="160">
        <f>InputData!$C$5</f>
        <v>0.01</v>
      </c>
      <c r="L1710" s="160">
        <f>InputData!$C$6</f>
        <v>6.2100000000000002E-2</v>
      </c>
      <c r="M1710" s="160">
        <f>InputData!$C$7</f>
        <v>0.03</v>
      </c>
      <c r="N1710" s="160">
        <f>InputData!$C$8</f>
        <v>0.02</v>
      </c>
      <c r="O1710" s="160">
        <f>InputData!$C$9</f>
        <v>0.06</v>
      </c>
      <c r="P1710" s="160">
        <f>InputData!$C$10</f>
        <v>0.02</v>
      </c>
      <c r="Q1710" s="160">
        <f>InputData!$C$11</f>
        <v>0.02</v>
      </c>
      <c r="R1710" s="160">
        <f>InputData!$C$12</f>
        <v>0.02</v>
      </c>
      <c r="S1710" s="160">
        <f>InputData!$C$13</f>
        <v>0.9</v>
      </c>
      <c r="T1710" s="116">
        <f>InputData!$C$88</f>
        <v>180000</v>
      </c>
      <c r="U1710" s="116">
        <f>InputData!$C$81</f>
        <v>178500</v>
      </c>
      <c r="V1710" s="116">
        <f>InputData!$C$82</f>
        <v>303960</v>
      </c>
      <c r="W1710" s="116">
        <f>InputData!$C$84</f>
        <v>215220</v>
      </c>
      <c r="X1710" s="116">
        <f>InputData!$C$85</f>
        <v>409020</v>
      </c>
      <c r="Y1710" s="116">
        <f>InputData!$C$116</f>
        <v>140000</v>
      </c>
      <c r="Z1710" s="160">
        <f>InputData!$E$13</f>
        <v>0</v>
      </c>
    </row>
    <row r="1711" spans="1:26" x14ac:dyDescent="0.25">
      <c r="A1711">
        <f>InputData!$K$1</f>
        <v>2013</v>
      </c>
      <c r="B1711" t="str">
        <f>InputData!$G$1</f>
        <v>San Antonio, TX</v>
      </c>
      <c r="C1711" t="s">
        <v>5</v>
      </c>
      <c r="D1711" t="str">
        <f>Graph_GenSurg!$P$6</f>
        <v>SELF</v>
      </c>
      <c r="E1711" t="str">
        <f t="shared" si="27"/>
        <v>General Surgery SELF</v>
      </c>
      <c r="F1711">
        <f>Graph_GenSurg!A36</f>
        <v>2042</v>
      </c>
      <c r="G1711">
        <f>Graph_GenSurg!B36</f>
        <v>30</v>
      </c>
      <c r="H1711" s="165">
        <f>Graph_GenSurg!P36</f>
        <v>2937728.5227479883</v>
      </c>
      <c r="I1711" s="160">
        <f>InputData!$C$3</f>
        <v>0.02</v>
      </c>
      <c r="J1711" s="160">
        <f>InputData!$C$4</f>
        <v>0.01</v>
      </c>
      <c r="K1711" s="160">
        <f>InputData!$C$5</f>
        <v>0.01</v>
      </c>
      <c r="L1711" s="160">
        <f>InputData!$C$6</f>
        <v>6.2100000000000002E-2</v>
      </c>
      <c r="M1711" s="160">
        <f>InputData!$C$7</f>
        <v>0.03</v>
      </c>
      <c r="N1711" s="160">
        <f>InputData!$C$8</f>
        <v>0.02</v>
      </c>
      <c r="O1711" s="160">
        <f>InputData!$C$9</f>
        <v>0.06</v>
      </c>
      <c r="P1711" s="160">
        <f>InputData!$C$10</f>
        <v>0.02</v>
      </c>
      <c r="Q1711" s="160">
        <f>InputData!$C$11</f>
        <v>0.02</v>
      </c>
      <c r="R1711" s="160">
        <f>InputData!$C$12</f>
        <v>0.02</v>
      </c>
      <c r="S1711" s="160">
        <f>InputData!$C$13</f>
        <v>0.9</v>
      </c>
      <c r="T1711" s="116">
        <f>InputData!$C$88</f>
        <v>180000</v>
      </c>
      <c r="U1711" s="116">
        <f>InputData!$C$81</f>
        <v>178500</v>
      </c>
      <c r="V1711" s="116">
        <f>InputData!$C$82</f>
        <v>303960</v>
      </c>
      <c r="W1711" s="116">
        <f>InputData!$C$84</f>
        <v>215220</v>
      </c>
      <c r="X1711" s="116">
        <f>InputData!$C$85</f>
        <v>409020</v>
      </c>
      <c r="Y1711" s="116">
        <f>InputData!$C$116</f>
        <v>140000</v>
      </c>
      <c r="Z1711" s="160">
        <f>InputData!$E$13</f>
        <v>0</v>
      </c>
    </row>
    <row r="1712" spans="1:26" x14ac:dyDescent="0.25">
      <c r="A1712">
        <f>InputData!$K$1</f>
        <v>2013</v>
      </c>
      <c r="B1712" t="str">
        <f>InputData!$G$1</f>
        <v>San Antonio, TX</v>
      </c>
      <c r="C1712" t="s">
        <v>227</v>
      </c>
      <c r="D1712" t="str">
        <f>Graph_Ophtha!$P$6</f>
        <v>SELF</v>
      </c>
      <c r="E1712" t="str">
        <f t="shared" si="27"/>
        <v>Ophthalmology SELF</v>
      </c>
      <c r="F1712">
        <f>Graph_Ophtha!A7</f>
        <v>2013</v>
      </c>
      <c r="G1712">
        <f>Graph_Ophtha!B7</f>
        <v>1</v>
      </c>
      <c r="H1712" s="165">
        <f>Graph_Ophtha!P7</f>
        <v>0</v>
      </c>
      <c r="I1712" s="160">
        <f>InputData!$C$3</f>
        <v>0.02</v>
      </c>
      <c r="J1712" s="160">
        <f>InputData!$C$4</f>
        <v>0.01</v>
      </c>
      <c r="K1712" s="160">
        <f>InputData!$C$5</f>
        <v>0.01</v>
      </c>
      <c r="L1712" s="160">
        <f>InputData!$C$6</f>
        <v>6.2100000000000002E-2</v>
      </c>
      <c r="M1712" s="160">
        <f>InputData!$C$7</f>
        <v>0.03</v>
      </c>
      <c r="N1712" s="160">
        <f>InputData!$C$8</f>
        <v>0.02</v>
      </c>
      <c r="O1712" s="160">
        <f>InputData!$C$9</f>
        <v>0.06</v>
      </c>
      <c r="P1712" s="160">
        <f>InputData!$C$10</f>
        <v>0.02</v>
      </c>
      <c r="Q1712" s="160">
        <f>InputData!$C$11</f>
        <v>0.02</v>
      </c>
      <c r="R1712" s="160">
        <f>InputData!$C$12</f>
        <v>0.02</v>
      </c>
      <c r="S1712" s="160">
        <f>InputData!$C$13</f>
        <v>0.9</v>
      </c>
      <c r="T1712" s="116">
        <f>InputData!$C$88</f>
        <v>180000</v>
      </c>
      <c r="U1712" s="116">
        <f>InputData!$C$81</f>
        <v>178500</v>
      </c>
      <c r="V1712" s="116">
        <f>InputData!$C$82</f>
        <v>303960</v>
      </c>
      <c r="W1712" s="116">
        <f>InputData!$C$84</f>
        <v>215220</v>
      </c>
      <c r="X1712" s="116">
        <f>InputData!$C$85</f>
        <v>409020</v>
      </c>
      <c r="Y1712" s="116">
        <f>InputData!$C$116</f>
        <v>140000</v>
      </c>
      <c r="Z1712" s="160">
        <f>InputData!$E$13</f>
        <v>0</v>
      </c>
    </row>
    <row r="1713" spans="1:26" x14ac:dyDescent="0.25">
      <c r="A1713">
        <f>InputData!$K$1</f>
        <v>2013</v>
      </c>
      <c r="B1713" t="str">
        <f>InputData!$G$1</f>
        <v>San Antonio, TX</v>
      </c>
      <c r="C1713" t="s">
        <v>227</v>
      </c>
      <c r="D1713" t="str">
        <f>Graph_Ophtha!$P$6</f>
        <v>SELF</v>
      </c>
      <c r="E1713" t="str">
        <f t="shared" ref="E1713:E1741" si="28">C1713 &amp; " " &amp; D1713</f>
        <v>Ophthalmology SELF</v>
      </c>
      <c r="F1713">
        <f>Graph_Ophtha!A8</f>
        <v>2014</v>
      </c>
      <c r="G1713">
        <f>Graph_Ophtha!B8</f>
        <v>2</v>
      </c>
      <c r="H1713" s="165">
        <f>Graph_Ophtha!P8</f>
        <v>0</v>
      </c>
      <c r="I1713" s="160">
        <f>InputData!$C$3</f>
        <v>0.02</v>
      </c>
      <c r="J1713" s="160">
        <f>InputData!$C$4</f>
        <v>0.01</v>
      </c>
      <c r="K1713" s="160">
        <f>InputData!$C$5</f>
        <v>0.01</v>
      </c>
      <c r="L1713" s="160">
        <f>InputData!$C$6</f>
        <v>6.2100000000000002E-2</v>
      </c>
      <c r="M1713" s="160">
        <f>InputData!$C$7</f>
        <v>0.03</v>
      </c>
      <c r="N1713" s="160">
        <f>InputData!$C$8</f>
        <v>0.02</v>
      </c>
      <c r="O1713" s="160">
        <f>InputData!$C$9</f>
        <v>0.06</v>
      </c>
      <c r="P1713" s="160">
        <f>InputData!$C$10</f>
        <v>0.02</v>
      </c>
      <c r="Q1713" s="160">
        <f>InputData!$C$11</f>
        <v>0.02</v>
      </c>
      <c r="R1713" s="160">
        <f>InputData!$C$12</f>
        <v>0.02</v>
      </c>
      <c r="S1713" s="160">
        <f>InputData!$C$13</f>
        <v>0.9</v>
      </c>
      <c r="T1713" s="116">
        <f>InputData!$C$88</f>
        <v>180000</v>
      </c>
      <c r="U1713" s="116">
        <f>InputData!$C$81</f>
        <v>178500</v>
      </c>
      <c r="V1713" s="116">
        <f>InputData!$C$82</f>
        <v>303960</v>
      </c>
      <c r="W1713" s="116">
        <f>InputData!$C$84</f>
        <v>215220</v>
      </c>
      <c r="X1713" s="116">
        <f>InputData!$C$85</f>
        <v>409020</v>
      </c>
      <c r="Y1713" s="116">
        <f>InputData!$C$116</f>
        <v>140000</v>
      </c>
      <c r="Z1713" s="160">
        <f>InputData!$E$13</f>
        <v>0</v>
      </c>
    </row>
    <row r="1714" spans="1:26" x14ac:dyDescent="0.25">
      <c r="A1714">
        <f>InputData!$K$1</f>
        <v>2013</v>
      </c>
      <c r="B1714" t="str">
        <f>InputData!$G$1</f>
        <v>San Antonio, TX</v>
      </c>
      <c r="C1714" t="s">
        <v>227</v>
      </c>
      <c r="D1714" t="str">
        <f>Graph_Ophtha!$P$6</f>
        <v>SELF</v>
      </c>
      <c r="E1714" t="str">
        <f t="shared" si="28"/>
        <v>Ophthalmology SELF</v>
      </c>
      <c r="F1714">
        <f>Graph_Ophtha!A9</f>
        <v>2015</v>
      </c>
      <c r="G1714">
        <f>Graph_Ophtha!B9</f>
        <v>3</v>
      </c>
      <c r="H1714" s="165">
        <f>Graph_Ophtha!P9</f>
        <v>0</v>
      </c>
      <c r="I1714" s="160">
        <f>InputData!$C$3</f>
        <v>0.02</v>
      </c>
      <c r="J1714" s="160">
        <f>InputData!$C$4</f>
        <v>0.01</v>
      </c>
      <c r="K1714" s="160">
        <f>InputData!$C$5</f>
        <v>0.01</v>
      </c>
      <c r="L1714" s="160">
        <f>InputData!$C$6</f>
        <v>6.2100000000000002E-2</v>
      </c>
      <c r="M1714" s="160">
        <f>InputData!$C$7</f>
        <v>0.03</v>
      </c>
      <c r="N1714" s="160">
        <f>InputData!$C$8</f>
        <v>0.02</v>
      </c>
      <c r="O1714" s="160">
        <f>InputData!$C$9</f>
        <v>0.06</v>
      </c>
      <c r="P1714" s="160">
        <f>InputData!$C$10</f>
        <v>0.02</v>
      </c>
      <c r="Q1714" s="160">
        <f>InputData!$C$11</f>
        <v>0.02</v>
      </c>
      <c r="R1714" s="160">
        <f>InputData!$C$12</f>
        <v>0.02</v>
      </c>
      <c r="S1714" s="160">
        <f>InputData!$C$13</f>
        <v>0.9</v>
      </c>
      <c r="T1714" s="116">
        <f>InputData!$C$88</f>
        <v>180000</v>
      </c>
      <c r="U1714" s="116">
        <f>InputData!$C$81</f>
        <v>178500</v>
      </c>
      <c r="V1714" s="116">
        <f>InputData!$C$82</f>
        <v>303960</v>
      </c>
      <c r="W1714" s="116">
        <f>InputData!$C$84</f>
        <v>215220</v>
      </c>
      <c r="X1714" s="116">
        <f>InputData!$C$85</f>
        <v>409020</v>
      </c>
      <c r="Y1714" s="116">
        <f>InputData!$C$116</f>
        <v>140000</v>
      </c>
      <c r="Z1714" s="160">
        <f>InputData!$E$13</f>
        <v>0</v>
      </c>
    </row>
    <row r="1715" spans="1:26" x14ac:dyDescent="0.25">
      <c r="A1715">
        <f>InputData!$K$1</f>
        <v>2013</v>
      </c>
      <c r="B1715" t="str">
        <f>InputData!$G$1</f>
        <v>San Antonio, TX</v>
      </c>
      <c r="C1715" t="s">
        <v>227</v>
      </c>
      <c r="D1715" t="str">
        <f>Graph_Ophtha!$P$6</f>
        <v>SELF</v>
      </c>
      <c r="E1715" t="str">
        <f t="shared" si="28"/>
        <v>Ophthalmology SELF</v>
      </c>
      <c r="F1715">
        <f>Graph_Ophtha!A10</f>
        <v>2016</v>
      </c>
      <c r="G1715">
        <f>Graph_Ophtha!B10</f>
        <v>4</v>
      </c>
      <c r="H1715" s="165">
        <f>Graph_Ophtha!P10</f>
        <v>0</v>
      </c>
      <c r="I1715" s="160">
        <f>InputData!$C$3</f>
        <v>0.02</v>
      </c>
      <c r="J1715" s="160">
        <f>InputData!$C$4</f>
        <v>0.01</v>
      </c>
      <c r="K1715" s="160">
        <f>InputData!$C$5</f>
        <v>0.01</v>
      </c>
      <c r="L1715" s="160">
        <f>InputData!$C$6</f>
        <v>6.2100000000000002E-2</v>
      </c>
      <c r="M1715" s="160">
        <f>InputData!$C$7</f>
        <v>0.03</v>
      </c>
      <c r="N1715" s="160">
        <f>InputData!$C$8</f>
        <v>0.02</v>
      </c>
      <c r="O1715" s="160">
        <f>InputData!$C$9</f>
        <v>0.06</v>
      </c>
      <c r="P1715" s="160">
        <f>InputData!$C$10</f>
        <v>0.02</v>
      </c>
      <c r="Q1715" s="160">
        <f>InputData!$C$11</f>
        <v>0.02</v>
      </c>
      <c r="R1715" s="160">
        <f>InputData!$C$12</f>
        <v>0.02</v>
      </c>
      <c r="S1715" s="160">
        <f>InputData!$C$13</f>
        <v>0.9</v>
      </c>
      <c r="T1715" s="116">
        <f>InputData!$C$88</f>
        <v>180000</v>
      </c>
      <c r="U1715" s="116">
        <f>InputData!$C$81</f>
        <v>178500</v>
      </c>
      <c r="V1715" s="116">
        <f>InputData!$C$82</f>
        <v>303960</v>
      </c>
      <c r="W1715" s="116">
        <f>InputData!$C$84</f>
        <v>215220</v>
      </c>
      <c r="X1715" s="116">
        <f>InputData!$C$85</f>
        <v>409020</v>
      </c>
      <c r="Y1715" s="116">
        <f>InputData!$C$116</f>
        <v>140000</v>
      </c>
      <c r="Z1715" s="160">
        <f>InputData!$E$13</f>
        <v>0</v>
      </c>
    </row>
    <row r="1716" spans="1:26" x14ac:dyDescent="0.25">
      <c r="A1716">
        <f>InputData!$K$1</f>
        <v>2013</v>
      </c>
      <c r="B1716" t="str">
        <f>InputData!$G$1</f>
        <v>San Antonio, TX</v>
      </c>
      <c r="C1716" t="s">
        <v>227</v>
      </c>
      <c r="D1716" t="str">
        <f>Graph_Ophtha!$P$6</f>
        <v>SELF</v>
      </c>
      <c r="E1716" t="str">
        <f t="shared" si="28"/>
        <v>Ophthalmology SELF</v>
      </c>
      <c r="F1716">
        <f>Graph_Ophtha!A11</f>
        <v>2017</v>
      </c>
      <c r="G1716">
        <f>Graph_Ophtha!B11</f>
        <v>5</v>
      </c>
      <c r="H1716" s="165">
        <f>Graph_Ophtha!P11</f>
        <v>35886.328601905836</v>
      </c>
      <c r="I1716" s="160">
        <f>InputData!$C$3</f>
        <v>0.02</v>
      </c>
      <c r="J1716" s="160">
        <f>InputData!$C$4</f>
        <v>0.01</v>
      </c>
      <c r="K1716" s="160">
        <f>InputData!$C$5</f>
        <v>0.01</v>
      </c>
      <c r="L1716" s="160">
        <f>InputData!$C$6</f>
        <v>6.2100000000000002E-2</v>
      </c>
      <c r="M1716" s="160">
        <f>InputData!$C$7</f>
        <v>0.03</v>
      </c>
      <c r="N1716" s="160">
        <f>InputData!$C$8</f>
        <v>0.02</v>
      </c>
      <c r="O1716" s="160">
        <f>InputData!$C$9</f>
        <v>0.06</v>
      </c>
      <c r="P1716" s="160">
        <f>InputData!$C$10</f>
        <v>0.02</v>
      </c>
      <c r="Q1716" s="160">
        <f>InputData!$C$11</f>
        <v>0.02</v>
      </c>
      <c r="R1716" s="160">
        <f>InputData!$C$12</f>
        <v>0.02</v>
      </c>
      <c r="S1716" s="160">
        <f>InputData!$C$13</f>
        <v>0.9</v>
      </c>
      <c r="T1716" s="116">
        <f>InputData!$C$88</f>
        <v>180000</v>
      </c>
      <c r="U1716" s="116">
        <f>InputData!$C$81</f>
        <v>178500</v>
      </c>
      <c r="V1716" s="116">
        <f>InputData!$C$82</f>
        <v>303960</v>
      </c>
      <c r="W1716" s="116">
        <f>InputData!$C$84</f>
        <v>215220</v>
      </c>
      <c r="X1716" s="116">
        <f>InputData!$C$85</f>
        <v>409020</v>
      </c>
      <c r="Y1716" s="116">
        <f>InputData!$C$116</f>
        <v>140000</v>
      </c>
      <c r="Z1716" s="160">
        <f>InputData!$E$13</f>
        <v>0</v>
      </c>
    </row>
    <row r="1717" spans="1:26" x14ac:dyDescent="0.25">
      <c r="A1717">
        <f>InputData!$K$1</f>
        <v>2013</v>
      </c>
      <c r="B1717" t="str">
        <f>InputData!$G$1</f>
        <v>San Antonio, TX</v>
      </c>
      <c r="C1717" t="s">
        <v>227</v>
      </c>
      <c r="D1717" t="str">
        <f>Graph_Ophtha!$P$6</f>
        <v>SELF</v>
      </c>
      <c r="E1717" t="str">
        <f t="shared" si="28"/>
        <v>Ophthalmology SELF</v>
      </c>
      <c r="F1717">
        <f>Graph_Ophtha!A12</f>
        <v>2018</v>
      </c>
      <c r="G1717">
        <f>Graph_Ophtha!B12</f>
        <v>6</v>
      </c>
      <c r="H1717" s="165">
        <f>Graph_Ophtha!P12</f>
        <v>71871.450910563319</v>
      </c>
      <c r="I1717" s="160">
        <f>InputData!$C$3</f>
        <v>0.02</v>
      </c>
      <c r="J1717" s="160">
        <f>InputData!$C$4</f>
        <v>0.01</v>
      </c>
      <c r="K1717" s="160">
        <f>InputData!$C$5</f>
        <v>0.01</v>
      </c>
      <c r="L1717" s="160">
        <f>InputData!$C$6</f>
        <v>6.2100000000000002E-2</v>
      </c>
      <c r="M1717" s="160">
        <f>InputData!$C$7</f>
        <v>0.03</v>
      </c>
      <c r="N1717" s="160">
        <f>InputData!$C$8</f>
        <v>0.02</v>
      </c>
      <c r="O1717" s="160">
        <f>InputData!$C$9</f>
        <v>0.06</v>
      </c>
      <c r="P1717" s="160">
        <f>InputData!$C$10</f>
        <v>0.02</v>
      </c>
      <c r="Q1717" s="160">
        <f>InputData!$C$11</f>
        <v>0.02</v>
      </c>
      <c r="R1717" s="160">
        <f>InputData!$C$12</f>
        <v>0.02</v>
      </c>
      <c r="S1717" s="160">
        <f>InputData!$C$13</f>
        <v>0.9</v>
      </c>
      <c r="T1717" s="116">
        <f>InputData!$C$88</f>
        <v>180000</v>
      </c>
      <c r="U1717" s="116">
        <f>InputData!$C$81</f>
        <v>178500</v>
      </c>
      <c r="V1717" s="116">
        <f>InputData!$C$82</f>
        <v>303960</v>
      </c>
      <c r="W1717" s="116">
        <f>InputData!$C$84</f>
        <v>215220</v>
      </c>
      <c r="X1717" s="116">
        <f>InputData!$C$85</f>
        <v>409020</v>
      </c>
      <c r="Y1717" s="116">
        <f>InputData!$C$116</f>
        <v>140000</v>
      </c>
      <c r="Z1717" s="160">
        <f>InputData!$E$13</f>
        <v>0</v>
      </c>
    </row>
    <row r="1718" spans="1:26" x14ac:dyDescent="0.25">
      <c r="A1718">
        <f>InputData!$K$1</f>
        <v>2013</v>
      </c>
      <c r="B1718" t="str">
        <f>InputData!$G$1</f>
        <v>San Antonio, TX</v>
      </c>
      <c r="C1718" t="s">
        <v>227</v>
      </c>
      <c r="D1718" t="str">
        <f>Graph_Ophtha!$P$6</f>
        <v>SELF</v>
      </c>
      <c r="E1718" t="str">
        <f t="shared" si="28"/>
        <v>Ophthalmology SELF</v>
      </c>
      <c r="F1718">
        <f>Graph_Ophtha!A13</f>
        <v>2019</v>
      </c>
      <c r="G1718">
        <f>Graph_Ophtha!B13</f>
        <v>7</v>
      </c>
      <c r="H1718" s="165">
        <f>Graph_Ophtha!P13</f>
        <v>107962.72535202681</v>
      </c>
      <c r="I1718" s="160">
        <f>InputData!$C$3</f>
        <v>0.02</v>
      </c>
      <c r="J1718" s="160">
        <f>InputData!$C$4</f>
        <v>0.01</v>
      </c>
      <c r="K1718" s="160">
        <f>InputData!$C$5</f>
        <v>0.01</v>
      </c>
      <c r="L1718" s="160">
        <f>InputData!$C$6</f>
        <v>6.2100000000000002E-2</v>
      </c>
      <c r="M1718" s="160">
        <f>InputData!$C$7</f>
        <v>0.03</v>
      </c>
      <c r="N1718" s="160">
        <f>InputData!$C$8</f>
        <v>0.02</v>
      </c>
      <c r="O1718" s="160">
        <f>InputData!$C$9</f>
        <v>0.06</v>
      </c>
      <c r="P1718" s="160">
        <f>InputData!$C$10</f>
        <v>0.02</v>
      </c>
      <c r="Q1718" s="160">
        <f>InputData!$C$11</f>
        <v>0.02</v>
      </c>
      <c r="R1718" s="160">
        <f>InputData!$C$12</f>
        <v>0.02</v>
      </c>
      <c r="S1718" s="160">
        <f>InputData!$C$13</f>
        <v>0.9</v>
      </c>
      <c r="T1718" s="116">
        <f>InputData!$C$88</f>
        <v>180000</v>
      </c>
      <c r="U1718" s="116">
        <f>InputData!$C$81</f>
        <v>178500</v>
      </c>
      <c r="V1718" s="116">
        <f>InputData!$C$82</f>
        <v>303960</v>
      </c>
      <c r="W1718" s="116">
        <f>InputData!$C$84</f>
        <v>215220</v>
      </c>
      <c r="X1718" s="116">
        <f>InputData!$C$85</f>
        <v>409020</v>
      </c>
      <c r="Y1718" s="116">
        <f>InputData!$C$116</f>
        <v>140000</v>
      </c>
      <c r="Z1718" s="160">
        <f>InputData!$E$13</f>
        <v>0</v>
      </c>
    </row>
    <row r="1719" spans="1:26" x14ac:dyDescent="0.25">
      <c r="A1719">
        <f>InputData!$K$1</f>
        <v>2013</v>
      </c>
      <c r="B1719" t="str">
        <f>InputData!$G$1</f>
        <v>San Antonio, TX</v>
      </c>
      <c r="C1719" t="s">
        <v>227</v>
      </c>
      <c r="D1719" t="str">
        <f>Graph_Ophtha!$P$6</f>
        <v>SELF</v>
      </c>
      <c r="E1719" t="str">
        <f t="shared" si="28"/>
        <v>Ophthalmology SELF</v>
      </c>
      <c r="F1719">
        <f>Graph_Ophtha!A14</f>
        <v>2020</v>
      </c>
      <c r="G1719">
        <f>Graph_Ophtha!B14</f>
        <v>8</v>
      </c>
      <c r="H1719" s="165">
        <f>Graph_Ophtha!P14</f>
        <v>144167.38761271787</v>
      </c>
      <c r="I1719" s="160">
        <f>InputData!$C$3</f>
        <v>0.02</v>
      </c>
      <c r="J1719" s="160">
        <f>InputData!$C$4</f>
        <v>0.01</v>
      </c>
      <c r="K1719" s="160">
        <f>InputData!$C$5</f>
        <v>0.01</v>
      </c>
      <c r="L1719" s="160">
        <f>InputData!$C$6</f>
        <v>6.2100000000000002E-2</v>
      </c>
      <c r="M1719" s="160">
        <f>InputData!$C$7</f>
        <v>0.03</v>
      </c>
      <c r="N1719" s="160">
        <f>InputData!$C$8</f>
        <v>0.02</v>
      </c>
      <c r="O1719" s="160">
        <f>InputData!$C$9</f>
        <v>0.06</v>
      </c>
      <c r="P1719" s="160">
        <f>InputData!$C$10</f>
        <v>0.02</v>
      </c>
      <c r="Q1719" s="160">
        <f>InputData!$C$11</f>
        <v>0.02</v>
      </c>
      <c r="R1719" s="160">
        <f>InputData!$C$12</f>
        <v>0.02</v>
      </c>
      <c r="S1719" s="160">
        <f>InputData!$C$13</f>
        <v>0.9</v>
      </c>
      <c r="T1719" s="116">
        <f>InputData!$C$88</f>
        <v>180000</v>
      </c>
      <c r="U1719" s="116">
        <f>InputData!$C$81</f>
        <v>178500</v>
      </c>
      <c r="V1719" s="116">
        <f>InputData!$C$82</f>
        <v>303960</v>
      </c>
      <c r="W1719" s="116">
        <f>InputData!$C$84</f>
        <v>215220</v>
      </c>
      <c r="X1719" s="116">
        <f>InputData!$C$85</f>
        <v>409020</v>
      </c>
      <c r="Y1719" s="116">
        <f>InputData!$C$116</f>
        <v>140000</v>
      </c>
      <c r="Z1719" s="160">
        <f>InputData!$E$13</f>
        <v>0</v>
      </c>
    </row>
    <row r="1720" spans="1:26" x14ac:dyDescent="0.25">
      <c r="A1720">
        <f>InputData!$K$1</f>
        <v>2013</v>
      </c>
      <c r="B1720" t="str">
        <f>InputData!$G$1</f>
        <v>San Antonio, TX</v>
      </c>
      <c r="C1720" t="s">
        <v>227</v>
      </c>
      <c r="D1720" t="str">
        <f>Graph_Ophtha!$P$6</f>
        <v>SELF</v>
      </c>
      <c r="E1720" t="str">
        <f t="shared" si="28"/>
        <v>Ophthalmology SELF</v>
      </c>
      <c r="F1720">
        <f>Graph_Ophtha!A15</f>
        <v>2021</v>
      </c>
      <c r="G1720">
        <f>Graph_Ophtha!B15</f>
        <v>9</v>
      </c>
      <c r="H1720" s="165">
        <f>Graph_Ophtha!P15</f>
        <v>264086.19705728476</v>
      </c>
      <c r="I1720" s="160">
        <f>InputData!$C$3</f>
        <v>0.02</v>
      </c>
      <c r="J1720" s="160">
        <f>InputData!$C$4</f>
        <v>0.01</v>
      </c>
      <c r="K1720" s="160">
        <f>InputData!$C$5</f>
        <v>0.01</v>
      </c>
      <c r="L1720" s="160">
        <f>InputData!$C$6</f>
        <v>6.2100000000000002E-2</v>
      </c>
      <c r="M1720" s="160">
        <f>InputData!$C$7</f>
        <v>0.03</v>
      </c>
      <c r="N1720" s="160">
        <f>InputData!$C$8</f>
        <v>0.02</v>
      </c>
      <c r="O1720" s="160">
        <f>InputData!$C$9</f>
        <v>0.06</v>
      </c>
      <c r="P1720" s="160">
        <f>InputData!$C$10</f>
        <v>0.02</v>
      </c>
      <c r="Q1720" s="160">
        <f>InputData!$C$11</f>
        <v>0.02</v>
      </c>
      <c r="R1720" s="160">
        <f>InputData!$C$12</f>
        <v>0.02</v>
      </c>
      <c r="S1720" s="160">
        <f>InputData!$C$13</f>
        <v>0.9</v>
      </c>
      <c r="T1720" s="116">
        <f>InputData!$C$88</f>
        <v>180000</v>
      </c>
      <c r="U1720" s="116">
        <f>InputData!$C$81</f>
        <v>178500</v>
      </c>
      <c r="V1720" s="116">
        <f>InputData!$C$82</f>
        <v>303960</v>
      </c>
      <c r="W1720" s="116">
        <f>InputData!$C$84</f>
        <v>215220</v>
      </c>
      <c r="X1720" s="116">
        <f>InputData!$C$85</f>
        <v>409020</v>
      </c>
      <c r="Y1720" s="116">
        <f>InputData!$C$116</f>
        <v>140000</v>
      </c>
      <c r="Z1720" s="160">
        <f>InputData!$E$13</f>
        <v>0</v>
      </c>
    </row>
    <row r="1721" spans="1:26" x14ac:dyDescent="0.25">
      <c r="A1721">
        <f>InputData!$K$1</f>
        <v>2013</v>
      </c>
      <c r="B1721" t="str">
        <f>InputData!$G$1</f>
        <v>San Antonio, TX</v>
      </c>
      <c r="C1721" t="s">
        <v>227</v>
      </c>
      <c r="D1721" t="str">
        <f>Graph_Ophtha!$P$6</f>
        <v>SELF</v>
      </c>
      <c r="E1721" t="str">
        <f t="shared" si="28"/>
        <v>Ophthalmology SELF</v>
      </c>
      <c r="F1721">
        <f>Graph_Ophtha!A16</f>
        <v>2022</v>
      </c>
      <c r="G1721">
        <f>Graph_Ophtha!B16</f>
        <v>10</v>
      </c>
      <c r="H1721" s="165">
        <f>Graph_Ophtha!P16</f>
        <v>375304.67597257695</v>
      </c>
      <c r="I1721" s="160">
        <f>InputData!$C$3</f>
        <v>0.02</v>
      </c>
      <c r="J1721" s="160">
        <f>InputData!$C$4</f>
        <v>0.01</v>
      </c>
      <c r="K1721" s="160">
        <f>InputData!$C$5</f>
        <v>0.01</v>
      </c>
      <c r="L1721" s="160">
        <f>InputData!$C$6</f>
        <v>6.2100000000000002E-2</v>
      </c>
      <c r="M1721" s="160">
        <f>InputData!$C$7</f>
        <v>0.03</v>
      </c>
      <c r="N1721" s="160">
        <f>InputData!$C$8</f>
        <v>0.02</v>
      </c>
      <c r="O1721" s="160">
        <f>InputData!$C$9</f>
        <v>0.06</v>
      </c>
      <c r="P1721" s="160">
        <f>InputData!$C$10</f>
        <v>0.02</v>
      </c>
      <c r="Q1721" s="160">
        <f>InputData!$C$11</f>
        <v>0.02</v>
      </c>
      <c r="R1721" s="160">
        <f>InputData!$C$12</f>
        <v>0.02</v>
      </c>
      <c r="S1721" s="160">
        <f>InputData!$C$13</f>
        <v>0.9</v>
      </c>
      <c r="T1721" s="116">
        <f>InputData!$C$88</f>
        <v>180000</v>
      </c>
      <c r="U1721" s="116">
        <f>InputData!$C$81</f>
        <v>178500</v>
      </c>
      <c r="V1721" s="116">
        <f>InputData!$C$82</f>
        <v>303960</v>
      </c>
      <c r="W1721" s="116">
        <f>InputData!$C$84</f>
        <v>215220</v>
      </c>
      <c r="X1721" s="116">
        <f>InputData!$C$85</f>
        <v>409020</v>
      </c>
      <c r="Y1721" s="116">
        <f>InputData!$C$116</f>
        <v>140000</v>
      </c>
      <c r="Z1721" s="160">
        <f>InputData!$E$13</f>
        <v>0</v>
      </c>
    </row>
    <row r="1722" spans="1:26" x14ac:dyDescent="0.25">
      <c r="A1722">
        <f>InputData!$K$1</f>
        <v>2013</v>
      </c>
      <c r="B1722" t="str">
        <f>InputData!$G$1</f>
        <v>San Antonio, TX</v>
      </c>
      <c r="C1722" t="s">
        <v>227</v>
      </c>
      <c r="D1722" t="str">
        <f>Graph_Ophtha!$P$6</f>
        <v>SELF</v>
      </c>
      <c r="E1722" t="str">
        <f t="shared" si="28"/>
        <v>Ophthalmology SELF</v>
      </c>
      <c r="F1722">
        <f>Graph_Ophtha!A17</f>
        <v>2023</v>
      </c>
      <c r="G1722">
        <f>Graph_Ophtha!B17</f>
        <v>11</v>
      </c>
      <c r="H1722" s="165">
        <f>Graph_Ophtha!P17</f>
        <v>484263.37434280466</v>
      </c>
      <c r="I1722" s="160">
        <f>InputData!$C$3</f>
        <v>0.02</v>
      </c>
      <c r="J1722" s="160">
        <f>InputData!$C$4</f>
        <v>0.01</v>
      </c>
      <c r="K1722" s="160">
        <f>InputData!$C$5</f>
        <v>0.01</v>
      </c>
      <c r="L1722" s="160">
        <f>InputData!$C$6</f>
        <v>6.2100000000000002E-2</v>
      </c>
      <c r="M1722" s="160">
        <f>InputData!$C$7</f>
        <v>0.03</v>
      </c>
      <c r="N1722" s="160">
        <f>InputData!$C$8</f>
        <v>0.02</v>
      </c>
      <c r="O1722" s="160">
        <f>InputData!$C$9</f>
        <v>0.06</v>
      </c>
      <c r="P1722" s="160">
        <f>InputData!$C$10</f>
        <v>0.02</v>
      </c>
      <c r="Q1722" s="160">
        <f>InputData!$C$11</f>
        <v>0.02</v>
      </c>
      <c r="R1722" s="160">
        <f>InputData!$C$12</f>
        <v>0.02</v>
      </c>
      <c r="S1722" s="160">
        <f>InputData!$C$13</f>
        <v>0.9</v>
      </c>
      <c r="T1722" s="116">
        <f>InputData!$C$88</f>
        <v>180000</v>
      </c>
      <c r="U1722" s="116">
        <f>InputData!$C$81</f>
        <v>178500</v>
      </c>
      <c r="V1722" s="116">
        <f>InputData!$C$82</f>
        <v>303960</v>
      </c>
      <c r="W1722" s="116">
        <f>InputData!$C$84</f>
        <v>215220</v>
      </c>
      <c r="X1722" s="116">
        <f>InputData!$C$85</f>
        <v>409020</v>
      </c>
      <c r="Y1722" s="116">
        <f>InputData!$C$116</f>
        <v>140000</v>
      </c>
      <c r="Z1722" s="160">
        <f>InputData!$E$13</f>
        <v>0</v>
      </c>
    </row>
    <row r="1723" spans="1:26" x14ac:dyDescent="0.25">
      <c r="A1723">
        <f>InputData!$K$1</f>
        <v>2013</v>
      </c>
      <c r="B1723" t="str">
        <f>InputData!$G$1</f>
        <v>San Antonio, TX</v>
      </c>
      <c r="C1723" t="s">
        <v>227</v>
      </c>
      <c r="D1723" t="str">
        <f>Graph_Ophtha!$P$6</f>
        <v>SELF</v>
      </c>
      <c r="E1723" t="str">
        <f t="shared" si="28"/>
        <v>Ophthalmology SELF</v>
      </c>
      <c r="F1723">
        <f>Graph_Ophtha!A18</f>
        <v>2024</v>
      </c>
      <c r="G1723">
        <f>Graph_Ophtha!B18</f>
        <v>12</v>
      </c>
      <c r="H1723" s="165">
        <f>Graph_Ophtha!P18</f>
        <v>591008.90332022205</v>
      </c>
      <c r="I1723" s="160">
        <f>InputData!$C$3</f>
        <v>0.02</v>
      </c>
      <c r="J1723" s="160">
        <f>InputData!$C$4</f>
        <v>0.01</v>
      </c>
      <c r="K1723" s="160">
        <f>InputData!$C$5</f>
        <v>0.01</v>
      </c>
      <c r="L1723" s="160">
        <f>InputData!$C$6</f>
        <v>6.2100000000000002E-2</v>
      </c>
      <c r="M1723" s="160">
        <f>InputData!$C$7</f>
        <v>0.03</v>
      </c>
      <c r="N1723" s="160">
        <f>InputData!$C$8</f>
        <v>0.02</v>
      </c>
      <c r="O1723" s="160">
        <f>InputData!$C$9</f>
        <v>0.06</v>
      </c>
      <c r="P1723" s="160">
        <f>InputData!$C$10</f>
        <v>0.02</v>
      </c>
      <c r="Q1723" s="160">
        <f>InputData!$C$11</f>
        <v>0.02</v>
      </c>
      <c r="R1723" s="160">
        <f>InputData!$C$12</f>
        <v>0.02</v>
      </c>
      <c r="S1723" s="160">
        <f>InputData!$C$13</f>
        <v>0.9</v>
      </c>
      <c r="T1723" s="116">
        <f>InputData!$C$88</f>
        <v>180000</v>
      </c>
      <c r="U1723" s="116">
        <f>InputData!$C$81</f>
        <v>178500</v>
      </c>
      <c r="V1723" s="116">
        <f>InputData!$C$82</f>
        <v>303960</v>
      </c>
      <c r="W1723" s="116">
        <f>InputData!$C$84</f>
        <v>215220</v>
      </c>
      <c r="X1723" s="116">
        <f>InputData!$C$85</f>
        <v>409020</v>
      </c>
      <c r="Y1723" s="116">
        <f>InputData!$C$116</f>
        <v>140000</v>
      </c>
      <c r="Z1723" s="160">
        <f>InputData!$E$13</f>
        <v>0</v>
      </c>
    </row>
    <row r="1724" spans="1:26" x14ac:dyDescent="0.25">
      <c r="A1724">
        <f>InputData!$K$1</f>
        <v>2013</v>
      </c>
      <c r="B1724" t="str">
        <f>InputData!$G$1</f>
        <v>San Antonio, TX</v>
      </c>
      <c r="C1724" t="s">
        <v>227</v>
      </c>
      <c r="D1724" t="str">
        <f>Graph_Ophtha!$P$6</f>
        <v>SELF</v>
      </c>
      <c r="E1724" t="str">
        <f t="shared" si="28"/>
        <v>Ophthalmology SELF</v>
      </c>
      <c r="F1724">
        <f>Graph_Ophtha!A19</f>
        <v>2025</v>
      </c>
      <c r="G1724">
        <f>Graph_Ophtha!B19</f>
        <v>13</v>
      </c>
      <c r="H1724" s="165">
        <f>Graph_Ophtha!P19</f>
        <v>695586.89307224739</v>
      </c>
      <c r="I1724" s="160">
        <f>InputData!$C$3</f>
        <v>0.02</v>
      </c>
      <c r="J1724" s="160">
        <f>InputData!$C$4</f>
        <v>0.01</v>
      </c>
      <c r="K1724" s="160">
        <f>InputData!$C$5</f>
        <v>0.01</v>
      </c>
      <c r="L1724" s="160">
        <f>InputData!$C$6</f>
        <v>6.2100000000000002E-2</v>
      </c>
      <c r="M1724" s="160">
        <f>InputData!$C$7</f>
        <v>0.03</v>
      </c>
      <c r="N1724" s="160">
        <f>InputData!$C$8</f>
        <v>0.02</v>
      </c>
      <c r="O1724" s="160">
        <f>InputData!$C$9</f>
        <v>0.06</v>
      </c>
      <c r="P1724" s="160">
        <f>InputData!$C$10</f>
        <v>0.02</v>
      </c>
      <c r="Q1724" s="160">
        <f>InputData!$C$11</f>
        <v>0.02</v>
      </c>
      <c r="R1724" s="160">
        <f>InputData!$C$12</f>
        <v>0.02</v>
      </c>
      <c r="S1724" s="160">
        <f>InputData!$C$13</f>
        <v>0.9</v>
      </c>
      <c r="T1724" s="116">
        <f>InputData!$C$88</f>
        <v>180000</v>
      </c>
      <c r="U1724" s="116">
        <f>InputData!$C$81</f>
        <v>178500</v>
      </c>
      <c r="V1724" s="116">
        <f>InputData!$C$82</f>
        <v>303960</v>
      </c>
      <c r="W1724" s="116">
        <f>InputData!$C$84</f>
        <v>215220</v>
      </c>
      <c r="X1724" s="116">
        <f>InputData!$C$85</f>
        <v>409020</v>
      </c>
      <c r="Y1724" s="116">
        <f>InputData!$C$116</f>
        <v>140000</v>
      </c>
      <c r="Z1724" s="160">
        <f>InputData!$E$13</f>
        <v>0</v>
      </c>
    </row>
    <row r="1725" spans="1:26" x14ac:dyDescent="0.25">
      <c r="A1725">
        <f>InputData!$K$1</f>
        <v>2013</v>
      </c>
      <c r="B1725" t="str">
        <f>InputData!$G$1</f>
        <v>San Antonio, TX</v>
      </c>
      <c r="C1725" t="s">
        <v>227</v>
      </c>
      <c r="D1725" t="str">
        <f>Graph_Ophtha!$P$6</f>
        <v>SELF</v>
      </c>
      <c r="E1725" t="str">
        <f t="shared" si="28"/>
        <v>Ophthalmology SELF</v>
      </c>
      <c r="F1725">
        <f>Graph_Ophtha!A20</f>
        <v>2026</v>
      </c>
      <c r="G1725">
        <f>Graph_Ophtha!B20</f>
        <v>14</v>
      </c>
      <c r="H1725" s="165">
        <f>Graph_Ophtha!P20</f>
        <v>798042.01396910124</v>
      </c>
      <c r="I1725" s="160">
        <f>InputData!$C$3</f>
        <v>0.02</v>
      </c>
      <c r="J1725" s="160">
        <f>InputData!$C$4</f>
        <v>0.01</v>
      </c>
      <c r="K1725" s="160">
        <f>InputData!$C$5</f>
        <v>0.01</v>
      </c>
      <c r="L1725" s="160">
        <f>InputData!$C$6</f>
        <v>6.2100000000000002E-2</v>
      </c>
      <c r="M1725" s="160">
        <f>InputData!$C$7</f>
        <v>0.03</v>
      </c>
      <c r="N1725" s="160">
        <f>InputData!$C$8</f>
        <v>0.02</v>
      </c>
      <c r="O1725" s="160">
        <f>InputData!$C$9</f>
        <v>0.06</v>
      </c>
      <c r="P1725" s="160">
        <f>InputData!$C$10</f>
        <v>0.02</v>
      </c>
      <c r="Q1725" s="160">
        <f>InputData!$C$11</f>
        <v>0.02</v>
      </c>
      <c r="R1725" s="160">
        <f>InputData!$C$12</f>
        <v>0.02</v>
      </c>
      <c r="S1725" s="160">
        <f>InputData!$C$13</f>
        <v>0.9</v>
      </c>
      <c r="T1725" s="116">
        <f>InputData!$C$88</f>
        <v>180000</v>
      </c>
      <c r="U1725" s="116">
        <f>InputData!$C$81</f>
        <v>178500</v>
      </c>
      <c r="V1725" s="116">
        <f>InputData!$C$82</f>
        <v>303960</v>
      </c>
      <c r="W1725" s="116">
        <f>InputData!$C$84</f>
        <v>215220</v>
      </c>
      <c r="X1725" s="116">
        <f>InputData!$C$85</f>
        <v>409020</v>
      </c>
      <c r="Y1725" s="116">
        <f>InputData!$C$116</f>
        <v>140000</v>
      </c>
      <c r="Z1725" s="160">
        <f>InputData!$E$13</f>
        <v>0</v>
      </c>
    </row>
    <row r="1726" spans="1:26" x14ac:dyDescent="0.25">
      <c r="A1726">
        <f>InputData!$K$1</f>
        <v>2013</v>
      </c>
      <c r="B1726" t="str">
        <f>InputData!$G$1</f>
        <v>San Antonio, TX</v>
      </c>
      <c r="C1726" t="s">
        <v>227</v>
      </c>
      <c r="D1726" t="str">
        <f>Graph_Ophtha!$P$6</f>
        <v>SELF</v>
      </c>
      <c r="E1726" t="str">
        <f t="shared" si="28"/>
        <v>Ophthalmology SELF</v>
      </c>
      <c r="F1726">
        <f>Graph_Ophtha!A21</f>
        <v>2027</v>
      </c>
      <c r="G1726">
        <f>Graph_Ophtha!B21</f>
        <v>15</v>
      </c>
      <c r="H1726" s="165">
        <f>Graph_Ophtha!P21</f>
        <v>898417.99729912693</v>
      </c>
      <c r="I1726" s="160">
        <f>InputData!$C$3</f>
        <v>0.02</v>
      </c>
      <c r="J1726" s="160">
        <f>InputData!$C$4</f>
        <v>0.01</v>
      </c>
      <c r="K1726" s="160">
        <f>InputData!$C$5</f>
        <v>0.01</v>
      </c>
      <c r="L1726" s="160">
        <f>InputData!$C$6</f>
        <v>6.2100000000000002E-2</v>
      </c>
      <c r="M1726" s="160">
        <f>InputData!$C$7</f>
        <v>0.03</v>
      </c>
      <c r="N1726" s="160">
        <f>InputData!$C$8</f>
        <v>0.02</v>
      </c>
      <c r="O1726" s="160">
        <f>InputData!$C$9</f>
        <v>0.06</v>
      </c>
      <c r="P1726" s="160">
        <f>InputData!$C$10</f>
        <v>0.02</v>
      </c>
      <c r="Q1726" s="160">
        <f>InputData!$C$11</f>
        <v>0.02</v>
      </c>
      <c r="R1726" s="160">
        <f>InputData!$C$12</f>
        <v>0.02</v>
      </c>
      <c r="S1726" s="160">
        <f>InputData!$C$13</f>
        <v>0.9</v>
      </c>
      <c r="T1726" s="116">
        <f>InputData!$C$88</f>
        <v>180000</v>
      </c>
      <c r="U1726" s="116">
        <f>InputData!$C$81</f>
        <v>178500</v>
      </c>
      <c r="V1726" s="116">
        <f>InputData!$C$82</f>
        <v>303960</v>
      </c>
      <c r="W1726" s="116">
        <f>InputData!$C$84</f>
        <v>215220</v>
      </c>
      <c r="X1726" s="116">
        <f>InputData!$C$85</f>
        <v>409020</v>
      </c>
      <c r="Y1726" s="116">
        <f>InputData!$C$116</f>
        <v>140000</v>
      </c>
      <c r="Z1726" s="160">
        <f>InputData!$E$13</f>
        <v>0</v>
      </c>
    </row>
    <row r="1727" spans="1:26" x14ac:dyDescent="0.25">
      <c r="A1727">
        <f>InputData!$K$1</f>
        <v>2013</v>
      </c>
      <c r="B1727" t="str">
        <f>InputData!$G$1</f>
        <v>San Antonio, TX</v>
      </c>
      <c r="C1727" t="s">
        <v>227</v>
      </c>
      <c r="D1727" t="str">
        <f>Graph_Ophtha!$P$6</f>
        <v>SELF</v>
      </c>
      <c r="E1727" t="str">
        <f t="shared" si="28"/>
        <v>Ophthalmology SELF</v>
      </c>
      <c r="F1727">
        <f>Graph_Ophtha!A22</f>
        <v>2028</v>
      </c>
      <c r="G1727">
        <f>Graph_Ophtha!B22</f>
        <v>16</v>
      </c>
      <c r="H1727" s="165">
        <f>Graph_Ophtha!P22</f>
        <v>996757.65552271239</v>
      </c>
      <c r="I1727" s="160">
        <f>InputData!$C$3</f>
        <v>0.02</v>
      </c>
      <c r="J1727" s="160">
        <f>InputData!$C$4</f>
        <v>0.01</v>
      </c>
      <c r="K1727" s="160">
        <f>InputData!$C$5</f>
        <v>0.01</v>
      </c>
      <c r="L1727" s="160">
        <f>InputData!$C$6</f>
        <v>6.2100000000000002E-2</v>
      </c>
      <c r="M1727" s="160">
        <f>InputData!$C$7</f>
        <v>0.03</v>
      </c>
      <c r="N1727" s="160">
        <f>InputData!$C$8</f>
        <v>0.02</v>
      </c>
      <c r="O1727" s="160">
        <f>InputData!$C$9</f>
        <v>0.06</v>
      </c>
      <c r="P1727" s="160">
        <f>InputData!$C$10</f>
        <v>0.02</v>
      </c>
      <c r="Q1727" s="160">
        <f>InputData!$C$11</f>
        <v>0.02</v>
      </c>
      <c r="R1727" s="160">
        <f>InputData!$C$12</f>
        <v>0.02</v>
      </c>
      <c r="S1727" s="160">
        <f>InputData!$C$13</f>
        <v>0.9</v>
      </c>
      <c r="T1727" s="116">
        <f>InputData!$C$88</f>
        <v>180000</v>
      </c>
      <c r="U1727" s="116">
        <f>InputData!$C$81</f>
        <v>178500</v>
      </c>
      <c r="V1727" s="116">
        <f>InputData!$C$82</f>
        <v>303960</v>
      </c>
      <c r="W1727" s="116">
        <f>InputData!$C$84</f>
        <v>215220</v>
      </c>
      <c r="X1727" s="116">
        <f>InputData!$C$85</f>
        <v>409020</v>
      </c>
      <c r="Y1727" s="116">
        <f>InputData!$C$116</f>
        <v>140000</v>
      </c>
      <c r="Z1727" s="160">
        <f>InputData!$E$13</f>
        <v>0</v>
      </c>
    </row>
    <row r="1728" spans="1:26" x14ac:dyDescent="0.25">
      <c r="A1728">
        <f>InputData!$K$1</f>
        <v>2013</v>
      </c>
      <c r="B1728" t="str">
        <f>InputData!$G$1</f>
        <v>San Antonio, TX</v>
      </c>
      <c r="C1728" t="s">
        <v>227</v>
      </c>
      <c r="D1728" t="str">
        <f>Graph_Ophtha!$P$6</f>
        <v>SELF</v>
      </c>
      <c r="E1728" t="str">
        <f t="shared" si="28"/>
        <v>Ophthalmology SELF</v>
      </c>
      <c r="F1728">
        <f>Graph_Ophtha!A23</f>
        <v>2029</v>
      </c>
      <c r="G1728">
        <f>Graph_Ophtha!B23</f>
        <v>17</v>
      </c>
      <c r="H1728" s="165">
        <f>Graph_Ophtha!P23</f>
        <v>1093102.9020754674</v>
      </c>
      <c r="I1728" s="160">
        <f>InputData!$C$3</f>
        <v>0.02</v>
      </c>
      <c r="J1728" s="160">
        <f>InputData!$C$4</f>
        <v>0.01</v>
      </c>
      <c r="K1728" s="160">
        <f>InputData!$C$5</f>
        <v>0.01</v>
      </c>
      <c r="L1728" s="160">
        <f>InputData!$C$6</f>
        <v>6.2100000000000002E-2</v>
      </c>
      <c r="M1728" s="160">
        <f>InputData!$C$7</f>
        <v>0.03</v>
      </c>
      <c r="N1728" s="160">
        <f>InputData!$C$8</f>
        <v>0.02</v>
      </c>
      <c r="O1728" s="160">
        <f>InputData!$C$9</f>
        <v>0.06</v>
      </c>
      <c r="P1728" s="160">
        <f>InputData!$C$10</f>
        <v>0.02</v>
      </c>
      <c r="Q1728" s="160">
        <f>InputData!$C$11</f>
        <v>0.02</v>
      </c>
      <c r="R1728" s="160">
        <f>InputData!$C$12</f>
        <v>0.02</v>
      </c>
      <c r="S1728" s="160">
        <f>InputData!$C$13</f>
        <v>0.9</v>
      </c>
      <c r="T1728" s="116">
        <f>InputData!$C$88</f>
        <v>180000</v>
      </c>
      <c r="U1728" s="116">
        <f>InputData!$C$81</f>
        <v>178500</v>
      </c>
      <c r="V1728" s="116">
        <f>InputData!$C$82</f>
        <v>303960</v>
      </c>
      <c r="W1728" s="116">
        <f>InputData!$C$84</f>
        <v>215220</v>
      </c>
      <c r="X1728" s="116">
        <f>InputData!$C$85</f>
        <v>409020</v>
      </c>
      <c r="Y1728" s="116">
        <f>InputData!$C$116</f>
        <v>140000</v>
      </c>
      <c r="Z1728" s="160">
        <f>InputData!$E$13</f>
        <v>0</v>
      </c>
    </row>
    <row r="1729" spans="1:26" x14ac:dyDescent="0.25">
      <c r="A1729">
        <f>InputData!$K$1</f>
        <v>2013</v>
      </c>
      <c r="B1729" t="str">
        <f>InputData!$G$1</f>
        <v>San Antonio, TX</v>
      </c>
      <c r="C1729" t="s">
        <v>227</v>
      </c>
      <c r="D1729" t="str">
        <f>Graph_Ophtha!$P$6</f>
        <v>SELF</v>
      </c>
      <c r="E1729" t="str">
        <f t="shared" si="28"/>
        <v>Ophthalmology SELF</v>
      </c>
      <c r="F1729">
        <f>Graph_Ophtha!A24</f>
        <v>2030</v>
      </c>
      <c r="G1729">
        <f>Graph_Ophtha!B24</f>
        <v>18</v>
      </c>
      <c r="H1729" s="165">
        <f>Graph_Ophtha!P24</f>
        <v>1187494.770731057</v>
      </c>
      <c r="I1729" s="160">
        <f>InputData!$C$3</f>
        <v>0.02</v>
      </c>
      <c r="J1729" s="160">
        <f>InputData!$C$4</f>
        <v>0.01</v>
      </c>
      <c r="K1729" s="160">
        <f>InputData!$C$5</f>
        <v>0.01</v>
      </c>
      <c r="L1729" s="160">
        <f>InputData!$C$6</f>
        <v>6.2100000000000002E-2</v>
      </c>
      <c r="M1729" s="160">
        <f>InputData!$C$7</f>
        <v>0.03</v>
      </c>
      <c r="N1729" s="160">
        <f>InputData!$C$8</f>
        <v>0.02</v>
      </c>
      <c r="O1729" s="160">
        <f>InputData!$C$9</f>
        <v>0.06</v>
      </c>
      <c r="P1729" s="160">
        <f>InputData!$C$10</f>
        <v>0.02</v>
      </c>
      <c r="Q1729" s="160">
        <f>InputData!$C$11</f>
        <v>0.02</v>
      </c>
      <c r="R1729" s="160">
        <f>InputData!$C$12</f>
        <v>0.02</v>
      </c>
      <c r="S1729" s="160">
        <f>InputData!$C$13</f>
        <v>0.9</v>
      </c>
      <c r="T1729" s="116">
        <f>InputData!$C$88</f>
        <v>180000</v>
      </c>
      <c r="U1729" s="116">
        <f>InputData!$C$81</f>
        <v>178500</v>
      </c>
      <c r="V1729" s="116">
        <f>InputData!$C$82</f>
        <v>303960</v>
      </c>
      <c r="W1729" s="116">
        <f>InputData!$C$84</f>
        <v>215220</v>
      </c>
      <c r="X1729" s="116">
        <f>InputData!$C$85</f>
        <v>409020</v>
      </c>
      <c r="Y1729" s="116">
        <f>InputData!$C$116</f>
        <v>140000</v>
      </c>
      <c r="Z1729" s="160">
        <f>InputData!$E$13</f>
        <v>0</v>
      </c>
    </row>
    <row r="1730" spans="1:26" x14ac:dyDescent="0.25">
      <c r="A1730">
        <f>InputData!$K$1</f>
        <v>2013</v>
      </c>
      <c r="B1730" t="str">
        <f>InputData!$G$1</f>
        <v>San Antonio, TX</v>
      </c>
      <c r="C1730" t="s">
        <v>227</v>
      </c>
      <c r="D1730" t="str">
        <f>Graph_Ophtha!$P$6</f>
        <v>SELF</v>
      </c>
      <c r="E1730" t="str">
        <f t="shared" si="28"/>
        <v>Ophthalmology SELF</v>
      </c>
      <c r="F1730">
        <f>Graph_Ophtha!A25</f>
        <v>2031</v>
      </c>
      <c r="G1730">
        <f>Graph_Ophtha!B25</f>
        <v>19</v>
      </c>
      <c r="H1730" s="165">
        <f>Graph_Ophtha!P25</f>
        <v>1279973.4345338398</v>
      </c>
      <c r="I1730" s="160">
        <f>InputData!$C$3</f>
        <v>0.02</v>
      </c>
      <c r="J1730" s="160">
        <f>InputData!$C$4</f>
        <v>0.01</v>
      </c>
      <c r="K1730" s="160">
        <f>InputData!$C$5</f>
        <v>0.01</v>
      </c>
      <c r="L1730" s="160">
        <f>InputData!$C$6</f>
        <v>6.2100000000000002E-2</v>
      </c>
      <c r="M1730" s="160">
        <f>InputData!$C$7</f>
        <v>0.03</v>
      </c>
      <c r="N1730" s="160">
        <f>InputData!$C$8</f>
        <v>0.02</v>
      </c>
      <c r="O1730" s="160">
        <f>InputData!$C$9</f>
        <v>0.06</v>
      </c>
      <c r="P1730" s="160">
        <f>InputData!$C$10</f>
        <v>0.02</v>
      </c>
      <c r="Q1730" s="160">
        <f>InputData!$C$11</f>
        <v>0.02</v>
      </c>
      <c r="R1730" s="160">
        <f>InputData!$C$12</f>
        <v>0.02</v>
      </c>
      <c r="S1730" s="160">
        <f>InputData!$C$13</f>
        <v>0.9</v>
      </c>
      <c r="T1730" s="116">
        <f>InputData!$C$88</f>
        <v>180000</v>
      </c>
      <c r="U1730" s="116">
        <f>InputData!$C$81</f>
        <v>178500</v>
      </c>
      <c r="V1730" s="116">
        <f>InputData!$C$82</f>
        <v>303960</v>
      </c>
      <c r="W1730" s="116">
        <f>InputData!$C$84</f>
        <v>215220</v>
      </c>
      <c r="X1730" s="116">
        <f>InputData!$C$85</f>
        <v>409020</v>
      </c>
      <c r="Y1730" s="116">
        <f>InputData!$C$116</f>
        <v>140000</v>
      </c>
      <c r="Z1730" s="160">
        <f>InputData!$E$13</f>
        <v>0</v>
      </c>
    </row>
    <row r="1731" spans="1:26" x14ac:dyDescent="0.25">
      <c r="A1731">
        <f>InputData!$K$1</f>
        <v>2013</v>
      </c>
      <c r="B1731" t="str">
        <f>InputData!$G$1</f>
        <v>San Antonio, TX</v>
      </c>
      <c r="C1731" t="s">
        <v>227</v>
      </c>
      <c r="D1731" t="str">
        <f>Graph_Ophtha!$P$6</f>
        <v>SELF</v>
      </c>
      <c r="E1731" t="str">
        <f t="shared" si="28"/>
        <v>Ophthalmology SELF</v>
      </c>
      <c r="F1731">
        <f>Graph_Ophtha!A26</f>
        <v>2032</v>
      </c>
      <c r="G1731">
        <f>Graph_Ophtha!B26</f>
        <v>20</v>
      </c>
      <c r="H1731" s="165">
        <f>Graph_Ophtha!P26</f>
        <v>1370578.2243112195</v>
      </c>
      <c r="I1731" s="160">
        <f>InputData!$C$3</f>
        <v>0.02</v>
      </c>
      <c r="J1731" s="160">
        <f>InputData!$C$4</f>
        <v>0.01</v>
      </c>
      <c r="K1731" s="160">
        <f>InputData!$C$5</f>
        <v>0.01</v>
      </c>
      <c r="L1731" s="160">
        <f>InputData!$C$6</f>
        <v>6.2100000000000002E-2</v>
      </c>
      <c r="M1731" s="160">
        <f>InputData!$C$7</f>
        <v>0.03</v>
      </c>
      <c r="N1731" s="160">
        <f>InputData!$C$8</f>
        <v>0.02</v>
      </c>
      <c r="O1731" s="160">
        <f>InputData!$C$9</f>
        <v>0.06</v>
      </c>
      <c r="P1731" s="160">
        <f>InputData!$C$10</f>
        <v>0.02</v>
      </c>
      <c r="Q1731" s="160">
        <f>InputData!$C$11</f>
        <v>0.02</v>
      </c>
      <c r="R1731" s="160">
        <f>InputData!$C$12</f>
        <v>0.02</v>
      </c>
      <c r="S1731" s="160">
        <f>InputData!$C$13</f>
        <v>0.9</v>
      </c>
      <c r="T1731" s="116">
        <f>InputData!$C$88</f>
        <v>180000</v>
      </c>
      <c r="U1731" s="116">
        <f>InputData!$C$81</f>
        <v>178500</v>
      </c>
      <c r="V1731" s="116">
        <f>InputData!$C$82</f>
        <v>303960</v>
      </c>
      <c r="W1731" s="116">
        <f>InputData!$C$84</f>
        <v>215220</v>
      </c>
      <c r="X1731" s="116">
        <f>InputData!$C$85</f>
        <v>409020</v>
      </c>
      <c r="Y1731" s="116">
        <f>InputData!$C$116</f>
        <v>140000</v>
      </c>
      <c r="Z1731" s="160">
        <f>InputData!$E$13</f>
        <v>0</v>
      </c>
    </row>
    <row r="1732" spans="1:26" x14ac:dyDescent="0.25">
      <c r="A1732">
        <f>InputData!$K$1</f>
        <v>2013</v>
      </c>
      <c r="B1732" t="str">
        <f>InputData!$G$1</f>
        <v>San Antonio, TX</v>
      </c>
      <c r="C1732" t="s">
        <v>227</v>
      </c>
      <c r="D1732" t="str">
        <f>Graph_Ophtha!$P$6</f>
        <v>SELF</v>
      </c>
      <c r="E1732" t="str">
        <f t="shared" si="28"/>
        <v>Ophthalmology SELF</v>
      </c>
      <c r="F1732">
        <f>Graph_Ophtha!A27</f>
        <v>2033</v>
      </c>
      <c r="G1732">
        <f>Graph_Ophtha!B27</f>
        <v>21</v>
      </c>
      <c r="H1732" s="165">
        <f>Graph_Ophtha!P27</f>
        <v>1459347.6467753786</v>
      </c>
      <c r="I1732" s="160">
        <f>InputData!$C$3</f>
        <v>0.02</v>
      </c>
      <c r="J1732" s="160">
        <f>InputData!$C$4</f>
        <v>0.01</v>
      </c>
      <c r="K1732" s="160">
        <f>InputData!$C$5</f>
        <v>0.01</v>
      </c>
      <c r="L1732" s="160">
        <f>InputData!$C$6</f>
        <v>6.2100000000000002E-2</v>
      </c>
      <c r="M1732" s="160">
        <f>InputData!$C$7</f>
        <v>0.03</v>
      </c>
      <c r="N1732" s="160">
        <f>InputData!$C$8</f>
        <v>0.02</v>
      </c>
      <c r="O1732" s="160">
        <f>InputData!$C$9</f>
        <v>0.06</v>
      </c>
      <c r="P1732" s="160">
        <f>InputData!$C$10</f>
        <v>0.02</v>
      </c>
      <c r="Q1732" s="160">
        <f>InputData!$C$11</f>
        <v>0.02</v>
      </c>
      <c r="R1732" s="160">
        <f>InputData!$C$12</f>
        <v>0.02</v>
      </c>
      <c r="S1732" s="160">
        <f>InputData!$C$13</f>
        <v>0.9</v>
      </c>
      <c r="T1732" s="116">
        <f>InputData!$C$88</f>
        <v>180000</v>
      </c>
      <c r="U1732" s="116">
        <f>InputData!$C$81</f>
        <v>178500</v>
      </c>
      <c r="V1732" s="116">
        <f>InputData!$C$82</f>
        <v>303960</v>
      </c>
      <c r="W1732" s="116">
        <f>InputData!$C$84</f>
        <v>215220</v>
      </c>
      <c r="X1732" s="116">
        <f>InputData!$C$85</f>
        <v>409020</v>
      </c>
      <c r="Y1732" s="116">
        <f>InputData!$C$116</f>
        <v>140000</v>
      </c>
      <c r="Z1732" s="160">
        <f>InputData!$E$13</f>
        <v>0</v>
      </c>
    </row>
    <row r="1733" spans="1:26" x14ac:dyDescent="0.25">
      <c r="A1733">
        <f>InputData!$K$1</f>
        <v>2013</v>
      </c>
      <c r="B1733" t="str">
        <f>InputData!$G$1</f>
        <v>San Antonio, TX</v>
      </c>
      <c r="C1733" t="s">
        <v>227</v>
      </c>
      <c r="D1733" t="str">
        <f>Graph_Ophtha!$P$6</f>
        <v>SELF</v>
      </c>
      <c r="E1733" t="str">
        <f t="shared" si="28"/>
        <v>Ophthalmology SELF</v>
      </c>
      <c r="F1733">
        <f>Graph_Ophtha!A28</f>
        <v>2034</v>
      </c>
      <c r="G1733">
        <f>Graph_Ophtha!B28</f>
        <v>22</v>
      </c>
      <c r="H1733" s="165">
        <f>Graph_Ophtha!P28</f>
        <v>1546319.4022238334</v>
      </c>
      <c r="I1733" s="160">
        <f>InputData!$C$3</f>
        <v>0.02</v>
      </c>
      <c r="J1733" s="160">
        <f>InputData!$C$4</f>
        <v>0.01</v>
      </c>
      <c r="K1733" s="160">
        <f>InputData!$C$5</f>
        <v>0.01</v>
      </c>
      <c r="L1733" s="160">
        <f>InputData!$C$6</f>
        <v>6.2100000000000002E-2</v>
      </c>
      <c r="M1733" s="160">
        <f>InputData!$C$7</f>
        <v>0.03</v>
      </c>
      <c r="N1733" s="160">
        <f>InputData!$C$8</f>
        <v>0.02</v>
      </c>
      <c r="O1733" s="160">
        <f>InputData!$C$9</f>
        <v>0.06</v>
      </c>
      <c r="P1733" s="160">
        <f>InputData!$C$10</f>
        <v>0.02</v>
      </c>
      <c r="Q1733" s="160">
        <f>InputData!$C$11</f>
        <v>0.02</v>
      </c>
      <c r="R1733" s="160">
        <f>InputData!$C$12</f>
        <v>0.02</v>
      </c>
      <c r="S1733" s="160">
        <f>InputData!$C$13</f>
        <v>0.9</v>
      </c>
      <c r="T1733" s="116">
        <f>InputData!$C$88</f>
        <v>180000</v>
      </c>
      <c r="U1733" s="116">
        <f>InputData!$C$81</f>
        <v>178500</v>
      </c>
      <c r="V1733" s="116">
        <f>InputData!$C$82</f>
        <v>303960</v>
      </c>
      <c r="W1733" s="116">
        <f>InputData!$C$84</f>
        <v>215220</v>
      </c>
      <c r="X1733" s="116">
        <f>InputData!$C$85</f>
        <v>409020</v>
      </c>
      <c r="Y1733" s="116">
        <f>InputData!$C$116</f>
        <v>140000</v>
      </c>
      <c r="Z1733" s="160">
        <f>InputData!$E$13</f>
        <v>0</v>
      </c>
    </row>
    <row r="1734" spans="1:26" x14ac:dyDescent="0.25">
      <c r="A1734">
        <f>InputData!$K$1</f>
        <v>2013</v>
      </c>
      <c r="B1734" t="str">
        <f>InputData!$G$1</f>
        <v>San Antonio, TX</v>
      </c>
      <c r="C1734" t="s">
        <v>227</v>
      </c>
      <c r="D1734" t="str">
        <f>Graph_Ophtha!$P$6</f>
        <v>SELF</v>
      </c>
      <c r="E1734" t="str">
        <f t="shared" si="28"/>
        <v>Ophthalmology SELF</v>
      </c>
      <c r="F1734">
        <f>Graph_Ophtha!A29</f>
        <v>2035</v>
      </c>
      <c r="G1734">
        <f>Graph_Ophtha!B29</f>
        <v>23</v>
      </c>
      <c r="H1734" s="165">
        <f>Graph_Ophtha!P29</f>
        <v>1631530.4018480224</v>
      </c>
      <c r="I1734" s="160">
        <f>InputData!$C$3</f>
        <v>0.02</v>
      </c>
      <c r="J1734" s="160">
        <f>InputData!$C$4</f>
        <v>0.01</v>
      </c>
      <c r="K1734" s="160">
        <f>InputData!$C$5</f>
        <v>0.01</v>
      </c>
      <c r="L1734" s="160">
        <f>InputData!$C$6</f>
        <v>6.2100000000000002E-2</v>
      </c>
      <c r="M1734" s="160">
        <f>InputData!$C$7</f>
        <v>0.03</v>
      </c>
      <c r="N1734" s="160">
        <f>InputData!$C$8</f>
        <v>0.02</v>
      </c>
      <c r="O1734" s="160">
        <f>InputData!$C$9</f>
        <v>0.06</v>
      </c>
      <c r="P1734" s="160">
        <f>InputData!$C$10</f>
        <v>0.02</v>
      </c>
      <c r="Q1734" s="160">
        <f>InputData!$C$11</f>
        <v>0.02</v>
      </c>
      <c r="R1734" s="160">
        <f>InputData!$C$12</f>
        <v>0.02</v>
      </c>
      <c r="S1734" s="160">
        <f>InputData!$C$13</f>
        <v>0.9</v>
      </c>
      <c r="T1734" s="116">
        <f>InputData!$C$88</f>
        <v>180000</v>
      </c>
      <c r="U1734" s="116">
        <f>InputData!$C$81</f>
        <v>178500</v>
      </c>
      <c r="V1734" s="116">
        <f>InputData!$C$82</f>
        <v>303960</v>
      </c>
      <c r="W1734" s="116">
        <f>InputData!$C$84</f>
        <v>215220</v>
      </c>
      <c r="X1734" s="116">
        <f>InputData!$C$85</f>
        <v>409020</v>
      </c>
      <c r="Y1734" s="116">
        <f>InputData!$C$116</f>
        <v>140000</v>
      </c>
      <c r="Z1734" s="160">
        <f>InputData!$E$13</f>
        <v>0</v>
      </c>
    </row>
    <row r="1735" spans="1:26" x14ac:dyDescent="0.25">
      <c r="A1735">
        <f>InputData!$K$1</f>
        <v>2013</v>
      </c>
      <c r="B1735" t="str">
        <f>InputData!$G$1</f>
        <v>San Antonio, TX</v>
      </c>
      <c r="C1735" t="s">
        <v>227</v>
      </c>
      <c r="D1735" t="str">
        <f>Graph_Ophtha!$P$6</f>
        <v>SELF</v>
      </c>
      <c r="E1735" t="str">
        <f t="shared" si="28"/>
        <v>Ophthalmology SELF</v>
      </c>
      <c r="F1735">
        <f>Graph_Ophtha!A30</f>
        <v>2036</v>
      </c>
      <c r="G1735">
        <f>Graph_Ophtha!B30</f>
        <v>24</v>
      </c>
      <c r="H1735" s="165">
        <f>Graph_Ophtha!P30</f>
        <v>1715016.7846589235</v>
      </c>
      <c r="I1735" s="160">
        <f>InputData!$C$3</f>
        <v>0.02</v>
      </c>
      <c r="J1735" s="160">
        <f>InputData!$C$4</f>
        <v>0.01</v>
      </c>
      <c r="K1735" s="160">
        <f>InputData!$C$5</f>
        <v>0.01</v>
      </c>
      <c r="L1735" s="160">
        <f>InputData!$C$6</f>
        <v>6.2100000000000002E-2</v>
      </c>
      <c r="M1735" s="160">
        <f>InputData!$C$7</f>
        <v>0.03</v>
      </c>
      <c r="N1735" s="160">
        <f>InputData!$C$8</f>
        <v>0.02</v>
      </c>
      <c r="O1735" s="160">
        <f>InputData!$C$9</f>
        <v>0.06</v>
      </c>
      <c r="P1735" s="160">
        <f>InputData!$C$10</f>
        <v>0.02</v>
      </c>
      <c r="Q1735" s="160">
        <f>InputData!$C$11</f>
        <v>0.02</v>
      </c>
      <c r="R1735" s="160">
        <f>InputData!$C$12</f>
        <v>0.02</v>
      </c>
      <c r="S1735" s="160">
        <f>InputData!$C$13</f>
        <v>0.9</v>
      </c>
      <c r="T1735" s="116">
        <f>InputData!$C$88</f>
        <v>180000</v>
      </c>
      <c r="U1735" s="116">
        <f>InputData!$C$81</f>
        <v>178500</v>
      </c>
      <c r="V1735" s="116">
        <f>InputData!$C$82</f>
        <v>303960</v>
      </c>
      <c r="W1735" s="116">
        <f>InputData!$C$84</f>
        <v>215220</v>
      </c>
      <c r="X1735" s="116">
        <f>InputData!$C$85</f>
        <v>409020</v>
      </c>
      <c r="Y1735" s="116">
        <f>InputData!$C$116</f>
        <v>140000</v>
      </c>
      <c r="Z1735" s="160">
        <f>InputData!$E$13</f>
        <v>0</v>
      </c>
    </row>
    <row r="1736" spans="1:26" x14ac:dyDescent="0.25">
      <c r="A1736">
        <f>InputData!$K$1</f>
        <v>2013</v>
      </c>
      <c r="B1736" t="str">
        <f>InputData!$G$1</f>
        <v>San Antonio, TX</v>
      </c>
      <c r="C1736" t="s">
        <v>227</v>
      </c>
      <c r="D1736" t="str">
        <f>Graph_Ophtha!$P$6</f>
        <v>SELF</v>
      </c>
      <c r="E1736" t="str">
        <f t="shared" si="28"/>
        <v>Ophthalmology SELF</v>
      </c>
      <c r="F1736">
        <f>Graph_Ophtha!A31</f>
        <v>2037</v>
      </c>
      <c r="G1736">
        <f>Graph_Ophtha!B31</f>
        <v>25</v>
      </c>
      <c r="H1736" s="165">
        <f>Graph_Ophtha!P31</f>
        <v>1796813.9340384766</v>
      </c>
      <c r="I1736" s="160">
        <f>InputData!$C$3</f>
        <v>0.02</v>
      </c>
      <c r="J1736" s="160">
        <f>InputData!$C$4</f>
        <v>0.01</v>
      </c>
      <c r="K1736" s="160">
        <f>InputData!$C$5</f>
        <v>0.01</v>
      </c>
      <c r="L1736" s="160">
        <f>InputData!$C$6</f>
        <v>6.2100000000000002E-2</v>
      </c>
      <c r="M1736" s="160">
        <f>InputData!$C$7</f>
        <v>0.03</v>
      </c>
      <c r="N1736" s="160">
        <f>InputData!$C$8</f>
        <v>0.02</v>
      </c>
      <c r="O1736" s="160">
        <f>InputData!$C$9</f>
        <v>0.06</v>
      </c>
      <c r="P1736" s="160">
        <f>InputData!$C$10</f>
        <v>0.02</v>
      </c>
      <c r="Q1736" s="160">
        <f>InputData!$C$11</f>
        <v>0.02</v>
      </c>
      <c r="R1736" s="160">
        <f>InputData!$C$12</f>
        <v>0.02</v>
      </c>
      <c r="S1736" s="160">
        <f>InputData!$C$13</f>
        <v>0.9</v>
      </c>
      <c r="T1736" s="116">
        <f>InputData!$C$88</f>
        <v>180000</v>
      </c>
      <c r="U1736" s="116">
        <f>InputData!$C$81</f>
        <v>178500</v>
      </c>
      <c r="V1736" s="116">
        <f>InputData!$C$82</f>
        <v>303960</v>
      </c>
      <c r="W1736" s="116">
        <f>InputData!$C$84</f>
        <v>215220</v>
      </c>
      <c r="X1736" s="116">
        <f>InputData!$C$85</f>
        <v>409020</v>
      </c>
      <c r="Y1736" s="116">
        <f>InputData!$C$116</f>
        <v>140000</v>
      </c>
      <c r="Z1736" s="160">
        <f>InputData!$E$13</f>
        <v>0</v>
      </c>
    </row>
    <row r="1737" spans="1:26" x14ac:dyDescent="0.25">
      <c r="A1737">
        <f>InputData!$K$1</f>
        <v>2013</v>
      </c>
      <c r="B1737" t="str">
        <f>InputData!$G$1</f>
        <v>San Antonio, TX</v>
      </c>
      <c r="C1737" t="s">
        <v>227</v>
      </c>
      <c r="D1737" t="str">
        <f>Graph_Ophtha!$P$6</f>
        <v>SELF</v>
      </c>
      <c r="E1737" t="str">
        <f t="shared" si="28"/>
        <v>Ophthalmology SELF</v>
      </c>
      <c r="F1737">
        <f>Graph_Ophtha!A32</f>
        <v>2038</v>
      </c>
      <c r="G1737">
        <f>Graph_Ophtha!B32</f>
        <v>26</v>
      </c>
      <c r="H1737" s="165">
        <f>Graph_Ophtha!P32</f>
        <v>1876956.4939253819</v>
      </c>
      <c r="I1737" s="160">
        <f>InputData!$C$3</f>
        <v>0.02</v>
      </c>
      <c r="J1737" s="160">
        <f>InputData!$C$4</f>
        <v>0.01</v>
      </c>
      <c r="K1737" s="160">
        <f>InputData!$C$5</f>
        <v>0.01</v>
      </c>
      <c r="L1737" s="160">
        <f>InputData!$C$6</f>
        <v>6.2100000000000002E-2</v>
      </c>
      <c r="M1737" s="160">
        <f>InputData!$C$7</f>
        <v>0.03</v>
      </c>
      <c r="N1737" s="160">
        <f>InputData!$C$8</f>
        <v>0.02</v>
      </c>
      <c r="O1737" s="160">
        <f>InputData!$C$9</f>
        <v>0.06</v>
      </c>
      <c r="P1737" s="160">
        <f>InputData!$C$10</f>
        <v>0.02</v>
      </c>
      <c r="Q1737" s="160">
        <f>InputData!$C$11</f>
        <v>0.02</v>
      </c>
      <c r="R1737" s="160">
        <f>InputData!$C$12</f>
        <v>0.02</v>
      </c>
      <c r="S1737" s="160">
        <f>InputData!$C$13</f>
        <v>0.9</v>
      </c>
      <c r="T1737" s="116">
        <f>InputData!$C$88</f>
        <v>180000</v>
      </c>
      <c r="U1737" s="116">
        <f>InputData!$C$81</f>
        <v>178500</v>
      </c>
      <c r="V1737" s="116">
        <f>InputData!$C$82</f>
        <v>303960</v>
      </c>
      <c r="W1737" s="116">
        <f>InputData!$C$84</f>
        <v>215220</v>
      </c>
      <c r="X1737" s="116">
        <f>InputData!$C$85</f>
        <v>409020</v>
      </c>
      <c r="Y1737" s="116">
        <f>InputData!$C$116</f>
        <v>140000</v>
      </c>
      <c r="Z1737" s="160">
        <f>InputData!$E$13</f>
        <v>0</v>
      </c>
    </row>
    <row r="1738" spans="1:26" x14ac:dyDescent="0.25">
      <c r="A1738">
        <f>InputData!$K$1</f>
        <v>2013</v>
      </c>
      <c r="B1738" t="str">
        <f>InputData!$G$1</f>
        <v>San Antonio, TX</v>
      </c>
      <c r="C1738" t="s">
        <v>227</v>
      </c>
      <c r="D1738" t="str">
        <f>Graph_Ophtha!$P$6</f>
        <v>SELF</v>
      </c>
      <c r="E1738" t="str">
        <f t="shared" si="28"/>
        <v>Ophthalmology SELF</v>
      </c>
      <c r="F1738">
        <f>Graph_Ophtha!A33</f>
        <v>2039</v>
      </c>
      <c r="G1738">
        <f>Graph_Ophtha!B33</f>
        <v>27</v>
      </c>
      <c r="H1738" s="165">
        <f>Graph_Ophtha!P33</f>
        <v>1955478.3846436406</v>
      </c>
      <c r="I1738" s="160">
        <f>InputData!$C$3</f>
        <v>0.02</v>
      </c>
      <c r="J1738" s="160">
        <f>InputData!$C$4</f>
        <v>0.01</v>
      </c>
      <c r="K1738" s="160">
        <f>InputData!$C$5</f>
        <v>0.01</v>
      </c>
      <c r="L1738" s="160">
        <f>InputData!$C$6</f>
        <v>6.2100000000000002E-2</v>
      </c>
      <c r="M1738" s="160">
        <f>InputData!$C$7</f>
        <v>0.03</v>
      </c>
      <c r="N1738" s="160">
        <f>InputData!$C$8</f>
        <v>0.02</v>
      </c>
      <c r="O1738" s="160">
        <f>InputData!$C$9</f>
        <v>0.06</v>
      </c>
      <c r="P1738" s="160">
        <f>InputData!$C$10</f>
        <v>0.02</v>
      </c>
      <c r="Q1738" s="160">
        <f>InputData!$C$11</f>
        <v>0.02</v>
      </c>
      <c r="R1738" s="160">
        <f>InputData!$C$12</f>
        <v>0.02</v>
      </c>
      <c r="S1738" s="160">
        <f>InputData!$C$13</f>
        <v>0.9</v>
      </c>
      <c r="T1738" s="116">
        <f>InputData!$C$88</f>
        <v>180000</v>
      </c>
      <c r="U1738" s="116">
        <f>InputData!$C$81</f>
        <v>178500</v>
      </c>
      <c r="V1738" s="116">
        <f>InputData!$C$82</f>
        <v>303960</v>
      </c>
      <c r="W1738" s="116">
        <f>InputData!$C$84</f>
        <v>215220</v>
      </c>
      <c r="X1738" s="116">
        <f>InputData!$C$85</f>
        <v>409020</v>
      </c>
      <c r="Y1738" s="116">
        <f>InputData!$C$116</f>
        <v>140000</v>
      </c>
      <c r="Z1738" s="160">
        <f>InputData!$E$13</f>
        <v>0</v>
      </c>
    </row>
    <row r="1739" spans="1:26" x14ac:dyDescent="0.25">
      <c r="A1739">
        <f>InputData!$K$1</f>
        <v>2013</v>
      </c>
      <c r="B1739" t="str">
        <f>InputData!$G$1</f>
        <v>San Antonio, TX</v>
      </c>
      <c r="C1739" t="s">
        <v>227</v>
      </c>
      <c r="D1739" t="str">
        <f>Graph_Ophtha!$P$6</f>
        <v>SELF</v>
      </c>
      <c r="E1739" t="str">
        <f t="shared" si="28"/>
        <v>Ophthalmology SELF</v>
      </c>
      <c r="F1739">
        <f>Graph_Ophtha!A34</f>
        <v>2040</v>
      </c>
      <c r="G1739">
        <f>Graph_Ophtha!B34</f>
        <v>28</v>
      </c>
      <c r="H1739" s="165">
        <f>Graph_Ophtha!P34</f>
        <v>2032412.8183820045</v>
      </c>
      <c r="I1739" s="160">
        <f>InputData!$C$3</f>
        <v>0.02</v>
      </c>
      <c r="J1739" s="160">
        <f>InputData!$C$4</f>
        <v>0.01</v>
      </c>
      <c r="K1739" s="160">
        <f>InputData!$C$5</f>
        <v>0.01</v>
      </c>
      <c r="L1739" s="160">
        <f>InputData!$C$6</f>
        <v>6.2100000000000002E-2</v>
      </c>
      <c r="M1739" s="160">
        <f>InputData!$C$7</f>
        <v>0.03</v>
      </c>
      <c r="N1739" s="160">
        <f>InputData!$C$8</f>
        <v>0.02</v>
      </c>
      <c r="O1739" s="160">
        <f>InputData!$C$9</f>
        <v>0.06</v>
      </c>
      <c r="P1739" s="160">
        <f>InputData!$C$10</f>
        <v>0.02</v>
      </c>
      <c r="Q1739" s="160">
        <f>InputData!$C$11</f>
        <v>0.02</v>
      </c>
      <c r="R1739" s="160">
        <f>InputData!$C$12</f>
        <v>0.02</v>
      </c>
      <c r="S1739" s="160">
        <f>InputData!$C$13</f>
        <v>0.9</v>
      </c>
      <c r="T1739" s="116">
        <f>InputData!$C$88</f>
        <v>180000</v>
      </c>
      <c r="U1739" s="116">
        <f>InputData!$C$81</f>
        <v>178500</v>
      </c>
      <c r="V1739" s="116">
        <f>InputData!$C$82</f>
        <v>303960</v>
      </c>
      <c r="W1739" s="116">
        <f>InputData!$C$84</f>
        <v>215220</v>
      </c>
      <c r="X1739" s="116">
        <f>InputData!$C$85</f>
        <v>409020</v>
      </c>
      <c r="Y1739" s="116">
        <f>InputData!$C$116</f>
        <v>140000</v>
      </c>
      <c r="Z1739" s="160">
        <f>InputData!$E$13</f>
        <v>0</v>
      </c>
    </row>
    <row r="1740" spans="1:26" x14ac:dyDescent="0.25">
      <c r="A1740">
        <f>InputData!$K$1</f>
        <v>2013</v>
      </c>
      <c r="B1740" t="str">
        <f>InputData!$G$1</f>
        <v>San Antonio, TX</v>
      </c>
      <c r="C1740" s="8" t="s">
        <v>227</v>
      </c>
      <c r="D1740" t="str">
        <f>Graph_Ophtha!$P$6</f>
        <v>SELF</v>
      </c>
      <c r="E1740" t="str">
        <f t="shared" si="28"/>
        <v>Ophthalmology SELF</v>
      </c>
      <c r="F1740">
        <f>Graph_Ophtha!A35</f>
        <v>2041</v>
      </c>
      <c r="G1740">
        <f>Graph_Ophtha!B35</f>
        <v>29</v>
      </c>
      <c r="H1740" s="165">
        <f>Graph_Ophtha!P35</f>
        <v>2107792.3143323064</v>
      </c>
      <c r="I1740" s="160">
        <f>InputData!$C$3</f>
        <v>0.02</v>
      </c>
      <c r="J1740" s="160">
        <f>InputData!$C$4</f>
        <v>0.01</v>
      </c>
      <c r="K1740" s="160">
        <f>InputData!$C$5</f>
        <v>0.01</v>
      </c>
      <c r="L1740" s="160">
        <f>InputData!$C$6</f>
        <v>6.2100000000000002E-2</v>
      </c>
      <c r="M1740" s="160">
        <f>InputData!$C$7</f>
        <v>0.03</v>
      </c>
      <c r="N1740" s="160">
        <f>InputData!$C$8</f>
        <v>0.02</v>
      </c>
      <c r="O1740" s="160">
        <f>InputData!$C$9</f>
        <v>0.06</v>
      </c>
      <c r="P1740" s="160">
        <f>InputData!$C$10</f>
        <v>0.02</v>
      </c>
      <c r="Q1740" s="160">
        <f>InputData!$C$11</f>
        <v>0.02</v>
      </c>
      <c r="R1740" s="160">
        <f>InputData!$C$12</f>
        <v>0.02</v>
      </c>
      <c r="S1740" s="160">
        <f>InputData!$C$13</f>
        <v>0.9</v>
      </c>
      <c r="T1740" s="116">
        <f>InputData!$C$88</f>
        <v>180000</v>
      </c>
      <c r="U1740" s="116">
        <f>InputData!$C$81</f>
        <v>178500</v>
      </c>
      <c r="V1740" s="116">
        <f>InputData!$C$82</f>
        <v>303960</v>
      </c>
      <c r="W1740" s="116">
        <f>InputData!$C$84</f>
        <v>215220</v>
      </c>
      <c r="X1740" s="116">
        <f>InputData!$C$85</f>
        <v>409020</v>
      </c>
      <c r="Y1740" s="116">
        <f>InputData!$C$116</f>
        <v>140000</v>
      </c>
      <c r="Z1740" s="160">
        <f>InputData!$E$13</f>
        <v>0</v>
      </c>
    </row>
    <row r="1741" spans="1:26" x14ac:dyDescent="0.25">
      <c r="A1741">
        <f>InputData!$K$1</f>
        <v>2013</v>
      </c>
      <c r="B1741" t="str">
        <f>InputData!$G$1</f>
        <v>San Antonio, TX</v>
      </c>
      <c r="C1741" s="8" t="s">
        <v>227</v>
      </c>
      <c r="D1741" t="str">
        <f>Graph_Ophtha!$P$6</f>
        <v>SELF</v>
      </c>
      <c r="E1741" t="str">
        <f t="shared" si="28"/>
        <v>Ophthalmology SELF</v>
      </c>
      <c r="F1741">
        <f>Graph_Ophtha!A36</f>
        <v>2042</v>
      </c>
      <c r="G1741">
        <f>Graph_Ophtha!B36</f>
        <v>30</v>
      </c>
      <c r="H1741" s="165">
        <f>Graph_Ophtha!P36</f>
        <v>2181648.7134944568</v>
      </c>
      <c r="I1741" s="160">
        <f>InputData!$C$3</f>
        <v>0.02</v>
      </c>
      <c r="J1741" s="160">
        <f>InputData!$C$4</f>
        <v>0.01</v>
      </c>
      <c r="K1741" s="160">
        <f>InputData!$C$5</f>
        <v>0.01</v>
      </c>
      <c r="L1741" s="160">
        <f>InputData!$C$6</f>
        <v>6.2100000000000002E-2</v>
      </c>
      <c r="M1741" s="160">
        <f>InputData!$C$7</f>
        <v>0.03</v>
      </c>
      <c r="N1741" s="160">
        <f>InputData!$C$8</f>
        <v>0.02</v>
      </c>
      <c r="O1741" s="160">
        <f>InputData!$C$9</f>
        <v>0.06</v>
      </c>
      <c r="P1741" s="160">
        <f>InputData!$C$10</f>
        <v>0.02</v>
      </c>
      <c r="Q1741" s="160">
        <f>InputData!$C$11</f>
        <v>0.02</v>
      </c>
      <c r="R1741" s="160">
        <f>InputData!$C$12</f>
        <v>0.02</v>
      </c>
      <c r="S1741" s="160">
        <f>InputData!$C$13</f>
        <v>0.9</v>
      </c>
      <c r="T1741" s="116">
        <f>InputData!$C$88</f>
        <v>180000</v>
      </c>
      <c r="U1741" s="116">
        <f>InputData!$C$81</f>
        <v>178500</v>
      </c>
      <c r="V1741" s="116">
        <f>InputData!$C$82</f>
        <v>303960</v>
      </c>
      <c r="W1741" s="116">
        <f>InputData!$C$84</f>
        <v>215220</v>
      </c>
      <c r="X1741" s="116">
        <f>InputData!$C$85</f>
        <v>409020</v>
      </c>
      <c r="Y1741" s="116">
        <f>InputData!$C$116</f>
        <v>140000</v>
      </c>
      <c r="Z1741" s="160">
        <f>InputData!$E$13</f>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4:BH39"/>
  <sheetViews>
    <sheetView topLeftCell="A46" workbookViewId="0">
      <selection activeCell="I24" sqref="I24"/>
    </sheetView>
  </sheetViews>
  <sheetFormatPr defaultRowHeight="15" x14ac:dyDescent="0.25"/>
  <cols>
    <col min="2" max="2" width="10.7109375" bestFit="1" customWidth="1"/>
    <col min="3" max="3" width="14.28515625" bestFit="1" customWidth="1"/>
    <col min="4" max="4" width="9.28515625" bestFit="1" customWidth="1"/>
    <col min="5" max="5" width="10" bestFit="1" customWidth="1"/>
    <col min="6" max="6" width="9.42578125" bestFit="1" customWidth="1"/>
    <col min="7" max="10" width="9.28515625" bestFit="1" customWidth="1"/>
    <col min="11" max="11" width="14.42578125" bestFit="1" customWidth="1"/>
    <col min="12" max="12" width="15.85546875" bestFit="1" customWidth="1"/>
    <col min="13" max="13" width="14.28515625" bestFit="1" customWidth="1"/>
    <col min="14" max="14" width="11.28515625" customWidth="1"/>
    <col min="15" max="15" width="14.42578125" bestFit="1" customWidth="1"/>
    <col min="16" max="16" width="15.85546875" bestFit="1" customWidth="1"/>
    <col min="17" max="17" width="14.28515625" bestFit="1" customWidth="1"/>
    <col min="18" max="18" width="11.28515625" customWidth="1"/>
    <col min="19" max="19" width="14.42578125" bestFit="1" customWidth="1"/>
    <col min="20" max="20" width="15.85546875" bestFit="1" customWidth="1"/>
    <col min="21" max="21" width="14.28515625" bestFit="1" customWidth="1"/>
    <col min="22" max="22" width="11.28515625" customWidth="1"/>
    <col min="23" max="23" width="15.85546875" bestFit="1" customWidth="1"/>
    <col min="24" max="24" width="14.42578125" bestFit="1" customWidth="1"/>
    <col min="25" max="25" width="15.85546875" bestFit="1" customWidth="1"/>
    <col min="26" max="26" width="14.28515625" bestFit="1" customWidth="1"/>
    <col min="27" max="27" width="11.28515625" customWidth="1"/>
    <col min="28" max="28" width="14.42578125" bestFit="1" customWidth="1"/>
    <col min="29" max="29" width="15.85546875" bestFit="1" customWidth="1"/>
    <col min="30" max="30" width="14.28515625" bestFit="1" customWidth="1"/>
    <col min="31" max="31" width="11.28515625" customWidth="1"/>
    <col min="32" max="32" width="15.85546875" bestFit="1" customWidth="1"/>
    <col min="33" max="33" width="14.42578125" bestFit="1" customWidth="1"/>
    <col min="34" max="34" width="15.85546875" bestFit="1" customWidth="1"/>
    <col min="35" max="35" width="14.28515625" bestFit="1" customWidth="1"/>
    <col min="36" max="36" width="11.28515625" customWidth="1"/>
    <col min="37" max="37" width="14.42578125" bestFit="1" customWidth="1"/>
    <col min="38" max="38" width="15.85546875" bestFit="1" customWidth="1"/>
    <col min="39" max="39" width="14.28515625" bestFit="1" customWidth="1"/>
    <col min="40" max="40" width="11.28515625" customWidth="1"/>
    <col min="41" max="41" width="14.42578125" bestFit="1" customWidth="1"/>
    <col min="42" max="42" width="15.85546875" bestFit="1" customWidth="1"/>
    <col min="43" max="43" width="14.28515625" bestFit="1" customWidth="1"/>
    <col min="44" max="44" width="11.28515625" customWidth="1"/>
    <col min="45" max="45" width="14.42578125" bestFit="1" customWidth="1"/>
    <col min="46" max="46" width="15.85546875" bestFit="1" customWidth="1"/>
    <col min="47" max="47" width="14.28515625" bestFit="1" customWidth="1"/>
    <col min="48" max="48" width="11.28515625" customWidth="1"/>
    <col min="49" max="49" width="14.42578125" bestFit="1" customWidth="1"/>
    <col min="50" max="50" width="15.85546875" bestFit="1" customWidth="1"/>
    <col min="51" max="51" width="14.28515625" bestFit="1" customWidth="1"/>
    <col min="52" max="52" width="11.28515625" customWidth="1"/>
    <col min="53" max="53" width="14.42578125" bestFit="1" customWidth="1"/>
    <col min="54" max="54" width="15.85546875" bestFit="1" customWidth="1"/>
    <col min="55" max="55" width="14.28515625" bestFit="1" customWidth="1"/>
    <col min="56" max="56" width="11.28515625" customWidth="1"/>
    <col min="57" max="57" width="14.42578125" bestFit="1" customWidth="1"/>
    <col min="58" max="58" width="15.85546875" bestFit="1" customWidth="1"/>
    <col min="59" max="59" width="14.28515625" bestFit="1" customWidth="1"/>
    <col min="60" max="60" width="11.28515625" customWidth="1"/>
    <col min="61" max="61" width="12.7109375" bestFit="1" customWidth="1"/>
    <col min="62" max="62" width="14.42578125" bestFit="1" customWidth="1"/>
    <col min="63" max="63" width="15.85546875" bestFit="1" customWidth="1"/>
    <col min="64" max="64" width="14.28515625" bestFit="1" customWidth="1"/>
    <col min="65" max="66" width="12" bestFit="1" customWidth="1"/>
    <col min="67" max="67" width="14.42578125" bestFit="1" customWidth="1"/>
    <col min="68" max="68" width="15.85546875" bestFit="1" customWidth="1"/>
    <col min="69" max="69" width="14.28515625" bestFit="1" customWidth="1"/>
    <col min="70" max="70" width="12" bestFit="1" customWidth="1"/>
    <col min="71" max="71" width="12.5703125" bestFit="1" customWidth="1"/>
    <col min="72" max="72" width="14.42578125" bestFit="1" customWidth="1"/>
    <col min="73" max="73" width="15.85546875" bestFit="1" customWidth="1"/>
    <col min="74" max="74" width="14.28515625" bestFit="1" customWidth="1"/>
    <col min="75" max="76" width="12" bestFit="1" customWidth="1"/>
    <col min="77" max="77" width="12.7109375" bestFit="1" customWidth="1"/>
  </cols>
  <sheetData>
    <row r="4" spans="2:60" x14ac:dyDescent="0.3">
      <c r="B4" s="167" t="s">
        <v>399</v>
      </c>
      <c r="C4" s="53" t="s">
        <v>48</v>
      </c>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row>
    <row r="5" spans="2:60" x14ac:dyDescent="0.3">
      <c r="B5" s="167" t="s">
        <v>400</v>
      </c>
      <c r="C5" s="53" t="s">
        <v>405</v>
      </c>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row>
    <row r="6" spans="2:60" x14ac:dyDescent="0.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row>
    <row r="7" spans="2:60" x14ac:dyDescent="0.3">
      <c r="B7" s="167" t="s">
        <v>411</v>
      </c>
      <c r="C7" s="167" t="s">
        <v>404</v>
      </c>
      <c r="D7" s="53"/>
      <c r="E7" s="53"/>
      <c r="F7" s="53"/>
      <c r="G7" s="53"/>
      <c r="H7" s="53"/>
      <c r="I7" s="53"/>
      <c r="J7" s="53"/>
    </row>
    <row r="8" spans="2:60" x14ac:dyDescent="0.3">
      <c r="B8" s="53"/>
      <c r="C8" s="53" t="s">
        <v>7</v>
      </c>
      <c r="D8" s="53" t="s">
        <v>251</v>
      </c>
      <c r="E8" s="53" t="s">
        <v>229</v>
      </c>
      <c r="F8" s="53" t="s">
        <v>228</v>
      </c>
      <c r="G8" s="53" t="s">
        <v>394</v>
      </c>
      <c r="H8" s="53" t="s">
        <v>8</v>
      </c>
      <c r="I8" s="53" t="s">
        <v>250</v>
      </c>
      <c r="J8" s="53" t="s">
        <v>408</v>
      </c>
    </row>
    <row r="9" spans="2:60" x14ac:dyDescent="0.3">
      <c r="B9" s="167" t="s">
        <v>403</v>
      </c>
      <c r="C9" s="53" t="s">
        <v>177</v>
      </c>
      <c r="D9" s="53" t="s">
        <v>177</v>
      </c>
      <c r="E9" s="53" t="s">
        <v>177</v>
      </c>
      <c r="F9" s="53" t="s">
        <v>177</v>
      </c>
      <c r="G9" s="53" t="s">
        <v>177</v>
      </c>
      <c r="H9" s="53" t="s">
        <v>177</v>
      </c>
      <c r="I9" s="53" t="s">
        <v>177</v>
      </c>
      <c r="J9" s="53" t="s">
        <v>177</v>
      </c>
    </row>
    <row r="10" spans="2:60" x14ac:dyDescent="0.3">
      <c r="B10" s="168">
        <v>1</v>
      </c>
      <c r="C10" s="5">
        <v>41042.997114989732</v>
      </c>
      <c r="D10" s="5">
        <v>41042.997114989732</v>
      </c>
      <c r="E10" s="5">
        <v>41042.997114989732</v>
      </c>
      <c r="F10" s="5">
        <v>52525.686799999996</v>
      </c>
      <c r="G10" s="5">
        <v>-43015.05</v>
      </c>
      <c r="H10" s="5">
        <v>52525.686799999996</v>
      </c>
      <c r="I10" s="5">
        <v>52525.686799999996</v>
      </c>
      <c r="J10" s="5">
        <v>0</v>
      </c>
    </row>
    <row r="11" spans="2:60" x14ac:dyDescent="0.3">
      <c r="B11" s="168">
        <v>2</v>
      </c>
      <c r="C11" s="5">
        <v>65715.375570480697</v>
      </c>
      <c r="D11" s="5">
        <v>65715.375570480697</v>
      </c>
      <c r="E11" s="5">
        <v>65715.375570480697</v>
      </c>
      <c r="F11" s="5">
        <v>103045.21008954883</v>
      </c>
      <c r="G11" s="5">
        <v>-86352.285865219877</v>
      </c>
      <c r="H11" s="5">
        <v>103045.21008954883</v>
      </c>
      <c r="I11" s="5">
        <v>103045.21008954883</v>
      </c>
      <c r="J11" s="5">
        <v>0</v>
      </c>
    </row>
    <row r="12" spans="2:60" x14ac:dyDescent="0.3">
      <c r="B12" s="168">
        <v>3</v>
      </c>
      <c r="C12" s="5">
        <v>89584.222784524245</v>
      </c>
      <c r="D12" s="5">
        <v>89584.222784524245</v>
      </c>
      <c r="E12" s="5">
        <v>89584.222784524245</v>
      </c>
      <c r="F12" s="5">
        <v>152565.98092317433</v>
      </c>
      <c r="G12" s="5">
        <v>-138541.19578403595</v>
      </c>
      <c r="H12" s="5">
        <v>152565.98092317433</v>
      </c>
      <c r="I12" s="5">
        <v>152565.98092317433</v>
      </c>
      <c r="J12" s="5">
        <v>0</v>
      </c>
    </row>
    <row r="13" spans="2:60" x14ac:dyDescent="0.3">
      <c r="B13" s="168">
        <v>4</v>
      </c>
      <c r="C13" s="5">
        <v>113201.76547692725</v>
      </c>
      <c r="D13" s="5">
        <v>113201.76547692725</v>
      </c>
      <c r="E13" s="5">
        <v>113201.76547692725</v>
      </c>
      <c r="F13" s="5">
        <v>204951.40008844491</v>
      </c>
      <c r="G13" s="5">
        <v>-190867.38028908212</v>
      </c>
      <c r="H13" s="5">
        <v>204951.40008844491</v>
      </c>
      <c r="I13" s="5">
        <v>204951.40008844491</v>
      </c>
      <c r="J13" s="5">
        <v>0</v>
      </c>
    </row>
    <row r="14" spans="2:60" x14ac:dyDescent="0.3">
      <c r="B14" s="168">
        <v>5</v>
      </c>
      <c r="C14" s="5">
        <v>172355.01813676453</v>
      </c>
      <c r="D14" s="5">
        <v>172355.01813676453</v>
      </c>
      <c r="E14" s="5">
        <v>172355.01813676453</v>
      </c>
      <c r="F14" s="5">
        <v>264104.65274828218</v>
      </c>
      <c r="G14" s="5">
        <v>-169241.36987416679</v>
      </c>
      <c r="H14" s="5">
        <v>264104.65274828218</v>
      </c>
      <c r="I14" s="5">
        <v>264104.65274828218</v>
      </c>
      <c r="J14" s="5">
        <v>33588.865466099727</v>
      </c>
    </row>
    <row r="15" spans="2:60" x14ac:dyDescent="0.3">
      <c r="B15" s="168">
        <v>6</v>
      </c>
      <c r="C15" s="5">
        <v>231206.76875199139</v>
      </c>
      <c r="D15" s="5">
        <v>231206.76875199139</v>
      </c>
      <c r="E15" s="5">
        <v>231206.76875199139</v>
      </c>
      <c r="F15" s="5">
        <v>322956.40336350905</v>
      </c>
      <c r="G15" s="5">
        <v>-158404.5549729077</v>
      </c>
      <c r="H15" s="5">
        <v>322956.40336350905</v>
      </c>
      <c r="I15" s="5">
        <v>322956.40336350905</v>
      </c>
      <c r="J15" s="5">
        <v>67199.057582634647</v>
      </c>
    </row>
    <row r="16" spans="2:60" x14ac:dyDescent="0.3">
      <c r="B16" s="168">
        <v>7</v>
      </c>
      <c r="C16" s="5">
        <v>290708.52795933932</v>
      </c>
      <c r="D16" s="5">
        <v>290708.52795933932</v>
      </c>
      <c r="E16" s="5">
        <v>290708.52795933932</v>
      </c>
      <c r="F16" s="5">
        <v>382458.16257085698</v>
      </c>
      <c r="G16" s="5">
        <v>-146441.25737997922</v>
      </c>
      <c r="H16" s="5">
        <v>382458.16257085698</v>
      </c>
      <c r="I16" s="5">
        <v>382458.16257085698</v>
      </c>
      <c r="J16" s="5">
        <v>100838.89926015845</v>
      </c>
    </row>
    <row r="17" spans="2:10" x14ac:dyDescent="0.3">
      <c r="B17" s="168">
        <v>8</v>
      </c>
      <c r="C17" s="5">
        <v>349825.65045436658</v>
      </c>
      <c r="D17" s="5">
        <v>349825.65045436658</v>
      </c>
      <c r="E17" s="5">
        <v>349825.65045436658</v>
      </c>
      <c r="F17" s="5">
        <v>441575.28506588424</v>
      </c>
      <c r="G17" s="5">
        <v>-133396.14329882836</v>
      </c>
      <c r="H17" s="5">
        <v>441575.28506588424</v>
      </c>
      <c r="I17" s="5">
        <v>441575.28506588424</v>
      </c>
      <c r="J17" s="5">
        <v>134516.55101939355</v>
      </c>
    </row>
    <row r="18" spans="2:10" x14ac:dyDescent="0.3">
      <c r="B18" s="168">
        <v>9</v>
      </c>
      <c r="C18" s="5">
        <v>408904.59985710343</v>
      </c>
      <c r="D18" s="5">
        <v>408904.59985710343</v>
      </c>
      <c r="E18" s="5">
        <v>408904.59985710343</v>
      </c>
      <c r="F18" s="5">
        <v>500654.23446862109</v>
      </c>
      <c r="G18" s="5">
        <v>-119311.49158581435</v>
      </c>
      <c r="H18" s="5">
        <v>500654.23446862109</v>
      </c>
      <c r="I18" s="5">
        <v>500654.23446862109</v>
      </c>
      <c r="J18" s="5">
        <v>168240.01643703756</v>
      </c>
    </row>
    <row r="19" spans="2:10" x14ac:dyDescent="0.3">
      <c r="B19" s="168">
        <v>10</v>
      </c>
      <c r="C19" s="5">
        <v>471953.95108422253</v>
      </c>
      <c r="D19" s="5">
        <v>471953.95108422253</v>
      </c>
      <c r="E19" s="5">
        <v>471953.95108422253</v>
      </c>
      <c r="F19" s="5">
        <v>563703.58569574018</v>
      </c>
      <c r="G19" s="5">
        <v>54482.279533898298</v>
      </c>
      <c r="H19" s="5">
        <v>563703.58569574018</v>
      </c>
      <c r="I19" s="5">
        <v>563703.58569574018</v>
      </c>
      <c r="J19" s="5">
        <v>360726.73797044711</v>
      </c>
    </row>
    <row r="20" spans="2:10" x14ac:dyDescent="0.3">
      <c r="B20" s="168">
        <v>11</v>
      </c>
      <c r="C20" s="5">
        <v>541327.20941598632</v>
      </c>
      <c r="D20" s="5">
        <v>541327.20941598632</v>
      </c>
      <c r="E20" s="5">
        <v>541327.20941598632</v>
      </c>
      <c r="F20" s="5">
        <v>633076.84402750398</v>
      </c>
      <c r="G20" s="5">
        <v>223569.94900884677</v>
      </c>
      <c r="H20" s="5">
        <v>633076.84402750398</v>
      </c>
      <c r="I20" s="5">
        <v>633076.84402750398</v>
      </c>
      <c r="J20" s="5">
        <v>547607.05013880588</v>
      </c>
    </row>
    <row r="21" spans="2:10" x14ac:dyDescent="0.3">
      <c r="B21" s="168">
        <v>12</v>
      </c>
      <c r="C21" s="5">
        <v>608078.02384247107</v>
      </c>
      <c r="D21" s="5">
        <v>608078.02384247107</v>
      </c>
      <c r="E21" s="5">
        <v>608078.02384247107</v>
      </c>
      <c r="F21" s="5">
        <v>699827.65845398873</v>
      </c>
      <c r="G21" s="5">
        <v>389851.4948614522</v>
      </c>
      <c r="H21" s="5">
        <v>699827.65845398873</v>
      </c>
      <c r="I21" s="5">
        <v>699827.65845398873</v>
      </c>
      <c r="J21" s="5">
        <v>730824.29244430526</v>
      </c>
    </row>
    <row r="22" spans="2:10" x14ac:dyDescent="0.3">
      <c r="B22" s="168">
        <v>13</v>
      </c>
      <c r="C22" s="5">
        <v>673597.37306204333</v>
      </c>
      <c r="D22" s="5">
        <v>673597.37306204333</v>
      </c>
      <c r="E22" s="5">
        <v>673597.37306204333</v>
      </c>
      <c r="F22" s="5">
        <v>765347.00767356099</v>
      </c>
      <c r="G22" s="5">
        <v>553357.43252090481</v>
      </c>
      <c r="H22" s="5">
        <v>765347.00767356099</v>
      </c>
      <c r="I22" s="5">
        <v>765347.00767356099</v>
      </c>
      <c r="J22" s="5">
        <v>910450.25337892817</v>
      </c>
    </row>
    <row r="23" spans="2:10" x14ac:dyDescent="0.3">
      <c r="B23" s="168">
        <v>14</v>
      </c>
      <c r="C23" s="5">
        <v>773630.78206361749</v>
      </c>
      <c r="D23" s="5">
        <v>832079.91047086322</v>
      </c>
      <c r="E23" s="5">
        <v>773630.78206361749</v>
      </c>
      <c r="F23" s="5">
        <v>828389.49004259263</v>
      </c>
      <c r="G23" s="5">
        <v>714118.85869195696</v>
      </c>
      <c r="H23" s="5">
        <v>828389.49004259263</v>
      </c>
      <c r="I23" s="5">
        <v>828389.49004259263</v>
      </c>
      <c r="J23" s="5">
        <v>1086555.3148775743</v>
      </c>
    </row>
    <row r="24" spans="2:10" x14ac:dyDescent="0.3">
      <c r="B24" s="168">
        <v>15</v>
      </c>
      <c r="C24" s="5">
        <v>871850.45654646866</v>
      </c>
      <c r="D24" s="5">
        <v>987456.09105822339</v>
      </c>
      <c r="E24" s="5">
        <v>871850.45654646866</v>
      </c>
      <c r="F24" s="5">
        <v>890951.83217297471</v>
      </c>
      <c r="G24" s="5">
        <v>879469.7034224011</v>
      </c>
      <c r="H24" s="5">
        <v>890951.83217297471</v>
      </c>
      <c r="I24" s="5">
        <v>890951.83217297471</v>
      </c>
      <c r="J24" s="5">
        <v>1259208.4798667249</v>
      </c>
    </row>
    <row r="25" spans="2:10" x14ac:dyDescent="0.3">
      <c r="B25" s="168">
        <v>16</v>
      </c>
      <c r="C25" s="5">
        <v>966279.93883621902</v>
      </c>
      <c r="D25" s="5">
        <v>1139786.7904635807</v>
      </c>
      <c r="E25" s="5">
        <v>966279.93883621902</v>
      </c>
      <c r="F25" s="5">
        <v>951136.17356786923</v>
      </c>
      <c r="G25" s="5">
        <v>1048738.6228295141</v>
      </c>
      <c r="H25" s="5">
        <v>951136.17356786923</v>
      </c>
      <c r="I25" s="5">
        <v>951136.17356786923</v>
      </c>
      <c r="J25" s="5">
        <v>1428477.3992738379</v>
      </c>
    </row>
    <row r="26" spans="2:10" x14ac:dyDescent="0.3">
      <c r="B26" s="168">
        <v>17</v>
      </c>
      <c r="C26" s="5">
        <v>1059516.6866780506</v>
      </c>
      <c r="D26" s="5">
        <v>1289131.6916568251</v>
      </c>
      <c r="E26" s="5">
        <v>1059516.6866780506</v>
      </c>
      <c r="F26" s="5">
        <v>1044372.9214097006</v>
      </c>
      <c r="G26" s="5">
        <v>1214689.6220636952</v>
      </c>
      <c r="H26" s="5">
        <v>1044372.9214097006</v>
      </c>
      <c r="I26" s="5">
        <v>1100481.0747611136</v>
      </c>
      <c r="J26" s="5">
        <v>1594428.398508019</v>
      </c>
    </row>
    <row r="27" spans="2:10" x14ac:dyDescent="0.3">
      <c r="B27" s="168">
        <v>18</v>
      </c>
      <c r="C27" s="5">
        <v>1149155.4916677554</v>
      </c>
      <c r="D27" s="5">
        <v>1435549.3082956921</v>
      </c>
      <c r="E27" s="5">
        <v>1149155.4916677554</v>
      </c>
      <c r="F27" s="5">
        <v>1134011.7263994056</v>
      </c>
      <c r="G27" s="5">
        <v>1377387.7269779902</v>
      </c>
      <c r="H27" s="5">
        <v>1134011.7263994056</v>
      </c>
      <c r="I27" s="5">
        <v>1246898.6913999806</v>
      </c>
      <c r="J27" s="5">
        <v>1757126.5034223141</v>
      </c>
    </row>
    <row r="28" spans="2:10" x14ac:dyDescent="0.3">
      <c r="B28" s="168">
        <v>19</v>
      </c>
      <c r="C28" s="5">
        <v>1236502.5322987135</v>
      </c>
      <c r="D28" s="5">
        <v>1579097.0076260108</v>
      </c>
      <c r="E28" s="5">
        <v>1236502.5322987135</v>
      </c>
      <c r="F28" s="5">
        <v>1221358.7670303637</v>
      </c>
      <c r="G28" s="5">
        <v>1536896.6893234346</v>
      </c>
      <c r="H28" s="5">
        <v>1221358.7670303637</v>
      </c>
      <c r="I28" s="5">
        <v>1390446.3907302993</v>
      </c>
      <c r="J28" s="5">
        <v>1916635.4657677584</v>
      </c>
    </row>
    <row r="29" spans="2:10" x14ac:dyDescent="0.3">
      <c r="B29" s="168">
        <v>20</v>
      </c>
      <c r="C29" s="5">
        <v>1320478.9395890867</v>
      </c>
      <c r="D29" s="5">
        <v>1719831.0329337267</v>
      </c>
      <c r="E29" s="5">
        <v>1320478.9395890867</v>
      </c>
      <c r="F29" s="5">
        <v>1305335.1743207369</v>
      </c>
      <c r="G29" s="5">
        <v>1693279.0117048032</v>
      </c>
      <c r="H29" s="5">
        <v>1305335.1743207369</v>
      </c>
      <c r="I29" s="5">
        <v>1531180.4160380152</v>
      </c>
      <c r="J29" s="5">
        <v>2073017.788149127</v>
      </c>
    </row>
    <row r="30" spans="2:10" x14ac:dyDescent="0.3">
      <c r="B30" s="168">
        <v>21</v>
      </c>
      <c r="C30" s="5">
        <v>1402866.2655214679</v>
      </c>
      <c r="D30" s="5">
        <v>1857806.5255574645</v>
      </c>
      <c r="E30" s="5">
        <v>1402866.2655214679</v>
      </c>
      <c r="F30" s="5">
        <v>1387722.5002531181</v>
      </c>
      <c r="G30" s="5">
        <v>1846595.9720478083</v>
      </c>
      <c r="H30" s="5">
        <v>1387722.5002531181</v>
      </c>
      <c r="I30" s="5">
        <v>1669155.9086617529</v>
      </c>
      <c r="J30" s="5">
        <v>2226334.7484921319</v>
      </c>
    </row>
    <row r="31" spans="2:10" x14ac:dyDescent="0.3">
      <c r="B31" s="168">
        <v>22</v>
      </c>
      <c r="C31" s="5">
        <v>1482074.3454296263</v>
      </c>
      <c r="D31" s="5">
        <v>1993077.5464702256</v>
      </c>
      <c r="E31" s="5">
        <v>1482074.3454296263</v>
      </c>
      <c r="F31" s="5">
        <v>1466930.5801612765</v>
      </c>
      <c r="G31" s="5">
        <v>1996907.6475873019</v>
      </c>
      <c r="H31" s="5">
        <v>1466930.5801612765</v>
      </c>
      <c r="I31" s="5">
        <v>1804426.929574514</v>
      </c>
      <c r="J31" s="5">
        <v>2376646.4240316255</v>
      </c>
    </row>
    <row r="32" spans="2:10" x14ac:dyDescent="0.3">
      <c r="B32" s="168">
        <v>23</v>
      </c>
      <c r="C32" s="5">
        <v>1562330.6533316253</v>
      </c>
      <c r="D32" s="5">
        <v>2125697.0974386455</v>
      </c>
      <c r="E32" s="5">
        <v>1562330.6533316253</v>
      </c>
      <c r="F32" s="5">
        <v>1547186.8880632753</v>
      </c>
      <c r="G32" s="5">
        <v>2144272.9383858517</v>
      </c>
      <c r="H32" s="5">
        <v>1547186.8880632753</v>
      </c>
      <c r="I32" s="5">
        <v>1937046.480542934</v>
      </c>
      <c r="J32" s="5">
        <v>2524011.7148301755</v>
      </c>
    </row>
    <row r="33" spans="2:10" x14ac:dyDescent="0.3">
      <c r="B33" s="168">
        <v>24</v>
      </c>
      <c r="C33" s="5">
        <v>1639489.8047236078</v>
      </c>
      <c r="D33" s="5">
        <v>2255717.1417680765</v>
      </c>
      <c r="E33" s="5">
        <v>1639489.8047236078</v>
      </c>
      <c r="F33" s="5">
        <v>1624346.0394552578</v>
      </c>
      <c r="G33" s="5">
        <v>2288749.5903918808</v>
      </c>
      <c r="H33" s="5">
        <v>1624346.0394552578</v>
      </c>
      <c r="I33" s="5">
        <v>2067066.5248723649</v>
      </c>
      <c r="J33" s="5">
        <v>2668488.3668362042</v>
      </c>
    </row>
    <row r="34" spans="2:10" x14ac:dyDescent="0.3">
      <c r="B34" s="168">
        <v>25</v>
      </c>
      <c r="C34" s="5">
        <v>1714993.6687792735</v>
      </c>
      <c r="D34" s="5">
        <v>2383188.6246415903</v>
      </c>
      <c r="E34" s="5">
        <v>1700805.4804452304</v>
      </c>
      <c r="F34" s="5">
        <v>1764292.2811773696</v>
      </c>
      <c r="G34" s="5">
        <v>2430231.0138037163</v>
      </c>
      <c r="H34" s="5">
        <v>1701116.7536358424</v>
      </c>
      <c r="I34" s="5">
        <v>2194538.0077458788</v>
      </c>
      <c r="J34" s="5">
        <v>2809969.7902480396</v>
      </c>
    </row>
    <row r="35" spans="2:10" x14ac:dyDescent="0.3">
      <c r="B35" s="168">
        <v>26</v>
      </c>
      <c r="C35" s="5">
        <v>1787826.4369198149</v>
      </c>
      <c r="D35" s="5">
        <v>2508161.4930608477</v>
      </c>
      <c r="E35" s="5">
        <v>1838892.4064063355</v>
      </c>
      <c r="F35" s="5">
        <v>1901171.7617418771</v>
      </c>
      <c r="G35" s="5">
        <v>2568764.2478383589</v>
      </c>
      <c r="H35" s="5">
        <v>1774924.762920046</v>
      </c>
      <c r="I35" s="5">
        <v>2319510.8761651362</v>
      </c>
      <c r="J35" s="5">
        <v>2948503.0242826822</v>
      </c>
    </row>
    <row r="36" spans="2:10" x14ac:dyDescent="0.3">
      <c r="B36" s="168">
        <v>27</v>
      </c>
      <c r="C36" s="5">
        <v>1858081.8368783763</v>
      </c>
      <c r="D36" s="5">
        <v>2630684.7153966217</v>
      </c>
      <c r="E36" s="5">
        <v>1973881.3400405822</v>
      </c>
      <c r="F36" s="5">
        <v>2034999.9112046375</v>
      </c>
      <c r="G36" s="5">
        <v>2704412.1693681343</v>
      </c>
      <c r="H36" s="5">
        <v>1847250.541753022</v>
      </c>
      <c r="I36" s="5">
        <v>2442034.0985009102</v>
      </c>
      <c r="J36" s="5">
        <v>3084150.9458124577</v>
      </c>
    </row>
    <row r="37" spans="2:10" x14ac:dyDescent="0.3">
      <c r="B37" s="168">
        <v>28</v>
      </c>
      <c r="C37" s="5">
        <v>1925964.611017541</v>
      </c>
      <c r="D37" s="5">
        <v>2750806.3005566061</v>
      </c>
      <c r="E37" s="5">
        <v>2105846.5049927123</v>
      </c>
      <c r="F37" s="5">
        <v>2165849.1500067571</v>
      </c>
      <c r="G37" s="5">
        <v>2837236.2747378247</v>
      </c>
      <c r="H37" s="5">
        <v>1916785.1548806874</v>
      </c>
      <c r="I37" s="5">
        <v>2562155.6836608946</v>
      </c>
      <c r="J37" s="5">
        <v>3216975.051182148</v>
      </c>
    </row>
    <row r="38" spans="2:10" x14ac:dyDescent="0.3">
      <c r="B38" s="168">
        <v>29</v>
      </c>
      <c r="C38" s="5">
        <v>1991553.2544192688</v>
      </c>
      <c r="D38" s="5">
        <v>2868573.3167779972</v>
      </c>
      <c r="E38" s="5">
        <v>2234860.1955087534</v>
      </c>
      <c r="F38" s="5">
        <v>2293790.0388746825</v>
      </c>
      <c r="G38" s="5">
        <v>2967296.7111342554</v>
      </c>
      <c r="H38" s="5">
        <v>1983636.3540727622</v>
      </c>
      <c r="I38" s="5">
        <v>2679922.6998822857</v>
      </c>
      <c r="J38" s="5">
        <v>3347035.4875785788</v>
      </c>
    </row>
    <row r="39" spans="2:10" x14ac:dyDescent="0.3">
      <c r="B39" s="168">
        <v>30</v>
      </c>
      <c r="C39" s="5">
        <v>2055217.7482521208</v>
      </c>
      <c r="D39" s="5">
        <v>2984031.9100521905</v>
      </c>
      <c r="E39" s="5">
        <v>2360992.8312217486</v>
      </c>
      <c r="F39" s="5">
        <v>2418891.3309130184</v>
      </c>
      <c r="G39" s="5">
        <v>3094652.3072155355</v>
      </c>
      <c r="H39" s="5">
        <v>2047907.7303291105</v>
      </c>
      <c r="I39" s="5">
        <v>2795381.293156479</v>
      </c>
      <c r="J39" s="5">
        <v>3474391.0836598589</v>
      </c>
    </row>
  </sheetData>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F24"/>
  <sheetViews>
    <sheetView workbookViewId="0">
      <selection activeCell="E16" sqref="E16"/>
    </sheetView>
  </sheetViews>
  <sheetFormatPr defaultRowHeight="15" x14ac:dyDescent="0.25"/>
  <cols>
    <col min="2" max="2" width="14.28515625" customWidth="1"/>
    <col min="3" max="3" width="16.28515625" customWidth="1"/>
    <col min="4" max="4" width="15.85546875" bestFit="1" customWidth="1"/>
    <col min="5" max="5" width="14.28515625" bestFit="1" customWidth="1"/>
    <col min="6" max="6" width="11.28515625" customWidth="1"/>
    <col min="7" max="7" width="12" bestFit="1" customWidth="1"/>
  </cols>
  <sheetData>
    <row r="1" spans="2:6" ht="18" x14ac:dyDescent="0.35">
      <c r="B1" s="192" t="s">
        <v>453</v>
      </c>
    </row>
    <row r="4" spans="2:6" ht="14.45" x14ac:dyDescent="0.3">
      <c r="B4" s="190" t="s">
        <v>2</v>
      </c>
      <c r="C4" s="191">
        <v>30</v>
      </c>
    </row>
    <row r="5" spans="2:6" ht="14.45" x14ac:dyDescent="0.3">
      <c r="B5" s="190" t="s">
        <v>399</v>
      </c>
      <c r="C5" t="s">
        <v>48</v>
      </c>
    </row>
    <row r="7" spans="2:6" ht="14.45" x14ac:dyDescent="0.3">
      <c r="B7" s="190" t="s">
        <v>452</v>
      </c>
      <c r="C7" s="190" t="s">
        <v>404</v>
      </c>
    </row>
    <row r="8" spans="2:6" ht="14.45" x14ac:dyDescent="0.3">
      <c r="B8" s="190" t="s">
        <v>403</v>
      </c>
      <c r="C8" t="s">
        <v>5</v>
      </c>
      <c r="D8" t="s">
        <v>11</v>
      </c>
      <c r="E8" t="s">
        <v>227</v>
      </c>
      <c r="F8" t="s">
        <v>177</v>
      </c>
    </row>
    <row r="9" spans="2:6" ht="14.45" x14ac:dyDescent="0.3">
      <c r="B9" s="191" t="s">
        <v>393</v>
      </c>
      <c r="C9" s="116">
        <v>2267004.3734828089</v>
      </c>
      <c r="D9" s="116">
        <v>1449100.1703236834</v>
      </c>
      <c r="E9" s="116">
        <v>1571112.409183118</v>
      </c>
      <c r="F9" s="116">
        <v>3097177.1801185822</v>
      </c>
    </row>
    <row r="10" spans="2:6" ht="14.45" x14ac:dyDescent="0.3">
      <c r="B10" s="191" t="s">
        <v>7</v>
      </c>
      <c r="C10" s="116">
        <v>2103914.5327333035</v>
      </c>
      <c r="D10" s="116">
        <v>1901296.5448733282</v>
      </c>
      <c r="E10" s="116">
        <v>1870409.3192359314</v>
      </c>
      <c r="F10" s="116">
        <v>2055217.7482521208</v>
      </c>
    </row>
    <row r="11" spans="2:6" ht="14.45" x14ac:dyDescent="0.3">
      <c r="B11" s="191" t="s">
        <v>251</v>
      </c>
      <c r="C11" s="116">
        <v>2410856.3005204736</v>
      </c>
      <c r="D11" s="116">
        <v>1796137.7453499995</v>
      </c>
      <c r="E11" s="116">
        <v>1902649.0275749476</v>
      </c>
      <c r="F11" s="116">
        <v>2984031.9100521905</v>
      </c>
    </row>
    <row r="12" spans="2:6" ht="14.45" x14ac:dyDescent="0.3">
      <c r="B12" s="191" t="s">
        <v>16</v>
      </c>
      <c r="C12" s="116" t="e">
        <v>#VALUE!</v>
      </c>
      <c r="D12" s="116">
        <v>1450081.6207023528</v>
      </c>
      <c r="E12" s="116">
        <v>1568505.5650767726</v>
      </c>
      <c r="F12" s="116" t="e">
        <v>#VALUE!</v>
      </c>
    </row>
    <row r="13" spans="2:6" ht="14.45" x14ac:dyDescent="0.3">
      <c r="B13" s="191" t="s">
        <v>395</v>
      </c>
      <c r="C13" s="116">
        <v>2257571.258933608</v>
      </c>
      <c r="D13" s="116">
        <v>1451495.7808301111</v>
      </c>
      <c r="E13" s="116">
        <v>1567480.7478088478</v>
      </c>
      <c r="F13" s="116">
        <v>3087744.0655693817</v>
      </c>
    </row>
    <row r="14" spans="2:6" ht="14.45" x14ac:dyDescent="0.3">
      <c r="B14" s="191" t="s">
        <v>243</v>
      </c>
      <c r="C14" s="116"/>
      <c r="D14" s="116">
        <v>1537432.0613425472</v>
      </c>
      <c r="E14" s="116"/>
      <c r="F14" s="116"/>
    </row>
    <row r="15" spans="2:6" ht="14.45" x14ac:dyDescent="0.3">
      <c r="B15" s="191" t="s">
        <v>114</v>
      </c>
      <c r="C15" s="116">
        <v>2259475.9800227731</v>
      </c>
      <c r="D15" s="116">
        <v>1443303.6732471054</v>
      </c>
      <c r="E15" s="116">
        <v>1562761.1128172441</v>
      </c>
      <c r="F15" s="116" t="e">
        <v>#VALUE!</v>
      </c>
    </row>
    <row r="16" spans="2:6" ht="14.45" x14ac:dyDescent="0.3">
      <c r="B16" s="191" t="s">
        <v>396</v>
      </c>
      <c r="C16" s="116">
        <v>2258090.5298788142</v>
      </c>
      <c r="D16" s="116">
        <v>1447375.2126063413</v>
      </c>
      <c r="E16" s="116">
        <v>1567074.8146849098</v>
      </c>
      <c r="F16" s="116">
        <v>3088263.336514588</v>
      </c>
    </row>
    <row r="17" spans="2:6" ht="14.45" x14ac:dyDescent="0.3">
      <c r="B17" s="191" t="s">
        <v>190</v>
      </c>
      <c r="C17" s="116"/>
      <c r="D17" s="116">
        <v>1382900.734555467</v>
      </c>
      <c r="E17" s="116"/>
      <c r="F17" s="116"/>
    </row>
    <row r="18" spans="2:6" ht="14.45" x14ac:dyDescent="0.3">
      <c r="B18" s="191" t="s">
        <v>229</v>
      </c>
      <c r="C18" s="116">
        <v>2249341.7217765106</v>
      </c>
      <c r="D18" s="116">
        <v>1896647.1333663783</v>
      </c>
      <c r="E18" s="116">
        <v>1956369.4476868878</v>
      </c>
      <c r="F18" s="116">
        <v>2360992.8312217486</v>
      </c>
    </row>
    <row r="19" spans="2:6" ht="14.45" x14ac:dyDescent="0.3">
      <c r="B19" s="191" t="s">
        <v>228</v>
      </c>
      <c r="C19" s="116">
        <v>2260586.0418002941</v>
      </c>
      <c r="D19" s="116">
        <v>1950087.0634704037</v>
      </c>
      <c r="E19" s="116">
        <v>1918294.3805520567</v>
      </c>
      <c r="F19" s="116">
        <v>2418891.3309130184</v>
      </c>
    </row>
    <row r="20" spans="2:6" ht="14.45" x14ac:dyDescent="0.3">
      <c r="B20" s="191" t="s">
        <v>214</v>
      </c>
      <c r="C20" s="116">
        <v>2259891.8844773457</v>
      </c>
      <c r="D20" s="116">
        <v>1451606.4889700194</v>
      </c>
      <c r="E20" s="116">
        <v>1568933.2162260774</v>
      </c>
      <c r="F20" s="116">
        <v>3090064.6911131195</v>
      </c>
    </row>
    <row r="21" spans="2:6" ht="14.45" x14ac:dyDescent="0.3">
      <c r="B21" s="191" t="s">
        <v>394</v>
      </c>
      <c r="C21" s="116">
        <v>2264479.5005797618</v>
      </c>
      <c r="D21" s="116">
        <v>1455539.260550366</v>
      </c>
      <c r="E21" s="116">
        <v>1573444.9138983367</v>
      </c>
      <c r="F21" s="116">
        <v>3094652.3072155355</v>
      </c>
    </row>
    <row r="22" spans="2:6" ht="14.45" x14ac:dyDescent="0.3">
      <c r="B22" s="191" t="s">
        <v>8</v>
      </c>
      <c r="C22" s="116">
        <v>2085044.203384842</v>
      </c>
      <c r="D22" s="116">
        <v>1937289.8639864533</v>
      </c>
      <c r="E22" s="116">
        <v>1908719.910044868</v>
      </c>
      <c r="F22" s="116">
        <v>2047907.7303291105</v>
      </c>
    </row>
    <row r="23" spans="2:6" ht="14.45" x14ac:dyDescent="0.3">
      <c r="B23" s="191" t="s">
        <v>250</v>
      </c>
      <c r="C23" s="116">
        <v>2335407.3487364543</v>
      </c>
      <c r="D23" s="116">
        <v>1855275.3855593591</v>
      </c>
      <c r="E23" s="116">
        <v>1937369.1930529587</v>
      </c>
      <c r="F23" s="116">
        <v>2795381.293156479</v>
      </c>
    </row>
    <row r="24" spans="2:6" ht="14.45" x14ac:dyDescent="0.3">
      <c r="B24" s="191" t="s">
        <v>408</v>
      </c>
      <c r="C24" s="116">
        <v>2644218.2770240861</v>
      </c>
      <c r="D24" s="116">
        <v>1835278.0369946901</v>
      </c>
      <c r="E24" s="116">
        <v>1953183.6903426608</v>
      </c>
      <c r="F24" s="116">
        <v>3474391.0836598589</v>
      </c>
    </row>
  </sheetData>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B20"/>
  <sheetViews>
    <sheetView workbookViewId="0">
      <selection activeCell="I24" sqref="I24"/>
    </sheetView>
  </sheetViews>
  <sheetFormatPr defaultRowHeight="15" x14ac:dyDescent="0.25"/>
  <sheetData>
    <row r="1" spans="2:2" ht="26.25" x14ac:dyDescent="0.4">
      <c r="B1" s="209" t="s">
        <v>473</v>
      </c>
    </row>
    <row r="3" spans="2:2" x14ac:dyDescent="0.25">
      <c r="B3" s="208" t="s">
        <v>480</v>
      </c>
    </row>
    <row r="4" spans="2:2" ht="14.45" x14ac:dyDescent="0.3">
      <c r="B4" s="210" t="s">
        <v>512</v>
      </c>
    </row>
    <row r="5" spans="2:2" s="208" customFormat="1" ht="14.45" x14ac:dyDescent="0.3">
      <c r="B5" s="210" t="s">
        <v>511</v>
      </c>
    </row>
    <row r="6" spans="2:2" s="208" customFormat="1" ht="14.45" x14ac:dyDescent="0.3">
      <c r="B6" s="210" t="s">
        <v>513</v>
      </c>
    </row>
    <row r="7" spans="2:2" s="208" customFormat="1" x14ac:dyDescent="0.25">
      <c r="B7" s="208" t="s">
        <v>515</v>
      </c>
    </row>
    <row r="8" spans="2:2" x14ac:dyDescent="0.25">
      <c r="B8" s="210" t="s">
        <v>474</v>
      </c>
    </row>
    <row r="9" spans="2:2" x14ac:dyDescent="0.25">
      <c r="B9" s="208" t="s">
        <v>475</v>
      </c>
    </row>
    <row r="10" spans="2:2" x14ac:dyDescent="0.25">
      <c r="B10" s="208" t="s">
        <v>476</v>
      </c>
    </row>
    <row r="11" spans="2:2" x14ac:dyDescent="0.25">
      <c r="B11" s="208" t="s">
        <v>477</v>
      </c>
    </row>
    <row r="12" spans="2:2" x14ac:dyDescent="0.25">
      <c r="B12" s="208" t="s">
        <v>529</v>
      </c>
    </row>
    <row r="13" spans="2:2" x14ac:dyDescent="0.25">
      <c r="B13" s="208" t="s">
        <v>478</v>
      </c>
    </row>
    <row r="14" spans="2:2" x14ac:dyDescent="0.25">
      <c r="B14" s="208" t="s">
        <v>479</v>
      </c>
    </row>
    <row r="15" spans="2:2" s="208" customFormat="1" x14ac:dyDescent="0.25">
      <c r="B15" s="208" t="s">
        <v>530</v>
      </c>
    </row>
    <row r="16" spans="2:2" x14ac:dyDescent="0.25">
      <c r="B16" s="208" t="s">
        <v>481</v>
      </c>
    </row>
    <row r="17" spans="2:2" x14ac:dyDescent="0.25">
      <c r="B17" s="208" t="s">
        <v>482</v>
      </c>
    </row>
    <row r="18" spans="2:2" x14ac:dyDescent="0.25">
      <c r="B18" s="208" t="s">
        <v>483</v>
      </c>
    </row>
    <row r="19" spans="2:2" s="208" customFormat="1" x14ac:dyDescent="0.25">
      <c r="B19" s="208" t="s">
        <v>514</v>
      </c>
    </row>
    <row r="20" spans="2:2" x14ac:dyDescent="0.25">
      <c r="B20" s="208" t="s">
        <v>531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40"/>
  <sheetViews>
    <sheetView tabSelected="1" workbookViewId="0">
      <selection activeCell="C15" sqref="C15"/>
    </sheetView>
  </sheetViews>
  <sheetFormatPr defaultColWidth="8.85546875" defaultRowHeight="15" x14ac:dyDescent="0.25"/>
  <cols>
    <col min="1" max="1" width="8.85546875" style="59"/>
    <col min="2" max="2" width="54.28515625" style="59" customWidth="1"/>
    <col min="3" max="3" width="14" style="59" customWidth="1"/>
    <col min="4" max="4" width="8.85546875" style="59"/>
    <col min="5" max="5" width="17.28515625" style="59" customWidth="1"/>
    <col min="6" max="16384" width="8.85546875" style="59"/>
  </cols>
  <sheetData>
    <row r="1" spans="2:6" ht="18" x14ac:dyDescent="0.35">
      <c r="B1" s="221" t="s">
        <v>507</v>
      </c>
      <c r="C1" s="24"/>
      <c r="D1" s="24"/>
      <c r="E1" s="24"/>
    </row>
    <row r="2" spans="2:6" ht="14.45" x14ac:dyDescent="0.3">
      <c r="B2" s="24"/>
      <c r="C2" s="24"/>
      <c r="D2" s="24"/>
      <c r="E2" s="24"/>
    </row>
    <row r="3" spans="2:6" ht="14.45" x14ac:dyDescent="0.3">
      <c r="B3" s="222" t="s">
        <v>516</v>
      </c>
      <c r="C3" s="222"/>
      <c r="D3" s="24"/>
      <c r="E3" s="24"/>
    </row>
    <row r="4" spans="2:6" ht="14.45" x14ac:dyDescent="0.3">
      <c r="B4" s="222" t="s">
        <v>532</v>
      </c>
      <c r="C4" s="222"/>
      <c r="D4" s="24"/>
      <c r="E4" s="24"/>
    </row>
    <row r="5" spans="2:6" ht="9" customHeight="1" x14ac:dyDescent="0.3">
      <c r="B5" s="222"/>
      <c r="C5" s="222"/>
      <c r="D5" s="24"/>
      <c r="E5" s="24"/>
    </row>
    <row r="6" spans="2:6" ht="28.9" x14ac:dyDescent="0.3">
      <c r="B6" s="222"/>
      <c r="C6" s="226" t="s">
        <v>554</v>
      </c>
      <c r="D6" s="24"/>
      <c r="E6" s="228" t="s">
        <v>553</v>
      </c>
    </row>
    <row r="7" spans="2:6" ht="14.45" x14ac:dyDescent="0.3">
      <c r="B7" s="212" t="s">
        <v>485</v>
      </c>
      <c r="C7" s="215" t="s">
        <v>455</v>
      </c>
      <c r="D7" s="24"/>
      <c r="E7" s="24" t="s">
        <v>535</v>
      </c>
      <c r="F7" s="220"/>
    </row>
    <row r="8" spans="2:6" ht="14.45" x14ac:dyDescent="0.3">
      <c r="B8" s="212" t="s">
        <v>468</v>
      </c>
      <c r="C8" s="215">
        <v>2013</v>
      </c>
      <c r="D8" s="24"/>
      <c r="E8" s="24" t="s">
        <v>536</v>
      </c>
      <c r="F8" s="220"/>
    </row>
    <row r="9" spans="2:6" ht="6" customHeight="1" x14ac:dyDescent="0.3">
      <c r="B9" s="215"/>
      <c r="C9" s="215"/>
      <c r="D9" s="24"/>
      <c r="E9" s="24"/>
      <c r="F9" s="220"/>
    </row>
    <row r="10" spans="2:6" ht="14.45" x14ac:dyDescent="0.3">
      <c r="B10" s="212" t="s">
        <v>499</v>
      </c>
      <c r="C10" s="223"/>
      <c r="D10" s="24"/>
      <c r="E10" s="24"/>
      <c r="F10" s="220"/>
    </row>
    <row r="11" spans="2:6" ht="14.45" x14ac:dyDescent="0.3">
      <c r="B11" s="213" t="s">
        <v>490</v>
      </c>
      <c r="C11" s="223">
        <v>0.02</v>
      </c>
      <c r="D11" s="24"/>
      <c r="E11" s="24" t="s">
        <v>533</v>
      </c>
      <c r="F11" s="220"/>
    </row>
    <row r="12" spans="2:6" ht="14.45" x14ac:dyDescent="0.3">
      <c r="B12" s="213" t="s">
        <v>492</v>
      </c>
      <c r="C12" s="223">
        <v>0.03</v>
      </c>
      <c r="D12" s="24"/>
      <c r="E12" s="24" t="s">
        <v>534</v>
      </c>
      <c r="F12" s="220"/>
    </row>
    <row r="13" spans="2:6" ht="7.15" customHeight="1" x14ac:dyDescent="0.3">
      <c r="B13" s="222"/>
      <c r="C13" s="215"/>
      <c r="D13" s="24"/>
      <c r="E13" s="24"/>
      <c r="F13" s="220"/>
    </row>
    <row r="14" spans="2:6" ht="14.45" x14ac:dyDescent="0.3">
      <c r="B14" s="211" t="s">
        <v>493</v>
      </c>
      <c r="C14" s="215"/>
      <c r="D14" s="24"/>
      <c r="E14" s="24"/>
      <c r="F14" s="220"/>
    </row>
    <row r="15" spans="2:6" ht="14.45" x14ac:dyDescent="0.3">
      <c r="B15" s="213" t="s">
        <v>491</v>
      </c>
      <c r="C15" s="223">
        <v>0.01</v>
      </c>
      <c r="D15" s="24"/>
      <c r="E15" s="24" t="s">
        <v>537</v>
      </c>
      <c r="F15" s="220"/>
    </row>
    <row r="16" spans="2:6" ht="15.6" customHeight="1" x14ac:dyDescent="0.3">
      <c r="B16" s="213" t="s">
        <v>502</v>
      </c>
      <c r="C16" s="223">
        <v>0.9</v>
      </c>
      <c r="D16" s="24"/>
      <c r="E16" s="24" t="s">
        <v>538</v>
      </c>
      <c r="F16" s="220"/>
    </row>
    <row r="17" spans="2:6" ht="30" customHeight="1" x14ac:dyDescent="0.3">
      <c r="B17" s="214" t="s">
        <v>503</v>
      </c>
      <c r="C17" s="223">
        <v>0</v>
      </c>
      <c r="D17" s="24"/>
      <c r="E17" s="24" t="s">
        <v>539</v>
      </c>
      <c r="F17" s="220"/>
    </row>
    <row r="18" spans="2:6" ht="7.9" customHeight="1" x14ac:dyDescent="0.3">
      <c r="B18" s="222"/>
      <c r="C18" s="215"/>
      <c r="D18" s="24"/>
      <c r="E18" s="24"/>
      <c r="F18" s="220"/>
    </row>
    <row r="19" spans="2:6" ht="14.45" x14ac:dyDescent="0.3">
      <c r="B19" s="212" t="s">
        <v>494</v>
      </c>
      <c r="C19" s="215"/>
      <c r="D19" s="24"/>
      <c r="E19" s="24"/>
      <c r="F19" s="220"/>
    </row>
    <row r="20" spans="2:6" ht="14.45" x14ac:dyDescent="0.3">
      <c r="B20" s="215" t="s">
        <v>495</v>
      </c>
      <c r="C20" s="224">
        <v>180000</v>
      </c>
      <c r="D20" s="24"/>
      <c r="E20" s="24" t="s">
        <v>540</v>
      </c>
      <c r="F20" s="220"/>
    </row>
    <row r="21" spans="2:6" ht="14.45" x14ac:dyDescent="0.3">
      <c r="B21" s="213" t="s">
        <v>496</v>
      </c>
      <c r="C21" s="223">
        <v>0.02</v>
      </c>
      <c r="D21" s="24"/>
      <c r="E21" s="24" t="s">
        <v>541</v>
      </c>
      <c r="F21" s="220"/>
    </row>
    <row r="22" spans="2:6" ht="14.45" x14ac:dyDescent="0.3">
      <c r="B22" s="213" t="s">
        <v>500</v>
      </c>
      <c r="C22" s="225">
        <v>6.2100000000000002E-2</v>
      </c>
      <c r="D22" s="24"/>
      <c r="E22" s="24" t="s">
        <v>542</v>
      </c>
      <c r="F22" s="220"/>
    </row>
    <row r="23" spans="2:6" ht="5.45" customHeight="1" x14ac:dyDescent="0.3">
      <c r="B23" s="215"/>
      <c r="C23" s="215"/>
      <c r="D23" s="24"/>
      <c r="E23" s="24"/>
      <c r="F23" s="220"/>
    </row>
    <row r="24" spans="2:6" ht="14.45" x14ac:dyDescent="0.3">
      <c r="B24" s="212" t="s">
        <v>497</v>
      </c>
      <c r="C24" s="215"/>
      <c r="D24" s="24"/>
      <c r="E24" s="24"/>
      <c r="F24" s="220"/>
    </row>
    <row r="25" spans="2:6" ht="28.9" x14ac:dyDescent="0.3">
      <c r="B25" s="213" t="s">
        <v>510</v>
      </c>
      <c r="C25" s="223">
        <v>0.02</v>
      </c>
      <c r="D25" s="24"/>
      <c r="E25" s="24" t="s">
        <v>543</v>
      </c>
      <c r="F25" s="220"/>
    </row>
    <row r="26" spans="2:6" ht="16.149999999999999" customHeight="1" x14ac:dyDescent="0.3">
      <c r="B26" s="213" t="s">
        <v>498</v>
      </c>
      <c r="C26" s="223">
        <v>0.06</v>
      </c>
      <c r="D26" s="24"/>
      <c r="E26" s="24" t="s">
        <v>544</v>
      </c>
      <c r="F26" s="220"/>
    </row>
    <row r="27" spans="2:6" ht="6" customHeight="1" x14ac:dyDescent="0.3">
      <c r="B27" s="222"/>
      <c r="C27" s="215"/>
      <c r="D27" s="24"/>
      <c r="E27" s="24"/>
      <c r="F27" s="220"/>
    </row>
    <row r="28" spans="2:6" ht="14.45" x14ac:dyDescent="0.3">
      <c r="B28" s="211" t="s">
        <v>504</v>
      </c>
      <c r="C28" s="215"/>
      <c r="D28" s="24"/>
      <c r="E28" s="24"/>
      <c r="F28" s="220"/>
    </row>
    <row r="29" spans="2:6" ht="14.45" x14ac:dyDescent="0.3">
      <c r="B29" s="216" t="s">
        <v>486</v>
      </c>
      <c r="C29" s="217">
        <f>IF(InputData!$G$1="San Antonio, TX",InputData!M81*(1+InputData!$C$12),InputData!J81*(1+InputData!$C$12))</f>
        <v>178500</v>
      </c>
      <c r="D29" s="24"/>
      <c r="E29" s="24" t="s">
        <v>545</v>
      </c>
      <c r="F29" s="220"/>
    </row>
    <row r="30" spans="2:6" x14ac:dyDescent="0.25">
      <c r="B30" s="216" t="s">
        <v>487</v>
      </c>
      <c r="C30" s="217">
        <f>IF(InputData!$G$1="San Antonio, TX",InputData!M82*(1+InputData!$C$12),InputData!J82*(1+InputData!$C$12))</f>
        <v>303960</v>
      </c>
      <c r="D30" s="24"/>
      <c r="E30" s="24" t="s">
        <v>546</v>
      </c>
      <c r="F30" s="220"/>
    </row>
    <row r="31" spans="2:6" x14ac:dyDescent="0.25">
      <c r="B31" s="216" t="s">
        <v>488</v>
      </c>
      <c r="C31" s="217">
        <f>IF(InputData!$G$1="San Antonio, TX",InputData!M84*(1+InputData!$C$12),InputData!J84*(1+InputData!$C$12))</f>
        <v>215220</v>
      </c>
      <c r="D31" s="24"/>
      <c r="E31" s="24" t="s">
        <v>547</v>
      </c>
      <c r="F31" s="220"/>
    </row>
    <row r="32" spans="2:6" x14ac:dyDescent="0.25">
      <c r="B32" s="216" t="s">
        <v>489</v>
      </c>
      <c r="C32" s="217">
        <f>IF(InputData!$G$1="San Antonio, TX",InputData!M85*(1+InputData!$C$12),InputData!J85*(1+InputData!$C$12))</f>
        <v>409020</v>
      </c>
      <c r="D32" s="24"/>
      <c r="E32" s="24" t="s">
        <v>548</v>
      </c>
      <c r="F32" s="220"/>
    </row>
    <row r="33" spans="2:5" ht="6" customHeight="1" x14ac:dyDescent="0.25">
      <c r="B33" s="222"/>
      <c r="C33" s="217"/>
      <c r="D33" s="24"/>
      <c r="E33" s="24"/>
    </row>
    <row r="34" spans="2:5" ht="30" x14ac:dyDescent="0.25">
      <c r="B34" s="213" t="s">
        <v>509</v>
      </c>
      <c r="C34" s="218">
        <v>0.02</v>
      </c>
      <c r="D34" s="24"/>
      <c r="E34" s="24" t="s">
        <v>551</v>
      </c>
    </row>
    <row r="35" spans="2:5" ht="16.149999999999999" customHeight="1" x14ac:dyDescent="0.25">
      <c r="B35" s="213" t="s">
        <v>505</v>
      </c>
      <c r="C35" s="218">
        <v>0.01</v>
      </c>
      <c r="D35" s="24"/>
      <c r="E35" s="24" t="s">
        <v>549</v>
      </c>
    </row>
    <row r="36" spans="2:5" ht="7.15" customHeight="1" x14ac:dyDescent="0.25">
      <c r="B36" s="213"/>
      <c r="C36" s="218"/>
      <c r="D36" s="24"/>
      <c r="E36" s="24"/>
    </row>
    <row r="37" spans="2:5" x14ac:dyDescent="0.25">
      <c r="B37" s="226" t="s">
        <v>506</v>
      </c>
      <c r="C37" s="217"/>
      <c r="D37" s="24"/>
      <c r="E37" s="24"/>
    </row>
    <row r="38" spans="2:5" ht="14.45" customHeight="1" x14ac:dyDescent="0.25">
      <c r="B38" s="215" t="s">
        <v>501</v>
      </c>
      <c r="C38" s="217">
        <v>140000</v>
      </c>
      <c r="D38" s="24"/>
      <c r="E38" s="24" t="s">
        <v>552</v>
      </c>
    </row>
    <row r="39" spans="2:5" x14ac:dyDescent="0.25">
      <c r="B39" s="24"/>
      <c r="C39" s="115"/>
      <c r="D39" s="24"/>
      <c r="E39" s="24"/>
    </row>
    <row r="40" spans="2:5" x14ac:dyDescent="0.25">
      <c r="B40" s="24" t="s">
        <v>550</v>
      </c>
      <c r="C40" s="24"/>
      <c r="D40" s="24"/>
      <c r="E40" s="24"/>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InputData!$X$2:$X$3</xm:f>
          </x14:formula1>
          <xm:sqref>C7</xm:sqref>
        </x14:dataValidation>
        <x14:dataValidation type="list" allowBlank="1" showInputMessage="1" showErrorMessage="1">
          <x14:formula1>
            <xm:f>InputData!$V$2:$V$3</xm:f>
          </x14:formula1>
          <xm:sqref>C8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Z189"/>
  <sheetViews>
    <sheetView topLeftCell="A139" workbookViewId="0">
      <selection activeCell="M159" sqref="M159"/>
    </sheetView>
  </sheetViews>
  <sheetFormatPr defaultRowHeight="15" x14ac:dyDescent="0.25"/>
  <cols>
    <col min="1" max="1" width="4.28515625" customWidth="1"/>
    <col min="2" max="2" width="24.28515625" customWidth="1"/>
    <col min="3" max="3" width="14.85546875" customWidth="1"/>
    <col min="4" max="4" width="11.42578125" customWidth="1"/>
    <col min="5" max="5" width="9.85546875" customWidth="1"/>
    <col min="6" max="6" width="10.140625" customWidth="1"/>
    <col min="7" max="7" width="10.28515625" customWidth="1"/>
    <col min="8" max="8" width="9.42578125" customWidth="1"/>
    <col min="10" max="10" width="10.28515625" customWidth="1"/>
    <col min="12" max="12" width="10.5703125" customWidth="1"/>
  </cols>
  <sheetData>
    <row r="1" spans="2:26" ht="18" x14ac:dyDescent="0.35">
      <c r="B1" s="27" t="s">
        <v>25</v>
      </c>
      <c r="C1" s="11"/>
      <c r="D1" s="11"/>
      <c r="E1" s="11"/>
      <c r="F1" s="193" t="s">
        <v>454</v>
      </c>
      <c r="G1" s="194" t="str">
        <f>MainParameters!C7</f>
        <v>San Antonio, TX</v>
      </c>
      <c r="H1" s="103"/>
      <c r="I1" s="11"/>
      <c r="J1" s="193" t="s">
        <v>469</v>
      </c>
      <c r="K1" s="194">
        <f>MainParameters!C8</f>
        <v>2013</v>
      </c>
      <c r="L1" s="11"/>
      <c r="M1" s="11"/>
      <c r="N1" s="11"/>
      <c r="O1" s="11"/>
      <c r="P1" s="11"/>
      <c r="Q1" s="11"/>
      <c r="R1" s="11"/>
      <c r="V1" s="204" t="s">
        <v>468</v>
      </c>
      <c r="X1" s="204" t="s">
        <v>460</v>
      </c>
      <c r="Z1" s="189" t="s">
        <v>461</v>
      </c>
    </row>
    <row r="2" spans="2:26" ht="14.45" x14ac:dyDescent="0.3">
      <c r="V2" s="205">
        <v>2012</v>
      </c>
      <c r="X2" s="205" t="s">
        <v>455</v>
      </c>
      <c r="Z2" s="189" t="s">
        <v>470</v>
      </c>
    </row>
    <row r="3" spans="2:26" ht="14.45" x14ac:dyDescent="0.3">
      <c r="B3" s="15" t="s">
        <v>9</v>
      </c>
      <c r="C3" s="35">
        <f>MainParameters!C11</f>
        <v>0.02</v>
      </c>
      <c r="D3" t="s">
        <v>126</v>
      </c>
      <c r="V3" s="206">
        <v>2013</v>
      </c>
      <c r="X3" s="206" t="s">
        <v>48</v>
      </c>
    </row>
    <row r="4" spans="2:26" ht="14.45" x14ac:dyDescent="0.3">
      <c r="B4" s="18" t="s">
        <v>254</v>
      </c>
      <c r="C4" s="36">
        <f>MainParameters!C35</f>
        <v>0.01</v>
      </c>
      <c r="D4" t="s">
        <v>127</v>
      </c>
    </row>
    <row r="5" spans="2:26" ht="14.45" x14ac:dyDescent="0.3">
      <c r="B5" s="18" t="s">
        <v>91</v>
      </c>
      <c r="C5" s="36">
        <f>MainParameters!C15</f>
        <v>0.01</v>
      </c>
      <c r="D5" t="s">
        <v>122</v>
      </c>
    </row>
    <row r="6" spans="2:26" ht="14.45" x14ac:dyDescent="0.3">
      <c r="B6" s="18" t="s">
        <v>92</v>
      </c>
      <c r="C6" s="36">
        <f>MainParameters!C22</f>
        <v>6.2100000000000002E-2</v>
      </c>
      <c r="D6" t="s">
        <v>123</v>
      </c>
    </row>
    <row r="7" spans="2:26" ht="14.45" x14ac:dyDescent="0.3">
      <c r="B7" s="18" t="s">
        <v>124</v>
      </c>
      <c r="C7" s="36">
        <f>MainParameters!C12</f>
        <v>0.03</v>
      </c>
      <c r="D7" t="s">
        <v>125</v>
      </c>
    </row>
    <row r="8" spans="2:26" ht="14.45" x14ac:dyDescent="0.3">
      <c r="B8" s="18" t="s">
        <v>145</v>
      </c>
      <c r="C8" s="36">
        <v>0.02</v>
      </c>
      <c r="D8" t="s">
        <v>153</v>
      </c>
    </row>
    <row r="9" spans="2:26" ht="14.45" x14ac:dyDescent="0.3">
      <c r="B9" s="18" t="s">
        <v>150</v>
      </c>
      <c r="C9" s="36">
        <f>MainParameters!C26</f>
        <v>0.06</v>
      </c>
      <c r="D9" t="s">
        <v>148</v>
      </c>
    </row>
    <row r="10" spans="2:26" ht="14.45" x14ac:dyDescent="0.3">
      <c r="B10" s="18" t="s">
        <v>149</v>
      </c>
      <c r="C10" s="36">
        <f>MainParameters!C21</f>
        <v>0.02</v>
      </c>
      <c r="D10" t="s">
        <v>151</v>
      </c>
    </row>
    <row r="11" spans="2:26" ht="14.45" x14ac:dyDescent="0.3">
      <c r="B11" s="18" t="s">
        <v>154</v>
      </c>
      <c r="C11" s="36">
        <f>MainParameters!C25</f>
        <v>0.02</v>
      </c>
      <c r="D11" t="s">
        <v>255</v>
      </c>
    </row>
    <row r="12" spans="2:26" ht="14.45" x14ac:dyDescent="0.3">
      <c r="B12" s="18" t="s">
        <v>155</v>
      </c>
      <c r="C12" s="36">
        <f>MainParameters!C34</f>
        <v>0.02</v>
      </c>
      <c r="D12" t="s">
        <v>152</v>
      </c>
    </row>
    <row r="13" spans="2:26" ht="14.45" x14ac:dyDescent="0.3">
      <c r="B13" s="19" t="s">
        <v>216</v>
      </c>
      <c r="C13" s="219">
        <f>MainParameters!C16</f>
        <v>0.9</v>
      </c>
      <c r="E13" s="207">
        <f>MainParameters!C17</f>
        <v>0</v>
      </c>
      <c r="F13" t="s">
        <v>472</v>
      </c>
    </row>
    <row r="14" spans="2:26" ht="14.45" x14ac:dyDescent="0.3">
      <c r="C14" s="26"/>
    </row>
    <row r="15" spans="2:26" ht="18" x14ac:dyDescent="0.35">
      <c r="B15" s="27" t="s">
        <v>101</v>
      </c>
      <c r="C15" s="29"/>
      <c r="D15" s="11"/>
      <c r="E15" s="11"/>
      <c r="F15" s="11"/>
      <c r="G15" s="11"/>
      <c r="H15" s="11"/>
      <c r="I15" s="11"/>
      <c r="J15" s="11"/>
      <c r="K15" s="11"/>
      <c r="L15" s="11"/>
      <c r="M15" s="11"/>
      <c r="N15" s="11"/>
      <c r="O15" s="11"/>
      <c r="P15" s="11"/>
      <c r="Q15" s="11"/>
      <c r="R15" s="11"/>
    </row>
    <row r="16" spans="2:26" ht="14.45" x14ac:dyDescent="0.3">
      <c r="C16" s="26"/>
    </row>
    <row r="17" spans="2:24" ht="14.45" x14ac:dyDescent="0.3">
      <c r="B17" t="s">
        <v>94</v>
      </c>
    </row>
    <row r="18" spans="2:24" ht="14.45" x14ac:dyDescent="0.3">
      <c r="B18" s="15"/>
      <c r="C18" s="16" t="s">
        <v>27</v>
      </c>
      <c r="D18" s="16" t="s">
        <v>28</v>
      </c>
      <c r="E18" s="16" t="s">
        <v>29</v>
      </c>
      <c r="F18" s="16" t="s">
        <v>30</v>
      </c>
      <c r="G18" s="16" t="s">
        <v>31</v>
      </c>
      <c r="H18" s="16" t="s">
        <v>32</v>
      </c>
      <c r="I18" s="16" t="s">
        <v>33</v>
      </c>
      <c r="J18" s="16" t="s">
        <v>34</v>
      </c>
      <c r="K18" s="16" t="s">
        <v>35</v>
      </c>
      <c r="L18" s="16" t="s">
        <v>36</v>
      </c>
      <c r="M18" s="16" t="s">
        <v>37</v>
      </c>
      <c r="N18" s="16" t="s">
        <v>49</v>
      </c>
      <c r="O18" s="16" t="s">
        <v>50</v>
      </c>
      <c r="P18" s="16" t="s">
        <v>51</v>
      </c>
      <c r="Q18" s="16" t="s">
        <v>52</v>
      </c>
      <c r="R18" s="16" t="s">
        <v>53</v>
      </c>
      <c r="S18" s="16" t="s">
        <v>54</v>
      </c>
      <c r="T18" s="16" t="s">
        <v>55</v>
      </c>
      <c r="U18" s="16" t="s">
        <v>56</v>
      </c>
      <c r="V18" s="16" t="s">
        <v>57</v>
      </c>
      <c r="W18" s="16" t="s">
        <v>58</v>
      </c>
      <c r="X18" s="17" t="s">
        <v>59</v>
      </c>
    </row>
    <row r="19" spans="2:24" ht="14.45" x14ac:dyDescent="0.3">
      <c r="B19" s="18" t="s">
        <v>38</v>
      </c>
      <c r="C19" s="20"/>
      <c r="D19" s="20"/>
      <c r="E19" s="20"/>
      <c r="F19" s="20"/>
      <c r="G19" s="20"/>
      <c r="H19" s="20"/>
      <c r="I19" s="20"/>
      <c r="J19" s="20"/>
      <c r="K19" s="20"/>
      <c r="L19" s="20"/>
      <c r="M19" s="20"/>
      <c r="N19" s="8"/>
      <c r="O19" s="8"/>
      <c r="P19" s="8"/>
      <c r="Q19" s="8"/>
      <c r="R19" s="8"/>
      <c r="S19" s="8"/>
      <c r="T19" s="8"/>
      <c r="U19" s="8"/>
      <c r="V19" s="8"/>
      <c r="W19" s="8"/>
      <c r="X19" s="9"/>
    </row>
    <row r="20" spans="2:24" ht="14.45" x14ac:dyDescent="0.3">
      <c r="B20" s="18" t="s">
        <v>39</v>
      </c>
      <c r="C20" s="20"/>
      <c r="D20" s="20"/>
      <c r="E20" s="20"/>
      <c r="F20" s="20"/>
      <c r="G20" s="20"/>
      <c r="H20" s="20"/>
      <c r="I20" s="20"/>
      <c r="J20" s="20"/>
      <c r="K20" s="20"/>
      <c r="L20" s="20"/>
      <c r="M20" s="20"/>
      <c r="N20" s="8"/>
      <c r="O20" s="8"/>
      <c r="P20" s="8">
        <v>11924.7</v>
      </c>
      <c r="Q20" s="8">
        <v>11985.6</v>
      </c>
      <c r="R20" s="8">
        <v>11985.6</v>
      </c>
      <c r="S20" s="8"/>
      <c r="T20" s="8"/>
      <c r="U20" s="8"/>
      <c r="V20" s="8"/>
      <c r="W20" s="8"/>
      <c r="X20" s="9"/>
    </row>
    <row r="21" spans="2:24" ht="14.45" x14ac:dyDescent="0.3">
      <c r="B21" s="18" t="s">
        <v>40</v>
      </c>
      <c r="C21" s="20"/>
      <c r="D21" s="20"/>
      <c r="E21" s="20"/>
      <c r="F21" s="20"/>
      <c r="G21" s="20"/>
      <c r="H21" s="20"/>
      <c r="I21" s="20"/>
      <c r="J21" s="20"/>
      <c r="K21" s="20"/>
      <c r="L21" s="20"/>
      <c r="M21" s="20">
        <v>9089.4</v>
      </c>
      <c r="N21" s="8">
        <v>9529.7999999999993</v>
      </c>
      <c r="O21" s="8">
        <v>9780.6</v>
      </c>
      <c r="P21" s="48">
        <v>10034.4</v>
      </c>
      <c r="Q21" s="48">
        <v>10526.7</v>
      </c>
      <c r="R21" s="48">
        <v>10526.7</v>
      </c>
      <c r="S21" s="48">
        <v>10736.7</v>
      </c>
      <c r="T21" s="48">
        <v>10736.7</v>
      </c>
      <c r="U21" s="48">
        <v>10736.7</v>
      </c>
      <c r="V21" s="48">
        <v>10736.7</v>
      </c>
      <c r="W21" s="48">
        <v>10736.7</v>
      </c>
      <c r="X21" s="48">
        <v>10736.7</v>
      </c>
    </row>
    <row r="22" spans="2:24" ht="14.45" x14ac:dyDescent="0.3">
      <c r="B22" s="18" t="s">
        <v>41</v>
      </c>
      <c r="C22" s="20"/>
      <c r="D22" s="20"/>
      <c r="E22" s="20"/>
      <c r="F22" s="20"/>
      <c r="G22" s="20"/>
      <c r="H22" s="20"/>
      <c r="I22" s="20"/>
      <c r="J22" s="20">
        <v>7118.4</v>
      </c>
      <c r="K22" s="20">
        <v>7425.3</v>
      </c>
      <c r="L22" s="20">
        <v>7895.1</v>
      </c>
      <c r="M22" s="20"/>
      <c r="N22" s="8"/>
      <c r="O22" s="8"/>
      <c r="P22" s="8"/>
      <c r="Q22" s="8"/>
      <c r="R22" s="8"/>
      <c r="S22" s="8"/>
      <c r="T22" s="8"/>
      <c r="U22" s="8"/>
      <c r="V22" s="8"/>
      <c r="W22" s="8"/>
      <c r="X22" s="9"/>
    </row>
    <row r="23" spans="2:24" ht="14.45" x14ac:dyDescent="0.3">
      <c r="B23" s="18" t="s">
        <v>42</v>
      </c>
      <c r="C23" s="20"/>
      <c r="D23" s="20"/>
      <c r="E23" s="20"/>
      <c r="F23" s="20"/>
      <c r="G23" s="20">
        <v>5774.7</v>
      </c>
      <c r="H23" s="20">
        <v>6109.8</v>
      </c>
      <c r="I23" s="20">
        <v>6527.7</v>
      </c>
      <c r="J23" s="20"/>
      <c r="K23" s="20"/>
      <c r="L23" s="20"/>
      <c r="M23" s="20"/>
      <c r="N23" s="8"/>
      <c r="O23" s="8"/>
      <c r="P23" s="8"/>
      <c r="Q23" s="8"/>
      <c r="R23" s="8"/>
      <c r="S23" s="8"/>
      <c r="T23" s="8"/>
      <c r="U23" s="8"/>
      <c r="V23" s="8"/>
      <c r="W23" s="8"/>
      <c r="X23" s="9"/>
    </row>
    <row r="24" spans="2:24" ht="14.45" x14ac:dyDescent="0.3">
      <c r="B24" s="18" t="s">
        <v>43</v>
      </c>
      <c r="C24" s="20">
        <v>3835.5</v>
      </c>
      <c r="D24" s="20">
        <v>4347.8999999999996</v>
      </c>
      <c r="E24" s="20">
        <v>4692.8999999999996</v>
      </c>
      <c r="F24" s="20">
        <v>5116.5</v>
      </c>
      <c r="G24" s="20"/>
      <c r="H24" s="20"/>
      <c r="I24" s="20"/>
      <c r="J24" s="20"/>
      <c r="K24" s="20"/>
      <c r="L24" s="20"/>
      <c r="M24" s="20"/>
      <c r="N24" s="8"/>
      <c r="O24" s="8"/>
      <c r="P24" s="8"/>
      <c r="Q24" s="8"/>
      <c r="R24" s="8"/>
      <c r="S24" s="8"/>
      <c r="T24" s="8"/>
      <c r="U24" s="8"/>
      <c r="V24" s="8"/>
      <c r="W24" s="8"/>
      <c r="X24" s="9"/>
    </row>
    <row r="25" spans="2:24" ht="14.45" x14ac:dyDescent="0.3">
      <c r="B25" s="18" t="s">
        <v>44</v>
      </c>
      <c r="C25" s="20"/>
      <c r="D25" s="20"/>
      <c r="E25" s="20"/>
      <c r="F25" s="20"/>
      <c r="G25" s="20"/>
      <c r="H25" s="20"/>
      <c r="I25" s="20"/>
      <c r="J25" s="20"/>
      <c r="K25" s="20"/>
      <c r="L25" s="20"/>
      <c r="M25" s="20"/>
      <c r="N25" s="8"/>
      <c r="O25" s="8"/>
      <c r="P25" s="8"/>
      <c r="Q25" s="8"/>
      <c r="R25" s="8"/>
      <c r="S25" s="8"/>
      <c r="T25" s="8"/>
      <c r="U25" s="8"/>
      <c r="V25" s="8"/>
      <c r="W25" s="8"/>
      <c r="X25" s="9"/>
    </row>
    <row r="26" spans="2:24" ht="14.45" x14ac:dyDescent="0.3">
      <c r="B26" s="19" t="s">
        <v>45</v>
      </c>
      <c r="C26" s="21">
        <v>2876.4</v>
      </c>
      <c r="D26" s="21">
        <v>2994</v>
      </c>
      <c r="E26" s="21">
        <v>3619.2</v>
      </c>
      <c r="F26" s="21"/>
      <c r="G26" s="21"/>
      <c r="H26" s="21"/>
      <c r="I26" s="21"/>
      <c r="J26" s="21"/>
      <c r="K26" s="21"/>
      <c r="L26" s="21"/>
      <c r="M26" s="21"/>
      <c r="N26" s="11"/>
      <c r="O26" s="11"/>
      <c r="P26" s="11"/>
      <c r="Q26" s="11"/>
      <c r="R26" s="11"/>
      <c r="S26" s="11"/>
      <c r="T26" s="11"/>
      <c r="U26" s="11"/>
      <c r="V26" s="11"/>
      <c r="W26" s="11"/>
      <c r="X26" s="12"/>
    </row>
    <row r="27" spans="2:24" x14ac:dyDescent="0.25">
      <c r="C27" s="26"/>
    </row>
    <row r="28" spans="2:24" x14ac:dyDescent="0.25">
      <c r="B28" t="s">
        <v>93</v>
      </c>
      <c r="G28" t="s">
        <v>93</v>
      </c>
    </row>
    <row r="29" spans="2:24" ht="14.45" x14ac:dyDescent="0.3">
      <c r="B29" s="86" t="str">
        <f>$G$1</f>
        <v>San Antonio, TX</v>
      </c>
      <c r="C29" s="16" t="s">
        <v>47</v>
      </c>
      <c r="D29" s="17" t="s">
        <v>46</v>
      </c>
      <c r="G29" s="15" t="s">
        <v>48</v>
      </c>
      <c r="H29" s="16" t="s">
        <v>47</v>
      </c>
      <c r="I29" s="17" t="s">
        <v>46</v>
      </c>
      <c r="L29" s="86" t="s">
        <v>455</v>
      </c>
      <c r="M29" s="16" t="s">
        <v>47</v>
      </c>
      <c r="N29" s="17" t="s">
        <v>46</v>
      </c>
    </row>
    <row r="30" spans="2:24" ht="14.45" x14ac:dyDescent="0.3">
      <c r="B30" s="18" t="s">
        <v>38</v>
      </c>
      <c r="C30" s="8"/>
      <c r="D30" s="9"/>
      <c r="G30" s="18" t="s">
        <v>38</v>
      </c>
      <c r="H30" s="8"/>
      <c r="I30" s="9"/>
      <c r="L30" s="18" t="s">
        <v>38</v>
      </c>
      <c r="M30" s="8"/>
      <c r="N30" s="9"/>
    </row>
    <row r="31" spans="2:24" ht="14.45" x14ac:dyDescent="0.3">
      <c r="B31" s="18" t="s">
        <v>39</v>
      </c>
      <c r="C31" s="8">
        <f>IF($B$29="San Antonio, TX",M31,H31)</f>
        <v>1590</v>
      </c>
      <c r="D31" s="9">
        <f>IF($B$29="San Antonio, TX",N31,I31)</f>
        <v>1950</v>
      </c>
      <c r="G31" s="18" t="s">
        <v>39</v>
      </c>
      <c r="H31" s="74">
        <v>2859</v>
      </c>
      <c r="I31" s="75">
        <v>3174</v>
      </c>
      <c r="L31" s="18" t="s">
        <v>39</v>
      </c>
      <c r="M31" s="74">
        <v>1590</v>
      </c>
      <c r="N31" s="75">
        <v>1950</v>
      </c>
    </row>
    <row r="32" spans="2:24" ht="14.45" x14ac:dyDescent="0.3">
      <c r="B32" s="18" t="s">
        <v>40</v>
      </c>
      <c r="C32" s="8">
        <f t="shared" ref="C32:C37" si="0">IF($B$29="San Antonio, TX",M32,H32)</f>
        <v>1560</v>
      </c>
      <c r="D32" s="9">
        <f t="shared" ref="D32:D37" si="1">IF($B$29="San Antonio, TX",N32,I32)</f>
        <v>1929</v>
      </c>
      <c r="G32" s="18" t="s">
        <v>40</v>
      </c>
      <c r="H32" s="74">
        <v>2802</v>
      </c>
      <c r="I32" s="75">
        <v>3141</v>
      </c>
      <c r="L32" s="18" t="s">
        <v>40</v>
      </c>
      <c r="M32" s="74">
        <v>1560</v>
      </c>
      <c r="N32" s="75">
        <v>1929</v>
      </c>
    </row>
    <row r="33" spans="2:14" ht="14.45" x14ac:dyDescent="0.3">
      <c r="B33" s="18" t="s">
        <v>41</v>
      </c>
      <c r="C33" s="8">
        <f t="shared" si="0"/>
        <v>1509</v>
      </c>
      <c r="D33" s="9">
        <f t="shared" si="1"/>
        <v>1911</v>
      </c>
      <c r="G33" s="18" t="s">
        <v>41</v>
      </c>
      <c r="H33" s="74">
        <v>2757</v>
      </c>
      <c r="I33" s="75">
        <v>3111</v>
      </c>
      <c r="L33" s="18" t="s">
        <v>41</v>
      </c>
      <c r="M33" s="74">
        <v>1509</v>
      </c>
      <c r="N33" s="75">
        <v>1911</v>
      </c>
    </row>
    <row r="34" spans="2:14" ht="14.45" x14ac:dyDescent="0.3">
      <c r="B34" s="18" t="s">
        <v>42</v>
      </c>
      <c r="C34" s="8">
        <f t="shared" si="0"/>
        <v>1479</v>
      </c>
      <c r="D34" s="9">
        <f t="shared" si="1"/>
        <v>1764</v>
      </c>
      <c r="G34" s="18" t="s">
        <v>42</v>
      </c>
      <c r="H34" s="74">
        <v>2727</v>
      </c>
      <c r="I34" s="75">
        <v>2982</v>
      </c>
      <c r="L34" s="18" t="s">
        <v>42</v>
      </c>
      <c r="M34" s="74">
        <v>1479</v>
      </c>
      <c r="N34" s="75">
        <v>1764</v>
      </c>
    </row>
    <row r="35" spans="2:14" ht="14.45" x14ac:dyDescent="0.3">
      <c r="B35" s="18" t="s">
        <v>43</v>
      </c>
      <c r="C35" s="8">
        <f t="shared" si="0"/>
        <v>1419</v>
      </c>
      <c r="D35" s="9">
        <f t="shared" si="1"/>
        <v>1557</v>
      </c>
      <c r="G35" s="18" t="s">
        <v>43</v>
      </c>
      <c r="H35" s="74">
        <v>2505</v>
      </c>
      <c r="I35" s="75">
        <v>2799</v>
      </c>
      <c r="L35" s="18" t="s">
        <v>43</v>
      </c>
      <c r="M35" s="74">
        <v>1419</v>
      </c>
      <c r="N35" s="75">
        <v>1557</v>
      </c>
    </row>
    <row r="36" spans="2:14" ht="14.45" x14ac:dyDescent="0.3">
      <c r="B36" s="18" t="s">
        <v>44</v>
      </c>
      <c r="C36" s="8">
        <f t="shared" si="0"/>
        <v>1365</v>
      </c>
      <c r="D36" s="9">
        <f t="shared" si="1"/>
        <v>1425</v>
      </c>
      <c r="G36" s="18" t="s">
        <v>44</v>
      </c>
      <c r="H36" s="74">
        <v>2139</v>
      </c>
      <c r="I36" s="75">
        <v>2670</v>
      </c>
      <c r="L36" s="18" t="s">
        <v>44</v>
      </c>
      <c r="M36" s="74">
        <v>1365</v>
      </c>
      <c r="N36" s="75">
        <v>1425</v>
      </c>
    </row>
    <row r="37" spans="2:14" ht="14.45" x14ac:dyDescent="0.3">
      <c r="B37" s="19" t="s">
        <v>45</v>
      </c>
      <c r="C37" s="11">
        <f t="shared" si="0"/>
        <v>1197</v>
      </c>
      <c r="D37" s="12">
        <f t="shared" si="1"/>
        <v>1401</v>
      </c>
      <c r="G37" s="19" t="s">
        <v>45</v>
      </c>
      <c r="H37" s="76">
        <v>1875</v>
      </c>
      <c r="I37" s="77">
        <v>2247</v>
      </c>
      <c r="L37" s="19" t="s">
        <v>45</v>
      </c>
      <c r="M37" s="76">
        <v>1197</v>
      </c>
      <c r="N37" s="77">
        <v>1401</v>
      </c>
    </row>
    <row r="39" spans="2:14" ht="14.45" x14ac:dyDescent="0.3">
      <c r="B39" s="15" t="s">
        <v>90</v>
      </c>
      <c r="C39" s="6"/>
    </row>
    <row r="40" spans="2:14" ht="14.45" x14ac:dyDescent="0.3">
      <c r="B40" s="19" t="s">
        <v>75</v>
      </c>
      <c r="C40" s="23">
        <v>242.6</v>
      </c>
    </row>
    <row r="41" spans="2:14" ht="14.45" x14ac:dyDescent="0.3">
      <c r="C41" s="20"/>
    </row>
    <row r="42" spans="2:14" ht="14.45" x14ac:dyDescent="0.3">
      <c r="B42" t="s">
        <v>85</v>
      </c>
    </row>
    <row r="43" spans="2:14" ht="14.45" x14ac:dyDescent="0.3">
      <c r="B43" s="15" t="s">
        <v>26</v>
      </c>
      <c r="C43" s="16" t="s">
        <v>62</v>
      </c>
      <c r="D43" s="16" t="s">
        <v>63</v>
      </c>
      <c r="E43" s="16" t="s">
        <v>64</v>
      </c>
      <c r="F43" s="16" t="s">
        <v>65</v>
      </c>
      <c r="G43" s="16" t="s">
        <v>66</v>
      </c>
      <c r="H43" s="16" t="s">
        <v>67</v>
      </c>
      <c r="I43" s="16" t="s">
        <v>68</v>
      </c>
      <c r="J43" s="16" t="s">
        <v>69</v>
      </c>
      <c r="K43" s="17" t="s">
        <v>70</v>
      </c>
    </row>
    <row r="44" spans="2:14" ht="14.45" x14ac:dyDescent="0.3">
      <c r="B44" s="18" t="s">
        <v>71</v>
      </c>
      <c r="C44" s="20">
        <v>100</v>
      </c>
      <c r="D44" s="20"/>
      <c r="E44" s="20"/>
      <c r="F44" s="20"/>
      <c r="G44" s="20"/>
      <c r="H44" s="20"/>
      <c r="I44" s="20"/>
      <c r="J44" s="20"/>
      <c r="K44" s="22"/>
    </row>
    <row r="45" spans="2:14" ht="14.45" x14ac:dyDescent="0.3">
      <c r="B45" s="18" t="s">
        <v>60</v>
      </c>
      <c r="C45" s="20"/>
      <c r="D45" s="20">
        <v>416.66</v>
      </c>
      <c r="E45" s="20">
        <v>1000</v>
      </c>
      <c r="F45" s="20">
        <v>958.33</v>
      </c>
      <c r="G45" s="20">
        <v>916.66</v>
      </c>
      <c r="H45" s="20">
        <v>833.33</v>
      </c>
      <c r="I45" s="20">
        <v>750</v>
      </c>
      <c r="J45" s="20">
        <v>666</v>
      </c>
      <c r="K45" s="22">
        <v>583.33000000000004</v>
      </c>
    </row>
    <row r="46" spans="2:14" ht="14.45" x14ac:dyDescent="0.3">
      <c r="B46" s="19" t="s">
        <v>61</v>
      </c>
      <c r="C46" s="21">
        <v>583.33000000000004</v>
      </c>
      <c r="D46" s="21"/>
      <c r="E46" s="21"/>
      <c r="F46" s="21"/>
      <c r="G46" s="21"/>
      <c r="H46" s="21"/>
      <c r="I46" s="21"/>
      <c r="J46" s="21"/>
      <c r="K46" s="23"/>
    </row>
    <row r="48" spans="2:14" ht="14.45" x14ac:dyDescent="0.3">
      <c r="B48" s="14" t="s">
        <v>86</v>
      </c>
      <c r="I48" s="14" t="s">
        <v>84</v>
      </c>
      <c r="J48" s="14"/>
    </row>
    <row r="49" spans="2:18" ht="14.45" x14ac:dyDescent="0.3">
      <c r="B49" s="15" t="s">
        <v>26</v>
      </c>
      <c r="C49" s="16" t="s">
        <v>73</v>
      </c>
      <c r="D49" s="16" t="s">
        <v>66</v>
      </c>
      <c r="E49" s="16" t="s">
        <v>67</v>
      </c>
      <c r="F49" s="16" t="s">
        <v>68</v>
      </c>
      <c r="G49" s="17" t="s">
        <v>74</v>
      </c>
      <c r="I49" s="15" t="s">
        <v>89</v>
      </c>
      <c r="J49" s="17" t="s">
        <v>77</v>
      </c>
    </row>
    <row r="50" spans="2:18" ht="14.45" x14ac:dyDescent="0.3">
      <c r="B50" s="19" t="s">
        <v>72</v>
      </c>
      <c r="C50" s="21">
        <v>208.33</v>
      </c>
      <c r="D50" s="21">
        <v>291.66000000000003</v>
      </c>
      <c r="E50" s="21">
        <v>333.33</v>
      </c>
      <c r="F50" s="21">
        <v>416.66</v>
      </c>
      <c r="G50" s="23">
        <v>500</v>
      </c>
      <c r="I50" s="19" t="s">
        <v>83</v>
      </c>
      <c r="J50" s="25">
        <v>15000</v>
      </c>
    </row>
    <row r="53" spans="2:18" ht="18" x14ac:dyDescent="0.35">
      <c r="B53" s="27" t="s">
        <v>100</v>
      </c>
      <c r="C53" s="11"/>
      <c r="D53" s="11"/>
      <c r="E53" s="11"/>
      <c r="F53" s="11"/>
      <c r="G53" s="11"/>
      <c r="H53" s="11"/>
      <c r="I53" s="11"/>
      <c r="J53" s="11"/>
      <c r="K53" s="11"/>
      <c r="L53" s="11"/>
      <c r="M53" s="11"/>
      <c r="N53" s="11"/>
      <c r="O53" s="11"/>
      <c r="P53" s="11"/>
      <c r="Q53" s="11"/>
      <c r="R53" s="11"/>
    </row>
    <row r="54" spans="2:18" ht="14.45" x14ac:dyDescent="0.3">
      <c r="L54" t="s">
        <v>289</v>
      </c>
    </row>
    <row r="55" spans="2:18" ht="14.45" x14ac:dyDescent="0.3">
      <c r="B55" s="24" t="s">
        <v>87</v>
      </c>
      <c r="G55" t="s">
        <v>88</v>
      </c>
      <c r="L55">
        <v>8</v>
      </c>
      <c r="M55">
        <v>7</v>
      </c>
      <c r="N55">
        <v>6</v>
      </c>
      <c r="O55">
        <v>6</v>
      </c>
      <c r="P55">
        <v>5</v>
      </c>
      <c r="Q55">
        <v>5</v>
      </c>
    </row>
    <row r="56" spans="2:18" ht="14.45" x14ac:dyDescent="0.3">
      <c r="B56" s="15" t="s">
        <v>76</v>
      </c>
      <c r="C56" s="16" t="s">
        <v>78</v>
      </c>
      <c r="D56" s="17" t="s">
        <v>79</v>
      </c>
      <c r="G56" s="15" t="s">
        <v>76</v>
      </c>
      <c r="H56" s="16" t="s">
        <v>80</v>
      </c>
      <c r="I56" s="16" t="s">
        <v>81</v>
      </c>
      <c r="J56" s="17" t="s">
        <v>82</v>
      </c>
      <c r="L56" s="13" t="s">
        <v>288</v>
      </c>
      <c r="M56" s="13" t="s">
        <v>285</v>
      </c>
      <c r="N56" s="13" t="s">
        <v>286</v>
      </c>
      <c r="O56" s="13" t="s">
        <v>284</v>
      </c>
      <c r="P56" s="13" t="s">
        <v>287</v>
      </c>
      <c r="Q56" s="13" t="s">
        <v>290</v>
      </c>
    </row>
    <row r="57" spans="2:18" ht="14.45" x14ac:dyDescent="0.3">
      <c r="B57" s="18" t="s">
        <v>11</v>
      </c>
      <c r="C57" s="8">
        <v>20000</v>
      </c>
      <c r="D57" s="9">
        <v>20000</v>
      </c>
      <c r="G57" s="18" t="s">
        <v>11</v>
      </c>
      <c r="H57" s="8">
        <v>13000</v>
      </c>
      <c r="I57" s="8">
        <v>23000</v>
      </c>
      <c r="J57" s="9">
        <v>35000</v>
      </c>
      <c r="L57" s="24">
        <f>4*J57+4*J57</f>
        <v>280000</v>
      </c>
      <c r="M57" s="24">
        <f>4*J57+3*I57</f>
        <v>209000</v>
      </c>
      <c r="N57" s="101">
        <f>4*J57+2*H57</f>
        <v>166000</v>
      </c>
      <c r="O57" s="24">
        <f t="shared" ref="O57:O60" si="2">3*I57+3*I57</f>
        <v>138000</v>
      </c>
      <c r="P57" s="24">
        <f t="shared" ref="P57:P60" si="3">3*I57+2*H57</f>
        <v>95000</v>
      </c>
      <c r="Q57" s="101">
        <f t="shared" ref="Q57:Q60" si="4">4*J57</f>
        <v>140000</v>
      </c>
    </row>
    <row r="58" spans="2:18" ht="14.45" x14ac:dyDescent="0.3">
      <c r="B58" s="18" t="s">
        <v>5</v>
      </c>
      <c r="C58" s="8">
        <v>29000</v>
      </c>
      <c r="D58" s="9">
        <v>50000</v>
      </c>
      <c r="G58" s="18" t="s">
        <v>5</v>
      </c>
      <c r="H58" s="8">
        <v>25000</v>
      </c>
      <c r="I58" s="8">
        <v>40000</v>
      </c>
      <c r="J58" s="9">
        <v>60000</v>
      </c>
      <c r="L58" s="24">
        <f t="shared" ref="L58:L61" si="5">4*J58+4*J58</f>
        <v>480000</v>
      </c>
      <c r="M58" s="24">
        <f t="shared" ref="M58:M61" si="6">4*J58+3*I58</f>
        <v>360000</v>
      </c>
      <c r="N58" s="101">
        <f t="shared" ref="N58:N61" si="7">4*J58+2*H58</f>
        <v>290000</v>
      </c>
      <c r="O58" s="24">
        <f t="shared" si="2"/>
        <v>240000</v>
      </c>
      <c r="P58" s="24">
        <f t="shared" si="3"/>
        <v>170000</v>
      </c>
      <c r="Q58" s="101">
        <f t="shared" si="4"/>
        <v>240000</v>
      </c>
    </row>
    <row r="59" spans="2:18" ht="14.45" x14ac:dyDescent="0.3">
      <c r="B59" s="18" t="s">
        <v>6</v>
      </c>
      <c r="C59" s="8">
        <v>36000</v>
      </c>
      <c r="D59" s="9">
        <v>41000</v>
      </c>
      <c r="G59" s="18" t="s">
        <v>6</v>
      </c>
      <c r="H59" s="8">
        <v>21000</v>
      </c>
      <c r="I59" s="8">
        <v>34000</v>
      </c>
      <c r="J59" s="9">
        <v>51000</v>
      </c>
      <c r="L59" s="24">
        <f t="shared" si="5"/>
        <v>408000</v>
      </c>
      <c r="M59" s="24">
        <f t="shared" si="6"/>
        <v>306000</v>
      </c>
      <c r="N59" s="101">
        <f t="shared" si="7"/>
        <v>246000</v>
      </c>
      <c r="O59" s="24">
        <f t="shared" si="2"/>
        <v>204000</v>
      </c>
      <c r="P59" s="24">
        <f t="shared" si="3"/>
        <v>144000</v>
      </c>
      <c r="Q59" s="101">
        <f t="shared" si="4"/>
        <v>204000</v>
      </c>
    </row>
    <row r="60" spans="2:18" ht="14.45" x14ac:dyDescent="0.3">
      <c r="B60" s="18" t="s">
        <v>227</v>
      </c>
      <c r="C60" s="14">
        <v>28000</v>
      </c>
      <c r="D60" s="9">
        <v>30000</v>
      </c>
      <c r="G60" s="18" t="s">
        <v>227</v>
      </c>
      <c r="H60" s="14">
        <v>13000</v>
      </c>
      <c r="I60" s="14">
        <v>19000</v>
      </c>
      <c r="J60" s="9">
        <v>25000</v>
      </c>
      <c r="L60" s="24">
        <f t="shared" si="5"/>
        <v>200000</v>
      </c>
      <c r="M60" s="24">
        <f t="shared" si="6"/>
        <v>157000</v>
      </c>
      <c r="N60" s="101">
        <f t="shared" si="7"/>
        <v>126000</v>
      </c>
      <c r="O60" s="24">
        <f t="shared" si="2"/>
        <v>114000</v>
      </c>
      <c r="P60" s="24">
        <f t="shared" si="3"/>
        <v>83000</v>
      </c>
      <c r="Q60" s="101">
        <f t="shared" si="4"/>
        <v>100000</v>
      </c>
    </row>
    <row r="61" spans="2:18" ht="14.45" x14ac:dyDescent="0.3">
      <c r="B61" s="19" t="s">
        <v>177</v>
      </c>
      <c r="C61" s="44">
        <v>36000</v>
      </c>
      <c r="D61" s="25">
        <v>50000</v>
      </c>
      <c r="G61" s="19" t="s">
        <v>177</v>
      </c>
      <c r="H61" s="44">
        <v>17000</v>
      </c>
      <c r="I61" s="44">
        <v>33000</v>
      </c>
      <c r="J61" s="25">
        <v>50000</v>
      </c>
      <c r="L61" s="24">
        <f t="shared" si="5"/>
        <v>400000</v>
      </c>
      <c r="M61" s="24">
        <f t="shared" si="6"/>
        <v>299000</v>
      </c>
      <c r="N61" s="101">
        <f t="shared" si="7"/>
        <v>234000</v>
      </c>
      <c r="O61" s="24">
        <f>3*I61+3*I61</f>
        <v>198000</v>
      </c>
      <c r="P61" s="24">
        <f>3*I61+2*H61</f>
        <v>133000</v>
      </c>
      <c r="Q61" s="101">
        <f>4*J61</f>
        <v>200000</v>
      </c>
    </row>
    <row r="62" spans="2:18" ht="14.45" x14ac:dyDescent="0.3">
      <c r="N62" t="s">
        <v>299</v>
      </c>
      <c r="Q62" t="s">
        <v>300</v>
      </c>
    </row>
    <row r="64" spans="2:18" ht="18" x14ac:dyDescent="0.35">
      <c r="B64" s="27" t="s">
        <v>104</v>
      </c>
      <c r="C64" s="11"/>
      <c r="D64" s="11"/>
      <c r="E64" s="11"/>
      <c r="F64" s="11"/>
      <c r="G64" s="11"/>
      <c r="H64" s="11"/>
      <c r="I64" s="11"/>
      <c r="J64" s="11"/>
      <c r="K64" s="11"/>
      <c r="L64" s="11"/>
      <c r="M64" s="11"/>
      <c r="N64" s="11"/>
      <c r="O64" s="11"/>
      <c r="P64" s="11"/>
      <c r="Q64" s="11"/>
      <c r="R64" s="11"/>
    </row>
    <row r="65" spans="2:18" ht="14.45" x14ac:dyDescent="0.3">
      <c r="B65" s="14"/>
    </row>
    <row r="66" spans="2:18" ht="14.45" x14ac:dyDescent="0.3">
      <c r="B66" t="s">
        <v>105</v>
      </c>
      <c r="F66" t="s">
        <v>107</v>
      </c>
    </row>
    <row r="67" spans="2:18" ht="14.45" x14ac:dyDescent="0.3">
      <c r="B67" s="31" t="s">
        <v>106</v>
      </c>
      <c r="C67" s="30">
        <v>2088</v>
      </c>
      <c r="F67" s="31" t="s">
        <v>108</v>
      </c>
      <c r="G67" s="30">
        <v>20000</v>
      </c>
    </row>
    <row r="70" spans="2:18" ht="18" x14ac:dyDescent="0.35">
      <c r="B70" s="27" t="s">
        <v>110</v>
      </c>
      <c r="C70" s="11"/>
      <c r="D70" s="11"/>
      <c r="E70" s="11"/>
      <c r="F70" s="11"/>
      <c r="G70" s="11"/>
      <c r="H70" s="11"/>
      <c r="I70" s="11"/>
      <c r="J70" s="11"/>
      <c r="K70" s="11"/>
      <c r="L70" s="11"/>
      <c r="M70" s="11"/>
      <c r="N70" s="11"/>
      <c r="O70" s="11"/>
      <c r="P70" s="11"/>
      <c r="Q70" s="11"/>
      <c r="R70" s="11"/>
    </row>
    <row r="72" spans="2:18" ht="14.45" x14ac:dyDescent="0.3">
      <c r="B72" t="s">
        <v>112</v>
      </c>
      <c r="D72" t="s">
        <v>113</v>
      </c>
    </row>
    <row r="73" spans="2:18" ht="14.45" x14ac:dyDescent="0.3">
      <c r="B73" s="15"/>
      <c r="C73" s="16" t="s">
        <v>111</v>
      </c>
      <c r="D73" s="33" t="s">
        <v>16</v>
      </c>
      <c r="E73" s="34" t="s">
        <v>114</v>
      </c>
    </row>
    <row r="74" spans="2:18" ht="14.45" x14ac:dyDescent="0.3">
      <c r="B74" s="18" t="s">
        <v>115</v>
      </c>
      <c r="C74" s="8">
        <v>50214</v>
      </c>
      <c r="D74" s="8">
        <v>412</v>
      </c>
      <c r="E74" s="9">
        <v>275</v>
      </c>
    </row>
    <row r="75" spans="2:18" ht="14.45" x14ac:dyDescent="0.3">
      <c r="B75" s="18" t="s">
        <v>116</v>
      </c>
      <c r="C75" s="8">
        <v>52048</v>
      </c>
      <c r="D75" s="8">
        <v>435</v>
      </c>
      <c r="E75" s="9">
        <v>290</v>
      </c>
    </row>
    <row r="76" spans="2:18" ht="14.45" x14ac:dyDescent="0.3">
      <c r="B76" s="18" t="s">
        <v>117</v>
      </c>
      <c r="C76" s="8">
        <v>54024</v>
      </c>
      <c r="D76" s="8">
        <v>460</v>
      </c>
      <c r="E76" s="9">
        <v>307</v>
      </c>
    </row>
    <row r="77" spans="2:18" ht="14.45" x14ac:dyDescent="0.3">
      <c r="B77" s="19" t="s">
        <v>118</v>
      </c>
      <c r="C77" s="11">
        <v>56380</v>
      </c>
      <c r="D77" s="11">
        <v>489</v>
      </c>
      <c r="E77" s="12">
        <v>326</v>
      </c>
    </row>
    <row r="78" spans="2:18" ht="14.45" x14ac:dyDescent="0.3">
      <c r="I78" t="s">
        <v>346</v>
      </c>
      <c r="L78" t="s">
        <v>347</v>
      </c>
    </row>
    <row r="79" spans="2:18" ht="14.45" x14ac:dyDescent="0.3">
      <c r="B79" s="14" t="s">
        <v>120</v>
      </c>
      <c r="F79" s="14" t="s">
        <v>344</v>
      </c>
      <c r="I79" s="14" t="s">
        <v>345</v>
      </c>
      <c r="L79" s="14" t="s">
        <v>348</v>
      </c>
    </row>
    <row r="80" spans="2:18" ht="14.45" x14ac:dyDescent="0.3">
      <c r="B80" s="15" t="s">
        <v>76</v>
      </c>
      <c r="C80" s="17" t="s">
        <v>119</v>
      </c>
      <c r="F80" s="15" t="s">
        <v>76</v>
      </c>
      <c r="G80" s="17" t="s">
        <v>119</v>
      </c>
      <c r="I80" s="15" t="s">
        <v>76</v>
      </c>
      <c r="J80" s="17" t="s">
        <v>119</v>
      </c>
      <c r="L80" s="15" t="s">
        <v>76</v>
      </c>
      <c r="M80" s="17" t="s">
        <v>119</v>
      </c>
    </row>
    <row r="81" spans="2:14" ht="14.45" x14ac:dyDescent="0.3">
      <c r="B81" s="18" t="s">
        <v>11</v>
      </c>
      <c r="C81" s="136">
        <f>MainParameters!C29</f>
        <v>178500</v>
      </c>
      <c r="F81" s="18" t="s">
        <v>11</v>
      </c>
      <c r="G81" s="136">
        <v>178000</v>
      </c>
      <c r="I81" s="18" t="s">
        <v>11</v>
      </c>
      <c r="J81" s="196">
        <v>173000</v>
      </c>
      <c r="L81" s="18" t="s">
        <v>11</v>
      </c>
      <c r="M81" s="196">
        <v>175000</v>
      </c>
    </row>
    <row r="82" spans="2:14" ht="14.45" x14ac:dyDescent="0.3">
      <c r="B82" s="18" t="s">
        <v>5</v>
      </c>
      <c r="C82" s="136">
        <f>MainParameters!C30</f>
        <v>303960</v>
      </c>
      <c r="F82" s="18" t="s">
        <v>5</v>
      </c>
      <c r="G82" s="136">
        <v>290000</v>
      </c>
      <c r="I82" s="18" t="s">
        <v>5</v>
      </c>
      <c r="J82" s="196">
        <v>299000</v>
      </c>
      <c r="L82" s="18" t="s">
        <v>5</v>
      </c>
      <c r="M82" s="196">
        <v>298000</v>
      </c>
    </row>
    <row r="83" spans="2:14" ht="14.45" x14ac:dyDescent="0.3">
      <c r="B83" s="18" t="s">
        <v>6</v>
      </c>
      <c r="C83" s="136">
        <f t="shared" ref="C83" si="8">IF($G$1="San Antonio, TX",M83*(1+$C$12),J83*(1+$C$12))</f>
        <v>0</v>
      </c>
      <c r="F83" s="18" t="s">
        <v>6</v>
      </c>
      <c r="G83" s="136"/>
      <c r="I83" s="18" t="s">
        <v>6</v>
      </c>
      <c r="J83" s="196"/>
      <c r="L83" s="18" t="s">
        <v>6</v>
      </c>
      <c r="M83" s="196"/>
    </row>
    <row r="84" spans="2:14" ht="14.45" x14ac:dyDescent="0.3">
      <c r="B84" s="18" t="s">
        <v>227</v>
      </c>
      <c r="C84" s="136">
        <f>MainParameters!C31</f>
        <v>215220</v>
      </c>
      <c r="F84" s="18" t="s">
        <v>227</v>
      </c>
      <c r="G84" s="136">
        <v>209000</v>
      </c>
      <c r="I84" s="18" t="s">
        <v>227</v>
      </c>
      <c r="J84" s="196">
        <v>206000</v>
      </c>
      <c r="L84" s="18" t="s">
        <v>227</v>
      </c>
      <c r="M84" s="196">
        <v>211000</v>
      </c>
    </row>
    <row r="85" spans="2:14" ht="14.45" x14ac:dyDescent="0.3">
      <c r="B85" s="19" t="s">
        <v>177</v>
      </c>
      <c r="C85" s="137">
        <f>MainParameters!C32</f>
        <v>409020</v>
      </c>
      <c r="F85" s="19" t="s">
        <v>177</v>
      </c>
      <c r="G85" s="137">
        <v>315000</v>
      </c>
      <c r="H85" t="s">
        <v>343</v>
      </c>
      <c r="I85" s="19" t="s">
        <v>177</v>
      </c>
      <c r="J85" s="197">
        <v>400000</v>
      </c>
      <c r="K85" t="s">
        <v>343</v>
      </c>
      <c r="L85" s="19" t="s">
        <v>177</v>
      </c>
      <c r="M85" s="197">
        <v>401000</v>
      </c>
      <c r="N85" t="s">
        <v>349</v>
      </c>
    </row>
    <row r="87" spans="2:14" ht="14.45" x14ac:dyDescent="0.3">
      <c r="B87" t="s">
        <v>508</v>
      </c>
    </row>
    <row r="88" spans="2:14" ht="14.45" x14ac:dyDescent="0.3">
      <c r="B88" s="31" t="s">
        <v>136</v>
      </c>
      <c r="C88" s="162">
        <f>MainParameters!C20</f>
        <v>180000</v>
      </c>
    </row>
    <row r="90" spans="2:14" ht="14.45" x14ac:dyDescent="0.3">
      <c r="B90" t="s">
        <v>131</v>
      </c>
    </row>
    <row r="91" spans="2:14" ht="14.45" x14ac:dyDescent="0.3">
      <c r="B91" s="15" t="s">
        <v>129</v>
      </c>
      <c r="C91" s="17" t="s">
        <v>130</v>
      </c>
      <c r="D91" t="s">
        <v>139</v>
      </c>
    </row>
    <row r="92" spans="2:14" ht="14.45" x14ac:dyDescent="0.3">
      <c r="B92" s="38">
        <v>1</v>
      </c>
      <c r="C92" s="9">
        <v>11490</v>
      </c>
      <c r="D92">
        <f>C92*1.5</f>
        <v>17235</v>
      </c>
    </row>
    <row r="93" spans="2:14" ht="14.45" x14ac:dyDescent="0.3">
      <c r="B93" s="38">
        <v>2</v>
      </c>
      <c r="C93" s="9">
        <v>15510</v>
      </c>
      <c r="D93">
        <f t="shared" ref="D93:D99" si="9">C93*1.5</f>
        <v>23265</v>
      </c>
    </row>
    <row r="94" spans="2:14" ht="14.45" x14ac:dyDescent="0.3">
      <c r="B94" s="38">
        <v>3</v>
      </c>
      <c r="C94" s="9">
        <v>19530</v>
      </c>
      <c r="D94">
        <f t="shared" si="9"/>
        <v>29295</v>
      </c>
    </row>
    <row r="95" spans="2:14" ht="14.45" x14ac:dyDescent="0.3">
      <c r="B95" s="38">
        <v>4</v>
      </c>
      <c r="C95" s="9">
        <v>23550</v>
      </c>
      <c r="D95">
        <f t="shared" si="9"/>
        <v>35325</v>
      </c>
    </row>
    <row r="96" spans="2:14" ht="14.45" x14ac:dyDescent="0.3">
      <c r="B96" s="38">
        <v>5</v>
      </c>
      <c r="C96" s="9">
        <v>27570</v>
      </c>
      <c r="D96">
        <f t="shared" si="9"/>
        <v>41355</v>
      </c>
    </row>
    <row r="97" spans="2:18" ht="14.45" x14ac:dyDescent="0.3">
      <c r="B97" s="38">
        <v>6</v>
      </c>
      <c r="C97" s="9">
        <v>31590</v>
      </c>
      <c r="D97">
        <f t="shared" si="9"/>
        <v>47385</v>
      </c>
    </row>
    <row r="98" spans="2:18" ht="14.45" x14ac:dyDescent="0.3">
      <c r="B98" s="38">
        <v>7</v>
      </c>
      <c r="C98" s="9">
        <v>35610</v>
      </c>
      <c r="D98">
        <f t="shared" si="9"/>
        <v>53415</v>
      </c>
    </row>
    <row r="99" spans="2:18" ht="14.45" x14ac:dyDescent="0.3">
      <c r="B99" s="38">
        <v>8</v>
      </c>
      <c r="C99" s="9">
        <v>39630</v>
      </c>
      <c r="D99">
        <f t="shared" si="9"/>
        <v>59445</v>
      </c>
    </row>
    <row r="100" spans="2:18" ht="14.45" x14ac:dyDescent="0.3">
      <c r="B100" s="37" t="s">
        <v>128</v>
      </c>
      <c r="C100" s="12"/>
    </row>
    <row r="102" spans="2:18" ht="14.45" x14ac:dyDescent="0.3">
      <c r="B102" s="8" t="s">
        <v>138</v>
      </c>
      <c r="C102" s="8" t="s">
        <v>191</v>
      </c>
      <c r="D102" s="8" t="s">
        <v>147</v>
      </c>
    </row>
    <row r="103" spans="2:18" ht="14.45" x14ac:dyDescent="0.3">
      <c r="B103" s="15" t="s">
        <v>11</v>
      </c>
      <c r="C103" s="72">
        <f>2659*12</f>
        <v>31908</v>
      </c>
      <c r="D103" s="73">
        <f>C103/12</f>
        <v>2659</v>
      </c>
      <c r="E103" s="78" t="s">
        <v>210</v>
      </c>
    </row>
    <row r="104" spans="2:18" ht="14.45" x14ac:dyDescent="0.3">
      <c r="B104" s="18" t="s">
        <v>5</v>
      </c>
      <c r="C104" s="74"/>
      <c r="D104" s="75"/>
    </row>
    <row r="105" spans="2:18" ht="14.45" x14ac:dyDescent="0.3">
      <c r="B105" s="18" t="s">
        <v>6</v>
      </c>
      <c r="C105" s="74"/>
      <c r="D105" s="75"/>
    </row>
    <row r="106" spans="2:18" ht="14.45" x14ac:dyDescent="0.3">
      <c r="B106" s="19" t="s">
        <v>177</v>
      </c>
      <c r="C106" s="76">
        <f>D106*12</f>
        <v>38100</v>
      </c>
      <c r="D106" s="77">
        <v>3175</v>
      </c>
    </row>
    <row r="109" spans="2:18" ht="18" x14ac:dyDescent="0.35">
      <c r="B109" s="27" t="s">
        <v>230</v>
      </c>
      <c r="C109" s="11"/>
      <c r="D109" s="11"/>
      <c r="E109" s="11"/>
      <c r="F109" s="11"/>
      <c r="G109" s="11"/>
      <c r="H109" s="11"/>
      <c r="I109" s="11"/>
      <c r="J109" s="11"/>
      <c r="K109" s="11"/>
      <c r="L109" s="11"/>
      <c r="M109" s="11"/>
      <c r="N109" s="11"/>
      <c r="O109" s="11"/>
      <c r="P109" s="11"/>
      <c r="Q109" s="11"/>
      <c r="R109" s="11"/>
    </row>
    <row r="111" spans="2:18" ht="14.45" x14ac:dyDescent="0.3">
      <c r="B111" s="15" t="s">
        <v>231</v>
      </c>
      <c r="C111" s="16" t="s">
        <v>147</v>
      </c>
      <c r="D111" s="17" t="s">
        <v>191</v>
      </c>
    </row>
    <row r="112" spans="2:18" ht="14.45" x14ac:dyDescent="0.3">
      <c r="B112" s="19" t="s">
        <v>232</v>
      </c>
      <c r="C112" s="11">
        <v>1289</v>
      </c>
      <c r="D112" s="12">
        <f>C112*12</f>
        <v>15468</v>
      </c>
    </row>
    <row r="114" spans="2:18" ht="14.45" x14ac:dyDescent="0.3">
      <c r="B114" s="14" t="s">
        <v>120</v>
      </c>
    </row>
    <row r="115" spans="2:18" ht="14.45" x14ac:dyDescent="0.3">
      <c r="B115" s="15" t="s">
        <v>76</v>
      </c>
      <c r="C115" s="17" t="s">
        <v>119</v>
      </c>
    </row>
    <row r="116" spans="2:18" ht="14.45" x14ac:dyDescent="0.3">
      <c r="B116" s="19" t="s">
        <v>11</v>
      </c>
      <c r="C116" s="25">
        <f>MainParameters!C38</f>
        <v>140000</v>
      </c>
    </row>
    <row r="119" spans="2:18" ht="18" x14ac:dyDescent="0.35">
      <c r="B119" s="27" t="s">
        <v>350</v>
      </c>
      <c r="C119" s="11"/>
      <c r="D119" s="11"/>
      <c r="E119" s="11"/>
      <c r="F119" s="11"/>
      <c r="G119" s="11"/>
      <c r="H119" s="11"/>
      <c r="I119" s="11"/>
      <c r="J119" s="11"/>
      <c r="K119" s="11"/>
      <c r="L119" s="11"/>
      <c r="M119" s="11"/>
      <c r="N119" s="11"/>
      <c r="O119" s="11"/>
      <c r="P119" s="11"/>
      <c r="Q119" s="11"/>
      <c r="R119" s="11"/>
    </row>
    <row r="122" spans="2:18" ht="14.45" x14ac:dyDescent="0.3">
      <c r="B122" s="151" t="s">
        <v>397</v>
      </c>
      <c r="C122" s="16" t="s">
        <v>398</v>
      </c>
      <c r="D122" s="17"/>
    </row>
    <row r="123" spans="2:18" ht="14.45" x14ac:dyDescent="0.3">
      <c r="B123" s="18">
        <v>27</v>
      </c>
      <c r="C123" s="152">
        <f>F125</f>
        <v>171000</v>
      </c>
      <c r="D123" s="9"/>
    </row>
    <row r="124" spans="2:18" ht="14.45" x14ac:dyDescent="0.3">
      <c r="B124" s="18">
        <v>28</v>
      </c>
      <c r="C124" s="8">
        <f>C$123+(B124-B$123)*(C$128-C$123)/(B$128-B$123)</f>
        <v>174977.3907514</v>
      </c>
      <c r="D124" s="9"/>
      <c r="E124" s="143" t="s">
        <v>361</v>
      </c>
      <c r="F124" s="142" t="s">
        <v>362</v>
      </c>
      <c r="I124" t="s">
        <v>363</v>
      </c>
      <c r="J124" t="s">
        <v>364</v>
      </c>
      <c r="K124" t="s">
        <v>365</v>
      </c>
      <c r="L124" t="s">
        <v>366</v>
      </c>
    </row>
    <row r="125" spans="2:18" ht="14.45" x14ac:dyDescent="0.3">
      <c r="B125" s="18">
        <v>29</v>
      </c>
      <c r="C125" s="8">
        <f t="shared" ref="C125:C127" si="10">C$123+(B125-B$123)*(C$128-C$123)/(B$128-B$123)</f>
        <v>178954.7815028</v>
      </c>
      <c r="D125" s="9">
        <v>191863.7476777375</v>
      </c>
      <c r="E125" s="138" t="s">
        <v>351</v>
      </c>
      <c r="F125" s="140">
        <v>171000</v>
      </c>
      <c r="G125">
        <f>F125/$F$125</f>
        <v>1</v>
      </c>
    </row>
    <row r="126" spans="2:18" ht="14.45" x14ac:dyDescent="0.3">
      <c r="B126" s="18">
        <v>30</v>
      </c>
      <c r="C126" s="8">
        <f t="shared" si="10"/>
        <v>182932.17225420001</v>
      </c>
      <c r="D126" s="9">
        <v>198089.32940057153</v>
      </c>
      <c r="E126" s="138" t="s">
        <v>352</v>
      </c>
      <c r="F126" s="140">
        <v>190886.95375700001</v>
      </c>
      <c r="G126">
        <f t="shared" ref="G126:G133" si="11">F126/$F$125</f>
        <v>1.1162979751871345</v>
      </c>
      <c r="I126" s="144">
        <f>F126+F125</f>
        <v>361886.95375700004</v>
      </c>
      <c r="J126">
        <f>I126/2</f>
        <v>180943.47687850002</v>
      </c>
    </row>
    <row r="127" spans="2:18" ht="14.45" x14ac:dyDescent="0.3">
      <c r="B127" s="18">
        <v>31</v>
      </c>
      <c r="C127" s="8">
        <f t="shared" si="10"/>
        <v>186909.56300560001</v>
      </c>
      <c r="D127" s="9">
        <v>204420.23638309442</v>
      </c>
      <c r="E127" s="138" t="s">
        <v>353</v>
      </c>
      <c r="F127" s="140">
        <v>200988.82995300001</v>
      </c>
      <c r="G127">
        <f t="shared" si="11"/>
        <v>1.1753732745789474</v>
      </c>
      <c r="I127" s="144">
        <f>F127+F126</f>
        <v>391875.78370999999</v>
      </c>
      <c r="J127">
        <f>I127/2</f>
        <v>195937.89185499999</v>
      </c>
    </row>
    <row r="128" spans="2:18" ht="14.45" x14ac:dyDescent="0.3">
      <c r="B128" s="18">
        <v>32</v>
      </c>
      <c r="C128" s="152">
        <f>F126</f>
        <v>190886.95375700001</v>
      </c>
      <c r="D128" s="9">
        <v>210857.95257232772</v>
      </c>
      <c r="E128" s="138" t="s">
        <v>354</v>
      </c>
      <c r="F128" s="140">
        <v>202745.62365600001</v>
      </c>
      <c r="G128">
        <f t="shared" si="11"/>
        <v>1.1856469219649124</v>
      </c>
    </row>
    <row r="129" spans="2:7" ht="14.45" x14ac:dyDescent="0.3">
      <c r="B129" s="18">
        <v>33</v>
      </c>
      <c r="C129" s="8">
        <f>C$128+(B129-B$128)*(C$133-C$128)/(B$133-B$128)</f>
        <v>192907.3289962</v>
      </c>
      <c r="D129" s="9">
        <v>215220.60080081274</v>
      </c>
      <c r="E129" s="138" t="s">
        <v>355</v>
      </c>
      <c r="F129" s="140">
        <v>204738.16745400001</v>
      </c>
      <c r="G129">
        <f t="shared" si="11"/>
        <v>1.197299224877193</v>
      </c>
    </row>
    <row r="130" spans="2:7" ht="14.45" x14ac:dyDescent="0.3">
      <c r="B130" s="18">
        <v>34</v>
      </c>
      <c r="C130" s="8">
        <f t="shared" ref="C130:C132" si="12">C$128+(B130-B$128)*(C$133-C$128)/(B$133-B$128)</f>
        <v>194927.70423540002</v>
      </c>
      <c r="D130" s="9">
        <v>219649.41619861033</v>
      </c>
      <c r="E130" s="138" t="s">
        <v>356</v>
      </c>
      <c r="F130" s="140">
        <v>211523.42429699999</v>
      </c>
      <c r="G130">
        <f t="shared" si="11"/>
        <v>1.2369790894561403</v>
      </c>
    </row>
    <row r="131" spans="2:7" ht="14.45" x14ac:dyDescent="0.3">
      <c r="B131" s="18">
        <v>35</v>
      </c>
      <c r="C131" s="8">
        <f t="shared" si="12"/>
        <v>196948.0794746</v>
      </c>
      <c r="D131" s="9">
        <v>224145.28584428373</v>
      </c>
      <c r="E131" s="138" t="s">
        <v>357</v>
      </c>
      <c r="F131" s="140">
        <v>212075.15841599999</v>
      </c>
      <c r="G131">
        <f t="shared" si="11"/>
        <v>1.2402056047719299</v>
      </c>
    </row>
    <row r="132" spans="2:7" ht="14.45" x14ac:dyDescent="0.3">
      <c r="B132" s="18">
        <v>36</v>
      </c>
      <c r="C132" s="8">
        <f t="shared" si="12"/>
        <v>198968.45471380002</v>
      </c>
      <c r="D132" s="9">
        <v>228709.10794125081</v>
      </c>
      <c r="E132" s="138" t="s">
        <v>358</v>
      </c>
      <c r="F132" s="140">
        <v>213563.85563000001</v>
      </c>
      <c r="G132">
        <f t="shared" si="11"/>
        <v>1.2489114364327485</v>
      </c>
    </row>
    <row r="133" spans="2:7" ht="14.45" x14ac:dyDescent="0.3">
      <c r="B133" s="18">
        <v>37</v>
      </c>
      <c r="C133" s="152">
        <f>F127</f>
        <v>200988.82995300001</v>
      </c>
      <c r="D133" s="9">
        <v>233341.79195157267</v>
      </c>
      <c r="E133" s="138" t="s">
        <v>359</v>
      </c>
      <c r="F133" s="140">
        <v>220449.76491</v>
      </c>
      <c r="G133">
        <f t="shared" si="11"/>
        <v>1.2891799117543858</v>
      </c>
    </row>
    <row r="134" spans="2:7" ht="14.45" x14ac:dyDescent="0.3">
      <c r="B134" s="18">
        <v>38</v>
      </c>
      <c r="C134" s="8">
        <f>C$133+(B134-B$133)*(C$138-C$133)/(B$138-B$133)</f>
        <v>201340.18869360001</v>
      </c>
      <c r="D134" s="9">
        <v>236087.20562702333</v>
      </c>
      <c r="E134" s="139" t="s">
        <v>360</v>
      </c>
      <c r="F134" s="141">
        <v>209267.10285699999</v>
      </c>
    </row>
    <row r="135" spans="2:7" ht="14.45" x14ac:dyDescent="0.3">
      <c r="B135" s="18">
        <v>39</v>
      </c>
      <c r="C135" s="8">
        <f t="shared" ref="C135:C137" si="13">C$133+(B135-B$133)*(C$138-C$133)/(B$138-B$133)</f>
        <v>201691.54743420001</v>
      </c>
      <c r="D135" s="9">
        <v>238864.19339678777</v>
      </c>
    </row>
    <row r="136" spans="2:7" ht="14.45" x14ac:dyDescent="0.3">
      <c r="B136" s="18">
        <v>40</v>
      </c>
      <c r="C136" s="8">
        <f t="shared" si="13"/>
        <v>202042.90617480001</v>
      </c>
      <c r="D136" s="9">
        <v>241673.11220138479</v>
      </c>
    </row>
    <row r="137" spans="2:7" ht="14.45" x14ac:dyDescent="0.3">
      <c r="B137" s="18">
        <v>41</v>
      </c>
      <c r="C137" s="8">
        <f t="shared" si="13"/>
        <v>202394.26491540001</v>
      </c>
      <c r="D137" s="9">
        <v>244514.322962734</v>
      </c>
    </row>
    <row r="138" spans="2:7" ht="14.45" x14ac:dyDescent="0.3">
      <c r="B138" s="19">
        <v>42</v>
      </c>
      <c r="C138" s="153">
        <f>F128</f>
        <v>202745.62365600001</v>
      </c>
      <c r="D138" s="12">
        <v>247388.19062809015</v>
      </c>
    </row>
    <row r="141" spans="2:7" ht="18" x14ac:dyDescent="0.35">
      <c r="B141" s="27" t="s">
        <v>415</v>
      </c>
    </row>
    <row r="143" spans="2:7" ht="14.45" x14ac:dyDescent="0.3">
      <c r="B143" s="15" t="s">
        <v>2</v>
      </c>
      <c r="C143" s="182">
        <f>$K$1</f>
        <v>2013</v>
      </c>
      <c r="D143" s="181" t="s">
        <v>471</v>
      </c>
    </row>
    <row r="144" spans="2:7" ht="14.45" x14ac:dyDescent="0.3">
      <c r="B144" s="183" t="s">
        <v>416</v>
      </c>
      <c r="C144" s="173">
        <f>IF($C$143=2013,6100,5950)</f>
        <v>6100</v>
      </c>
    </row>
    <row r="145" spans="2:13" ht="14.45" x14ac:dyDescent="0.3">
      <c r="B145" s="183" t="s">
        <v>417</v>
      </c>
      <c r="C145" s="173">
        <f>IF($C$143=2013,3900,3800)</f>
        <v>3900</v>
      </c>
    </row>
    <row r="146" spans="2:13" ht="14.45" x14ac:dyDescent="0.3">
      <c r="B146" s="183" t="s">
        <v>418</v>
      </c>
      <c r="C146" s="173">
        <f>IF($C$143=2013,150000,10000000000)</f>
        <v>150000</v>
      </c>
    </row>
    <row r="147" spans="2:13" ht="14.45" x14ac:dyDescent="0.3">
      <c r="B147" s="183" t="s">
        <v>429</v>
      </c>
      <c r="C147" s="36">
        <f>IF($C$143=2013,6.2%,4.2%)</f>
        <v>6.2E-2</v>
      </c>
      <c r="D147" t="s">
        <v>436</v>
      </c>
    </row>
    <row r="148" spans="2:13" ht="14.45" x14ac:dyDescent="0.3">
      <c r="B148" s="183" t="s">
        <v>430</v>
      </c>
      <c r="C148" s="173">
        <f>IF($C$143=2013,113700,110100)</f>
        <v>113700</v>
      </c>
    </row>
    <row r="149" spans="2:13" ht="14.45" x14ac:dyDescent="0.3">
      <c r="B149" s="183" t="s">
        <v>428</v>
      </c>
      <c r="C149" s="36">
        <v>1.4500000000000001E-2</v>
      </c>
    </row>
    <row r="150" spans="2:13" ht="14.45" x14ac:dyDescent="0.3">
      <c r="B150" s="183" t="s">
        <v>445</v>
      </c>
      <c r="C150" s="184">
        <f>IF($C$143=2013,115400,112500)</f>
        <v>115400</v>
      </c>
    </row>
    <row r="151" spans="2:13" ht="14.45" x14ac:dyDescent="0.3">
      <c r="B151" s="183" t="s">
        <v>446</v>
      </c>
      <c r="C151" s="184">
        <f>IF($C$143=2013,323000,314900)</f>
        <v>323000</v>
      </c>
    </row>
    <row r="152" spans="2:13" ht="14.45" x14ac:dyDescent="0.3">
      <c r="B152" s="183" t="s">
        <v>448</v>
      </c>
      <c r="C152" s="184">
        <f>IF($C$143=2013,51900,50600)</f>
        <v>51900</v>
      </c>
    </row>
    <row r="153" spans="2:13" ht="14.45" x14ac:dyDescent="0.3">
      <c r="B153" s="183" t="s">
        <v>447</v>
      </c>
      <c r="C153" s="184">
        <f>IF($C$143=2013,179500,175000)</f>
        <v>179500</v>
      </c>
    </row>
    <row r="154" spans="2:13" ht="14.45" x14ac:dyDescent="0.3">
      <c r="B154" s="183" t="s">
        <v>440</v>
      </c>
      <c r="C154" s="185">
        <v>0.26</v>
      </c>
      <c r="D154">
        <f>(C155-C154)*C153</f>
        <v>3590.0000000000032</v>
      </c>
      <c r="E154" t="s">
        <v>444</v>
      </c>
    </row>
    <row r="155" spans="2:13" ht="14.45" x14ac:dyDescent="0.3">
      <c r="B155" s="186" t="s">
        <v>441</v>
      </c>
      <c r="C155" s="187">
        <v>0.28000000000000003</v>
      </c>
    </row>
    <row r="156" spans="2:13" ht="14.45" x14ac:dyDescent="0.3">
      <c r="B156" s="169"/>
      <c r="C156" s="170"/>
    </row>
    <row r="157" spans="2:13" ht="14.45" x14ac:dyDescent="0.3">
      <c r="B157" s="177" t="s">
        <v>421</v>
      </c>
      <c r="C157" s="195" t="str">
        <f>$G$1</f>
        <v>San Antonio, TX</v>
      </c>
      <c r="G157" s="177" t="s">
        <v>421</v>
      </c>
      <c r="H157" s="198" t="s">
        <v>48</v>
      </c>
      <c r="L157" s="177" t="s">
        <v>421</v>
      </c>
      <c r="M157" s="199" t="s">
        <v>455</v>
      </c>
    </row>
    <row r="158" spans="2:13" ht="28.9" x14ac:dyDescent="0.3">
      <c r="B158" s="183" t="s">
        <v>419</v>
      </c>
      <c r="C158" s="173">
        <f>IF($C$157="San Antonio, TX",M158,H158)</f>
        <v>0</v>
      </c>
      <c r="G158" s="183" t="s">
        <v>419</v>
      </c>
      <c r="H158" s="200">
        <v>4000</v>
      </c>
      <c r="L158" s="183" t="s">
        <v>419</v>
      </c>
      <c r="M158" s="200">
        <v>0</v>
      </c>
    </row>
    <row r="159" spans="2:13" ht="28.9" x14ac:dyDescent="0.3">
      <c r="B159" s="186" t="s">
        <v>420</v>
      </c>
      <c r="C159" s="188">
        <f>IF($C$157="San Antonio, TX",M159,H159)</f>
        <v>0</v>
      </c>
      <c r="G159" s="186" t="s">
        <v>420</v>
      </c>
      <c r="H159" s="201">
        <v>1675</v>
      </c>
      <c r="L159" s="186" t="s">
        <v>420</v>
      </c>
      <c r="M159" s="201">
        <v>0</v>
      </c>
    </row>
    <row r="160" spans="2:13" ht="14.45" x14ac:dyDescent="0.3">
      <c r="G160" t="s">
        <v>48</v>
      </c>
      <c r="L160" s="189" t="s">
        <v>455</v>
      </c>
    </row>
    <row r="161" spans="2:14" ht="57.6" x14ac:dyDescent="0.3">
      <c r="B161" s="177" t="s">
        <v>425</v>
      </c>
      <c r="C161" s="178" t="s">
        <v>423</v>
      </c>
      <c r="D161" s="179" t="s">
        <v>424</v>
      </c>
      <c r="G161" s="177" t="s">
        <v>425</v>
      </c>
      <c r="H161" s="178" t="s">
        <v>423</v>
      </c>
      <c r="I161" s="179" t="s">
        <v>424</v>
      </c>
      <c r="L161" s="177" t="s">
        <v>425</v>
      </c>
      <c r="M161" s="178" t="s">
        <v>423</v>
      </c>
      <c r="N161" s="179" t="s">
        <v>424</v>
      </c>
    </row>
    <row r="162" spans="2:14" x14ac:dyDescent="0.25">
      <c r="B162" s="171">
        <v>0</v>
      </c>
      <c r="C162" s="172">
        <f>IF($C$157="San Antonio, TX",M162,H162)</f>
        <v>0</v>
      </c>
      <c r="D162" s="173">
        <v>0</v>
      </c>
      <c r="G162" s="171">
        <v>0</v>
      </c>
      <c r="H162" s="202">
        <v>0</v>
      </c>
      <c r="I162" s="173">
        <v>0</v>
      </c>
      <c r="L162" s="171">
        <v>0</v>
      </c>
      <c r="M162" s="202">
        <v>0</v>
      </c>
      <c r="N162" s="173">
        <v>0</v>
      </c>
    </row>
    <row r="163" spans="2:14" x14ac:dyDescent="0.25">
      <c r="B163" s="171">
        <v>10000</v>
      </c>
      <c r="C163" s="172">
        <f t="shared" ref="C163:C166" si="14">IF($C$157="San Antonio, TX",M163,H163)</f>
        <v>0</v>
      </c>
      <c r="D163" s="173">
        <f>B163*C163</f>
        <v>0</v>
      </c>
      <c r="G163" s="171">
        <v>10000</v>
      </c>
      <c r="H163" s="202">
        <v>0.04</v>
      </c>
      <c r="I163" s="173">
        <f>G163*H163</f>
        <v>400</v>
      </c>
      <c r="L163" s="171">
        <v>10000</v>
      </c>
      <c r="M163" s="202">
        <v>0</v>
      </c>
      <c r="N163" s="173">
        <f>L163*M163</f>
        <v>0</v>
      </c>
    </row>
    <row r="164" spans="2:14" x14ac:dyDescent="0.25">
      <c r="B164" s="171">
        <v>40000</v>
      </c>
      <c r="C164" s="172">
        <f t="shared" si="14"/>
        <v>0</v>
      </c>
      <c r="D164" s="173">
        <f>D163+C164*(B164-B163)</f>
        <v>0</v>
      </c>
      <c r="G164" s="171">
        <v>40000</v>
      </c>
      <c r="H164" s="202">
        <v>0.06</v>
      </c>
      <c r="I164" s="173">
        <f>I163+H164*(G164-G163)</f>
        <v>2200</v>
      </c>
      <c r="L164" s="171">
        <v>40000</v>
      </c>
      <c r="M164" s="202">
        <v>0</v>
      </c>
      <c r="N164" s="173">
        <f>N163+M164*(L164-L163)</f>
        <v>0</v>
      </c>
    </row>
    <row r="165" spans="2:14" x14ac:dyDescent="0.25">
      <c r="B165" s="171">
        <v>350000</v>
      </c>
      <c r="C165" s="172">
        <f t="shared" si="14"/>
        <v>0</v>
      </c>
      <c r="D165" s="173">
        <f t="shared" ref="D165" si="15">D164+C165*(B165-B164)</f>
        <v>0</v>
      </c>
      <c r="G165" s="171">
        <v>350000</v>
      </c>
      <c r="H165" s="202">
        <v>8.5000000000000006E-2</v>
      </c>
      <c r="I165" s="173">
        <f t="shared" ref="I165" si="16">I164+H165*(G165-G164)</f>
        <v>28550.000000000004</v>
      </c>
      <c r="L165" s="171">
        <v>350000</v>
      </c>
      <c r="M165" s="202">
        <v>0</v>
      </c>
      <c r="N165" s="173">
        <f t="shared" ref="N165" si="17">N164+M165*(L165-L164)</f>
        <v>0</v>
      </c>
    </row>
    <row r="166" spans="2:14" x14ac:dyDescent="0.25">
      <c r="B166" s="111" t="s">
        <v>422</v>
      </c>
      <c r="C166" s="174">
        <f t="shared" si="14"/>
        <v>0</v>
      </c>
      <c r="D166" s="12"/>
      <c r="G166" s="111" t="s">
        <v>422</v>
      </c>
      <c r="H166" s="203">
        <v>8.9499999999999996E-2</v>
      </c>
      <c r="I166" s="12"/>
      <c r="L166" s="111" t="s">
        <v>422</v>
      </c>
      <c r="M166" s="203">
        <v>0</v>
      </c>
      <c r="N166" s="12"/>
    </row>
    <row r="168" spans="2:14" ht="45" x14ac:dyDescent="0.25">
      <c r="B168" s="177" t="s">
        <v>426</v>
      </c>
      <c r="C168" s="178" t="s">
        <v>423</v>
      </c>
      <c r="D168" s="179" t="s">
        <v>427</v>
      </c>
    </row>
    <row r="169" spans="2:14" x14ac:dyDescent="0.25">
      <c r="B169" s="171">
        <v>0</v>
      </c>
      <c r="C169" s="172">
        <v>0</v>
      </c>
      <c r="D169" s="175">
        <v>0</v>
      </c>
    </row>
    <row r="170" spans="2:14" x14ac:dyDescent="0.25">
      <c r="B170" s="171">
        <f>IF($C$143=2013,8925,8700)</f>
        <v>8925</v>
      </c>
      <c r="C170" s="172">
        <v>0.1</v>
      </c>
      <c r="D170" s="175">
        <f>B170*C170</f>
        <v>892.5</v>
      </c>
    </row>
    <row r="171" spans="2:14" x14ac:dyDescent="0.25">
      <c r="B171" s="171">
        <f>IF($C$143=2013,36250,35350)</f>
        <v>36250</v>
      </c>
      <c r="C171" s="172">
        <v>0.15</v>
      </c>
      <c r="D171" s="175">
        <f>D170+C171*(B171-B170)</f>
        <v>4991.25</v>
      </c>
    </row>
    <row r="172" spans="2:14" x14ac:dyDescent="0.25">
      <c r="B172" s="171">
        <f>IF($C$143=2013,87850,85650)</f>
        <v>87850</v>
      </c>
      <c r="C172" s="172">
        <v>0.25</v>
      </c>
      <c r="D172" s="175">
        <f t="shared" ref="D172:D175" si="18">D171+C172*(B172-B171)</f>
        <v>17891.25</v>
      </c>
    </row>
    <row r="173" spans="2:14" x14ac:dyDescent="0.25">
      <c r="B173" s="171">
        <f>IF($C$143=2013,183250,178650)</f>
        <v>183250</v>
      </c>
      <c r="C173" s="172">
        <v>0.28000000000000003</v>
      </c>
      <c r="D173" s="175">
        <f t="shared" si="18"/>
        <v>44603.25</v>
      </c>
    </row>
    <row r="174" spans="2:14" x14ac:dyDescent="0.25">
      <c r="B174" s="171">
        <f>IF($C$143=2013,398350,388350)</f>
        <v>398350</v>
      </c>
      <c r="C174" s="172">
        <v>0.33</v>
      </c>
      <c r="D174" s="175">
        <f t="shared" si="18"/>
        <v>115586.25</v>
      </c>
    </row>
    <row r="175" spans="2:14" x14ac:dyDescent="0.25">
      <c r="B175" s="171">
        <v>400000</v>
      </c>
      <c r="C175" s="172">
        <v>0.35</v>
      </c>
      <c r="D175" s="175">
        <f t="shared" si="18"/>
        <v>116163.75</v>
      </c>
    </row>
    <row r="176" spans="2:14" x14ac:dyDescent="0.25">
      <c r="B176" s="111" t="s">
        <v>422</v>
      </c>
      <c r="C176" s="174">
        <f>IF($C$143=2013,39.6%,35%)</f>
        <v>0.39600000000000002</v>
      </c>
      <c r="D176" s="176"/>
    </row>
    <row r="178" spans="2:10" ht="45" x14ac:dyDescent="0.25">
      <c r="B178" s="177" t="s">
        <v>434</v>
      </c>
      <c r="C178" s="178" t="s">
        <v>431</v>
      </c>
      <c r="D178" s="178" t="s">
        <v>432</v>
      </c>
      <c r="E178" s="178" t="s">
        <v>443</v>
      </c>
      <c r="F178" s="178" t="s">
        <v>433</v>
      </c>
      <c r="G178" s="179" t="s">
        <v>96</v>
      </c>
      <c r="H178" s="177" t="s">
        <v>438</v>
      </c>
      <c r="I178" s="178" t="s">
        <v>439</v>
      </c>
      <c r="J178" s="179" t="s">
        <v>442</v>
      </c>
    </row>
    <row r="179" spans="2:10" x14ac:dyDescent="0.25">
      <c r="B179" s="171">
        <v>0</v>
      </c>
      <c r="C179" s="8">
        <f>IF(B179-$C$158-$C$159&gt;=0,B179-$C$158-$C$159,0)</f>
        <v>0</v>
      </c>
      <c r="D179" s="8">
        <f>IF(B179-IF(B179&lt;=$C$146,$C$145,0)-MAX($C$144,G179)&gt;=0,B179-IF(B179&lt;=$C$146,$C$145,0)-MAX($C$144,G179),0)</f>
        <v>0</v>
      </c>
      <c r="E179" s="8">
        <f>IF(D179&lt;0,"Error",IF(D179&lt;=$B$170,$C$170*D179,IF(D179&lt;=$B$171,$D$170+$C$171*(D179-$B$170),IF(D179&lt;=$B$172,$D$171+$C$172*(D179-$B$171),IF(D179&lt;=$B$173,$D$172+$C$173*(D179-$B$172),IF(D179&lt;=$B$174,$D$173+$C$174*(D179-$B$173),IF(D179&lt;=$B$175,$D$174+$C$175*(D179-$B$174),$D$175+$C$176*(D179-$B$175))))))))</f>
        <v>0</v>
      </c>
      <c r="F179" s="8">
        <f>IF(B179&gt;=0,IF(B179&lt;=$C$148,$C$147*B179,$C$147*$C$148)+$C$149*B179,0)</f>
        <v>0</v>
      </c>
      <c r="G179" s="9">
        <f>IF(C179&lt;0,0,IF(C179&lt;=$B$163,$C$163*C179,IF(C179&lt;=$B$164,$D$163+$C$164*(C179-$B$163),IF(C179&lt;=$B$165,$D$164+$C$165*(C179-$B$164),$D$165+$C$166*(C179-$B$165)))))</f>
        <v>0</v>
      </c>
      <c r="H179" s="7">
        <f t="shared" ref="H179:H187" si="19">IF(B179&lt;=$C$150,$C$152,IF(B179&lt;$C$151,IF($C$152-0.25*IF(B179-$C$150&lt;=0,0,B179-$C$150)&lt;=0,0,$C$152-0.25*IF(B179-$C$150&lt;=0,0,B179-$C$150)),0))</f>
        <v>51900</v>
      </c>
      <c r="I179" s="8">
        <f>IF(B179-H179&lt;=0,0,IF(B179-H179&lt;=$C$153,$C$154*(B179-H179),$C$155*(B179-H179)-$D$154))</f>
        <v>0</v>
      </c>
      <c r="J179" s="9">
        <f>MAX(E179,I179)</f>
        <v>0</v>
      </c>
    </row>
    <row r="180" spans="2:10" x14ac:dyDescent="0.25">
      <c r="B180" s="171">
        <v>10</v>
      </c>
      <c r="C180" s="8">
        <f t="shared" ref="C180:C187" si="20">IF(B180-$C$158-$C$159&gt;=0,B180-$C$158-$C$159,0)</f>
        <v>10</v>
      </c>
      <c r="D180" s="8">
        <f t="shared" ref="D180:D187" si="21">IF(B180-IF(B180&lt;=$C$146,$C$145,0)-MAX($C$144,G180)&gt;=0,B180-IF(B180&lt;=$C$146,$C$145,0)-MAX($C$144,G180),0)</f>
        <v>0</v>
      </c>
      <c r="E180" s="8">
        <f t="shared" ref="E180:E187" si="22">IF(D180&lt;0,"Error",IF(D180&lt;=$B$170,$C$170*D180,IF(D180&lt;=$B$171,$D$170+$C$171*(D180-$B$170),IF(D180&lt;=$B$172,$D$171+$C$172*(D180-$B$171),IF(D180&lt;=$B$173,$D$172+$C$173*(D180-$B$172),IF(D180&lt;=$B$174,$D$173+$C$174*(D180-$B$173),IF(D180&lt;=$B$175,$D$174+$C$175*(D180-$B$174),$D$175+$C$176*(D180-$B$175))))))))</f>
        <v>0</v>
      </c>
      <c r="F180" s="8">
        <f t="shared" ref="F180:F187" si="23">IF(B180&gt;=0,IF(B180&lt;=$C$148,$C$147*B180,$C$147*$C$148)+$C$149*B180,0)</f>
        <v>0.76500000000000001</v>
      </c>
      <c r="G180" s="9">
        <f t="shared" ref="G180:G187" si="24">IF(C180&lt;0,0,IF(C180&lt;=$B$163,$C$163*C180,IF(C180&lt;=$B$164,$D$163+$C$164*(C180-$B$163),IF(C180&lt;=$B$165,$D$164+$C$165*(C180-$B$164),$D$165+$C$166*(C180-$B$165)))))</f>
        <v>0</v>
      </c>
      <c r="H180" s="7">
        <f t="shared" si="19"/>
        <v>51900</v>
      </c>
      <c r="I180" s="8">
        <f t="shared" ref="I180:I187" si="25">IF(B180-H180&lt;=0,0,IF(B180-H180&lt;=$C$153,$C$154*(B180-H180),$C$155*(B180-H180)-$D$154))</f>
        <v>0</v>
      </c>
      <c r="J180" s="9">
        <f t="shared" ref="J180:J187" si="26">MAX(E180,I180)</f>
        <v>0</v>
      </c>
    </row>
    <row r="181" spans="2:10" x14ac:dyDescent="0.25">
      <c r="B181" s="171">
        <v>9000</v>
      </c>
      <c r="C181" s="8">
        <f t="shared" si="20"/>
        <v>9000</v>
      </c>
      <c r="D181" s="8">
        <f t="shared" si="21"/>
        <v>0</v>
      </c>
      <c r="E181" s="8">
        <f t="shared" si="22"/>
        <v>0</v>
      </c>
      <c r="F181" s="8">
        <f t="shared" si="23"/>
        <v>688.5</v>
      </c>
      <c r="G181" s="9">
        <f t="shared" si="24"/>
        <v>0</v>
      </c>
      <c r="H181" s="7">
        <f t="shared" si="19"/>
        <v>51900</v>
      </c>
      <c r="I181" s="8">
        <f t="shared" si="25"/>
        <v>0</v>
      </c>
      <c r="J181" s="9">
        <f t="shared" si="26"/>
        <v>0</v>
      </c>
    </row>
    <row r="182" spans="2:10" x14ac:dyDescent="0.25">
      <c r="B182" s="171">
        <v>40000</v>
      </c>
      <c r="C182" s="8">
        <f t="shared" si="20"/>
        <v>40000</v>
      </c>
      <c r="D182" s="8">
        <f t="shared" si="21"/>
        <v>30000</v>
      </c>
      <c r="E182" s="8">
        <f t="shared" si="22"/>
        <v>4053.75</v>
      </c>
      <c r="F182" s="8">
        <f t="shared" si="23"/>
        <v>3060</v>
      </c>
      <c r="G182" s="9">
        <f t="shared" si="24"/>
        <v>0</v>
      </c>
      <c r="H182" s="7">
        <f t="shared" si="19"/>
        <v>51900</v>
      </c>
      <c r="I182" s="8">
        <f t="shared" si="25"/>
        <v>0</v>
      </c>
      <c r="J182" s="9">
        <f t="shared" si="26"/>
        <v>4053.75</v>
      </c>
    </row>
    <row r="183" spans="2:10" x14ac:dyDescent="0.25">
      <c r="B183" s="171">
        <v>90000</v>
      </c>
      <c r="C183" s="8">
        <f t="shared" si="20"/>
        <v>90000</v>
      </c>
      <c r="D183" s="8">
        <f t="shared" si="21"/>
        <v>80000</v>
      </c>
      <c r="E183" s="8">
        <f t="shared" si="22"/>
        <v>15928.75</v>
      </c>
      <c r="F183" s="8">
        <f t="shared" si="23"/>
        <v>6885</v>
      </c>
      <c r="G183" s="9">
        <f t="shared" si="24"/>
        <v>0</v>
      </c>
      <c r="H183" s="7">
        <f t="shared" si="19"/>
        <v>51900</v>
      </c>
      <c r="I183" s="8">
        <f t="shared" si="25"/>
        <v>9906</v>
      </c>
      <c r="J183" s="9">
        <f t="shared" si="26"/>
        <v>15928.75</v>
      </c>
    </row>
    <row r="184" spans="2:10" x14ac:dyDescent="0.25">
      <c r="B184" s="171">
        <v>200000</v>
      </c>
      <c r="C184" s="8">
        <f t="shared" si="20"/>
        <v>200000</v>
      </c>
      <c r="D184" s="8">
        <f t="shared" si="21"/>
        <v>193900</v>
      </c>
      <c r="E184" s="8">
        <f t="shared" si="22"/>
        <v>48117.75</v>
      </c>
      <c r="F184" s="8">
        <f t="shared" si="23"/>
        <v>9949.4</v>
      </c>
      <c r="G184" s="9">
        <f t="shared" si="24"/>
        <v>0</v>
      </c>
      <c r="H184" s="7">
        <f t="shared" si="19"/>
        <v>30750</v>
      </c>
      <c r="I184" s="8">
        <f t="shared" si="25"/>
        <v>44005</v>
      </c>
      <c r="J184" s="9">
        <f t="shared" si="26"/>
        <v>48117.75</v>
      </c>
    </row>
    <row r="185" spans="2:10" x14ac:dyDescent="0.25">
      <c r="B185" s="171">
        <v>399000</v>
      </c>
      <c r="C185" s="8">
        <f t="shared" si="20"/>
        <v>399000</v>
      </c>
      <c r="D185" s="8">
        <f t="shared" si="21"/>
        <v>392900</v>
      </c>
      <c r="E185" s="8">
        <f t="shared" si="22"/>
        <v>113787.75</v>
      </c>
      <c r="F185" s="8">
        <f t="shared" si="23"/>
        <v>12834.9</v>
      </c>
      <c r="G185" s="9">
        <f t="shared" si="24"/>
        <v>0</v>
      </c>
      <c r="H185" s="7">
        <f t="shared" si="19"/>
        <v>0</v>
      </c>
      <c r="I185" s="8">
        <f t="shared" si="25"/>
        <v>108130.00000000001</v>
      </c>
      <c r="J185" s="9">
        <f t="shared" si="26"/>
        <v>113787.75</v>
      </c>
    </row>
    <row r="186" spans="2:10" x14ac:dyDescent="0.25">
      <c r="B186" s="171">
        <v>402000</v>
      </c>
      <c r="C186" s="8">
        <f t="shared" si="20"/>
        <v>402000</v>
      </c>
      <c r="D186" s="8">
        <f t="shared" si="21"/>
        <v>395900</v>
      </c>
      <c r="E186" s="8">
        <f t="shared" si="22"/>
        <v>114777.75</v>
      </c>
      <c r="F186" s="8">
        <f t="shared" si="23"/>
        <v>12878.4</v>
      </c>
      <c r="G186" s="9">
        <f t="shared" si="24"/>
        <v>0</v>
      </c>
      <c r="H186" s="7">
        <f t="shared" si="19"/>
        <v>0</v>
      </c>
      <c r="I186" s="8">
        <f t="shared" si="25"/>
        <v>108970.00000000001</v>
      </c>
      <c r="J186" s="9">
        <f t="shared" si="26"/>
        <v>114777.75</v>
      </c>
    </row>
    <row r="187" spans="2:10" x14ac:dyDescent="0.25">
      <c r="B187" s="180">
        <v>245041</v>
      </c>
      <c r="C187" s="11">
        <f t="shared" si="20"/>
        <v>245041</v>
      </c>
      <c r="D187" s="11">
        <f t="shared" si="21"/>
        <v>238941</v>
      </c>
      <c r="E187" s="11">
        <f t="shared" si="22"/>
        <v>62981.279999999999</v>
      </c>
      <c r="F187" s="11">
        <f t="shared" si="23"/>
        <v>10602.494500000001</v>
      </c>
      <c r="G187" s="12">
        <f t="shared" si="24"/>
        <v>0</v>
      </c>
      <c r="H187" s="10">
        <f t="shared" si="19"/>
        <v>19489.75</v>
      </c>
      <c r="I187" s="11">
        <f t="shared" si="25"/>
        <v>59564.350000000006</v>
      </c>
      <c r="J187" s="12">
        <f t="shared" si="26"/>
        <v>62981.279999999999</v>
      </c>
    </row>
    <row r="189" spans="2:10" x14ac:dyDescent="0.25">
      <c r="B189" t="s">
        <v>437</v>
      </c>
    </row>
  </sheetData>
  <dataValidations count="2">
    <dataValidation type="list" allowBlank="1" showInputMessage="1" showErrorMessage="1" sqref="G1">
      <formula1>$X$2:$X$3</formula1>
    </dataValidation>
    <dataValidation type="list" allowBlank="1" showInputMessage="1" showErrorMessage="1" sqref="K1">
      <formula1>$V$2:$V$3</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MQ40"/>
  <sheetViews>
    <sheetView zoomScale="90" zoomScaleNormal="90" workbookViewId="0">
      <selection activeCell="IZ33" sqref="IZ33"/>
    </sheetView>
  </sheetViews>
  <sheetFormatPr defaultRowHeight="15" x14ac:dyDescent="0.25"/>
  <cols>
    <col min="1" max="1" width="9.28515625" customWidth="1"/>
    <col min="2" max="3" width="5" customWidth="1"/>
    <col min="4" max="4" width="6.85546875" customWidth="1"/>
    <col min="5" max="5" width="32.7109375" customWidth="1"/>
    <col min="6" max="6" width="7.85546875" customWidth="1"/>
    <col min="7" max="7" width="10.42578125" customWidth="1"/>
    <col min="8" max="8" width="10.28515625" customWidth="1"/>
    <col min="9" max="9" width="9.85546875" customWidth="1"/>
    <col min="24" max="24" width="9.5703125" customWidth="1"/>
    <col min="26" max="26" width="6.7109375" customWidth="1"/>
    <col min="27" max="27" width="49.5703125" customWidth="1"/>
    <col min="28" max="28" width="8.140625" customWidth="1"/>
    <col min="46" max="46" width="9.28515625" customWidth="1"/>
    <col min="48" max="48" width="12.85546875" customWidth="1"/>
    <col min="55" max="55" width="14.85546875" customWidth="1"/>
    <col min="74" max="136" width="9.42578125" customWidth="1"/>
    <col min="138" max="138" width="12.5703125" hidden="1" customWidth="1"/>
    <col min="139" max="153" width="0" hidden="1" customWidth="1"/>
    <col min="154" max="154" width="9.5703125" hidden="1" customWidth="1"/>
    <col min="155" max="155" width="9.42578125" hidden="1" customWidth="1"/>
    <col min="156" max="157" width="0" hidden="1" customWidth="1"/>
    <col min="158" max="158" width="11" hidden="1" customWidth="1"/>
    <col min="159" max="163" width="0" hidden="1" customWidth="1"/>
    <col min="164" max="164" width="10" hidden="1" customWidth="1"/>
    <col min="165" max="172" width="0" hidden="1" customWidth="1"/>
    <col min="173" max="173" width="10" hidden="1" customWidth="1"/>
    <col min="174" max="181" width="0" hidden="1" customWidth="1"/>
    <col min="182" max="182" width="10" hidden="1" customWidth="1"/>
    <col min="186" max="186" width="32" customWidth="1"/>
    <col min="187" max="187" width="10.28515625" customWidth="1"/>
    <col min="188" max="188" width="10.42578125" customWidth="1"/>
    <col min="189" max="190" width="10.28515625" customWidth="1"/>
    <col min="191" max="191" width="10.5703125" bestFit="1" customWidth="1"/>
    <col min="208" max="208" width="11" customWidth="1"/>
    <col min="211" max="211" width="32.42578125" customWidth="1"/>
    <col min="212" max="212" width="11.5703125" customWidth="1"/>
    <col min="213" max="213" width="10" customWidth="1"/>
    <col min="214" max="214" width="9.85546875" customWidth="1"/>
    <col min="215" max="215" width="11.5703125" customWidth="1"/>
    <col min="233" max="233" width="10" bestFit="1" customWidth="1"/>
    <col min="236" max="236" width="25.85546875" customWidth="1"/>
    <col min="254" max="254" width="10.42578125" customWidth="1"/>
    <col min="257" max="257" width="26.28515625" customWidth="1"/>
    <col min="275" max="275" width="10.28515625" customWidth="1"/>
    <col min="295" max="295" width="10" bestFit="1" customWidth="1"/>
    <col min="298" max="299" width="10.7109375" customWidth="1"/>
    <col min="300" max="300" width="13.28515625" customWidth="1"/>
    <col min="307" max="308" width="10.5703125" customWidth="1"/>
    <col min="309" max="309" width="9.140625" customWidth="1"/>
    <col min="327" max="327" width="10.140625" customWidth="1"/>
    <col min="329" max="329" width="15.7109375" customWidth="1"/>
    <col min="330" max="330" width="13.140625" customWidth="1"/>
    <col min="336" max="336" width="14.85546875" customWidth="1"/>
    <col min="355" max="355" width="9.42578125" customWidth="1"/>
  </cols>
  <sheetData>
    <row r="1" spans="1:355" ht="15.6" x14ac:dyDescent="0.3">
      <c r="E1" s="55" t="s">
        <v>456</v>
      </c>
      <c r="F1" s="55"/>
      <c r="G1" s="55" t="str">
        <f>InputData!$G$1</f>
        <v>San Antonio, TX</v>
      </c>
      <c r="DC1" t="s">
        <v>330</v>
      </c>
      <c r="DD1" t="s">
        <v>331</v>
      </c>
      <c r="DY1" t="s">
        <v>336</v>
      </c>
      <c r="GD1" t="s">
        <v>309</v>
      </c>
    </row>
    <row r="2" spans="1:355" ht="14.45" x14ac:dyDescent="0.3">
      <c r="E2" t="s">
        <v>215</v>
      </c>
      <c r="G2" s="82">
        <f>InputData!$C$81</f>
        <v>178500</v>
      </c>
      <c r="BC2" t="s">
        <v>317</v>
      </c>
      <c r="CB2" t="s">
        <v>317</v>
      </c>
      <c r="CK2" t="s">
        <v>317</v>
      </c>
      <c r="CU2" t="s">
        <v>317</v>
      </c>
      <c r="DC2" s="47">
        <f>DF10+0.5*DC10*InputData!$C$6</f>
        <v>212416.2</v>
      </c>
      <c r="DD2" s="47">
        <f>$DC$2*InputData!$C$6/(1-(1+InputData!$C$6)^(-10))</f>
        <v>29148.379963889372</v>
      </c>
      <c r="DE2" t="s">
        <v>326</v>
      </c>
      <c r="DM2" s="5"/>
      <c r="DP2" t="s">
        <v>326</v>
      </c>
      <c r="DX2" s="129"/>
      <c r="DY2" s="5">
        <f>0.1*$DC$2</f>
        <v>21241.620000000003</v>
      </c>
      <c r="DZ2" s="5"/>
      <c r="EA2" t="s">
        <v>326</v>
      </c>
      <c r="EH2" t="s">
        <v>317</v>
      </c>
      <c r="GD2" t="s">
        <v>311</v>
      </c>
      <c r="GE2" s="116">
        <f>SUM(GE29:GE32)+OptMilitRet!C71</f>
        <v>619368.00968951487</v>
      </c>
      <c r="GF2" s="116">
        <f>SUM(GF29:GF32)+OptMilitRet!D71</f>
        <v>633565.76206637453</v>
      </c>
      <c r="GG2" s="121">
        <f>SUM(GG29:GG32)+OptMilitRet!E71</f>
        <v>643230.06324319495</v>
      </c>
      <c r="GH2" s="116">
        <f>SUM(GH29:GH32)+OptMilitRet!F71</f>
        <v>649321.07516301447</v>
      </c>
      <c r="HD2" s="116">
        <f>SUM(HD30:HD33)+OptMilitRet!C71</f>
        <v>622811.09626441926</v>
      </c>
      <c r="HE2" s="116">
        <f>SUM(HE30:HE33)+OptMilitRet!D71</f>
        <v>628169.1197272446</v>
      </c>
      <c r="HF2" s="116">
        <f>SUM(HF30:HF33)+OptMilitRet!E71</f>
        <v>625212.85501600336</v>
      </c>
      <c r="HG2" s="116">
        <f>SUM(HG30:HG33)+OptMilitRet!F71</f>
        <v>635304.74149514735</v>
      </c>
    </row>
    <row r="3" spans="1:355" x14ac:dyDescent="0.25">
      <c r="DW3" t="s">
        <v>325</v>
      </c>
      <c r="EH3" s="130" t="s">
        <v>406</v>
      </c>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E3" s="119">
        <f t="shared" ref="GE3:GF3" si="0">GE2+GE33</f>
        <v>709031.75867810752</v>
      </c>
      <c r="GF3" s="119">
        <f t="shared" si="0"/>
        <v>723229.51105496718</v>
      </c>
      <c r="GG3" s="119">
        <f>GG2+GG33</f>
        <v>732893.8122317876</v>
      </c>
      <c r="GH3" s="119">
        <f>GH2+GH33</f>
        <v>719649.70161114319</v>
      </c>
      <c r="LQ3" s="154"/>
    </row>
    <row r="4" spans="1:355" ht="15.6" x14ac:dyDescent="0.3">
      <c r="A4" s="52" t="s">
        <v>183</v>
      </c>
      <c r="B4" s="6"/>
      <c r="C4" s="8"/>
      <c r="D4" s="64"/>
      <c r="E4" s="65" t="s">
        <v>4</v>
      </c>
      <c r="F4" s="65"/>
      <c r="G4" s="66"/>
      <c r="H4" s="67"/>
      <c r="I4" s="67"/>
      <c r="J4" s="67"/>
      <c r="K4" s="67"/>
      <c r="L4" s="67"/>
      <c r="M4" s="67"/>
      <c r="N4" s="67"/>
      <c r="O4" s="67"/>
      <c r="P4" s="67"/>
      <c r="Q4" s="67"/>
      <c r="R4" s="67"/>
      <c r="S4" s="67"/>
      <c r="T4" s="67"/>
      <c r="U4" s="67"/>
      <c r="V4" s="67"/>
      <c r="W4" s="67"/>
      <c r="X4" s="67"/>
      <c r="Z4" s="62"/>
      <c r="AA4" s="68" t="s">
        <v>3</v>
      </c>
      <c r="AB4" s="68"/>
      <c r="AC4" s="63"/>
      <c r="AD4" s="63"/>
      <c r="AE4" s="63"/>
      <c r="AF4" s="63"/>
      <c r="AG4" s="63"/>
      <c r="AH4" s="63"/>
      <c r="AI4" s="63"/>
      <c r="AJ4" s="63"/>
      <c r="AK4" s="63"/>
      <c r="AL4" s="63"/>
      <c r="AM4" s="63"/>
      <c r="AN4" s="63"/>
      <c r="AO4" s="63"/>
      <c r="AP4" s="63"/>
      <c r="AQ4" s="63"/>
      <c r="AR4" s="63"/>
      <c r="AS4" s="63"/>
      <c r="AT4" s="63"/>
      <c r="AV4" s="69" t="s">
        <v>329</v>
      </c>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128"/>
      <c r="BX4" s="69" t="s">
        <v>203</v>
      </c>
      <c r="BY4" s="70"/>
      <c r="BZ4" s="70"/>
      <c r="CA4" s="70"/>
      <c r="CB4" s="70"/>
      <c r="CC4" s="70"/>
      <c r="CD4" s="70"/>
      <c r="CE4" s="70"/>
      <c r="CF4" s="70"/>
      <c r="CG4" s="24"/>
      <c r="CH4" s="69" t="s">
        <v>208</v>
      </c>
      <c r="CI4" s="70"/>
      <c r="CJ4" s="70"/>
      <c r="CK4" s="70"/>
      <c r="CL4" s="70"/>
      <c r="CM4" s="70"/>
      <c r="CN4" s="70"/>
      <c r="CO4" s="70"/>
      <c r="CP4" s="70"/>
      <c r="CQ4" s="24"/>
      <c r="CR4" s="69" t="s">
        <v>322</v>
      </c>
      <c r="CS4" s="70"/>
      <c r="CT4" s="70"/>
      <c r="CU4" s="70"/>
      <c r="CV4" s="70"/>
      <c r="CW4" s="70"/>
      <c r="CX4" s="70"/>
      <c r="CY4" s="70"/>
      <c r="CZ4" s="70"/>
      <c r="DA4" s="24"/>
      <c r="DB4" s="69" t="s">
        <v>329</v>
      </c>
      <c r="DC4" s="70"/>
      <c r="DD4" s="70"/>
      <c r="DE4" s="70"/>
      <c r="DF4" s="70"/>
      <c r="DG4" s="70"/>
      <c r="DH4" s="70"/>
      <c r="DI4" s="70"/>
      <c r="DJ4" s="70"/>
      <c r="DK4" s="24"/>
      <c r="DL4" s="69" t="s">
        <v>208</v>
      </c>
      <c r="DM4" s="70"/>
      <c r="DN4" s="70"/>
      <c r="DO4" s="70"/>
      <c r="DP4" s="70"/>
      <c r="DQ4" s="70"/>
      <c r="DR4" s="70"/>
      <c r="DS4" s="70"/>
      <c r="DT4" s="70"/>
      <c r="DU4" s="70"/>
      <c r="DV4" s="24"/>
      <c r="DW4" s="69" t="s">
        <v>322</v>
      </c>
      <c r="DX4" s="70"/>
      <c r="DY4" s="70"/>
      <c r="DZ4" s="70"/>
      <c r="EA4" s="70"/>
      <c r="EB4" s="70"/>
      <c r="EC4" s="70"/>
      <c r="ED4" s="70"/>
      <c r="EE4" s="70"/>
      <c r="EF4" s="70"/>
      <c r="EG4" s="14"/>
      <c r="EH4" s="69" t="s">
        <v>322</v>
      </c>
      <c r="EI4" s="61"/>
      <c r="EJ4" s="61"/>
      <c r="EK4" s="61"/>
      <c r="EL4" s="61"/>
      <c r="EM4" s="61"/>
      <c r="EN4" s="61"/>
      <c r="EO4" s="61"/>
      <c r="EP4" s="61"/>
      <c r="EQ4" s="61"/>
      <c r="ER4" s="61"/>
      <c r="ES4" s="61"/>
      <c r="ET4" s="61"/>
      <c r="EU4" s="61"/>
      <c r="EV4" s="61"/>
      <c r="EW4" s="61"/>
      <c r="EX4" s="61"/>
      <c r="EY4" s="61"/>
      <c r="EZ4" s="59"/>
      <c r="FA4" s="69" t="s">
        <v>198</v>
      </c>
      <c r="FB4" s="70"/>
      <c r="FC4" s="70"/>
      <c r="FD4" s="70"/>
      <c r="FE4" s="70"/>
      <c r="FF4" s="70"/>
      <c r="FG4" s="70"/>
      <c r="FH4" s="70"/>
      <c r="FI4" s="59"/>
      <c r="FJ4" s="69" t="s">
        <v>203</v>
      </c>
      <c r="FK4" s="70"/>
      <c r="FL4" s="70"/>
      <c r="FM4" s="70"/>
      <c r="FN4" s="70"/>
      <c r="FO4" s="70"/>
      <c r="FP4" s="70"/>
      <c r="FQ4" s="70"/>
      <c r="FR4" s="59"/>
      <c r="FS4" s="69" t="s">
        <v>208</v>
      </c>
      <c r="FT4" s="70"/>
      <c r="FU4" s="70"/>
      <c r="FV4" s="70"/>
      <c r="FW4" s="70"/>
      <c r="FX4" s="70"/>
      <c r="FY4" s="70"/>
      <c r="FZ4" s="70"/>
      <c r="GC4" s="64"/>
      <c r="GD4" s="85" t="s">
        <v>340</v>
      </c>
      <c r="GE4" s="85"/>
      <c r="GF4" s="85"/>
      <c r="GG4" s="85"/>
      <c r="GH4" s="85"/>
      <c r="GI4" s="66"/>
      <c r="GJ4" s="67"/>
      <c r="GK4" s="67"/>
      <c r="GL4" s="67"/>
      <c r="GM4" s="67"/>
      <c r="GN4" s="67"/>
      <c r="GO4" s="67"/>
      <c r="GP4" s="67"/>
      <c r="GQ4" s="67"/>
      <c r="GR4" s="67"/>
      <c r="GS4" s="67"/>
      <c r="GT4" s="67"/>
      <c r="GU4" s="67"/>
      <c r="GV4" s="67"/>
      <c r="GW4" s="67"/>
      <c r="GX4" s="67"/>
      <c r="GY4" s="67"/>
      <c r="GZ4" s="67"/>
      <c r="HB4" s="62"/>
      <c r="HC4" s="85" t="s">
        <v>339</v>
      </c>
      <c r="HD4" s="85"/>
      <c r="HE4" s="85"/>
      <c r="HF4" s="85"/>
      <c r="HG4" s="85"/>
      <c r="HH4" s="63"/>
      <c r="HI4" s="63"/>
      <c r="HJ4" s="63"/>
      <c r="HK4" s="63"/>
      <c r="HL4" s="63"/>
      <c r="HM4" s="63"/>
      <c r="HN4" s="63"/>
      <c r="HO4" s="63"/>
      <c r="HP4" s="63"/>
      <c r="HQ4" s="63"/>
      <c r="HR4" s="63"/>
      <c r="HS4" s="63"/>
      <c r="HT4" s="63"/>
      <c r="HU4" s="63"/>
      <c r="HV4" s="63"/>
      <c r="HW4" s="63"/>
      <c r="HX4" s="63"/>
      <c r="HY4" s="63"/>
      <c r="IA4" s="64"/>
      <c r="IB4" s="95" t="s">
        <v>246</v>
      </c>
      <c r="IC4" s="66"/>
      <c r="ID4" s="67"/>
      <c r="IE4" s="67"/>
      <c r="IF4" s="67"/>
      <c r="IG4" s="67"/>
      <c r="IH4" s="67"/>
      <c r="II4" s="67"/>
      <c r="IJ4" s="67"/>
      <c r="IK4" s="67"/>
      <c r="IL4" s="67"/>
      <c r="IM4" s="67"/>
      <c r="IN4" s="67"/>
      <c r="IO4" s="67"/>
      <c r="IP4" s="67"/>
      <c r="IQ4" s="67"/>
      <c r="IR4" s="67"/>
      <c r="IS4" s="67"/>
      <c r="IT4" s="67"/>
      <c r="IV4" s="62"/>
      <c r="IW4" s="95" t="s">
        <v>247</v>
      </c>
      <c r="IX4" s="63"/>
      <c r="IY4" s="63"/>
      <c r="IZ4" s="63"/>
      <c r="JA4" s="63"/>
      <c r="JB4" s="63"/>
      <c r="JC4" s="63"/>
      <c r="JD4" s="63"/>
      <c r="JE4" s="63"/>
      <c r="JF4" s="63"/>
      <c r="JG4" s="63"/>
      <c r="JH4" s="63"/>
      <c r="JI4" s="63"/>
      <c r="JJ4" s="63"/>
      <c r="JK4" s="63"/>
      <c r="JL4" s="63"/>
      <c r="JM4" s="63"/>
      <c r="JN4" s="63"/>
      <c r="JO4" s="63"/>
      <c r="JQ4" s="88" t="s">
        <v>230</v>
      </c>
      <c r="JR4" s="87"/>
      <c r="JS4" s="87"/>
      <c r="JT4" s="87"/>
      <c r="JU4" s="87"/>
      <c r="JV4" s="87"/>
      <c r="JW4" s="87"/>
      <c r="JX4" s="87"/>
      <c r="JY4" s="87"/>
      <c r="JZ4" s="87"/>
      <c r="KA4" s="87"/>
      <c r="KB4" s="87"/>
      <c r="KC4" s="87"/>
      <c r="KD4" s="87"/>
      <c r="KE4" s="87"/>
      <c r="KF4" s="87"/>
      <c r="KG4" s="87"/>
      <c r="KH4" s="87"/>
      <c r="KI4" s="87"/>
      <c r="KK4" s="148" t="s">
        <v>387</v>
      </c>
      <c r="KL4" s="147"/>
      <c r="KM4" s="147"/>
      <c r="KN4" s="147"/>
      <c r="KO4" s="147"/>
      <c r="KP4" s="147"/>
      <c r="KQ4" s="147"/>
      <c r="KR4" s="147"/>
      <c r="KS4" s="147"/>
      <c r="KT4" s="147"/>
      <c r="KU4" s="147"/>
      <c r="KV4" s="147"/>
      <c r="KW4" s="147"/>
      <c r="KX4" s="147"/>
      <c r="KY4" s="147"/>
      <c r="KZ4" s="147"/>
      <c r="LA4" s="147"/>
      <c r="LB4" s="147"/>
      <c r="LC4" s="147"/>
      <c r="LD4" s="147"/>
      <c r="LE4" s="147"/>
      <c r="LF4" s="147"/>
      <c r="LG4" s="147"/>
      <c r="LH4" s="147"/>
      <c r="LI4" s="147"/>
      <c r="LJ4" s="147"/>
      <c r="LK4" s="147"/>
      <c r="LL4" s="147"/>
      <c r="LM4" s="147"/>
      <c r="LN4" s="147"/>
      <c r="LO4" s="147"/>
      <c r="LQ4" s="155" t="s">
        <v>517</v>
      </c>
      <c r="LR4" s="158"/>
      <c r="LS4" s="158"/>
      <c r="LT4" s="158"/>
      <c r="LU4" s="158"/>
      <c r="LV4" s="158"/>
      <c r="LW4" s="158"/>
      <c r="LX4" s="158"/>
      <c r="LY4" s="158"/>
      <c r="LZ4" s="158"/>
      <c r="MA4" s="158"/>
      <c r="MB4" s="158"/>
      <c r="MC4" s="158"/>
      <c r="MD4" s="158"/>
      <c r="ME4" s="158"/>
      <c r="MF4" s="158"/>
      <c r="MG4" s="158"/>
      <c r="MH4" s="158"/>
      <c r="MI4" s="158"/>
      <c r="MJ4" s="158"/>
      <c r="MK4" s="158"/>
      <c r="ML4" s="158"/>
      <c r="MM4" s="158"/>
      <c r="MN4" s="158"/>
      <c r="MO4" s="158"/>
      <c r="MP4" s="158"/>
      <c r="MQ4" s="158"/>
    </row>
    <row r="5" spans="1:355" ht="133.5" customHeight="1" x14ac:dyDescent="0.3">
      <c r="A5" s="54" t="s">
        <v>173</v>
      </c>
      <c r="B5" s="50" t="s">
        <v>2</v>
      </c>
      <c r="C5" s="2"/>
      <c r="D5" s="1" t="s">
        <v>180</v>
      </c>
      <c r="E5" s="2" t="s">
        <v>102</v>
      </c>
      <c r="F5" s="2" t="s">
        <v>283</v>
      </c>
      <c r="G5" s="2" t="s">
        <v>184</v>
      </c>
      <c r="H5" s="2" t="s">
        <v>185</v>
      </c>
      <c r="I5" s="2" t="s">
        <v>186</v>
      </c>
      <c r="J5" s="2" t="s">
        <v>162</v>
      </c>
      <c r="K5" s="2" t="s">
        <v>163</v>
      </c>
      <c r="L5" s="28" t="s">
        <v>431</v>
      </c>
      <c r="M5" s="28" t="s">
        <v>435</v>
      </c>
      <c r="N5" s="28" t="s">
        <v>443</v>
      </c>
      <c r="O5" s="28" t="s">
        <v>451</v>
      </c>
      <c r="P5" s="28" t="s">
        <v>450</v>
      </c>
      <c r="Q5" s="28" t="s">
        <v>449</v>
      </c>
      <c r="R5" s="28" t="s">
        <v>95</v>
      </c>
      <c r="S5" s="28" t="s">
        <v>96</v>
      </c>
      <c r="T5" s="28" t="s">
        <v>164</v>
      </c>
      <c r="U5" s="28" t="s">
        <v>157</v>
      </c>
      <c r="V5" s="2" t="s">
        <v>165</v>
      </c>
      <c r="W5" s="2" t="s">
        <v>166</v>
      </c>
      <c r="X5" s="28" t="s">
        <v>167</v>
      </c>
      <c r="Y5" s="53"/>
      <c r="Z5" s="1" t="s">
        <v>180</v>
      </c>
      <c r="AA5" s="2" t="s">
        <v>103</v>
      </c>
      <c r="AB5" s="2" t="s">
        <v>283</v>
      </c>
      <c r="AC5" s="2" t="s">
        <v>187</v>
      </c>
      <c r="AD5" s="2" t="s">
        <v>188</v>
      </c>
      <c r="AE5" s="2" t="s">
        <v>189</v>
      </c>
      <c r="AF5" s="2" t="s">
        <v>168</v>
      </c>
      <c r="AG5" s="2" t="s">
        <v>169</v>
      </c>
      <c r="AH5" s="28" t="s">
        <v>431</v>
      </c>
      <c r="AI5" s="28" t="s">
        <v>435</v>
      </c>
      <c r="AJ5" s="28" t="s">
        <v>443</v>
      </c>
      <c r="AK5" s="28" t="s">
        <v>451</v>
      </c>
      <c r="AL5" s="28" t="s">
        <v>450</v>
      </c>
      <c r="AM5" s="28" t="s">
        <v>449</v>
      </c>
      <c r="AN5" s="28" t="s">
        <v>95</v>
      </c>
      <c r="AO5" s="28" t="s">
        <v>96</v>
      </c>
      <c r="AP5" s="28" t="s">
        <v>164</v>
      </c>
      <c r="AQ5" s="28" t="s">
        <v>157</v>
      </c>
      <c r="AR5" s="2" t="s">
        <v>170</v>
      </c>
      <c r="AS5" s="2" t="s">
        <v>171</v>
      </c>
      <c r="AT5" s="28" t="s">
        <v>172</v>
      </c>
      <c r="AU5" s="53"/>
      <c r="AV5" s="39" t="s">
        <v>14</v>
      </c>
      <c r="AW5" s="28" t="s">
        <v>192</v>
      </c>
      <c r="AX5" s="28" t="s">
        <v>193</v>
      </c>
      <c r="AY5" s="28" t="s">
        <v>194</v>
      </c>
      <c r="AZ5" s="28" t="s">
        <v>135</v>
      </c>
      <c r="BA5" s="28" t="s">
        <v>156</v>
      </c>
      <c r="BB5" s="28" t="s">
        <v>176</v>
      </c>
      <c r="BC5" s="28" t="s">
        <v>316</v>
      </c>
      <c r="BD5" s="28" t="s">
        <v>134</v>
      </c>
      <c r="BE5" s="28" t="s">
        <v>146</v>
      </c>
      <c r="BF5" s="28" t="s">
        <v>132</v>
      </c>
      <c r="BG5" s="71" t="s">
        <v>318</v>
      </c>
      <c r="BH5" s="28" t="s">
        <v>133</v>
      </c>
      <c r="BI5" s="28" t="s">
        <v>200</v>
      </c>
      <c r="BJ5" s="28" t="s">
        <v>431</v>
      </c>
      <c r="BK5" s="28" t="s">
        <v>435</v>
      </c>
      <c r="BL5" s="28" t="s">
        <v>443</v>
      </c>
      <c r="BM5" s="28" t="s">
        <v>451</v>
      </c>
      <c r="BN5" s="28" t="s">
        <v>450</v>
      </c>
      <c r="BO5" s="28" t="s">
        <v>449</v>
      </c>
      <c r="BP5" s="28" t="s">
        <v>95</v>
      </c>
      <c r="BQ5" s="28" t="s">
        <v>96</v>
      </c>
      <c r="BR5" s="28" t="s">
        <v>157</v>
      </c>
      <c r="BS5" s="28" t="s">
        <v>158</v>
      </c>
      <c r="BT5" s="28" t="s">
        <v>159</v>
      </c>
      <c r="BU5" s="28" t="s">
        <v>161</v>
      </c>
      <c r="BV5" s="28" t="s">
        <v>324</v>
      </c>
      <c r="BW5" s="28"/>
      <c r="BX5" s="28" t="s">
        <v>316</v>
      </c>
      <c r="BY5" s="28" t="s">
        <v>146</v>
      </c>
      <c r="BZ5" s="28" t="s">
        <v>132</v>
      </c>
      <c r="CA5" s="71" t="s">
        <v>204</v>
      </c>
      <c r="CB5" s="28" t="s">
        <v>133</v>
      </c>
      <c r="CC5" s="28" t="s">
        <v>202</v>
      </c>
      <c r="CD5" s="28" t="s">
        <v>159</v>
      </c>
      <c r="CE5" s="28" t="s">
        <v>161</v>
      </c>
      <c r="CF5" s="28" t="s">
        <v>205</v>
      </c>
      <c r="CG5" s="28"/>
      <c r="CH5" s="28" t="s">
        <v>316</v>
      </c>
      <c r="CI5" s="28" t="s">
        <v>146</v>
      </c>
      <c r="CJ5" s="28" t="s">
        <v>132</v>
      </c>
      <c r="CK5" s="71" t="s">
        <v>323</v>
      </c>
      <c r="CL5" s="28" t="s">
        <v>133</v>
      </c>
      <c r="CM5" s="28" t="s">
        <v>209</v>
      </c>
      <c r="CN5" s="28" t="s">
        <v>159</v>
      </c>
      <c r="CO5" s="28" t="s">
        <v>161</v>
      </c>
      <c r="CP5" s="28" t="s">
        <v>207</v>
      </c>
      <c r="CQ5" s="28"/>
      <c r="CR5" s="28" t="s">
        <v>316</v>
      </c>
      <c r="CS5" s="28" t="s">
        <v>146</v>
      </c>
      <c r="CT5" s="28" t="s">
        <v>132</v>
      </c>
      <c r="CU5" s="71" t="s">
        <v>175</v>
      </c>
      <c r="CV5" s="28" t="s">
        <v>133</v>
      </c>
      <c r="CW5" s="28" t="s">
        <v>160</v>
      </c>
      <c r="CX5" s="28" t="s">
        <v>159</v>
      </c>
      <c r="CY5" s="28" t="s">
        <v>161</v>
      </c>
      <c r="CZ5" s="28" t="s">
        <v>174</v>
      </c>
      <c r="DA5" s="28"/>
      <c r="DB5" s="28" t="s">
        <v>333</v>
      </c>
      <c r="DC5" s="28" t="s">
        <v>146</v>
      </c>
      <c r="DD5" s="28" t="s">
        <v>132</v>
      </c>
      <c r="DE5" s="71" t="s">
        <v>337</v>
      </c>
      <c r="DF5" s="28" t="s">
        <v>133</v>
      </c>
      <c r="DG5" s="28" t="s">
        <v>392</v>
      </c>
      <c r="DH5" s="28" t="s">
        <v>159</v>
      </c>
      <c r="DI5" s="28" t="s">
        <v>161</v>
      </c>
      <c r="DJ5" s="28" t="s">
        <v>389</v>
      </c>
      <c r="DK5" s="28"/>
      <c r="DL5" s="28" t="s">
        <v>333</v>
      </c>
      <c r="DM5" s="28" t="s">
        <v>146</v>
      </c>
      <c r="DN5" s="28" t="s">
        <v>132</v>
      </c>
      <c r="DO5" s="28" t="s">
        <v>342</v>
      </c>
      <c r="DP5" s="71" t="s">
        <v>327</v>
      </c>
      <c r="DQ5" s="28" t="s">
        <v>133</v>
      </c>
      <c r="DR5" s="28" t="s">
        <v>392</v>
      </c>
      <c r="DS5" s="28" t="s">
        <v>159</v>
      </c>
      <c r="DT5" s="28" t="s">
        <v>161</v>
      </c>
      <c r="DU5" s="28" t="s">
        <v>390</v>
      </c>
      <c r="DV5" s="28"/>
      <c r="DW5" s="28" t="s">
        <v>332</v>
      </c>
      <c r="DX5" s="28" t="s">
        <v>146</v>
      </c>
      <c r="DY5" s="28" t="s">
        <v>132</v>
      </c>
      <c r="DZ5" s="28" t="s">
        <v>342</v>
      </c>
      <c r="EA5" s="71" t="s">
        <v>335</v>
      </c>
      <c r="EB5" s="28" t="s">
        <v>133</v>
      </c>
      <c r="EC5" s="28" t="s">
        <v>392</v>
      </c>
      <c r="ED5" s="28" t="s">
        <v>159</v>
      </c>
      <c r="EE5" s="28" t="s">
        <v>161</v>
      </c>
      <c r="EF5" s="28" t="s">
        <v>391</v>
      </c>
      <c r="EG5" s="28"/>
      <c r="EH5" s="130" t="s">
        <v>137</v>
      </c>
      <c r="EI5" s="28" t="s">
        <v>134</v>
      </c>
      <c r="EJ5" s="28" t="s">
        <v>146</v>
      </c>
      <c r="EK5" s="28" t="s">
        <v>132</v>
      </c>
      <c r="EL5" s="28" t="s">
        <v>133</v>
      </c>
      <c r="EM5" s="28" t="s">
        <v>135</v>
      </c>
      <c r="EN5" s="71" t="s">
        <v>175</v>
      </c>
      <c r="EO5" s="28" t="s">
        <v>156</v>
      </c>
      <c r="EP5" s="28" t="s">
        <v>176</v>
      </c>
      <c r="EQ5" s="28" t="s">
        <v>121</v>
      </c>
      <c r="ER5" s="28" t="s">
        <v>95</v>
      </c>
      <c r="ES5" s="28" t="s">
        <v>96</v>
      </c>
      <c r="ET5" s="28" t="s">
        <v>157</v>
      </c>
      <c r="EU5" s="28" t="s">
        <v>158</v>
      </c>
      <c r="EV5" s="28" t="s">
        <v>160</v>
      </c>
      <c r="EW5" s="28" t="s">
        <v>159</v>
      </c>
      <c r="EX5" s="28" t="s">
        <v>161</v>
      </c>
      <c r="EY5" s="28" t="s">
        <v>174</v>
      </c>
      <c r="EZ5" s="79"/>
      <c r="FA5" s="28" t="s">
        <v>146</v>
      </c>
      <c r="FB5" s="28" t="s">
        <v>132</v>
      </c>
      <c r="FC5" s="28" t="s">
        <v>133</v>
      </c>
      <c r="FD5" s="71" t="s">
        <v>199</v>
      </c>
      <c r="FE5" s="28" t="s">
        <v>200</v>
      </c>
      <c r="FF5" s="28" t="s">
        <v>159</v>
      </c>
      <c r="FG5" s="28" t="s">
        <v>161</v>
      </c>
      <c r="FH5" s="28" t="s">
        <v>201</v>
      </c>
      <c r="FI5" s="79"/>
      <c r="FJ5" s="28" t="s">
        <v>146</v>
      </c>
      <c r="FK5" s="28" t="s">
        <v>132</v>
      </c>
      <c r="FL5" s="28" t="s">
        <v>133</v>
      </c>
      <c r="FM5" s="71" t="s">
        <v>204</v>
      </c>
      <c r="FN5" s="28" t="s">
        <v>202</v>
      </c>
      <c r="FO5" s="28" t="s">
        <v>159</v>
      </c>
      <c r="FP5" s="28" t="s">
        <v>161</v>
      </c>
      <c r="FQ5" s="28" t="s">
        <v>205</v>
      </c>
      <c r="FR5" s="79"/>
      <c r="FS5" s="28" t="s">
        <v>146</v>
      </c>
      <c r="FT5" s="28" t="s">
        <v>132</v>
      </c>
      <c r="FU5" s="28" t="s">
        <v>133</v>
      </c>
      <c r="FV5" s="71" t="s">
        <v>206</v>
      </c>
      <c r="FW5" s="28" t="s">
        <v>209</v>
      </c>
      <c r="FX5" s="28" t="s">
        <v>159</v>
      </c>
      <c r="FY5" s="28" t="s">
        <v>161</v>
      </c>
      <c r="FZ5" s="28" t="s">
        <v>207</v>
      </c>
      <c r="GC5" s="1" t="s">
        <v>180</v>
      </c>
      <c r="GD5" s="2" t="s">
        <v>224</v>
      </c>
      <c r="GE5" s="117" t="s">
        <v>308</v>
      </c>
      <c r="GF5" s="117" t="s">
        <v>305</v>
      </c>
      <c r="GG5" s="117" t="s">
        <v>306</v>
      </c>
      <c r="GH5" s="117" t="s">
        <v>310</v>
      </c>
      <c r="GI5" s="2" t="s">
        <v>218</v>
      </c>
      <c r="GJ5" s="2" t="s">
        <v>219</v>
      </c>
      <c r="GK5" s="2" t="s">
        <v>220</v>
      </c>
      <c r="GL5" s="2" t="s">
        <v>156</v>
      </c>
      <c r="GM5" s="2" t="s">
        <v>176</v>
      </c>
      <c r="GN5" s="28" t="s">
        <v>431</v>
      </c>
      <c r="GO5" s="28" t="s">
        <v>435</v>
      </c>
      <c r="GP5" s="28" t="s">
        <v>443</v>
      </c>
      <c r="GQ5" s="28" t="s">
        <v>451</v>
      </c>
      <c r="GR5" s="28" t="s">
        <v>450</v>
      </c>
      <c r="GS5" s="28" t="s">
        <v>449</v>
      </c>
      <c r="GT5" s="28" t="s">
        <v>95</v>
      </c>
      <c r="GU5" s="28" t="s">
        <v>96</v>
      </c>
      <c r="GV5" s="28" t="s">
        <v>164</v>
      </c>
      <c r="GW5" s="28" t="s">
        <v>157</v>
      </c>
      <c r="GX5" s="2" t="s">
        <v>221</v>
      </c>
      <c r="GY5" s="2" t="s">
        <v>222</v>
      </c>
      <c r="GZ5" s="28" t="s">
        <v>223</v>
      </c>
      <c r="HB5" s="1" t="s">
        <v>180</v>
      </c>
      <c r="HC5" s="2" t="s">
        <v>226</v>
      </c>
      <c r="HD5" s="117" t="s">
        <v>312</v>
      </c>
      <c r="HE5" s="117" t="s">
        <v>313</v>
      </c>
      <c r="HF5" s="117" t="s">
        <v>314</v>
      </c>
      <c r="HG5" s="117" t="s">
        <v>315</v>
      </c>
      <c r="HH5" s="2" t="s">
        <v>218</v>
      </c>
      <c r="HI5" s="2" t="s">
        <v>219</v>
      </c>
      <c r="HJ5" s="2" t="s">
        <v>220</v>
      </c>
      <c r="HK5" s="2" t="s">
        <v>156</v>
      </c>
      <c r="HL5" s="2" t="s">
        <v>176</v>
      </c>
      <c r="HM5" s="28" t="s">
        <v>431</v>
      </c>
      <c r="HN5" s="28" t="s">
        <v>435</v>
      </c>
      <c r="HO5" s="28" t="s">
        <v>443</v>
      </c>
      <c r="HP5" s="28" t="s">
        <v>451</v>
      </c>
      <c r="HQ5" s="28" t="s">
        <v>450</v>
      </c>
      <c r="HR5" s="28" t="s">
        <v>449</v>
      </c>
      <c r="HS5" s="28" t="s">
        <v>95</v>
      </c>
      <c r="HT5" s="28" t="s">
        <v>96</v>
      </c>
      <c r="HU5" s="28" t="s">
        <v>164</v>
      </c>
      <c r="HV5" s="28" t="s">
        <v>157</v>
      </c>
      <c r="HW5" s="2" t="s">
        <v>221</v>
      </c>
      <c r="HX5" s="2" t="s">
        <v>222</v>
      </c>
      <c r="HY5" s="28" t="s">
        <v>225</v>
      </c>
      <c r="IA5" s="89" t="s">
        <v>180</v>
      </c>
      <c r="IB5" s="2" t="s">
        <v>245</v>
      </c>
      <c r="IC5" s="2" t="s">
        <v>218</v>
      </c>
      <c r="ID5" s="2" t="s">
        <v>219</v>
      </c>
      <c r="IE5" s="2" t="s">
        <v>220</v>
      </c>
      <c r="IF5" s="2" t="s">
        <v>156</v>
      </c>
      <c r="IG5" s="2" t="s">
        <v>176</v>
      </c>
      <c r="IH5" s="28" t="s">
        <v>431</v>
      </c>
      <c r="II5" s="28" t="s">
        <v>435</v>
      </c>
      <c r="IJ5" s="28" t="s">
        <v>443</v>
      </c>
      <c r="IK5" s="28" t="s">
        <v>451</v>
      </c>
      <c r="IL5" s="28" t="s">
        <v>450</v>
      </c>
      <c r="IM5" s="28" t="s">
        <v>449</v>
      </c>
      <c r="IN5" s="28" t="s">
        <v>95</v>
      </c>
      <c r="IO5" s="28" t="s">
        <v>96</v>
      </c>
      <c r="IP5" s="28" t="s">
        <v>164</v>
      </c>
      <c r="IQ5" s="28" t="s">
        <v>157</v>
      </c>
      <c r="IR5" s="2" t="s">
        <v>221</v>
      </c>
      <c r="IS5" s="2" t="s">
        <v>222</v>
      </c>
      <c r="IT5" s="28" t="s">
        <v>244</v>
      </c>
      <c r="IV5" s="1" t="s">
        <v>180</v>
      </c>
      <c r="IW5" s="2" t="s">
        <v>248</v>
      </c>
      <c r="IX5" s="2" t="s">
        <v>218</v>
      </c>
      <c r="IY5" s="2" t="s">
        <v>219</v>
      </c>
      <c r="IZ5" s="2" t="s">
        <v>220</v>
      </c>
      <c r="JA5" s="2" t="s">
        <v>156</v>
      </c>
      <c r="JB5" s="2" t="s">
        <v>176</v>
      </c>
      <c r="JC5" s="28" t="s">
        <v>431</v>
      </c>
      <c r="JD5" s="28" t="s">
        <v>435</v>
      </c>
      <c r="JE5" s="28" t="s">
        <v>443</v>
      </c>
      <c r="JF5" s="28" t="s">
        <v>451</v>
      </c>
      <c r="JG5" s="28" t="s">
        <v>450</v>
      </c>
      <c r="JH5" s="28" t="s">
        <v>449</v>
      </c>
      <c r="JI5" s="28" t="s">
        <v>95</v>
      </c>
      <c r="JJ5" s="28" t="s">
        <v>96</v>
      </c>
      <c r="JK5" s="28" t="s">
        <v>164</v>
      </c>
      <c r="JL5" s="28" t="s">
        <v>157</v>
      </c>
      <c r="JM5" s="2" t="s">
        <v>221</v>
      </c>
      <c r="JN5" s="2" t="s">
        <v>222</v>
      </c>
      <c r="JO5" s="28" t="s">
        <v>249</v>
      </c>
      <c r="JQ5" s="40" t="s">
        <v>233</v>
      </c>
      <c r="JR5" s="28" t="s">
        <v>234</v>
      </c>
      <c r="JS5" s="28" t="s">
        <v>235</v>
      </c>
      <c r="JT5" s="28" t="s">
        <v>236</v>
      </c>
      <c r="JU5" s="2" t="s">
        <v>237</v>
      </c>
      <c r="JV5" s="2" t="s">
        <v>238</v>
      </c>
      <c r="JW5" s="28" t="s">
        <v>431</v>
      </c>
      <c r="JX5" s="28" t="s">
        <v>435</v>
      </c>
      <c r="JY5" s="28" t="s">
        <v>443</v>
      </c>
      <c r="JZ5" s="28" t="s">
        <v>451</v>
      </c>
      <c r="KA5" s="28" t="s">
        <v>450</v>
      </c>
      <c r="KB5" s="28" t="s">
        <v>449</v>
      </c>
      <c r="KC5" s="28" t="s">
        <v>95</v>
      </c>
      <c r="KD5" s="28" t="s">
        <v>96</v>
      </c>
      <c r="KE5" s="28" t="s">
        <v>164</v>
      </c>
      <c r="KF5" s="28" t="s">
        <v>157</v>
      </c>
      <c r="KG5" s="2" t="s">
        <v>239</v>
      </c>
      <c r="KH5" s="2" t="s">
        <v>240</v>
      </c>
      <c r="KI5" s="28" t="s">
        <v>241</v>
      </c>
      <c r="KK5" s="40" t="s">
        <v>371</v>
      </c>
      <c r="KL5" s="28" t="s">
        <v>384</v>
      </c>
      <c r="KM5" s="28" t="s">
        <v>385</v>
      </c>
      <c r="KN5" s="28" t="s">
        <v>190</v>
      </c>
      <c r="KO5" s="28" t="s">
        <v>368</v>
      </c>
      <c r="KP5" s="28" t="s">
        <v>369</v>
      </c>
      <c r="KQ5" s="28" t="s">
        <v>370</v>
      </c>
      <c r="KR5" s="28" t="s">
        <v>135</v>
      </c>
      <c r="KS5" s="28" t="s">
        <v>156</v>
      </c>
      <c r="KT5" s="28" t="s">
        <v>176</v>
      </c>
      <c r="KU5" s="28" t="s">
        <v>332</v>
      </c>
      <c r="KV5" s="28" t="s">
        <v>134</v>
      </c>
      <c r="KW5" s="28" t="s">
        <v>146</v>
      </c>
      <c r="KX5" s="28" t="s">
        <v>132</v>
      </c>
      <c r="KY5" s="28" t="s">
        <v>342</v>
      </c>
      <c r="KZ5" s="71" t="s">
        <v>335</v>
      </c>
      <c r="LA5" s="28" t="s">
        <v>133</v>
      </c>
      <c r="LB5" s="28" t="s">
        <v>160</v>
      </c>
      <c r="LC5" s="28" t="s">
        <v>431</v>
      </c>
      <c r="LD5" s="28" t="s">
        <v>435</v>
      </c>
      <c r="LE5" s="28" t="s">
        <v>443</v>
      </c>
      <c r="LF5" s="28" t="s">
        <v>451</v>
      </c>
      <c r="LG5" s="28" t="s">
        <v>450</v>
      </c>
      <c r="LH5" s="28" t="s">
        <v>449</v>
      </c>
      <c r="LI5" s="28" t="s">
        <v>95</v>
      </c>
      <c r="LJ5" s="28" t="s">
        <v>96</v>
      </c>
      <c r="LK5" s="28" t="s">
        <v>157</v>
      </c>
      <c r="LL5" s="28" t="s">
        <v>388</v>
      </c>
      <c r="LM5" s="28" t="s">
        <v>159</v>
      </c>
      <c r="LN5" s="28" t="s">
        <v>161</v>
      </c>
      <c r="LO5" s="28" t="s">
        <v>334</v>
      </c>
      <c r="LQ5" s="156" t="s">
        <v>407</v>
      </c>
      <c r="LR5" s="54" t="str">
        <f t="shared" ref="LR5:MD5" si="1">AW5</f>
        <v>FGL Taxable Gross Earnings (current, that is, respective year USD)</v>
      </c>
      <c r="LS5" s="54" t="str">
        <f t="shared" si="1"/>
        <v>FGL Non-Taxable Gross Earnings (current, that is, respective year USD)</v>
      </c>
      <c r="LT5" s="54" t="str">
        <f t="shared" si="1"/>
        <v>FGL Total Gross Earnings (current, that is, respective year USD)</v>
      </c>
      <c r="LU5" s="54" t="str">
        <f t="shared" si="1"/>
        <v>Federal Poverty Level</v>
      </c>
      <c r="LV5" s="54" t="str">
        <f t="shared" si="1"/>
        <v>Taxable Gross Earnings in 2013 USD</v>
      </c>
      <c r="LW5" s="54" t="str">
        <f t="shared" si="1"/>
        <v>Non-Taxable Gross Earnings in 2013 USD</v>
      </c>
      <c r="LX5" s="54" t="str">
        <f t="shared" si="1"/>
        <v>Loan Timeline, Forbearance</v>
      </c>
      <c r="LY5" s="54" t="str">
        <f t="shared" si="1"/>
        <v>Amount Borrowed (at the beginning of the year)</v>
      </c>
      <c r="LZ5" s="54" t="str">
        <f t="shared" si="1"/>
        <v>Principal (beginning of year)</v>
      </c>
      <c r="MA5" s="54" t="str">
        <f t="shared" si="1"/>
        <v>Accrued Interest</v>
      </c>
      <c r="MB5" s="54" t="str">
        <f t="shared" si="1"/>
        <v>Standard 10 year</v>
      </c>
      <c r="MC5" s="54" t="str">
        <f t="shared" si="1"/>
        <v>End of Year Loan Balance</v>
      </c>
      <c r="MD5" s="54" t="str">
        <f t="shared" si="1"/>
        <v>Loan Payment STD in 2013 USD</v>
      </c>
      <c r="ME5" s="28" t="s">
        <v>431</v>
      </c>
      <c r="MF5" s="28" t="s">
        <v>435</v>
      </c>
      <c r="MG5" s="28" t="s">
        <v>443</v>
      </c>
      <c r="MH5" s="28" t="s">
        <v>451</v>
      </c>
      <c r="MI5" s="28" t="s">
        <v>450</v>
      </c>
      <c r="MJ5" s="28" t="s">
        <v>449</v>
      </c>
      <c r="MK5" s="28" t="s">
        <v>95</v>
      </c>
      <c r="ML5" s="28" t="s">
        <v>96</v>
      </c>
      <c r="MM5" s="54" t="str">
        <f t="shared" ref="MM5" si="2">BR5</f>
        <v>Effective Tax Rate</v>
      </c>
      <c r="MN5" s="54" t="str">
        <f>BS5</f>
        <v>FGL Total After Tax Earnings in 2013 USD</v>
      </c>
      <c r="MO5" s="54" t="str">
        <f>BT5</f>
        <v>Net Pay in 2013 USD</v>
      </c>
      <c r="MP5" s="54" t="str">
        <f>BU5</f>
        <v>PV of Net Pay (Discounted)</v>
      </c>
      <c r="MQ5" s="54" t="s">
        <v>409</v>
      </c>
    </row>
    <row r="6" spans="1:355" ht="14.45" x14ac:dyDescent="0.3">
      <c r="A6" s="53"/>
      <c r="B6" s="51"/>
      <c r="C6" s="4"/>
      <c r="D6" s="3"/>
      <c r="E6" s="2"/>
      <c r="F6" s="2"/>
      <c r="G6" s="2"/>
      <c r="H6" s="53"/>
      <c r="I6" s="53"/>
      <c r="J6" s="53"/>
      <c r="K6" s="53"/>
      <c r="L6" s="80"/>
      <c r="M6" s="80"/>
      <c r="N6" s="80"/>
      <c r="O6" s="80"/>
      <c r="P6" s="80"/>
      <c r="Q6" s="80" t="s">
        <v>412</v>
      </c>
      <c r="R6" s="80" t="s">
        <v>413</v>
      </c>
      <c r="S6" s="80" t="s">
        <v>414</v>
      </c>
      <c r="T6" s="53"/>
      <c r="U6" s="53"/>
      <c r="V6" s="53"/>
      <c r="W6" s="53"/>
      <c r="X6" s="53"/>
      <c r="Y6" s="53"/>
      <c r="Z6" s="3"/>
      <c r="AA6" s="4"/>
      <c r="AB6" s="4"/>
      <c r="AC6" s="53"/>
      <c r="AD6" s="53"/>
      <c r="AE6" s="53"/>
      <c r="AF6" s="53"/>
      <c r="AG6" s="53"/>
      <c r="AH6" s="80"/>
      <c r="AI6" s="80"/>
      <c r="AJ6" s="80"/>
      <c r="AK6" s="80"/>
      <c r="AL6" s="80"/>
      <c r="AM6" s="80" t="s">
        <v>412</v>
      </c>
      <c r="AN6" s="80" t="s">
        <v>413</v>
      </c>
      <c r="AO6" s="80" t="s">
        <v>414</v>
      </c>
      <c r="AP6" s="53"/>
      <c r="AQ6" s="53"/>
      <c r="AR6" s="53"/>
      <c r="AS6" s="53"/>
      <c r="AT6" s="53"/>
      <c r="AU6" s="53"/>
      <c r="AV6" s="40"/>
      <c r="AW6" s="80"/>
      <c r="AX6" s="80"/>
      <c r="AY6" s="80"/>
      <c r="AZ6" s="32"/>
      <c r="BA6" s="32"/>
      <c r="BB6" s="32"/>
      <c r="BC6" s="80"/>
      <c r="BD6" s="80"/>
      <c r="BE6" s="80"/>
      <c r="BF6" s="80"/>
      <c r="BG6" s="80"/>
      <c r="BH6" s="80"/>
      <c r="BI6" s="80"/>
      <c r="BJ6" s="80"/>
      <c r="BK6" s="80"/>
      <c r="BL6" s="80"/>
      <c r="BM6" s="80"/>
      <c r="BN6" s="80"/>
      <c r="BO6" s="80" t="s">
        <v>412</v>
      </c>
      <c r="BP6" s="80" t="s">
        <v>413</v>
      </c>
      <c r="BQ6" s="80" t="s">
        <v>414</v>
      </c>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130"/>
      <c r="EI6" s="80"/>
      <c r="EJ6" s="80"/>
      <c r="EK6" s="80"/>
      <c r="EL6" s="80"/>
      <c r="EM6" s="80"/>
      <c r="EN6" s="80"/>
      <c r="EO6" s="80"/>
      <c r="EP6" s="80"/>
      <c r="EQ6" s="80" t="s">
        <v>195</v>
      </c>
      <c r="ER6" s="80" t="s">
        <v>196</v>
      </c>
      <c r="ES6" s="80" t="s">
        <v>197</v>
      </c>
      <c r="ET6" s="80"/>
      <c r="EU6" s="32"/>
      <c r="EV6" s="32"/>
      <c r="EW6" s="80"/>
      <c r="EX6" s="32"/>
      <c r="EY6" s="53"/>
      <c r="EZ6" s="79"/>
      <c r="FA6" s="53"/>
      <c r="FB6" s="53"/>
      <c r="FC6" s="53"/>
      <c r="FD6" s="53"/>
      <c r="FE6" s="53"/>
      <c r="FF6" s="53"/>
      <c r="FG6" s="53"/>
      <c r="FH6" s="53"/>
      <c r="FI6" s="79"/>
      <c r="FJ6" s="53"/>
      <c r="FK6" s="53"/>
      <c r="FL6" s="53"/>
      <c r="FM6" s="53"/>
      <c r="FN6" s="53"/>
      <c r="FO6" s="53"/>
      <c r="FP6" s="53"/>
      <c r="FQ6" s="53"/>
      <c r="FR6" s="79"/>
      <c r="FS6" s="53"/>
      <c r="FT6" s="53"/>
      <c r="FU6" s="53"/>
      <c r="FV6" s="53"/>
      <c r="FW6" s="53"/>
      <c r="FX6" s="53"/>
      <c r="FY6" s="53"/>
      <c r="FZ6" s="53"/>
      <c r="GC6" s="3"/>
      <c r="GD6" s="2"/>
      <c r="GE6" s="2"/>
      <c r="GF6" s="2"/>
      <c r="GG6" s="2"/>
      <c r="GH6" s="2"/>
      <c r="GI6" s="2"/>
      <c r="GJ6" s="53"/>
      <c r="GK6" s="53"/>
      <c r="GL6" s="53"/>
      <c r="GM6" s="53"/>
      <c r="GN6" s="80"/>
      <c r="GO6" s="80"/>
      <c r="GP6" s="80"/>
      <c r="GQ6" s="80"/>
      <c r="GR6" s="80"/>
      <c r="GS6" s="80" t="s">
        <v>412</v>
      </c>
      <c r="GT6" s="80" t="s">
        <v>413</v>
      </c>
      <c r="GU6" s="80" t="s">
        <v>414</v>
      </c>
      <c r="GV6" s="53"/>
      <c r="GW6" s="53"/>
      <c r="GX6" s="53"/>
      <c r="GY6" s="53"/>
      <c r="GZ6" s="53"/>
      <c r="HB6" s="3"/>
      <c r="HC6" s="4"/>
      <c r="HD6" s="4"/>
      <c r="HE6" s="4"/>
      <c r="HF6" s="4"/>
      <c r="HG6" s="4"/>
      <c r="HH6" s="53"/>
      <c r="HI6" s="53"/>
      <c r="HJ6" s="53"/>
      <c r="HK6" s="53"/>
      <c r="HL6" s="53"/>
      <c r="HM6" s="80"/>
      <c r="HN6" s="80"/>
      <c r="HO6" s="80"/>
      <c r="HP6" s="80"/>
      <c r="HQ6" s="80"/>
      <c r="HR6" s="80" t="s">
        <v>412</v>
      </c>
      <c r="HS6" s="80" t="s">
        <v>413</v>
      </c>
      <c r="HT6" s="80" t="s">
        <v>414</v>
      </c>
      <c r="HU6" s="53"/>
      <c r="HV6" s="53"/>
      <c r="HW6" s="53"/>
      <c r="HX6" s="53"/>
      <c r="HY6" s="53"/>
      <c r="IA6" s="7"/>
      <c r="IH6" s="80"/>
      <c r="II6" s="80"/>
      <c r="IJ6" s="80"/>
      <c r="IK6" s="80"/>
      <c r="IL6" s="80"/>
      <c r="IM6" s="80" t="s">
        <v>412</v>
      </c>
      <c r="IN6" s="80" t="s">
        <v>413</v>
      </c>
      <c r="IO6" s="80" t="s">
        <v>414</v>
      </c>
      <c r="IV6" s="7"/>
      <c r="JC6" s="80"/>
      <c r="JD6" s="80"/>
      <c r="JE6" s="80"/>
      <c r="JF6" s="80"/>
      <c r="JG6" s="80"/>
      <c r="JH6" s="80" t="s">
        <v>412</v>
      </c>
      <c r="JI6" s="80" t="s">
        <v>413</v>
      </c>
      <c r="JJ6" s="80" t="s">
        <v>414</v>
      </c>
      <c r="JQ6" s="40"/>
      <c r="JR6" s="80"/>
      <c r="JS6" s="80"/>
      <c r="JT6" s="80"/>
      <c r="JW6" s="80"/>
      <c r="JX6" s="80"/>
      <c r="JY6" s="80"/>
      <c r="JZ6" s="80"/>
      <c r="KA6" s="80"/>
      <c r="KB6" s="80" t="s">
        <v>412</v>
      </c>
      <c r="KC6" s="80" t="s">
        <v>413</v>
      </c>
      <c r="KD6" s="80" t="s">
        <v>414</v>
      </c>
      <c r="KK6" s="7"/>
      <c r="KR6" s="32"/>
      <c r="KU6" s="80"/>
      <c r="KV6" s="80"/>
      <c r="KW6" s="80"/>
      <c r="KX6" s="80"/>
      <c r="KY6" s="80"/>
      <c r="KZ6" s="80"/>
      <c r="LA6" s="80"/>
      <c r="LB6" s="80"/>
      <c r="LC6" s="80"/>
      <c r="LD6" s="80"/>
      <c r="LE6" s="80"/>
      <c r="LF6" s="80"/>
      <c r="LG6" s="80"/>
      <c r="LH6" s="80" t="s">
        <v>412</v>
      </c>
      <c r="LI6" s="80" t="s">
        <v>413</v>
      </c>
      <c r="LJ6" s="80" t="s">
        <v>414</v>
      </c>
      <c r="LK6" s="80"/>
      <c r="LL6" s="80"/>
      <c r="LM6" s="80"/>
      <c r="LN6" s="80"/>
      <c r="LO6" s="80"/>
      <c r="LQ6" s="157"/>
      <c r="LR6" s="53"/>
      <c r="LS6" s="53"/>
      <c r="LT6" s="53"/>
      <c r="LU6" s="53"/>
      <c r="LV6" s="53"/>
      <c r="LW6" s="53"/>
      <c r="LX6" s="53"/>
      <c r="LY6" s="53"/>
      <c r="LZ6" s="53"/>
      <c r="MA6" s="53"/>
      <c r="MB6" s="53"/>
      <c r="MC6" s="53"/>
      <c r="MD6" s="53"/>
      <c r="ME6" s="80"/>
      <c r="MF6" s="80"/>
      <c r="MG6" s="80"/>
      <c r="MH6" s="80"/>
      <c r="MI6" s="80"/>
      <c r="MJ6" s="80" t="s">
        <v>412</v>
      </c>
      <c r="MK6" s="80" t="s">
        <v>413</v>
      </c>
      <c r="ML6" s="80" t="s">
        <v>414</v>
      </c>
      <c r="MM6" s="53"/>
      <c r="MN6" s="53"/>
      <c r="MO6" s="53"/>
      <c r="MP6" s="53"/>
      <c r="MQ6" s="53"/>
    </row>
    <row r="7" spans="1:355" ht="14.45" x14ac:dyDescent="0.3">
      <c r="A7" s="53">
        <v>2013</v>
      </c>
      <c r="B7" s="51">
        <v>1</v>
      </c>
      <c r="C7" s="4"/>
      <c r="D7" s="3">
        <v>0</v>
      </c>
      <c r="E7" s="4" t="s">
        <v>15</v>
      </c>
      <c r="F7" s="5">
        <f>InputData!$C$26*12</f>
        <v>34516.800000000003</v>
      </c>
      <c r="G7" s="5">
        <f>InputData!$C$26*12</f>
        <v>34516.800000000003</v>
      </c>
      <c r="H7" s="5">
        <f>(InputData!$H$37+InputData!$C$40)*12</f>
        <v>25411.199999999997</v>
      </c>
      <c r="I7" s="5">
        <f>G7+H7</f>
        <v>59928</v>
      </c>
      <c r="J7" s="5">
        <f>G7*((1+InputData!$C$5)/(1+InputData!$C$3))^(IntMed!$B7-IntMed!$B$7)</f>
        <v>34516.800000000003</v>
      </c>
      <c r="K7" s="5">
        <f>H7*((1+InputData!$C$5)/(1+InputData!$C$3))^(IntMed!$B7-IntMed!$B$7)</f>
        <v>25411.199999999997</v>
      </c>
      <c r="L7" s="32">
        <f>IF(J7-InputData!$C$158-InputData!$C$159&gt;=0,J7-InputData!$C$158-InputData!$C$159,0)</f>
        <v>34516.800000000003</v>
      </c>
      <c r="M7" s="32">
        <f>IF(J7-IF(J7&lt;=InputData!$C$146,InputData!$C$145,0)-MAX(InputData!$C$144,S7)&gt;=0,J7-IF(J7&lt;=InputData!$C$146,InputData!$C$145,0)-MAX(InputData!$C$144,S7),0)</f>
        <v>24516.800000000003</v>
      </c>
      <c r="N7" s="32">
        <f>IF(M7&lt;0,"Error",IF(M7&lt;=InputData!$B$170,InputData!$C$170*M7,IF(M7&lt;=InputData!$B$171,InputData!$D$170+InputData!$C$171*(M7-InputData!$B$170),IF(M7&lt;=InputData!$B$172,InputData!$D$171+InputData!$C$172*(M7-InputData!$B$171),IF(M7&lt;=InputData!$B$173,InputData!$D$172+InputData!$C$173*(M7-InputData!$B$172),IF(M7&lt;=InputData!$B$174,InputData!$D$173+InputData!$C$174*(M7-InputData!$B$173),IF(M7&lt;=InputData!$B$175,InputData!$D$174+InputData!$C$175*(M7-InputData!$B$174),InputData!$D$175+InputData!$C$176*(M7-InputData!$B$175))))))))</f>
        <v>3231.2700000000004</v>
      </c>
      <c r="O7" s="32">
        <f>IF(J7&lt;=InputData!$C$150,InputData!$C$152,IF(J7&lt;InputData!$C$151,IF(InputData!$C$152-0.25*IF(J7-InputData!$C$150&lt;=0,0,J7-InputData!$C$150)&lt;=0,0,InputData!$C$152-0.25*IF(J7-InputData!$C$150&lt;=0,0,J7-InputData!$C$150)),0))</f>
        <v>51900</v>
      </c>
      <c r="P7" s="32">
        <f>IF(J7-O7&lt;=0,0,IF(J7-O7&lt;=InputData!$C$153,InputData!$C$154*(J7-O7),InputData!$C$155*(J7-O7)-InputData!$D$154))</f>
        <v>0</v>
      </c>
      <c r="Q7" s="32">
        <f>MAX(N7,P7)</f>
        <v>3231.2700000000004</v>
      </c>
      <c r="R7" s="32">
        <f>IF(J7&gt;=0,IF(J7&lt;=InputData!$C$148,InputData!$C$147*J7,InputData!$C$147*InputData!$C$148)+InputData!$C$149*J7,0)</f>
        <v>2640.5352000000003</v>
      </c>
      <c r="S7" s="32">
        <f>IF(L7&lt;0,0,IF(L7&lt;=InputData!$B$163,InputData!$C$163*L7,IF(L7&lt;=InputData!$B$164,InputData!$D$163+InputData!$C$164*(L7-InputData!$B$163),IF(L7&lt;=InputData!$B$165,InputData!$D$164+InputData!$C$165*(L7-InputData!$B$164),InputData!$D$165+InputData!$C$166*(L7-InputData!$B$165)))))</f>
        <v>0</v>
      </c>
      <c r="T7" s="43">
        <f>(Q7+R7+S7)/J7</f>
        <v>0.17011441385064666</v>
      </c>
      <c r="U7" s="43">
        <f>(Q7+R7+S7)/(J7+K7)</f>
        <v>9.7980997196635972E-2</v>
      </c>
      <c r="V7" s="5">
        <f>J7+K7-Q7-R7-S7</f>
        <v>54056.194799999997</v>
      </c>
      <c r="W7" s="32">
        <f>V7/((1+InputData!$C$7)^(IntMed!$B7-IntMed!$B$7))</f>
        <v>54056.194799999997</v>
      </c>
      <c r="X7" s="5">
        <f>W7</f>
        <v>54056.194799999997</v>
      </c>
      <c r="Y7" s="53"/>
      <c r="Z7" s="3">
        <v>0</v>
      </c>
      <c r="AA7" s="4" t="s">
        <v>0</v>
      </c>
      <c r="AB7" s="4"/>
      <c r="AC7" s="5">
        <f>InputData!$C$67*10.5+(IntMed!G7+IntMed!H7)*45/365.25+InputData!$G$67</f>
        <v>49307.326488706363</v>
      </c>
      <c r="AD7" s="5">
        <v>0</v>
      </c>
      <c r="AE7" s="5">
        <f>AC7+AD7</f>
        <v>49307.326488706363</v>
      </c>
      <c r="AF7" s="5">
        <f>AC7*((1+InputData!$C$5)/(1+InputData!$C$3))^(IntMed!$B7-IntMed!$B$7)</f>
        <v>49307.326488706363</v>
      </c>
      <c r="AG7" s="5">
        <f>AD7*((1+InputData!$C$5)/(1+InputData!$C$3))^(IntMed!$B7-IntMed!$B$7)</f>
        <v>0</v>
      </c>
      <c r="AH7" s="32">
        <f>IF(AF7-InputData!$C$158-InputData!$C$159&gt;=0,AF7-InputData!$C$158-InputData!$C$159,0)</f>
        <v>49307.326488706363</v>
      </c>
      <c r="AI7" s="32">
        <f>IF(AF7-IF(AF7&lt;=InputData!$C$146,InputData!$C$145,0)-MAX(InputData!$C$144,AO7)&gt;=0,AF7-IF(AF7&lt;=InputData!$C$146,InputData!$C$145,0)-MAX(InputData!$C$144,AO7),0)</f>
        <v>39307.326488706363</v>
      </c>
      <c r="AJ7" s="32">
        <f>IF(AI7&lt;0,"Error",IF(AI7&lt;=InputData!$B$170,InputData!$C$170*AI7,IF(AI7&lt;=InputData!$B$171,InputData!$D$170+InputData!$C$171*(AI7-InputData!$B$170),IF(AI7&lt;=InputData!$B$172,InputData!$D$171+InputData!$C$172*(AI7-InputData!$B$171),IF(AI7&lt;=InputData!$B$173,InputData!$D$172+InputData!$C$173*(AI7-InputData!$B$172),IF(AI7&lt;=InputData!$B$174,InputData!$D$173+InputData!$C$174*(AI7-InputData!$B$173),IF(AI7&lt;=InputData!$B$175,InputData!$D$174+InputData!$C$175*(AI7-InputData!$B$174),InputData!$D$175+InputData!$C$176*(AI7-InputData!$B$175))))))))</f>
        <v>5755.5816221765908</v>
      </c>
      <c r="AK7" s="32">
        <f>IF(AF7&lt;=InputData!$C$150,InputData!$C$152,IF(AF7&lt;InputData!$C$151,IF(InputData!$C$152-0.25*IF(AF7-InputData!$C$150&lt;=0,0,AF7-InputData!$C$150)&lt;=0,0,InputData!$C$152-0.25*IF(AF7-InputData!$C$150&lt;=0,0,AF7-InputData!$C$150)),0))</f>
        <v>51900</v>
      </c>
      <c r="AL7" s="32">
        <f>IF(AF7-AK7&lt;=0,0,IF(AF7-AK7&lt;=InputData!$C$153,InputData!$C$154*(AF7-AK7),InputData!$C$155*(AF7-AK7)-InputData!$D$154))</f>
        <v>0</v>
      </c>
      <c r="AM7" s="32">
        <f>MAX(AJ7,AL7)</f>
        <v>5755.5816221765908</v>
      </c>
      <c r="AN7" s="32">
        <v>0</v>
      </c>
      <c r="AO7" s="32">
        <f>IF(AH7&lt;0,0,IF(AH7&lt;=InputData!$B$163,InputData!$C$163*AH7,IF(AH7&lt;=InputData!$B$164,InputData!$D$163+InputData!$C$164*(AH7-InputData!$B$163),IF(AH7&lt;=InputData!$B$165,InputData!$D$164+InputData!$C$165*(AH7-InputData!$B$164),InputData!$D$165+InputData!$C$166*(AH7-InputData!$B$165)))))</f>
        <v>0</v>
      </c>
      <c r="AP7" s="43">
        <f>(AM7+AN7+AO7)/AF7</f>
        <v>0.11672873043511865</v>
      </c>
      <c r="AQ7" s="43">
        <f>(AM7+AN7+AO7)/(AF7+AG7)</f>
        <v>0.11672873043511865</v>
      </c>
      <c r="AR7" s="5">
        <f>AF7+AG7-AM7-AN7-AO7</f>
        <v>43551.744866529771</v>
      </c>
      <c r="AS7" s="32">
        <f>AR7/((1+InputData!$C$7)^(IntMed!$B7-IntMed!$B$7))</f>
        <v>43551.744866529771</v>
      </c>
      <c r="AT7" s="5">
        <f>AS7</f>
        <v>43551.744866529771</v>
      </c>
      <c r="AU7" s="53"/>
      <c r="AV7" s="41" t="s">
        <v>0</v>
      </c>
      <c r="AW7" s="32">
        <v>0</v>
      </c>
      <c r="AX7" s="32">
        <f>-(BD7+BF7)</f>
        <v>-43015.05</v>
      </c>
      <c r="AY7" s="32">
        <f>AW7+AX7</f>
        <v>-43015.05</v>
      </c>
      <c r="AZ7" s="32">
        <f>InputData!$C$92</f>
        <v>11490</v>
      </c>
      <c r="BA7" s="32">
        <f>AW7/((1+InputData!$C$3)^(IntMed!$B7-IntMed!$B$7))</f>
        <v>0</v>
      </c>
      <c r="BB7" s="32">
        <f>AX7/((1+InputData!$C$3)^(IntMed!$B7-IntMed!$B$7))</f>
        <v>-43015.05</v>
      </c>
      <c r="BC7" s="32" t="s">
        <v>143</v>
      </c>
      <c r="BD7" s="118">
        <f>InputData!$C$88*9/40</f>
        <v>40500</v>
      </c>
      <c r="BE7" s="32">
        <f>BD7</f>
        <v>40500</v>
      </c>
      <c r="BF7" s="32">
        <f>BE7*InputData!$C$6</f>
        <v>2515.0500000000002</v>
      </c>
      <c r="BG7" s="32">
        <v>0</v>
      </c>
      <c r="BH7" s="32">
        <f>BE7+BF7-BG7</f>
        <v>43015.05</v>
      </c>
      <c r="BI7" s="32">
        <f>BG7/((1+InputData!$C$3)^(IntMed!$B7-IntMed!$B$7))</f>
        <v>0</v>
      </c>
      <c r="BJ7" s="32">
        <f>IF(BA7-InputData!$C$158-InputData!$C$159&gt;=0,BA7-InputData!$C$158-InputData!$C$159,0)</f>
        <v>0</v>
      </c>
      <c r="BK7" s="32">
        <f>IF(BA7-IF(BA7&lt;=InputData!$C$146,InputData!$C$145,0)-MAX(InputData!$C$144,BQ7)&gt;=0,BA7-IF(BA7&lt;=InputData!$C$146,InputData!$C$145,0)-MAX(InputData!$C$144,BQ7),0)</f>
        <v>0</v>
      </c>
      <c r="BL7" s="32">
        <f>IF(BK7&lt;0,"Error",IF(BK7&lt;=InputData!$B$170,InputData!$C$170*BK7,IF(BK7&lt;=InputData!$B$171,InputData!$D$170+InputData!$C$171*(BK7-InputData!$B$170),IF(BK7&lt;=InputData!$B$172,InputData!$D$171+InputData!$C$172*(BK7-InputData!$B$171),IF(BK7&lt;=InputData!$B$173,InputData!$D$172+InputData!$C$173*(BK7-InputData!$B$172),IF(BK7&lt;=InputData!$B$174,InputData!$D$173+InputData!$C$174*(BK7-InputData!$B$173),IF(BK7&lt;=InputData!$B$175,InputData!$D$174+InputData!$C$175*(BK7-InputData!$B$174),InputData!$D$175+InputData!$C$176*(BK7-InputData!$B$175))))))))</f>
        <v>0</v>
      </c>
      <c r="BM7" s="32">
        <f>IF(BA7&lt;=InputData!$C$150,InputData!$C$152,IF(BA7&lt;InputData!$C$151,IF(InputData!$C$152-0.25*IF(BA7-InputData!$C$150&lt;=0,0,BA7-InputData!$C$150)&lt;=0,0,InputData!$C$152-0.25*IF(BA7-InputData!$C$150&lt;=0,0,BA7-InputData!$C$150)),0))</f>
        <v>51900</v>
      </c>
      <c r="BN7" s="32">
        <f>IF(BA7-BM7&lt;=0,0,IF(BA7-BM7&lt;=InputData!$C$153,InputData!$C$154*(BA7-BM7),InputData!$C$155*(BA7-BM7)-InputData!$D$154))</f>
        <v>0</v>
      </c>
      <c r="BO7" s="32">
        <f>MAX(BL7,BN7)</f>
        <v>0</v>
      </c>
      <c r="BP7" s="32">
        <f>IF(BA7&gt;=0,IF(BA7&lt;=InputData!$C$148,InputData!$C$147*BA7,InputData!$C$147*InputData!$C$148)+InputData!$C$149*BA7,0)</f>
        <v>0</v>
      </c>
      <c r="BQ7" s="32">
        <f>IF(BJ7&lt;0,0,IF(BJ7&lt;=InputData!$B$163,InputData!$C$163*BJ7,IF(BJ7&lt;=InputData!$B$164,InputData!$D$163+InputData!$C$164*(BJ7-InputData!$B$163),IF(BJ7&lt;=InputData!$B$165,InputData!$D$164+InputData!$C$165*(BJ7-InputData!$B$164),InputData!$D$165+InputData!$C$166*(BJ7-InputData!$B$165)))))</f>
        <v>0</v>
      </c>
      <c r="BR7" s="43">
        <f>(BO7+BP7+BQ7)/(BA7+BB7)</f>
        <v>0</v>
      </c>
      <c r="BS7" s="32">
        <f>BA7+BB7-(BO7+BP7+BQ7)</f>
        <v>-43015.05</v>
      </c>
      <c r="BT7" s="32">
        <f>BS7-BI7</f>
        <v>-43015.05</v>
      </c>
      <c r="BU7" s="32">
        <f>BT7/((1+InputData!$C$7)^(IntMed!$B7-IntMed!$B$7))</f>
        <v>-43015.05</v>
      </c>
      <c r="BV7" s="5">
        <f>BU7</f>
        <v>-43015.05</v>
      </c>
      <c r="BW7" s="5"/>
      <c r="BX7" s="32" t="s">
        <v>143</v>
      </c>
      <c r="BY7" s="5">
        <f>$BE7</f>
        <v>40500</v>
      </c>
      <c r="BZ7" s="5">
        <f>$BF7</f>
        <v>2515.0500000000002</v>
      </c>
      <c r="CA7" s="5">
        <v>0</v>
      </c>
      <c r="CB7" s="5">
        <f>$BH7</f>
        <v>43015.05</v>
      </c>
      <c r="CC7" s="32">
        <f>CA7/((1+InputData!$C$3)^(IntMed!$B7-IntMed!$B$7))</f>
        <v>0</v>
      </c>
      <c r="CD7" s="5">
        <f>$BS7-CC7</f>
        <v>-43015.05</v>
      </c>
      <c r="CE7" s="32">
        <f>CD7/((1+InputData!$C$7)^(IntMed!$B7-IntMed!$B$7))</f>
        <v>-43015.05</v>
      </c>
      <c r="CF7" s="5">
        <f>CE7</f>
        <v>-43015.05</v>
      </c>
      <c r="CG7" s="5"/>
      <c r="CH7" s="32" t="s">
        <v>143</v>
      </c>
      <c r="CI7" s="5">
        <f>$BE7</f>
        <v>40500</v>
      </c>
      <c r="CJ7" s="5">
        <f>$BF7</f>
        <v>2515.0500000000002</v>
      </c>
      <c r="CK7" s="5">
        <v>0</v>
      </c>
      <c r="CL7" s="5">
        <f>$BH7</f>
        <v>43015.05</v>
      </c>
      <c r="CM7" s="32">
        <f>CK7/((1+InputData!$C$3)^(IntMed!$B7-IntMed!$B$7))</f>
        <v>0</v>
      </c>
      <c r="CN7" s="5">
        <f>$BS7-CM7</f>
        <v>-43015.05</v>
      </c>
      <c r="CO7" s="32">
        <f>CN7/((1+InputData!$C$7)^(IntMed!$B7-IntMed!$B$7))</f>
        <v>-43015.05</v>
      </c>
      <c r="CP7" s="5">
        <f>CO7</f>
        <v>-43015.05</v>
      </c>
      <c r="CQ7" s="5"/>
      <c r="CR7" s="32" t="s">
        <v>143</v>
      </c>
      <c r="CS7" s="5">
        <f>$BE7</f>
        <v>40500</v>
      </c>
      <c r="CT7" s="5">
        <f>$BF7</f>
        <v>2515.0500000000002</v>
      </c>
      <c r="CU7" s="5">
        <v>0</v>
      </c>
      <c r="CV7" s="5">
        <f>$BH7</f>
        <v>43015.05</v>
      </c>
      <c r="CW7" s="32">
        <f>CU7/((1+InputData!$C$3)^(IntMed!$B7-IntMed!$B$7))</f>
        <v>0</v>
      </c>
      <c r="CX7" s="5">
        <f>$BS7-CW7</f>
        <v>-43015.05</v>
      </c>
      <c r="CY7" s="32">
        <f>CX7/((1+InputData!$C$7)^(IntMed!$B7-IntMed!$B$7))</f>
        <v>-43015.05</v>
      </c>
      <c r="CZ7" s="5">
        <f>CY7</f>
        <v>-43015.05</v>
      </c>
      <c r="DA7" s="5"/>
      <c r="DB7" s="32" t="s">
        <v>143</v>
      </c>
      <c r="DC7" s="5">
        <f>$BE7</f>
        <v>40500</v>
      </c>
      <c r="DD7" s="5">
        <f>$BF7</f>
        <v>2515.0500000000002</v>
      </c>
      <c r="DE7" s="5">
        <v>0</v>
      </c>
      <c r="DF7" s="5">
        <f>$BH7</f>
        <v>43015.05</v>
      </c>
      <c r="DG7" s="32">
        <f>DE7/((1+InputData!$C$3)^(IntMed!$B7-IntMed!$B$7))</f>
        <v>0</v>
      </c>
      <c r="DH7" s="5">
        <f>$BS7-DG7</f>
        <v>-43015.05</v>
      </c>
      <c r="DI7" s="32">
        <f>DH7/((1+InputData!$C$7)^(IntMed!$B7-IntMed!$B$7))</f>
        <v>-43015.05</v>
      </c>
      <c r="DJ7" s="5">
        <f>DI7</f>
        <v>-43015.05</v>
      </c>
      <c r="DK7" s="5"/>
      <c r="DL7" s="32" t="s">
        <v>143</v>
      </c>
      <c r="DM7" s="5">
        <f>$BE7</f>
        <v>40500</v>
      </c>
      <c r="DN7" s="5">
        <f>$BF7</f>
        <v>2515.0500000000002</v>
      </c>
      <c r="DO7" s="5">
        <f>DN7-DP7</f>
        <v>2515.0500000000002</v>
      </c>
      <c r="DP7" s="5">
        <v>0</v>
      </c>
      <c r="DQ7" s="5">
        <f>$BH7</f>
        <v>43015.05</v>
      </c>
      <c r="DR7" s="32">
        <f>DP7/((1+InputData!$C$3)^(IntMed!$B7-IntMed!$B$7))</f>
        <v>0</v>
      </c>
      <c r="DS7" s="5">
        <f>$BS7-DR7</f>
        <v>-43015.05</v>
      </c>
      <c r="DT7" s="32">
        <f>DS7/((1+InputData!$C$7)^(IntMed!$B7-IntMed!$B$7))</f>
        <v>-43015.05</v>
      </c>
      <c r="DU7" s="5">
        <f>DT7</f>
        <v>-43015.05</v>
      </c>
      <c r="DV7" s="5"/>
      <c r="DW7" s="32" t="s">
        <v>143</v>
      </c>
      <c r="DX7" s="5">
        <f>$BE7</f>
        <v>40500</v>
      </c>
      <c r="DY7" s="5">
        <f>$BF7</f>
        <v>2515.0500000000002</v>
      </c>
      <c r="DZ7" s="5">
        <f>DY7</f>
        <v>2515.0500000000002</v>
      </c>
      <c r="EA7" s="5">
        <v>0</v>
      </c>
      <c r="EB7" s="5">
        <f>$BH7</f>
        <v>43015.05</v>
      </c>
      <c r="EC7" s="32">
        <f>EA7/((1+InputData!$C$3)^(IntMed!$B7-IntMed!$B$7))</f>
        <v>0</v>
      </c>
      <c r="ED7" s="5">
        <f>$BS7-EC7</f>
        <v>-43015.05</v>
      </c>
      <c r="EE7" s="32">
        <f>ED7/((1+InputData!$C$7)^(IntMed!$B7-IntMed!$B$7))</f>
        <v>-43015.05</v>
      </c>
      <c r="EF7" s="5">
        <f>EE7</f>
        <v>-43015.05</v>
      </c>
      <c r="EG7" s="32"/>
      <c r="EH7" s="130" t="s">
        <v>143</v>
      </c>
      <c r="EI7" s="32">
        <f>InputData!$C$88/4</f>
        <v>45000</v>
      </c>
      <c r="EJ7" s="32">
        <f>EI7</f>
        <v>45000</v>
      </c>
      <c r="EK7" s="32">
        <f>EJ7*InputData!$C$6</f>
        <v>2794.5</v>
      </c>
      <c r="EL7" s="32">
        <f>EI7+EK7</f>
        <v>47794.5</v>
      </c>
      <c r="EM7" s="32">
        <f>InputData!$C$92</f>
        <v>11490</v>
      </c>
      <c r="EN7" s="32">
        <v>0</v>
      </c>
      <c r="EO7" s="32">
        <f>AW7</f>
        <v>0</v>
      </c>
      <c r="EP7" s="32">
        <f>AX7</f>
        <v>-43015.05</v>
      </c>
      <c r="EQ7" s="32">
        <v>0</v>
      </c>
      <c r="ER7" s="32">
        <v>0</v>
      </c>
      <c r="ES7" s="32">
        <v>0</v>
      </c>
      <c r="ET7" s="32"/>
      <c r="EU7" s="32">
        <f>EO7+EP7-EQ7-ER7-ES7</f>
        <v>-43015.05</v>
      </c>
      <c r="EV7" s="32">
        <f>EN7/((1+InputData!$C$3)^(IntMed!$B7-IntMed!$B$7))</f>
        <v>0</v>
      </c>
      <c r="EW7" s="32">
        <f>EU7-EV7</f>
        <v>-43015.05</v>
      </c>
      <c r="EX7" s="32">
        <f>EW7/((1+InputData!$C$7)^(IntMed!$B7-IntMed!$B$7))</f>
        <v>-43015.05</v>
      </c>
      <c r="EY7" s="5">
        <f>EX7</f>
        <v>-43015.05</v>
      </c>
      <c r="EZ7" s="79"/>
      <c r="FA7" s="32">
        <f>$EJ7</f>
        <v>45000</v>
      </c>
      <c r="FB7" s="32">
        <f>$EK7</f>
        <v>2794.5</v>
      </c>
      <c r="FC7" s="32">
        <f>$EL7</f>
        <v>47794.5</v>
      </c>
      <c r="FD7" s="32">
        <v>0</v>
      </c>
      <c r="FE7" s="32">
        <f>FD7/((1+InputData!$C$3)^(IntMed!$B7-IntMed!$B$7))</f>
        <v>0</v>
      </c>
      <c r="FF7" s="5">
        <f>$EU7-FE7</f>
        <v>-43015.05</v>
      </c>
      <c r="FG7" s="32">
        <f>FF7/((1+InputData!$C$7)^(IntMed!$B7-IntMed!$B$7))</f>
        <v>-43015.05</v>
      </c>
      <c r="FH7" s="5">
        <f>FG7</f>
        <v>-43015.05</v>
      </c>
      <c r="FI7" s="79"/>
      <c r="FJ7" s="32">
        <f>$EJ7</f>
        <v>45000</v>
      </c>
      <c r="FK7" s="32">
        <f>$EK7</f>
        <v>2794.5</v>
      </c>
      <c r="FL7" s="32">
        <f>$EL7</f>
        <v>47794.5</v>
      </c>
      <c r="FM7" s="32">
        <v>0</v>
      </c>
      <c r="FN7" s="32">
        <f>FM7/((1+InputData!$C$3)^(IntMed!$B7-IntMed!$B$7))</f>
        <v>0</v>
      </c>
      <c r="FO7" s="5">
        <f>$EU7-FN7</f>
        <v>-43015.05</v>
      </c>
      <c r="FP7" s="32">
        <f>FO7/((1+InputData!$C$7)^(IntMed!$B7-IntMed!$B$7))</f>
        <v>-43015.05</v>
      </c>
      <c r="FQ7" s="5">
        <f>FP7</f>
        <v>-43015.05</v>
      </c>
      <c r="FR7" s="79"/>
      <c r="FS7" s="32">
        <f>$EJ7</f>
        <v>45000</v>
      </c>
      <c r="FT7" s="32">
        <f>$EK7</f>
        <v>2794.5</v>
      </c>
      <c r="FU7" s="32">
        <f>$EL7</f>
        <v>47794.5</v>
      </c>
      <c r="FV7" s="32">
        <v>0</v>
      </c>
      <c r="FW7" s="32">
        <f>FV7/((1+InputData!$C$3)^(IntMed!$B7-IntMed!$B$7))</f>
        <v>0</v>
      </c>
      <c r="FX7" s="5">
        <f>$EU7-FW7</f>
        <v>-43015.05</v>
      </c>
      <c r="FY7" s="32">
        <f>FX7/((1+InputData!$C$7)^(IntMed!$B7-IntMed!$B$7))</f>
        <v>-43015.05</v>
      </c>
      <c r="FZ7" s="5">
        <f>FY7</f>
        <v>-43015.05</v>
      </c>
      <c r="GC7" s="3">
        <f t="shared" ref="GC7:GC30" si="3">D7</f>
        <v>0</v>
      </c>
      <c r="GD7" s="4" t="str">
        <f t="shared" ref="GD7:GD30" si="4">E7</f>
        <v>Med School (O1&lt;=2 yrs)</v>
      </c>
      <c r="GE7" s="4"/>
      <c r="GF7" s="4"/>
      <c r="GG7" s="4"/>
      <c r="GH7" s="4"/>
      <c r="GI7" s="5">
        <f t="shared" ref="GI7:GI30" si="5">G7</f>
        <v>34516.800000000003</v>
      </c>
      <c r="GJ7" s="5">
        <f t="shared" ref="GJ7:GJ30" si="6">H7</f>
        <v>25411.199999999997</v>
      </c>
      <c r="GK7" s="5">
        <f t="shared" ref="GK7:GK30" si="7">I7</f>
        <v>59928</v>
      </c>
      <c r="GL7" s="5">
        <f t="shared" ref="GL7:GL30" si="8">J7</f>
        <v>34516.800000000003</v>
      </c>
      <c r="GM7" s="5">
        <f t="shared" ref="GM7:GM30" si="9">K7</f>
        <v>25411.199999999997</v>
      </c>
      <c r="GN7" s="32">
        <f>IF(GL7-InputData!$C$158-InputData!$C$159&gt;=0,GL7-InputData!$C$158-InputData!$C$159,0)</f>
        <v>34516.800000000003</v>
      </c>
      <c r="GO7" s="32">
        <f>IF(GL7-IF(GL7&lt;=InputData!$C$146,InputData!$C$145,0)-MAX(InputData!$C$144,GU7)&gt;=0,GL7-IF(GL7&lt;=InputData!$C$146,InputData!$C$145,0)-MAX(InputData!$C$144,GU7),0)</f>
        <v>24516.800000000003</v>
      </c>
      <c r="GP7" s="32">
        <f>IF(GO7&lt;0,"Error",IF(GO7&lt;=InputData!$B$170,InputData!$C$170*GO7,IF(GO7&lt;=InputData!$B$171,InputData!$D$170+InputData!$C$171*(GO7-InputData!$B$170),IF(GO7&lt;=InputData!$B$172,InputData!$D$171+InputData!$C$172*(GO7-InputData!$B$171),IF(GO7&lt;=InputData!$B$173,InputData!$D$172+InputData!$C$173*(GO7-InputData!$B$172),IF(GO7&lt;=InputData!$B$174,InputData!$D$173+InputData!$C$174*(GO7-InputData!$B$173),IF(GO7&lt;=InputData!$B$175,InputData!$D$174+InputData!$C$175*(GO7-InputData!$B$174),InputData!$D$175+InputData!$C$176*(GO7-InputData!$B$175))))))))</f>
        <v>3231.2700000000004</v>
      </c>
      <c r="GQ7" s="32">
        <f>IF(GL7&lt;=InputData!$C$150,InputData!$C$152,IF(GL7&lt;InputData!$C$151,IF(InputData!$C$152-0.25*IF(GL7-InputData!$C$150&lt;=0,0,GL7-InputData!$C$150)&lt;=0,0,InputData!$C$152-0.25*IF(GL7-InputData!$C$150&lt;=0,0,GL7-InputData!$C$150)),0))</f>
        <v>51900</v>
      </c>
      <c r="GR7" s="32">
        <f>IF(GL7-GQ7&lt;=0,0,IF(GL7-GQ7&lt;=InputData!$C$153,InputData!$C$154*(GL7-GQ7),InputData!$C$155*(GL7-GQ7)-InputData!$D$154))</f>
        <v>0</v>
      </c>
      <c r="GS7" s="32">
        <f>MAX(GP7,GR7)</f>
        <v>3231.2700000000004</v>
      </c>
      <c r="GT7" s="32">
        <f>IF(GL7&gt;=0,IF(GL7&lt;=InputData!$C$148,InputData!$C$147*GL7,InputData!$C$147*InputData!$C$148)+InputData!$C$149*GL7,0)</f>
        <v>2640.5352000000003</v>
      </c>
      <c r="GU7" s="32">
        <f>IF(GN7&lt;0,0,IF(GN7&lt;=InputData!$B$163,InputData!$C$163*GN7,IF(GN7&lt;=InputData!$B$164,InputData!$D$163+InputData!$C$164*(GN7-InputData!$B$163),IF(GN7&lt;=InputData!$B$165,InputData!$D$164+InputData!$C$165*(GN7-InputData!$B$164),InputData!$D$165+InputData!$C$166*(GN7-InputData!$B$165)))))</f>
        <v>0</v>
      </c>
      <c r="GV7" s="43">
        <f t="shared" ref="GV7:GV35" si="10">(GS7+GT7+GU7)/GL7</f>
        <v>0.17011441385064666</v>
      </c>
      <c r="GW7" s="43">
        <f t="shared" ref="GW7:GW35" si="11">(GS7+GT7+GU7)/(GL7+GM7)</f>
        <v>9.7980997196635972E-2</v>
      </c>
      <c r="GX7" s="5">
        <f t="shared" ref="GX7:GX35" si="12">GL7+GM7-GS7-GT7-GU7</f>
        <v>54056.194799999997</v>
      </c>
      <c r="GY7" s="32">
        <f>GX7/((1+InputData!$C$7)^(IntMed!$B7-IntMed!$B$7))</f>
        <v>54056.194799999997</v>
      </c>
      <c r="GZ7" s="5">
        <f>GY7</f>
        <v>54056.194799999997</v>
      </c>
      <c r="HB7" s="3">
        <f t="shared" ref="HB7:HB30" si="13">Z7</f>
        <v>0</v>
      </c>
      <c r="HC7" s="4" t="str">
        <f t="shared" ref="HC7:HC19" si="14">AA7</f>
        <v>Med School</v>
      </c>
      <c r="HD7" s="4"/>
      <c r="HE7" s="4"/>
      <c r="HF7" s="4"/>
      <c r="HG7" s="4"/>
      <c r="HH7" s="5">
        <f t="shared" ref="HH7:HH19" si="15">AC7</f>
        <v>49307.326488706363</v>
      </c>
      <c r="HI7" s="5">
        <f t="shared" ref="HI7:HI19" si="16">AD7</f>
        <v>0</v>
      </c>
      <c r="HJ7" s="5">
        <f t="shared" ref="HJ7:HJ19" si="17">AE7</f>
        <v>49307.326488706363</v>
      </c>
      <c r="HK7" s="5">
        <f t="shared" ref="HK7:HK19" si="18">AF7</f>
        <v>49307.326488706363</v>
      </c>
      <c r="HL7" s="5">
        <f t="shared" ref="HL7:HL19" si="19">AG7</f>
        <v>0</v>
      </c>
      <c r="HM7" s="32">
        <f>IF(HK7-InputData!$C$158-InputData!$C$159&gt;=0,HK7-InputData!$C$158-InputData!$C$159,0)</f>
        <v>49307.326488706363</v>
      </c>
      <c r="HN7" s="32">
        <f>IF(HK7-IF(HK7&lt;=InputData!$C$146,InputData!$C$145,0)-MAX(InputData!$C$144,HT7)&gt;=0,HK7-IF(HK7&lt;=InputData!$C$146,InputData!$C$145,0)-MAX(InputData!$C$144,HT7),0)</f>
        <v>39307.326488706363</v>
      </c>
      <c r="HO7" s="32">
        <f>IF(HN7&lt;0,"Error",IF(HN7&lt;=InputData!$B$170,InputData!$C$170*HN7,IF(HN7&lt;=InputData!$B$171,InputData!$D$170+InputData!$C$171*(HN7-InputData!$B$170),IF(HN7&lt;=InputData!$B$172,InputData!$D$171+InputData!$C$172*(HN7-InputData!$B$171),IF(HN7&lt;=InputData!$B$173,InputData!$D$172+InputData!$C$173*(HN7-InputData!$B$172),IF(HN7&lt;=InputData!$B$174,InputData!$D$173+InputData!$C$174*(HN7-InputData!$B$173),IF(HN7&lt;=InputData!$B$175,InputData!$D$174+InputData!$C$175*(HN7-InputData!$B$174),InputData!$D$175+InputData!$C$176*(HN7-InputData!$B$175))))))))</f>
        <v>5755.5816221765908</v>
      </c>
      <c r="HP7" s="32">
        <f>IF(HK7&lt;=InputData!$C$150,InputData!$C$152,IF(HK7&lt;InputData!$C$151,IF(InputData!$C$152-0.25*IF(HK7-InputData!$C$150&lt;=0,0,HK7-InputData!$C$150)&lt;=0,0,InputData!$C$152-0.25*IF(HK7-InputData!$C$150&lt;=0,0,HK7-InputData!$C$150)),0))</f>
        <v>51900</v>
      </c>
      <c r="HQ7" s="32">
        <f>IF(HK7-HP7&lt;=0,0,IF(HK7-HP7&lt;=InputData!$C$153,InputData!$C$154*(HK7-HP7),InputData!$C$155*(HK7-HP7)-InputData!$D$154))</f>
        <v>0</v>
      </c>
      <c r="HR7" s="32">
        <f>MAX(HO7,HQ7)</f>
        <v>5755.5816221765908</v>
      </c>
      <c r="HS7" s="32">
        <v>0</v>
      </c>
      <c r="HT7" s="32">
        <f>IF(HM7&lt;0,0,IF(HM7&lt;=InputData!$B$163,InputData!$C$163*HM7,IF(HM7&lt;=InputData!$B$164,InputData!$D$163+InputData!$C$164*(HM7-InputData!$B$163),IF(HM7&lt;=InputData!$B$165,InputData!$D$164+InputData!$C$165*(HM7-InputData!$B$164),InputData!$D$165+InputData!$C$166*(HM7-InputData!$B$165)))))</f>
        <v>0</v>
      </c>
      <c r="HU7" s="43">
        <f>(HR7+HS7+HT7)/HK7</f>
        <v>0.11672873043511865</v>
      </c>
      <c r="HV7" s="43">
        <f>(HR7+HS7+HT7)/(HK7+HL7)</f>
        <v>0.11672873043511865</v>
      </c>
      <c r="HW7" s="5">
        <f>HK7+HL7-HR7-HS7-HT7</f>
        <v>43551.744866529771</v>
      </c>
      <c r="HX7" s="32">
        <f>HW7/((1+InputData!$C$7)^(IntMed!$B7-IntMed!$B$7))</f>
        <v>43551.744866529771</v>
      </c>
      <c r="HY7" s="5">
        <f>HX7</f>
        <v>43551.744866529771</v>
      </c>
      <c r="IA7" s="3">
        <f t="shared" ref="IA7:IA20" si="20">D7</f>
        <v>0</v>
      </c>
      <c r="IB7" s="4" t="str">
        <f t="shared" ref="IB7:IB20" si="21">E7</f>
        <v>Med School (O1&lt;=2 yrs)</v>
      </c>
      <c r="IC7" s="5">
        <f t="shared" ref="IC7:IC20" si="22">G7</f>
        <v>34516.800000000003</v>
      </c>
      <c r="ID7" s="5">
        <f t="shared" ref="ID7:ID20" si="23">H7</f>
        <v>25411.199999999997</v>
      </c>
      <c r="IE7" s="5">
        <f t="shared" ref="IE7:IE20" si="24">I7</f>
        <v>59928</v>
      </c>
      <c r="IF7" s="5">
        <f t="shared" ref="IF7:IF20" si="25">J7</f>
        <v>34516.800000000003</v>
      </c>
      <c r="IG7" s="5">
        <f t="shared" ref="IG7:IG20" si="26">K7</f>
        <v>25411.199999999997</v>
      </c>
      <c r="IH7" s="32">
        <f>IF(IF7-InputData!$C$158-InputData!$C$159&gt;=0,IF7-InputData!$C$158-InputData!$C$159,0)</f>
        <v>34516.800000000003</v>
      </c>
      <c r="II7" s="32">
        <f>IF(IF7-IF(IF7&lt;=InputData!$C$146,InputData!$C$145,0)-MAX(InputData!$C$144,IO7)&gt;=0,IF7-IF(IF7&lt;=InputData!$C$146,InputData!$C$145,0)-MAX(InputData!$C$144,IO7),0)</f>
        <v>24516.800000000003</v>
      </c>
      <c r="IJ7" s="32">
        <f>IF(II7&lt;0,"Error",IF(II7&lt;=InputData!$B$170,InputData!$C$170*II7,IF(II7&lt;=InputData!$B$171,InputData!$D$170+InputData!$C$171*(II7-InputData!$B$170),IF(II7&lt;=InputData!$B$172,InputData!$D$171+InputData!$C$172*(II7-InputData!$B$171),IF(II7&lt;=InputData!$B$173,InputData!$D$172+InputData!$C$173*(II7-InputData!$B$172),IF(II7&lt;=InputData!$B$174,InputData!$D$173+InputData!$C$174*(II7-InputData!$B$173),IF(II7&lt;=InputData!$B$175,InputData!$D$174+InputData!$C$175*(II7-InputData!$B$174),InputData!$D$175+InputData!$C$176*(II7-InputData!$B$175))))))))</f>
        <v>3231.2700000000004</v>
      </c>
      <c r="IK7" s="32">
        <f>IF(IF7&lt;=InputData!$C$150,InputData!$C$152,IF(IF7&lt;InputData!$C$151,IF(InputData!$C$152-0.25*IF(IF7-InputData!$C$150&lt;=0,0,IF7-InputData!$C$150)&lt;=0,0,InputData!$C$152-0.25*IF(IF7-InputData!$C$150&lt;=0,0,IF7-InputData!$C$150)),0))</f>
        <v>51900</v>
      </c>
      <c r="IL7" s="32">
        <f>IF(IF7-IK7&lt;=0,0,IF(IF7-IK7&lt;=InputData!$C$153,InputData!$C$154*(IF7-IK7),InputData!$C$155*(IF7-IK7)-InputData!$D$154))</f>
        <v>0</v>
      </c>
      <c r="IM7" s="32">
        <f>MAX(IJ7,IL7)</f>
        <v>3231.2700000000004</v>
      </c>
      <c r="IN7" s="32">
        <f>IF(IF7&gt;=0,IF(IF7&lt;=InputData!$C$148,InputData!$C$147*IF7,InputData!$C$147*InputData!$C$148)+InputData!$C$149*IF7,0)</f>
        <v>2640.5352000000003</v>
      </c>
      <c r="IO7" s="32">
        <f>IF(IH7&lt;0,0,IF(IH7&lt;=InputData!$B$163,InputData!$C$163*IH7,IF(IH7&lt;=InputData!$B$164,InputData!$D$163+InputData!$C$164*(IH7-InputData!$B$163),IF(IH7&lt;=InputData!$B$165,InputData!$D$164+InputData!$C$165*(IH7-InputData!$B$164),InputData!$D$165+InputData!$C$166*(IH7-InputData!$B$165)))))</f>
        <v>0</v>
      </c>
      <c r="IP7" s="43">
        <f>(IM7+IN7+IO7)/IF7</f>
        <v>0.17011441385064666</v>
      </c>
      <c r="IQ7" s="43">
        <f>(IM7+IN7+IO7)/(IF7+IG7)</f>
        <v>9.7980997196635972E-2</v>
      </c>
      <c r="IR7" s="5">
        <f t="shared" ref="IR7:IR35" si="27">IF7+IG7-IM7-IN7-IO7</f>
        <v>54056.194799999997</v>
      </c>
      <c r="IS7" s="32">
        <f>IR7/((1+InputData!$C$7)^(IntMed!$B7-IntMed!$B$7))</f>
        <v>54056.194799999997</v>
      </c>
      <c r="IT7" s="5">
        <f>IS7</f>
        <v>54056.194799999997</v>
      </c>
      <c r="IV7" s="41">
        <f t="shared" ref="IV7:IV17" si="28">Z7</f>
        <v>0</v>
      </c>
      <c r="IW7" s="49" t="str">
        <f t="shared" ref="IW7:IW17" si="29">AA7</f>
        <v>Med School</v>
      </c>
      <c r="IX7" s="32">
        <f t="shared" ref="IX7:IX17" si="30">AC7</f>
        <v>49307.326488706363</v>
      </c>
      <c r="IY7" s="32">
        <f t="shared" ref="IY7:IY17" si="31">AD7</f>
        <v>0</v>
      </c>
      <c r="IZ7" s="32">
        <f t="shared" ref="IZ7:IZ17" si="32">AE7</f>
        <v>49307.326488706363</v>
      </c>
      <c r="JA7" s="32">
        <f t="shared" ref="JA7:JA17" si="33">AF7</f>
        <v>49307.326488706363</v>
      </c>
      <c r="JB7" s="32">
        <f t="shared" ref="JB7:JB17" si="34">AG7</f>
        <v>0</v>
      </c>
      <c r="JC7" s="32">
        <f>IF(JA7-InputData!$C$158-InputData!$C$159&gt;=0,JA7-InputData!$C$158-InputData!$C$159,0)</f>
        <v>49307.326488706363</v>
      </c>
      <c r="JD7" s="32">
        <f>IF(JA7-IF(JA7&lt;=InputData!$C$146,InputData!$C$145,0)-MAX(InputData!$C$144,JJ7)&gt;=0,JA7-IF(JA7&lt;=InputData!$C$146,InputData!$C$145,0)-MAX(InputData!$C$144,JJ7),0)</f>
        <v>39307.326488706363</v>
      </c>
      <c r="JE7" s="32">
        <f>IF(JD7&lt;0,"Error",IF(JD7&lt;=InputData!$B$170,InputData!$C$170*JD7,IF(JD7&lt;=InputData!$B$171,InputData!$D$170+InputData!$C$171*(JD7-InputData!$B$170),IF(JD7&lt;=InputData!$B$172,InputData!$D$171+InputData!$C$172*(JD7-InputData!$B$171),IF(JD7&lt;=InputData!$B$173,InputData!$D$172+InputData!$C$173*(JD7-InputData!$B$172),IF(JD7&lt;=InputData!$B$174,InputData!$D$173+InputData!$C$174*(JD7-InputData!$B$173),IF(JD7&lt;=InputData!$B$175,InputData!$D$174+InputData!$C$175*(JD7-InputData!$B$174),InputData!$D$175+InputData!$C$176*(JD7-InputData!$B$175))))))))</f>
        <v>5755.5816221765908</v>
      </c>
      <c r="JF7" s="32">
        <f>IF(JA7&lt;=InputData!$C$150,InputData!$C$152,IF(JA7&lt;InputData!$C$151,IF(InputData!$C$152-0.25*IF(JA7-InputData!$C$150&lt;=0,0,JA7-InputData!$C$150)&lt;=0,0,InputData!$C$152-0.25*IF(JA7-InputData!$C$150&lt;=0,0,JA7-InputData!$C$150)),0))</f>
        <v>51900</v>
      </c>
      <c r="JG7" s="32">
        <f>IF(JA7-JF7&lt;=0,0,IF(JA7-JF7&lt;=InputData!$C$153,InputData!$C$154*(JA7-JF7),InputData!$C$155*(JA7-JF7)-InputData!$D$154))</f>
        <v>0</v>
      </c>
      <c r="JH7" s="32">
        <f>MAX(JE7,JG7)</f>
        <v>5755.5816221765908</v>
      </c>
      <c r="JI7" s="32">
        <v>0</v>
      </c>
      <c r="JJ7" s="32">
        <f>IF(JC7&lt;0,0,IF(JC7&lt;=InputData!$B$163,InputData!$C$163*JC7,IF(JC7&lt;=InputData!$B$164,InputData!$D$163+InputData!$C$164*(JC7-InputData!$B$163),IF(JC7&lt;=InputData!$B$165,InputData!$D$164+InputData!$C$165*(JC7-InputData!$B$164),InputData!$D$165+InputData!$C$166*(JC7-InputData!$B$165)))))</f>
        <v>0</v>
      </c>
      <c r="JK7" s="42">
        <f>(JH7+JI7+JJ7)/JA7</f>
        <v>0.11672873043511865</v>
      </c>
      <c r="JL7" s="42">
        <f>(JH7+JI7+JJ7)/(JA7+JB7)</f>
        <v>0.11672873043511865</v>
      </c>
      <c r="JM7" s="32">
        <f t="shared" ref="JM7:JM35" si="35">JA7+JB7-JH7-JI7-JJ7</f>
        <v>43551.744866529771</v>
      </c>
      <c r="JN7" s="32">
        <f>JM7/((1+InputData!$C$7)^(IntMed!$B7-IntMed!$B$7))</f>
        <v>43551.744866529771</v>
      </c>
      <c r="JO7" s="32">
        <f>JN7</f>
        <v>43551.744866529771</v>
      </c>
      <c r="JQ7" s="41" t="s">
        <v>0</v>
      </c>
      <c r="JR7" s="32">
        <f>InputData!$C$112*12</f>
        <v>15468</v>
      </c>
      <c r="JS7" s="32">
        <v>0</v>
      </c>
      <c r="JT7" s="32">
        <f>JR7+JS7</f>
        <v>15468</v>
      </c>
      <c r="JU7" s="5">
        <f>JR7*(1/(1+InputData!$C$3))^(IntMed!$B7-IntMed!$B$7)</f>
        <v>15468</v>
      </c>
      <c r="JV7" s="5">
        <f>JS7*(1/(1+InputData!$C$3))^(IntMed!$B7-IntMed!$B$7)</f>
        <v>0</v>
      </c>
      <c r="JW7" s="32">
        <f>IF(JU7-InputData!$C$158-InputData!$C$159&gt;=0,JU7-InputData!$C$158-InputData!$C$159,0)</f>
        <v>15468</v>
      </c>
      <c r="JX7" s="32">
        <f>IF(JU7-IF(JU7&lt;=InputData!$C$146,InputData!$C$145,0)-MAX(InputData!$C$144,KD7)&gt;=0,JU7-IF(JU7&lt;=InputData!$C$146,InputData!$C$145,0)-MAX(InputData!$C$144,KD7),0)</f>
        <v>5468</v>
      </c>
      <c r="JY7" s="32">
        <f>IF(JX7&lt;0,"Error",IF(JX7&lt;=InputData!$B$170,InputData!$C$170*JX7,IF(JX7&lt;=InputData!$B$171,InputData!$D$170+InputData!$C$171*(JX7-InputData!$B$170),IF(JX7&lt;=InputData!$B$172,InputData!$D$171+InputData!$C$172*(JX7-InputData!$B$171),IF(JX7&lt;=InputData!$B$173,InputData!$D$172+InputData!$C$173*(JX7-InputData!$B$172),IF(JX7&lt;=InputData!$B$174,InputData!$D$173+InputData!$C$174*(JX7-InputData!$B$173),IF(JX7&lt;=InputData!$B$175,InputData!$D$174+InputData!$C$175*(JX7-InputData!$B$174),InputData!$D$175+InputData!$C$176*(JX7-InputData!$B$175))))))))</f>
        <v>546.80000000000007</v>
      </c>
      <c r="JZ7" s="32">
        <f>IF(JU7&lt;=InputData!$C$150,InputData!$C$152,IF(JU7&lt;InputData!$C$151,IF(InputData!$C$152-0.25*IF(JU7-InputData!$C$150&lt;=0,0,JU7-InputData!$C$150)&lt;=0,0,InputData!$C$152-0.25*IF(JU7-InputData!$C$150&lt;=0,0,JU7-InputData!$C$150)),0))</f>
        <v>51900</v>
      </c>
      <c r="KA7" s="32">
        <f>IF(JU7-JZ7&lt;=0,0,IF(JU7-JZ7&lt;=InputData!$C$153,InputData!$C$154*(JU7-JZ7),InputData!$C$155*(JU7-JZ7)-InputData!$D$154))</f>
        <v>0</v>
      </c>
      <c r="KB7" s="32">
        <f>MAX(JY7,KA7)</f>
        <v>546.80000000000007</v>
      </c>
      <c r="KC7" s="32">
        <f>IF(JU7&gt;=0,IF(JU7&lt;=InputData!$C$148,InputData!$C$147*JU7,InputData!$C$147*InputData!$C$148)+InputData!$C$149*JU7,0)</f>
        <v>1183.3019999999999</v>
      </c>
      <c r="KD7" s="32">
        <f>IF(JW7&lt;0,0,IF(JW7&lt;=InputData!$B$163,InputData!$C$163*JW7,IF(JW7&lt;=InputData!$B$164,InputData!$D$163+InputData!$C$164*(JW7-InputData!$B$163),IF(JW7&lt;=InputData!$B$165,InputData!$D$164+InputData!$C$165*(JW7-InputData!$B$164),InputData!$D$165+InputData!$C$166*(JW7-InputData!$B$165)))))</f>
        <v>0</v>
      </c>
      <c r="KE7" s="43">
        <f>(KB7+KC7+KD7)/JU7</f>
        <v>0.11185040082751486</v>
      </c>
      <c r="KF7" s="43">
        <f>(KB7+KC7+KD7)/(JU7+JV7)</f>
        <v>0.11185040082751486</v>
      </c>
      <c r="KG7" s="5">
        <f>JU7+JV7-KB7-KC7-KD7</f>
        <v>13737.898000000001</v>
      </c>
      <c r="KH7" s="32">
        <f>KG7/((1+InputData!$C$7)^(IntMed!$B7-IntMed!$B$7))</f>
        <v>13737.898000000001</v>
      </c>
      <c r="KI7" s="5">
        <f>KH7</f>
        <v>13737.898000000001</v>
      </c>
      <c r="KK7" s="7"/>
      <c r="KM7">
        <v>22</v>
      </c>
      <c r="KN7" s="41" t="s">
        <v>0</v>
      </c>
      <c r="KO7" s="32">
        <v>0</v>
      </c>
      <c r="KP7" s="32">
        <f>-(KV7+KX7)</f>
        <v>-43015.05</v>
      </c>
      <c r="KQ7" s="32">
        <f>KO7+KP7</f>
        <v>-43015.05</v>
      </c>
      <c r="KR7" s="32">
        <f>InputData!$C$92</f>
        <v>11490</v>
      </c>
      <c r="KS7" s="5">
        <f>KO7*(1/(1+InputData!$C$3))^(IntMed!$B7-IntMed!$B$7)</f>
        <v>0</v>
      </c>
      <c r="KT7" s="5">
        <f>KP7*(1/(1+InputData!$C$3))^(IntMed!$B7-IntMed!$B$7)</f>
        <v>-43015.05</v>
      </c>
      <c r="KU7" s="32" t="s">
        <v>143</v>
      </c>
      <c r="KV7" s="118">
        <f>InputData!$C$88*9/40</f>
        <v>40500</v>
      </c>
      <c r="KW7" s="5">
        <f>$BE7</f>
        <v>40500</v>
      </c>
      <c r="KX7" s="5">
        <f>$BF7</f>
        <v>2515.0500000000002</v>
      </c>
      <c r="KY7" s="5">
        <f>KX7</f>
        <v>2515.0500000000002</v>
      </c>
      <c r="KZ7" s="5">
        <v>0</v>
      </c>
      <c r="LA7" s="5">
        <f>$BH7</f>
        <v>43015.05</v>
      </c>
      <c r="LB7" s="32">
        <f>KZ7/((1+InputData!$C$3)^(IntMed!$B7-IntMed!$B$7))</f>
        <v>0</v>
      </c>
      <c r="LC7" s="32">
        <f>IF(KS7-InputData!$C$158-InputData!$C$159&gt;=0,KS7-InputData!$C$158-InputData!$C$159,0)</f>
        <v>0</v>
      </c>
      <c r="LD7" s="32">
        <f>IF(KS7-IF(KS7&lt;=InputData!$C$146,InputData!$C$145,0)-MAX(InputData!$C$144,LJ7)&gt;=0,KS7-IF(KS7&lt;=InputData!$C$146,InputData!$C$145,0)-MAX(InputData!$C$144,LJ7),0)</f>
        <v>0</v>
      </c>
      <c r="LE7" s="32">
        <f>IF(LD7&lt;0,"Error",IF(LD7&lt;=InputData!$B$170,InputData!$C$170*LD7,IF(LD7&lt;=InputData!$B$171,InputData!$D$170+InputData!$C$171*(LD7-InputData!$B$170),IF(LD7&lt;=InputData!$B$172,InputData!$D$171+InputData!$C$172*(LD7-InputData!$B$171),IF(LD7&lt;=InputData!$B$173,InputData!$D$172+InputData!$C$173*(LD7-InputData!$B$172),IF(LD7&lt;=InputData!$B$174,InputData!$D$173+InputData!$C$174*(LD7-InputData!$B$173),IF(LD7&lt;=InputData!$B$175,InputData!$D$174+InputData!$C$175*(LD7-InputData!$B$174),InputData!$D$175+InputData!$C$176*(LD7-InputData!$B$175))))))))</f>
        <v>0</v>
      </c>
      <c r="LF7" s="32">
        <f>IF(KS7&lt;=InputData!$C$150,InputData!$C$152,IF(KS7&lt;InputData!$C$151,IF(InputData!$C$152-0.25*IF(KS7-InputData!$C$150&lt;=0,0,KS7-InputData!$C$150)&lt;=0,0,InputData!$C$152-0.25*IF(KS7-InputData!$C$150&lt;=0,0,KS7-InputData!$C$150)),0))</f>
        <v>51900</v>
      </c>
      <c r="LG7" s="32">
        <f>IF(KS7-LF7&lt;=0,0,IF(KS7-LF7&lt;=InputData!$C$153,InputData!$C$154*(KS7-LF7),InputData!$C$155*(KS7-LF7)-InputData!$D$154))</f>
        <v>0</v>
      </c>
      <c r="LH7" s="32">
        <f>MAX(LE7,LG7)</f>
        <v>0</v>
      </c>
      <c r="LI7" s="32">
        <f>IF(KS7&gt;=0,IF(KS7&lt;=InputData!$C$148,InputData!$C$147*KS7,InputData!$C$147*InputData!$C$148)+InputData!$C$149*KS7,0)</f>
        <v>0</v>
      </c>
      <c r="LJ7" s="32">
        <f>IF(LC7&lt;0,0,IF(LC7&lt;=InputData!$B$163,InputData!$C$163*LC7,IF(LC7&lt;=InputData!$B$164,InputData!$D$163+InputData!$C$164*(LC7-InputData!$B$163),IF(LC7&lt;=InputData!$B$165,InputData!$D$164+InputData!$C$165*(LC7-InputData!$B$164),InputData!$D$165+InputData!$C$166*(LC7-InputData!$B$165)))))</f>
        <v>0</v>
      </c>
      <c r="LK7" s="43">
        <f t="shared" ref="LK7:LK10" si="36">(LH7+LI7+LJ7)/(KS7+KT7)</f>
        <v>0</v>
      </c>
      <c r="LL7" s="32">
        <f>KS7+KT7-(LH7+LI7+LJ7)</f>
        <v>-43015.05</v>
      </c>
      <c r="LM7" s="5">
        <f>$LL7-LB7</f>
        <v>-43015.05</v>
      </c>
      <c r="LN7" s="32">
        <f>LM7/((1+InputData!$C$7)^(IntMed!$B7-IntMed!$B$7))</f>
        <v>-43015.05</v>
      </c>
      <c r="LO7" s="5">
        <f>LN7</f>
        <v>-43015.05</v>
      </c>
      <c r="LQ7" s="157" t="str">
        <f t="shared" ref="LQ7:LQ36" si="37">AV7</f>
        <v>Med School</v>
      </c>
      <c r="LR7" s="32">
        <f>AW7</f>
        <v>0</v>
      </c>
      <c r="LS7" s="32">
        <f>-(LY7+MA7)</f>
        <v>0</v>
      </c>
      <c r="LT7" s="32">
        <f>LR7+LS7</f>
        <v>0</v>
      </c>
      <c r="LU7" s="32">
        <f>InputData!$C$92</f>
        <v>11490</v>
      </c>
      <c r="LV7" s="32">
        <f>LR7/((1+InputData!$C$3)^(IntMed!$B7-IntMed!$B$7))</f>
        <v>0</v>
      </c>
      <c r="LW7" s="32">
        <f>LS7/((1+InputData!$C$3)^(IntMed!$B7-IntMed!$B$7))</f>
        <v>0</v>
      </c>
      <c r="LX7" s="32" t="s">
        <v>143</v>
      </c>
      <c r="LY7" s="118">
        <v>0</v>
      </c>
      <c r="LZ7" s="32">
        <f>LY7</f>
        <v>0</v>
      </c>
      <c r="MA7" s="32">
        <f>LZ7*InputData!$C$6</f>
        <v>0</v>
      </c>
      <c r="MB7" s="32">
        <v>0</v>
      </c>
      <c r="MC7" s="32">
        <f>LZ7+MA7-MB7</f>
        <v>0</v>
      </c>
      <c r="MD7" s="32">
        <f>MB7/((1+InputData!$C$3)^(IntMed!$B7-IntMed!$B$7))</f>
        <v>0</v>
      </c>
      <c r="ME7" s="32">
        <f>IF(LV7-InputData!$C$158-InputData!$C$159&gt;=0,LV7-InputData!$C$158-InputData!$C$159,0)</f>
        <v>0</v>
      </c>
      <c r="MF7" s="32">
        <f>IF(LV7-IF(LV7&lt;=InputData!$C$146,InputData!$C$145,0)-MAX(InputData!$C$144,ML7)&gt;=0,LV7-IF(LV7&lt;=InputData!$C$146,InputData!$C$145,0)-MAX(InputData!$C$144,ML7),0)</f>
        <v>0</v>
      </c>
      <c r="MG7" s="32">
        <f>IF(MF7&lt;0,"Error",IF(MF7&lt;=InputData!$B$170,InputData!$C$170*MF7,IF(MF7&lt;=InputData!$B$171,InputData!$D$170+InputData!$C$171*(MF7-InputData!$B$170),IF(MF7&lt;=InputData!$B$172,InputData!$D$171+InputData!$C$172*(MF7-InputData!$B$171),IF(MF7&lt;=InputData!$B$173,InputData!$D$172+InputData!$C$173*(MF7-InputData!$B$172),IF(MF7&lt;=InputData!$B$174,InputData!$D$173+InputData!$C$174*(MF7-InputData!$B$173),IF(MF7&lt;=InputData!$B$175,InputData!$D$174+InputData!$C$175*(MF7-InputData!$B$174),InputData!$D$175+InputData!$C$176*(MF7-InputData!$B$175))))))))</f>
        <v>0</v>
      </c>
      <c r="MH7" s="32">
        <f>IF(LV7&lt;=InputData!$C$150,InputData!$C$152,IF(LV7&lt;InputData!$C$151,IF(InputData!$C$152-0.25*IF(LV7-InputData!$C$150&lt;=0,0,LV7-InputData!$C$150)&lt;=0,0,InputData!$C$152-0.25*IF(LV7-InputData!$C$150&lt;=0,0,LV7-InputData!$C$150)),0))</f>
        <v>51900</v>
      </c>
      <c r="MI7" s="32">
        <f>IF(LV7-MH7&lt;=0,0,IF(LV7-MH7&lt;=InputData!$C$153,InputData!$C$154*(LV7-MH7),InputData!$C$155*(LV7-MH7)-InputData!$D$154))</f>
        <v>0</v>
      </c>
      <c r="MJ7" s="32">
        <f>MAX(MG7,MI7)</f>
        <v>0</v>
      </c>
      <c r="MK7" s="32">
        <f>IF(LV7&gt;=0,IF(LV7&lt;=InputData!$C$148,InputData!$C$147*LV7,InputData!$C$147*InputData!$C$148)+InputData!$C$149*LV7,0)</f>
        <v>0</v>
      </c>
      <c r="ML7" s="32">
        <f>IF(ME7&lt;0,0,IF(ME7&lt;=InputData!$B$163,InputData!$C$163*ME7,IF(ME7&lt;=InputData!$B$164,InputData!$D$163+InputData!$C$164*(ME7-InputData!$B$163),IF(ME7&lt;=InputData!$B$165,InputData!$D$164+InputData!$C$165*(ME7-InputData!$B$164),InputData!$D$165+InputData!$C$166*(ME7-InputData!$B$165)))))</f>
        <v>0</v>
      </c>
      <c r="MM7" s="43" t="e">
        <f t="shared" ref="MM7:MM35" si="38">(MJ7+MK7+ML7)/(LV7+LW7)</f>
        <v>#DIV/0!</v>
      </c>
      <c r="MN7" s="32">
        <f>LV7+LW7-(MJ7+MK7+ML7)</f>
        <v>0</v>
      </c>
      <c r="MO7" s="32">
        <f>MN7-MD7</f>
        <v>0</v>
      </c>
      <c r="MP7" s="32">
        <f>MO7/((1+InputData!$C$7)^(IntMed!$B7-IntMed!$B$7))</f>
        <v>0</v>
      </c>
      <c r="MQ7" s="5">
        <f>MP7</f>
        <v>0</v>
      </c>
    </row>
    <row r="8" spans="1:355" ht="14.45" x14ac:dyDescent="0.3">
      <c r="A8" s="53">
        <v>2014</v>
      </c>
      <c r="B8" s="51">
        <v>2</v>
      </c>
      <c r="C8" s="4"/>
      <c r="D8" s="3">
        <v>0</v>
      </c>
      <c r="E8" s="4" t="s">
        <v>15</v>
      </c>
      <c r="F8" s="5">
        <f>InputData!$C$26*12</f>
        <v>34516.800000000003</v>
      </c>
      <c r="G8" s="5">
        <f>InputData!$C$26*12</f>
        <v>34516.800000000003</v>
      </c>
      <c r="H8" s="5">
        <f>(InputData!$H$37+InputData!$C$40)*12</f>
        <v>25411.199999999997</v>
      </c>
      <c r="I8" s="5">
        <f t="shared" ref="I8:I26" si="39">G8+H8</f>
        <v>59928</v>
      </c>
      <c r="J8" s="5">
        <f>G8*((1+InputData!$C$5)/(1+InputData!$C$3))^(IntMed!$B8-IntMed!$B$7)</f>
        <v>34178.400000000001</v>
      </c>
      <c r="K8" s="5">
        <f>H8*((1+InputData!$C$5)/(1+InputData!$C$3))^(IntMed!$B8-IntMed!$B$7)</f>
        <v>25162.070588235292</v>
      </c>
      <c r="L8" s="32">
        <f>IF(J8-InputData!$C$158-InputData!$C$159&gt;=0,J8-InputData!$C$158-InputData!$C$159,0)</f>
        <v>34178.400000000001</v>
      </c>
      <c r="M8" s="32">
        <f>IF(J8-IF(J8&lt;=InputData!$C$146,InputData!$C$145,0)-MAX(InputData!$C$144,S8)&gt;=0,J8-IF(J8&lt;=InputData!$C$146,InputData!$C$145,0)-MAX(InputData!$C$144,S8),0)</f>
        <v>24178.400000000001</v>
      </c>
      <c r="N8" s="32">
        <f>IF(M8&lt;0,"Error",IF(M8&lt;=InputData!$B$170,InputData!$C$170*M8,IF(M8&lt;=InputData!$B$171,InputData!$D$170+InputData!$C$171*(M8-InputData!$B$170),IF(M8&lt;=InputData!$B$172,InputData!$D$171+InputData!$C$172*(M8-InputData!$B$171),IF(M8&lt;=InputData!$B$173,InputData!$D$172+InputData!$C$173*(M8-InputData!$B$172),IF(M8&lt;=InputData!$B$174,InputData!$D$173+InputData!$C$174*(M8-InputData!$B$173),IF(M8&lt;=InputData!$B$175,InputData!$D$174+InputData!$C$175*(M8-InputData!$B$174),InputData!$D$175+InputData!$C$176*(M8-InputData!$B$175))))))))</f>
        <v>3180.51</v>
      </c>
      <c r="O8" s="32">
        <f>IF(J8&lt;=InputData!$C$150,InputData!$C$152,IF(J8&lt;InputData!$C$151,IF(InputData!$C$152-0.25*IF(J8-InputData!$C$150&lt;=0,0,J8-InputData!$C$150)&lt;=0,0,InputData!$C$152-0.25*IF(J8-InputData!$C$150&lt;=0,0,J8-InputData!$C$150)),0))</f>
        <v>51900</v>
      </c>
      <c r="P8" s="32">
        <f>IF(J8-O8&lt;=0,0,IF(J8-O8&lt;=InputData!$C$153,InputData!$C$154*(J8-O8),InputData!$C$155*(J8-O8)-InputData!$D$154))</f>
        <v>0</v>
      </c>
      <c r="Q8" s="32">
        <f t="shared" ref="Q8:Q36" si="40">MAX(N8,P8)</f>
        <v>3180.51</v>
      </c>
      <c r="R8" s="32">
        <f>IF(J8&gt;=0,IF(J8&lt;=InputData!$C$148,InputData!$C$147*J8,InputData!$C$147*InputData!$C$148)+InputData!$C$149*J8,0)</f>
        <v>2614.6476000000002</v>
      </c>
      <c r="S8" s="32">
        <f>IF(L8&lt;0,0,IF(L8&lt;=InputData!$B$163,InputData!$C$163*L8,IF(L8&lt;=InputData!$B$164,InputData!$D$163+InputData!$C$164*(L8-InputData!$B$163),IF(L8&lt;=InputData!$B$165,InputData!$D$164+InputData!$C$165*(L8-InputData!$B$164),InputData!$D$165+InputData!$C$166*(L8-InputData!$B$165)))))</f>
        <v>0</v>
      </c>
      <c r="T8" s="43">
        <f t="shared" ref="T8:T36" si="41">(Q8+R8+S8)/J8</f>
        <v>0.16955614072045502</v>
      </c>
      <c r="U8" s="43">
        <f t="shared" ref="U8:U36" si="42">(Q8+R8+S8)/(J8+K8)</f>
        <v>9.7659447971228844E-2</v>
      </c>
      <c r="V8" s="5">
        <f t="shared" ref="V8:V36" si="43">J8+K8-Q8-R8-S8</f>
        <v>53545.312988235295</v>
      </c>
      <c r="W8" s="32">
        <f>V8/((1+InputData!$C$7)^(IntMed!$B8-IntMed!$B$7))</f>
        <v>51985.740765276983</v>
      </c>
      <c r="X8" s="5">
        <f>X7+W8</f>
        <v>106041.93556527697</v>
      </c>
      <c r="Y8" s="53"/>
      <c r="Z8" s="3">
        <v>0</v>
      </c>
      <c r="AA8" s="4" t="s">
        <v>0</v>
      </c>
      <c r="AB8" s="4"/>
      <c r="AC8" s="5">
        <f>InputData!$C$67*10.5+(IntMed!G8+IntMed!H8)*45/365.25</f>
        <v>29307.326488706363</v>
      </c>
      <c r="AD8" s="5">
        <v>0</v>
      </c>
      <c r="AE8" s="5">
        <f t="shared" ref="AE8:AE18" si="44">AC8+AD8</f>
        <v>29307.326488706363</v>
      </c>
      <c r="AF8" s="5">
        <f>AC8*((1+InputData!$C$5)/(1+InputData!$C$3))^(IntMed!$B8-IntMed!$B$7)</f>
        <v>29019.999758424929</v>
      </c>
      <c r="AG8" s="5">
        <f>AD8*((1+InputData!$C$5)/(1+InputData!$C$3))^(IntMed!$B8-IntMed!$B$7)</f>
        <v>0</v>
      </c>
      <c r="AH8" s="32">
        <f>IF(AF8-InputData!$C$158-InputData!$C$159&gt;=0,AF8-InputData!$C$158-InputData!$C$159,0)</f>
        <v>29019.999758424929</v>
      </c>
      <c r="AI8" s="32">
        <f>IF(AF8-IF(AF8&lt;=InputData!$C$146,InputData!$C$145,0)-MAX(InputData!$C$144,AO8)&gt;=0,AF8-IF(AF8&lt;=InputData!$C$146,InputData!$C$145,0)-MAX(InputData!$C$144,AO8),0)</f>
        <v>19019.999758424929</v>
      </c>
      <c r="AJ8" s="32">
        <f>IF(AI8&lt;0,"Error",IF(AI8&lt;=InputData!$B$170,InputData!$C$170*AI8,IF(AI8&lt;=InputData!$B$171,InputData!$D$170+InputData!$C$171*(AI8-InputData!$B$170),IF(AI8&lt;=InputData!$B$172,InputData!$D$171+InputData!$C$172*(AI8-InputData!$B$171),IF(AI8&lt;=InputData!$B$173,InputData!$D$172+InputData!$C$173*(AI8-InputData!$B$172),IF(AI8&lt;=InputData!$B$174,InputData!$D$173+InputData!$C$174*(AI8-InputData!$B$173),IF(AI8&lt;=InputData!$B$175,InputData!$D$174+InputData!$C$175*(AI8-InputData!$B$174),InputData!$D$175+InputData!$C$176*(AI8-InputData!$B$175))))))))</f>
        <v>2406.7499637637393</v>
      </c>
      <c r="AK8" s="32">
        <f>IF(AF8&lt;=InputData!$C$150,InputData!$C$152,IF(AF8&lt;InputData!$C$151,IF(InputData!$C$152-0.25*IF(AF8-InputData!$C$150&lt;=0,0,AF8-InputData!$C$150)&lt;=0,0,InputData!$C$152-0.25*IF(AF8-InputData!$C$150&lt;=0,0,AF8-InputData!$C$150)),0))</f>
        <v>51900</v>
      </c>
      <c r="AL8" s="32">
        <f>IF(AF8-AK8&lt;=0,0,IF(AF8-AK8&lt;=InputData!$C$153,InputData!$C$154*(AF8-AK8),InputData!$C$155*(AF8-AK8)-InputData!$D$154))</f>
        <v>0</v>
      </c>
      <c r="AM8" s="32">
        <f t="shared" ref="AM8:AM36" si="45">MAX(AJ8,AL8)</f>
        <v>2406.7499637637393</v>
      </c>
      <c r="AN8" s="32">
        <v>0</v>
      </c>
      <c r="AO8" s="32">
        <f>IF(AH8&lt;0,0,IF(AH8&lt;=InputData!$B$163,InputData!$C$163*AH8,IF(AH8&lt;=InputData!$B$164,InputData!$D$163+InputData!$C$164*(AH8-InputData!$B$163),IF(AH8&lt;=InputData!$B$165,InputData!$D$164+InputData!$C$165*(AH8-InputData!$B$164),InputData!$D$165+InputData!$C$166*(AH8-InputData!$B$165)))))</f>
        <v>0</v>
      </c>
      <c r="AP8" s="43">
        <f t="shared" ref="AP8:AP36" si="46">(AM8+AN8+AO8)/AF8</f>
        <v>8.2934182763562042E-2</v>
      </c>
      <c r="AQ8" s="43">
        <f t="shared" ref="AQ8:AQ36" si="47">(AM8+AN8+AO8)/(AF8+AG8)</f>
        <v>8.2934182763562042E-2</v>
      </c>
      <c r="AR8" s="5">
        <f t="shared" ref="AR8:AR36" si="48">AF8+AG8-AM8-AN8-AO8</f>
        <v>26613.249794661191</v>
      </c>
      <c r="AS8" s="32">
        <f>AR8/((1+InputData!$C$7)^(IntMed!$B8-IntMed!$B$7))</f>
        <v>25838.106596758436</v>
      </c>
      <c r="AT8" s="5">
        <f>AT7+AS8</f>
        <v>69389.851463288214</v>
      </c>
      <c r="AU8" s="53"/>
      <c r="AV8" s="41" t="s">
        <v>0</v>
      </c>
      <c r="AW8" s="32">
        <v>0</v>
      </c>
      <c r="AX8" s="32">
        <f t="shared" ref="AX8:AX10" si="49">-(BD8+BF8)</f>
        <v>-45530.1</v>
      </c>
      <c r="AY8" s="32">
        <f t="shared" ref="AY8:AY26" si="50">AW8+AX8</f>
        <v>-45530.1</v>
      </c>
      <c r="AZ8" s="32">
        <f>AZ7*(1+InputData!$C$8)</f>
        <v>11719.800000000001</v>
      </c>
      <c r="BA8" s="32">
        <f>AW8/((1+InputData!$C$3)^(IntMed!$B8-IntMed!$B$7))</f>
        <v>0</v>
      </c>
      <c r="BB8" s="32">
        <f>AX8/((1+InputData!$C$3)^(IntMed!$B8-IntMed!$B$7))</f>
        <v>-44637.352941176468</v>
      </c>
      <c r="BC8" s="32" t="s">
        <v>143</v>
      </c>
      <c r="BD8" s="118">
        <f>InputData!$C$88*9/40</f>
        <v>40500</v>
      </c>
      <c r="BE8" s="32">
        <f>BE7+BD8</f>
        <v>81000</v>
      </c>
      <c r="BF8" s="32">
        <f>(BE8)*InputData!$C$6</f>
        <v>5030.1000000000004</v>
      </c>
      <c r="BG8" s="32">
        <v>0</v>
      </c>
      <c r="BH8" s="32">
        <f>BH7+BD8+BF8-BG8</f>
        <v>88545.150000000009</v>
      </c>
      <c r="BI8" s="32">
        <f>BG8/((1+InputData!$C$3)^(IntMed!$B8-IntMed!$B$7))</f>
        <v>0</v>
      </c>
      <c r="BJ8" s="32">
        <f>IF(BA8-InputData!$C$158-InputData!$C$159&gt;=0,BA8-InputData!$C$158-InputData!$C$159,0)</f>
        <v>0</v>
      </c>
      <c r="BK8" s="32">
        <f>IF(BA8-IF(BA8&lt;=InputData!$C$146,InputData!$C$145,0)-MAX(InputData!$C$144,BQ8)&gt;=0,BA8-IF(BA8&lt;=InputData!$C$146,InputData!$C$145,0)-MAX(InputData!$C$144,BQ8),0)</f>
        <v>0</v>
      </c>
      <c r="BL8" s="32">
        <f>IF(BK8&lt;0,"Error",IF(BK8&lt;=InputData!$B$170,InputData!$C$170*BK8,IF(BK8&lt;=InputData!$B$171,InputData!$D$170+InputData!$C$171*(BK8-InputData!$B$170),IF(BK8&lt;=InputData!$B$172,InputData!$D$171+InputData!$C$172*(BK8-InputData!$B$171),IF(BK8&lt;=InputData!$B$173,InputData!$D$172+InputData!$C$173*(BK8-InputData!$B$172),IF(BK8&lt;=InputData!$B$174,InputData!$D$173+InputData!$C$174*(BK8-InputData!$B$173),IF(BK8&lt;=InputData!$B$175,InputData!$D$174+InputData!$C$175*(BK8-InputData!$B$174),InputData!$D$175+InputData!$C$176*(BK8-InputData!$B$175))))))))</f>
        <v>0</v>
      </c>
      <c r="BM8" s="32">
        <f>IF(BA8&lt;=InputData!$C$150,InputData!$C$152,IF(BA8&lt;InputData!$C$151,IF(InputData!$C$152-0.25*IF(BA8-InputData!$C$150&lt;=0,0,BA8-InputData!$C$150)&lt;=0,0,InputData!$C$152-0.25*IF(BA8-InputData!$C$150&lt;=0,0,BA8-InputData!$C$150)),0))</f>
        <v>51900</v>
      </c>
      <c r="BN8" s="32">
        <f>IF(BA8-BM8&lt;=0,0,IF(BA8-BM8&lt;=InputData!$C$153,InputData!$C$154*(BA8-BM8),InputData!$C$155*(BA8-BM8)-InputData!$D$154))</f>
        <v>0</v>
      </c>
      <c r="BO8" s="32">
        <f t="shared" ref="BO8:BO36" si="51">MAX(BL8,BN8)</f>
        <v>0</v>
      </c>
      <c r="BP8" s="32">
        <f>IF(BA8&gt;=0,IF(BA8&lt;=InputData!$C$148,InputData!$C$147*BA8,InputData!$C$147*InputData!$C$148)+InputData!$C$149*BA8,0)</f>
        <v>0</v>
      </c>
      <c r="BQ8" s="32">
        <f>IF(BJ8&lt;0,0,IF(BJ8&lt;=InputData!$B$163,InputData!$C$163*BJ8,IF(BJ8&lt;=InputData!$B$164,InputData!$D$163+InputData!$C$164*(BJ8-InputData!$B$163),IF(BJ8&lt;=InputData!$B$165,InputData!$D$164+InputData!$C$165*(BJ8-InputData!$B$164),InputData!$D$165+InputData!$C$166*(BJ8-InputData!$B$165)))))</f>
        <v>0</v>
      </c>
      <c r="BR8" s="43">
        <f t="shared" ref="BR8:BR36" si="52">(BO8+BP8+BQ8)/(BA8+BB8)</f>
        <v>0</v>
      </c>
      <c r="BS8" s="32">
        <f t="shared" ref="BS8:BS36" si="53">BA8+BB8-(BO8+BP8+BQ8)</f>
        <v>-44637.352941176468</v>
      </c>
      <c r="BT8" s="32">
        <f t="shared" ref="BT8:BT36" si="54">BS8-BI8</f>
        <v>-44637.352941176468</v>
      </c>
      <c r="BU8" s="32">
        <f>BT8/((1+InputData!$C$7)^(IntMed!$B8-IntMed!$B$7))</f>
        <v>-43337.235865219875</v>
      </c>
      <c r="BV8" s="5">
        <f>BV7+BU8</f>
        <v>-86352.285865219877</v>
      </c>
      <c r="BW8" s="5"/>
      <c r="BX8" s="32" t="s">
        <v>143</v>
      </c>
      <c r="BY8" s="5">
        <f t="shared" ref="BY8:BY13" si="55">$BE8</f>
        <v>81000</v>
      </c>
      <c r="BZ8" s="5">
        <f t="shared" ref="BZ8:BZ13" si="56">$BF8</f>
        <v>5030.1000000000004</v>
      </c>
      <c r="CA8" s="5">
        <v>0</v>
      </c>
      <c r="CB8" s="5">
        <f t="shared" ref="CB8:CB13" si="57">$BH8</f>
        <v>88545.150000000009</v>
      </c>
      <c r="CC8" s="32">
        <f>CA8/((1+InputData!$C$3)^(IntMed!$B8-IntMed!$B$7))</f>
        <v>0</v>
      </c>
      <c r="CD8" s="5">
        <f t="shared" ref="CD8:CD36" si="58">$BS8-CC8</f>
        <v>-44637.352941176468</v>
      </c>
      <c r="CE8" s="32">
        <f>CD8/((1+InputData!$C$7)^(IntMed!$B8-IntMed!$B$7))</f>
        <v>-43337.235865219875</v>
      </c>
      <c r="CF8" s="5">
        <f>CF7+CE8</f>
        <v>-86352.285865219877</v>
      </c>
      <c r="CG8" s="5"/>
      <c r="CH8" s="32" t="s">
        <v>143</v>
      </c>
      <c r="CI8" s="5">
        <f t="shared" ref="CI8:CI13" si="59">$BE8</f>
        <v>81000</v>
      </c>
      <c r="CJ8" s="5">
        <f t="shared" ref="CJ8:CJ13" si="60">$BF8</f>
        <v>5030.1000000000004</v>
      </c>
      <c r="CK8" s="5">
        <v>0</v>
      </c>
      <c r="CL8" s="5">
        <f t="shared" ref="CL8:CL13" si="61">$BH8</f>
        <v>88545.150000000009</v>
      </c>
      <c r="CM8" s="32">
        <f>CK8/((1+InputData!$C$3)^(IntMed!$B8-IntMed!$B$7))</f>
        <v>0</v>
      </c>
      <c r="CN8" s="5">
        <f t="shared" ref="CN8:CN36" si="62">$BS8-CM8</f>
        <v>-44637.352941176468</v>
      </c>
      <c r="CO8" s="32">
        <f>CN8/((1+InputData!$C$7)^(IntMed!$B8-IntMed!$B$7))</f>
        <v>-43337.235865219875</v>
      </c>
      <c r="CP8" s="5">
        <f>CP7+CO8</f>
        <v>-86352.285865219877</v>
      </c>
      <c r="CQ8" s="5"/>
      <c r="CR8" s="32" t="s">
        <v>143</v>
      </c>
      <c r="CS8" s="5">
        <f t="shared" ref="CS8:CS13" si="63">$BE8</f>
        <v>81000</v>
      </c>
      <c r="CT8" s="5">
        <f t="shared" ref="CT8:CT13" si="64">$BF8</f>
        <v>5030.1000000000004</v>
      </c>
      <c r="CU8" s="5">
        <v>0</v>
      </c>
      <c r="CV8" s="5">
        <f t="shared" ref="CV8:CV13" si="65">$BH8</f>
        <v>88545.150000000009</v>
      </c>
      <c r="CW8" s="32">
        <f>CU8/((1+InputData!$C$3)^(IntMed!$B8-IntMed!$B$7))</f>
        <v>0</v>
      </c>
      <c r="CX8" s="5">
        <f t="shared" ref="CX8:CX36" si="66">$BS8-CW8</f>
        <v>-44637.352941176468</v>
      </c>
      <c r="CY8" s="32">
        <f>CX8/((1+InputData!$C$7)^(IntMed!$B8-IntMed!$B$7))</f>
        <v>-43337.235865219875</v>
      </c>
      <c r="CZ8" s="5">
        <f>CZ7+CY8</f>
        <v>-86352.285865219877</v>
      </c>
      <c r="DA8" s="5"/>
      <c r="DB8" s="32" t="s">
        <v>143</v>
      </c>
      <c r="DC8" s="5">
        <f t="shared" ref="DC8:DC10" si="67">$BE8</f>
        <v>81000</v>
      </c>
      <c r="DD8" s="5">
        <f t="shared" ref="DD8:DD10" si="68">$BF8</f>
        <v>5030.1000000000004</v>
      </c>
      <c r="DE8" s="5">
        <v>0</v>
      </c>
      <c r="DF8" s="5">
        <f t="shared" ref="DF8:DF10" si="69">$BH8</f>
        <v>88545.150000000009</v>
      </c>
      <c r="DG8" s="32">
        <f>DE8/((1+InputData!$C$3)^(IntMed!$B8-IntMed!$B$7))</f>
        <v>0</v>
      </c>
      <c r="DH8" s="5">
        <f t="shared" ref="DH8:DH36" si="70">$BS8-DG8</f>
        <v>-44637.352941176468</v>
      </c>
      <c r="DI8" s="32">
        <f>DH8/((1+InputData!$C$7)^(IntMed!$B8-IntMed!$B$7))</f>
        <v>-43337.235865219875</v>
      </c>
      <c r="DJ8" s="5">
        <f>DJ7+DI8</f>
        <v>-86352.285865219877</v>
      </c>
      <c r="DK8" s="5"/>
      <c r="DL8" s="32" t="s">
        <v>143</v>
      </c>
      <c r="DM8" s="5">
        <f t="shared" ref="DM8:DM10" si="71">$BE8</f>
        <v>81000</v>
      </c>
      <c r="DN8" s="5">
        <f t="shared" ref="DN8:DN10" si="72">$BF8</f>
        <v>5030.1000000000004</v>
      </c>
      <c r="DO8" s="5">
        <f>DO7+DN8-DP8</f>
        <v>7545.1500000000005</v>
      </c>
      <c r="DP8" s="5">
        <v>0</v>
      </c>
      <c r="DQ8" s="5">
        <f t="shared" ref="DQ8:DQ10" si="73">$BH8</f>
        <v>88545.150000000009</v>
      </c>
      <c r="DR8" s="32">
        <f>DP8/((1+InputData!$C$3)^(IntMed!$B8-IntMed!$B$7))</f>
        <v>0</v>
      </c>
      <c r="DS8" s="5">
        <f t="shared" ref="DS8:DS36" si="74">$BS8-DR8</f>
        <v>-44637.352941176468</v>
      </c>
      <c r="DT8" s="32">
        <f>DS8/((1+InputData!$C$7)^(IntMed!$B8-IntMed!$B$7))</f>
        <v>-43337.235865219875</v>
      </c>
      <c r="DU8" s="5">
        <f>DU7+DT8</f>
        <v>-86352.285865219877</v>
      </c>
      <c r="DV8" s="5"/>
      <c r="DW8" s="32" t="s">
        <v>143</v>
      </c>
      <c r="DX8" s="5">
        <f t="shared" ref="DX8:DX10" si="75">$BE8</f>
        <v>81000</v>
      </c>
      <c r="DY8" s="5">
        <f t="shared" ref="DY8:DY10" si="76">$BF8</f>
        <v>5030.1000000000004</v>
      </c>
      <c r="DZ8" s="5">
        <f>DZ7+DY8</f>
        <v>7545.1500000000005</v>
      </c>
      <c r="EA8" s="5">
        <v>0</v>
      </c>
      <c r="EB8" s="5">
        <f t="shared" ref="EB8:EB10" si="77">$BH8</f>
        <v>88545.150000000009</v>
      </c>
      <c r="EC8" s="32">
        <f>EA8/((1+InputData!$C$3)^(IntMed!$B8-IntMed!$B$7))</f>
        <v>0</v>
      </c>
      <c r="ED8" s="5">
        <f t="shared" ref="ED8:ED36" si="78">$BS8-EC8</f>
        <v>-44637.352941176468</v>
      </c>
      <c r="EE8" s="32">
        <f>ED8/((1+InputData!$C$7)^(IntMed!$B8-IntMed!$B$7))</f>
        <v>-43337.235865219875</v>
      </c>
      <c r="EF8" s="5">
        <f>EF7+EE8</f>
        <v>-86352.285865219877</v>
      </c>
      <c r="EG8" s="32"/>
      <c r="EH8" s="130" t="s">
        <v>143</v>
      </c>
      <c r="EI8" s="32">
        <f>EI7*(1+InputData!$C$10)</f>
        <v>45900</v>
      </c>
      <c r="EJ8" s="32">
        <f>EJ7+EI8</f>
        <v>90900</v>
      </c>
      <c r="EK8" s="32">
        <f>(EJ8)*InputData!$C$6</f>
        <v>5644.89</v>
      </c>
      <c r="EL8" s="32">
        <f>EL7+EI8+EK8</f>
        <v>99339.39</v>
      </c>
      <c r="EM8" s="32">
        <f>EM7*(1+InputData!$C$8)</f>
        <v>11719.800000000001</v>
      </c>
      <c r="EN8" s="32">
        <v>0</v>
      </c>
      <c r="EO8" s="32">
        <f>AW8/((1+InputData!$C$3)^(IntMed!$B8-IntMed!$B$7))</f>
        <v>0</v>
      </c>
      <c r="EP8" s="32">
        <f>AX8/((1+InputData!$C$3)^(IntMed!$B8-IntMed!$B$7))</f>
        <v>-44637.352941176468</v>
      </c>
      <c r="EQ8" s="32">
        <v>0</v>
      </c>
      <c r="ER8" s="32">
        <v>0</v>
      </c>
      <c r="ES8" s="32">
        <v>0</v>
      </c>
      <c r="ET8" s="32"/>
      <c r="EU8" s="32">
        <f t="shared" ref="EU8:EU26" si="79">EO8+EP8-EQ8-ER8-ES8</f>
        <v>-44637.352941176468</v>
      </c>
      <c r="EV8" s="32">
        <f>EN8/((1+InputData!$C$3)^(IntMed!$B8-IntMed!$B$7))</f>
        <v>0</v>
      </c>
      <c r="EW8" s="32">
        <f t="shared" ref="EW8:EW26" si="80">EU8-EV8</f>
        <v>-44637.352941176468</v>
      </c>
      <c r="EX8" s="32">
        <f>EW8/((1+InputData!$C$7)^(IntMed!$B8-IntMed!$B$7))</f>
        <v>-43337.235865219875</v>
      </c>
      <c r="EY8" s="5">
        <f>EY7+EX8</f>
        <v>-86352.285865219877</v>
      </c>
      <c r="EZ8" s="79"/>
      <c r="FA8" s="32">
        <f t="shared" ref="FA8:FA13" si="81">$EJ8</f>
        <v>90900</v>
      </c>
      <c r="FB8" s="32">
        <f t="shared" ref="FB8:FB13" si="82">$EK8</f>
        <v>5644.89</v>
      </c>
      <c r="FC8" s="32">
        <f t="shared" ref="FC8:FC13" si="83">$EL8</f>
        <v>99339.39</v>
      </c>
      <c r="FD8" s="32">
        <v>0</v>
      </c>
      <c r="FE8" s="32">
        <f>FD8/((1+InputData!$C$3)^(IntMed!$B8-IntMed!$B$7))</f>
        <v>0</v>
      </c>
      <c r="FF8" s="5">
        <f t="shared" ref="FF8:FF36" si="84">$EU8-FE8</f>
        <v>-44637.352941176468</v>
      </c>
      <c r="FG8" s="32">
        <f>FF8/((1+InputData!$C$7)^(IntMed!$B8-IntMed!$B$7))</f>
        <v>-43337.235865219875</v>
      </c>
      <c r="FH8" s="5">
        <f>FH7+FG8</f>
        <v>-86352.285865219877</v>
      </c>
      <c r="FI8" s="79"/>
      <c r="FJ8" s="32">
        <f t="shared" ref="FJ8:FJ13" si="85">$EJ8</f>
        <v>90900</v>
      </c>
      <c r="FK8" s="32">
        <f t="shared" ref="FK8:FK13" si="86">$EK8</f>
        <v>5644.89</v>
      </c>
      <c r="FL8" s="32">
        <f t="shared" ref="FL8:FL13" si="87">$EL8</f>
        <v>99339.39</v>
      </c>
      <c r="FM8" s="32">
        <v>0</v>
      </c>
      <c r="FN8" s="32">
        <f>FM8/((1+InputData!$C$3)^(IntMed!$B8-IntMed!$B$7))</f>
        <v>0</v>
      </c>
      <c r="FO8" s="5">
        <f t="shared" ref="FO8:FO36" si="88">$EU8-FN8</f>
        <v>-44637.352941176468</v>
      </c>
      <c r="FP8" s="32">
        <f>FO8/((1+InputData!$C$7)^(IntMed!$B8-IntMed!$B$7))</f>
        <v>-43337.235865219875</v>
      </c>
      <c r="FQ8" s="5">
        <f>FQ7+FP8</f>
        <v>-86352.285865219877</v>
      </c>
      <c r="FR8" s="79"/>
      <c r="FS8" s="32">
        <f t="shared" ref="FS8:FS13" si="89">$EJ8</f>
        <v>90900</v>
      </c>
      <c r="FT8" s="32">
        <f t="shared" ref="FT8:FT13" si="90">$EK8</f>
        <v>5644.89</v>
      </c>
      <c r="FU8" s="32">
        <f t="shared" ref="FU8:FU13" si="91">$EL8</f>
        <v>99339.39</v>
      </c>
      <c r="FV8" s="32">
        <v>0</v>
      </c>
      <c r="FW8" s="32">
        <f>FV8/((1+InputData!$C$3)^(IntMed!$B8-IntMed!$B$7))</f>
        <v>0</v>
      </c>
      <c r="FX8" s="5">
        <f t="shared" ref="FX8:FX36" si="92">$EU8-FW8</f>
        <v>-44637.352941176468</v>
      </c>
      <c r="FY8" s="32">
        <f>FX8/((1+InputData!$C$7)^(IntMed!$B8-IntMed!$B$7))</f>
        <v>-43337.235865219875</v>
      </c>
      <c r="FZ8" s="5">
        <f>FZ7+FY8</f>
        <v>-86352.285865219877</v>
      </c>
      <c r="GC8" s="3">
        <f t="shared" si="3"/>
        <v>0</v>
      </c>
      <c r="GD8" s="4" t="str">
        <f t="shared" si="4"/>
        <v>Med School (O1&lt;=2 yrs)</v>
      </c>
      <c r="GE8" s="4"/>
      <c r="GF8" s="4"/>
      <c r="GG8" s="4"/>
      <c r="GH8" s="4"/>
      <c r="GI8" s="5">
        <f t="shared" si="5"/>
        <v>34516.800000000003</v>
      </c>
      <c r="GJ8" s="5">
        <f t="shared" si="6"/>
        <v>25411.199999999997</v>
      </c>
      <c r="GK8" s="5">
        <f t="shared" si="7"/>
        <v>59928</v>
      </c>
      <c r="GL8" s="5">
        <f t="shared" si="8"/>
        <v>34178.400000000001</v>
      </c>
      <c r="GM8" s="5">
        <f t="shared" si="9"/>
        <v>25162.070588235292</v>
      </c>
      <c r="GN8" s="32">
        <f>IF(GL8-InputData!$C$158-InputData!$C$159&gt;=0,GL8-InputData!$C$158-InputData!$C$159,0)</f>
        <v>34178.400000000001</v>
      </c>
      <c r="GO8" s="32">
        <f>IF(GL8-IF(GL8&lt;=InputData!$C$146,InputData!$C$145,0)-MAX(InputData!$C$144,GU8)&gt;=0,GL8-IF(GL8&lt;=InputData!$C$146,InputData!$C$145,0)-MAX(InputData!$C$144,GU8),0)</f>
        <v>24178.400000000001</v>
      </c>
      <c r="GP8" s="32">
        <f>IF(GO8&lt;0,"Error",IF(GO8&lt;=InputData!$B$170,InputData!$C$170*GO8,IF(GO8&lt;=InputData!$B$171,InputData!$D$170+InputData!$C$171*(GO8-InputData!$B$170),IF(GO8&lt;=InputData!$B$172,InputData!$D$171+InputData!$C$172*(GO8-InputData!$B$171),IF(GO8&lt;=InputData!$B$173,InputData!$D$172+InputData!$C$173*(GO8-InputData!$B$172),IF(GO8&lt;=InputData!$B$174,InputData!$D$173+InputData!$C$174*(GO8-InputData!$B$173),IF(GO8&lt;=InputData!$B$175,InputData!$D$174+InputData!$C$175*(GO8-InputData!$B$174),InputData!$D$175+InputData!$C$176*(GO8-InputData!$B$175))))))))</f>
        <v>3180.51</v>
      </c>
      <c r="GQ8" s="32">
        <f>IF(GL8&lt;=InputData!$C$150,InputData!$C$152,IF(GL8&lt;InputData!$C$151,IF(InputData!$C$152-0.25*IF(GL8-InputData!$C$150&lt;=0,0,GL8-InputData!$C$150)&lt;=0,0,InputData!$C$152-0.25*IF(GL8-InputData!$C$150&lt;=0,0,GL8-InputData!$C$150)),0))</f>
        <v>51900</v>
      </c>
      <c r="GR8" s="32">
        <f>IF(GL8-GQ8&lt;=0,0,IF(GL8-GQ8&lt;=InputData!$C$153,InputData!$C$154*(GL8-GQ8),InputData!$C$155*(GL8-GQ8)-InputData!$D$154))</f>
        <v>0</v>
      </c>
      <c r="GS8" s="32">
        <f t="shared" ref="GS8:GS36" si="93">MAX(GP8,GR8)</f>
        <v>3180.51</v>
      </c>
      <c r="GT8" s="32">
        <f>IF(GL8&gt;=0,IF(GL8&lt;=InputData!$C$148,InputData!$C$147*GL8,InputData!$C$147*InputData!$C$148)+InputData!$C$149*GL8,0)</f>
        <v>2614.6476000000002</v>
      </c>
      <c r="GU8" s="32">
        <f>IF(GN8&lt;0,0,IF(GN8&lt;=InputData!$B$163,InputData!$C$163*GN8,IF(GN8&lt;=InputData!$B$164,InputData!$D$163+InputData!$C$164*(GN8-InputData!$B$163),IF(GN8&lt;=InputData!$B$165,InputData!$D$164+InputData!$C$165*(GN8-InputData!$B$164),InputData!$D$165+InputData!$C$166*(GN8-InputData!$B$165)))))</f>
        <v>0</v>
      </c>
      <c r="GV8" s="43">
        <f t="shared" si="10"/>
        <v>0.16955614072045502</v>
      </c>
      <c r="GW8" s="43">
        <f t="shared" si="11"/>
        <v>9.7659447971228844E-2</v>
      </c>
      <c r="GX8" s="5">
        <f t="shared" si="12"/>
        <v>53545.312988235295</v>
      </c>
      <c r="GY8" s="32">
        <f>GX8/((1+InputData!$C$7)^(IntMed!$B8-IntMed!$B$7))</f>
        <v>51985.740765276983</v>
      </c>
      <c r="GZ8" s="32">
        <f t="shared" ref="GZ8:GZ35" si="94">GZ7+GY8</f>
        <v>106041.93556527697</v>
      </c>
      <c r="HB8" s="3">
        <f t="shared" si="13"/>
        <v>0</v>
      </c>
      <c r="HC8" s="4" t="str">
        <f t="shared" si="14"/>
        <v>Med School</v>
      </c>
      <c r="HD8" s="4"/>
      <c r="HE8" s="4"/>
      <c r="HF8" s="4"/>
      <c r="HG8" s="4"/>
      <c r="HH8" s="5">
        <f t="shared" si="15"/>
        <v>29307.326488706363</v>
      </c>
      <c r="HI8" s="5">
        <f t="shared" si="16"/>
        <v>0</v>
      </c>
      <c r="HJ8" s="5">
        <f t="shared" si="17"/>
        <v>29307.326488706363</v>
      </c>
      <c r="HK8" s="5">
        <f t="shared" si="18"/>
        <v>29019.999758424929</v>
      </c>
      <c r="HL8" s="5">
        <f t="shared" si="19"/>
        <v>0</v>
      </c>
      <c r="HM8" s="32">
        <f>IF(HK8-InputData!$C$158-InputData!$C$159&gt;=0,HK8-InputData!$C$158-InputData!$C$159,0)</f>
        <v>29019.999758424929</v>
      </c>
      <c r="HN8" s="32">
        <f>IF(HK8-IF(HK8&lt;=InputData!$C$146,InputData!$C$145,0)-MAX(InputData!$C$144,HT8)&gt;=0,HK8-IF(HK8&lt;=InputData!$C$146,InputData!$C$145,0)-MAX(InputData!$C$144,HT8),0)</f>
        <v>19019.999758424929</v>
      </c>
      <c r="HO8" s="32">
        <f>IF(HN8&lt;0,"Error",IF(HN8&lt;=InputData!$B$170,InputData!$C$170*HN8,IF(HN8&lt;=InputData!$B$171,InputData!$D$170+InputData!$C$171*(HN8-InputData!$B$170),IF(HN8&lt;=InputData!$B$172,InputData!$D$171+InputData!$C$172*(HN8-InputData!$B$171),IF(HN8&lt;=InputData!$B$173,InputData!$D$172+InputData!$C$173*(HN8-InputData!$B$172),IF(HN8&lt;=InputData!$B$174,InputData!$D$173+InputData!$C$174*(HN8-InputData!$B$173),IF(HN8&lt;=InputData!$B$175,InputData!$D$174+InputData!$C$175*(HN8-InputData!$B$174),InputData!$D$175+InputData!$C$176*(HN8-InputData!$B$175))))))))</f>
        <v>2406.7499637637393</v>
      </c>
      <c r="HP8" s="32">
        <f>IF(HK8&lt;=InputData!$C$150,InputData!$C$152,IF(HK8&lt;InputData!$C$151,IF(InputData!$C$152-0.25*IF(HK8-InputData!$C$150&lt;=0,0,HK8-InputData!$C$150)&lt;=0,0,InputData!$C$152-0.25*IF(HK8-InputData!$C$150&lt;=0,0,HK8-InputData!$C$150)),0))</f>
        <v>51900</v>
      </c>
      <c r="HQ8" s="32">
        <f>IF(HK8-HP8&lt;=0,0,IF(HK8-HP8&lt;=InputData!$C$153,InputData!$C$154*(HK8-HP8),InputData!$C$155*(HK8-HP8)-InputData!$D$154))</f>
        <v>0</v>
      </c>
      <c r="HR8" s="32">
        <f t="shared" ref="HR8:HR36" si="95">MAX(HO8,HQ8)</f>
        <v>2406.7499637637393</v>
      </c>
      <c r="HS8" s="32">
        <v>0</v>
      </c>
      <c r="HT8" s="32">
        <f>IF(HM8&lt;0,0,IF(HM8&lt;=InputData!$B$163,InputData!$C$163*HM8,IF(HM8&lt;=InputData!$B$164,InputData!$D$163+InputData!$C$164*(HM8-InputData!$B$163),IF(HM8&lt;=InputData!$B$165,InputData!$D$164+InputData!$C$165*(HM8-InputData!$B$164),InputData!$D$165+InputData!$C$166*(HM8-InputData!$B$165)))))</f>
        <v>0</v>
      </c>
      <c r="HU8" s="43">
        <f t="shared" ref="HU8:HU36" si="96">(HR8+HS8+HT8)/HK8</f>
        <v>8.2934182763562042E-2</v>
      </c>
      <c r="HV8" s="43">
        <f t="shared" ref="HV8:HV36" si="97">(HR8+HS8+HT8)/(HK8+HL8)</f>
        <v>8.2934182763562042E-2</v>
      </c>
      <c r="HW8" s="5">
        <f t="shared" ref="HW8:HW36" si="98">HK8+HL8-HR8-HS8-HT8</f>
        <v>26613.249794661191</v>
      </c>
      <c r="HX8" s="32">
        <f>HW8/((1+InputData!$C$7)^(IntMed!$B8-IntMed!$B$7))</f>
        <v>25838.106596758436</v>
      </c>
      <c r="HY8" s="32">
        <f t="shared" ref="HY8:HY35" si="99">HY7+HX8</f>
        <v>69389.851463288214</v>
      </c>
      <c r="IA8" s="3">
        <f t="shared" si="20"/>
        <v>0</v>
      </c>
      <c r="IB8" s="4" t="str">
        <f t="shared" si="21"/>
        <v>Med School (O1&lt;=2 yrs)</v>
      </c>
      <c r="IC8" s="5">
        <f t="shared" si="22"/>
        <v>34516.800000000003</v>
      </c>
      <c r="ID8" s="5">
        <f t="shared" si="23"/>
        <v>25411.199999999997</v>
      </c>
      <c r="IE8" s="5">
        <f t="shared" si="24"/>
        <v>59928</v>
      </c>
      <c r="IF8" s="5">
        <f t="shared" si="25"/>
        <v>34178.400000000001</v>
      </c>
      <c r="IG8" s="5">
        <f t="shared" si="26"/>
        <v>25162.070588235292</v>
      </c>
      <c r="IH8" s="32">
        <f>IF(IF8-InputData!$C$158-InputData!$C$159&gt;=0,IF8-InputData!$C$158-InputData!$C$159,0)</f>
        <v>34178.400000000001</v>
      </c>
      <c r="II8" s="32">
        <f>IF(IF8-IF(IF8&lt;=InputData!$C$146,InputData!$C$145,0)-MAX(InputData!$C$144,IO8)&gt;=0,IF8-IF(IF8&lt;=InputData!$C$146,InputData!$C$145,0)-MAX(InputData!$C$144,IO8),0)</f>
        <v>24178.400000000001</v>
      </c>
      <c r="IJ8" s="32">
        <f>IF(II8&lt;0,"Error",IF(II8&lt;=InputData!$B$170,InputData!$C$170*II8,IF(II8&lt;=InputData!$B$171,InputData!$D$170+InputData!$C$171*(II8-InputData!$B$170),IF(II8&lt;=InputData!$B$172,InputData!$D$171+InputData!$C$172*(II8-InputData!$B$171),IF(II8&lt;=InputData!$B$173,InputData!$D$172+InputData!$C$173*(II8-InputData!$B$172),IF(II8&lt;=InputData!$B$174,InputData!$D$173+InputData!$C$174*(II8-InputData!$B$173),IF(II8&lt;=InputData!$B$175,InputData!$D$174+InputData!$C$175*(II8-InputData!$B$174),InputData!$D$175+InputData!$C$176*(II8-InputData!$B$175))))))))</f>
        <v>3180.51</v>
      </c>
      <c r="IK8" s="32">
        <f>IF(IF8&lt;=InputData!$C$150,InputData!$C$152,IF(IF8&lt;InputData!$C$151,IF(InputData!$C$152-0.25*IF(IF8-InputData!$C$150&lt;=0,0,IF8-InputData!$C$150)&lt;=0,0,InputData!$C$152-0.25*IF(IF8-InputData!$C$150&lt;=0,0,IF8-InputData!$C$150)),0))</f>
        <v>51900</v>
      </c>
      <c r="IL8" s="32">
        <f>IF(IF8-IK8&lt;=0,0,IF(IF8-IK8&lt;=InputData!$C$153,InputData!$C$154*(IF8-IK8),InputData!$C$155*(IF8-IK8)-InputData!$D$154))</f>
        <v>0</v>
      </c>
      <c r="IM8" s="32">
        <f t="shared" ref="IM8:IM36" si="100">MAX(IJ8,IL8)</f>
        <v>3180.51</v>
      </c>
      <c r="IN8" s="32">
        <f>IF(IF8&gt;=0,IF(IF8&lt;=InputData!$C$148,InputData!$C$147*IF8,InputData!$C$147*InputData!$C$148)+InputData!$C$149*IF8,0)</f>
        <v>2614.6476000000002</v>
      </c>
      <c r="IO8" s="32">
        <f>IF(IH8&lt;0,0,IF(IH8&lt;=InputData!$B$163,InputData!$C$163*IH8,IF(IH8&lt;=InputData!$B$164,InputData!$D$163+InputData!$C$164*(IH8-InputData!$B$163),IF(IH8&lt;=InputData!$B$165,InputData!$D$164+InputData!$C$165*(IH8-InputData!$B$164),InputData!$D$165+InputData!$C$166*(IH8-InputData!$B$165)))))</f>
        <v>0</v>
      </c>
      <c r="IP8" s="43">
        <f t="shared" ref="IP8:IP36" si="101">(IM8+IN8+IO8)/IF8</f>
        <v>0.16955614072045502</v>
      </c>
      <c r="IQ8" s="43">
        <f t="shared" ref="IQ8:IQ36" si="102">(IM8+IN8+IO8)/(IF8+IG8)</f>
        <v>9.7659447971228844E-2</v>
      </c>
      <c r="IR8" s="5">
        <f t="shared" si="27"/>
        <v>53545.312988235295</v>
      </c>
      <c r="IS8" s="32">
        <f>IR8/((1+InputData!$C$7)^(IntMed!$B8-IntMed!$B$7))</f>
        <v>51985.740765276983</v>
      </c>
      <c r="IT8" s="5">
        <f t="shared" ref="IT8:IT35" si="103">IT7+IS8</f>
        <v>106041.93556527697</v>
      </c>
      <c r="IV8" s="41">
        <f t="shared" si="28"/>
        <v>0</v>
      </c>
      <c r="IW8" s="49" t="str">
        <f t="shared" si="29"/>
        <v>Med School</v>
      </c>
      <c r="IX8" s="32">
        <f t="shared" si="30"/>
        <v>29307.326488706363</v>
      </c>
      <c r="IY8" s="32">
        <f t="shared" si="31"/>
        <v>0</v>
      </c>
      <c r="IZ8" s="32">
        <f t="shared" si="32"/>
        <v>29307.326488706363</v>
      </c>
      <c r="JA8" s="32">
        <f t="shared" si="33"/>
        <v>29019.999758424929</v>
      </c>
      <c r="JB8" s="32">
        <f t="shared" si="34"/>
        <v>0</v>
      </c>
      <c r="JC8" s="32">
        <f>IF(JA8-InputData!$C$158-InputData!$C$159&gt;=0,JA8-InputData!$C$158-InputData!$C$159,0)</f>
        <v>29019.999758424929</v>
      </c>
      <c r="JD8" s="32">
        <f>IF(JA8-IF(JA8&lt;=InputData!$C$146,InputData!$C$145,0)-MAX(InputData!$C$144,JJ8)&gt;=0,JA8-IF(JA8&lt;=InputData!$C$146,InputData!$C$145,0)-MAX(InputData!$C$144,JJ8),0)</f>
        <v>19019.999758424929</v>
      </c>
      <c r="JE8" s="32">
        <f>IF(JD8&lt;0,"Error",IF(JD8&lt;=InputData!$B$170,InputData!$C$170*JD8,IF(JD8&lt;=InputData!$B$171,InputData!$D$170+InputData!$C$171*(JD8-InputData!$B$170),IF(JD8&lt;=InputData!$B$172,InputData!$D$171+InputData!$C$172*(JD8-InputData!$B$171),IF(JD8&lt;=InputData!$B$173,InputData!$D$172+InputData!$C$173*(JD8-InputData!$B$172),IF(JD8&lt;=InputData!$B$174,InputData!$D$173+InputData!$C$174*(JD8-InputData!$B$173),IF(JD8&lt;=InputData!$B$175,InputData!$D$174+InputData!$C$175*(JD8-InputData!$B$174),InputData!$D$175+InputData!$C$176*(JD8-InputData!$B$175))))))))</f>
        <v>2406.7499637637393</v>
      </c>
      <c r="JF8" s="32">
        <f>IF(JA8&lt;=InputData!$C$150,InputData!$C$152,IF(JA8&lt;InputData!$C$151,IF(InputData!$C$152-0.25*IF(JA8-InputData!$C$150&lt;=0,0,JA8-InputData!$C$150)&lt;=0,0,InputData!$C$152-0.25*IF(JA8-InputData!$C$150&lt;=0,0,JA8-InputData!$C$150)),0))</f>
        <v>51900</v>
      </c>
      <c r="JG8" s="32">
        <f>IF(JA8-JF8&lt;=0,0,IF(JA8-JF8&lt;=InputData!$C$153,InputData!$C$154*(JA8-JF8),InputData!$C$155*(JA8-JF8)-InputData!$D$154))</f>
        <v>0</v>
      </c>
      <c r="JH8" s="32">
        <f t="shared" ref="JH8:JH36" si="104">MAX(JE8,JG8)</f>
        <v>2406.7499637637393</v>
      </c>
      <c r="JI8" s="32">
        <v>0</v>
      </c>
      <c r="JJ8" s="32">
        <f>IF(JC8&lt;0,0,IF(JC8&lt;=InputData!$B$163,InputData!$C$163*JC8,IF(JC8&lt;=InputData!$B$164,InputData!$D$163+InputData!$C$164*(JC8-InputData!$B$163),IF(JC8&lt;=InputData!$B$165,InputData!$D$164+InputData!$C$165*(JC8-InputData!$B$164),InputData!$D$165+InputData!$C$166*(JC8-InputData!$B$165)))))</f>
        <v>0</v>
      </c>
      <c r="JK8" s="42">
        <f t="shared" ref="JK8:JK36" si="105">(JH8+JI8+JJ8)/JA8</f>
        <v>8.2934182763562042E-2</v>
      </c>
      <c r="JL8" s="42">
        <f t="shared" ref="JL8:JL36" si="106">(JH8+JI8+JJ8)/(JA8+JB8)</f>
        <v>8.2934182763562042E-2</v>
      </c>
      <c r="JM8" s="32">
        <f t="shared" si="35"/>
        <v>26613.249794661191</v>
      </c>
      <c r="JN8" s="32">
        <f>JM8/((1+InputData!$C$7)^(IntMed!$B8-IntMed!$B$7))</f>
        <v>25838.106596758436</v>
      </c>
      <c r="JO8" s="32">
        <f t="shared" ref="JO8:JO35" si="107">JO7+JN8</f>
        <v>69389.851463288214</v>
      </c>
      <c r="JQ8" s="41" t="s">
        <v>0</v>
      </c>
      <c r="JR8" s="32">
        <f>InputData!$C$112*12</f>
        <v>15468</v>
      </c>
      <c r="JS8" s="32">
        <v>0</v>
      </c>
      <c r="JT8" s="32">
        <f t="shared" ref="JT8:JT36" si="108">JR8+JS8</f>
        <v>15468</v>
      </c>
      <c r="JU8" s="5">
        <f>JR8*(1/(1+InputData!$C$3))^(IntMed!$B8-IntMed!$B$7)</f>
        <v>15164.705882352941</v>
      </c>
      <c r="JV8" s="5">
        <f>JS8*(1/(1+InputData!$C$3))^(IntMed!$B8-IntMed!$B$7)</f>
        <v>0</v>
      </c>
      <c r="JW8" s="32">
        <f>IF(JU8-InputData!$C$158-InputData!$C$159&gt;=0,JU8-InputData!$C$158-InputData!$C$159,0)</f>
        <v>15164.705882352941</v>
      </c>
      <c r="JX8" s="32">
        <f>IF(JU8-IF(JU8&lt;=InputData!$C$146,InputData!$C$145,0)-MAX(InputData!$C$144,KD8)&gt;=0,JU8-IF(JU8&lt;=InputData!$C$146,InputData!$C$145,0)-MAX(InputData!$C$144,KD8),0)</f>
        <v>5164.7058823529405</v>
      </c>
      <c r="JY8" s="32">
        <f>IF(JX8&lt;0,"Error",IF(JX8&lt;=InputData!$B$170,InputData!$C$170*JX8,IF(JX8&lt;=InputData!$B$171,InputData!$D$170+InputData!$C$171*(JX8-InputData!$B$170),IF(JX8&lt;=InputData!$B$172,InputData!$D$171+InputData!$C$172*(JX8-InputData!$B$171),IF(JX8&lt;=InputData!$B$173,InputData!$D$172+InputData!$C$173*(JX8-InputData!$B$172),IF(JX8&lt;=InputData!$B$174,InputData!$D$173+InputData!$C$174*(JX8-InputData!$B$173),IF(JX8&lt;=InputData!$B$175,InputData!$D$174+InputData!$C$175*(JX8-InputData!$B$174),InputData!$D$175+InputData!$C$176*(JX8-InputData!$B$175))))))))</f>
        <v>516.47058823529403</v>
      </c>
      <c r="JZ8" s="32">
        <f>IF(JU8&lt;=InputData!$C$150,InputData!$C$152,IF(JU8&lt;InputData!$C$151,IF(InputData!$C$152-0.25*IF(JU8-InputData!$C$150&lt;=0,0,JU8-InputData!$C$150)&lt;=0,0,InputData!$C$152-0.25*IF(JU8-InputData!$C$150&lt;=0,0,JU8-InputData!$C$150)),0))</f>
        <v>51900</v>
      </c>
      <c r="KA8" s="32">
        <f>IF(JU8-JZ8&lt;=0,0,IF(JU8-JZ8&lt;=InputData!$C$153,InputData!$C$154*(JU8-JZ8),InputData!$C$155*(JU8-JZ8)-InputData!$D$154))</f>
        <v>0</v>
      </c>
      <c r="KB8" s="32">
        <f t="shared" ref="KB8:KB36" si="109">MAX(JY8,KA8)</f>
        <v>516.47058823529403</v>
      </c>
      <c r="KC8" s="32">
        <f>IF(JU8&gt;=0,IF(JU8&lt;=InputData!$C$148,InputData!$C$147*JU8,InputData!$C$147*InputData!$C$148)+InputData!$C$149*JU8,0)</f>
        <v>1160.0999999999999</v>
      </c>
      <c r="KD8" s="32">
        <f>IF(JW8&lt;0,0,IF(JW8&lt;=InputData!$B$163,InputData!$C$163*JW8,IF(JW8&lt;=InputData!$B$164,InputData!$D$163+InputData!$C$164*(JW8-InputData!$B$163),IF(JW8&lt;=InputData!$B$165,InputData!$D$164+InputData!$C$165*(JW8-InputData!$B$164),InputData!$D$165+InputData!$C$166*(JW8-InputData!$B$165)))))</f>
        <v>0</v>
      </c>
      <c r="KE8" s="43">
        <f t="shared" ref="KE8:KE36" si="110">(KB8+KC8+KD8)/JU8</f>
        <v>0.11055740884406516</v>
      </c>
      <c r="KF8" s="43">
        <f t="shared" ref="KF8:KF36" si="111">(KB8+KC8+KD8)/(JU8+JV8)</f>
        <v>0.11055740884406516</v>
      </c>
      <c r="KG8" s="5">
        <f t="shared" ref="KG8:KG36" si="112">JU8+JV8-KB8-KC8-KD8</f>
        <v>13488.135294117646</v>
      </c>
      <c r="KH8" s="32">
        <f>KG8/((1+InputData!$C$7)^(IntMed!$B8-IntMed!$B$7))</f>
        <v>13095.27698458024</v>
      </c>
      <c r="KI8" s="5">
        <f>KI7+KH8</f>
        <v>26833.174984580241</v>
      </c>
      <c r="KK8" s="7"/>
      <c r="KM8">
        <v>23</v>
      </c>
      <c r="KN8" s="41" t="s">
        <v>0</v>
      </c>
      <c r="KO8" s="32">
        <v>0</v>
      </c>
      <c r="KP8" s="32">
        <f t="shared" ref="KP8:KP10" si="113">-(KV8+KX8)</f>
        <v>-45530.1</v>
      </c>
      <c r="KQ8" s="32">
        <f t="shared" ref="KQ8:KQ13" si="114">KO8+KP8</f>
        <v>-45530.1</v>
      </c>
      <c r="KR8" s="32">
        <f>KR7*(1+InputData!$C$8)</f>
        <v>11719.800000000001</v>
      </c>
      <c r="KS8" s="5">
        <f>KO8*(1/(1+InputData!$C$3))^(IntMed!$B8-IntMed!$B$7)</f>
        <v>0</v>
      </c>
      <c r="KT8" s="5">
        <f>KP8*(1/(1+InputData!$C$3))^(IntMed!$B8-IntMed!$B$7)</f>
        <v>-44637.352941176468</v>
      </c>
      <c r="KU8" s="32" t="s">
        <v>143</v>
      </c>
      <c r="KV8" s="118">
        <f>InputData!$C$88*9/40</f>
        <v>40500</v>
      </c>
      <c r="KW8" s="5">
        <f t="shared" ref="KW8:KW10" si="115">$BE8</f>
        <v>81000</v>
      </c>
      <c r="KX8" s="5">
        <f t="shared" ref="KX8:KX10" si="116">$BF8</f>
        <v>5030.1000000000004</v>
      </c>
      <c r="KY8" s="5">
        <f>KY7+KX8</f>
        <v>7545.1500000000005</v>
      </c>
      <c r="KZ8" s="5">
        <v>0</v>
      </c>
      <c r="LA8" s="5">
        <f t="shared" ref="LA8:LA10" si="117">$BH8</f>
        <v>88545.150000000009</v>
      </c>
      <c r="LB8" s="32">
        <f>KZ8/((1+InputData!$C$3)^(IntMed!$B8-IntMed!$B$7))</f>
        <v>0</v>
      </c>
      <c r="LC8" s="32">
        <f>IF(KS8-InputData!$C$158-InputData!$C$159&gt;=0,KS8-InputData!$C$158-InputData!$C$159,0)</f>
        <v>0</v>
      </c>
      <c r="LD8" s="32">
        <f>IF(KS8-IF(KS8&lt;=InputData!$C$146,InputData!$C$145,0)-MAX(InputData!$C$144,LJ8)&gt;=0,KS8-IF(KS8&lt;=InputData!$C$146,InputData!$C$145,0)-MAX(InputData!$C$144,LJ8),0)</f>
        <v>0</v>
      </c>
      <c r="LE8" s="32">
        <f>IF(LD8&lt;0,"Error",IF(LD8&lt;=InputData!$B$170,InputData!$C$170*LD8,IF(LD8&lt;=InputData!$B$171,InputData!$D$170+InputData!$C$171*(LD8-InputData!$B$170),IF(LD8&lt;=InputData!$B$172,InputData!$D$171+InputData!$C$172*(LD8-InputData!$B$171),IF(LD8&lt;=InputData!$B$173,InputData!$D$172+InputData!$C$173*(LD8-InputData!$B$172),IF(LD8&lt;=InputData!$B$174,InputData!$D$173+InputData!$C$174*(LD8-InputData!$B$173),IF(LD8&lt;=InputData!$B$175,InputData!$D$174+InputData!$C$175*(LD8-InputData!$B$174),InputData!$D$175+InputData!$C$176*(LD8-InputData!$B$175))))))))</f>
        <v>0</v>
      </c>
      <c r="LF8" s="32">
        <f>IF(KS8&lt;=InputData!$C$150,InputData!$C$152,IF(KS8&lt;InputData!$C$151,IF(InputData!$C$152-0.25*IF(KS8-InputData!$C$150&lt;=0,0,KS8-InputData!$C$150)&lt;=0,0,InputData!$C$152-0.25*IF(KS8-InputData!$C$150&lt;=0,0,KS8-InputData!$C$150)),0))</f>
        <v>51900</v>
      </c>
      <c r="LG8" s="32">
        <f>IF(KS8-LF8&lt;=0,0,IF(KS8-LF8&lt;=InputData!$C$153,InputData!$C$154*(KS8-LF8),InputData!$C$155*(KS8-LF8)-InputData!$D$154))</f>
        <v>0</v>
      </c>
      <c r="LH8" s="32">
        <f t="shared" ref="LH8:LH36" si="118">MAX(LE8,LG8)</f>
        <v>0</v>
      </c>
      <c r="LI8" s="32">
        <f>IF(KS8&gt;=0,IF(KS8&lt;=InputData!$C$148,InputData!$C$147*KS8,InputData!$C$147*InputData!$C$148)+InputData!$C$149*KS8,0)</f>
        <v>0</v>
      </c>
      <c r="LJ8" s="32">
        <f>IF(LC8&lt;0,0,IF(LC8&lt;=InputData!$B$163,InputData!$C$163*LC8,IF(LC8&lt;=InputData!$B$164,InputData!$D$163+InputData!$C$164*(LC8-InputData!$B$163),IF(LC8&lt;=InputData!$B$165,InputData!$D$164+InputData!$C$165*(LC8-InputData!$B$164),InputData!$D$165+InputData!$C$166*(LC8-InputData!$B$165)))))</f>
        <v>0</v>
      </c>
      <c r="LK8" s="43">
        <f t="shared" si="36"/>
        <v>0</v>
      </c>
      <c r="LL8" s="32">
        <f t="shared" ref="LL8:LL36" si="119">KS8+KT8-(LH8+LI8+LJ8)</f>
        <v>-44637.352941176468</v>
      </c>
      <c r="LM8" s="5">
        <f t="shared" ref="LM8:LM36" si="120">$LL8-LB8</f>
        <v>-44637.352941176468</v>
      </c>
      <c r="LN8" s="32">
        <f>LM8/((1+InputData!$C$7)^(IntMed!$B8-IntMed!$B$7))</f>
        <v>-43337.235865219875</v>
      </c>
      <c r="LO8" s="5">
        <f>LO7+LN8</f>
        <v>-86352.285865219877</v>
      </c>
      <c r="LQ8" s="157" t="str">
        <f t="shared" si="37"/>
        <v>Med School</v>
      </c>
      <c r="LR8" s="32">
        <f t="shared" ref="LR8:LR36" si="121">AW8</f>
        <v>0</v>
      </c>
      <c r="LS8" s="32">
        <f t="shared" ref="LS8:LS10" si="122">-(LY8+MA8)</f>
        <v>0</v>
      </c>
      <c r="LT8" s="32">
        <f t="shared" ref="LT8:LT36" si="123">LR8+LS8</f>
        <v>0</v>
      </c>
      <c r="LU8" s="32">
        <f>LU7*(1+InputData!$C$8)</f>
        <v>11719.800000000001</v>
      </c>
      <c r="LV8" s="32">
        <f>LR8/((1+InputData!$C$3)^(IntMed!$B8-IntMed!$B$7))</f>
        <v>0</v>
      </c>
      <c r="LW8" s="32">
        <f>LS8/((1+InputData!$C$3)^(IntMed!$B8-IntMed!$B$7))</f>
        <v>0</v>
      </c>
      <c r="LX8" s="32" t="s">
        <v>143</v>
      </c>
      <c r="LY8" s="118">
        <v>0</v>
      </c>
      <c r="LZ8" s="32">
        <f>LZ7+LY8</f>
        <v>0</v>
      </c>
      <c r="MA8" s="32">
        <f>(LZ8)*InputData!$C$6</f>
        <v>0</v>
      </c>
      <c r="MB8" s="32">
        <v>0</v>
      </c>
      <c r="MC8" s="32">
        <f>MC7+LY8+MA8-MB8</f>
        <v>0</v>
      </c>
      <c r="MD8" s="32">
        <f>MB8/((1+InputData!$C$3)^(IntMed!$B8-IntMed!$B$7))</f>
        <v>0</v>
      </c>
      <c r="ME8" s="32">
        <f>IF(LV8-InputData!$C$158-InputData!$C$159&gt;=0,LV8-InputData!$C$158-InputData!$C$159,0)</f>
        <v>0</v>
      </c>
      <c r="MF8" s="32">
        <f>IF(LV8-IF(LV8&lt;=InputData!$C$146,InputData!$C$145,0)-MAX(InputData!$C$144,ML8)&gt;=0,LV8-IF(LV8&lt;=InputData!$C$146,InputData!$C$145,0)-MAX(InputData!$C$144,ML8),0)</f>
        <v>0</v>
      </c>
      <c r="MG8" s="32">
        <f>IF(MF8&lt;0,"Error",IF(MF8&lt;=InputData!$B$170,InputData!$C$170*MF8,IF(MF8&lt;=InputData!$B$171,InputData!$D$170+InputData!$C$171*(MF8-InputData!$B$170),IF(MF8&lt;=InputData!$B$172,InputData!$D$171+InputData!$C$172*(MF8-InputData!$B$171),IF(MF8&lt;=InputData!$B$173,InputData!$D$172+InputData!$C$173*(MF8-InputData!$B$172),IF(MF8&lt;=InputData!$B$174,InputData!$D$173+InputData!$C$174*(MF8-InputData!$B$173),IF(MF8&lt;=InputData!$B$175,InputData!$D$174+InputData!$C$175*(MF8-InputData!$B$174),InputData!$D$175+InputData!$C$176*(MF8-InputData!$B$175))))))))</f>
        <v>0</v>
      </c>
      <c r="MH8" s="32">
        <f>IF(LV8&lt;=InputData!$C$150,InputData!$C$152,IF(LV8&lt;InputData!$C$151,IF(InputData!$C$152-0.25*IF(LV8-InputData!$C$150&lt;=0,0,LV8-InputData!$C$150)&lt;=0,0,InputData!$C$152-0.25*IF(LV8-InputData!$C$150&lt;=0,0,LV8-InputData!$C$150)),0))</f>
        <v>51900</v>
      </c>
      <c r="MI8" s="32">
        <f>IF(LV8-MH8&lt;=0,0,IF(LV8-MH8&lt;=InputData!$C$153,InputData!$C$154*(LV8-MH8),InputData!$C$155*(LV8-MH8)-InputData!$D$154))</f>
        <v>0</v>
      </c>
      <c r="MJ8" s="32">
        <f t="shared" ref="MJ8:MJ36" si="124">MAX(MG8,MI8)</f>
        <v>0</v>
      </c>
      <c r="MK8" s="32">
        <f>IF(LV8&gt;=0,IF(LV8&lt;=InputData!$C$148,InputData!$C$147*LV8,InputData!$C$147*InputData!$C$148)+InputData!$C$149*LV8,0)</f>
        <v>0</v>
      </c>
      <c r="ML8" s="32">
        <f>IF(ME8&lt;0,0,IF(ME8&lt;=InputData!$B$163,InputData!$C$163*ME8,IF(ME8&lt;=InputData!$B$164,InputData!$D$163+InputData!$C$164*(ME8-InputData!$B$163),IF(ME8&lt;=InputData!$B$165,InputData!$D$164+InputData!$C$165*(ME8-InputData!$B$164),InputData!$D$165+InputData!$C$166*(ME8-InputData!$B$165)))))</f>
        <v>0</v>
      </c>
      <c r="MM8" s="43" t="e">
        <f t="shared" si="38"/>
        <v>#DIV/0!</v>
      </c>
      <c r="MN8" s="32">
        <f t="shared" ref="MN8:MN36" si="125">LV8+LW8-(MJ8+MK8+ML8)</f>
        <v>0</v>
      </c>
      <c r="MO8" s="32">
        <f t="shared" ref="MO8:MO36" si="126">MN8-MD8</f>
        <v>0</v>
      </c>
      <c r="MP8" s="32">
        <f>MO8/((1+InputData!$C$7)^(IntMed!$B8-IntMed!$B$7))</f>
        <v>0</v>
      </c>
      <c r="MQ8" s="5">
        <f>MQ7+MP8</f>
        <v>0</v>
      </c>
    </row>
    <row r="9" spans="1:355" ht="14.45" x14ac:dyDescent="0.3">
      <c r="A9" s="53">
        <v>2015</v>
      </c>
      <c r="B9" s="51">
        <v>3</v>
      </c>
      <c r="C9" s="4"/>
      <c r="D9" s="3">
        <v>0</v>
      </c>
      <c r="E9" s="4" t="s">
        <v>10</v>
      </c>
      <c r="F9" s="5">
        <f>InputData!$D$26*12</f>
        <v>35928</v>
      </c>
      <c r="G9" s="5">
        <f>InputData!$D$26*12</f>
        <v>35928</v>
      </c>
      <c r="H9" s="5">
        <f>(InputData!$H$37+InputData!$C$40)*12</f>
        <v>25411.199999999997</v>
      </c>
      <c r="I9" s="5">
        <f t="shared" si="39"/>
        <v>61339.199999999997</v>
      </c>
      <c r="J9" s="5">
        <f>G9*((1+InputData!$C$5)/(1+InputData!$C$3))^(IntMed!$B9-IntMed!$B$7)</f>
        <v>35226.98269896194</v>
      </c>
      <c r="K9" s="5">
        <f>H9*((1+InputData!$C$5)/(1+InputData!$C$3))^(IntMed!$B9-IntMed!$B$7)</f>
        <v>24915.383621683966</v>
      </c>
      <c r="L9" s="32">
        <f>IF(J9-InputData!$C$158-InputData!$C$159&gt;=0,J9-InputData!$C$158-InputData!$C$159,0)</f>
        <v>35226.98269896194</v>
      </c>
      <c r="M9" s="32">
        <f>IF(J9-IF(J9&lt;=InputData!$C$146,InputData!$C$145,0)-MAX(InputData!$C$144,S9)&gt;=0,J9-IF(J9&lt;=InputData!$C$146,InputData!$C$145,0)-MAX(InputData!$C$144,S9),0)</f>
        <v>25226.98269896194</v>
      </c>
      <c r="N9" s="32">
        <f>IF(M9&lt;0,"Error",IF(M9&lt;=InputData!$B$170,InputData!$C$170*M9,IF(M9&lt;=InputData!$B$171,InputData!$D$170+InputData!$C$171*(M9-InputData!$B$170),IF(M9&lt;=InputData!$B$172,InputData!$D$171+InputData!$C$172*(M9-InputData!$B$171),IF(M9&lt;=InputData!$B$173,InputData!$D$172+InputData!$C$173*(M9-InputData!$B$172),IF(M9&lt;=InputData!$B$174,InputData!$D$173+InputData!$C$174*(M9-InputData!$B$173),IF(M9&lt;=InputData!$B$175,InputData!$D$174+InputData!$C$175*(M9-InputData!$B$174),InputData!$D$175+InputData!$C$176*(M9-InputData!$B$175))))))))</f>
        <v>3337.7974048442907</v>
      </c>
      <c r="O9" s="32">
        <f>IF(J9&lt;=InputData!$C$150,InputData!$C$152,IF(J9&lt;InputData!$C$151,IF(InputData!$C$152-0.25*IF(J9-InputData!$C$150&lt;=0,0,J9-InputData!$C$150)&lt;=0,0,InputData!$C$152-0.25*IF(J9-InputData!$C$150&lt;=0,0,J9-InputData!$C$150)),0))</f>
        <v>51900</v>
      </c>
      <c r="P9" s="32">
        <f>IF(J9-O9&lt;=0,0,IF(J9-O9&lt;=InputData!$C$153,InputData!$C$154*(J9-O9),InputData!$C$155*(J9-O9)-InputData!$D$154))</f>
        <v>0</v>
      </c>
      <c r="Q9" s="32">
        <f t="shared" si="40"/>
        <v>3337.7974048442907</v>
      </c>
      <c r="R9" s="32">
        <f>IF(J9&gt;=0,IF(J9&lt;=InputData!$C$148,InputData!$C$147*J9,InputData!$C$147*InputData!$C$148)+InputData!$C$149*J9,0)</f>
        <v>2694.8641764705881</v>
      </c>
      <c r="S9" s="32">
        <f>IF(L9&lt;0,0,IF(L9&lt;=InputData!$B$163,InputData!$C$163*L9,IF(L9&lt;=InputData!$B$164,InputData!$D$163+InputData!$C$164*(L9-InputData!$B$163),IF(L9&lt;=InputData!$B$165,InputData!$D$164+InputData!$C$165*(L9-InputData!$B$164),InputData!$D$165+InputData!$C$166*(L9-InputData!$B$165)))))</f>
        <v>0</v>
      </c>
      <c r="T9" s="43">
        <f t="shared" si="41"/>
        <v>0.17125115803609961</v>
      </c>
      <c r="U9" s="43">
        <f t="shared" si="42"/>
        <v>0.10030635557556974</v>
      </c>
      <c r="V9" s="5">
        <f t="shared" si="43"/>
        <v>54109.70473933102</v>
      </c>
      <c r="W9" s="32">
        <f>V9/((1+InputData!$C$7)^(IntMed!$B9-IntMed!$B$7))</f>
        <v>51003.586331728744</v>
      </c>
      <c r="X9" s="5">
        <f t="shared" ref="X9:X26" si="127">X8+W9</f>
        <v>157045.52189700573</v>
      </c>
      <c r="Y9" s="53"/>
      <c r="Z9" s="3">
        <v>0</v>
      </c>
      <c r="AA9" s="4" t="s">
        <v>0</v>
      </c>
      <c r="AB9" s="4"/>
      <c r="AC9" s="5">
        <f>InputData!$C$67*10.5+(IntMed!G9+IntMed!H9)*45/365.25</f>
        <v>29481.190965092403</v>
      </c>
      <c r="AD9" s="5">
        <v>0</v>
      </c>
      <c r="AE9" s="5">
        <f t="shared" si="44"/>
        <v>29481.190965092403</v>
      </c>
      <c r="AF9" s="5">
        <f>AC9*((1+InputData!$C$5)/(1+InputData!$C$3))^(IntMed!$B9-IntMed!$B$7)</f>
        <v>28905.962037188354</v>
      </c>
      <c r="AG9" s="5">
        <f>AD9*((1+InputData!$C$5)/(1+InputData!$C$3))^(IntMed!$B9-IntMed!$B$7)</f>
        <v>0</v>
      </c>
      <c r="AH9" s="32">
        <f>IF(AF9-InputData!$C$158-InputData!$C$159&gt;=0,AF9-InputData!$C$158-InputData!$C$159,0)</f>
        <v>28905.962037188354</v>
      </c>
      <c r="AI9" s="32">
        <f>IF(AF9-IF(AF9&lt;=InputData!$C$146,InputData!$C$145,0)-MAX(InputData!$C$144,AO9)&gt;=0,AF9-IF(AF9&lt;=InputData!$C$146,InputData!$C$145,0)-MAX(InputData!$C$144,AO9),0)</f>
        <v>18905.962037188354</v>
      </c>
      <c r="AJ9" s="32">
        <f>IF(AI9&lt;0,"Error",IF(AI9&lt;=InputData!$B$170,InputData!$C$170*AI9,IF(AI9&lt;=InputData!$B$171,InputData!$D$170+InputData!$C$171*(AI9-InputData!$B$170),IF(AI9&lt;=InputData!$B$172,InputData!$D$171+InputData!$C$172*(AI9-InputData!$B$171),IF(AI9&lt;=InputData!$B$173,InputData!$D$172+InputData!$C$173*(AI9-InputData!$B$172),IF(AI9&lt;=InputData!$B$174,InputData!$D$173+InputData!$C$174*(AI9-InputData!$B$173),IF(AI9&lt;=InputData!$B$175,InputData!$D$174+InputData!$C$175*(AI9-InputData!$B$174),InputData!$D$175+InputData!$C$176*(AI9-InputData!$B$175))))))))</f>
        <v>2389.6443055782529</v>
      </c>
      <c r="AK9" s="32">
        <f>IF(AF9&lt;=InputData!$C$150,InputData!$C$152,IF(AF9&lt;InputData!$C$151,IF(InputData!$C$152-0.25*IF(AF9-InputData!$C$150&lt;=0,0,AF9-InputData!$C$150)&lt;=0,0,InputData!$C$152-0.25*IF(AF9-InputData!$C$150&lt;=0,0,AF9-InputData!$C$150)),0))</f>
        <v>51900</v>
      </c>
      <c r="AL9" s="32">
        <f>IF(AF9-AK9&lt;=0,0,IF(AF9-AK9&lt;=InputData!$C$153,InputData!$C$154*(AF9-AK9),InputData!$C$155*(AF9-AK9)-InputData!$D$154))</f>
        <v>0</v>
      </c>
      <c r="AM9" s="32">
        <f t="shared" si="45"/>
        <v>2389.6443055782529</v>
      </c>
      <c r="AN9" s="32">
        <v>0</v>
      </c>
      <c r="AO9" s="32">
        <f>IF(AH9&lt;0,0,IF(AH9&lt;=InputData!$B$163,InputData!$C$163*AH9,IF(AH9&lt;=InputData!$B$164,InputData!$D$163+InputData!$C$164*(AH9-InputData!$B$163),IF(AH9&lt;=InputData!$B$165,InputData!$D$164+InputData!$C$165*(AH9-InputData!$B$164),InputData!$D$165+InputData!$C$166*(AH9-InputData!$B$165)))))</f>
        <v>0</v>
      </c>
      <c r="AP9" s="43">
        <f t="shared" si="46"/>
        <v>8.2669599527734339E-2</v>
      </c>
      <c r="AQ9" s="43">
        <f t="shared" si="47"/>
        <v>8.2669599527734339E-2</v>
      </c>
      <c r="AR9" s="5">
        <f t="shared" si="48"/>
        <v>26516.317731610099</v>
      </c>
      <c r="AS9" s="32">
        <f>AR9/((1+InputData!$C$7)^(IntMed!$B9-IntMed!$B$7))</f>
        <v>24994.172619106514</v>
      </c>
      <c r="AT9" s="5">
        <f t="shared" ref="AT9:AT26" si="128">AT8+AS9</f>
        <v>94384.024082394724</v>
      </c>
      <c r="AU9" s="53"/>
      <c r="AV9" s="41" t="s">
        <v>0</v>
      </c>
      <c r="AW9" s="32">
        <v>0</v>
      </c>
      <c r="AX9" s="32">
        <f t="shared" si="49"/>
        <v>-57604.05</v>
      </c>
      <c r="AY9" s="32">
        <f t="shared" si="50"/>
        <v>-57604.05</v>
      </c>
      <c r="AZ9" s="32">
        <f>AZ8*(1+InputData!$C$8)</f>
        <v>11954.196000000002</v>
      </c>
      <c r="BA9" s="32">
        <f>AW9/((1+InputData!$C$3)^(IntMed!$B9-IntMed!$B$7))</f>
        <v>0</v>
      </c>
      <c r="BB9" s="32">
        <f>AX9/((1+InputData!$C$3)^(IntMed!$B9-IntMed!$B$7))</f>
        <v>-55367.214532871978</v>
      </c>
      <c r="BC9" s="32" t="s">
        <v>143</v>
      </c>
      <c r="BD9" s="118">
        <f>InputData!$C$88*11/40</f>
        <v>49500</v>
      </c>
      <c r="BE9" s="32">
        <f t="shared" ref="BE9:BE10" si="129">BE8+BD9</f>
        <v>130500</v>
      </c>
      <c r="BF9" s="32">
        <f>(BE9)*InputData!$C$6</f>
        <v>8104.05</v>
      </c>
      <c r="BG9" s="32">
        <v>0</v>
      </c>
      <c r="BH9" s="32">
        <f>BH8+BD9+BF9-BG9</f>
        <v>146149.20000000001</v>
      </c>
      <c r="BI9" s="32">
        <f>BG9/((1+InputData!$C$3)^(IntMed!$B9-IntMed!$B$7))</f>
        <v>0</v>
      </c>
      <c r="BJ9" s="32">
        <f>IF(BA9-InputData!$C$158-InputData!$C$159&gt;=0,BA9-InputData!$C$158-InputData!$C$159,0)</f>
        <v>0</v>
      </c>
      <c r="BK9" s="32">
        <f>IF(BA9-IF(BA9&lt;=InputData!$C$146,InputData!$C$145,0)-MAX(InputData!$C$144,BQ9)&gt;=0,BA9-IF(BA9&lt;=InputData!$C$146,InputData!$C$145,0)-MAX(InputData!$C$144,BQ9),0)</f>
        <v>0</v>
      </c>
      <c r="BL9" s="32">
        <f>IF(BK9&lt;0,"Error",IF(BK9&lt;=InputData!$B$170,InputData!$C$170*BK9,IF(BK9&lt;=InputData!$B$171,InputData!$D$170+InputData!$C$171*(BK9-InputData!$B$170),IF(BK9&lt;=InputData!$B$172,InputData!$D$171+InputData!$C$172*(BK9-InputData!$B$171),IF(BK9&lt;=InputData!$B$173,InputData!$D$172+InputData!$C$173*(BK9-InputData!$B$172),IF(BK9&lt;=InputData!$B$174,InputData!$D$173+InputData!$C$174*(BK9-InputData!$B$173),IF(BK9&lt;=InputData!$B$175,InputData!$D$174+InputData!$C$175*(BK9-InputData!$B$174),InputData!$D$175+InputData!$C$176*(BK9-InputData!$B$175))))))))</f>
        <v>0</v>
      </c>
      <c r="BM9" s="32">
        <f>IF(BA9&lt;=InputData!$C$150,InputData!$C$152,IF(BA9&lt;InputData!$C$151,IF(InputData!$C$152-0.25*IF(BA9-InputData!$C$150&lt;=0,0,BA9-InputData!$C$150)&lt;=0,0,InputData!$C$152-0.25*IF(BA9-InputData!$C$150&lt;=0,0,BA9-InputData!$C$150)),0))</f>
        <v>51900</v>
      </c>
      <c r="BN9" s="32">
        <f>IF(BA9-BM9&lt;=0,0,IF(BA9-BM9&lt;=InputData!$C$153,InputData!$C$154*(BA9-BM9),InputData!$C$155*(BA9-BM9)-InputData!$D$154))</f>
        <v>0</v>
      </c>
      <c r="BO9" s="32">
        <f t="shared" si="51"/>
        <v>0</v>
      </c>
      <c r="BP9" s="32">
        <f>IF(BA9&gt;=0,IF(BA9&lt;=InputData!$C$148,InputData!$C$147*BA9,InputData!$C$147*InputData!$C$148)+InputData!$C$149*BA9,0)</f>
        <v>0</v>
      </c>
      <c r="BQ9" s="32">
        <f>IF(BJ9&lt;0,0,IF(BJ9&lt;=InputData!$B$163,InputData!$C$163*BJ9,IF(BJ9&lt;=InputData!$B$164,InputData!$D$163+InputData!$C$164*(BJ9-InputData!$B$163),IF(BJ9&lt;=InputData!$B$165,InputData!$D$164+InputData!$C$165*(BJ9-InputData!$B$164),InputData!$D$165+InputData!$C$166*(BJ9-InputData!$B$165)))))</f>
        <v>0</v>
      </c>
      <c r="BR9" s="43">
        <f t="shared" si="52"/>
        <v>0</v>
      </c>
      <c r="BS9" s="32">
        <f t="shared" si="53"/>
        <v>-55367.214532871978</v>
      </c>
      <c r="BT9" s="32">
        <f t="shared" si="54"/>
        <v>-55367.214532871978</v>
      </c>
      <c r="BU9" s="32">
        <f>BT9/((1+InputData!$C$7)^(IntMed!$B9-IntMed!$B$7))</f>
        <v>-52188.909918816084</v>
      </c>
      <c r="BV9" s="5">
        <f t="shared" ref="BV9:BV36" si="130">BV8+BU9</f>
        <v>-138541.19578403595</v>
      </c>
      <c r="BW9" s="5"/>
      <c r="BX9" s="32" t="s">
        <v>143</v>
      </c>
      <c r="BY9" s="5">
        <f t="shared" si="55"/>
        <v>130500</v>
      </c>
      <c r="BZ9" s="5">
        <f t="shared" si="56"/>
        <v>8104.05</v>
      </c>
      <c r="CA9" s="5">
        <v>0</v>
      </c>
      <c r="CB9" s="5">
        <f t="shared" si="57"/>
        <v>146149.20000000001</v>
      </c>
      <c r="CC9" s="32">
        <f>CA9/((1+InputData!$C$3)^(IntMed!$B9-IntMed!$B$7))</f>
        <v>0</v>
      </c>
      <c r="CD9" s="5">
        <f t="shared" si="58"/>
        <v>-55367.214532871978</v>
      </c>
      <c r="CE9" s="32">
        <f>CD9/((1+InputData!$C$7)^(IntMed!$B9-IntMed!$B$7))</f>
        <v>-52188.909918816084</v>
      </c>
      <c r="CF9" s="5">
        <f t="shared" ref="CF9:CF36" si="131">CF8+CE9</f>
        <v>-138541.19578403595</v>
      </c>
      <c r="CG9" s="5"/>
      <c r="CH9" s="32" t="s">
        <v>143</v>
      </c>
      <c r="CI9" s="5">
        <f t="shared" si="59"/>
        <v>130500</v>
      </c>
      <c r="CJ9" s="5">
        <f t="shared" si="60"/>
        <v>8104.05</v>
      </c>
      <c r="CK9" s="5">
        <v>0</v>
      </c>
      <c r="CL9" s="5">
        <f t="shared" si="61"/>
        <v>146149.20000000001</v>
      </c>
      <c r="CM9" s="32">
        <f>CK9/((1+InputData!$C$3)^(IntMed!$B9-IntMed!$B$7))</f>
        <v>0</v>
      </c>
      <c r="CN9" s="5">
        <f t="shared" si="62"/>
        <v>-55367.214532871978</v>
      </c>
      <c r="CO9" s="32">
        <f>CN9/((1+InputData!$C$7)^(IntMed!$B9-IntMed!$B$7))</f>
        <v>-52188.909918816084</v>
      </c>
      <c r="CP9" s="5">
        <f t="shared" ref="CP9:CP36" si="132">CP8+CO9</f>
        <v>-138541.19578403595</v>
      </c>
      <c r="CQ9" s="5"/>
      <c r="CR9" s="32" t="s">
        <v>143</v>
      </c>
      <c r="CS9" s="5">
        <f t="shared" si="63"/>
        <v>130500</v>
      </c>
      <c r="CT9" s="5">
        <f t="shared" si="64"/>
        <v>8104.05</v>
      </c>
      <c r="CU9" s="5">
        <v>0</v>
      </c>
      <c r="CV9" s="5">
        <f t="shared" si="65"/>
        <v>146149.20000000001</v>
      </c>
      <c r="CW9" s="32">
        <f>CU9/((1+InputData!$C$3)^(IntMed!$B9-IntMed!$B$7))</f>
        <v>0</v>
      </c>
      <c r="CX9" s="5">
        <f t="shared" si="66"/>
        <v>-55367.214532871978</v>
      </c>
      <c r="CY9" s="32">
        <f>CX9/((1+InputData!$C$7)^(IntMed!$B9-IntMed!$B$7))</f>
        <v>-52188.909918816084</v>
      </c>
      <c r="CZ9" s="5">
        <f t="shared" ref="CZ9:CZ36" si="133">CZ8+CY9</f>
        <v>-138541.19578403595</v>
      </c>
      <c r="DA9" s="5"/>
      <c r="DB9" s="32" t="s">
        <v>143</v>
      </c>
      <c r="DC9" s="5">
        <f t="shared" si="67"/>
        <v>130500</v>
      </c>
      <c r="DD9" s="5">
        <f t="shared" si="68"/>
        <v>8104.05</v>
      </c>
      <c r="DE9" s="5">
        <v>0</v>
      </c>
      <c r="DF9" s="5">
        <f t="shared" si="69"/>
        <v>146149.20000000001</v>
      </c>
      <c r="DG9" s="32">
        <f>DE9/((1+InputData!$C$3)^(IntMed!$B9-IntMed!$B$7))</f>
        <v>0</v>
      </c>
      <c r="DH9" s="5">
        <f t="shared" si="70"/>
        <v>-55367.214532871978</v>
      </c>
      <c r="DI9" s="32">
        <f>DH9/((1+InputData!$C$7)^(IntMed!$B9-IntMed!$B$7))</f>
        <v>-52188.909918816084</v>
      </c>
      <c r="DJ9" s="5">
        <f t="shared" ref="DJ9:DJ36" si="134">DJ8+DI9</f>
        <v>-138541.19578403595</v>
      </c>
      <c r="DK9" s="5"/>
      <c r="DL9" s="32" t="s">
        <v>143</v>
      </c>
      <c r="DM9" s="5">
        <f t="shared" si="71"/>
        <v>130500</v>
      </c>
      <c r="DN9" s="5">
        <f t="shared" si="72"/>
        <v>8104.05</v>
      </c>
      <c r="DO9" s="5">
        <f t="shared" ref="DO9:DO10" si="135">DO8+DN9-DP9</f>
        <v>15649.2</v>
      </c>
      <c r="DP9" s="5">
        <v>0</v>
      </c>
      <c r="DQ9" s="5">
        <f t="shared" si="73"/>
        <v>146149.20000000001</v>
      </c>
      <c r="DR9" s="32">
        <f>DP9/((1+InputData!$C$3)^(IntMed!$B9-IntMed!$B$7))</f>
        <v>0</v>
      </c>
      <c r="DS9" s="5">
        <f t="shared" si="74"/>
        <v>-55367.214532871978</v>
      </c>
      <c r="DT9" s="32">
        <f>DS9/((1+InputData!$C$7)^(IntMed!$B9-IntMed!$B$7))</f>
        <v>-52188.909918816084</v>
      </c>
      <c r="DU9" s="5">
        <f t="shared" ref="DU9:DU36" si="136">DU8+DT9</f>
        <v>-138541.19578403595</v>
      </c>
      <c r="DV9" s="5"/>
      <c r="DW9" s="32" t="s">
        <v>143</v>
      </c>
      <c r="DX9" s="5">
        <f t="shared" si="75"/>
        <v>130500</v>
      </c>
      <c r="DY9" s="5">
        <f t="shared" si="76"/>
        <v>8104.05</v>
      </c>
      <c r="DZ9" s="5">
        <f t="shared" ref="DZ9:DZ10" si="137">DZ8+DY9</f>
        <v>15649.2</v>
      </c>
      <c r="EA9" s="5">
        <v>0</v>
      </c>
      <c r="EB9" s="5">
        <f t="shared" si="77"/>
        <v>146149.20000000001</v>
      </c>
      <c r="EC9" s="32">
        <f>EA9/((1+InputData!$C$3)^(IntMed!$B9-IntMed!$B$7))</f>
        <v>0</v>
      </c>
      <c r="ED9" s="5">
        <f t="shared" si="78"/>
        <v>-55367.214532871978</v>
      </c>
      <c r="EE9" s="32">
        <f>ED9/((1+InputData!$C$7)^(IntMed!$B9-IntMed!$B$7))</f>
        <v>-52188.909918816084</v>
      </c>
      <c r="EF9" s="5">
        <f t="shared" ref="EF9:EF36" si="138">EF8+EE9</f>
        <v>-138541.19578403595</v>
      </c>
      <c r="EG9" s="32"/>
      <c r="EH9" s="130" t="s">
        <v>143</v>
      </c>
      <c r="EI9" s="32">
        <f>EI8*(1+InputData!$C$10)</f>
        <v>46818</v>
      </c>
      <c r="EJ9" s="32">
        <f t="shared" ref="EJ9:EJ10" si="139">EJ8+EI9</f>
        <v>137718</v>
      </c>
      <c r="EK9" s="32">
        <f>(EJ9)*InputData!$C$6</f>
        <v>8552.2878000000001</v>
      </c>
      <c r="EL9" s="32">
        <f>EL8+EI9+EK9</f>
        <v>154709.6778</v>
      </c>
      <c r="EM9" s="32">
        <f>EM8*(1+InputData!$C$8)</f>
        <v>11954.196000000002</v>
      </c>
      <c r="EN9" s="32">
        <v>0</v>
      </c>
      <c r="EO9" s="32">
        <f>AW9/((1+InputData!$C$3)^(IntMed!$B9-IntMed!$B$7))</f>
        <v>0</v>
      </c>
      <c r="EP9" s="32">
        <f>AX9/((1+InputData!$C$3)^(IntMed!$B9-IntMed!$B$7))</f>
        <v>-55367.214532871978</v>
      </c>
      <c r="EQ9" s="32">
        <v>0</v>
      </c>
      <c r="ER9" s="32">
        <v>0</v>
      </c>
      <c r="ES9" s="32">
        <v>0</v>
      </c>
      <c r="ET9" s="32"/>
      <c r="EU9" s="32">
        <f t="shared" si="79"/>
        <v>-55367.214532871978</v>
      </c>
      <c r="EV9" s="32">
        <f>EN9/((1+InputData!$C$3)^(IntMed!$B9-IntMed!$B$7))</f>
        <v>0</v>
      </c>
      <c r="EW9" s="32">
        <f t="shared" si="80"/>
        <v>-55367.214532871978</v>
      </c>
      <c r="EX9" s="32">
        <f>EW9/((1+InputData!$C$7)^(IntMed!$B9-IntMed!$B$7))</f>
        <v>-52188.909918816084</v>
      </c>
      <c r="EY9" s="5">
        <f>EY8+EX9</f>
        <v>-138541.19578403595</v>
      </c>
      <c r="EZ9" s="79"/>
      <c r="FA9" s="32">
        <f t="shared" si="81"/>
        <v>137718</v>
      </c>
      <c r="FB9" s="32">
        <f t="shared" si="82"/>
        <v>8552.2878000000001</v>
      </c>
      <c r="FC9" s="32">
        <f t="shared" si="83"/>
        <v>154709.6778</v>
      </c>
      <c r="FD9" s="32">
        <v>0</v>
      </c>
      <c r="FE9" s="32">
        <f>FD9/((1+InputData!$C$3)^(IntMed!$B9-IntMed!$B$7))</f>
        <v>0</v>
      </c>
      <c r="FF9" s="5">
        <f t="shared" si="84"/>
        <v>-55367.214532871978</v>
      </c>
      <c r="FG9" s="32">
        <f>FF9/((1+InputData!$C$7)^(IntMed!$B9-IntMed!$B$7))</f>
        <v>-52188.909918816084</v>
      </c>
      <c r="FH9" s="5">
        <f t="shared" ref="FH9:FH36" si="140">FH8+FG9</f>
        <v>-138541.19578403595</v>
      </c>
      <c r="FI9" s="79"/>
      <c r="FJ9" s="32">
        <f t="shared" si="85"/>
        <v>137718</v>
      </c>
      <c r="FK9" s="32">
        <f t="shared" si="86"/>
        <v>8552.2878000000001</v>
      </c>
      <c r="FL9" s="32">
        <f t="shared" si="87"/>
        <v>154709.6778</v>
      </c>
      <c r="FM9" s="32">
        <v>0</v>
      </c>
      <c r="FN9" s="32">
        <f>FM9/((1+InputData!$C$3)^(IntMed!$B9-IntMed!$B$7))</f>
        <v>0</v>
      </c>
      <c r="FO9" s="5">
        <f t="shared" si="88"/>
        <v>-55367.214532871978</v>
      </c>
      <c r="FP9" s="32">
        <f>FO9/((1+InputData!$C$7)^(IntMed!$B9-IntMed!$B$7))</f>
        <v>-52188.909918816084</v>
      </c>
      <c r="FQ9" s="5">
        <f t="shared" ref="FQ9:FQ36" si="141">FQ8+FP9</f>
        <v>-138541.19578403595</v>
      </c>
      <c r="FR9" s="79"/>
      <c r="FS9" s="32">
        <f t="shared" si="89"/>
        <v>137718</v>
      </c>
      <c r="FT9" s="32">
        <f t="shared" si="90"/>
        <v>8552.2878000000001</v>
      </c>
      <c r="FU9" s="32">
        <f t="shared" si="91"/>
        <v>154709.6778</v>
      </c>
      <c r="FV9" s="32">
        <v>0</v>
      </c>
      <c r="FW9" s="32">
        <f>FV9/((1+InputData!$C$3)^(IntMed!$B9-IntMed!$B$7))</f>
        <v>0</v>
      </c>
      <c r="FX9" s="5">
        <f t="shared" si="92"/>
        <v>-55367.214532871978</v>
      </c>
      <c r="FY9" s="32">
        <f>FX9/((1+InputData!$C$7)^(IntMed!$B9-IntMed!$B$7))</f>
        <v>-52188.909918816084</v>
      </c>
      <c r="FZ9" s="5">
        <f t="shared" ref="FZ9:FZ36" si="142">FZ8+FY9</f>
        <v>-138541.19578403595</v>
      </c>
      <c r="GC9" s="3">
        <f t="shared" si="3"/>
        <v>0</v>
      </c>
      <c r="GD9" s="4" t="str">
        <f t="shared" si="4"/>
        <v>Med School (O1&gt; 2 yrs)</v>
      </c>
      <c r="GE9" s="4"/>
      <c r="GF9" s="4"/>
      <c r="GG9" s="4"/>
      <c r="GH9" s="4"/>
      <c r="GI9" s="5">
        <f t="shared" si="5"/>
        <v>35928</v>
      </c>
      <c r="GJ9" s="5">
        <f t="shared" si="6"/>
        <v>25411.199999999997</v>
      </c>
      <c r="GK9" s="5">
        <f t="shared" si="7"/>
        <v>61339.199999999997</v>
      </c>
      <c r="GL9" s="5">
        <f t="shared" si="8"/>
        <v>35226.98269896194</v>
      </c>
      <c r="GM9" s="5">
        <f t="shared" si="9"/>
        <v>24915.383621683966</v>
      </c>
      <c r="GN9" s="32">
        <f>IF(GL9-InputData!$C$158-InputData!$C$159&gt;=0,GL9-InputData!$C$158-InputData!$C$159,0)</f>
        <v>35226.98269896194</v>
      </c>
      <c r="GO9" s="32">
        <f>IF(GL9-IF(GL9&lt;=InputData!$C$146,InputData!$C$145,0)-MAX(InputData!$C$144,GU9)&gt;=0,GL9-IF(GL9&lt;=InputData!$C$146,InputData!$C$145,0)-MAX(InputData!$C$144,GU9),0)</f>
        <v>25226.98269896194</v>
      </c>
      <c r="GP9" s="32">
        <f>IF(GO9&lt;0,"Error",IF(GO9&lt;=InputData!$B$170,InputData!$C$170*GO9,IF(GO9&lt;=InputData!$B$171,InputData!$D$170+InputData!$C$171*(GO9-InputData!$B$170),IF(GO9&lt;=InputData!$B$172,InputData!$D$171+InputData!$C$172*(GO9-InputData!$B$171),IF(GO9&lt;=InputData!$B$173,InputData!$D$172+InputData!$C$173*(GO9-InputData!$B$172),IF(GO9&lt;=InputData!$B$174,InputData!$D$173+InputData!$C$174*(GO9-InputData!$B$173),IF(GO9&lt;=InputData!$B$175,InputData!$D$174+InputData!$C$175*(GO9-InputData!$B$174),InputData!$D$175+InputData!$C$176*(GO9-InputData!$B$175))))))))</f>
        <v>3337.7974048442907</v>
      </c>
      <c r="GQ9" s="32">
        <f>IF(GL9&lt;=InputData!$C$150,InputData!$C$152,IF(GL9&lt;InputData!$C$151,IF(InputData!$C$152-0.25*IF(GL9-InputData!$C$150&lt;=0,0,GL9-InputData!$C$150)&lt;=0,0,InputData!$C$152-0.25*IF(GL9-InputData!$C$150&lt;=0,0,GL9-InputData!$C$150)),0))</f>
        <v>51900</v>
      </c>
      <c r="GR9" s="32">
        <f>IF(GL9-GQ9&lt;=0,0,IF(GL9-GQ9&lt;=InputData!$C$153,InputData!$C$154*(GL9-GQ9),InputData!$C$155*(GL9-GQ9)-InputData!$D$154))</f>
        <v>0</v>
      </c>
      <c r="GS9" s="32">
        <f t="shared" si="93"/>
        <v>3337.7974048442907</v>
      </c>
      <c r="GT9" s="32">
        <f>IF(GL9&gt;=0,IF(GL9&lt;=InputData!$C$148,InputData!$C$147*GL9,InputData!$C$147*InputData!$C$148)+InputData!$C$149*GL9,0)</f>
        <v>2694.8641764705881</v>
      </c>
      <c r="GU9" s="32">
        <f>IF(GN9&lt;0,0,IF(GN9&lt;=InputData!$B$163,InputData!$C$163*GN9,IF(GN9&lt;=InputData!$B$164,InputData!$D$163+InputData!$C$164*(GN9-InputData!$B$163),IF(GN9&lt;=InputData!$B$165,InputData!$D$164+InputData!$C$165*(GN9-InputData!$B$164),InputData!$D$165+InputData!$C$166*(GN9-InputData!$B$165)))))</f>
        <v>0</v>
      </c>
      <c r="GV9" s="43">
        <f t="shared" si="10"/>
        <v>0.17125115803609961</v>
      </c>
      <c r="GW9" s="43">
        <f t="shared" si="11"/>
        <v>0.10030635557556974</v>
      </c>
      <c r="GX9" s="5">
        <f t="shared" si="12"/>
        <v>54109.70473933102</v>
      </c>
      <c r="GY9" s="32">
        <f>GX9/((1+InputData!$C$7)^(IntMed!$B9-IntMed!$B$7))</f>
        <v>51003.586331728744</v>
      </c>
      <c r="GZ9" s="32">
        <f t="shared" si="94"/>
        <v>157045.52189700573</v>
      </c>
      <c r="HB9" s="3">
        <f t="shared" si="13"/>
        <v>0</v>
      </c>
      <c r="HC9" s="4" t="str">
        <f t="shared" si="14"/>
        <v>Med School</v>
      </c>
      <c r="HD9" s="4"/>
      <c r="HE9" s="4"/>
      <c r="HF9" s="4"/>
      <c r="HG9" s="4"/>
      <c r="HH9" s="5">
        <f t="shared" si="15"/>
        <v>29481.190965092403</v>
      </c>
      <c r="HI9" s="5">
        <f t="shared" si="16"/>
        <v>0</v>
      </c>
      <c r="HJ9" s="5">
        <f t="shared" si="17"/>
        <v>29481.190965092403</v>
      </c>
      <c r="HK9" s="5">
        <f t="shared" si="18"/>
        <v>28905.962037188354</v>
      </c>
      <c r="HL9" s="5">
        <f t="shared" si="19"/>
        <v>0</v>
      </c>
      <c r="HM9" s="32">
        <f>IF(HK9-InputData!$C$158-InputData!$C$159&gt;=0,HK9-InputData!$C$158-InputData!$C$159,0)</f>
        <v>28905.962037188354</v>
      </c>
      <c r="HN9" s="32">
        <f>IF(HK9-IF(HK9&lt;=InputData!$C$146,InputData!$C$145,0)-MAX(InputData!$C$144,HT9)&gt;=0,HK9-IF(HK9&lt;=InputData!$C$146,InputData!$C$145,0)-MAX(InputData!$C$144,HT9),0)</f>
        <v>18905.962037188354</v>
      </c>
      <c r="HO9" s="32">
        <f>IF(HN9&lt;0,"Error",IF(HN9&lt;=InputData!$B$170,InputData!$C$170*HN9,IF(HN9&lt;=InputData!$B$171,InputData!$D$170+InputData!$C$171*(HN9-InputData!$B$170),IF(HN9&lt;=InputData!$B$172,InputData!$D$171+InputData!$C$172*(HN9-InputData!$B$171),IF(HN9&lt;=InputData!$B$173,InputData!$D$172+InputData!$C$173*(HN9-InputData!$B$172),IF(HN9&lt;=InputData!$B$174,InputData!$D$173+InputData!$C$174*(HN9-InputData!$B$173),IF(HN9&lt;=InputData!$B$175,InputData!$D$174+InputData!$C$175*(HN9-InputData!$B$174),InputData!$D$175+InputData!$C$176*(HN9-InputData!$B$175))))))))</f>
        <v>2389.6443055782529</v>
      </c>
      <c r="HP9" s="32">
        <f>IF(HK9&lt;=InputData!$C$150,InputData!$C$152,IF(HK9&lt;InputData!$C$151,IF(InputData!$C$152-0.25*IF(HK9-InputData!$C$150&lt;=0,0,HK9-InputData!$C$150)&lt;=0,0,InputData!$C$152-0.25*IF(HK9-InputData!$C$150&lt;=0,0,HK9-InputData!$C$150)),0))</f>
        <v>51900</v>
      </c>
      <c r="HQ9" s="32">
        <f>IF(HK9-HP9&lt;=0,0,IF(HK9-HP9&lt;=InputData!$C$153,InputData!$C$154*(HK9-HP9),InputData!$C$155*(HK9-HP9)-InputData!$D$154))</f>
        <v>0</v>
      </c>
      <c r="HR9" s="32">
        <f t="shared" si="95"/>
        <v>2389.6443055782529</v>
      </c>
      <c r="HS9" s="32">
        <v>0</v>
      </c>
      <c r="HT9" s="32">
        <f>IF(HM9&lt;0,0,IF(HM9&lt;=InputData!$B$163,InputData!$C$163*HM9,IF(HM9&lt;=InputData!$B$164,InputData!$D$163+InputData!$C$164*(HM9-InputData!$B$163),IF(HM9&lt;=InputData!$B$165,InputData!$D$164+InputData!$C$165*(HM9-InputData!$B$164),InputData!$D$165+InputData!$C$166*(HM9-InputData!$B$165)))))</f>
        <v>0</v>
      </c>
      <c r="HU9" s="43">
        <f t="shared" si="96"/>
        <v>8.2669599527734339E-2</v>
      </c>
      <c r="HV9" s="43">
        <f t="shared" si="97"/>
        <v>8.2669599527734339E-2</v>
      </c>
      <c r="HW9" s="5">
        <f t="shared" si="98"/>
        <v>26516.317731610099</v>
      </c>
      <c r="HX9" s="32">
        <f>HW9/((1+InputData!$C$7)^(IntMed!$B9-IntMed!$B$7))</f>
        <v>24994.172619106514</v>
      </c>
      <c r="HY9" s="32">
        <f t="shared" si="99"/>
        <v>94384.024082394724</v>
      </c>
      <c r="IA9" s="3">
        <f t="shared" si="20"/>
        <v>0</v>
      </c>
      <c r="IB9" s="4" t="str">
        <f t="shared" si="21"/>
        <v>Med School (O1&gt; 2 yrs)</v>
      </c>
      <c r="IC9" s="5">
        <f t="shared" si="22"/>
        <v>35928</v>
      </c>
      <c r="ID9" s="5">
        <f t="shared" si="23"/>
        <v>25411.199999999997</v>
      </c>
      <c r="IE9" s="5">
        <f t="shared" si="24"/>
        <v>61339.199999999997</v>
      </c>
      <c r="IF9" s="5">
        <f t="shared" si="25"/>
        <v>35226.98269896194</v>
      </c>
      <c r="IG9" s="5">
        <f t="shared" si="26"/>
        <v>24915.383621683966</v>
      </c>
      <c r="IH9" s="32">
        <f>IF(IF9-InputData!$C$158-InputData!$C$159&gt;=0,IF9-InputData!$C$158-InputData!$C$159,0)</f>
        <v>35226.98269896194</v>
      </c>
      <c r="II9" s="32">
        <f>IF(IF9-IF(IF9&lt;=InputData!$C$146,InputData!$C$145,0)-MAX(InputData!$C$144,IO9)&gt;=0,IF9-IF(IF9&lt;=InputData!$C$146,InputData!$C$145,0)-MAX(InputData!$C$144,IO9),0)</f>
        <v>25226.98269896194</v>
      </c>
      <c r="IJ9" s="32">
        <f>IF(II9&lt;0,"Error",IF(II9&lt;=InputData!$B$170,InputData!$C$170*II9,IF(II9&lt;=InputData!$B$171,InputData!$D$170+InputData!$C$171*(II9-InputData!$B$170),IF(II9&lt;=InputData!$B$172,InputData!$D$171+InputData!$C$172*(II9-InputData!$B$171),IF(II9&lt;=InputData!$B$173,InputData!$D$172+InputData!$C$173*(II9-InputData!$B$172),IF(II9&lt;=InputData!$B$174,InputData!$D$173+InputData!$C$174*(II9-InputData!$B$173),IF(II9&lt;=InputData!$B$175,InputData!$D$174+InputData!$C$175*(II9-InputData!$B$174),InputData!$D$175+InputData!$C$176*(II9-InputData!$B$175))))))))</f>
        <v>3337.7974048442907</v>
      </c>
      <c r="IK9" s="32">
        <f>IF(IF9&lt;=InputData!$C$150,InputData!$C$152,IF(IF9&lt;InputData!$C$151,IF(InputData!$C$152-0.25*IF(IF9-InputData!$C$150&lt;=0,0,IF9-InputData!$C$150)&lt;=0,0,InputData!$C$152-0.25*IF(IF9-InputData!$C$150&lt;=0,0,IF9-InputData!$C$150)),0))</f>
        <v>51900</v>
      </c>
      <c r="IL9" s="32">
        <f>IF(IF9-IK9&lt;=0,0,IF(IF9-IK9&lt;=InputData!$C$153,InputData!$C$154*(IF9-IK9),InputData!$C$155*(IF9-IK9)-InputData!$D$154))</f>
        <v>0</v>
      </c>
      <c r="IM9" s="32">
        <f t="shared" si="100"/>
        <v>3337.7974048442907</v>
      </c>
      <c r="IN9" s="32">
        <f>IF(IF9&gt;=0,IF(IF9&lt;=InputData!$C$148,InputData!$C$147*IF9,InputData!$C$147*InputData!$C$148)+InputData!$C$149*IF9,0)</f>
        <v>2694.8641764705881</v>
      </c>
      <c r="IO9" s="32">
        <f>IF(IH9&lt;0,0,IF(IH9&lt;=InputData!$B$163,InputData!$C$163*IH9,IF(IH9&lt;=InputData!$B$164,InputData!$D$163+InputData!$C$164*(IH9-InputData!$B$163),IF(IH9&lt;=InputData!$B$165,InputData!$D$164+InputData!$C$165*(IH9-InputData!$B$164),InputData!$D$165+InputData!$C$166*(IH9-InputData!$B$165)))))</f>
        <v>0</v>
      </c>
      <c r="IP9" s="43">
        <f t="shared" si="101"/>
        <v>0.17125115803609961</v>
      </c>
      <c r="IQ9" s="43">
        <f t="shared" si="102"/>
        <v>0.10030635557556974</v>
      </c>
      <c r="IR9" s="5">
        <f t="shared" si="27"/>
        <v>54109.70473933102</v>
      </c>
      <c r="IS9" s="32">
        <f>IR9/((1+InputData!$C$7)^(IntMed!$B9-IntMed!$B$7))</f>
        <v>51003.586331728744</v>
      </c>
      <c r="IT9" s="5">
        <f t="shared" si="103"/>
        <v>157045.52189700573</v>
      </c>
      <c r="IV9" s="41">
        <f t="shared" si="28"/>
        <v>0</v>
      </c>
      <c r="IW9" s="49" t="str">
        <f t="shared" si="29"/>
        <v>Med School</v>
      </c>
      <c r="IX9" s="32">
        <f t="shared" si="30"/>
        <v>29481.190965092403</v>
      </c>
      <c r="IY9" s="32">
        <f t="shared" si="31"/>
        <v>0</v>
      </c>
      <c r="IZ9" s="32">
        <f t="shared" si="32"/>
        <v>29481.190965092403</v>
      </c>
      <c r="JA9" s="32">
        <f t="shared" si="33"/>
        <v>28905.962037188354</v>
      </c>
      <c r="JB9" s="32">
        <f t="shared" si="34"/>
        <v>0</v>
      </c>
      <c r="JC9" s="32">
        <f>IF(JA9-InputData!$C$158-InputData!$C$159&gt;=0,JA9-InputData!$C$158-InputData!$C$159,0)</f>
        <v>28905.962037188354</v>
      </c>
      <c r="JD9" s="32">
        <f>IF(JA9-IF(JA9&lt;=InputData!$C$146,InputData!$C$145,0)-MAX(InputData!$C$144,JJ9)&gt;=0,JA9-IF(JA9&lt;=InputData!$C$146,InputData!$C$145,0)-MAX(InputData!$C$144,JJ9),0)</f>
        <v>18905.962037188354</v>
      </c>
      <c r="JE9" s="32">
        <f>IF(JD9&lt;0,"Error",IF(JD9&lt;=InputData!$B$170,InputData!$C$170*JD9,IF(JD9&lt;=InputData!$B$171,InputData!$D$170+InputData!$C$171*(JD9-InputData!$B$170),IF(JD9&lt;=InputData!$B$172,InputData!$D$171+InputData!$C$172*(JD9-InputData!$B$171),IF(JD9&lt;=InputData!$B$173,InputData!$D$172+InputData!$C$173*(JD9-InputData!$B$172),IF(JD9&lt;=InputData!$B$174,InputData!$D$173+InputData!$C$174*(JD9-InputData!$B$173),IF(JD9&lt;=InputData!$B$175,InputData!$D$174+InputData!$C$175*(JD9-InputData!$B$174),InputData!$D$175+InputData!$C$176*(JD9-InputData!$B$175))))))))</f>
        <v>2389.6443055782529</v>
      </c>
      <c r="JF9" s="32">
        <f>IF(JA9&lt;=InputData!$C$150,InputData!$C$152,IF(JA9&lt;InputData!$C$151,IF(InputData!$C$152-0.25*IF(JA9-InputData!$C$150&lt;=0,0,JA9-InputData!$C$150)&lt;=0,0,InputData!$C$152-0.25*IF(JA9-InputData!$C$150&lt;=0,0,JA9-InputData!$C$150)),0))</f>
        <v>51900</v>
      </c>
      <c r="JG9" s="32">
        <f>IF(JA9-JF9&lt;=0,0,IF(JA9-JF9&lt;=InputData!$C$153,InputData!$C$154*(JA9-JF9),InputData!$C$155*(JA9-JF9)-InputData!$D$154))</f>
        <v>0</v>
      </c>
      <c r="JH9" s="32">
        <f t="shared" si="104"/>
        <v>2389.6443055782529</v>
      </c>
      <c r="JI9" s="32">
        <v>0</v>
      </c>
      <c r="JJ9" s="32">
        <f>IF(JC9&lt;0,0,IF(JC9&lt;=InputData!$B$163,InputData!$C$163*JC9,IF(JC9&lt;=InputData!$B$164,InputData!$D$163+InputData!$C$164*(JC9-InputData!$B$163),IF(JC9&lt;=InputData!$B$165,InputData!$D$164+InputData!$C$165*(JC9-InputData!$B$164),InputData!$D$165+InputData!$C$166*(JC9-InputData!$B$165)))))</f>
        <v>0</v>
      </c>
      <c r="JK9" s="42">
        <f t="shared" si="105"/>
        <v>8.2669599527734339E-2</v>
      </c>
      <c r="JL9" s="42">
        <f t="shared" si="106"/>
        <v>8.2669599527734339E-2</v>
      </c>
      <c r="JM9" s="32">
        <f t="shared" si="35"/>
        <v>26516.317731610099</v>
      </c>
      <c r="JN9" s="32">
        <f>JM9/((1+InputData!$C$7)^(IntMed!$B9-IntMed!$B$7))</f>
        <v>24994.172619106514</v>
      </c>
      <c r="JO9" s="32">
        <f t="shared" si="107"/>
        <v>94384.024082394724</v>
      </c>
      <c r="JQ9" s="41" t="s">
        <v>0</v>
      </c>
      <c r="JR9" s="32">
        <f>InputData!$C$112*12</f>
        <v>15468</v>
      </c>
      <c r="JS9" s="32">
        <v>0</v>
      </c>
      <c r="JT9" s="32">
        <f t="shared" si="108"/>
        <v>15468</v>
      </c>
      <c r="JU9" s="5">
        <f>JR9*(1/(1+InputData!$C$3))^(IntMed!$B9-IntMed!$B$7)</f>
        <v>14867.358708189156</v>
      </c>
      <c r="JV9" s="5">
        <f>JS9*(1/(1+InputData!$C$3))^(IntMed!$B9-IntMed!$B$7)</f>
        <v>0</v>
      </c>
      <c r="JW9" s="32">
        <f>IF(JU9-InputData!$C$158-InputData!$C$159&gt;=0,JU9-InputData!$C$158-InputData!$C$159,0)</f>
        <v>14867.358708189156</v>
      </c>
      <c r="JX9" s="32">
        <f>IF(JU9-IF(JU9&lt;=InputData!$C$146,InputData!$C$145,0)-MAX(InputData!$C$144,KD9)&gt;=0,JU9-IF(JU9&lt;=InputData!$C$146,InputData!$C$145,0)-MAX(InputData!$C$144,KD9),0)</f>
        <v>4867.3587081891565</v>
      </c>
      <c r="JY9" s="32">
        <f>IF(JX9&lt;0,"Error",IF(JX9&lt;=InputData!$B$170,InputData!$C$170*JX9,IF(JX9&lt;=InputData!$B$171,InputData!$D$170+InputData!$C$171*(JX9-InputData!$B$170),IF(JX9&lt;=InputData!$B$172,InputData!$D$171+InputData!$C$172*(JX9-InputData!$B$171),IF(JX9&lt;=InputData!$B$173,InputData!$D$172+InputData!$C$173*(JX9-InputData!$B$172),IF(JX9&lt;=InputData!$B$174,InputData!$D$173+InputData!$C$174*(JX9-InputData!$B$173),IF(JX9&lt;=InputData!$B$175,InputData!$D$174+InputData!$C$175*(JX9-InputData!$B$174),InputData!$D$175+InputData!$C$176*(JX9-InputData!$B$175))))))))</f>
        <v>486.73587081891566</v>
      </c>
      <c r="JZ9" s="32">
        <f>IF(JU9&lt;=InputData!$C$150,InputData!$C$152,IF(JU9&lt;InputData!$C$151,IF(InputData!$C$152-0.25*IF(JU9-InputData!$C$150&lt;=0,0,JU9-InputData!$C$150)&lt;=0,0,InputData!$C$152-0.25*IF(JU9-InputData!$C$150&lt;=0,0,JU9-InputData!$C$150)),0))</f>
        <v>51900</v>
      </c>
      <c r="KA9" s="32">
        <f>IF(JU9-JZ9&lt;=0,0,IF(JU9-JZ9&lt;=InputData!$C$153,InputData!$C$154*(JU9-JZ9),InputData!$C$155*(JU9-JZ9)-InputData!$D$154))</f>
        <v>0</v>
      </c>
      <c r="KB9" s="32">
        <f t="shared" si="109"/>
        <v>486.73587081891566</v>
      </c>
      <c r="KC9" s="32">
        <f>IF(JU9&gt;=0,IF(JU9&lt;=InputData!$C$148,InputData!$C$147*JU9,InputData!$C$147*InputData!$C$148)+InputData!$C$149*JU9,0)</f>
        <v>1137.3529411764705</v>
      </c>
      <c r="KD9" s="32">
        <f>IF(JW9&lt;0,0,IF(JW9&lt;=InputData!$B$163,InputData!$C$163*JW9,IF(JW9&lt;=InputData!$B$164,InputData!$D$163+InputData!$C$164*(JW9-InputData!$B$163),IF(JW9&lt;=InputData!$B$165,InputData!$D$164+InputData!$C$165*(JW9-InputData!$B$164),InputData!$D$165+InputData!$C$166*(JW9-InputData!$B$165)))))</f>
        <v>0</v>
      </c>
      <c r="KE9" s="43">
        <f t="shared" si="110"/>
        <v>0.10923855702094647</v>
      </c>
      <c r="KF9" s="43">
        <f t="shared" si="111"/>
        <v>0.10923855702094647</v>
      </c>
      <c r="KG9" s="5">
        <f t="shared" si="112"/>
        <v>13243.269896193771</v>
      </c>
      <c r="KH9" s="32">
        <f>KG9/((1+InputData!$C$7)^(IntMed!$B9-IntMed!$B$7))</f>
        <v>12483.05202770645</v>
      </c>
      <c r="KI9" s="5">
        <f t="shared" ref="KI9:KI36" si="143">KI8+KH9</f>
        <v>39316.22701228669</v>
      </c>
      <c r="KK9" s="7"/>
      <c r="KM9">
        <v>24</v>
      </c>
      <c r="KN9" s="41" t="s">
        <v>0</v>
      </c>
      <c r="KO9" s="32">
        <v>0</v>
      </c>
      <c r="KP9" s="32">
        <f t="shared" si="113"/>
        <v>-57604.05</v>
      </c>
      <c r="KQ9" s="32">
        <f t="shared" si="114"/>
        <v>-57604.05</v>
      </c>
      <c r="KR9" s="32">
        <f>KR8*(1+InputData!$C$8)</f>
        <v>11954.196000000002</v>
      </c>
      <c r="KS9" s="5">
        <f>KO9*(1/(1+InputData!$C$3))^(IntMed!$B9-IntMed!$B$7)</f>
        <v>0</v>
      </c>
      <c r="KT9" s="5">
        <f>KP9*(1/(1+InputData!$C$3))^(IntMed!$B9-IntMed!$B$7)</f>
        <v>-55367.214532871971</v>
      </c>
      <c r="KU9" s="32" t="s">
        <v>143</v>
      </c>
      <c r="KV9" s="118">
        <f>InputData!$C$88*11/40</f>
        <v>49500</v>
      </c>
      <c r="KW9" s="5">
        <f t="shared" si="115"/>
        <v>130500</v>
      </c>
      <c r="KX9" s="5">
        <f t="shared" si="116"/>
        <v>8104.05</v>
      </c>
      <c r="KY9" s="5">
        <f t="shared" ref="KY9:KY10" si="144">KY8+KX9</f>
        <v>15649.2</v>
      </c>
      <c r="KZ9" s="5">
        <v>0</v>
      </c>
      <c r="LA9" s="5">
        <f t="shared" si="117"/>
        <v>146149.20000000001</v>
      </c>
      <c r="LB9" s="32">
        <f>KZ9/((1+InputData!$C$3)^(IntMed!$B9-IntMed!$B$7))</f>
        <v>0</v>
      </c>
      <c r="LC9" s="32">
        <f>IF(KS9-InputData!$C$158-InputData!$C$159&gt;=0,KS9-InputData!$C$158-InputData!$C$159,0)</f>
        <v>0</v>
      </c>
      <c r="LD9" s="32">
        <f>IF(KS9-IF(KS9&lt;=InputData!$C$146,InputData!$C$145,0)-MAX(InputData!$C$144,LJ9)&gt;=0,KS9-IF(KS9&lt;=InputData!$C$146,InputData!$C$145,0)-MAX(InputData!$C$144,LJ9),0)</f>
        <v>0</v>
      </c>
      <c r="LE9" s="32">
        <f>IF(LD9&lt;0,"Error",IF(LD9&lt;=InputData!$B$170,InputData!$C$170*LD9,IF(LD9&lt;=InputData!$B$171,InputData!$D$170+InputData!$C$171*(LD9-InputData!$B$170),IF(LD9&lt;=InputData!$B$172,InputData!$D$171+InputData!$C$172*(LD9-InputData!$B$171),IF(LD9&lt;=InputData!$B$173,InputData!$D$172+InputData!$C$173*(LD9-InputData!$B$172),IF(LD9&lt;=InputData!$B$174,InputData!$D$173+InputData!$C$174*(LD9-InputData!$B$173),IF(LD9&lt;=InputData!$B$175,InputData!$D$174+InputData!$C$175*(LD9-InputData!$B$174),InputData!$D$175+InputData!$C$176*(LD9-InputData!$B$175))))))))</f>
        <v>0</v>
      </c>
      <c r="LF9" s="32">
        <f>IF(KS9&lt;=InputData!$C$150,InputData!$C$152,IF(KS9&lt;InputData!$C$151,IF(InputData!$C$152-0.25*IF(KS9-InputData!$C$150&lt;=0,0,KS9-InputData!$C$150)&lt;=0,0,InputData!$C$152-0.25*IF(KS9-InputData!$C$150&lt;=0,0,KS9-InputData!$C$150)),0))</f>
        <v>51900</v>
      </c>
      <c r="LG9" s="32">
        <f>IF(KS9-LF9&lt;=0,0,IF(KS9-LF9&lt;=InputData!$C$153,InputData!$C$154*(KS9-LF9),InputData!$C$155*(KS9-LF9)-InputData!$D$154))</f>
        <v>0</v>
      </c>
      <c r="LH9" s="32">
        <f t="shared" si="118"/>
        <v>0</v>
      </c>
      <c r="LI9" s="32">
        <f>IF(KS9&gt;=0,IF(KS9&lt;=InputData!$C$148,InputData!$C$147*KS9,InputData!$C$147*InputData!$C$148)+InputData!$C$149*KS9,0)</f>
        <v>0</v>
      </c>
      <c r="LJ9" s="32">
        <f>IF(LC9&lt;0,0,IF(LC9&lt;=InputData!$B$163,InputData!$C$163*LC9,IF(LC9&lt;=InputData!$B$164,InputData!$D$163+InputData!$C$164*(LC9-InputData!$B$163),IF(LC9&lt;=InputData!$B$165,InputData!$D$164+InputData!$C$165*(LC9-InputData!$B$164),InputData!$D$165+InputData!$C$166*(LC9-InputData!$B$165)))))</f>
        <v>0</v>
      </c>
      <c r="LK9" s="43">
        <f t="shared" si="36"/>
        <v>0</v>
      </c>
      <c r="LL9" s="32">
        <f t="shared" si="119"/>
        <v>-55367.214532871971</v>
      </c>
      <c r="LM9" s="5">
        <f t="shared" si="120"/>
        <v>-55367.214532871971</v>
      </c>
      <c r="LN9" s="32">
        <f>LM9/((1+InputData!$C$7)^(IntMed!$B9-IntMed!$B$7))</f>
        <v>-52188.909918816076</v>
      </c>
      <c r="LO9" s="5">
        <f t="shared" ref="LO9:LO36" si="145">LO8+LN9</f>
        <v>-138541.19578403595</v>
      </c>
      <c r="LQ9" s="157" t="str">
        <f t="shared" si="37"/>
        <v>Med School</v>
      </c>
      <c r="LR9" s="32">
        <f t="shared" si="121"/>
        <v>0</v>
      </c>
      <c r="LS9" s="32">
        <f t="shared" si="122"/>
        <v>0</v>
      </c>
      <c r="LT9" s="32">
        <f t="shared" si="123"/>
        <v>0</v>
      </c>
      <c r="LU9" s="32">
        <f>LU8*(1+InputData!$C$8)</f>
        <v>11954.196000000002</v>
      </c>
      <c r="LV9" s="32">
        <f>LR9/((1+InputData!$C$3)^(IntMed!$B9-IntMed!$B$7))</f>
        <v>0</v>
      </c>
      <c r="LW9" s="32">
        <f>LS9/((1+InputData!$C$3)^(IntMed!$B9-IntMed!$B$7))</f>
        <v>0</v>
      </c>
      <c r="LX9" s="32" t="s">
        <v>143</v>
      </c>
      <c r="LY9" s="118">
        <v>0</v>
      </c>
      <c r="LZ9" s="32">
        <f t="shared" ref="LZ9:LZ10" si="146">LZ8+LY9</f>
        <v>0</v>
      </c>
      <c r="MA9" s="32">
        <f>(LZ9)*InputData!$C$6</f>
        <v>0</v>
      </c>
      <c r="MB9" s="32">
        <v>0</v>
      </c>
      <c r="MC9" s="32">
        <f>MC8+LY9+MA9-MB9</f>
        <v>0</v>
      </c>
      <c r="MD9" s="32">
        <f>MB9/((1+InputData!$C$3)^(IntMed!$B9-IntMed!$B$7))</f>
        <v>0</v>
      </c>
      <c r="ME9" s="32">
        <f>IF(LV9-InputData!$C$158-InputData!$C$159&gt;=0,LV9-InputData!$C$158-InputData!$C$159,0)</f>
        <v>0</v>
      </c>
      <c r="MF9" s="32">
        <f>IF(LV9-IF(LV9&lt;=InputData!$C$146,InputData!$C$145,0)-MAX(InputData!$C$144,ML9)&gt;=0,LV9-IF(LV9&lt;=InputData!$C$146,InputData!$C$145,0)-MAX(InputData!$C$144,ML9),0)</f>
        <v>0</v>
      </c>
      <c r="MG9" s="32">
        <f>IF(MF9&lt;0,"Error",IF(MF9&lt;=InputData!$B$170,InputData!$C$170*MF9,IF(MF9&lt;=InputData!$B$171,InputData!$D$170+InputData!$C$171*(MF9-InputData!$B$170),IF(MF9&lt;=InputData!$B$172,InputData!$D$171+InputData!$C$172*(MF9-InputData!$B$171),IF(MF9&lt;=InputData!$B$173,InputData!$D$172+InputData!$C$173*(MF9-InputData!$B$172),IF(MF9&lt;=InputData!$B$174,InputData!$D$173+InputData!$C$174*(MF9-InputData!$B$173),IF(MF9&lt;=InputData!$B$175,InputData!$D$174+InputData!$C$175*(MF9-InputData!$B$174),InputData!$D$175+InputData!$C$176*(MF9-InputData!$B$175))))))))</f>
        <v>0</v>
      </c>
      <c r="MH9" s="32">
        <f>IF(LV9&lt;=InputData!$C$150,InputData!$C$152,IF(LV9&lt;InputData!$C$151,IF(InputData!$C$152-0.25*IF(LV9-InputData!$C$150&lt;=0,0,LV9-InputData!$C$150)&lt;=0,0,InputData!$C$152-0.25*IF(LV9-InputData!$C$150&lt;=0,0,LV9-InputData!$C$150)),0))</f>
        <v>51900</v>
      </c>
      <c r="MI9" s="32">
        <f>IF(LV9-MH9&lt;=0,0,IF(LV9-MH9&lt;=InputData!$C$153,InputData!$C$154*(LV9-MH9),InputData!$C$155*(LV9-MH9)-InputData!$D$154))</f>
        <v>0</v>
      </c>
      <c r="MJ9" s="32">
        <f t="shared" si="124"/>
        <v>0</v>
      </c>
      <c r="MK9" s="32">
        <f>IF(LV9&gt;=0,IF(LV9&lt;=InputData!$C$148,InputData!$C$147*LV9,InputData!$C$147*InputData!$C$148)+InputData!$C$149*LV9,0)</f>
        <v>0</v>
      </c>
      <c r="ML9" s="32">
        <f>IF(ME9&lt;0,0,IF(ME9&lt;=InputData!$B$163,InputData!$C$163*ME9,IF(ME9&lt;=InputData!$B$164,InputData!$D$163+InputData!$C$164*(ME9-InputData!$B$163),IF(ME9&lt;=InputData!$B$165,InputData!$D$164+InputData!$C$165*(ME9-InputData!$B$164),InputData!$D$165+InputData!$C$166*(ME9-InputData!$B$165)))))</f>
        <v>0</v>
      </c>
      <c r="MM9" s="43" t="e">
        <f t="shared" si="38"/>
        <v>#DIV/0!</v>
      </c>
      <c r="MN9" s="32">
        <f t="shared" si="125"/>
        <v>0</v>
      </c>
      <c r="MO9" s="32">
        <f t="shared" si="126"/>
        <v>0</v>
      </c>
      <c r="MP9" s="32">
        <f>MO9/((1+InputData!$C$7)^(IntMed!$B9-IntMed!$B$7))</f>
        <v>0</v>
      </c>
      <c r="MQ9" s="5">
        <f t="shared" ref="MQ9:MQ36" si="147">MQ8+MP9</f>
        <v>0</v>
      </c>
    </row>
    <row r="10" spans="1:355" ht="14.45" x14ac:dyDescent="0.3">
      <c r="A10" s="53">
        <v>2016</v>
      </c>
      <c r="B10" s="51">
        <v>4</v>
      </c>
      <c r="C10" s="4"/>
      <c r="D10" s="3">
        <v>0</v>
      </c>
      <c r="E10" s="46" t="s">
        <v>13</v>
      </c>
      <c r="F10" s="5">
        <f>InputData!$E$26*12</f>
        <v>43430.399999999994</v>
      </c>
      <c r="G10" s="5">
        <f>InputData!$E$26*12</f>
        <v>43430.399999999994</v>
      </c>
      <c r="H10" s="5">
        <f>(InputData!$H$37+InputData!$C$40)*12</f>
        <v>25411.199999999997</v>
      </c>
      <c r="I10" s="5">
        <f t="shared" si="39"/>
        <v>68841.599999999991</v>
      </c>
      <c r="J10" s="5">
        <f>G10*((1+InputData!$C$5)/(1+InputData!$C$3))^(IntMed!$B10-IntMed!$B$7)</f>
        <v>42165.517552072735</v>
      </c>
      <c r="K10" s="5">
        <f>H10*((1+InputData!$C$5)/(1+InputData!$C$3))^(IntMed!$B10-IntMed!$B$7)</f>
        <v>24671.115154804713</v>
      </c>
      <c r="L10" s="32">
        <f>IF(J10-InputData!$C$158-InputData!$C$159&gt;=0,J10-InputData!$C$158-InputData!$C$159,0)</f>
        <v>42165.517552072735</v>
      </c>
      <c r="M10" s="32">
        <f>IF(J10-IF(J10&lt;=InputData!$C$146,InputData!$C$145,0)-MAX(InputData!$C$144,S10)&gt;=0,J10-IF(J10&lt;=InputData!$C$146,InputData!$C$145,0)-MAX(InputData!$C$144,S10),0)</f>
        <v>32165.517552072735</v>
      </c>
      <c r="N10" s="32">
        <f>IF(M10&lt;0,"Error",IF(M10&lt;=InputData!$B$170,InputData!$C$170*M10,IF(M10&lt;=InputData!$B$171,InputData!$D$170+InputData!$C$171*(M10-InputData!$B$170),IF(M10&lt;=InputData!$B$172,InputData!$D$171+InputData!$C$172*(M10-InputData!$B$171),IF(M10&lt;=InputData!$B$173,InputData!$D$172+InputData!$C$173*(M10-InputData!$B$172),IF(M10&lt;=InputData!$B$174,InputData!$D$173+InputData!$C$174*(M10-InputData!$B$173),IF(M10&lt;=InputData!$B$175,InputData!$D$174+InputData!$C$175*(M10-InputData!$B$174),InputData!$D$175+InputData!$C$176*(M10-InputData!$B$175))))))))</f>
        <v>4378.5776328109096</v>
      </c>
      <c r="O10" s="32">
        <f>IF(J10&lt;=InputData!$C$150,InputData!$C$152,IF(J10&lt;InputData!$C$151,IF(InputData!$C$152-0.25*IF(J10-InputData!$C$150&lt;=0,0,J10-InputData!$C$150)&lt;=0,0,InputData!$C$152-0.25*IF(J10-InputData!$C$150&lt;=0,0,J10-InputData!$C$150)),0))</f>
        <v>51900</v>
      </c>
      <c r="P10" s="32">
        <f>IF(J10-O10&lt;=0,0,IF(J10-O10&lt;=InputData!$C$153,InputData!$C$154*(J10-O10),InputData!$C$155*(J10-O10)-InputData!$D$154))</f>
        <v>0</v>
      </c>
      <c r="Q10" s="32">
        <f t="shared" si="40"/>
        <v>4378.5776328109096</v>
      </c>
      <c r="R10" s="32">
        <f>IF(J10&gt;=0,IF(J10&lt;=InputData!$C$148,InputData!$C$147*J10,InputData!$C$147*InputData!$C$148)+InputData!$C$149*J10,0)</f>
        <v>3225.6620927335644</v>
      </c>
      <c r="S10" s="32">
        <f>IF(L10&lt;0,0,IF(L10&lt;=InputData!$B$163,InputData!$C$163*L10,IF(L10&lt;=InputData!$B$164,InputData!$D$163+InputData!$C$164*(L10-InputData!$B$163),IF(L10&lt;=InputData!$B$165,InputData!$D$164+InputData!$C$165*(L10-InputData!$B$164),InputData!$D$165+InputData!$C$166*(L10-InputData!$B$165)))))</f>
        <v>0</v>
      </c>
      <c r="T10" s="43">
        <f t="shared" si="41"/>
        <v>0.18034261564923379</v>
      </c>
      <c r="U10" s="43">
        <f t="shared" si="42"/>
        <v>0.11377353133414217</v>
      </c>
      <c r="V10" s="5">
        <f t="shared" si="43"/>
        <v>59232.392981332989</v>
      </c>
      <c r="W10" s="32">
        <f>V10/((1+InputData!$C$7)^(IntMed!$B10-IntMed!$B$7))</f>
        <v>54206.030400395517</v>
      </c>
      <c r="X10" s="5">
        <f t="shared" si="127"/>
        <v>211251.55229740124</v>
      </c>
      <c r="Y10" s="53"/>
      <c r="Z10" s="3">
        <v>0</v>
      </c>
      <c r="AA10" s="46" t="s">
        <v>0</v>
      </c>
      <c r="AB10" s="4"/>
      <c r="AC10" s="5">
        <f>InputData!$C$67*10.5+(IntMed!G10+IntMed!H10)*45/365.25</f>
        <v>30405.511293634496</v>
      </c>
      <c r="AD10" s="5">
        <v>0</v>
      </c>
      <c r="AE10" s="5">
        <f t="shared" si="44"/>
        <v>30405.511293634496</v>
      </c>
      <c r="AF10" s="5">
        <f>AC10*((1+InputData!$C$5)/(1+InputData!$C$3))^(IntMed!$B10-IntMed!$B$7)</f>
        <v>29519.970346381593</v>
      </c>
      <c r="AG10" s="5">
        <f>AD10*((1+InputData!$C$5)/(1+InputData!$C$3))^(IntMed!$B10-IntMed!$B$7)</f>
        <v>0</v>
      </c>
      <c r="AH10" s="32">
        <f>IF(AF10-InputData!$C$158-InputData!$C$159&gt;=0,AF10-InputData!$C$158-InputData!$C$159,0)</f>
        <v>29519.970346381593</v>
      </c>
      <c r="AI10" s="32">
        <f>IF(AF10-IF(AF10&lt;=InputData!$C$146,InputData!$C$145,0)-MAX(InputData!$C$144,AO10)&gt;=0,AF10-IF(AF10&lt;=InputData!$C$146,InputData!$C$145,0)-MAX(InputData!$C$144,AO10),0)</f>
        <v>19519.970346381593</v>
      </c>
      <c r="AJ10" s="32">
        <f>IF(AI10&lt;0,"Error",IF(AI10&lt;=InputData!$B$170,InputData!$C$170*AI10,IF(AI10&lt;=InputData!$B$171,InputData!$D$170+InputData!$C$171*(AI10-InputData!$B$170),IF(AI10&lt;=InputData!$B$172,InputData!$D$171+InputData!$C$172*(AI10-InputData!$B$171),IF(AI10&lt;=InputData!$B$173,InputData!$D$172+InputData!$C$173*(AI10-InputData!$B$172),IF(AI10&lt;=InputData!$B$174,InputData!$D$173+InputData!$C$174*(AI10-InputData!$B$173),IF(AI10&lt;=InputData!$B$175,InputData!$D$174+InputData!$C$175*(AI10-InputData!$B$174),InputData!$D$175+InputData!$C$176*(AI10-InputData!$B$175))))))))</f>
        <v>2481.7455519572386</v>
      </c>
      <c r="AK10" s="32">
        <f>IF(AF10&lt;=InputData!$C$150,InputData!$C$152,IF(AF10&lt;InputData!$C$151,IF(InputData!$C$152-0.25*IF(AF10-InputData!$C$150&lt;=0,0,AF10-InputData!$C$150)&lt;=0,0,InputData!$C$152-0.25*IF(AF10-InputData!$C$150&lt;=0,0,AF10-InputData!$C$150)),0))</f>
        <v>51900</v>
      </c>
      <c r="AL10" s="32">
        <f>IF(AF10-AK10&lt;=0,0,IF(AF10-AK10&lt;=InputData!$C$153,InputData!$C$154*(AF10-AK10),InputData!$C$155*(AF10-AK10)-InputData!$D$154))</f>
        <v>0</v>
      </c>
      <c r="AM10" s="32">
        <f t="shared" si="45"/>
        <v>2481.7455519572386</v>
      </c>
      <c r="AN10" s="32">
        <v>0</v>
      </c>
      <c r="AO10" s="32">
        <f>IF(AH10&lt;0,0,IF(AH10&lt;=InputData!$B$163,InputData!$C$163*AH10,IF(AH10&lt;=InputData!$B$164,InputData!$D$163+InputData!$C$164*(AH10-InputData!$B$163),IF(AH10&lt;=InputData!$B$165,InputData!$D$164+InputData!$C$165*(AH10-InputData!$B$164),InputData!$D$165+InputData!$C$166*(AH10-InputData!$B$165)))))</f>
        <v>0</v>
      </c>
      <c r="AP10" s="43">
        <f t="shared" si="46"/>
        <v>8.4070055722851977E-2</v>
      </c>
      <c r="AQ10" s="43">
        <f t="shared" si="47"/>
        <v>8.4070055722851977E-2</v>
      </c>
      <c r="AR10" s="5">
        <f t="shared" si="48"/>
        <v>27038.224794424354</v>
      </c>
      <c r="AS10" s="32">
        <f>AR10/((1+InputData!$C$7)^(IntMed!$B10-IntMed!$B$7))</f>
        <v>24743.805904333243</v>
      </c>
      <c r="AT10" s="5">
        <f t="shared" si="128"/>
        <v>119127.82998672797</v>
      </c>
      <c r="AU10" s="53"/>
      <c r="AV10" s="56" t="s">
        <v>0</v>
      </c>
      <c r="AW10" s="32">
        <v>0</v>
      </c>
      <c r="AX10" s="32">
        <f t="shared" si="49"/>
        <v>-60678</v>
      </c>
      <c r="AY10" s="32">
        <f t="shared" si="50"/>
        <v>-60678</v>
      </c>
      <c r="AZ10" s="32">
        <f>AZ9*(1+InputData!$C$8)</f>
        <v>12193.279920000003</v>
      </c>
      <c r="BA10" s="32">
        <f>AW10/((1+InputData!$C$3)^(IntMed!$B10-IntMed!$B$7))</f>
        <v>0</v>
      </c>
      <c r="BB10" s="32">
        <f>AX10/((1+InputData!$C$3)^(IntMed!$B10-IntMed!$B$7))</f>
        <v>-57178.234615645568</v>
      </c>
      <c r="BC10" s="134" t="s">
        <v>143</v>
      </c>
      <c r="BD10" s="118">
        <f>InputData!$C$88*11/40</f>
        <v>49500</v>
      </c>
      <c r="BE10" s="32">
        <f t="shared" si="129"/>
        <v>180000</v>
      </c>
      <c r="BF10" s="32">
        <f>(BE10)*InputData!$C$6</f>
        <v>11178</v>
      </c>
      <c r="BG10" s="32">
        <v>0</v>
      </c>
      <c r="BH10" s="32">
        <f>BH9+BD10+BF10-BG10</f>
        <v>206827.2</v>
      </c>
      <c r="BI10" s="32">
        <f>BG10/((1+InputData!$C$3)^(IntMed!$B10-IntMed!$B$7))</f>
        <v>0</v>
      </c>
      <c r="BJ10" s="32">
        <f>IF(BA10-InputData!$C$158-InputData!$C$159&gt;=0,BA10-InputData!$C$158-InputData!$C$159,0)</f>
        <v>0</v>
      </c>
      <c r="BK10" s="32">
        <f>IF(BA10-IF(BA10&lt;=InputData!$C$146,InputData!$C$145,0)-MAX(InputData!$C$144,BQ10)&gt;=0,BA10-IF(BA10&lt;=InputData!$C$146,InputData!$C$145,0)-MAX(InputData!$C$144,BQ10),0)</f>
        <v>0</v>
      </c>
      <c r="BL10" s="32">
        <f>IF(BK10&lt;0,"Error",IF(BK10&lt;=InputData!$B$170,InputData!$C$170*BK10,IF(BK10&lt;=InputData!$B$171,InputData!$D$170+InputData!$C$171*(BK10-InputData!$B$170),IF(BK10&lt;=InputData!$B$172,InputData!$D$171+InputData!$C$172*(BK10-InputData!$B$171),IF(BK10&lt;=InputData!$B$173,InputData!$D$172+InputData!$C$173*(BK10-InputData!$B$172),IF(BK10&lt;=InputData!$B$174,InputData!$D$173+InputData!$C$174*(BK10-InputData!$B$173),IF(BK10&lt;=InputData!$B$175,InputData!$D$174+InputData!$C$175*(BK10-InputData!$B$174),InputData!$D$175+InputData!$C$176*(BK10-InputData!$B$175))))))))</f>
        <v>0</v>
      </c>
      <c r="BM10" s="32">
        <f>IF(BA10&lt;=InputData!$C$150,InputData!$C$152,IF(BA10&lt;InputData!$C$151,IF(InputData!$C$152-0.25*IF(BA10-InputData!$C$150&lt;=0,0,BA10-InputData!$C$150)&lt;=0,0,InputData!$C$152-0.25*IF(BA10-InputData!$C$150&lt;=0,0,BA10-InputData!$C$150)),0))</f>
        <v>51900</v>
      </c>
      <c r="BN10" s="32">
        <f>IF(BA10-BM10&lt;=0,0,IF(BA10-BM10&lt;=InputData!$C$153,InputData!$C$154*(BA10-BM10),InputData!$C$155*(BA10-BM10)-InputData!$D$154))</f>
        <v>0</v>
      </c>
      <c r="BO10" s="32">
        <f t="shared" si="51"/>
        <v>0</v>
      </c>
      <c r="BP10" s="32">
        <f>IF(BA10&gt;=0,IF(BA10&lt;=InputData!$C$148,InputData!$C$147*BA10,InputData!$C$147*InputData!$C$148)+InputData!$C$149*BA10,0)</f>
        <v>0</v>
      </c>
      <c r="BQ10" s="32">
        <f>IF(BJ10&lt;0,0,IF(BJ10&lt;=InputData!$B$163,InputData!$C$163*BJ10,IF(BJ10&lt;=InputData!$B$164,InputData!$D$163+InputData!$C$164*(BJ10-InputData!$B$163),IF(BJ10&lt;=InputData!$B$165,InputData!$D$164+InputData!$C$165*(BJ10-InputData!$B$164),InputData!$D$165+InputData!$C$166*(BJ10-InputData!$B$165)))))</f>
        <v>0</v>
      </c>
      <c r="BR10" s="43">
        <f t="shared" si="52"/>
        <v>0</v>
      </c>
      <c r="BS10" s="32">
        <f t="shared" si="53"/>
        <v>-57178.234615645568</v>
      </c>
      <c r="BT10" s="32">
        <f t="shared" si="54"/>
        <v>-57178.234615645568</v>
      </c>
      <c r="BU10" s="32">
        <f>BT10/((1+InputData!$C$7)^(IntMed!$B10-IntMed!$B$7))</f>
        <v>-52326.184505046156</v>
      </c>
      <c r="BV10" s="5">
        <f t="shared" si="130"/>
        <v>-190867.38028908212</v>
      </c>
      <c r="BW10" s="5"/>
      <c r="BX10" s="134" t="s">
        <v>143</v>
      </c>
      <c r="BY10" s="5">
        <f t="shared" si="55"/>
        <v>180000</v>
      </c>
      <c r="BZ10" s="5">
        <f t="shared" si="56"/>
        <v>11178</v>
      </c>
      <c r="CA10" s="5">
        <v>0</v>
      </c>
      <c r="CB10" s="5">
        <f t="shared" si="57"/>
        <v>206827.2</v>
      </c>
      <c r="CC10" s="32">
        <f>CA10/((1+InputData!$C$3)^(IntMed!$B10-IntMed!$B$7))</f>
        <v>0</v>
      </c>
      <c r="CD10" s="5">
        <f t="shared" si="58"/>
        <v>-57178.234615645568</v>
      </c>
      <c r="CE10" s="32">
        <f>CD10/((1+InputData!$C$7)^(IntMed!$B10-IntMed!$B$7))</f>
        <v>-52326.184505046156</v>
      </c>
      <c r="CF10" s="5">
        <f t="shared" si="131"/>
        <v>-190867.38028908212</v>
      </c>
      <c r="CG10" s="5"/>
      <c r="CH10" s="134" t="s">
        <v>143</v>
      </c>
      <c r="CI10" s="5">
        <f t="shared" si="59"/>
        <v>180000</v>
      </c>
      <c r="CJ10" s="5">
        <f t="shared" si="60"/>
        <v>11178</v>
      </c>
      <c r="CK10" s="5">
        <v>0</v>
      </c>
      <c r="CL10" s="5">
        <f t="shared" si="61"/>
        <v>206827.2</v>
      </c>
      <c r="CM10" s="32">
        <f>CK10/((1+InputData!$C$3)^(IntMed!$B10-IntMed!$B$7))</f>
        <v>0</v>
      </c>
      <c r="CN10" s="5">
        <f t="shared" si="62"/>
        <v>-57178.234615645568</v>
      </c>
      <c r="CO10" s="32">
        <f>CN10/((1+InputData!$C$7)^(IntMed!$B10-IntMed!$B$7))</f>
        <v>-52326.184505046156</v>
      </c>
      <c r="CP10" s="5">
        <f t="shared" si="132"/>
        <v>-190867.38028908212</v>
      </c>
      <c r="CQ10" s="5"/>
      <c r="CR10" s="134" t="s">
        <v>143</v>
      </c>
      <c r="CS10" s="5">
        <f t="shared" si="63"/>
        <v>180000</v>
      </c>
      <c r="CT10" s="5">
        <f t="shared" si="64"/>
        <v>11178</v>
      </c>
      <c r="CU10" s="5">
        <v>0</v>
      </c>
      <c r="CV10" s="5">
        <f t="shared" si="65"/>
        <v>206827.2</v>
      </c>
      <c r="CW10" s="32">
        <f>CU10/((1+InputData!$C$3)^(IntMed!$B10-IntMed!$B$7))</f>
        <v>0</v>
      </c>
      <c r="CX10" s="5">
        <f t="shared" si="66"/>
        <v>-57178.234615645568</v>
      </c>
      <c r="CY10" s="32">
        <f>CX10/((1+InputData!$C$7)^(IntMed!$B10-IntMed!$B$7))</f>
        <v>-52326.184505046156</v>
      </c>
      <c r="CZ10" s="5">
        <f t="shared" si="133"/>
        <v>-190867.38028908212</v>
      </c>
      <c r="DA10" s="5"/>
      <c r="DB10" s="134" t="s">
        <v>143</v>
      </c>
      <c r="DC10" s="5">
        <f t="shared" si="67"/>
        <v>180000</v>
      </c>
      <c r="DD10" s="5">
        <f t="shared" si="68"/>
        <v>11178</v>
      </c>
      <c r="DE10" s="5">
        <v>0</v>
      </c>
      <c r="DF10" s="5">
        <f t="shared" si="69"/>
        <v>206827.2</v>
      </c>
      <c r="DG10" s="32">
        <f>DE10/((1+InputData!$C$3)^(IntMed!$B10-IntMed!$B$7))</f>
        <v>0</v>
      </c>
      <c r="DH10" s="5">
        <f t="shared" si="70"/>
        <v>-57178.234615645568</v>
      </c>
      <c r="DI10" s="32">
        <f>DH10/((1+InputData!$C$7)^(IntMed!$B10-IntMed!$B$7))</f>
        <v>-52326.184505046156</v>
      </c>
      <c r="DJ10" s="5">
        <f t="shared" si="134"/>
        <v>-190867.38028908212</v>
      </c>
      <c r="DK10" s="5"/>
      <c r="DL10" s="134" t="s">
        <v>143</v>
      </c>
      <c r="DM10" s="5">
        <f t="shared" si="71"/>
        <v>180000</v>
      </c>
      <c r="DN10" s="5">
        <f t="shared" si="72"/>
        <v>11178</v>
      </c>
      <c r="DO10" s="5">
        <f t="shared" si="135"/>
        <v>26827.200000000001</v>
      </c>
      <c r="DP10" s="5">
        <v>0</v>
      </c>
      <c r="DQ10" s="5">
        <f t="shared" si="73"/>
        <v>206827.2</v>
      </c>
      <c r="DR10" s="32">
        <f>DP10/((1+InputData!$C$3)^(IntMed!$B10-IntMed!$B$7))</f>
        <v>0</v>
      </c>
      <c r="DS10" s="5">
        <f t="shared" si="74"/>
        <v>-57178.234615645568</v>
      </c>
      <c r="DT10" s="32">
        <f>DS10/((1+InputData!$C$7)^(IntMed!$B10-IntMed!$B$7))</f>
        <v>-52326.184505046156</v>
      </c>
      <c r="DU10" s="5">
        <f t="shared" si="136"/>
        <v>-190867.38028908212</v>
      </c>
      <c r="DV10" s="5"/>
      <c r="DW10" s="134" t="s">
        <v>143</v>
      </c>
      <c r="DX10" s="5">
        <f t="shared" si="75"/>
        <v>180000</v>
      </c>
      <c r="DY10" s="5">
        <f t="shared" si="76"/>
        <v>11178</v>
      </c>
      <c r="DZ10" s="5">
        <f t="shared" si="137"/>
        <v>26827.200000000001</v>
      </c>
      <c r="EA10" s="5">
        <v>0</v>
      </c>
      <c r="EB10" s="5">
        <f t="shared" si="77"/>
        <v>206827.2</v>
      </c>
      <c r="EC10" s="32">
        <f>EA10/((1+InputData!$C$3)^(IntMed!$B10-IntMed!$B$7))</f>
        <v>0</v>
      </c>
      <c r="ED10" s="5">
        <f t="shared" si="78"/>
        <v>-57178.234615645568</v>
      </c>
      <c r="EE10" s="32">
        <f>ED10/((1+InputData!$C$7)^(IntMed!$B10-IntMed!$B$7))</f>
        <v>-52326.184505046156</v>
      </c>
      <c r="EF10" s="5">
        <f t="shared" si="138"/>
        <v>-190867.38028908212</v>
      </c>
      <c r="EG10" s="32"/>
      <c r="EH10" s="130" t="s">
        <v>143</v>
      </c>
      <c r="EI10" s="32">
        <f>EI9*(1+InputData!$C$10)</f>
        <v>47754.36</v>
      </c>
      <c r="EJ10" s="32">
        <f t="shared" si="139"/>
        <v>185472.36</v>
      </c>
      <c r="EK10" s="32">
        <f>(EJ10)*InputData!$C$6</f>
        <v>11517.833556</v>
      </c>
      <c r="EL10" s="32">
        <f>EL9+EI10+EK10</f>
        <v>213981.87135599999</v>
      </c>
      <c r="EM10" s="32">
        <f>EM9*(1+InputData!$C$8)</f>
        <v>12193.279920000003</v>
      </c>
      <c r="EN10" s="32">
        <v>0</v>
      </c>
      <c r="EO10" s="32">
        <f>AW10/((1+InputData!$C$3)^(IntMed!$B10-IntMed!$B$7))</f>
        <v>0</v>
      </c>
      <c r="EP10" s="32">
        <f>AX10/((1+InputData!$C$3)^(IntMed!$B10-IntMed!$B$7))</f>
        <v>-57178.234615645568</v>
      </c>
      <c r="EQ10" s="32">
        <v>0</v>
      </c>
      <c r="ER10" s="32">
        <v>0</v>
      </c>
      <c r="ES10" s="32">
        <v>0</v>
      </c>
      <c r="ET10" s="32"/>
      <c r="EU10" s="32">
        <f t="shared" si="79"/>
        <v>-57178.234615645568</v>
      </c>
      <c r="EV10" s="32">
        <f>EN10/((1+InputData!$C$3)^(IntMed!$B10-IntMed!$B$7))</f>
        <v>0</v>
      </c>
      <c r="EW10" s="32">
        <f t="shared" si="80"/>
        <v>-57178.234615645568</v>
      </c>
      <c r="EX10" s="32">
        <f>EW10/((1+InputData!$C$7)^(IntMed!$B10-IntMed!$B$7))</f>
        <v>-52326.184505046156</v>
      </c>
      <c r="EY10" s="5">
        <f t="shared" ref="EY10:EY26" si="148">EY9+EX10</f>
        <v>-190867.38028908212</v>
      </c>
      <c r="EZ10" s="79"/>
      <c r="FA10" s="32">
        <f t="shared" si="81"/>
        <v>185472.36</v>
      </c>
      <c r="FB10" s="32">
        <f t="shared" si="82"/>
        <v>11517.833556</v>
      </c>
      <c r="FC10" s="32">
        <f t="shared" si="83"/>
        <v>213981.87135599999</v>
      </c>
      <c r="FD10" s="32">
        <v>0</v>
      </c>
      <c r="FE10" s="32">
        <f>FD10/((1+InputData!$C$3)^(IntMed!$B10-IntMed!$B$7))</f>
        <v>0</v>
      </c>
      <c r="FF10" s="5">
        <f t="shared" si="84"/>
        <v>-57178.234615645568</v>
      </c>
      <c r="FG10" s="32">
        <f>FF10/((1+InputData!$C$7)^(IntMed!$B10-IntMed!$B$7))</f>
        <v>-52326.184505046156</v>
      </c>
      <c r="FH10" s="5">
        <f t="shared" si="140"/>
        <v>-190867.38028908212</v>
      </c>
      <c r="FI10" s="79"/>
      <c r="FJ10" s="32">
        <f t="shared" si="85"/>
        <v>185472.36</v>
      </c>
      <c r="FK10" s="32">
        <f t="shared" si="86"/>
        <v>11517.833556</v>
      </c>
      <c r="FL10" s="32">
        <f t="shared" si="87"/>
        <v>213981.87135599999</v>
      </c>
      <c r="FM10" s="32">
        <v>0</v>
      </c>
      <c r="FN10" s="32">
        <f>FM10/((1+InputData!$C$3)^(IntMed!$B10-IntMed!$B$7))</f>
        <v>0</v>
      </c>
      <c r="FO10" s="5">
        <f t="shared" si="88"/>
        <v>-57178.234615645568</v>
      </c>
      <c r="FP10" s="32">
        <f>FO10/((1+InputData!$C$7)^(IntMed!$B10-IntMed!$B$7))</f>
        <v>-52326.184505046156</v>
      </c>
      <c r="FQ10" s="5">
        <f t="shared" si="141"/>
        <v>-190867.38028908212</v>
      </c>
      <c r="FR10" s="79"/>
      <c r="FS10" s="32">
        <f t="shared" si="89"/>
        <v>185472.36</v>
      </c>
      <c r="FT10" s="32">
        <f t="shared" si="90"/>
        <v>11517.833556</v>
      </c>
      <c r="FU10" s="32">
        <f>$EL10</f>
        <v>213981.87135599999</v>
      </c>
      <c r="FV10" s="32">
        <v>0</v>
      </c>
      <c r="FW10" s="32">
        <f>FV10/((1+InputData!$C$3)^(IntMed!$B10-IntMed!$B$7))</f>
        <v>0</v>
      </c>
      <c r="FX10" s="5">
        <f t="shared" si="92"/>
        <v>-57178.234615645568</v>
      </c>
      <c r="FY10" s="32">
        <f>FX10/((1+InputData!$C$7)^(IntMed!$B10-IntMed!$B$7))</f>
        <v>-52326.184505046156</v>
      </c>
      <c r="FZ10" s="5">
        <f t="shared" si="142"/>
        <v>-190867.38028908212</v>
      </c>
      <c r="GC10" s="3">
        <f t="shared" si="3"/>
        <v>0</v>
      </c>
      <c r="GD10" s="46" t="str">
        <f t="shared" si="4"/>
        <v>Med School (O1 &gt; 3 yrs)</v>
      </c>
      <c r="GE10" s="4"/>
      <c r="GF10" s="4"/>
      <c r="GG10" s="4"/>
      <c r="GH10" s="4"/>
      <c r="GI10" s="5">
        <f t="shared" si="5"/>
        <v>43430.399999999994</v>
      </c>
      <c r="GJ10" s="5">
        <f t="shared" si="6"/>
        <v>25411.199999999997</v>
      </c>
      <c r="GK10" s="5">
        <f t="shared" si="7"/>
        <v>68841.599999999991</v>
      </c>
      <c r="GL10" s="5">
        <f t="shared" si="8"/>
        <v>42165.517552072735</v>
      </c>
      <c r="GM10" s="5">
        <f t="shared" si="9"/>
        <v>24671.115154804713</v>
      </c>
      <c r="GN10" s="32">
        <f>IF(GL10-InputData!$C$158-InputData!$C$159&gt;=0,GL10-InputData!$C$158-InputData!$C$159,0)</f>
        <v>42165.517552072735</v>
      </c>
      <c r="GO10" s="32">
        <f>IF(GL10-IF(GL10&lt;=InputData!$C$146,InputData!$C$145,0)-MAX(InputData!$C$144,GU10)&gt;=0,GL10-IF(GL10&lt;=InputData!$C$146,InputData!$C$145,0)-MAX(InputData!$C$144,GU10),0)</f>
        <v>32165.517552072735</v>
      </c>
      <c r="GP10" s="32">
        <f>IF(GO10&lt;0,"Error",IF(GO10&lt;=InputData!$B$170,InputData!$C$170*GO10,IF(GO10&lt;=InputData!$B$171,InputData!$D$170+InputData!$C$171*(GO10-InputData!$B$170),IF(GO10&lt;=InputData!$B$172,InputData!$D$171+InputData!$C$172*(GO10-InputData!$B$171),IF(GO10&lt;=InputData!$B$173,InputData!$D$172+InputData!$C$173*(GO10-InputData!$B$172),IF(GO10&lt;=InputData!$B$174,InputData!$D$173+InputData!$C$174*(GO10-InputData!$B$173),IF(GO10&lt;=InputData!$B$175,InputData!$D$174+InputData!$C$175*(GO10-InputData!$B$174),InputData!$D$175+InputData!$C$176*(GO10-InputData!$B$175))))))))</f>
        <v>4378.5776328109096</v>
      </c>
      <c r="GQ10" s="32">
        <f>IF(GL10&lt;=InputData!$C$150,InputData!$C$152,IF(GL10&lt;InputData!$C$151,IF(InputData!$C$152-0.25*IF(GL10-InputData!$C$150&lt;=0,0,GL10-InputData!$C$150)&lt;=0,0,InputData!$C$152-0.25*IF(GL10-InputData!$C$150&lt;=0,0,GL10-InputData!$C$150)),0))</f>
        <v>51900</v>
      </c>
      <c r="GR10" s="32">
        <f>IF(GL10-GQ10&lt;=0,0,IF(GL10-GQ10&lt;=InputData!$C$153,InputData!$C$154*(GL10-GQ10),InputData!$C$155*(GL10-GQ10)-InputData!$D$154))</f>
        <v>0</v>
      </c>
      <c r="GS10" s="32">
        <f t="shared" si="93"/>
        <v>4378.5776328109096</v>
      </c>
      <c r="GT10" s="32">
        <f>IF(GL10&gt;=0,IF(GL10&lt;=InputData!$C$148,InputData!$C$147*GL10,InputData!$C$147*InputData!$C$148)+InputData!$C$149*GL10,0)</f>
        <v>3225.6620927335644</v>
      </c>
      <c r="GU10" s="32">
        <f>IF(GN10&lt;0,0,IF(GN10&lt;=InputData!$B$163,InputData!$C$163*GN10,IF(GN10&lt;=InputData!$B$164,InputData!$D$163+InputData!$C$164*(GN10-InputData!$B$163),IF(GN10&lt;=InputData!$B$165,InputData!$D$164+InputData!$C$165*(GN10-InputData!$B$164),InputData!$D$165+InputData!$C$166*(GN10-InputData!$B$165)))))</f>
        <v>0</v>
      </c>
      <c r="GV10" s="43">
        <f t="shared" si="10"/>
        <v>0.18034261564923379</v>
      </c>
      <c r="GW10" s="43">
        <f t="shared" si="11"/>
        <v>0.11377353133414217</v>
      </c>
      <c r="GX10" s="5">
        <f t="shared" si="12"/>
        <v>59232.392981332989</v>
      </c>
      <c r="GY10" s="32">
        <f>GX10/((1+InputData!$C$7)^(IntMed!$B10-IntMed!$B$7))</f>
        <v>54206.030400395517</v>
      </c>
      <c r="GZ10" s="32">
        <f t="shared" si="94"/>
        <v>211251.55229740124</v>
      </c>
      <c r="HB10" s="3">
        <f t="shared" si="13"/>
        <v>0</v>
      </c>
      <c r="HC10" s="46" t="str">
        <f t="shared" si="14"/>
        <v>Med School</v>
      </c>
      <c r="HD10" s="4"/>
      <c r="HE10" s="4"/>
      <c r="HF10" s="4"/>
      <c r="HG10" s="4"/>
      <c r="HH10" s="5">
        <f t="shared" si="15"/>
        <v>30405.511293634496</v>
      </c>
      <c r="HI10" s="5">
        <f t="shared" si="16"/>
        <v>0</v>
      </c>
      <c r="HJ10" s="5">
        <f t="shared" si="17"/>
        <v>30405.511293634496</v>
      </c>
      <c r="HK10" s="5">
        <f t="shared" si="18"/>
        <v>29519.970346381593</v>
      </c>
      <c r="HL10" s="5">
        <f t="shared" si="19"/>
        <v>0</v>
      </c>
      <c r="HM10" s="32">
        <f>IF(HK10-InputData!$C$158-InputData!$C$159&gt;=0,HK10-InputData!$C$158-InputData!$C$159,0)</f>
        <v>29519.970346381593</v>
      </c>
      <c r="HN10" s="32">
        <f>IF(HK10-IF(HK10&lt;=InputData!$C$146,InputData!$C$145,0)-MAX(InputData!$C$144,HT10)&gt;=0,HK10-IF(HK10&lt;=InputData!$C$146,InputData!$C$145,0)-MAX(InputData!$C$144,HT10),0)</f>
        <v>19519.970346381593</v>
      </c>
      <c r="HO10" s="32">
        <f>IF(HN10&lt;0,"Error",IF(HN10&lt;=InputData!$B$170,InputData!$C$170*HN10,IF(HN10&lt;=InputData!$B$171,InputData!$D$170+InputData!$C$171*(HN10-InputData!$B$170),IF(HN10&lt;=InputData!$B$172,InputData!$D$171+InputData!$C$172*(HN10-InputData!$B$171),IF(HN10&lt;=InputData!$B$173,InputData!$D$172+InputData!$C$173*(HN10-InputData!$B$172),IF(HN10&lt;=InputData!$B$174,InputData!$D$173+InputData!$C$174*(HN10-InputData!$B$173),IF(HN10&lt;=InputData!$B$175,InputData!$D$174+InputData!$C$175*(HN10-InputData!$B$174),InputData!$D$175+InputData!$C$176*(HN10-InputData!$B$175))))))))</f>
        <v>2481.7455519572386</v>
      </c>
      <c r="HP10" s="32">
        <f>IF(HK10&lt;=InputData!$C$150,InputData!$C$152,IF(HK10&lt;InputData!$C$151,IF(InputData!$C$152-0.25*IF(HK10-InputData!$C$150&lt;=0,0,HK10-InputData!$C$150)&lt;=0,0,InputData!$C$152-0.25*IF(HK10-InputData!$C$150&lt;=0,0,HK10-InputData!$C$150)),0))</f>
        <v>51900</v>
      </c>
      <c r="HQ10" s="32">
        <f>IF(HK10-HP10&lt;=0,0,IF(HK10-HP10&lt;=InputData!$C$153,InputData!$C$154*(HK10-HP10),InputData!$C$155*(HK10-HP10)-InputData!$D$154))</f>
        <v>0</v>
      </c>
      <c r="HR10" s="32">
        <f t="shared" si="95"/>
        <v>2481.7455519572386</v>
      </c>
      <c r="HS10" s="32">
        <v>0</v>
      </c>
      <c r="HT10" s="32">
        <f>IF(HM10&lt;0,0,IF(HM10&lt;=InputData!$B$163,InputData!$C$163*HM10,IF(HM10&lt;=InputData!$B$164,InputData!$D$163+InputData!$C$164*(HM10-InputData!$B$163),IF(HM10&lt;=InputData!$B$165,InputData!$D$164+InputData!$C$165*(HM10-InputData!$B$164),InputData!$D$165+InputData!$C$166*(HM10-InputData!$B$165)))))</f>
        <v>0</v>
      </c>
      <c r="HU10" s="43">
        <f t="shared" si="96"/>
        <v>8.4070055722851977E-2</v>
      </c>
      <c r="HV10" s="43">
        <f t="shared" si="97"/>
        <v>8.4070055722851977E-2</v>
      </c>
      <c r="HW10" s="5">
        <f t="shared" si="98"/>
        <v>27038.224794424354</v>
      </c>
      <c r="HX10" s="32">
        <f>HW10/((1+InputData!$C$7)^(IntMed!$B10-IntMed!$B$7))</f>
        <v>24743.805904333243</v>
      </c>
      <c r="HY10" s="32">
        <f t="shared" si="99"/>
        <v>119127.82998672797</v>
      </c>
      <c r="IA10" s="3">
        <f t="shared" si="20"/>
        <v>0</v>
      </c>
      <c r="IB10" s="46" t="str">
        <f t="shared" si="21"/>
        <v>Med School (O1 &gt; 3 yrs)</v>
      </c>
      <c r="IC10" s="5">
        <f t="shared" si="22"/>
        <v>43430.399999999994</v>
      </c>
      <c r="ID10" s="5">
        <f t="shared" si="23"/>
        <v>25411.199999999997</v>
      </c>
      <c r="IE10" s="5">
        <f t="shared" si="24"/>
        <v>68841.599999999991</v>
      </c>
      <c r="IF10" s="5">
        <f t="shared" si="25"/>
        <v>42165.517552072735</v>
      </c>
      <c r="IG10" s="5">
        <f t="shared" si="26"/>
        <v>24671.115154804713</v>
      </c>
      <c r="IH10" s="32">
        <f>IF(IF10-InputData!$C$158-InputData!$C$159&gt;=0,IF10-InputData!$C$158-InputData!$C$159,0)</f>
        <v>42165.517552072735</v>
      </c>
      <c r="II10" s="32">
        <f>IF(IF10-IF(IF10&lt;=InputData!$C$146,InputData!$C$145,0)-MAX(InputData!$C$144,IO10)&gt;=0,IF10-IF(IF10&lt;=InputData!$C$146,InputData!$C$145,0)-MAX(InputData!$C$144,IO10),0)</f>
        <v>32165.517552072735</v>
      </c>
      <c r="IJ10" s="32">
        <f>IF(II10&lt;0,"Error",IF(II10&lt;=InputData!$B$170,InputData!$C$170*II10,IF(II10&lt;=InputData!$B$171,InputData!$D$170+InputData!$C$171*(II10-InputData!$B$170),IF(II10&lt;=InputData!$B$172,InputData!$D$171+InputData!$C$172*(II10-InputData!$B$171),IF(II10&lt;=InputData!$B$173,InputData!$D$172+InputData!$C$173*(II10-InputData!$B$172),IF(II10&lt;=InputData!$B$174,InputData!$D$173+InputData!$C$174*(II10-InputData!$B$173),IF(II10&lt;=InputData!$B$175,InputData!$D$174+InputData!$C$175*(II10-InputData!$B$174),InputData!$D$175+InputData!$C$176*(II10-InputData!$B$175))))))))</f>
        <v>4378.5776328109096</v>
      </c>
      <c r="IK10" s="32">
        <f>IF(IF10&lt;=InputData!$C$150,InputData!$C$152,IF(IF10&lt;InputData!$C$151,IF(InputData!$C$152-0.25*IF(IF10-InputData!$C$150&lt;=0,0,IF10-InputData!$C$150)&lt;=0,0,InputData!$C$152-0.25*IF(IF10-InputData!$C$150&lt;=0,0,IF10-InputData!$C$150)),0))</f>
        <v>51900</v>
      </c>
      <c r="IL10" s="32">
        <f>IF(IF10-IK10&lt;=0,0,IF(IF10-IK10&lt;=InputData!$C$153,InputData!$C$154*(IF10-IK10),InputData!$C$155*(IF10-IK10)-InputData!$D$154))</f>
        <v>0</v>
      </c>
      <c r="IM10" s="32">
        <f t="shared" si="100"/>
        <v>4378.5776328109096</v>
      </c>
      <c r="IN10" s="32">
        <f>IF(IF10&gt;=0,IF(IF10&lt;=InputData!$C$148,InputData!$C$147*IF10,InputData!$C$147*InputData!$C$148)+InputData!$C$149*IF10,0)</f>
        <v>3225.6620927335644</v>
      </c>
      <c r="IO10" s="32">
        <f>IF(IH10&lt;0,0,IF(IH10&lt;=InputData!$B$163,InputData!$C$163*IH10,IF(IH10&lt;=InputData!$B$164,InputData!$D$163+InputData!$C$164*(IH10-InputData!$B$163),IF(IH10&lt;=InputData!$B$165,InputData!$D$164+InputData!$C$165*(IH10-InputData!$B$164),InputData!$D$165+InputData!$C$166*(IH10-InputData!$B$165)))))</f>
        <v>0</v>
      </c>
      <c r="IP10" s="43">
        <f t="shared" si="101"/>
        <v>0.18034261564923379</v>
      </c>
      <c r="IQ10" s="43">
        <f t="shared" si="102"/>
        <v>0.11377353133414217</v>
      </c>
      <c r="IR10" s="5">
        <f t="shared" si="27"/>
        <v>59232.392981332989</v>
      </c>
      <c r="IS10" s="32">
        <f>IR10/((1+InputData!$C$7)^(IntMed!$B10-IntMed!$B$7))</f>
        <v>54206.030400395517</v>
      </c>
      <c r="IT10" s="5">
        <f t="shared" si="103"/>
        <v>211251.55229740124</v>
      </c>
      <c r="IV10" s="41">
        <f t="shared" si="28"/>
        <v>0</v>
      </c>
      <c r="IW10" s="91" t="str">
        <f t="shared" si="29"/>
        <v>Med School</v>
      </c>
      <c r="IX10" s="32">
        <f t="shared" si="30"/>
        <v>30405.511293634496</v>
      </c>
      <c r="IY10" s="32">
        <f t="shared" si="31"/>
        <v>0</v>
      </c>
      <c r="IZ10" s="32">
        <f t="shared" si="32"/>
        <v>30405.511293634496</v>
      </c>
      <c r="JA10" s="32">
        <f t="shared" si="33"/>
        <v>29519.970346381593</v>
      </c>
      <c r="JB10" s="32">
        <f t="shared" si="34"/>
        <v>0</v>
      </c>
      <c r="JC10" s="32">
        <f>IF(JA10-InputData!$C$158-InputData!$C$159&gt;=0,JA10-InputData!$C$158-InputData!$C$159,0)</f>
        <v>29519.970346381593</v>
      </c>
      <c r="JD10" s="32">
        <f>IF(JA10-IF(JA10&lt;=InputData!$C$146,InputData!$C$145,0)-MAX(InputData!$C$144,JJ10)&gt;=0,JA10-IF(JA10&lt;=InputData!$C$146,InputData!$C$145,0)-MAX(InputData!$C$144,JJ10),0)</f>
        <v>19519.970346381593</v>
      </c>
      <c r="JE10" s="32">
        <f>IF(JD10&lt;0,"Error",IF(JD10&lt;=InputData!$B$170,InputData!$C$170*JD10,IF(JD10&lt;=InputData!$B$171,InputData!$D$170+InputData!$C$171*(JD10-InputData!$B$170),IF(JD10&lt;=InputData!$B$172,InputData!$D$171+InputData!$C$172*(JD10-InputData!$B$171),IF(JD10&lt;=InputData!$B$173,InputData!$D$172+InputData!$C$173*(JD10-InputData!$B$172),IF(JD10&lt;=InputData!$B$174,InputData!$D$173+InputData!$C$174*(JD10-InputData!$B$173),IF(JD10&lt;=InputData!$B$175,InputData!$D$174+InputData!$C$175*(JD10-InputData!$B$174),InputData!$D$175+InputData!$C$176*(JD10-InputData!$B$175))))))))</f>
        <v>2481.7455519572386</v>
      </c>
      <c r="JF10" s="32">
        <f>IF(JA10&lt;=InputData!$C$150,InputData!$C$152,IF(JA10&lt;InputData!$C$151,IF(InputData!$C$152-0.25*IF(JA10-InputData!$C$150&lt;=0,0,JA10-InputData!$C$150)&lt;=0,0,InputData!$C$152-0.25*IF(JA10-InputData!$C$150&lt;=0,0,JA10-InputData!$C$150)),0))</f>
        <v>51900</v>
      </c>
      <c r="JG10" s="32">
        <f>IF(JA10-JF10&lt;=0,0,IF(JA10-JF10&lt;=InputData!$C$153,InputData!$C$154*(JA10-JF10),InputData!$C$155*(JA10-JF10)-InputData!$D$154))</f>
        <v>0</v>
      </c>
      <c r="JH10" s="32">
        <f t="shared" si="104"/>
        <v>2481.7455519572386</v>
      </c>
      <c r="JI10" s="32">
        <v>0</v>
      </c>
      <c r="JJ10" s="32">
        <f>IF(JC10&lt;0,0,IF(JC10&lt;=InputData!$B$163,InputData!$C$163*JC10,IF(JC10&lt;=InputData!$B$164,InputData!$D$163+InputData!$C$164*(JC10-InputData!$B$163),IF(JC10&lt;=InputData!$B$165,InputData!$D$164+InputData!$C$165*(JC10-InputData!$B$164),InputData!$D$165+InputData!$C$166*(JC10-InputData!$B$165)))))</f>
        <v>0</v>
      </c>
      <c r="JK10" s="42">
        <f t="shared" si="105"/>
        <v>8.4070055722851977E-2</v>
      </c>
      <c r="JL10" s="42">
        <f t="shared" si="106"/>
        <v>8.4070055722851977E-2</v>
      </c>
      <c r="JM10" s="32">
        <f t="shared" si="35"/>
        <v>27038.224794424354</v>
      </c>
      <c r="JN10" s="32">
        <f>JM10/((1+InputData!$C$7)^(IntMed!$B10-IntMed!$B$7))</f>
        <v>24743.805904333243</v>
      </c>
      <c r="JO10" s="32">
        <f t="shared" si="107"/>
        <v>119127.82998672797</v>
      </c>
      <c r="JQ10" s="56" t="s">
        <v>0</v>
      </c>
      <c r="JR10" s="32">
        <f>InputData!$C$112*12</f>
        <v>15468</v>
      </c>
      <c r="JS10" s="32">
        <v>0</v>
      </c>
      <c r="JT10" s="32">
        <f t="shared" si="108"/>
        <v>15468</v>
      </c>
      <c r="JU10" s="5">
        <f>JR10*(1/(1+InputData!$C$3))^(IntMed!$B10-IntMed!$B$7)</f>
        <v>14575.841870773682</v>
      </c>
      <c r="JV10" s="5">
        <f>JS10*(1/(1+InputData!$C$3))^(IntMed!$B10-IntMed!$B$7)</f>
        <v>0</v>
      </c>
      <c r="JW10" s="32">
        <f>IF(JU10-InputData!$C$158-InputData!$C$159&gt;=0,JU10-InputData!$C$158-InputData!$C$159,0)</f>
        <v>14575.841870773682</v>
      </c>
      <c r="JX10" s="32">
        <f>IF(JU10-IF(JU10&lt;=InputData!$C$146,InputData!$C$145,0)-MAX(InputData!$C$144,KD10)&gt;=0,JU10-IF(JU10&lt;=InputData!$C$146,InputData!$C$145,0)-MAX(InputData!$C$144,KD10),0)</f>
        <v>4575.8418707736819</v>
      </c>
      <c r="JY10" s="32">
        <f>IF(JX10&lt;0,"Error",IF(JX10&lt;=InputData!$B$170,InputData!$C$170*JX10,IF(JX10&lt;=InputData!$B$171,InputData!$D$170+InputData!$C$171*(JX10-InputData!$B$170),IF(JX10&lt;=InputData!$B$172,InputData!$D$171+InputData!$C$172*(JX10-InputData!$B$171),IF(JX10&lt;=InputData!$B$173,InputData!$D$172+InputData!$C$173*(JX10-InputData!$B$172),IF(JX10&lt;=InputData!$B$174,InputData!$D$173+InputData!$C$174*(JX10-InputData!$B$173),IF(JX10&lt;=InputData!$B$175,InputData!$D$174+InputData!$C$175*(JX10-InputData!$B$174),InputData!$D$175+InputData!$C$176*(JX10-InputData!$B$175))))))))</f>
        <v>457.5841870773682</v>
      </c>
      <c r="JZ10" s="32">
        <f>IF(JU10&lt;=InputData!$C$150,InputData!$C$152,IF(JU10&lt;InputData!$C$151,IF(InputData!$C$152-0.25*IF(JU10-InputData!$C$150&lt;=0,0,JU10-InputData!$C$150)&lt;=0,0,InputData!$C$152-0.25*IF(JU10-InputData!$C$150&lt;=0,0,JU10-InputData!$C$150)),0))</f>
        <v>51900</v>
      </c>
      <c r="KA10" s="32">
        <f>IF(JU10-JZ10&lt;=0,0,IF(JU10-JZ10&lt;=InputData!$C$153,InputData!$C$154*(JU10-JZ10),InputData!$C$155*(JU10-JZ10)-InputData!$D$154))</f>
        <v>0</v>
      </c>
      <c r="KB10" s="32">
        <f t="shared" si="109"/>
        <v>457.5841870773682</v>
      </c>
      <c r="KC10" s="32">
        <f>IF(JU10&gt;=0,IF(JU10&lt;=InputData!$C$148,InputData!$C$147*JU10,InputData!$C$147*InputData!$C$148)+InputData!$C$149*JU10,0)</f>
        <v>1115.0519031141866</v>
      </c>
      <c r="KD10" s="32">
        <f>IF(JW10&lt;0,0,IF(JW10&lt;=InputData!$B$163,InputData!$C$163*JW10,IF(JW10&lt;=InputData!$B$164,InputData!$D$163+InputData!$C$164*(JW10-InputData!$B$163),IF(JW10&lt;=InputData!$B$165,InputData!$D$164+InputData!$C$165*(JW10-InputData!$B$164),InputData!$D$165+InputData!$C$166*(JW10-InputData!$B$165)))))</f>
        <v>0</v>
      </c>
      <c r="KE10" s="43">
        <f t="shared" si="110"/>
        <v>0.10789332816136539</v>
      </c>
      <c r="KF10" s="43">
        <f t="shared" si="111"/>
        <v>0.10789332816136539</v>
      </c>
      <c r="KG10" s="5">
        <f t="shared" si="112"/>
        <v>13003.205780582128</v>
      </c>
      <c r="KH10" s="32">
        <f>KG10/((1+InputData!$C$7)^(IntMed!$B10-IntMed!$B$7))</f>
        <v>11899.775314952525</v>
      </c>
      <c r="KI10" s="5">
        <f t="shared" si="143"/>
        <v>51216.002327239214</v>
      </c>
      <c r="KK10" s="7"/>
      <c r="KM10">
        <v>25</v>
      </c>
      <c r="KN10" s="56" t="s">
        <v>0</v>
      </c>
      <c r="KO10" s="32">
        <v>0</v>
      </c>
      <c r="KP10" s="32">
        <f t="shared" si="113"/>
        <v>-60678</v>
      </c>
      <c r="KQ10" s="32">
        <f t="shared" si="114"/>
        <v>-60678</v>
      </c>
      <c r="KR10" s="32">
        <f>KR9*(1+InputData!$C$8)</f>
        <v>12193.279920000003</v>
      </c>
      <c r="KS10" s="5">
        <f>KO10*(1/(1+InputData!$C$3))^(IntMed!$B10-IntMed!$B$7)</f>
        <v>0</v>
      </c>
      <c r="KT10" s="5">
        <f>KP10*(1/(1+InputData!$C$3))^(IntMed!$B10-IntMed!$B$7)</f>
        <v>-57178.234615645561</v>
      </c>
      <c r="KU10" s="134" t="s">
        <v>143</v>
      </c>
      <c r="KV10" s="118">
        <f>InputData!$C$88*11/40</f>
        <v>49500</v>
      </c>
      <c r="KW10" s="5">
        <f t="shared" si="115"/>
        <v>180000</v>
      </c>
      <c r="KX10" s="5">
        <f t="shared" si="116"/>
        <v>11178</v>
      </c>
      <c r="KY10" s="5">
        <f t="shared" si="144"/>
        <v>26827.200000000001</v>
      </c>
      <c r="KZ10" s="5">
        <v>0</v>
      </c>
      <c r="LA10" s="5">
        <f t="shared" si="117"/>
        <v>206827.2</v>
      </c>
      <c r="LB10" s="32">
        <f>KZ10/((1+InputData!$C$3)^(IntMed!$B10-IntMed!$B$7))</f>
        <v>0</v>
      </c>
      <c r="LC10" s="32">
        <f>IF(KS10-InputData!$C$158-InputData!$C$159&gt;=0,KS10-InputData!$C$158-InputData!$C$159,0)</f>
        <v>0</v>
      </c>
      <c r="LD10" s="32">
        <f>IF(KS10-IF(KS10&lt;=InputData!$C$146,InputData!$C$145,0)-MAX(InputData!$C$144,LJ10)&gt;=0,KS10-IF(KS10&lt;=InputData!$C$146,InputData!$C$145,0)-MAX(InputData!$C$144,LJ10),0)</f>
        <v>0</v>
      </c>
      <c r="LE10" s="32">
        <f>IF(LD10&lt;0,"Error",IF(LD10&lt;=InputData!$B$170,InputData!$C$170*LD10,IF(LD10&lt;=InputData!$B$171,InputData!$D$170+InputData!$C$171*(LD10-InputData!$B$170),IF(LD10&lt;=InputData!$B$172,InputData!$D$171+InputData!$C$172*(LD10-InputData!$B$171),IF(LD10&lt;=InputData!$B$173,InputData!$D$172+InputData!$C$173*(LD10-InputData!$B$172),IF(LD10&lt;=InputData!$B$174,InputData!$D$173+InputData!$C$174*(LD10-InputData!$B$173),IF(LD10&lt;=InputData!$B$175,InputData!$D$174+InputData!$C$175*(LD10-InputData!$B$174),InputData!$D$175+InputData!$C$176*(LD10-InputData!$B$175))))))))</f>
        <v>0</v>
      </c>
      <c r="LF10" s="32">
        <f>IF(KS10&lt;=InputData!$C$150,InputData!$C$152,IF(KS10&lt;InputData!$C$151,IF(InputData!$C$152-0.25*IF(KS10-InputData!$C$150&lt;=0,0,KS10-InputData!$C$150)&lt;=0,0,InputData!$C$152-0.25*IF(KS10-InputData!$C$150&lt;=0,0,KS10-InputData!$C$150)),0))</f>
        <v>51900</v>
      </c>
      <c r="LG10" s="32">
        <f>IF(KS10-LF10&lt;=0,0,IF(KS10-LF10&lt;=InputData!$C$153,InputData!$C$154*(KS10-LF10),InputData!$C$155*(KS10-LF10)-InputData!$D$154))</f>
        <v>0</v>
      </c>
      <c r="LH10" s="32">
        <f t="shared" si="118"/>
        <v>0</v>
      </c>
      <c r="LI10" s="32">
        <f>IF(KS10&gt;=0,IF(KS10&lt;=InputData!$C$148,InputData!$C$147*KS10,InputData!$C$147*InputData!$C$148)+InputData!$C$149*KS10,0)</f>
        <v>0</v>
      </c>
      <c r="LJ10" s="32">
        <f>IF(LC10&lt;0,0,IF(LC10&lt;=InputData!$B$163,InputData!$C$163*LC10,IF(LC10&lt;=InputData!$B$164,InputData!$D$163+InputData!$C$164*(LC10-InputData!$B$163),IF(LC10&lt;=InputData!$B$165,InputData!$D$164+InputData!$C$165*(LC10-InputData!$B$164),InputData!$D$165+InputData!$C$166*(LC10-InputData!$B$165)))))</f>
        <v>0</v>
      </c>
      <c r="LK10" s="43">
        <f t="shared" si="36"/>
        <v>0</v>
      </c>
      <c r="LL10" s="32">
        <f t="shared" si="119"/>
        <v>-57178.234615645561</v>
      </c>
      <c r="LM10" s="5">
        <f t="shared" si="120"/>
        <v>-57178.234615645561</v>
      </c>
      <c r="LN10" s="32">
        <f>LM10/((1+InputData!$C$7)^(IntMed!$B10-IntMed!$B$7))</f>
        <v>-52326.184505046149</v>
      </c>
      <c r="LO10" s="5">
        <f t="shared" si="145"/>
        <v>-190867.3802890821</v>
      </c>
      <c r="LQ10" s="157" t="str">
        <f t="shared" si="37"/>
        <v>Med School</v>
      </c>
      <c r="LR10" s="32">
        <f t="shared" si="121"/>
        <v>0</v>
      </c>
      <c r="LS10" s="32">
        <f t="shared" si="122"/>
        <v>0</v>
      </c>
      <c r="LT10" s="32">
        <f t="shared" si="123"/>
        <v>0</v>
      </c>
      <c r="LU10" s="32">
        <f>LU9*(1+InputData!$C$8)</f>
        <v>12193.279920000003</v>
      </c>
      <c r="LV10" s="32">
        <f>LR10/((1+InputData!$C$3)^(IntMed!$B10-IntMed!$B$7))</f>
        <v>0</v>
      </c>
      <c r="LW10" s="32">
        <f>LS10/((1+InputData!$C$3)^(IntMed!$B10-IntMed!$B$7))</f>
        <v>0</v>
      </c>
      <c r="LX10" s="134" t="s">
        <v>143</v>
      </c>
      <c r="LY10" s="118">
        <v>0</v>
      </c>
      <c r="LZ10" s="32">
        <f t="shared" si="146"/>
        <v>0</v>
      </c>
      <c r="MA10" s="32">
        <f>(LZ10)*InputData!$C$6</f>
        <v>0</v>
      </c>
      <c r="MB10" s="32">
        <v>0</v>
      </c>
      <c r="MC10" s="32">
        <f>MC9+LY10+MA10-MB10</f>
        <v>0</v>
      </c>
      <c r="MD10" s="32">
        <f>MB10/((1+InputData!$C$3)^(IntMed!$B10-IntMed!$B$7))</f>
        <v>0</v>
      </c>
      <c r="ME10" s="32">
        <f>IF(LV10-InputData!$C$158-InputData!$C$159&gt;=0,LV10-InputData!$C$158-InputData!$C$159,0)</f>
        <v>0</v>
      </c>
      <c r="MF10" s="32">
        <f>IF(LV10-IF(LV10&lt;=InputData!$C$146,InputData!$C$145,0)-MAX(InputData!$C$144,ML10)&gt;=0,LV10-IF(LV10&lt;=InputData!$C$146,InputData!$C$145,0)-MAX(InputData!$C$144,ML10),0)</f>
        <v>0</v>
      </c>
      <c r="MG10" s="32">
        <f>IF(MF10&lt;0,"Error",IF(MF10&lt;=InputData!$B$170,InputData!$C$170*MF10,IF(MF10&lt;=InputData!$B$171,InputData!$D$170+InputData!$C$171*(MF10-InputData!$B$170),IF(MF10&lt;=InputData!$B$172,InputData!$D$171+InputData!$C$172*(MF10-InputData!$B$171),IF(MF10&lt;=InputData!$B$173,InputData!$D$172+InputData!$C$173*(MF10-InputData!$B$172),IF(MF10&lt;=InputData!$B$174,InputData!$D$173+InputData!$C$174*(MF10-InputData!$B$173),IF(MF10&lt;=InputData!$B$175,InputData!$D$174+InputData!$C$175*(MF10-InputData!$B$174),InputData!$D$175+InputData!$C$176*(MF10-InputData!$B$175))))))))</f>
        <v>0</v>
      </c>
      <c r="MH10" s="32">
        <f>IF(LV10&lt;=InputData!$C$150,InputData!$C$152,IF(LV10&lt;InputData!$C$151,IF(InputData!$C$152-0.25*IF(LV10-InputData!$C$150&lt;=0,0,LV10-InputData!$C$150)&lt;=0,0,InputData!$C$152-0.25*IF(LV10-InputData!$C$150&lt;=0,0,LV10-InputData!$C$150)),0))</f>
        <v>51900</v>
      </c>
      <c r="MI10" s="32">
        <f>IF(LV10-MH10&lt;=0,0,IF(LV10-MH10&lt;=InputData!$C$153,InputData!$C$154*(LV10-MH10),InputData!$C$155*(LV10-MH10)-InputData!$D$154))</f>
        <v>0</v>
      </c>
      <c r="MJ10" s="32">
        <f t="shared" si="124"/>
        <v>0</v>
      </c>
      <c r="MK10" s="32">
        <f>IF(LV10&gt;=0,IF(LV10&lt;=InputData!$C$148,InputData!$C$147*LV10,InputData!$C$147*InputData!$C$148)+InputData!$C$149*LV10,0)</f>
        <v>0</v>
      </c>
      <c r="ML10" s="32">
        <f>IF(ME10&lt;0,0,IF(ME10&lt;=InputData!$B$163,InputData!$C$163*ME10,IF(ME10&lt;=InputData!$B$164,InputData!$D$163+InputData!$C$164*(ME10-InputData!$B$163),IF(ME10&lt;=InputData!$B$165,InputData!$D$164+InputData!$C$165*(ME10-InputData!$B$164),InputData!$D$165+InputData!$C$166*(ME10-InputData!$B$165)))))</f>
        <v>0</v>
      </c>
      <c r="MM10" s="43" t="e">
        <f t="shared" si="38"/>
        <v>#DIV/0!</v>
      </c>
      <c r="MN10" s="32">
        <f t="shared" si="125"/>
        <v>0</v>
      </c>
      <c r="MO10" s="32">
        <f t="shared" si="126"/>
        <v>0</v>
      </c>
      <c r="MP10" s="32">
        <f>MO10/((1+InputData!$C$7)^(IntMed!$B10-IntMed!$B$7))</f>
        <v>0</v>
      </c>
      <c r="MQ10" s="5">
        <f t="shared" si="147"/>
        <v>0</v>
      </c>
    </row>
    <row r="11" spans="1:355" x14ac:dyDescent="0.25">
      <c r="A11" s="53">
        <v>2017</v>
      </c>
      <c r="B11" s="51">
        <v>5</v>
      </c>
      <c r="C11" s="4"/>
      <c r="D11" s="3">
        <v>1</v>
      </c>
      <c r="E11" s="4" t="s">
        <v>12</v>
      </c>
      <c r="F11" s="5">
        <f>InputData!$C$24*12</f>
        <v>46026</v>
      </c>
      <c r="G11" s="5">
        <f>(InputData!$C$24+InputData!$C$44)*12</f>
        <v>47226</v>
      </c>
      <c r="H11" s="5">
        <f>(InputData!$C$35+InputData!$C$40)*12</f>
        <v>19939.199999999997</v>
      </c>
      <c r="I11" s="5">
        <f t="shared" si="39"/>
        <v>67165.2</v>
      </c>
      <c r="J11" s="5">
        <f>G11*((1+InputData!$C$5)/(1+InputData!$C$3))^(IntMed!$B11-IntMed!$B$7)</f>
        <v>45401.05772195461</v>
      </c>
      <c r="K11" s="5">
        <f>H11*((1+InputData!$C$5)/(1+InputData!$C$3))^(IntMed!$B11-IntMed!$B$7)</f>
        <v>19168.694577766426</v>
      </c>
      <c r="L11" s="32">
        <f>IF(J11-InputData!$C$158-InputData!$C$159&gt;=0,J11-InputData!$C$158-InputData!$C$159,0)</f>
        <v>45401.05772195461</v>
      </c>
      <c r="M11" s="32">
        <f>IF(J11-IF(J11&lt;=InputData!$C$146,InputData!$C$145,0)-MAX(InputData!$C$144,S11)&gt;=0,J11-IF(J11&lt;=InputData!$C$146,InputData!$C$145,0)-MAX(InputData!$C$144,S11),0)</f>
        <v>35401.05772195461</v>
      </c>
      <c r="N11" s="32">
        <f>IF(M11&lt;0,"Error",IF(M11&lt;=InputData!$B$170,InputData!$C$170*M11,IF(M11&lt;=InputData!$B$171,InputData!$D$170+InputData!$C$171*(M11-InputData!$B$170),IF(M11&lt;=InputData!$B$172,InputData!$D$171+InputData!$C$172*(M11-InputData!$B$171),IF(M11&lt;=InputData!$B$173,InputData!$D$172+InputData!$C$173*(M11-InputData!$B$172),IF(M11&lt;=InputData!$B$174,InputData!$D$173+InputData!$C$174*(M11-InputData!$B$173),IF(M11&lt;=InputData!$B$175,InputData!$D$174+InputData!$C$175*(M11-InputData!$B$174),InputData!$D$175+InputData!$C$176*(M11-InputData!$B$175))))))))</f>
        <v>4863.9086582931914</v>
      </c>
      <c r="O11" s="32">
        <f>IF(J11&lt;=InputData!$C$150,InputData!$C$152,IF(J11&lt;InputData!$C$151,IF(InputData!$C$152-0.25*IF(J11-InputData!$C$150&lt;=0,0,J11-InputData!$C$150)&lt;=0,0,InputData!$C$152-0.25*IF(J11-InputData!$C$150&lt;=0,0,J11-InputData!$C$150)),0))</f>
        <v>51900</v>
      </c>
      <c r="P11" s="32">
        <f>IF(J11-O11&lt;=0,0,IF(J11-O11&lt;=InputData!$C$153,InputData!$C$154*(J11-O11),InputData!$C$155*(J11-O11)-InputData!$D$154))</f>
        <v>0</v>
      </c>
      <c r="Q11" s="32">
        <f t="shared" si="40"/>
        <v>4863.9086582931914</v>
      </c>
      <c r="R11" s="32">
        <f>IF(J11&gt;=0,IF(J11&lt;=InputData!$C$148,InputData!$C$147*J11,InputData!$C$147*InputData!$C$148)+InputData!$C$149*J11,0)</f>
        <v>3473.1809157295279</v>
      </c>
      <c r="S11" s="32">
        <f>IF(L11&lt;0,0,IF(L11&lt;=InputData!$B$163,InputData!$C$163*L11,IF(L11&lt;=InputData!$B$164,InputData!$D$163+InputData!$C$164*(L11-InputData!$B$163),IF(L11&lt;=InputData!$B$165,InputData!$D$164+InputData!$C$165*(L11-InputData!$B$164),InputData!$D$165+InputData!$C$166*(L11-InputData!$B$165)))))</f>
        <v>0</v>
      </c>
      <c r="T11" s="43">
        <f t="shared" si="41"/>
        <v>0.18363205599924048</v>
      </c>
      <c r="U11" s="43">
        <f t="shared" si="42"/>
        <v>0.12911757095371013</v>
      </c>
      <c r="V11" s="5">
        <f t="shared" si="43"/>
        <v>56232.662725698312</v>
      </c>
      <c r="W11" s="32">
        <f>V11/((1+InputData!$C$7)^(IntMed!$B11-IntMed!$B$7))</f>
        <v>49961.992501594294</v>
      </c>
      <c r="X11" s="5">
        <f t="shared" si="127"/>
        <v>261213.54479899554</v>
      </c>
      <c r="Y11" s="53"/>
      <c r="Z11" s="3">
        <v>1</v>
      </c>
      <c r="AA11" s="97" t="s">
        <v>258</v>
      </c>
      <c r="AB11" s="5">
        <f t="shared" ref="AB11:AD17" si="149">F11</f>
        <v>46026</v>
      </c>
      <c r="AC11" s="5">
        <f t="shared" si="149"/>
        <v>47226</v>
      </c>
      <c r="AD11" s="5">
        <f t="shared" si="149"/>
        <v>19939.199999999997</v>
      </c>
      <c r="AE11" s="5">
        <f t="shared" si="44"/>
        <v>67165.2</v>
      </c>
      <c r="AF11" s="5">
        <f>AC11*((1+InputData!$C$5)/(1+InputData!$C$3))^(IntMed!$B11-IntMed!$B$7)</f>
        <v>45401.05772195461</v>
      </c>
      <c r="AG11" s="5">
        <f>AD11*((1+InputData!$C$5)/(1+InputData!$C$3))^(IntMed!$B11-IntMed!$B$7)</f>
        <v>19168.694577766426</v>
      </c>
      <c r="AH11" s="32">
        <f>IF(AF11-InputData!$C$158-InputData!$C$159&gt;=0,AF11-InputData!$C$158-InputData!$C$159,0)</f>
        <v>45401.05772195461</v>
      </c>
      <c r="AI11" s="32">
        <f>IF(AF11-IF(AF11&lt;=InputData!$C$146,InputData!$C$145,0)-MAX(InputData!$C$144,AO11)&gt;=0,AF11-IF(AF11&lt;=InputData!$C$146,InputData!$C$145,0)-MAX(InputData!$C$144,AO11),0)</f>
        <v>35401.05772195461</v>
      </c>
      <c r="AJ11" s="32">
        <f>IF(AI11&lt;0,"Error",IF(AI11&lt;=InputData!$B$170,InputData!$C$170*AI11,IF(AI11&lt;=InputData!$B$171,InputData!$D$170+InputData!$C$171*(AI11-InputData!$B$170),IF(AI11&lt;=InputData!$B$172,InputData!$D$171+InputData!$C$172*(AI11-InputData!$B$171),IF(AI11&lt;=InputData!$B$173,InputData!$D$172+InputData!$C$173*(AI11-InputData!$B$172),IF(AI11&lt;=InputData!$B$174,InputData!$D$173+InputData!$C$174*(AI11-InputData!$B$173),IF(AI11&lt;=InputData!$B$175,InputData!$D$174+InputData!$C$175*(AI11-InputData!$B$174),InputData!$D$175+InputData!$C$176*(AI11-InputData!$B$175))))))))</f>
        <v>4863.9086582931914</v>
      </c>
      <c r="AK11" s="32">
        <f>IF(AF11&lt;=InputData!$C$150,InputData!$C$152,IF(AF11&lt;InputData!$C$151,IF(InputData!$C$152-0.25*IF(AF11-InputData!$C$150&lt;=0,0,AF11-InputData!$C$150)&lt;=0,0,InputData!$C$152-0.25*IF(AF11-InputData!$C$150&lt;=0,0,AF11-InputData!$C$150)),0))</f>
        <v>51900</v>
      </c>
      <c r="AL11" s="32">
        <f>IF(AF11-AK11&lt;=0,0,IF(AF11-AK11&lt;=InputData!$C$153,InputData!$C$154*(AF11-AK11),InputData!$C$155*(AF11-AK11)-InputData!$D$154))</f>
        <v>0</v>
      </c>
      <c r="AM11" s="32">
        <f t="shared" si="45"/>
        <v>4863.9086582931914</v>
      </c>
      <c r="AN11" s="32">
        <f>IF(AF11&gt;=0,IF(AF11&lt;=InputData!$C$148,InputData!$C$147*AF11,InputData!$C$147*InputData!$C$148)+InputData!$C$149*AF11,0)</f>
        <v>3473.1809157295279</v>
      </c>
      <c r="AO11" s="32">
        <f>IF(AH11&lt;0,0,IF(AH11&lt;=InputData!$B$163,InputData!$C$163*AH11,IF(AH11&lt;=InputData!$B$164,InputData!$D$163+InputData!$C$164*(AH11-InputData!$B$163),IF(AH11&lt;=InputData!$B$165,InputData!$D$164+InputData!$C$165*(AH11-InputData!$B$164),InputData!$D$165+InputData!$C$166*(AH11-InputData!$B$165)))))</f>
        <v>0</v>
      </c>
      <c r="AP11" s="43">
        <f t="shared" si="46"/>
        <v>0.18363205599924048</v>
      </c>
      <c r="AQ11" s="43">
        <f t="shared" si="47"/>
        <v>0.12911757095371013</v>
      </c>
      <c r="AR11" s="5">
        <f t="shared" si="48"/>
        <v>56232.662725698312</v>
      </c>
      <c r="AS11" s="32">
        <f>AR11/((1+InputData!$C$7)^(IntMed!$B11-IntMed!$B$7))</f>
        <v>49961.992501594294</v>
      </c>
      <c r="AT11" s="5">
        <f t="shared" si="128"/>
        <v>169089.82248832227</v>
      </c>
      <c r="AU11" s="53"/>
      <c r="AV11" s="41" t="s">
        <v>1</v>
      </c>
      <c r="AW11" s="32">
        <f>InputData!$C$74*(1+InputData!$C$11)^(IntMed!B11-IntMed!$B$7)</f>
        <v>54353.24848224</v>
      </c>
      <c r="AX11" s="32">
        <v>0</v>
      </c>
      <c r="AY11" s="32">
        <f t="shared" si="50"/>
        <v>54353.24848224</v>
      </c>
      <c r="AZ11" s="32">
        <f>AZ10*(1+InputData!$C$8)</f>
        <v>12437.145518400002</v>
      </c>
      <c r="BA11" s="32">
        <f>AW11/((1+InputData!$C$3)^(IntMed!$B11-IntMed!$B$7))</f>
        <v>50214</v>
      </c>
      <c r="BB11" s="32">
        <f>AX11/((1+InputData!$C$3)^(IntMed!$B11-IntMed!$B$7))</f>
        <v>0</v>
      </c>
      <c r="BC11" s="126" t="s">
        <v>319</v>
      </c>
      <c r="BD11" s="32">
        <v>0</v>
      </c>
      <c r="BE11" s="118">
        <f>BE10</f>
        <v>180000</v>
      </c>
      <c r="BF11" s="118">
        <f>(0.5*BE10+0.5*(BH10+0.5*BE10*InputData!$C$6))*InputData!$C$6</f>
        <v>12184.523010000001</v>
      </c>
      <c r="BG11" s="32">
        <v>0</v>
      </c>
      <c r="BH11" s="118">
        <f>BH10+BD11+BF11-BG11</f>
        <v>219011.72301000002</v>
      </c>
      <c r="BI11" s="32">
        <f>BG11/((1+InputData!$C$3)^(IntMed!$B11-IntMed!$B$7))</f>
        <v>0</v>
      </c>
      <c r="BJ11" s="32">
        <f>IF(BA11-InputData!$C$158-InputData!$C$159&gt;=0,BA11-InputData!$C$158-InputData!$C$159,0)</f>
        <v>50214</v>
      </c>
      <c r="BK11" s="32">
        <f>IF(BA11-IF(BA11&lt;=InputData!$C$146,InputData!$C$145,0)-MAX(InputData!$C$144,BQ11)&gt;=0,BA11-IF(BA11&lt;=InputData!$C$146,InputData!$C$145,0)-MAX(InputData!$C$144,BQ11),0)</f>
        <v>40214</v>
      </c>
      <c r="BL11" s="32">
        <f>IF(BK11&lt;0,"Error",IF(BK11&lt;=InputData!$B$170,InputData!$C$170*BK11,IF(BK11&lt;=InputData!$B$171,InputData!$D$170+InputData!$C$171*(BK11-InputData!$B$170),IF(BK11&lt;=InputData!$B$172,InputData!$D$171+InputData!$C$172*(BK11-InputData!$B$171),IF(BK11&lt;=InputData!$B$173,InputData!$D$172+InputData!$C$173*(BK11-InputData!$B$172),IF(BK11&lt;=InputData!$B$174,InputData!$D$173+InputData!$C$174*(BK11-InputData!$B$173),IF(BK11&lt;=InputData!$B$175,InputData!$D$174+InputData!$C$175*(BK11-InputData!$B$174),InputData!$D$175+InputData!$C$176*(BK11-InputData!$B$175))))))))</f>
        <v>5982.25</v>
      </c>
      <c r="BM11" s="32">
        <f>IF(BA11&lt;=InputData!$C$150,InputData!$C$152,IF(BA11&lt;InputData!$C$151,IF(InputData!$C$152-0.25*IF(BA11-InputData!$C$150&lt;=0,0,BA11-InputData!$C$150)&lt;=0,0,InputData!$C$152-0.25*IF(BA11-InputData!$C$150&lt;=0,0,BA11-InputData!$C$150)),0))</f>
        <v>51900</v>
      </c>
      <c r="BN11" s="32">
        <f>IF(BA11-BM11&lt;=0,0,IF(BA11-BM11&lt;=InputData!$C$153,InputData!$C$154*(BA11-BM11),InputData!$C$155*(BA11-BM11)-InputData!$D$154))</f>
        <v>0</v>
      </c>
      <c r="BO11" s="32">
        <f t="shared" si="51"/>
        <v>5982.25</v>
      </c>
      <c r="BP11" s="32">
        <f>IF(BA11&gt;=0,IF(BA11&lt;=InputData!$C$148,InputData!$C$147*BA11,InputData!$C$147*InputData!$C$148)+InputData!$C$149*BA11,0)</f>
        <v>3841.3710000000001</v>
      </c>
      <c r="BQ11" s="32">
        <f>IF(BJ11&lt;0,0,IF(BJ11&lt;=InputData!$B$163,InputData!$C$163*BJ11,IF(BJ11&lt;=InputData!$B$164,InputData!$D$163+InputData!$C$164*(BJ11-InputData!$B$163),IF(BJ11&lt;=InputData!$B$165,InputData!$D$164+InputData!$C$165*(BJ11-InputData!$B$164),InputData!$D$165+InputData!$C$166*(BJ11-InputData!$B$165)))))</f>
        <v>0</v>
      </c>
      <c r="BR11" s="43">
        <f t="shared" si="52"/>
        <v>0.19563510176444815</v>
      </c>
      <c r="BS11" s="32">
        <f t="shared" si="53"/>
        <v>40390.379000000001</v>
      </c>
      <c r="BT11" s="32">
        <f t="shared" si="54"/>
        <v>40390.379000000001</v>
      </c>
      <c r="BU11" s="32">
        <f>BT11/((1+InputData!$C$7)^(IntMed!$B11-IntMed!$B$7))</f>
        <v>35886.328601905836</v>
      </c>
      <c r="BV11" s="5">
        <f t="shared" si="130"/>
        <v>-154981.05168717628</v>
      </c>
      <c r="BW11" s="5"/>
      <c r="BX11" s="126" t="s">
        <v>319</v>
      </c>
      <c r="BY11" s="5">
        <f t="shared" si="55"/>
        <v>180000</v>
      </c>
      <c r="BZ11" s="5">
        <f t="shared" si="56"/>
        <v>12184.523010000001</v>
      </c>
      <c r="CA11" s="5">
        <v>0</v>
      </c>
      <c r="CB11" s="5">
        <f t="shared" si="57"/>
        <v>219011.72301000002</v>
      </c>
      <c r="CC11" s="32">
        <f>CA11/((1+InputData!$C$3)^(IntMed!$B11-IntMed!$B$7))</f>
        <v>0</v>
      </c>
      <c r="CD11" s="5">
        <f t="shared" si="58"/>
        <v>40390.379000000001</v>
      </c>
      <c r="CE11" s="32">
        <f>CD11/((1+InputData!$C$7)^(IntMed!$B11-IntMed!$B$7))</f>
        <v>35886.328601905836</v>
      </c>
      <c r="CF11" s="5">
        <f t="shared" si="131"/>
        <v>-154981.05168717628</v>
      </c>
      <c r="CG11" s="5"/>
      <c r="CH11" s="126" t="s">
        <v>319</v>
      </c>
      <c r="CI11" s="5">
        <f t="shared" si="59"/>
        <v>180000</v>
      </c>
      <c r="CJ11" s="5">
        <f t="shared" si="60"/>
        <v>12184.523010000001</v>
      </c>
      <c r="CK11" s="5">
        <v>0</v>
      </c>
      <c r="CL11" s="5">
        <f t="shared" si="61"/>
        <v>219011.72301000002</v>
      </c>
      <c r="CM11" s="32">
        <f>CK11/((1+InputData!$C$3)^(IntMed!$B11-IntMed!$B$7))</f>
        <v>0</v>
      </c>
      <c r="CN11" s="5">
        <f t="shared" si="62"/>
        <v>40390.379000000001</v>
      </c>
      <c r="CO11" s="32">
        <f>CN11/((1+InputData!$C$7)^(IntMed!$B11-IntMed!$B$7))</f>
        <v>35886.328601905836</v>
      </c>
      <c r="CP11" s="5">
        <f t="shared" si="132"/>
        <v>-154981.05168717628</v>
      </c>
      <c r="CQ11" s="5"/>
      <c r="CR11" s="126" t="s">
        <v>319</v>
      </c>
      <c r="CS11" s="5">
        <f t="shared" si="63"/>
        <v>180000</v>
      </c>
      <c r="CT11" s="5">
        <f t="shared" si="64"/>
        <v>12184.523010000001</v>
      </c>
      <c r="CU11" s="5">
        <v>0</v>
      </c>
      <c r="CV11" s="5">
        <f t="shared" si="65"/>
        <v>219011.72301000002</v>
      </c>
      <c r="CW11" s="32">
        <f>CU11/((1+InputData!$C$3)^(IntMed!$B11-IntMed!$B$7))</f>
        <v>0</v>
      </c>
      <c r="CX11" s="5">
        <f t="shared" si="66"/>
        <v>40390.379000000001</v>
      </c>
      <c r="CY11" s="32">
        <f>CX11/((1+InputData!$C$7)^(IntMed!$B11-IntMed!$B$7))</f>
        <v>35886.328601905836</v>
      </c>
      <c r="CZ11" s="5">
        <f t="shared" si="133"/>
        <v>-154981.05168717628</v>
      </c>
      <c r="DA11" s="5"/>
      <c r="DB11" s="126" t="s">
        <v>328</v>
      </c>
      <c r="DC11" s="118">
        <f>DC10</f>
        <v>180000</v>
      </c>
      <c r="DD11" s="118">
        <f>(0.5*DC10+0.5*(DF10+0.5*DC10*InputData!$C$6))*InputData!$C$6</f>
        <v>12184.523010000001</v>
      </c>
      <c r="DE11" s="32">
        <f>MIN(0.5*$DD$2,DC2)</f>
        <v>14574.189981944686</v>
      </c>
      <c r="DF11" s="32">
        <f>DF10+$BD11+DD11-DE11</f>
        <v>204437.53302805533</v>
      </c>
      <c r="DG11" s="32">
        <f>DE11/((1+InputData!$C$3)^(IntMed!$B11-IntMed!$B$7))</f>
        <v>13464.298752861045</v>
      </c>
      <c r="DH11" s="5">
        <f t="shared" si="70"/>
        <v>26926.080247138954</v>
      </c>
      <c r="DI11" s="32">
        <f>DH11/((1+InputData!$C$7)^(IntMed!$B11-IntMed!$B$7))</f>
        <v>23923.473550721435</v>
      </c>
      <c r="DJ11" s="5">
        <f t="shared" si="134"/>
        <v>-166943.9067383607</v>
      </c>
      <c r="DK11" s="5"/>
      <c r="DL11" s="126" t="s">
        <v>328</v>
      </c>
      <c r="DM11" s="118">
        <f>DM10</f>
        <v>180000</v>
      </c>
      <c r="DN11" s="118">
        <f>(0.5*DM10+0.5*(DQ10+0.5*DM10*InputData!$C$6))*InputData!$C$6</f>
        <v>12184.523010000001</v>
      </c>
      <c r="DO11" s="118">
        <f>0.5*$DC$2*InputData!$C$6-DP11</f>
        <v>1240.8934793040016</v>
      </c>
      <c r="DP11" s="118">
        <f t="shared" ref="DP11:DP36" si="150">IF(0.15*($AY$11-1.5*$AZ11)&lt;=$DD$2,MIN(0.15*($AY11-1.5*$AZ11),$DD$2, DM11+DN11),"DNQ")</f>
        <v>5354.6295306959992</v>
      </c>
      <c r="DQ11" s="32">
        <f t="shared" ref="DQ11:DQ36" si="151">DQ10+$BD11+DN11-DP11</f>
        <v>213657.09347930402</v>
      </c>
      <c r="DR11" s="32">
        <f>DP11/((1+InputData!$C$3)^(IntMed!$B11-IntMed!$B$7))</f>
        <v>4946.8499999999995</v>
      </c>
      <c r="DS11" s="5">
        <f t="shared" si="74"/>
        <v>35443.529000000002</v>
      </c>
      <c r="DT11" s="32">
        <f>DS11/((1+InputData!$C$7)^(IntMed!$B11-IntMed!$B$7))</f>
        <v>31491.116448924113</v>
      </c>
      <c r="DU11" s="5">
        <f t="shared" si="136"/>
        <v>-159376.263840158</v>
      </c>
      <c r="DV11" s="5"/>
      <c r="DW11" s="126" t="s">
        <v>328</v>
      </c>
      <c r="DX11" s="118">
        <f>DX10</f>
        <v>180000</v>
      </c>
      <c r="DY11" s="118">
        <f>(0.5*DX10+0.5*(EB10+0.5*DX10*InputData!$C$6))*InputData!$C$6</f>
        <v>12184.523010000001</v>
      </c>
      <c r="DZ11" s="118">
        <f>0.5*$DC$2*InputData!$C$6-EA11</f>
        <v>3025.769989536001</v>
      </c>
      <c r="EA11" s="118">
        <f>IF(0.1*($AY$11-1.5*$AZ11)&lt;=$DD$2,MIN(0.1*($AY11-1.5*$AZ11),$DD$2, DX11+DY11),"DNQ")</f>
        <v>3569.7530204639997</v>
      </c>
      <c r="EB11" s="32">
        <f>EB10+$BD11+DY11-EA11</f>
        <v>215441.96998953601</v>
      </c>
      <c r="EC11" s="32">
        <f>EA11/((1+InputData!$C$3)^(IntMed!$B11-IntMed!$B$7))</f>
        <v>3297.8999999999996</v>
      </c>
      <c r="ED11" s="5">
        <f t="shared" si="78"/>
        <v>37092.478999999999</v>
      </c>
      <c r="EE11" s="32">
        <f>ED11/((1+InputData!$C$7)^(IntMed!$B11-IntMed!$B$7))</f>
        <v>32956.187166584685</v>
      </c>
      <c r="EF11" s="5">
        <f t="shared" si="138"/>
        <v>-157911.19312249744</v>
      </c>
      <c r="EG11" s="32"/>
      <c r="EH11" s="130" t="s">
        <v>142</v>
      </c>
      <c r="EI11" s="32">
        <v>0</v>
      </c>
      <c r="EJ11" s="32">
        <f>EJ$10</f>
        <v>185472.36</v>
      </c>
      <c r="EK11" s="32">
        <f>EJ11*InputData!$C$6</f>
        <v>11517.833556</v>
      </c>
      <c r="EL11" s="32">
        <f>EL10+EI11+EK11</f>
        <v>225499.70491199999</v>
      </c>
      <c r="EM11" s="32">
        <f>EM10*(1+InputData!$C$8)</f>
        <v>12437.145518400002</v>
      </c>
      <c r="EN11" s="32">
        <v>0</v>
      </c>
      <c r="EO11" s="32">
        <f>AW11/((1+InputData!$C$3)^(IntMed!$B11-IntMed!$B$7))</f>
        <v>50214</v>
      </c>
      <c r="EP11" s="32">
        <f>AX11/((1+InputData!$C$3)^(IntMed!$B11-IntMed!$B$7))</f>
        <v>0</v>
      </c>
      <c r="EQ11" s="32">
        <v>6146</v>
      </c>
      <c r="ER11" s="32">
        <v>3339.23</v>
      </c>
      <c r="ES11" s="32">
        <v>0</v>
      </c>
      <c r="ET11" s="42">
        <f>(EQ11+ER11+ES11)/(EO11+EP11)</f>
        <v>0.18889612458676863</v>
      </c>
      <c r="EU11" s="32">
        <f t="shared" si="79"/>
        <v>40728.769999999997</v>
      </c>
      <c r="EV11" s="32">
        <f>EN11/((1+InputData!$C$3)^(IntMed!$B11-IntMed!$B$7))</f>
        <v>0</v>
      </c>
      <c r="EW11" s="32">
        <f t="shared" si="80"/>
        <v>40728.769999999997</v>
      </c>
      <c r="EX11" s="32">
        <f>EW11/((1+InputData!$C$7)^(IntMed!$B11-IntMed!$B$7))</f>
        <v>36186.984622537071</v>
      </c>
      <c r="EY11" s="5">
        <f t="shared" si="148"/>
        <v>-154680.39566654505</v>
      </c>
      <c r="EZ11" s="79"/>
      <c r="FA11" s="32">
        <f t="shared" si="81"/>
        <v>185472.36</v>
      </c>
      <c r="FB11" s="32">
        <f t="shared" si="82"/>
        <v>11517.833556</v>
      </c>
      <c r="FC11" s="32">
        <f t="shared" si="83"/>
        <v>225499.70491199999</v>
      </c>
      <c r="FD11" s="32">
        <v>0</v>
      </c>
      <c r="FE11" s="32">
        <f>FD11/((1+InputData!$C$3)^(IntMed!$B11-IntMed!$B$7))</f>
        <v>0</v>
      </c>
      <c r="FF11" s="5">
        <f t="shared" si="84"/>
        <v>40728.769999999997</v>
      </c>
      <c r="FG11" s="32">
        <f>FF11/((1+InputData!$C$7)^(IntMed!$B11-IntMed!$B$7))</f>
        <v>36186.984622537071</v>
      </c>
      <c r="FH11" s="5">
        <f t="shared" si="140"/>
        <v>-154680.39566654505</v>
      </c>
      <c r="FI11" s="79"/>
      <c r="FJ11" s="32">
        <f t="shared" si="85"/>
        <v>185472.36</v>
      </c>
      <c r="FK11" s="32">
        <f t="shared" si="86"/>
        <v>11517.833556</v>
      </c>
      <c r="FL11" s="32">
        <f t="shared" si="87"/>
        <v>225499.70491199999</v>
      </c>
      <c r="FM11" s="32">
        <v>0</v>
      </c>
      <c r="FN11" s="32">
        <f>FM11/((1+InputData!$C$3)^(IntMed!$B11-IntMed!$B$7))</f>
        <v>0</v>
      </c>
      <c r="FO11" s="5">
        <f t="shared" si="88"/>
        <v>40728.769999999997</v>
      </c>
      <c r="FP11" s="32">
        <f>FO11/((1+InputData!$C$7)^(IntMed!$B11-IntMed!$B$7))</f>
        <v>36186.984622537071</v>
      </c>
      <c r="FQ11" s="5">
        <f t="shared" si="141"/>
        <v>-154680.39566654505</v>
      </c>
      <c r="FR11" s="79"/>
      <c r="FS11" s="32">
        <f t="shared" si="89"/>
        <v>185472.36</v>
      </c>
      <c r="FT11" s="32">
        <f t="shared" si="90"/>
        <v>11517.833556</v>
      </c>
      <c r="FU11" s="32">
        <f t="shared" si="91"/>
        <v>225499.70491199999</v>
      </c>
      <c r="FV11" s="32">
        <v>0</v>
      </c>
      <c r="FW11" s="32">
        <f>FV11/((1+InputData!$C$3)^(IntMed!$B11-IntMed!$B$7))</f>
        <v>0</v>
      </c>
      <c r="FX11" s="5">
        <f t="shared" si="92"/>
        <v>40728.769999999997</v>
      </c>
      <c r="FY11" s="32">
        <f>FX11/((1+InputData!$C$7)^(IntMed!$B11-IntMed!$B$7))</f>
        <v>36186.984622537071</v>
      </c>
      <c r="FZ11" s="5">
        <f t="shared" si="142"/>
        <v>-154680.39566654505</v>
      </c>
      <c r="GC11" s="3">
        <f t="shared" si="3"/>
        <v>1</v>
      </c>
      <c r="GD11" s="4" t="str">
        <f t="shared" si="4"/>
        <v>Internship/Residency (O3&lt;=2 = (BP+BAH+BAS+VSP)*12)</v>
      </c>
      <c r="GE11" s="4"/>
      <c r="GF11" s="4"/>
      <c r="GG11" s="4"/>
      <c r="GH11" s="4"/>
      <c r="GI11" s="5">
        <f t="shared" si="5"/>
        <v>47226</v>
      </c>
      <c r="GJ11" s="5">
        <f t="shared" si="6"/>
        <v>19939.199999999997</v>
      </c>
      <c r="GK11" s="5">
        <f t="shared" si="7"/>
        <v>67165.2</v>
      </c>
      <c r="GL11" s="5">
        <f t="shared" si="8"/>
        <v>45401.05772195461</v>
      </c>
      <c r="GM11" s="5">
        <f t="shared" si="9"/>
        <v>19168.694577766426</v>
      </c>
      <c r="GN11" s="32">
        <f>IF(GL11-InputData!$C$158-InputData!$C$159&gt;=0,GL11-InputData!$C$158-InputData!$C$159,0)</f>
        <v>45401.05772195461</v>
      </c>
      <c r="GO11" s="32">
        <f>IF(GL11-IF(GL11&lt;=InputData!$C$146,InputData!$C$145,0)-MAX(InputData!$C$144,GU11)&gt;=0,GL11-IF(GL11&lt;=InputData!$C$146,InputData!$C$145,0)-MAX(InputData!$C$144,GU11),0)</f>
        <v>35401.05772195461</v>
      </c>
      <c r="GP11" s="32">
        <f>IF(GO11&lt;0,"Error",IF(GO11&lt;=InputData!$B$170,InputData!$C$170*GO11,IF(GO11&lt;=InputData!$B$171,InputData!$D$170+InputData!$C$171*(GO11-InputData!$B$170),IF(GO11&lt;=InputData!$B$172,InputData!$D$171+InputData!$C$172*(GO11-InputData!$B$171),IF(GO11&lt;=InputData!$B$173,InputData!$D$172+InputData!$C$173*(GO11-InputData!$B$172),IF(GO11&lt;=InputData!$B$174,InputData!$D$173+InputData!$C$174*(GO11-InputData!$B$173),IF(GO11&lt;=InputData!$B$175,InputData!$D$174+InputData!$C$175*(GO11-InputData!$B$174),InputData!$D$175+InputData!$C$176*(GO11-InputData!$B$175))))))))</f>
        <v>4863.9086582931914</v>
      </c>
      <c r="GQ11" s="32">
        <f>IF(GL11&lt;=InputData!$C$150,InputData!$C$152,IF(GL11&lt;InputData!$C$151,IF(InputData!$C$152-0.25*IF(GL11-InputData!$C$150&lt;=0,0,GL11-InputData!$C$150)&lt;=0,0,InputData!$C$152-0.25*IF(GL11-InputData!$C$150&lt;=0,0,GL11-InputData!$C$150)),0))</f>
        <v>51900</v>
      </c>
      <c r="GR11" s="32">
        <f>IF(GL11-GQ11&lt;=0,0,IF(GL11-GQ11&lt;=InputData!$C$153,InputData!$C$154*(GL11-GQ11),InputData!$C$155*(GL11-GQ11)-InputData!$D$154))</f>
        <v>0</v>
      </c>
      <c r="GS11" s="32">
        <f t="shared" si="93"/>
        <v>4863.9086582931914</v>
      </c>
      <c r="GT11" s="32">
        <f>IF(GL11&gt;=0,IF(GL11&lt;=InputData!$C$148,InputData!$C$147*GL11,InputData!$C$147*InputData!$C$148)+InputData!$C$149*GL11,0)</f>
        <v>3473.1809157295279</v>
      </c>
      <c r="GU11" s="32">
        <f>IF(GN11&lt;0,0,IF(GN11&lt;=InputData!$B$163,InputData!$C$163*GN11,IF(GN11&lt;=InputData!$B$164,InputData!$D$163+InputData!$C$164*(GN11-InputData!$B$163),IF(GN11&lt;=InputData!$B$165,InputData!$D$164+InputData!$C$165*(GN11-InputData!$B$164),InputData!$D$165+InputData!$C$166*(GN11-InputData!$B$165)))))</f>
        <v>0</v>
      </c>
      <c r="GV11" s="43">
        <f t="shared" si="10"/>
        <v>0.18363205599924048</v>
      </c>
      <c r="GW11" s="43">
        <f t="shared" si="11"/>
        <v>0.12911757095371013</v>
      </c>
      <c r="GX11" s="5">
        <f t="shared" si="12"/>
        <v>56232.662725698312</v>
      </c>
      <c r="GY11" s="32">
        <f>GX11/((1+InputData!$C$7)^(IntMed!$B11-IntMed!$B$7))</f>
        <v>49961.992501594294</v>
      </c>
      <c r="GZ11" s="32">
        <f t="shared" si="94"/>
        <v>261213.54479899554</v>
      </c>
      <c r="HB11" s="3">
        <f t="shared" si="13"/>
        <v>1</v>
      </c>
      <c r="HC11" s="4" t="str">
        <f t="shared" si="14"/>
        <v>Internship/Residency (O3&lt;=2 = (BP+BAH+BAS+VSP)*12)</v>
      </c>
      <c r="HD11" s="4"/>
      <c r="HE11" s="4"/>
      <c r="HF11" s="4"/>
      <c r="HG11" s="4"/>
      <c r="HH11" s="5">
        <f t="shared" si="15"/>
        <v>47226</v>
      </c>
      <c r="HI11" s="5">
        <f t="shared" si="16"/>
        <v>19939.199999999997</v>
      </c>
      <c r="HJ11" s="5">
        <f t="shared" si="17"/>
        <v>67165.2</v>
      </c>
      <c r="HK11" s="5">
        <f t="shared" si="18"/>
        <v>45401.05772195461</v>
      </c>
      <c r="HL11" s="5">
        <f t="shared" si="19"/>
        <v>19168.694577766426</v>
      </c>
      <c r="HM11" s="32">
        <f>IF(HK11-InputData!$C$158-InputData!$C$159&gt;=0,HK11-InputData!$C$158-InputData!$C$159,0)</f>
        <v>45401.05772195461</v>
      </c>
      <c r="HN11" s="32">
        <f>IF(HK11-IF(HK11&lt;=InputData!$C$146,InputData!$C$145,0)-MAX(InputData!$C$144,HT11)&gt;=0,HK11-IF(HK11&lt;=InputData!$C$146,InputData!$C$145,0)-MAX(InputData!$C$144,HT11),0)</f>
        <v>35401.05772195461</v>
      </c>
      <c r="HO11" s="32">
        <f>IF(HN11&lt;0,"Error",IF(HN11&lt;=InputData!$B$170,InputData!$C$170*HN11,IF(HN11&lt;=InputData!$B$171,InputData!$D$170+InputData!$C$171*(HN11-InputData!$B$170),IF(HN11&lt;=InputData!$B$172,InputData!$D$171+InputData!$C$172*(HN11-InputData!$B$171),IF(HN11&lt;=InputData!$B$173,InputData!$D$172+InputData!$C$173*(HN11-InputData!$B$172),IF(HN11&lt;=InputData!$B$174,InputData!$D$173+InputData!$C$174*(HN11-InputData!$B$173),IF(HN11&lt;=InputData!$B$175,InputData!$D$174+InputData!$C$175*(HN11-InputData!$B$174),InputData!$D$175+InputData!$C$176*(HN11-InputData!$B$175))))))))</f>
        <v>4863.9086582931914</v>
      </c>
      <c r="HP11" s="32">
        <f>IF(HK11&lt;=InputData!$C$150,InputData!$C$152,IF(HK11&lt;InputData!$C$151,IF(InputData!$C$152-0.25*IF(HK11-InputData!$C$150&lt;=0,0,HK11-InputData!$C$150)&lt;=0,0,InputData!$C$152-0.25*IF(HK11-InputData!$C$150&lt;=0,0,HK11-InputData!$C$150)),0))</f>
        <v>51900</v>
      </c>
      <c r="HQ11" s="32">
        <f>IF(HK11-HP11&lt;=0,0,IF(HK11-HP11&lt;=InputData!$C$153,InputData!$C$154*(HK11-HP11),InputData!$C$155*(HK11-HP11)-InputData!$D$154))</f>
        <v>0</v>
      </c>
      <c r="HR11" s="32">
        <f t="shared" si="95"/>
        <v>4863.9086582931914</v>
      </c>
      <c r="HS11" s="32">
        <f>IF(HK11&gt;=0,IF(HK11&lt;=InputData!$C$148,InputData!$C$147*HK11,InputData!$C$147*InputData!$C$148)+InputData!$C$149*HK11,0)</f>
        <v>3473.1809157295279</v>
      </c>
      <c r="HT11" s="32">
        <f>IF(HM11&lt;0,0,IF(HM11&lt;=InputData!$B$163,InputData!$C$163*HM11,IF(HM11&lt;=InputData!$B$164,InputData!$D$163+InputData!$C$164*(HM11-InputData!$B$163),IF(HM11&lt;=InputData!$B$165,InputData!$D$164+InputData!$C$165*(HM11-InputData!$B$164),InputData!$D$165+InputData!$C$166*(HM11-InputData!$B$165)))))</f>
        <v>0</v>
      </c>
      <c r="HU11" s="43">
        <f t="shared" si="96"/>
        <v>0.18363205599924048</v>
      </c>
      <c r="HV11" s="43">
        <f t="shared" si="97"/>
        <v>0.12911757095371013</v>
      </c>
      <c r="HW11" s="5">
        <f t="shared" si="98"/>
        <v>56232.662725698312</v>
      </c>
      <c r="HX11" s="32">
        <f>HW11/((1+InputData!$C$7)^(IntMed!$B11-IntMed!$B$7))</f>
        <v>49961.992501594294</v>
      </c>
      <c r="HY11" s="32">
        <f t="shared" si="99"/>
        <v>169089.82248832227</v>
      </c>
      <c r="IA11" s="3">
        <f t="shared" si="20"/>
        <v>1</v>
      </c>
      <c r="IB11" s="4" t="str">
        <f t="shared" si="21"/>
        <v>Internship/Residency (O3&lt;=2 = (BP+BAH+BAS+VSP)*12)</v>
      </c>
      <c r="IC11" s="5">
        <f t="shared" si="22"/>
        <v>47226</v>
      </c>
      <c r="ID11" s="5">
        <f t="shared" si="23"/>
        <v>19939.199999999997</v>
      </c>
      <c r="IE11" s="5">
        <f t="shared" si="24"/>
        <v>67165.2</v>
      </c>
      <c r="IF11" s="5">
        <f t="shared" si="25"/>
        <v>45401.05772195461</v>
      </c>
      <c r="IG11" s="5">
        <f t="shared" si="26"/>
        <v>19168.694577766426</v>
      </c>
      <c r="IH11" s="32">
        <f>IF(IF11-InputData!$C$158-InputData!$C$159&gt;=0,IF11-InputData!$C$158-InputData!$C$159,0)</f>
        <v>45401.05772195461</v>
      </c>
      <c r="II11" s="32">
        <f>IF(IF11-IF(IF11&lt;=InputData!$C$146,InputData!$C$145,0)-MAX(InputData!$C$144,IO11)&gt;=0,IF11-IF(IF11&lt;=InputData!$C$146,InputData!$C$145,0)-MAX(InputData!$C$144,IO11),0)</f>
        <v>35401.05772195461</v>
      </c>
      <c r="IJ11" s="32">
        <f>IF(II11&lt;0,"Error",IF(II11&lt;=InputData!$B$170,InputData!$C$170*II11,IF(II11&lt;=InputData!$B$171,InputData!$D$170+InputData!$C$171*(II11-InputData!$B$170),IF(II11&lt;=InputData!$B$172,InputData!$D$171+InputData!$C$172*(II11-InputData!$B$171),IF(II11&lt;=InputData!$B$173,InputData!$D$172+InputData!$C$173*(II11-InputData!$B$172),IF(II11&lt;=InputData!$B$174,InputData!$D$173+InputData!$C$174*(II11-InputData!$B$173),IF(II11&lt;=InputData!$B$175,InputData!$D$174+InputData!$C$175*(II11-InputData!$B$174),InputData!$D$175+InputData!$C$176*(II11-InputData!$B$175))))))))</f>
        <v>4863.9086582931914</v>
      </c>
      <c r="IK11" s="32">
        <f>IF(IF11&lt;=InputData!$C$150,InputData!$C$152,IF(IF11&lt;InputData!$C$151,IF(InputData!$C$152-0.25*IF(IF11-InputData!$C$150&lt;=0,0,IF11-InputData!$C$150)&lt;=0,0,InputData!$C$152-0.25*IF(IF11-InputData!$C$150&lt;=0,0,IF11-InputData!$C$150)),0))</f>
        <v>51900</v>
      </c>
      <c r="IL11" s="32">
        <f>IF(IF11-IK11&lt;=0,0,IF(IF11-IK11&lt;=InputData!$C$153,InputData!$C$154*(IF11-IK11),InputData!$C$155*(IF11-IK11)-InputData!$D$154))</f>
        <v>0</v>
      </c>
      <c r="IM11" s="32">
        <f t="shared" si="100"/>
        <v>4863.9086582931914</v>
      </c>
      <c r="IN11" s="32">
        <f>IF(IF11&gt;=0,IF(IF11&lt;=InputData!$C$148,InputData!$C$147*IF11,InputData!$C$147*InputData!$C$148)+InputData!$C$149*IF11,0)</f>
        <v>3473.1809157295279</v>
      </c>
      <c r="IO11" s="32">
        <f>IF(IH11&lt;0,0,IF(IH11&lt;=InputData!$B$163,InputData!$C$163*IH11,IF(IH11&lt;=InputData!$B$164,InputData!$D$163+InputData!$C$164*(IH11-InputData!$B$163),IF(IH11&lt;=InputData!$B$165,InputData!$D$164+InputData!$C$165*(IH11-InputData!$B$164),InputData!$D$165+InputData!$C$166*(IH11-InputData!$B$165)))))</f>
        <v>0</v>
      </c>
      <c r="IP11" s="43">
        <f t="shared" si="101"/>
        <v>0.18363205599924048</v>
      </c>
      <c r="IQ11" s="43">
        <f t="shared" si="102"/>
        <v>0.12911757095371013</v>
      </c>
      <c r="IR11" s="5">
        <f t="shared" si="27"/>
        <v>56232.662725698312</v>
      </c>
      <c r="IS11" s="32">
        <f>IR11/((1+InputData!$C$7)^(IntMed!$B11-IntMed!$B$7))</f>
        <v>49961.992501594294</v>
      </c>
      <c r="IT11" s="5">
        <f t="shared" si="103"/>
        <v>261213.54479899554</v>
      </c>
      <c r="IV11" s="41">
        <f t="shared" si="28"/>
        <v>1</v>
      </c>
      <c r="IW11" s="49" t="str">
        <f t="shared" si="29"/>
        <v>Internship/Residency (O3&lt;=2 = (BP+BAH+BAS+VSP)*12)</v>
      </c>
      <c r="IX11" s="32">
        <f t="shared" si="30"/>
        <v>47226</v>
      </c>
      <c r="IY11" s="32">
        <f t="shared" si="31"/>
        <v>19939.199999999997</v>
      </c>
      <c r="IZ11" s="32">
        <f t="shared" si="32"/>
        <v>67165.2</v>
      </c>
      <c r="JA11" s="32">
        <f t="shared" si="33"/>
        <v>45401.05772195461</v>
      </c>
      <c r="JB11" s="32">
        <f t="shared" si="34"/>
        <v>19168.694577766426</v>
      </c>
      <c r="JC11" s="32">
        <f>IF(JA11-InputData!$C$158-InputData!$C$159&gt;=0,JA11-InputData!$C$158-InputData!$C$159,0)</f>
        <v>45401.05772195461</v>
      </c>
      <c r="JD11" s="32">
        <f>IF(JA11-IF(JA11&lt;=InputData!$C$146,InputData!$C$145,0)-MAX(InputData!$C$144,JJ11)&gt;=0,JA11-IF(JA11&lt;=InputData!$C$146,InputData!$C$145,0)-MAX(InputData!$C$144,JJ11),0)</f>
        <v>35401.05772195461</v>
      </c>
      <c r="JE11" s="32">
        <f>IF(JD11&lt;0,"Error",IF(JD11&lt;=InputData!$B$170,InputData!$C$170*JD11,IF(JD11&lt;=InputData!$B$171,InputData!$D$170+InputData!$C$171*(JD11-InputData!$B$170),IF(JD11&lt;=InputData!$B$172,InputData!$D$171+InputData!$C$172*(JD11-InputData!$B$171),IF(JD11&lt;=InputData!$B$173,InputData!$D$172+InputData!$C$173*(JD11-InputData!$B$172),IF(JD11&lt;=InputData!$B$174,InputData!$D$173+InputData!$C$174*(JD11-InputData!$B$173),IF(JD11&lt;=InputData!$B$175,InputData!$D$174+InputData!$C$175*(JD11-InputData!$B$174),InputData!$D$175+InputData!$C$176*(JD11-InputData!$B$175))))))))</f>
        <v>4863.9086582931914</v>
      </c>
      <c r="JF11" s="32">
        <f>IF(JA11&lt;=InputData!$C$150,InputData!$C$152,IF(JA11&lt;InputData!$C$151,IF(InputData!$C$152-0.25*IF(JA11-InputData!$C$150&lt;=0,0,JA11-InputData!$C$150)&lt;=0,0,InputData!$C$152-0.25*IF(JA11-InputData!$C$150&lt;=0,0,JA11-InputData!$C$150)),0))</f>
        <v>51900</v>
      </c>
      <c r="JG11" s="32">
        <f>IF(JA11-JF11&lt;=0,0,IF(JA11-JF11&lt;=InputData!$C$153,InputData!$C$154*(JA11-JF11),InputData!$C$155*(JA11-JF11)-InputData!$D$154))</f>
        <v>0</v>
      </c>
      <c r="JH11" s="32">
        <f t="shared" si="104"/>
        <v>4863.9086582931914</v>
      </c>
      <c r="JI11" s="32">
        <f>IF(JA11&gt;=0,IF(JA11&lt;=InputData!$C$148,InputData!$C$147*JA11,InputData!$C$147*InputData!$C$148)+InputData!$C$149*JA11,0)</f>
        <v>3473.1809157295279</v>
      </c>
      <c r="JJ11" s="32">
        <f>IF(JC11&lt;0,0,IF(JC11&lt;=InputData!$B$163,InputData!$C$163*JC11,IF(JC11&lt;=InputData!$B$164,InputData!$D$163+InputData!$C$164*(JC11-InputData!$B$163),IF(JC11&lt;=InputData!$B$165,InputData!$D$164+InputData!$C$165*(JC11-InputData!$B$164),InputData!$D$165+InputData!$C$166*(JC11-InputData!$B$165)))))</f>
        <v>0</v>
      </c>
      <c r="JK11" s="42">
        <f t="shared" si="105"/>
        <v>0.18363205599924048</v>
      </c>
      <c r="JL11" s="42">
        <f t="shared" si="106"/>
        <v>0.12911757095371013</v>
      </c>
      <c r="JM11" s="32">
        <f t="shared" si="35"/>
        <v>56232.662725698312</v>
      </c>
      <c r="JN11" s="32">
        <f>JM11/((1+InputData!$C$7)^(IntMed!$B11-IntMed!$B$7))</f>
        <v>49961.992501594294</v>
      </c>
      <c r="JO11" s="32">
        <f t="shared" si="107"/>
        <v>169089.82248832227</v>
      </c>
      <c r="JQ11" s="41" t="s">
        <v>1</v>
      </c>
      <c r="JR11" s="32">
        <f>InputData!$C$74*(1+InputData!$C$11)^(IntMed!$B11-IntMed!$B$7)</f>
        <v>54353.24848224</v>
      </c>
      <c r="JS11" s="32">
        <v>0</v>
      </c>
      <c r="JT11" s="32">
        <f t="shared" si="108"/>
        <v>54353.24848224</v>
      </c>
      <c r="JU11" s="5">
        <f>JR11*(1/(1+InputData!$C$3))^(IntMed!$B11-IntMed!$B$7)</f>
        <v>50213.999999999993</v>
      </c>
      <c r="JV11" s="5">
        <f>JS11*(1/(1+InputData!$C$3))^(IntMed!$B11-IntMed!$B$7)</f>
        <v>0</v>
      </c>
      <c r="JW11" s="32">
        <f>IF(JU11-InputData!$C$158-InputData!$C$159&gt;=0,JU11-InputData!$C$158-InputData!$C$159,0)</f>
        <v>50213.999999999993</v>
      </c>
      <c r="JX11" s="32">
        <f>IF(JU11-IF(JU11&lt;=InputData!$C$146,InputData!$C$145,0)-MAX(InputData!$C$144,KD11)&gt;=0,JU11-IF(JU11&lt;=InputData!$C$146,InputData!$C$145,0)-MAX(InputData!$C$144,KD11),0)</f>
        <v>40213.999999999993</v>
      </c>
      <c r="JY11" s="32">
        <f>IF(JX11&lt;0,"Error",IF(JX11&lt;=InputData!$B$170,InputData!$C$170*JX11,IF(JX11&lt;=InputData!$B$171,InputData!$D$170+InputData!$C$171*(JX11-InputData!$B$170),IF(JX11&lt;=InputData!$B$172,InputData!$D$171+InputData!$C$172*(JX11-InputData!$B$171),IF(JX11&lt;=InputData!$B$173,InputData!$D$172+InputData!$C$173*(JX11-InputData!$B$172),IF(JX11&lt;=InputData!$B$174,InputData!$D$173+InputData!$C$174*(JX11-InputData!$B$173),IF(JX11&lt;=InputData!$B$175,InputData!$D$174+InputData!$C$175*(JX11-InputData!$B$174),InputData!$D$175+InputData!$C$176*(JX11-InputData!$B$175))))))))</f>
        <v>5982.2499999999982</v>
      </c>
      <c r="JZ11" s="32">
        <f>IF(JU11&lt;=InputData!$C$150,InputData!$C$152,IF(JU11&lt;InputData!$C$151,IF(InputData!$C$152-0.25*IF(JU11-InputData!$C$150&lt;=0,0,JU11-InputData!$C$150)&lt;=0,0,InputData!$C$152-0.25*IF(JU11-InputData!$C$150&lt;=0,0,JU11-InputData!$C$150)),0))</f>
        <v>51900</v>
      </c>
      <c r="KA11" s="32">
        <f>IF(JU11-JZ11&lt;=0,0,IF(JU11-JZ11&lt;=InputData!$C$153,InputData!$C$154*(JU11-JZ11),InputData!$C$155*(JU11-JZ11)-InputData!$D$154))</f>
        <v>0</v>
      </c>
      <c r="KB11" s="32">
        <f t="shared" si="109"/>
        <v>5982.2499999999982</v>
      </c>
      <c r="KC11" s="32">
        <f>IF(JU11&gt;=0,IF(JU11&lt;=InputData!$C$148,InputData!$C$147*JU11,InputData!$C$147*InputData!$C$148)+InputData!$C$149*JU11,0)</f>
        <v>3841.3709999999996</v>
      </c>
      <c r="KD11" s="32">
        <f>IF(JW11&lt;0,0,IF(JW11&lt;=InputData!$B$163,InputData!$C$163*JW11,IF(JW11&lt;=InputData!$B$164,InputData!$D$163+InputData!$C$164*(JW11-InputData!$B$163),IF(JW11&lt;=InputData!$B$165,InputData!$D$164+InputData!$C$165*(JW11-InputData!$B$164),InputData!$D$165+InputData!$C$166*(JW11-InputData!$B$165)))))</f>
        <v>0</v>
      </c>
      <c r="KE11" s="43">
        <f t="shared" si="110"/>
        <v>0.19563510176444815</v>
      </c>
      <c r="KF11" s="43">
        <f t="shared" si="111"/>
        <v>0.19563510176444815</v>
      </c>
      <c r="KG11" s="5">
        <f t="shared" si="112"/>
        <v>40390.378999999994</v>
      </c>
      <c r="KH11" s="32">
        <f>KG11/((1+InputData!$C$7)^(IntMed!$B11-IntMed!$B$7))</f>
        <v>35886.328601905829</v>
      </c>
      <c r="KI11" s="5">
        <f t="shared" si="143"/>
        <v>87102.330929145042</v>
      </c>
      <c r="KK11" s="7"/>
      <c r="KM11">
        <v>26</v>
      </c>
      <c r="KN11" s="41" t="s">
        <v>1</v>
      </c>
      <c r="KO11" s="32">
        <f>InputData!$C$74*(1+InputData!$C$11)^(IntMed!$B11-IntMed!$B$7)</f>
        <v>54353.24848224</v>
      </c>
      <c r="KP11" s="32">
        <v>0</v>
      </c>
      <c r="KQ11" s="32">
        <f t="shared" si="114"/>
        <v>54353.24848224</v>
      </c>
      <c r="KR11" s="32">
        <f>KR10*(1+InputData!$C$8)</f>
        <v>12437.145518400002</v>
      </c>
      <c r="KS11" s="5">
        <f>KO11*(1/(1+InputData!$C$3))^(IntMed!$B11-IntMed!$B$7)</f>
        <v>50213.999999999993</v>
      </c>
      <c r="KT11" s="5">
        <f>KP11*(1/(1+InputData!$C$3))^(IntMed!$B11-IntMed!$B$7)</f>
        <v>0</v>
      </c>
      <c r="KU11" s="126" t="s">
        <v>328</v>
      </c>
      <c r="KV11" s="32">
        <v>0</v>
      </c>
      <c r="KW11" s="118">
        <f>KW10</f>
        <v>180000</v>
      </c>
      <c r="KX11" s="118">
        <f>(0.5*KW10+0.5*(LA10+0.5*KW10*InputData!$C$6))*InputData!$C$6</f>
        <v>12184.523010000001</v>
      </c>
      <c r="KY11" s="118">
        <f>0.5*$DC$2*InputData!$C$6-KZ11</f>
        <v>3025.769989536001</v>
      </c>
      <c r="KZ11" s="118">
        <f>IF(0.1*($KQ$11-1.5*$AZ11)&lt;=$DD$2,MIN(0.1*($KQ11-1.5*$AZ11),$DD$2, KW11+KX11),"DNQ")</f>
        <v>3569.7530204639997</v>
      </c>
      <c r="LA11" s="32">
        <f>LA10+$BD11+KX11-KZ11</f>
        <v>215441.96998953601</v>
      </c>
      <c r="LB11" s="32">
        <f>KZ11/((1+InputData!$C$3)^(IntMed!$B11-IntMed!$B$7))</f>
        <v>3297.8999999999996</v>
      </c>
      <c r="LC11" s="32">
        <f>IF(KS11-InputData!$C$158-InputData!$C$159&gt;=0,KS11-InputData!$C$158-InputData!$C$159,0)</f>
        <v>50213.999999999993</v>
      </c>
      <c r="LD11" s="32">
        <f>IF(KS11-IF(KS11&lt;=InputData!$C$146,InputData!$C$145,0)-MAX(InputData!$C$144,LJ11)&gt;=0,KS11-IF(KS11&lt;=InputData!$C$146,InputData!$C$145,0)-MAX(InputData!$C$144,LJ11),0)</f>
        <v>40213.999999999993</v>
      </c>
      <c r="LE11" s="32">
        <f>IF(LD11&lt;0,"Error",IF(LD11&lt;=InputData!$B$170,InputData!$C$170*LD11,IF(LD11&lt;=InputData!$B$171,InputData!$D$170+InputData!$C$171*(LD11-InputData!$B$170),IF(LD11&lt;=InputData!$B$172,InputData!$D$171+InputData!$C$172*(LD11-InputData!$B$171),IF(LD11&lt;=InputData!$B$173,InputData!$D$172+InputData!$C$173*(LD11-InputData!$B$172),IF(LD11&lt;=InputData!$B$174,InputData!$D$173+InputData!$C$174*(LD11-InputData!$B$173),IF(LD11&lt;=InputData!$B$175,InputData!$D$174+InputData!$C$175*(LD11-InputData!$B$174),InputData!$D$175+InputData!$C$176*(LD11-InputData!$B$175))))))))</f>
        <v>5982.2499999999982</v>
      </c>
      <c r="LF11" s="32">
        <f>IF(KS11&lt;=InputData!$C$150,InputData!$C$152,IF(KS11&lt;InputData!$C$151,IF(InputData!$C$152-0.25*IF(KS11-InputData!$C$150&lt;=0,0,KS11-InputData!$C$150)&lt;=0,0,InputData!$C$152-0.25*IF(KS11-InputData!$C$150&lt;=0,0,KS11-InputData!$C$150)),0))</f>
        <v>51900</v>
      </c>
      <c r="LG11" s="32">
        <f>IF(KS11-LF11&lt;=0,0,IF(KS11-LF11&lt;=InputData!$C$153,InputData!$C$154*(KS11-LF11),InputData!$C$155*(KS11-LF11)-InputData!$D$154))</f>
        <v>0</v>
      </c>
      <c r="LH11" s="32">
        <f t="shared" si="118"/>
        <v>5982.2499999999982</v>
      </c>
      <c r="LI11" s="32">
        <f>IF(KS11&gt;=0,IF(KS11&lt;=InputData!$C$148,InputData!$C$147*KS11,InputData!$C$147*InputData!$C$148)+InputData!$C$149*KS11,0)</f>
        <v>3841.3709999999996</v>
      </c>
      <c r="LJ11" s="32">
        <f>IF(LC11&lt;0,0,IF(LC11&lt;=InputData!$B$163,InputData!$C$163*LC11,IF(LC11&lt;=InputData!$B$164,InputData!$D$163+InputData!$C$164*(LC11-InputData!$B$163),IF(LC11&lt;=InputData!$B$165,InputData!$D$164+InputData!$C$165*(LC11-InputData!$B$164),InputData!$D$165+InputData!$C$166*(LC11-InputData!$B$165)))))</f>
        <v>0</v>
      </c>
      <c r="LK11" s="43">
        <f>(LH11+LI11+LJ11)/(KS11+KT11)</f>
        <v>0.19563510176444815</v>
      </c>
      <c r="LL11" s="32">
        <f t="shared" si="119"/>
        <v>40390.378999999994</v>
      </c>
      <c r="LM11" s="5">
        <f t="shared" si="120"/>
        <v>37092.478999999992</v>
      </c>
      <c r="LN11" s="32">
        <f>LM11/((1+InputData!$C$7)^(IntMed!$B11-IntMed!$B$7))</f>
        <v>32956.187166584677</v>
      </c>
      <c r="LO11" s="5">
        <f t="shared" si="145"/>
        <v>-157911.19312249741</v>
      </c>
      <c r="LQ11" s="157" t="str">
        <f t="shared" si="37"/>
        <v>Residency</v>
      </c>
      <c r="LR11" s="32">
        <f t="shared" si="121"/>
        <v>54353.24848224</v>
      </c>
      <c r="LS11" s="32">
        <v>0</v>
      </c>
      <c r="LT11" s="32">
        <f t="shared" si="123"/>
        <v>54353.24848224</v>
      </c>
      <c r="LU11" s="32">
        <f>LU10*(1+InputData!$C$8)</f>
        <v>12437.145518400002</v>
      </c>
      <c r="LV11" s="32">
        <f>LR11/((1+InputData!$C$3)^(IntMed!$B11-IntMed!$B$7))</f>
        <v>50214</v>
      </c>
      <c r="LW11" s="32">
        <f>LS11/((1+InputData!$C$3)^(IntMed!$B11-IntMed!$B$7))</f>
        <v>0</v>
      </c>
      <c r="LX11" s="126" t="s">
        <v>319</v>
      </c>
      <c r="LY11" s="32">
        <v>0</v>
      </c>
      <c r="LZ11" s="118">
        <f>LZ10</f>
        <v>0</v>
      </c>
      <c r="MA11" s="118">
        <f>(0.5*LZ10+0.5*(MC10+0.5*LZ10*InputData!$C$6))*InputData!$C$6</f>
        <v>0</v>
      </c>
      <c r="MB11" s="32">
        <v>0</v>
      </c>
      <c r="MC11" s="118">
        <f>MC10+LY11+MA11-MB11</f>
        <v>0</v>
      </c>
      <c r="MD11" s="32">
        <f>MB11/((1+InputData!$C$3)^(IntMed!$B11-IntMed!$B$7))</f>
        <v>0</v>
      </c>
      <c r="ME11" s="32">
        <f>IF(LV11-InputData!$C$158-InputData!$C$159&gt;=0,LV11-InputData!$C$158-InputData!$C$159,0)</f>
        <v>50214</v>
      </c>
      <c r="MF11" s="32">
        <f>IF(LV11-IF(LV11&lt;=InputData!$C$146,InputData!$C$145,0)-MAX(InputData!$C$144,ML11)&gt;=0,LV11-IF(LV11&lt;=InputData!$C$146,InputData!$C$145,0)-MAX(InputData!$C$144,ML11),0)</f>
        <v>40214</v>
      </c>
      <c r="MG11" s="32">
        <f>IF(MF11&lt;0,"Error",IF(MF11&lt;=InputData!$B$170,InputData!$C$170*MF11,IF(MF11&lt;=InputData!$B$171,InputData!$D$170+InputData!$C$171*(MF11-InputData!$B$170),IF(MF11&lt;=InputData!$B$172,InputData!$D$171+InputData!$C$172*(MF11-InputData!$B$171),IF(MF11&lt;=InputData!$B$173,InputData!$D$172+InputData!$C$173*(MF11-InputData!$B$172),IF(MF11&lt;=InputData!$B$174,InputData!$D$173+InputData!$C$174*(MF11-InputData!$B$173),IF(MF11&lt;=InputData!$B$175,InputData!$D$174+InputData!$C$175*(MF11-InputData!$B$174),InputData!$D$175+InputData!$C$176*(MF11-InputData!$B$175))))))))</f>
        <v>5982.25</v>
      </c>
      <c r="MH11" s="32">
        <f>IF(LV11&lt;=InputData!$C$150,InputData!$C$152,IF(LV11&lt;InputData!$C$151,IF(InputData!$C$152-0.25*IF(LV11-InputData!$C$150&lt;=0,0,LV11-InputData!$C$150)&lt;=0,0,InputData!$C$152-0.25*IF(LV11-InputData!$C$150&lt;=0,0,LV11-InputData!$C$150)),0))</f>
        <v>51900</v>
      </c>
      <c r="MI11" s="32">
        <f>IF(LV11-MH11&lt;=0,0,IF(LV11-MH11&lt;=InputData!$C$153,InputData!$C$154*(LV11-MH11),InputData!$C$155*(LV11-MH11)-InputData!$D$154))</f>
        <v>0</v>
      </c>
      <c r="MJ11" s="32">
        <f t="shared" si="124"/>
        <v>5982.25</v>
      </c>
      <c r="MK11" s="32">
        <f>IF(LV11&gt;=0,IF(LV11&lt;=InputData!$C$148,InputData!$C$147*LV11,InputData!$C$147*InputData!$C$148)+InputData!$C$149*LV11,0)</f>
        <v>3841.3710000000001</v>
      </c>
      <c r="ML11" s="32">
        <f>IF(ME11&lt;0,0,IF(ME11&lt;=InputData!$B$163,InputData!$C$163*ME11,IF(ME11&lt;=InputData!$B$164,InputData!$D$163+InputData!$C$164*(ME11-InputData!$B$163),IF(ME11&lt;=InputData!$B$165,InputData!$D$164+InputData!$C$165*(ME11-InputData!$B$164),InputData!$D$165+InputData!$C$166*(ME11-InputData!$B$165)))))</f>
        <v>0</v>
      </c>
      <c r="MM11" s="43">
        <f t="shared" si="38"/>
        <v>0.19563510176444815</v>
      </c>
      <c r="MN11" s="32">
        <f t="shared" si="125"/>
        <v>40390.379000000001</v>
      </c>
      <c r="MO11" s="32">
        <f t="shared" si="126"/>
        <v>40390.379000000001</v>
      </c>
      <c r="MP11" s="32">
        <f>MO11/((1+InputData!$C$7)^(IntMed!$B11-IntMed!$B$7))</f>
        <v>35886.328601905836</v>
      </c>
      <c r="MQ11" s="5">
        <f t="shared" si="147"/>
        <v>35886.328601905836</v>
      </c>
    </row>
    <row r="12" spans="1:355" ht="14.45" x14ac:dyDescent="0.3">
      <c r="A12" s="53">
        <v>2018</v>
      </c>
      <c r="B12" s="51">
        <v>6</v>
      </c>
      <c r="C12" s="4"/>
      <c r="D12" s="3">
        <v>2</v>
      </c>
      <c r="E12" s="97" t="s">
        <v>257</v>
      </c>
      <c r="F12" s="5">
        <f>InputData!$C$24*12</f>
        <v>46026</v>
      </c>
      <c r="G12" s="5">
        <f>(InputData!$C$24+InputData!$D$45)*12</f>
        <v>51025.919999999998</v>
      </c>
      <c r="H12" s="5">
        <f>(InputData!$C$35+InputData!$C$40)*12</f>
        <v>19939.199999999997</v>
      </c>
      <c r="I12" s="5">
        <f t="shared" si="39"/>
        <v>70965.119999999995</v>
      </c>
      <c r="J12" s="5">
        <f>G12*((1+InputData!$C$5)/(1+InputData!$C$3))^(IntMed!$B12-IntMed!$B$7)</f>
        <v>48573.21545684366</v>
      </c>
      <c r="K12" s="5">
        <f>H12*((1+InputData!$C$5)/(1+InputData!$C$3))^(IntMed!$B12-IntMed!$B$7)</f>
        <v>18980.766199553032</v>
      </c>
      <c r="L12" s="32">
        <f>IF(J12-InputData!$C$158-InputData!$C$159&gt;=0,J12-InputData!$C$158-InputData!$C$159,0)</f>
        <v>48573.21545684366</v>
      </c>
      <c r="M12" s="32">
        <f>IF(J12-IF(J12&lt;=InputData!$C$146,InputData!$C$145,0)-MAX(InputData!$C$144,S12)&gt;=0,J12-IF(J12&lt;=InputData!$C$146,InputData!$C$145,0)-MAX(InputData!$C$144,S12),0)</f>
        <v>38573.21545684366</v>
      </c>
      <c r="N12" s="32">
        <f>IF(M12&lt;0,"Error",IF(M12&lt;=InputData!$B$170,InputData!$C$170*M12,IF(M12&lt;=InputData!$B$171,InputData!$D$170+InputData!$C$171*(M12-InputData!$B$170),IF(M12&lt;=InputData!$B$172,InputData!$D$171+InputData!$C$172*(M12-InputData!$B$171),IF(M12&lt;=InputData!$B$173,InputData!$D$172+InputData!$C$173*(M12-InputData!$B$172),IF(M12&lt;=InputData!$B$174,InputData!$D$173+InputData!$C$174*(M12-InputData!$B$173),IF(M12&lt;=InputData!$B$175,InputData!$D$174+InputData!$C$175*(M12-InputData!$B$174),InputData!$D$175+InputData!$C$176*(M12-InputData!$B$175))))))))</f>
        <v>5572.053864210915</v>
      </c>
      <c r="O12" s="32">
        <f>IF(J12&lt;=InputData!$C$150,InputData!$C$152,IF(J12&lt;InputData!$C$151,IF(InputData!$C$152-0.25*IF(J12-InputData!$C$150&lt;=0,0,J12-InputData!$C$150)&lt;=0,0,InputData!$C$152-0.25*IF(J12-InputData!$C$150&lt;=0,0,J12-InputData!$C$150)),0))</f>
        <v>51900</v>
      </c>
      <c r="P12" s="32">
        <f>IF(J12-O12&lt;=0,0,IF(J12-O12&lt;=InputData!$C$153,InputData!$C$154*(J12-O12),InputData!$C$155*(J12-O12)-InputData!$D$154))</f>
        <v>0</v>
      </c>
      <c r="Q12" s="32">
        <f t="shared" si="40"/>
        <v>5572.053864210915</v>
      </c>
      <c r="R12" s="32">
        <f>IF(J12&gt;=0,IF(J12&lt;=InputData!$C$148,InputData!$C$147*J12,InputData!$C$147*InputData!$C$148)+InputData!$C$149*J12,0)</f>
        <v>3715.85098244854</v>
      </c>
      <c r="S12" s="32">
        <f>IF(L12&lt;0,0,IF(L12&lt;=InputData!$B$163,InputData!$C$163*L12,IF(L12&lt;=InputData!$B$164,InputData!$D$163+InputData!$C$164*(L12-InputData!$B$163),IF(L12&lt;=InputData!$B$165,InputData!$D$164+InputData!$C$165*(L12-InputData!$B$164),InputData!$D$165+InputData!$C$166*(L12-InputData!$B$165)))))</f>
        <v>0</v>
      </c>
      <c r="T12" s="43">
        <f t="shared" si="41"/>
        <v>0.191214535815764</v>
      </c>
      <c r="U12" s="43">
        <f t="shared" si="42"/>
        <v>0.13748863677497211</v>
      </c>
      <c r="V12" s="5">
        <f t="shared" si="43"/>
        <v>58266.076809737235</v>
      </c>
      <c r="W12" s="32">
        <f>V12/((1+InputData!$C$7)^(IntMed!$B12-IntMed!$B$7))</f>
        <v>50260.829687681769</v>
      </c>
      <c r="X12" s="5">
        <f t="shared" si="127"/>
        <v>311474.37448667729</v>
      </c>
      <c r="Y12" s="53"/>
      <c r="Z12" s="3">
        <v>2</v>
      </c>
      <c r="AA12" s="97" t="s">
        <v>257</v>
      </c>
      <c r="AB12" s="5">
        <f t="shared" si="149"/>
        <v>46026</v>
      </c>
      <c r="AC12" s="5">
        <f t="shared" si="149"/>
        <v>51025.919999999998</v>
      </c>
      <c r="AD12" s="5">
        <f t="shared" si="149"/>
        <v>19939.199999999997</v>
      </c>
      <c r="AE12" s="5">
        <f t="shared" si="44"/>
        <v>70965.119999999995</v>
      </c>
      <c r="AF12" s="5">
        <f>AC12*((1+InputData!$C$5)/(1+InputData!$C$3))^(IntMed!$B12-IntMed!$B$7)</f>
        <v>48573.21545684366</v>
      </c>
      <c r="AG12" s="5">
        <f>AD12*((1+InputData!$C$5)/(1+InputData!$C$3))^(IntMed!$B12-IntMed!$B$7)</f>
        <v>18980.766199553032</v>
      </c>
      <c r="AH12" s="32">
        <f>IF(AF12-InputData!$C$158-InputData!$C$159&gt;=0,AF12-InputData!$C$158-InputData!$C$159,0)</f>
        <v>48573.21545684366</v>
      </c>
      <c r="AI12" s="32">
        <f>IF(AF12-IF(AF12&lt;=InputData!$C$146,InputData!$C$145,0)-MAX(InputData!$C$144,AO12)&gt;=0,AF12-IF(AF12&lt;=InputData!$C$146,InputData!$C$145,0)-MAX(InputData!$C$144,AO12),0)</f>
        <v>38573.21545684366</v>
      </c>
      <c r="AJ12" s="32">
        <f>IF(AI12&lt;0,"Error",IF(AI12&lt;=InputData!$B$170,InputData!$C$170*AI12,IF(AI12&lt;=InputData!$B$171,InputData!$D$170+InputData!$C$171*(AI12-InputData!$B$170),IF(AI12&lt;=InputData!$B$172,InputData!$D$171+InputData!$C$172*(AI12-InputData!$B$171),IF(AI12&lt;=InputData!$B$173,InputData!$D$172+InputData!$C$173*(AI12-InputData!$B$172),IF(AI12&lt;=InputData!$B$174,InputData!$D$173+InputData!$C$174*(AI12-InputData!$B$173),IF(AI12&lt;=InputData!$B$175,InputData!$D$174+InputData!$C$175*(AI12-InputData!$B$174),InputData!$D$175+InputData!$C$176*(AI12-InputData!$B$175))))))))</f>
        <v>5572.053864210915</v>
      </c>
      <c r="AK12" s="32">
        <f>IF(AF12&lt;=InputData!$C$150,InputData!$C$152,IF(AF12&lt;InputData!$C$151,IF(InputData!$C$152-0.25*IF(AF12-InputData!$C$150&lt;=0,0,AF12-InputData!$C$150)&lt;=0,0,InputData!$C$152-0.25*IF(AF12-InputData!$C$150&lt;=0,0,AF12-InputData!$C$150)),0))</f>
        <v>51900</v>
      </c>
      <c r="AL12" s="32">
        <f>IF(AF12-AK12&lt;=0,0,IF(AF12-AK12&lt;=InputData!$C$153,InputData!$C$154*(AF12-AK12),InputData!$C$155*(AF12-AK12)-InputData!$D$154))</f>
        <v>0</v>
      </c>
      <c r="AM12" s="32">
        <f t="shared" si="45"/>
        <v>5572.053864210915</v>
      </c>
      <c r="AN12" s="32">
        <f>IF(AF12&gt;=0,IF(AF12&lt;=InputData!$C$148,InputData!$C$147*AF12,InputData!$C$147*InputData!$C$148)+InputData!$C$149*AF12,0)</f>
        <v>3715.85098244854</v>
      </c>
      <c r="AO12" s="32">
        <f>IF(AH12&lt;0,0,IF(AH12&lt;=InputData!$B$163,InputData!$C$163*AH12,IF(AH12&lt;=InputData!$B$164,InputData!$D$163+InputData!$C$164*(AH12-InputData!$B$163),IF(AH12&lt;=InputData!$B$165,InputData!$D$164+InputData!$C$165*(AH12-InputData!$B$164),InputData!$D$165+InputData!$C$166*(AH12-InputData!$B$165)))))</f>
        <v>0</v>
      </c>
      <c r="AP12" s="43">
        <f t="shared" si="46"/>
        <v>0.191214535815764</v>
      </c>
      <c r="AQ12" s="43">
        <f t="shared" si="47"/>
        <v>0.13748863677497211</v>
      </c>
      <c r="AR12" s="5">
        <f t="shared" si="48"/>
        <v>58266.076809737235</v>
      </c>
      <c r="AS12" s="32">
        <f>AR12/((1+InputData!$C$7)^(IntMed!$B12-IntMed!$B$7))</f>
        <v>50260.829687681769</v>
      </c>
      <c r="AT12" s="5">
        <f t="shared" si="128"/>
        <v>219350.65217600405</v>
      </c>
      <c r="AU12" s="53"/>
      <c r="AV12" s="41" t="s">
        <v>1</v>
      </c>
      <c r="AW12" s="32">
        <f>AW11*(1+InputData!$C$9)</f>
        <v>57614.443391174405</v>
      </c>
      <c r="AX12" s="32">
        <v>0</v>
      </c>
      <c r="AY12" s="32">
        <f t="shared" si="50"/>
        <v>57614.443391174405</v>
      </c>
      <c r="AZ12" s="32">
        <f>AZ11*(1+InputData!$C$8)</f>
        <v>12685.888428768003</v>
      </c>
      <c r="BA12" s="32">
        <f>AW12/((1+InputData!$C$3)^(IntMed!$B12-IntMed!$B$7))</f>
        <v>52183.176470588238</v>
      </c>
      <c r="BB12" s="32">
        <f>AX12/((1+InputData!$C$3)^(IntMed!$B12-IntMed!$B$7))</f>
        <v>0</v>
      </c>
      <c r="BC12" s="32" t="s">
        <v>140</v>
      </c>
      <c r="BD12" s="32">
        <v>0</v>
      </c>
      <c r="BE12" s="118">
        <f>BH10+0.5*BE10*InputData!$C$6</f>
        <v>212416.2</v>
      </c>
      <c r="BF12" s="32">
        <f>(BE12)*InputData!$C$6</f>
        <v>13191.046020000002</v>
      </c>
      <c r="BG12" s="32">
        <v>0</v>
      </c>
      <c r="BH12" s="32">
        <f>BH11+BD12+BF12-BG12</f>
        <v>232202.76903000002</v>
      </c>
      <c r="BI12" s="32">
        <f>BG12/((1+InputData!$C$3)^(IntMed!$B12-IntMed!$B$7))</f>
        <v>0</v>
      </c>
      <c r="BJ12" s="32">
        <f>IF(BA12-InputData!$C$158-InputData!$C$159&gt;=0,BA12-InputData!$C$158-InputData!$C$159,0)</f>
        <v>52183.176470588238</v>
      </c>
      <c r="BK12" s="32">
        <f>IF(BA12-IF(BA12&lt;=InputData!$C$146,InputData!$C$145,0)-MAX(InputData!$C$144,BQ12)&gt;=0,BA12-IF(BA12&lt;=InputData!$C$146,InputData!$C$145,0)-MAX(InputData!$C$144,BQ12),0)</f>
        <v>42183.176470588238</v>
      </c>
      <c r="BL12" s="32">
        <f>IF(BK12&lt;0,"Error",IF(BK12&lt;=InputData!$B$170,InputData!$C$170*BK12,IF(BK12&lt;=InputData!$B$171,InputData!$D$170+InputData!$C$171*(BK12-InputData!$B$170),IF(BK12&lt;=InputData!$B$172,InputData!$D$171+InputData!$C$172*(BK12-InputData!$B$171),IF(BK12&lt;=InputData!$B$173,InputData!$D$172+InputData!$C$173*(BK12-InputData!$B$172),IF(BK12&lt;=InputData!$B$174,InputData!$D$173+InputData!$C$174*(BK12-InputData!$B$173),IF(BK12&lt;=InputData!$B$175,InputData!$D$174+InputData!$C$175*(BK12-InputData!$B$174),InputData!$D$175+InputData!$C$176*(BK12-InputData!$B$175))))))))</f>
        <v>6474.5441176470595</v>
      </c>
      <c r="BM12" s="32">
        <f>IF(BA12&lt;=InputData!$C$150,InputData!$C$152,IF(BA12&lt;InputData!$C$151,IF(InputData!$C$152-0.25*IF(BA12-InputData!$C$150&lt;=0,0,BA12-InputData!$C$150)&lt;=0,0,InputData!$C$152-0.25*IF(BA12-InputData!$C$150&lt;=0,0,BA12-InputData!$C$150)),0))</f>
        <v>51900</v>
      </c>
      <c r="BN12" s="32">
        <f>IF(BA12-BM12&lt;=0,0,IF(BA12-BM12&lt;=InputData!$C$153,InputData!$C$154*(BA12-BM12),InputData!$C$155*(BA12-BM12)-InputData!$D$154))</f>
        <v>73.625882352941844</v>
      </c>
      <c r="BO12" s="32">
        <f t="shared" si="51"/>
        <v>6474.5441176470595</v>
      </c>
      <c r="BP12" s="32">
        <f>IF(BA12&gt;=0,IF(BA12&lt;=InputData!$C$148,InputData!$C$147*BA12,InputData!$C$147*InputData!$C$148)+InputData!$C$149*BA12,0)</f>
        <v>3992.0129999999999</v>
      </c>
      <c r="BQ12" s="32">
        <f>IF(BJ12&lt;0,0,IF(BJ12&lt;=InputData!$B$163,InputData!$C$163*BJ12,IF(BJ12&lt;=InputData!$B$164,InputData!$D$163+InputData!$C$164*(BJ12-InputData!$B$163),IF(BJ12&lt;=InputData!$B$165,InputData!$D$164+InputData!$C$165*(BJ12-InputData!$B$164),InputData!$D$165+InputData!$C$166*(BJ12-InputData!$B$165)))))</f>
        <v>0</v>
      </c>
      <c r="BR12" s="43">
        <f t="shared" si="52"/>
        <v>0.20057339981107275</v>
      </c>
      <c r="BS12" s="32">
        <f t="shared" si="53"/>
        <v>41716.619352941183</v>
      </c>
      <c r="BT12" s="32">
        <f t="shared" si="54"/>
        <v>41716.619352941183</v>
      </c>
      <c r="BU12" s="32">
        <f>BT12/((1+InputData!$C$7)^(IntMed!$B12-IntMed!$B$7))</f>
        <v>35985.12230865749</v>
      </c>
      <c r="BV12" s="5">
        <f t="shared" si="130"/>
        <v>-118995.92937851879</v>
      </c>
      <c r="BW12" s="5"/>
      <c r="BX12" s="32" t="s">
        <v>140</v>
      </c>
      <c r="BY12" s="5">
        <f t="shared" si="55"/>
        <v>212416.2</v>
      </c>
      <c r="BZ12" s="5">
        <f t="shared" si="56"/>
        <v>13191.046020000002</v>
      </c>
      <c r="CA12" s="5">
        <v>0</v>
      </c>
      <c r="CB12" s="5">
        <f t="shared" si="57"/>
        <v>232202.76903000002</v>
      </c>
      <c r="CC12" s="32">
        <f>CA12/((1+InputData!$C$3)^(IntMed!$B12-IntMed!$B$7))</f>
        <v>0</v>
      </c>
      <c r="CD12" s="5">
        <f t="shared" si="58"/>
        <v>41716.619352941183</v>
      </c>
      <c r="CE12" s="32">
        <f>CD12/((1+InputData!$C$7)^(IntMed!$B12-IntMed!$B$7))</f>
        <v>35985.12230865749</v>
      </c>
      <c r="CF12" s="5">
        <f t="shared" si="131"/>
        <v>-118995.92937851879</v>
      </c>
      <c r="CG12" s="5"/>
      <c r="CH12" s="32" t="s">
        <v>140</v>
      </c>
      <c r="CI12" s="5">
        <f t="shared" si="59"/>
        <v>212416.2</v>
      </c>
      <c r="CJ12" s="5">
        <f t="shared" si="60"/>
        <v>13191.046020000002</v>
      </c>
      <c r="CK12" s="5">
        <v>0</v>
      </c>
      <c r="CL12" s="5">
        <f t="shared" si="61"/>
        <v>232202.76903000002</v>
      </c>
      <c r="CM12" s="32">
        <f>CK12/((1+InputData!$C$3)^(IntMed!$B12-IntMed!$B$7))</f>
        <v>0</v>
      </c>
      <c r="CN12" s="5">
        <f t="shared" si="62"/>
        <v>41716.619352941183</v>
      </c>
      <c r="CO12" s="32">
        <f>CN12/((1+InputData!$C$7)^(IntMed!$B12-IntMed!$B$7))</f>
        <v>35985.12230865749</v>
      </c>
      <c r="CP12" s="5">
        <f t="shared" si="132"/>
        <v>-118995.92937851879</v>
      </c>
      <c r="CQ12" s="5"/>
      <c r="CR12" s="32" t="s">
        <v>140</v>
      </c>
      <c r="CS12" s="5">
        <f t="shared" si="63"/>
        <v>212416.2</v>
      </c>
      <c r="CT12" s="5">
        <f t="shared" si="64"/>
        <v>13191.046020000002</v>
      </c>
      <c r="CU12" s="5">
        <v>0</v>
      </c>
      <c r="CV12" s="5">
        <f t="shared" si="65"/>
        <v>232202.76903000002</v>
      </c>
      <c r="CW12" s="32">
        <f>CU12/((1+InputData!$C$3)^(IntMed!$B12-IntMed!$B$7))</f>
        <v>0</v>
      </c>
      <c r="CX12" s="5">
        <f t="shared" si="66"/>
        <v>41716.619352941183</v>
      </c>
      <c r="CY12" s="32">
        <f>CX12/((1+InputData!$C$7)^(IntMed!$B12-IntMed!$B$7))</f>
        <v>35985.12230865749</v>
      </c>
      <c r="CZ12" s="5">
        <f t="shared" si="133"/>
        <v>-118995.92937851879</v>
      </c>
      <c r="DA12" s="5"/>
      <c r="DB12" s="32" t="s">
        <v>141</v>
      </c>
      <c r="DC12" s="5">
        <f>DF11</f>
        <v>204437.53302805533</v>
      </c>
      <c r="DD12" s="5">
        <f>DC12*InputData!$C$6</f>
        <v>12695.570801042237</v>
      </c>
      <c r="DE12" s="32">
        <f>MIN($DD$2,DC12+DD12)</f>
        <v>29148.379963889372</v>
      </c>
      <c r="DF12" s="32">
        <f>DF11+$BD12+DD12-DE12</f>
        <v>187984.72386520819</v>
      </c>
      <c r="DG12" s="32">
        <f>DE12/((1+InputData!$C$3)^(IntMed!$B12-IntMed!$B$7))</f>
        <v>26400.585789923614</v>
      </c>
      <c r="DH12" s="5">
        <f t="shared" si="70"/>
        <v>15316.033563017569</v>
      </c>
      <c r="DI12" s="32">
        <f>DH12/((1+InputData!$C$7)^(IntMed!$B12-IntMed!$B$7))</f>
        <v>13211.745093381642</v>
      </c>
      <c r="DJ12" s="5">
        <f t="shared" si="134"/>
        <v>-153732.16164497906</v>
      </c>
      <c r="DK12" s="5"/>
      <c r="DL12" s="32" t="s">
        <v>141</v>
      </c>
      <c r="DM12" s="133">
        <f>IF(0.15*($AY12-1.5*$AZ12)&lt;=$DD$2,DQ11-DO11,DQ11)</f>
        <v>212416.2</v>
      </c>
      <c r="DN12" s="5">
        <f>DM12*InputData!$C$6</f>
        <v>13191.046020000002</v>
      </c>
      <c r="DO12" s="133">
        <f>DO11+DN12-DP12</f>
        <v>8644.0978871006446</v>
      </c>
      <c r="DP12" s="32">
        <f t="shared" si="150"/>
        <v>5787.8416122033605</v>
      </c>
      <c r="DQ12" s="32">
        <f t="shared" si="151"/>
        <v>221060.29788710066</v>
      </c>
      <c r="DR12" s="32">
        <f>DP12/((1+InputData!$C$3)^(IntMed!$B12-IntMed!$B$7))</f>
        <v>5242.2264705882353</v>
      </c>
      <c r="DS12" s="5">
        <f t="shared" si="74"/>
        <v>36474.39288235295</v>
      </c>
      <c r="DT12" s="32">
        <f>DS12/((1+InputData!$C$7)^(IntMed!$B12-IntMed!$B$7))</f>
        <v>31463.131705396885</v>
      </c>
      <c r="DU12" s="5">
        <f t="shared" si="136"/>
        <v>-127913.13213476112</v>
      </c>
      <c r="DV12" s="5"/>
      <c r="DW12" s="32" t="s">
        <v>141</v>
      </c>
      <c r="DX12" s="133">
        <f>IF(0.1*($AY12-1.5*$AZ12)&lt;=$DD$2,EB11-DZ11,MIN(EB11,1.1*$DC$2))</f>
        <v>212416.2</v>
      </c>
      <c r="DY12" s="5">
        <f>DX12*InputData!$C$6</f>
        <v>13191.046020000002</v>
      </c>
      <c r="DZ12" s="133">
        <f>MAX(0,DZ11+DY12-EA12)</f>
        <v>12358.254934733763</v>
      </c>
      <c r="EA12" s="32">
        <f>IF(0.1*($AY$11-1.5*$AZ12)&lt;=$DD$2,MIN(0.1*($AY12-1.5*$AZ12),$DD$2, DX12+DY12),"DNQ")</f>
        <v>3858.5610748022405</v>
      </c>
      <c r="EB12" s="32">
        <f>EB11+$BD12+DY12-EA12</f>
        <v>224774.45493473377</v>
      </c>
      <c r="EC12" s="32">
        <f>EA12/((1+InputData!$C$3)^(IntMed!$B12-IntMed!$B$7))</f>
        <v>3494.8176470588237</v>
      </c>
      <c r="ED12" s="5">
        <f t="shared" si="78"/>
        <v>38221.801705882361</v>
      </c>
      <c r="EE12" s="32">
        <f>ED12/((1+InputData!$C$7)^(IntMed!$B12-IntMed!$B$7))</f>
        <v>32970.461906483753</v>
      </c>
      <c r="EF12" s="5">
        <f t="shared" si="138"/>
        <v>-124940.73121601369</v>
      </c>
      <c r="EG12" s="32"/>
      <c r="EH12" s="130" t="s">
        <v>140</v>
      </c>
      <c r="EI12" s="32">
        <v>0</v>
      </c>
      <c r="EJ12" s="32">
        <f t="shared" ref="EJ12:EJ13" si="152">EJ$10</f>
        <v>185472.36</v>
      </c>
      <c r="EK12" s="32">
        <f>EJ12*InputData!$C$6</f>
        <v>11517.833556</v>
      </c>
      <c r="EL12" s="32">
        <f t="shared" ref="EL12:EL13" si="153">EL11+EI12+EK12</f>
        <v>237017.53846799998</v>
      </c>
      <c r="EM12" s="32">
        <f>EM11*(1+InputData!$C$8)</f>
        <v>12685.888428768003</v>
      </c>
      <c r="EN12" s="32">
        <v>0</v>
      </c>
      <c r="EO12" s="32">
        <f>AW12/((1+InputData!$C$3)^(IntMed!$B12-IntMed!$B$7))</f>
        <v>52183.176470588238</v>
      </c>
      <c r="EP12" s="32">
        <f>AX12/((1+InputData!$C$3)^(IntMed!$B12-IntMed!$B$7))</f>
        <v>0</v>
      </c>
      <c r="EQ12" s="32">
        <v>6638.3</v>
      </c>
      <c r="ER12" s="32">
        <v>3470.18</v>
      </c>
      <c r="ES12" s="32">
        <v>0</v>
      </c>
      <c r="ET12" s="42">
        <f t="shared" ref="ET12:ET26" si="154">(EQ12+ER12+ES12)/(EO12+EP12)</f>
        <v>0.19371147338448044</v>
      </c>
      <c r="EU12" s="32">
        <f t="shared" si="79"/>
        <v>42074.696470588235</v>
      </c>
      <c r="EV12" s="32">
        <f>EN12/((1+InputData!$C$3)^(IntMed!$B12-IntMed!$B$7))</f>
        <v>0</v>
      </c>
      <c r="EW12" s="32">
        <f t="shared" si="80"/>
        <v>42074.696470588235</v>
      </c>
      <c r="EX12" s="32">
        <f>EW12/((1+InputData!$C$7)^(IntMed!$B12-IntMed!$B$7))</f>
        <v>36294.002775826797</v>
      </c>
      <c r="EY12" s="5">
        <f t="shared" si="148"/>
        <v>-118386.39289071826</v>
      </c>
      <c r="EZ12" s="79"/>
      <c r="FA12" s="32">
        <f t="shared" si="81"/>
        <v>185472.36</v>
      </c>
      <c r="FB12" s="32">
        <f t="shared" si="82"/>
        <v>11517.833556</v>
      </c>
      <c r="FC12" s="32">
        <f t="shared" si="83"/>
        <v>237017.53846799998</v>
      </c>
      <c r="FD12" s="32">
        <v>0</v>
      </c>
      <c r="FE12" s="32">
        <f>FD12/((1+InputData!$C$3)^(IntMed!$B12-IntMed!$B$7))</f>
        <v>0</v>
      </c>
      <c r="FF12" s="5">
        <f t="shared" si="84"/>
        <v>42074.696470588235</v>
      </c>
      <c r="FG12" s="32">
        <f>FF12/((1+InputData!$C$7)^(IntMed!$B12-IntMed!$B$7))</f>
        <v>36294.002775826797</v>
      </c>
      <c r="FH12" s="5">
        <f t="shared" si="140"/>
        <v>-118386.39289071826</v>
      </c>
      <c r="FI12" s="79"/>
      <c r="FJ12" s="32">
        <f t="shared" si="85"/>
        <v>185472.36</v>
      </c>
      <c r="FK12" s="32">
        <f t="shared" si="86"/>
        <v>11517.833556</v>
      </c>
      <c r="FL12" s="32">
        <f t="shared" si="87"/>
        <v>237017.53846799998</v>
      </c>
      <c r="FM12" s="32">
        <v>0</v>
      </c>
      <c r="FN12" s="32">
        <f>FM12/((1+InputData!$C$3)^(IntMed!$B12-IntMed!$B$7))</f>
        <v>0</v>
      </c>
      <c r="FO12" s="5">
        <f t="shared" si="88"/>
        <v>42074.696470588235</v>
      </c>
      <c r="FP12" s="32">
        <f>FO12/((1+InputData!$C$7)^(IntMed!$B12-IntMed!$B$7))</f>
        <v>36294.002775826797</v>
      </c>
      <c r="FQ12" s="5">
        <f t="shared" si="141"/>
        <v>-118386.39289071826</v>
      </c>
      <c r="FR12" s="79"/>
      <c r="FS12" s="32">
        <f t="shared" si="89"/>
        <v>185472.36</v>
      </c>
      <c r="FT12" s="32">
        <f t="shared" si="90"/>
        <v>11517.833556</v>
      </c>
      <c r="FU12" s="32">
        <f t="shared" si="91"/>
        <v>237017.53846799998</v>
      </c>
      <c r="FV12" s="32">
        <v>0</v>
      </c>
      <c r="FW12" s="32">
        <f>FV12/((1+InputData!$C$3)^(IntMed!$B12-IntMed!$B$7))</f>
        <v>0</v>
      </c>
      <c r="FX12" s="5">
        <f t="shared" si="92"/>
        <v>42074.696470588235</v>
      </c>
      <c r="FY12" s="32">
        <f>FX12/((1+InputData!$C$7)^(IntMed!$B12-IntMed!$B$7))</f>
        <v>36294.002775826797</v>
      </c>
      <c r="FZ12" s="5">
        <f t="shared" si="142"/>
        <v>-118386.39289071826</v>
      </c>
      <c r="GC12" s="3">
        <f t="shared" si="3"/>
        <v>2</v>
      </c>
      <c r="GD12" s="4" t="str">
        <f t="shared" si="4"/>
        <v>Residency (O3&lt;=2 = (BP+BAH+BAS+VSP)*12)</v>
      </c>
      <c r="GE12" s="4"/>
      <c r="GF12" s="4"/>
      <c r="GG12" s="4"/>
      <c r="GH12" s="4"/>
      <c r="GI12" s="5">
        <f t="shared" si="5"/>
        <v>51025.919999999998</v>
      </c>
      <c r="GJ12" s="5">
        <f t="shared" si="6"/>
        <v>19939.199999999997</v>
      </c>
      <c r="GK12" s="5">
        <f t="shared" si="7"/>
        <v>70965.119999999995</v>
      </c>
      <c r="GL12" s="5">
        <f t="shared" si="8"/>
        <v>48573.21545684366</v>
      </c>
      <c r="GM12" s="5">
        <f t="shared" si="9"/>
        <v>18980.766199553032</v>
      </c>
      <c r="GN12" s="32">
        <f>IF(GL12-InputData!$C$158-InputData!$C$159&gt;=0,GL12-InputData!$C$158-InputData!$C$159,0)</f>
        <v>48573.21545684366</v>
      </c>
      <c r="GO12" s="32">
        <f>IF(GL12-IF(GL12&lt;=InputData!$C$146,InputData!$C$145,0)-MAX(InputData!$C$144,GU12)&gt;=0,GL12-IF(GL12&lt;=InputData!$C$146,InputData!$C$145,0)-MAX(InputData!$C$144,GU12),0)</f>
        <v>38573.21545684366</v>
      </c>
      <c r="GP12" s="32">
        <f>IF(GO12&lt;0,"Error",IF(GO12&lt;=InputData!$B$170,InputData!$C$170*GO12,IF(GO12&lt;=InputData!$B$171,InputData!$D$170+InputData!$C$171*(GO12-InputData!$B$170),IF(GO12&lt;=InputData!$B$172,InputData!$D$171+InputData!$C$172*(GO12-InputData!$B$171),IF(GO12&lt;=InputData!$B$173,InputData!$D$172+InputData!$C$173*(GO12-InputData!$B$172),IF(GO12&lt;=InputData!$B$174,InputData!$D$173+InputData!$C$174*(GO12-InputData!$B$173),IF(GO12&lt;=InputData!$B$175,InputData!$D$174+InputData!$C$175*(GO12-InputData!$B$174),InputData!$D$175+InputData!$C$176*(GO12-InputData!$B$175))))))))</f>
        <v>5572.053864210915</v>
      </c>
      <c r="GQ12" s="32">
        <f>IF(GL12&lt;=InputData!$C$150,InputData!$C$152,IF(GL12&lt;InputData!$C$151,IF(InputData!$C$152-0.25*IF(GL12-InputData!$C$150&lt;=0,0,GL12-InputData!$C$150)&lt;=0,0,InputData!$C$152-0.25*IF(GL12-InputData!$C$150&lt;=0,0,GL12-InputData!$C$150)),0))</f>
        <v>51900</v>
      </c>
      <c r="GR12" s="32">
        <f>IF(GL12-GQ12&lt;=0,0,IF(GL12-GQ12&lt;=InputData!$C$153,InputData!$C$154*(GL12-GQ12),InputData!$C$155*(GL12-GQ12)-InputData!$D$154))</f>
        <v>0</v>
      </c>
      <c r="GS12" s="32">
        <f t="shared" si="93"/>
        <v>5572.053864210915</v>
      </c>
      <c r="GT12" s="32">
        <f>IF(GL12&gt;=0,IF(GL12&lt;=InputData!$C$148,InputData!$C$147*GL12,InputData!$C$147*InputData!$C$148)+InputData!$C$149*GL12,0)</f>
        <v>3715.85098244854</v>
      </c>
      <c r="GU12" s="32">
        <f>IF(GN12&lt;0,0,IF(GN12&lt;=InputData!$B$163,InputData!$C$163*GN12,IF(GN12&lt;=InputData!$B$164,InputData!$D$163+InputData!$C$164*(GN12-InputData!$B$163),IF(GN12&lt;=InputData!$B$165,InputData!$D$164+InputData!$C$165*(GN12-InputData!$B$164),InputData!$D$165+InputData!$C$166*(GN12-InputData!$B$165)))))</f>
        <v>0</v>
      </c>
      <c r="GV12" s="43">
        <f t="shared" si="10"/>
        <v>0.191214535815764</v>
      </c>
      <c r="GW12" s="43">
        <f t="shared" si="11"/>
        <v>0.13748863677497211</v>
      </c>
      <c r="GX12" s="5">
        <f t="shared" si="12"/>
        <v>58266.076809737235</v>
      </c>
      <c r="GY12" s="32">
        <f>GX12/((1+InputData!$C$7)^(IntMed!$B12-IntMed!$B$7))</f>
        <v>50260.829687681769</v>
      </c>
      <c r="GZ12" s="32">
        <f t="shared" si="94"/>
        <v>311474.37448667729</v>
      </c>
      <c r="HB12" s="3">
        <f t="shared" si="13"/>
        <v>2</v>
      </c>
      <c r="HC12" s="4" t="str">
        <f t="shared" si="14"/>
        <v>Residency (O3&lt;=2 = (BP+BAH+BAS+VSP)*12)</v>
      </c>
      <c r="HD12" s="4"/>
      <c r="HE12" s="4"/>
      <c r="HF12" s="4"/>
      <c r="HG12" s="4"/>
      <c r="HH12" s="5">
        <f t="shared" si="15"/>
        <v>51025.919999999998</v>
      </c>
      <c r="HI12" s="5">
        <f t="shared" si="16"/>
        <v>19939.199999999997</v>
      </c>
      <c r="HJ12" s="5">
        <f t="shared" si="17"/>
        <v>70965.119999999995</v>
      </c>
      <c r="HK12" s="5">
        <f t="shared" si="18"/>
        <v>48573.21545684366</v>
      </c>
      <c r="HL12" s="5">
        <f t="shared" si="19"/>
        <v>18980.766199553032</v>
      </c>
      <c r="HM12" s="32">
        <f>IF(HK12-InputData!$C$158-InputData!$C$159&gt;=0,HK12-InputData!$C$158-InputData!$C$159,0)</f>
        <v>48573.21545684366</v>
      </c>
      <c r="HN12" s="32">
        <f>IF(HK12-IF(HK12&lt;=InputData!$C$146,InputData!$C$145,0)-MAX(InputData!$C$144,HT12)&gt;=0,HK12-IF(HK12&lt;=InputData!$C$146,InputData!$C$145,0)-MAX(InputData!$C$144,HT12),0)</f>
        <v>38573.21545684366</v>
      </c>
      <c r="HO12" s="32">
        <f>IF(HN12&lt;0,"Error",IF(HN12&lt;=InputData!$B$170,InputData!$C$170*HN12,IF(HN12&lt;=InputData!$B$171,InputData!$D$170+InputData!$C$171*(HN12-InputData!$B$170),IF(HN12&lt;=InputData!$B$172,InputData!$D$171+InputData!$C$172*(HN12-InputData!$B$171),IF(HN12&lt;=InputData!$B$173,InputData!$D$172+InputData!$C$173*(HN12-InputData!$B$172),IF(HN12&lt;=InputData!$B$174,InputData!$D$173+InputData!$C$174*(HN12-InputData!$B$173),IF(HN12&lt;=InputData!$B$175,InputData!$D$174+InputData!$C$175*(HN12-InputData!$B$174),InputData!$D$175+InputData!$C$176*(HN12-InputData!$B$175))))))))</f>
        <v>5572.053864210915</v>
      </c>
      <c r="HP12" s="32">
        <f>IF(HK12&lt;=InputData!$C$150,InputData!$C$152,IF(HK12&lt;InputData!$C$151,IF(InputData!$C$152-0.25*IF(HK12-InputData!$C$150&lt;=0,0,HK12-InputData!$C$150)&lt;=0,0,InputData!$C$152-0.25*IF(HK12-InputData!$C$150&lt;=0,0,HK12-InputData!$C$150)),0))</f>
        <v>51900</v>
      </c>
      <c r="HQ12" s="32">
        <f>IF(HK12-HP12&lt;=0,0,IF(HK12-HP12&lt;=InputData!$C$153,InputData!$C$154*(HK12-HP12),InputData!$C$155*(HK12-HP12)-InputData!$D$154))</f>
        <v>0</v>
      </c>
      <c r="HR12" s="32">
        <f t="shared" si="95"/>
        <v>5572.053864210915</v>
      </c>
      <c r="HS12" s="32">
        <f>IF(HK12&gt;=0,IF(HK12&lt;=InputData!$C$148,InputData!$C$147*HK12,InputData!$C$147*InputData!$C$148)+InputData!$C$149*HK12,0)</f>
        <v>3715.85098244854</v>
      </c>
      <c r="HT12" s="32">
        <f>IF(HM12&lt;0,0,IF(HM12&lt;=InputData!$B$163,InputData!$C$163*HM12,IF(HM12&lt;=InputData!$B$164,InputData!$D$163+InputData!$C$164*(HM12-InputData!$B$163),IF(HM12&lt;=InputData!$B$165,InputData!$D$164+InputData!$C$165*(HM12-InputData!$B$164),InputData!$D$165+InputData!$C$166*(HM12-InputData!$B$165)))))</f>
        <v>0</v>
      </c>
      <c r="HU12" s="43">
        <f t="shared" si="96"/>
        <v>0.191214535815764</v>
      </c>
      <c r="HV12" s="43">
        <f t="shared" si="97"/>
        <v>0.13748863677497211</v>
      </c>
      <c r="HW12" s="5">
        <f t="shared" si="98"/>
        <v>58266.076809737235</v>
      </c>
      <c r="HX12" s="32">
        <f>HW12/((1+InputData!$C$7)^(IntMed!$B12-IntMed!$B$7))</f>
        <v>50260.829687681769</v>
      </c>
      <c r="HY12" s="32">
        <f t="shared" si="99"/>
        <v>219350.65217600405</v>
      </c>
      <c r="IA12" s="3">
        <f t="shared" si="20"/>
        <v>2</v>
      </c>
      <c r="IB12" s="4" t="str">
        <f t="shared" si="21"/>
        <v>Residency (O3&lt;=2 = (BP+BAH+BAS+VSP)*12)</v>
      </c>
      <c r="IC12" s="5">
        <f t="shared" si="22"/>
        <v>51025.919999999998</v>
      </c>
      <c r="ID12" s="5">
        <f t="shared" si="23"/>
        <v>19939.199999999997</v>
      </c>
      <c r="IE12" s="5">
        <f t="shared" si="24"/>
        <v>70965.119999999995</v>
      </c>
      <c r="IF12" s="5">
        <f t="shared" si="25"/>
        <v>48573.21545684366</v>
      </c>
      <c r="IG12" s="5">
        <f t="shared" si="26"/>
        <v>18980.766199553032</v>
      </c>
      <c r="IH12" s="32">
        <f>IF(IF12-InputData!$C$158-InputData!$C$159&gt;=0,IF12-InputData!$C$158-InputData!$C$159,0)</f>
        <v>48573.21545684366</v>
      </c>
      <c r="II12" s="32">
        <f>IF(IF12-IF(IF12&lt;=InputData!$C$146,InputData!$C$145,0)-MAX(InputData!$C$144,IO12)&gt;=0,IF12-IF(IF12&lt;=InputData!$C$146,InputData!$C$145,0)-MAX(InputData!$C$144,IO12),0)</f>
        <v>38573.21545684366</v>
      </c>
      <c r="IJ12" s="32">
        <f>IF(II12&lt;0,"Error",IF(II12&lt;=InputData!$B$170,InputData!$C$170*II12,IF(II12&lt;=InputData!$B$171,InputData!$D$170+InputData!$C$171*(II12-InputData!$B$170),IF(II12&lt;=InputData!$B$172,InputData!$D$171+InputData!$C$172*(II12-InputData!$B$171),IF(II12&lt;=InputData!$B$173,InputData!$D$172+InputData!$C$173*(II12-InputData!$B$172),IF(II12&lt;=InputData!$B$174,InputData!$D$173+InputData!$C$174*(II12-InputData!$B$173),IF(II12&lt;=InputData!$B$175,InputData!$D$174+InputData!$C$175*(II12-InputData!$B$174),InputData!$D$175+InputData!$C$176*(II12-InputData!$B$175))))))))</f>
        <v>5572.053864210915</v>
      </c>
      <c r="IK12" s="32">
        <f>IF(IF12&lt;=InputData!$C$150,InputData!$C$152,IF(IF12&lt;InputData!$C$151,IF(InputData!$C$152-0.25*IF(IF12-InputData!$C$150&lt;=0,0,IF12-InputData!$C$150)&lt;=0,0,InputData!$C$152-0.25*IF(IF12-InputData!$C$150&lt;=0,0,IF12-InputData!$C$150)),0))</f>
        <v>51900</v>
      </c>
      <c r="IL12" s="32">
        <f>IF(IF12-IK12&lt;=0,0,IF(IF12-IK12&lt;=InputData!$C$153,InputData!$C$154*(IF12-IK12),InputData!$C$155*(IF12-IK12)-InputData!$D$154))</f>
        <v>0</v>
      </c>
      <c r="IM12" s="32">
        <f t="shared" si="100"/>
        <v>5572.053864210915</v>
      </c>
      <c r="IN12" s="32">
        <f>IF(IF12&gt;=0,IF(IF12&lt;=InputData!$C$148,InputData!$C$147*IF12,InputData!$C$147*InputData!$C$148)+InputData!$C$149*IF12,0)</f>
        <v>3715.85098244854</v>
      </c>
      <c r="IO12" s="32">
        <f>IF(IH12&lt;0,0,IF(IH12&lt;=InputData!$B$163,InputData!$C$163*IH12,IF(IH12&lt;=InputData!$B$164,InputData!$D$163+InputData!$C$164*(IH12-InputData!$B$163),IF(IH12&lt;=InputData!$B$165,InputData!$D$164+InputData!$C$165*(IH12-InputData!$B$164),InputData!$D$165+InputData!$C$166*(IH12-InputData!$B$165)))))</f>
        <v>0</v>
      </c>
      <c r="IP12" s="43">
        <f t="shared" si="101"/>
        <v>0.191214535815764</v>
      </c>
      <c r="IQ12" s="43">
        <f t="shared" si="102"/>
        <v>0.13748863677497211</v>
      </c>
      <c r="IR12" s="5">
        <f t="shared" si="27"/>
        <v>58266.076809737235</v>
      </c>
      <c r="IS12" s="32">
        <f>IR12/((1+InputData!$C$7)^(IntMed!$B12-IntMed!$B$7))</f>
        <v>50260.829687681769</v>
      </c>
      <c r="IT12" s="5">
        <f t="shared" si="103"/>
        <v>311474.37448667729</v>
      </c>
      <c r="IV12" s="41">
        <f t="shared" si="28"/>
        <v>2</v>
      </c>
      <c r="IW12" s="49" t="str">
        <f t="shared" si="29"/>
        <v>Residency (O3&lt;=2 = (BP+BAH+BAS+VSP)*12)</v>
      </c>
      <c r="IX12" s="32">
        <f t="shared" si="30"/>
        <v>51025.919999999998</v>
      </c>
      <c r="IY12" s="32">
        <f t="shared" si="31"/>
        <v>19939.199999999997</v>
      </c>
      <c r="IZ12" s="32">
        <f t="shared" si="32"/>
        <v>70965.119999999995</v>
      </c>
      <c r="JA12" s="32">
        <f t="shared" si="33"/>
        <v>48573.21545684366</v>
      </c>
      <c r="JB12" s="32">
        <f t="shared" si="34"/>
        <v>18980.766199553032</v>
      </c>
      <c r="JC12" s="32">
        <f>IF(JA12-InputData!$C$158-InputData!$C$159&gt;=0,JA12-InputData!$C$158-InputData!$C$159,0)</f>
        <v>48573.21545684366</v>
      </c>
      <c r="JD12" s="32">
        <f>IF(JA12-IF(JA12&lt;=InputData!$C$146,InputData!$C$145,0)-MAX(InputData!$C$144,JJ12)&gt;=0,JA12-IF(JA12&lt;=InputData!$C$146,InputData!$C$145,0)-MAX(InputData!$C$144,JJ12),0)</f>
        <v>38573.21545684366</v>
      </c>
      <c r="JE12" s="32">
        <f>IF(JD12&lt;0,"Error",IF(JD12&lt;=InputData!$B$170,InputData!$C$170*JD12,IF(JD12&lt;=InputData!$B$171,InputData!$D$170+InputData!$C$171*(JD12-InputData!$B$170),IF(JD12&lt;=InputData!$B$172,InputData!$D$171+InputData!$C$172*(JD12-InputData!$B$171),IF(JD12&lt;=InputData!$B$173,InputData!$D$172+InputData!$C$173*(JD12-InputData!$B$172),IF(JD12&lt;=InputData!$B$174,InputData!$D$173+InputData!$C$174*(JD12-InputData!$B$173),IF(JD12&lt;=InputData!$B$175,InputData!$D$174+InputData!$C$175*(JD12-InputData!$B$174),InputData!$D$175+InputData!$C$176*(JD12-InputData!$B$175))))))))</f>
        <v>5572.053864210915</v>
      </c>
      <c r="JF12" s="32">
        <f>IF(JA12&lt;=InputData!$C$150,InputData!$C$152,IF(JA12&lt;InputData!$C$151,IF(InputData!$C$152-0.25*IF(JA12-InputData!$C$150&lt;=0,0,JA12-InputData!$C$150)&lt;=0,0,InputData!$C$152-0.25*IF(JA12-InputData!$C$150&lt;=0,0,JA12-InputData!$C$150)),0))</f>
        <v>51900</v>
      </c>
      <c r="JG12" s="32">
        <f>IF(JA12-JF12&lt;=0,0,IF(JA12-JF12&lt;=InputData!$C$153,InputData!$C$154*(JA12-JF12),InputData!$C$155*(JA12-JF12)-InputData!$D$154))</f>
        <v>0</v>
      </c>
      <c r="JH12" s="32">
        <f t="shared" si="104"/>
        <v>5572.053864210915</v>
      </c>
      <c r="JI12" s="32">
        <f>IF(JA12&gt;=0,IF(JA12&lt;=InputData!$C$148,InputData!$C$147*JA12,InputData!$C$147*InputData!$C$148)+InputData!$C$149*JA12,0)</f>
        <v>3715.85098244854</v>
      </c>
      <c r="JJ12" s="32">
        <f>IF(JC12&lt;0,0,IF(JC12&lt;=InputData!$B$163,InputData!$C$163*JC12,IF(JC12&lt;=InputData!$B$164,InputData!$D$163+InputData!$C$164*(JC12-InputData!$B$163),IF(JC12&lt;=InputData!$B$165,InputData!$D$164+InputData!$C$165*(JC12-InputData!$B$164),InputData!$D$165+InputData!$C$166*(JC12-InputData!$B$165)))))</f>
        <v>0</v>
      </c>
      <c r="JK12" s="42">
        <f t="shared" si="105"/>
        <v>0.191214535815764</v>
      </c>
      <c r="JL12" s="42">
        <f t="shared" si="106"/>
        <v>0.13748863677497211</v>
      </c>
      <c r="JM12" s="32">
        <f t="shared" si="35"/>
        <v>58266.076809737235</v>
      </c>
      <c r="JN12" s="32">
        <f>JM12/((1+InputData!$C$7)^(IntMed!$B12-IntMed!$B$7))</f>
        <v>50260.829687681769</v>
      </c>
      <c r="JO12" s="32">
        <f t="shared" si="107"/>
        <v>219350.65217600405</v>
      </c>
      <c r="JQ12" s="41" t="s">
        <v>1</v>
      </c>
      <c r="JR12" s="32">
        <f>JR11*(1+InputData!$C$9)</f>
        <v>57614.443391174405</v>
      </c>
      <c r="JS12" s="32">
        <v>0</v>
      </c>
      <c r="JT12" s="32">
        <f t="shared" si="108"/>
        <v>57614.443391174405</v>
      </c>
      <c r="JU12" s="5">
        <f>JR12*(1/(1+InputData!$C$3))^(IntMed!$B12-IntMed!$B$7)</f>
        <v>52183.176470588231</v>
      </c>
      <c r="JV12" s="5">
        <f>JS12*(1/(1+InputData!$C$3))^(IntMed!$B12-IntMed!$B$7)</f>
        <v>0</v>
      </c>
      <c r="JW12" s="32">
        <f>IF(JU12-InputData!$C$158-InputData!$C$159&gt;=0,JU12-InputData!$C$158-InputData!$C$159,0)</f>
        <v>52183.176470588231</v>
      </c>
      <c r="JX12" s="32">
        <f>IF(JU12-IF(JU12&lt;=InputData!$C$146,InputData!$C$145,0)-MAX(InputData!$C$144,KD12)&gt;=0,JU12-IF(JU12&lt;=InputData!$C$146,InputData!$C$145,0)-MAX(InputData!$C$144,KD12),0)</f>
        <v>42183.176470588231</v>
      </c>
      <c r="JY12" s="32">
        <f>IF(JX12&lt;0,"Error",IF(JX12&lt;=InputData!$B$170,InputData!$C$170*JX12,IF(JX12&lt;=InputData!$B$171,InputData!$D$170+InputData!$C$171*(JX12-InputData!$B$170),IF(JX12&lt;=InputData!$B$172,InputData!$D$171+InputData!$C$172*(JX12-InputData!$B$171),IF(JX12&lt;=InputData!$B$173,InputData!$D$172+InputData!$C$173*(JX12-InputData!$B$172),IF(JX12&lt;=InputData!$B$174,InputData!$D$173+InputData!$C$174*(JX12-InputData!$B$173),IF(JX12&lt;=InputData!$B$175,InputData!$D$174+InputData!$C$175*(JX12-InputData!$B$174),InputData!$D$175+InputData!$C$176*(JX12-InputData!$B$175))))))))</f>
        <v>6474.5441176470576</v>
      </c>
      <c r="JZ12" s="32">
        <f>IF(JU12&lt;=InputData!$C$150,InputData!$C$152,IF(JU12&lt;InputData!$C$151,IF(InputData!$C$152-0.25*IF(JU12-InputData!$C$150&lt;=0,0,JU12-InputData!$C$150)&lt;=0,0,InputData!$C$152-0.25*IF(JU12-InputData!$C$150&lt;=0,0,JU12-InputData!$C$150)),0))</f>
        <v>51900</v>
      </c>
      <c r="KA12" s="32">
        <f>IF(JU12-JZ12&lt;=0,0,IF(JU12-JZ12&lt;=InputData!$C$153,InputData!$C$154*(JU12-JZ12),InputData!$C$155*(JU12-JZ12)-InputData!$D$154))</f>
        <v>73.625882352939954</v>
      </c>
      <c r="KB12" s="32">
        <f t="shared" si="109"/>
        <v>6474.5441176470576</v>
      </c>
      <c r="KC12" s="32">
        <f>IF(JU12&gt;=0,IF(JU12&lt;=InputData!$C$148,InputData!$C$147*JU12,InputData!$C$147*InputData!$C$148)+InputData!$C$149*JU12,0)</f>
        <v>3992.0129999999995</v>
      </c>
      <c r="KD12" s="32">
        <f>IF(JW12&lt;0,0,IF(JW12&lt;=InputData!$B$163,InputData!$C$163*JW12,IF(JW12&lt;=InputData!$B$164,InputData!$D$163+InputData!$C$164*(JW12-InputData!$B$163),IF(JW12&lt;=InputData!$B$165,InputData!$D$164+InputData!$C$165*(JW12-InputData!$B$164),InputData!$D$165+InputData!$C$166*(JW12-InputData!$B$165)))))</f>
        <v>0</v>
      </c>
      <c r="KE12" s="43">
        <f t="shared" si="110"/>
        <v>0.20057339981107272</v>
      </c>
      <c r="KF12" s="43">
        <f t="shared" si="111"/>
        <v>0.20057339981107272</v>
      </c>
      <c r="KG12" s="5">
        <f t="shared" si="112"/>
        <v>41716.619352941176</v>
      </c>
      <c r="KH12" s="32">
        <f>KG12/((1+InputData!$C$7)^(IntMed!$B12-IntMed!$B$7))</f>
        <v>35985.122308657483</v>
      </c>
      <c r="KI12" s="5">
        <f t="shared" si="143"/>
        <v>123087.45323780252</v>
      </c>
      <c r="KK12" s="7"/>
      <c r="KM12">
        <v>27</v>
      </c>
      <c r="KN12" s="41" t="s">
        <v>1</v>
      </c>
      <c r="KO12" s="32">
        <f>KO11*(1+InputData!$C$9)</f>
        <v>57614.443391174405</v>
      </c>
      <c r="KP12" s="32">
        <v>0</v>
      </c>
      <c r="KQ12" s="32">
        <f t="shared" si="114"/>
        <v>57614.443391174405</v>
      </c>
      <c r="KR12" s="32">
        <f>KR11*(1+InputData!$C$8)</f>
        <v>12685.888428768003</v>
      </c>
      <c r="KS12" s="5">
        <f>KO12*(1/(1+InputData!$C$3))^(IntMed!$B12-IntMed!$B$7)</f>
        <v>52183.176470588231</v>
      </c>
      <c r="KT12" s="5">
        <f>KP12*(1/(1+InputData!$C$3))^(IntMed!$B12-IntMed!$B$7)</f>
        <v>0</v>
      </c>
      <c r="KU12" s="32" t="s">
        <v>141</v>
      </c>
      <c r="KV12" s="32">
        <v>0</v>
      </c>
      <c r="KW12" s="133">
        <f>IF(0.1*($KQ12-1.5*$AZ12)&lt;=$DD$2,LA11-KY11,MIN(LA11,1.1*$DC$2))</f>
        <v>212416.2</v>
      </c>
      <c r="KX12" s="5">
        <f>KW12*InputData!$C$6</f>
        <v>13191.046020000002</v>
      </c>
      <c r="KY12" s="133">
        <f>MAX(0,KY11+KX12-KZ12)</f>
        <v>12358.254934733763</v>
      </c>
      <c r="KZ12" s="118">
        <f t="shared" ref="KZ12:KZ23" si="155">IF(0.1*($KQ$11-1.5*$AZ12)&lt;=$DD$2,MIN(0.1*($KQ12-1.5*$AZ12),$DD$2, KW12+KX12),"DNQ")</f>
        <v>3858.5610748022405</v>
      </c>
      <c r="LA12" s="32">
        <f>LA11+$BD12+KX12-KZ12</f>
        <v>224774.45493473377</v>
      </c>
      <c r="LB12" s="32">
        <f>KZ12/((1+InputData!$C$3)^(IntMed!$B12-IntMed!$B$7))</f>
        <v>3494.8176470588237</v>
      </c>
      <c r="LC12" s="32">
        <f>IF(KS12-InputData!$C$158-InputData!$C$159&gt;=0,KS12-InputData!$C$158-InputData!$C$159,0)</f>
        <v>52183.176470588231</v>
      </c>
      <c r="LD12" s="32">
        <f>IF(KS12-IF(KS12&lt;=InputData!$C$146,InputData!$C$145,0)-MAX(InputData!$C$144,LJ12)&gt;=0,KS12-IF(KS12&lt;=InputData!$C$146,InputData!$C$145,0)-MAX(InputData!$C$144,LJ12),0)</f>
        <v>42183.176470588231</v>
      </c>
      <c r="LE12" s="32">
        <f>IF(LD12&lt;0,"Error",IF(LD12&lt;=InputData!$B$170,InputData!$C$170*LD12,IF(LD12&lt;=InputData!$B$171,InputData!$D$170+InputData!$C$171*(LD12-InputData!$B$170),IF(LD12&lt;=InputData!$B$172,InputData!$D$171+InputData!$C$172*(LD12-InputData!$B$171),IF(LD12&lt;=InputData!$B$173,InputData!$D$172+InputData!$C$173*(LD12-InputData!$B$172),IF(LD12&lt;=InputData!$B$174,InputData!$D$173+InputData!$C$174*(LD12-InputData!$B$173),IF(LD12&lt;=InputData!$B$175,InputData!$D$174+InputData!$C$175*(LD12-InputData!$B$174),InputData!$D$175+InputData!$C$176*(LD12-InputData!$B$175))))))))</f>
        <v>6474.5441176470576</v>
      </c>
      <c r="LF12" s="32">
        <f>IF(KS12&lt;=InputData!$C$150,InputData!$C$152,IF(KS12&lt;InputData!$C$151,IF(InputData!$C$152-0.25*IF(KS12-InputData!$C$150&lt;=0,0,KS12-InputData!$C$150)&lt;=0,0,InputData!$C$152-0.25*IF(KS12-InputData!$C$150&lt;=0,0,KS12-InputData!$C$150)),0))</f>
        <v>51900</v>
      </c>
      <c r="LG12" s="32">
        <f>IF(KS12-LF12&lt;=0,0,IF(KS12-LF12&lt;=InputData!$C$153,InputData!$C$154*(KS12-LF12),InputData!$C$155*(KS12-LF12)-InputData!$D$154))</f>
        <v>73.625882352939954</v>
      </c>
      <c r="LH12" s="32">
        <f t="shared" si="118"/>
        <v>6474.5441176470576</v>
      </c>
      <c r="LI12" s="32">
        <f>IF(KS12&gt;=0,IF(KS12&lt;=InputData!$C$148,InputData!$C$147*KS12,InputData!$C$147*InputData!$C$148)+InputData!$C$149*KS12,0)</f>
        <v>3992.0129999999995</v>
      </c>
      <c r="LJ12" s="32">
        <f>IF(LC12&lt;0,0,IF(LC12&lt;=InputData!$B$163,InputData!$C$163*LC12,IF(LC12&lt;=InputData!$B$164,InputData!$D$163+InputData!$C$164*(LC12-InputData!$B$163),IF(LC12&lt;=InputData!$B$165,InputData!$D$164+InputData!$C$165*(LC12-InputData!$B$164),InputData!$D$165+InputData!$C$166*(LC12-InputData!$B$165)))))</f>
        <v>0</v>
      </c>
      <c r="LK12" s="43">
        <f t="shared" ref="LK12:LK36" si="156">(LH12+LI12+LJ12)/(KS12+KT12)</f>
        <v>0.20057339981107272</v>
      </c>
      <c r="LL12" s="32">
        <f t="shared" si="119"/>
        <v>41716.619352941176</v>
      </c>
      <c r="LM12" s="5">
        <f t="shared" si="120"/>
        <v>38221.801705882353</v>
      </c>
      <c r="LN12" s="32">
        <f>LM12/((1+InputData!$C$7)^(IntMed!$B12-IntMed!$B$7))</f>
        <v>32970.461906483746</v>
      </c>
      <c r="LO12" s="5">
        <f t="shared" si="145"/>
        <v>-124940.73121601366</v>
      </c>
      <c r="LQ12" s="157" t="str">
        <f t="shared" si="37"/>
        <v>Residency</v>
      </c>
      <c r="LR12" s="32">
        <f t="shared" si="121"/>
        <v>57614.443391174405</v>
      </c>
      <c r="LS12" s="32">
        <v>0</v>
      </c>
      <c r="LT12" s="32">
        <f t="shared" si="123"/>
        <v>57614.443391174405</v>
      </c>
      <c r="LU12" s="32">
        <f>LU11*(1+InputData!$C$8)</f>
        <v>12685.888428768003</v>
      </c>
      <c r="LV12" s="32">
        <f>LR12/((1+InputData!$C$3)^(IntMed!$B12-IntMed!$B$7))</f>
        <v>52183.176470588238</v>
      </c>
      <c r="LW12" s="32">
        <f>LS12/((1+InputData!$C$3)^(IntMed!$B12-IntMed!$B$7))</f>
        <v>0</v>
      </c>
      <c r="LX12" s="32" t="s">
        <v>140</v>
      </c>
      <c r="LY12" s="32">
        <v>0</v>
      </c>
      <c r="LZ12" s="118">
        <f>MC10+0.5*LZ10*InputData!$C$6</f>
        <v>0</v>
      </c>
      <c r="MA12" s="32">
        <f>(LZ12)*InputData!$C$6</f>
        <v>0</v>
      </c>
      <c r="MB12" s="32">
        <v>0</v>
      </c>
      <c r="MC12" s="32">
        <f>MC11+LY12+MA12-MB12</f>
        <v>0</v>
      </c>
      <c r="MD12" s="32">
        <f>MB12/((1+InputData!$C$3)^(IntMed!$B12-IntMed!$B$7))</f>
        <v>0</v>
      </c>
      <c r="ME12" s="32">
        <f>IF(LV12-InputData!$C$158-InputData!$C$159&gt;=0,LV12-InputData!$C$158-InputData!$C$159,0)</f>
        <v>52183.176470588238</v>
      </c>
      <c r="MF12" s="32">
        <f>IF(LV12-IF(LV12&lt;=InputData!$C$146,InputData!$C$145,0)-MAX(InputData!$C$144,ML12)&gt;=0,LV12-IF(LV12&lt;=InputData!$C$146,InputData!$C$145,0)-MAX(InputData!$C$144,ML12),0)</f>
        <v>42183.176470588238</v>
      </c>
      <c r="MG12" s="32">
        <f>IF(MF12&lt;0,"Error",IF(MF12&lt;=InputData!$B$170,InputData!$C$170*MF12,IF(MF12&lt;=InputData!$B$171,InputData!$D$170+InputData!$C$171*(MF12-InputData!$B$170),IF(MF12&lt;=InputData!$B$172,InputData!$D$171+InputData!$C$172*(MF12-InputData!$B$171),IF(MF12&lt;=InputData!$B$173,InputData!$D$172+InputData!$C$173*(MF12-InputData!$B$172),IF(MF12&lt;=InputData!$B$174,InputData!$D$173+InputData!$C$174*(MF12-InputData!$B$173),IF(MF12&lt;=InputData!$B$175,InputData!$D$174+InputData!$C$175*(MF12-InputData!$B$174),InputData!$D$175+InputData!$C$176*(MF12-InputData!$B$175))))))))</f>
        <v>6474.5441176470595</v>
      </c>
      <c r="MH12" s="32">
        <f>IF(LV12&lt;=InputData!$C$150,InputData!$C$152,IF(LV12&lt;InputData!$C$151,IF(InputData!$C$152-0.25*IF(LV12-InputData!$C$150&lt;=0,0,LV12-InputData!$C$150)&lt;=0,0,InputData!$C$152-0.25*IF(LV12-InputData!$C$150&lt;=0,0,LV12-InputData!$C$150)),0))</f>
        <v>51900</v>
      </c>
      <c r="MI12" s="32">
        <f>IF(LV12-MH12&lt;=0,0,IF(LV12-MH12&lt;=InputData!$C$153,InputData!$C$154*(LV12-MH12),InputData!$C$155*(LV12-MH12)-InputData!$D$154))</f>
        <v>73.625882352941844</v>
      </c>
      <c r="MJ12" s="32">
        <f t="shared" si="124"/>
        <v>6474.5441176470595</v>
      </c>
      <c r="MK12" s="32">
        <f>IF(LV12&gt;=0,IF(LV12&lt;=InputData!$C$148,InputData!$C$147*LV12,InputData!$C$147*InputData!$C$148)+InputData!$C$149*LV12,0)</f>
        <v>3992.0129999999999</v>
      </c>
      <c r="ML12" s="32">
        <f>IF(ME12&lt;0,0,IF(ME12&lt;=InputData!$B$163,InputData!$C$163*ME12,IF(ME12&lt;=InputData!$B$164,InputData!$D$163+InputData!$C$164*(ME12-InputData!$B$163),IF(ME12&lt;=InputData!$B$165,InputData!$D$164+InputData!$C$165*(ME12-InputData!$B$164),InputData!$D$165+InputData!$C$166*(ME12-InputData!$B$165)))))</f>
        <v>0</v>
      </c>
      <c r="MM12" s="43">
        <f t="shared" si="38"/>
        <v>0.20057339981107275</v>
      </c>
      <c r="MN12" s="32">
        <f t="shared" si="125"/>
        <v>41716.619352941183</v>
      </c>
      <c r="MO12" s="32">
        <f t="shared" si="126"/>
        <v>41716.619352941183</v>
      </c>
      <c r="MP12" s="32">
        <f>MO12/((1+InputData!$C$7)^(IntMed!$B12-IntMed!$B$7))</f>
        <v>35985.12230865749</v>
      </c>
      <c r="MQ12" s="5">
        <f t="shared" si="147"/>
        <v>71871.450910563319</v>
      </c>
    </row>
    <row r="13" spans="1:355" ht="14.45" x14ac:dyDescent="0.3">
      <c r="A13" s="53">
        <v>2019</v>
      </c>
      <c r="B13" s="51">
        <v>7</v>
      </c>
      <c r="C13" s="4"/>
      <c r="D13" s="3">
        <v>3</v>
      </c>
      <c r="E13" s="96" t="s">
        <v>256</v>
      </c>
      <c r="F13" s="5">
        <f>InputData!$D$24*12</f>
        <v>52174.799999999996</v>
      </c>
      <c r="G13" s="5">
        <f>(InputData!$D$24+InputData!$D$45)*12</f>
        <v>57174.719999999994</v>
      </c>
      <c r="H13" s="5">
        <f>(InputData!$C$35+InputData!$C$40)*12</f>
        <v>19939.199999999997</v>
      </c>
      <c r="I13" s="5">
        <f t="shared" si="39"/>
        <v>77113.919999999984</v>
      </c>
      <c r="J13" s="5">
        <f>G13*((1+InputData!$C$5)/(1+InputData!$C$3))^(IntMed!$B13-IntMed!$B$7)</f>
        <v>53892.863362138443</v>
      </c>
      <c r="K13" s="5">
        <f>H13*((1+InputData!$C$5)/(1+InputData!$C$3))^(IntMed!$B13-IntMed!$B$7)</f>
        <v>18794.680256420157</v>
      </c>
      <c r="L13" s="32">
        <f>IF(J13-InputData!$C$158-InputData!$C$159&gt;=0,J13-InputData!$C$158-InputData!$C$159,0)</f>
        <v>53892.863362138443</v>
      </c>
      <c r="M13" s="32">
        <f>IF(J13-IF(J13&lt;=InputData!$C$146,InputData!$C$145,0)-MAX(InputData!$C$144,S13)&gt;=0,J13-IF(J13&lt;=InputData!$C$146,InputData!$C$145,0)-MAX(InputData!$C$144,S13),0)</f>
        <v>43892.863362138443</v>
      </c>
      <c r="N13" s="32">
        <f>IF(M13&lt;0,"Error",IF(M13&lt;=InputData!$B$170,InputData!$C$170*M13,IF(M13&lt;=InputData!$B$171,InputData!$D$170+InputData!$C$171*(M13-InputData!$B$170),IF(M13&lt;=InputData!$B$172,InputData!$D$171+InputData!$C$172*(M13-InputData!$B$171),IF(M13&lt;=InputData!$B$173,InputData!$D$172+InputData!$C$173*(M13-InputData!$B$172),IF(M13&lt;=InputData!$B$174,InputData!$D$173+InputData!$C$174*(M13-InputData!$B$173),IF(M13&lt;=InputData!$B$175,InputData!$D$174+InputData!$C$175*(M13-InputData!$B$174),InputData!$D$175+InputData!$C$176*(M13-InputData!$B$175))))))))</f>
        <v>6901.9658405346108</v>
      </c>
      <c r="O13" s="32">
        <f>IF(J13&lt;=InputData!$C$150,InputData!$C$152,IF(J13&lt;InputData!$C$151,IF(InputData!$C$152-0.25*IF(J13-InputData!$C$150&lt;=0,0,J13-InputData!$C$150)&lt;=0,0,InputData!$C$152-0.25*IF(J13-InputData!$C$150&lt;=0,0,J13-InputData!$C$150)),0))</f>
        <v>51900</v>
      </c>
      <c r="P13" s="32">
        <f>IF(J13-O13&lt;=0,0,IF(J13-O13&lt;=InputData!$C$153,InputData!$C$154*(J13-O13),InputData!$C$155*(J13-O13)-InputData!$D$154))</f>
        <v>518.14447415599534</v>
      </c>
      <c r="Q13" s="32">
        <f t="shared" si="40"/>
        <v>6901.9658405346108</v>
      </c>
      <c r="R13" s="32">
        <f>IF(J13&gt;=0,IF(J13&lt;=InputData!$C$148,InputData!$C$147*J13,InputData!$C$147*InputData!$C$148)+InputData!$C$149*J13,0)</f>
        <v>4122.8040472035909</v>
      </c>
      <c r="S13" s="32">
        <f>IF(L13&lt;0,0,IF(L13&lt;=InputData!$B$163,InputData!$C$163*L13,IF(L13&lt;=InputData!$B$164,InputData!$D$163+InputData!$C$164*(L13-InputData!$B$163),IF(L13&lt;=InputData!$B$165,InputData!$D$164+InputData!$C$165*(L13-InputData!$B$164),InputData!$D$165+InputData!$C$166*(L13-InputData!$B$165)))))</f>
        <v>0</v>
      </c>
      <c r="T13" s="43">
        <f t="shared" si="41"/>
        <v>0.20456827119494778</v>
      </c>
      <c r="U13" s="43">
        <f t="shared" si="42"/>
        <v>0.15167344140273514</v>
      </c>
      <c r="V13" s="5">
        <f t="shared" si="43"/>
        <v>61662.773730820394</v>
      </c>
      <c r="W13" s="32">
        <f>V13/((1+InputData!$C$7)^(IntMed!$B13-IntMed!$B$7))</f>
        <v>51641.602223008493</v>
      </c>
      <c r="X13" s="5">
        <f t="shared" si="127"/>
        <v>363115.97670968575</v>
      </c>
      <c r="Y13" s="53"/>
      <c r="Z13" s="3">
        <v>3</v>
      </c>
      <c r="AA13" s="96" t="s">
        <v>256</v>
      </c>
      <c r="AB13" s="5">
        <f t="shared" si="149"/>
        <v>52174.799999999996</v>
      </c>
      <c r="AC13" s="5">
        <f t="shared" si="149"/>
        <v>57174.719999999994</v>
      </c>
      <c r="AD13" s="5">
        <f t="shared" si="149"/>
        <v>19939.199999999997</v>
      </c>
      <c r="AE13" s="5">
        <f t="shared" si="44"/>
        <v>77113.919999999984</v>
      </c>
      <c r="AF13" s="5">
        <f>AC13*((1+InputData!$C$5)/(1+InputData!$C$3))^(IntMed!$B13-IntMed!$B$7)</f>
        <v>53892.863362138443</v>
      </c>
      <c r="AG13" s="5">
        <f>AD13*((1+InputData!$C$5)/(1+InputData!$C$3))^(IntMed!$B13-IntMed!$B$7)</f>
        <v>18794.680256420157</v>
      </c>
      <c r="AH13" s="32">
        <f>IF(AF13-InputData!$C$158-InputData!$C$159&gt;=0,AF13-InputData!$C$158-InputData!$C$159,0)</f>
        <v>53892.863362138443</v>
      </c>
      <c r="AI13" s="32">
        <f>IF(AF13-IF(AF13&lt;=InputData!$C$146,InputData!$C$145,0)-MAX(InputData!$C$144,AO13)&gt;=0,AF13-IF(AF13&lt;=InputData!$C$146,InputData!$C$145,0)-MAX(InputData!$C$144,AO13),0)</f>
        <v>43892.863362138443</v>
      </c>
      <c r="AJ13" s="32">
        <f>IF(AI13&lt;0,"Error",IF(AI13&lt;=InputData!$B$170,InputData!$C$170*AI13,IF(AI13&lt;=InputData!$B$171,InputData!$D$170+InputData!$C$171*(AI13-InputData!$B$170),IF(AI13&lt;=InputData!$B$172,InputData!$D$171+InputData!$C$172*(AI13-InputData!$B$171),IF(AI13&lt;=InputData!$B$173,InputData!$D$172+InputData!$C$173*(AI13-InputData!$B$172),IF(AI13&lt;=InputData!$B$174,InputData!$D$173+InputData!$C$174*(AI13-InputData!$B$173),IF(AI13&lt;=InputData!$B$175,InputData!$D$174+InputData!$C$175*(AI13-InputData!$B$174),InputData!$D$175+InputData!$C$176*(AI13-InputData!$B$175))))))))</f>
        <v>6901.9658405346108</v>
      </c>
      <c r="AK13" s="32">
        <f>IF(AF13&lt;=InputData!$C$150,InputData!$C$152,IF(AF13&lt;InputData!$C$151,IF(InputData!$C$152-0.25*IF(AF13-InputData!$C$150&lt;=0,0,AF13-InputData!$C$150)&lt;=0,0,InputData!$C$152-0.25*IF(AF13-InputData!$C$150&lt;=0,0,AF13-InputData!$C$150)),0))</f>
        <v>51900</v>
      </c>
      <c r="AL13" s="32">
        <f>IF(AF13-AK13&lt;=0,0,IF(AF13-AK13&lt;=InputData!$C$153,InputData!$C$154*(AF13-AK13),InputData!$C$155*(AF13-AK13)-InputData!$D$154))</f>
        <v>518.14447415599534</v>
      </c>
      <c r="AM13" s="32">
        <f t="shared" si="45"/>
        <v>6901.9658405346108</v>
      </c>
      <c r="AN13" s="32">
        <f>IF(AF13&gt;=0,IF(AF13&lt;=InputData!$C$148,InputData!$C$147*AF13,InputData!$C$147*InputData!$C$148)+InputData!$C$149*AF13,0)</f>
        <v>4122.8040472035909</v>
      </c>
      <c r="AO13" s="32">
        <f>IF(AH13&lt;0,0,IF(AH13&lt;=InputData!$B$163,InputData!$C$163*AH13,IF(AH13&lt;=InputData!$B$164,InputData!$D$163+InputData!$C$164*(AH13-InputData!$B$163),IF(AH13&lt;=InputData!$B$165,InputData!$D$164+InputData!$C$165*(AH13-InputData!$B$164),InputData!$D$165+InputData!$C$166*(AH13-InputData!$B$165)))))</f>
        <v>0</v>
      </c>
      <c r="AP13" s="43">
        <f t="shared" si="46"/>
        <v>0.20456827119494778</v>
      </c>
      <c r="AQ13" s="43">
        <f t="shared" si="47"/>
        <v>0.15167344140273514</v>
      </c>
      <c r="AR13" s="5">
        <f t="shared" si="48"/>
        <v>61662.773730820394</v>
      </c>
      <c r="AS13" s="32">
        <f>AR13/((1+InputData!$C$7)^(IntMed!$B13-IntMed!$B$7))</f>
        <v>51641.602223008493</v>
      </c>
      <c r="AT13" s="5">
        <f t="shared" si="128"/>
        <v>270992.25439901254</v>
      </c>
      <c r="AU13" s="53"/>
      <c r="AV13" s="56" t="s">
        <v>1</v>
      </c>
      <c r="AW13" s="32">
        <f>AW12*(1+InputData!$C$9)</f>
        <v>61071.309994644871</v>
      </c>
      <c r="AX13" s="32">
        <v>0</v>
      </c>
      <c r="AY13" s="32">
        <f t="shared" si="50"/>
        <v>61071.309994644871</v>
      </c>
      <c r="AZ13" s="32">
        <f>AZ12*(1+InputData!$C$8)</f>
        <v>12939.606197343363</v>
      </c>
      <c r="BA13" s="32">
        <f>AW13/((1+InputData!$C$3)^(IntMed!$B13-IntMed!$B$7))</f>
        <v>54229.57554786621</v>
      </c>
      <c r="BB13" s="32">
        <f>AX13/((1+InputData!$C$3)^(IntMed!$B13-IntMed!$B$7))</f>
        <v>0</v>
      </c>
      <c r="BC13" s="134" t="s">
        <v>140</v>
      </c>
      <c r="BD13" s="32">
        <v>0</v>
      </c>
      <c r="BE13" s="32">
        <f>$BE$12</f>
        <v>212416.2</v>
      </c>
      <c r="BF13" s="32">
        <f>(BE13)*InputData!$C$6</f>
        <v>13191.046020000002</v>
      </c>
      <c r="BG13" s="32">
        <v>0</v>
      </c>
      <c r="BH13" s="32">
        <f t="shared" ref="BH13:BH36" si="157">BH12+BD13+BF13-BG13</f>
        <v>245393.81505000003</v>
      </c>
      <c r="BI13" s="32">
        <f>BG13/((1+InputData!$C$3)^(IntMed!$B13-IntMed!$B$7))</f>
        <v>0</v>
      </c>
      <c r="BJ13" s="32">
        <f>IF(BA13-InputData!$C$158-InputData!$C$159&gt;=0,BA13-InputData!$C$158-InputData!$C$159,0)</f>
        <v>54229.57554786621</v>
      </c>
      <c r="BK13" s="32">
        <f>IF(BA13-IF(BA13&lt;=InputData!$C$146,InputData!$C$145,0)-MAX(InputData!$C$144,BQ13)&gt;=0,BA13-IF(BA13&lt;=InputData!$C$146,InputData!$C$145,0)-MAX(InputData!$C$144,BQ13),0)</f>
        <v>44229.57554786621</v>
      </c>
      <c r="BL13" s="32">
        <f>IF(BK13&lt;0,"Error",IF(BK13&lt;=InputData!$B$170,InputData!$C$170*BK13,IF(BK13&lt;=InputData!$B$171,InputData!$D$170+InputData!$C$171*(BK13-InputData!$B$170),IF(BK13&lt;=InputData!$B$172,InputData!$D$171+InputData!$C$172*(BK13-InputData!$B$171),IF(BK13&lt;=InputData!$B$173,InputData!$D$172+InputData!$C$173*(BK13-InputData!$B$172),IF(BK13&lt;=InputData!$B$174,InputData!$D$173+InputData!$C$174*(BK13-InputData!$B$173),IF(BK13&lt;=InputData!$B$175,InputData!$D$174+InputData!$C$175*(BK13-InputData!$B$174),InputData!$D$175+InputData!$C$176*(BK13-InputData!$B$175))))))))</f>
        <v>6986.1438869665526</v>
      </c>
      <c r="BM13" s="32">
        <f>IF(BA13&lt;=InputData!$C$150,InputData!$C$152,IF(BA13&lt;InputData!$C$151,IF(InputData!$C$152-0.25*IF(BA13-InputData!$C$150&lt;=0,0,BA13-InputData!$C$150)&lt;=0,0,InputData!$C$152-0.25*IF(BA13-InputData!$C$150&lt;=0,0,BA13-InputData!$C$150)),0))</f>
        <v>51900</v>
      </c>
      <c r="BN13" s="32">
        <f>IF(BA13-BM13&lt;=0,0,IF(BA13-BM13&lt;=InputData!$C$153,InputData!$C$154*(BA13-BM13),InputData!$C$155*(BA13-BM13)-InputData!$D$154))</f>
        <v>605.68964244521476</v>
      </c>
      <c r="BO13" s="32">
        <f t="shared" si="51"/>
        <v>6986.1438869665526</v>
      </c>
      <c r="BP13" s="32">
        <f>IF(BA13&gt;=0,IF(BA13&lt;=InputData!$C$148,InputData!$C$147*BA13,InputData!$C$147*InputData!$C$148)+InputData!$C$149*BA13,0)</f>
        <v>4148.5625294117654</v>
      </c>
      <c r="BQ13" s="32">
        <f>IF(BJ13&lt;0,0,IF(BJ13&lt;=InputData!$B$163,InputData!$C$163*BJ13,IF(BJ13&lt;=InputData!$B$164,InputData!$D$163+InputData!$C$164*(BJ13-InputData!$B$163),IF(BJ13&lt;=InputData!$B$165,InputData!$D$164+InputData!$C$165*(BJ13-InputData!$B$164),InputData!$D$165+InputData!$C$166*(BJ13-InputData!$B$165)))))</f>
        <v>0</v>
      </c>
      <c r="BR13" s="43">
        <f t="shared" si="52"/>
        <v>0.20532534698801341</v>
      </c>
      <c r="BS13" s="32">
        <f t="shared" si="53"/>
        <v>43094.869131487896</v>
      </c>
      <c r="BT13" s="32">
        <f t="shared" si="54"/>
        <v>43094.869131487896</v>
      </c>
      <c r="BU13" s="32">
        <f>BT13/((1+InputData!$C$7)^(IntMed!$B13-IntMed!$B$7))</f>
        <v>36091.274441463502</v>
      </c>
      <c r="BV13" s="5">
        <f t="shared" si="130"/>
        <v>-82904.654937055282</v>
      </c>
      <c r="BW13" s="5"/>
      <c r="BX13" s="134" t="s">
        <v>140</v>
      </c>
      <c r="BY13" s="5">
        <f t="shared" si="55"/>
        <v>212416.2</v>
      </c>
      <c r="BZ13" s="5">
        <f t="shared" si="56"/>
        <v>13191.046020000002</v>
      </c>
      <c r="CA13" s="5">
        <v>0</v>
      </c>
      <c r="CB13" s="5">
        <f t="shared" si="57"/>
        <v>245393.81505000003</v>
      </c>
      <c r="CC13" s="32">
        <f>CA13/((1+InputData!$C$3)^(IntMed!$B13-IntMed!$B$7))</f>
        <v>0</v>
      </c>
      <c r="CD13" s="5">
        <f t="shared" si="58"/>
        <v>43094.869131487896</v>
      </c>
      <c r="CE13" s="32">
        <f>CD13/((1+InputData!$C$7)^(IntMed!$B13-IntMed!$B$7))</f>
        <v>36091.274441463502</v>
      </c>
      <c r="CF13" s="5">
        <f t="shared" si="131"/>
        <v>-82904.654937055282</v>
      </c>
      <c r="CG13" s="5"/>
      <c r="CH13" s="134" t="s">
        <v>140</v>
      </c>
      <c r="CI13" s="5">
        <f t="shared" si="59"/>
        <v>212416.2</v>
      </c>
      <c r="CJ13" s="5">
        <f t="shared" si="60"/>
        <v>13191.046020000002</v>
      </c>
      <c r="CK13" s="5">
        <v>0</v>
      </c>
      <c r="CL13" s="5">
        <f t="shared" si="61"/>
        <v>245393.81505000003</v>
      </c>
      <c r="CM13" s="32">
        <f>CK13/((1+InputData!$C$3)^(IntMed!$B13-IntMed!$B$7))</f>
        <v>0</v>
      </c>
      <c r="CN13" s="5">
        <f t="shared" si="62"/>
        <v>43094.869131487896</v>
      </c>
      <c r="CO13" s="32">
        <f>CN13/((1+InputData!$C$7)^(IntMed!$B13-IntMed!$B$7))</f>
        <v>36091.274441463502</v>
      </c>
      <c r="CP13" s="5">
        <f t="shared" si="132"/>
        <v>-82904.654937055282</v>
      </c>
      <c r="CQ13" s="5"/>
      <c r="CR13" s="134" t="s">
        <v>140</v>
      </c>
      <c r="CS13" s="5">
        <f t="shared" si="63"/>
        <v>212416.2</v>
      </c>
      <c r="CT13" s="5">
        <f t="shared" si="64"/>
        <v>13191.046020000002</v>
      </c>
      <c r="CU13" s="5">
        <v>0</v>
      </c>
      <c r="CV13" s="5">
        <f t="shared" si="65"/>
        <v>245393.81505000003</v>
      </c>
      <c r="CW13" s="32">
        <f>CU13/((1+InputData!$C$3)^(IntMed!$B13-IntMed!$B$7))</f>
        <v>0</v>
      </c>
      <c r="CX13" s="5">
        <f t="shared" si="66"/>
        <v>43094.869131487896</v>
      </c>
      <c r="CY13" s="32">
        <f>CX13/((1+InputData!$C$7)^(IntMed!$B13-IntMed!$B$7))</f>
        <v>36091.274441463502</v>
      </c>
      <c r="CZ13" s="5">
        <f t="shared" si="133"/>
        <v>-82904.654937055282</v>
      </c>
      <c r="DA13" s="5"/>
      <c r="DB13" s="134" t="s">
        <v>141</v>
      </c>
      <c r="DC13" s="5">
        <f t="shared" ref="DC13:DC36" si="158">DF12</f>
        <v>187984.72386520819</v>
      </c>
      <c r="DD13" s="5">
        <f>DC13*InputData!$C$6</f>
        <v>11673.851352029429</v>
      </c>
      <c r="DE13" s="32">
        <f t="shared" ref="DE13:DE36" si="159">MIN($DD$2,DC13+DD13)</f>
        <v>29148.379963889372</v>
      </c>
      <c r="DF13" s="32">
        <f t="shared" ref="DF13:DF36" si="160">DF12+$BD13+DD13-DE13</f>
        <v>170510.19525334824</v>
      </c>
      <c r="DG13" s="32">
        <f>DE13/((1+InputData!$C$3)^(IntMed!$B13-IntMed!$B$7))</f>
        <v>25882.927245023151</v>
      </c>
      <c r="DH13" s="5">
        <f t="shared" si="70"/>
        <v>17211.941886464745</v>
      </c>
      <c r="DI13" s="32">
        <f>DH13/((1+InputData!$C$7)^(IntMed!$B13-IntMed!$B$7))</f>
        <v>14414.730356868184</v>
      </c>
      <c r="DJ13" s="5">
        <f t="shared" si="134"/>
        <v>-139317.43128811088</v>
      </c>
      <c r="DK13" s="5"/>
      <c r="DL13" s="134" t="s">
        <v>141</v>
      </c>
      <c r="DM13" s="133">
        <f>IF(0.15*($AY13-1.5*$AZ13)&lt;=$DD$2,DQ12-DO12,DQ12)</f>
        <v>212416.2</v>
      </c>
      <c r="DN13" s="5">
        <f>DM13*InputData!$C$6</f>
        <v>13191.046020000002</v>
      </c>
      <c r="DO13" s="133">
        <f>DO12+DN13-DP13</f>
        <v>15585.858802306171</v>
      </c>
      <c r="DP13" s="32">
        <f t="shared" si="150"/>
        <v>6249.2851047944741</v>
      </c>
      <c r="DQ13" s="32">
        <f t="shared" si="151"/>
        <v>228002.05880230619</v>
      </c>
      <c r="DR13" s="32">
        <f>DP13/((1+InputData!$C$3)^(IntMed!$B13-IntMed!$B$7))</f>
        <v>5549.186332179931</v>
      </c>
      <c r="DS13" s="5">
        <f t="shared" si="74"/>
        <v>37545.682799307964</v>
      </c>
      <c r="DT13" s="32">
        <f>DS13/((1+InputData!$C$7)^(IntMed!$B13-IntMed!$B$7))</f>
        <v>31443.9182508587</v>
      </c>
      <c r="DU13" s="5">
        <f t="shared" si="136"/>
        <v>-96469.213883902426</v>
      </c>
      <c r="DV13" s="5"/>
      <c r="DW13" s="134" t="s">
        <v>141</v>
      </c>
      <c r="DX13" s="133">
        <f t="shared" ref="DX13:DX36" si="161">IF(0.1*($AY13-1.5*$AZ13)&lt;=$DD$2,EB12-DZ12,MIN(EB12,1.1*$DC$2))</f>
        <v>212416.2</v>
      </c>
      <c r="DY13" s="5">
        <f>DX13*InputData!$C$6</f>
        <v>13191.046020000002</v>
      </c>
      <c r="DZ13" s="133">
        <f t="shared" ref="DZ13:DZ36" si="162">MAX(0,DZ12+DY13-EA13)</f>
        <v>21383.110884870781</v>
      </c>
      <c r="EA13" s="32">
        <f t="shared" ref="EA13:EA36" si="163">IF(0.1*($AY$11-1.5*$AZ13)&lt;=$DD$2,MIN(0.1*($AY13-1.5*$AZ13),$DD$2, DX13+DY13),"DNQ")</f>
        <v>4166.1900698629825</v>
      </c>
      <c r="EB13" s="32">
        <f t="shared" ref="EB13:EB36" si="164">EB12+$BD13+DY13-EA13</f>
        <v>233799.31088487079</v>
      </c>
      <c r="EC13" s="32">
        <f>EA13/((1+InputData!$C$3)^(IntMed!$B13-IntMed!$B$7))</f>
        <v>3699.4575547866202</v>
      </c>
      <c r="ED13" s="5">
        <f t="shared" si="78"/>
        <v>39395.411576701277</v>
      </c>
      <c r="EE13" s="32">
        <f>ED13/((1+InputData!$C$7)^(IntMed!$B13-IntMed!$B$7))</f>
        <v>32993.036981060301</v>
      </c>
      <c r="EF13" s="5">
        <f t="shared" si="138"/>
        <v>-91947.694234953393</v>
      </c>
      <c r="EG13" s="32"/>
      <c r="EH13" s="130" t="s">
        <v>140</v>
      </c>
      <c r="EI13" s="32">
        <v>0</v>
      </c>
      <c r="EJ13" s="32">
        <f t="shared" si="152"/>
        <v>185472.36</v>
      </c>
      <c r="EK13" s="32">
        <f>EJ13*InputData!$C$6</f>
        <v>11517.833556</v>
      </c>
      <c r="EL13" s="32">
        <f t="shared" si="153"/>
        <v>248535.37202399998</v>
      </c>
      <c r="EM13" s="32">
        <f>EM12*(1+InputData!$C$8)</f>
        <v>12939.606197343363</v>
      </c>
      <c r="EN13" s="32">
        <v>0</v>
      </c>
      <c r="EO13" s="32">
        <f>AW13/((1+InputData!$C$3)^(IntMed!$B13-IntMed!$B$7))</f>
        <v>54229.57554786621</v>
      </c>
      <c r="EP13" s="32">
        <f>AX13/((1+InputData!$C$3)^(IntMed!$B13-IntMed!$B$7))</f>
        <v>0</v>
      </c>
      <c r="EQ13" s="32">
        <v>7149.9</v>
      </c>
      <c r="ER13" s="32">
        <v>3606.2649999999999</v>
      </c>
      <c r="ES13" s="32">
        <v>0</v>
      </c>
      <c r="ET13" s="42">
        <f t="shared" si="154"/>
        <v>0.19834499701193448</v>
      </c>
      <c r="EU13" s="32">
        <f t="shared" si="79"/>
        <v>43473.41054786621</v>
      </c>
      <c r="EV13" s="32">
        <f>EN13/((1+InputData!$C$3)^(IntMed!$B13-IntMed!$B$7))</f>
        <v>0</v>
      </c>
      <c r="EW13" s="32">
        <f t="shared" si="80"/>
        <v>43473.41054786621</v>
      </c>
      <c r="EX13" s="32">
        <f>EW13/((1+InputData!$C$7)^(IntMed!$B13-IntMed!$B$7))</f>
        <v>36408.29691818307</v>
      </c>
      <c r="EY13" s="5">
        <f t="shared" si="148"/>
        <v>-81978.095972535186</v>
      </c>
      <c r="EZ13" s="79"/>
      <c r="FA13" s="32">
        <f t="shared" si="81"/>
        <v>185472.36</v>
      </c>
      <c r="FB13" s="32">
        <f t="shared" si="82"/>
        <v>11517.833556</v>
      </c>
      <c r="FC13" s="32">
        <f t="shared" si="83"/>
        <v>248535.37202399998</v>
      </c>
      <c r="FD13" s="32">
        <v>0</v>
      </c>
      <c r="FE13" s="32">
        <f>FD13/((1+InputData!$C$3)^(IntMed!$B13-IntMed!$B$7))</f>
        <v>0</v>
      </c>
      <c r="FF13" s="5">
        <f t="shared" si="84"/>
        <v>43473.41054786621</v>
      </c>
      <c r="FG13" s="32">
        <f>FF13/((1+InputData!$C$7)^(IntMed!$B13-IntMed!$B$7))</f>
        <v>36408.29691818307</v>
      </c>
      <c r="FH13" s="5">
        <f t="shared" si="140"/>
        <v>-81978.095972535186</v>
      </c>
      <c r="FI13" s="79"/>
      <c r="FJ13" s="32">
        <f t="shared" si="85"/>
        <v>185472.36</v>
      </c>
      <c r="FK13" s="32">
        <f t="shared" si="86"/>
        <v>11517.833556</v>
      </c>
      <c r="FL13" s="32">
        <f t="shared" si="87"/>
        <v>248535.37202399998</v>
      </c>
      <c r="FM13" s="32">
        <v>0</v>
      </c>
      <c r="FN13" s="32">
        <f>FM13/((1+InputData!$C$3)^(IntMed!$B13-IntMed!$B$7))</f>
        <v>0</v>
      </c>
      <c r="FO13" s="5">
        <f t="shared" si="88"/>
        <v>43473.41054786621</v>
      </c>
      <c r="FP13" s="32">
        <f>FO13/((1+InputData!$C$7)^(IntMed!$B13-IntMed!$B$7))</f>
        <v>36408.29691818307</v>
      </c>
      <c r="FQ13" s="5">
        <f t="shared" si="141"/>
        <v>-81978.095972535186</v>
      </c>
      <c r="FR13" s="79"/>
      <c r="FS13" s="32">
        <f t="shared" si="89"/>
        <v>185472.36</v>
      </c>
      <c r="FT13" s="32">
        <f t="shared" si="90"/>
        <v>11517.833556</v>
      </c>
      <c r="FU13" s="32">
        <f t="shared" si="91"/>
        <v>248535.37202399998</v>
      </c>
      <c r="FV13" s="32">
        <v>0</v>
      </c>
      <c r="FW13" s="32">
        <f>FV13/((1+InputData!$C$3)^(IntMed!$B13-IntMed!$B$7))</f>
        <v>0</v>
      </c>
      <c r="FX13" s="5">
        <f t="shared" si="92"/>
        <v>43473.41054786621</v>
      </c>
      <c r="FY13" s="32">
        <f>FX13/((1+InputData!$C$7)^(IntMed!$B13-IntMed!$B$7))</f>
        <v>36408.29691818307</v>
      </c>
      <c r="FZ13" s="5">
        <f t="shared" si="142"/>
        <v>-81978.095972535186</v>
      </c>
      <c r="GC13" s="3">
        <f t="shared" si="3"/>
        <v>3</v>
      </c>
      <c r="GD13" s="46" t="str">
        <f t="shared" si="4"/>
        <v>Residency (O3&gt;2 = (BP+BAH+BAS+VSP)*12)</v>
      </c>
      <c r="GE13" s="4"/>
      <c r="GF13" s="4"/>
      <c r="GG13" s="4"/>
      <c r="GH13" s="4"/>
      <c r="GI13" s="5">
        <f t="shared" si="5"/>
        <v>57174.719999999994</v>
      </c>
      <c r="GJ13" s="5">
        <f t="shared" si="6"/>
        <v>19939.199999999997</v>
      </c>
      <c r="GK13" s="5">
        <f t="shared" si="7"/>
        <v>77113.919999999984</v>
      </c>
      <c r="GL13" s="5">
        <f t="shared" si="8"/>
        <v>53892.863362138443</v>
      </c>
      <c r="GM13" s="5">
        <f t="shared" si="9"/>
        <v>18794.680256420157</v>
      </c>
      <c r="GN13" s="32">
        <f>IF(GL13-InputData!$C$158-InputData!$C$159&gt;=0,GL13-InputData!$C$158-InputData!$C$159,0)</f>
        <v>53892.863362138443</v>
      </c>
      <c r="GO13" s="32">
        <f>IF(GL13-IF(GL13&lt;=InputData!$C$146,InputData!$C$145,0)-MAX(InputData!$C$144,GU13)&gt;=0,GL13-IF(GL13&lt;=InputData!$C$146,InputData!$C$145,0)-MAX(InputData!$C$144,GU13),0)</f>
        <v>43892.863362138443</v>
      </c>
      <c r="GP13" s="32">
        <f>IF(GO13&lt;0,"Error",IF(GO13&lt;=InputData!$B$170,InputData!$C$170*GO13,IF(GO13&lt;=InputData!$B$171,InputData!$D$170+InputData!$C$171*(GO13-InputData!$B$170),IF(GO13&lt;=InputData!$B$172,InputData!$D$171+InputData!$C$172*(GO13-InputData!$B$171),IF(GO13&lt;=InputData!$B$173,InputData!$D$172+InputData!$C$173*(GO13-InputData!$B$172),IF(GO13&lt;=InputData!$B$174,InputData!$D$173+InputData!$C$174*(GO13-InputData!$B$173),IF(GO13&lt;=InputData!$B$175,InputData!$D$174+InputData!$C$175*(GO13-InputData!$B$174),InputData!$D$175+InputData!$C$176*(GO13-InputData!$B$175))))))))</f>
        <v>6901.9658405346108</v>
      </c>
      <c r="GQ13" s="32">
        <f>IF(GL13&lt;=InputData!$C$150,InputData!$C$152,IF(GL13&lt;InputData!$C$151,IF(InputData!$C$152-0.25*IF(GL13-InputData!$C$150&lt;=0,0,GL13-InputData!$C$150)&lt;=0,0,InputData!$C$152-0.25*IF(GL13-InputData!$C$150&lt;=0,0,GL13-InputData!$C$150)),0))</f>
        <v>51900</v>
      </c>
      <c r="GR13" s="32">
        <f>IF(GL13-GQ13&lt;=0,0,IF(GL13-GQ13&lt;=InputData!$C$153,InputData!$C$154*(GL13-GQ13),InputData!$C$155*(GL13-GQ13)-InputData!$D$154))</f>
        <v>518.14447415599534</v>
      </c>
      <c r="GS13" s="32">
        <f t="shared" si="93"/>
        <v>6901.9658405346108</v>
      </c>
      <c r="GT13" s="32">
        <f>IF(GL13&gt;=0,IF(GL13&lt;=InputData!$C$148,InputData!$C$147*GL13,InputData!$C$147*InputData!$C$148)+InputData!$C$149*GL13,0)</f>
        <v>4122.8040472035909</v>
      </c>
      <c r="GU13" s="32">
        <f>IF(GN13&lt;0,0,IF(GN13&lt;=InputData!$B$163,InputData!$C$163*GN13,IF(GN13&lt;=InputData!$B$164,InputData!$D$163+InputData!$C$164*(GN13-InputData!$B$163),IF(GN13&lt;=InputData!$B$165,InputData!$D$164+InputData!$C$165*(GN13-InputData!$B$164),InputData!$D$165+InputData!$C$166*(GN13-InputData!$B$165)))))</f>
        <v>0</v>
      </c>
      <c r="GV13" s="43">
        <f t="shared" si="10"/>
        <v>0.20456827119494778</v>
      </c>
      <c r="GW13" s="43">
        <f t="shared" si="11"/>
        <v>0.15167344140273514</v>
      </c>
      <c r="GX13" s="5">
        <f t="shared" si="12"/>
        <v>61662.773730820394</v>
      </c>
      <c r="GY13" s="32">
        <f>GX13/((1+InputData!$C$7)^(IntMed!$B13-IntMed!$B$7))</f>
        <v>51641.602223008493</v>
      </c>
      <c r="GZ13" s="32">
        <f t="shared" si="94"/>
        <v>363115.97670968575</v>
      </c>
      <c r="HB13" s="3">
        <f t="shared" si="13"/>
        <v>3</v>
      </c>
      <c r="HC13" s="46" t="str">
        <f t="shared" si="14"/>
        <v>Residency (O3&gt;2 = (BP+BAH+BAS+VSP)*12)</v>
      </c>
      <c r="HD13" s="4"/>
      <c r="HE13" s="4"/>
      <c r="HF13" s="4"/>
      <c r="HG13" s="4"/>
      <c r="HH13" s="5">
        <f t="shared" si="15"/>
        <v>57174.719999999994</v>
      </c>
      <c r="HI13" s="5">
        <f t="shared" si="16"/>
        <v>19939.199999999997</v>
      </c>
      <c r="HJ13" s="5">
        <f t="shared" si="17"/>
        <v>77113.919999999984</v>
      </c>
      <c r="HK13" s="5">
        <f t="shared" si="18"/>
        <v>53892.863362138443</v>
      </c>
      <c r="HL13" s="5">
        <f t="shared" si="19"/>
        <v>18794.680256420157</v>
      </c>
      <c r="HM13" s="32">
        <f>IF(HK13-InputData!$C$158-InputData!$C$159&gt;=0,HK13-InputData!$C$158-InputData!$C$159,0)</f>
        <v>53892.863362138443</v>
      </c>
      <c r="HN13" s="32">
        <f>IF(HK13-IF(HK13&lt;=InputData!$C$146,InputData!$C$145,0)-MAX(InputData!$C$144,HT13)&gt;=0,HK13-IF(HK13&lt;=InputData!$C$146,InputData!$C$145,0)-MAX(InputData!$C$144,HT13),0)</f>
        <v>43892.863362138443</v>
      </c>
      <c r="HO13" s="32">
        <f>IF(HN13&lt;0,"Error",IF(HN13&lt;=InputData!$B$170,InputData!$C$170*HN13,IF(HN13&lt;=InputData!$B$171,InputData!$D$170+InputData!$C$171*(HN13-InputData!$B$170),IF(HN13&lt;=InputData!$B$172,InputData!$D$171+InputData!$C$172*(HN13-InputData!$B$171),IF(HN13&lt;=InputData!$B$173,InputData!$D$172+InputData!$C$173*(HN13-InputData!$B$172),IF(HN13&lt;=InputData!$B$174,InputData!$D$173+InputData!$C$174*(HN13-InputData!$B$173),IF(HN13&lt;=InputData!$B$175,InputData!$D$174+InputData!$C$175*(HN13-InputData!$B$174),InputData!$D$175+InputData!$C$176*(HN13-InputData!$B$175))))))))</f>
        <v>6901.9658405346108</v>
      </c>
      <c r="HP13" s="32">
        <f>IF(HK13&lt;=InputData!$C$150,InputData!$C$152,IF(HK13&lt;InputData!$C$151,IF(InputData!$C$152-0.25*IF(HK13-InputData!$C$150&lt;=0,0,HK13-InputData!$C$150)&lt;=0,0,InputData!$C$152-0.25*IF(HK13-InputData!$C$150&lt;=0,0,HK13-InputData!$C$150)),0))</f>
        <v>51900</v>
      </c>
      <c r="HQ13" s="32">
        <f>IF(HK13-HP13&lt;=0,0,IF(HK13-HP13&lt;=InputData!$C$153,InputData!$C$154*(HK13-HP13),InputData!$C$155*(HK13-HP13)-InputData!$D$154))</f>
        <v>518.14447415599534</v>
      </c>
      <c r="HR13" s="32">
        <f t="shared" si="95"/>
        <v>6901.9658405346108</v>
      </c>
      <c r="HS13" s="32">
        <f>IF(HK13&gt;=0,IF(HK13&lt;=InputData!$C$148,InputData!$C$147*HK13,InputData!$C$147*InputData!$C$148)+InputData!$C$149*HK13,0)</f>
        <v>4122.8040472035909</v>
      </c>
      <c r="HT13" s="32">
        <f>IF(HM13&lt;0,0,IF(HM13&lt;=InputData!$B$163,InputData!$C$163*HM13,IF(HM13&lt;=InputData!$B$164,InputData!$D$163+InputData!$C$164*(HM13-InputData!$B$163),IF(HM13&lt;=InputData!$B$165,InputData!$D$164+InputData!$C$165*(HM13-InputData!$B$164),InputData!$D$165+InputData!$C$166*(HM13-InputData!$B$165)))))</f>
        <v>0</v>
      </c>
      <c r="HU13" s="43">
        <f t="shared" si="96"/>
        <v>0.20456827119494778</v>
      </c>
      <c r="HV13" s="43">
        <f t="shared" si="97"/>
        <v>0.15167344140273514</v>
      </c>
      <c r="HW13" s="5">
        <f t="shared" si="98"/>
        <v>61662.773730820394</v>
      </c>
      <c r="HX13" s="32">
        <f>HW13/((1+InputData!$C$7)^(IntMed!$B13-IntMed!$B$7))</f>
        <v>51641.602223008493</v>
      </c>
      <c r="HY13" s="32">
        <f t="shared" si="99"/>
        <v>270992.25439901254</v>
      </c>
      <c r="IA13" s="3">
        <f t="shared" si="20"/>
        <v>3</v>
      </c>
      <c r="IB13" s="46" t="str">
        <f t="shared" si="21"/>
        <v>Residency (O3&gt;2 = (BP+BAH+BAS+VSP)*12)</v>
      </c>
      <c r="IC13" s="5">
        <f t="shared" si="22"/>
        <v>57174.719999999994</v>
      </c>
      <c r="ID13" s="5">
        <f t="shared" si="23"/>
        <v>19939.199999999997</v>
      </c>
      <c r="IE13" s="5">
        <f t="shared" si="24"/>
        <v>77113.919999999984</v>
      </c>
      <c r="IF13" s="5">
        <f t="shared" si="25"/>
        <v>53892.863362138443</v>
      </c>
      <c r="IG13" s="5">
        <f t="shared" si="26"/>
        <v>18794.680256420157</v>
      </c>
      <c r="IH13" s="32">
        <f>IF(IF13-InputData!$C$158-InputData!$C$159&gt;=0,IF13-InputData!$C$158-InputData!$C$159,0)</f>
        <v>53892.863362138443</v>
      </c>
      <c r="II13" s="32">
        <f>IF(IF13-IF(IF13&lt;=InputData!$C$146,InputData!$C$145,0)-MAX(InputData!$C$144,IO13)&gt;=0,IF13-IF(IF13&lt;=InputData!$C$146,InputData!$C$145,0)-MAX(InputData!$C$144,IO13),0)</f>
        <v>43892.863362138443</v>
      </c>
      <c r="IJ13" s="32">
        <f>IF(II13&lt;0,"Error",IF(II13&lt;=InputData!$B$170,InputData!$C$170*II13,IF(II13&lt;=InputData!$B$171,InputData!$D$170+InputData!$C$171*(II13-InputData!$B$170),IF(II13&lt;=InputData!$B$172,InputData!$D$171+InputData!$C$172*(II13-InputData!$B$171),IF(II13&lt;=InputData!$B$173,InputData!$D$172+InputData!$C$173*(II13-InputData!$B$172),IF(II13&lt;=InputData!$B$174,InputData!$D$173+InputData!$C$174*(II13-InputData!$B$173),IF(II13&lt;=InputData!$B$175,InputData!$D$174+InputData!$C$175*(II13-InputData!$B$174),InputData!$D$175+InputData!$C$176*(II13-InputData!$B$175))))))))</f>
        <v>6901.9658405346108</v>
      </c>
      <c r="IK13" s="32">
        <f>IF(IF13&lt;=InputData!$C$150,InputData!$C$152,IF(IF13&lt;InputData!$C$151,IF(InputData!$C$152-0.25*IF(IF13-InputData!$C$150&lt;=0,0,IF13-InputData!$C$150)&lt;=0,0,InputData!$C$152-0.25*IF(IF13-InputData!$C$150&lt;=0,0,IF13-InputData!$C$150)),0))</f>
        <v>51900</v>
      </c>
      <c r="IL13" s="32">
        <f>IF(IF13-IK13&lt;=0,0,IF(IF13-IK13&lt;=InputData!$C$153,InputData!$C$154*(IF13-IK13),InputData!$C$155*(IF13-IK13)-InputData!$D$154))</f>
        <v>518.14447415599534</v>
      </c>
      <c r="IM13" s="32">
        <f t="shared" si="100"/>
        <v>6901.9658405346108</v>
      </c>
      <c r="IN13" s="32">
        <f>IF(IF13&gt;=0,IF(IF13&lt;=InputData!$C$148,InputData!$C$147*IF13,InputData!$C$147*InputData!$C$148)+InputData!$C$149*IF13,0)</f>
        <v>4122.8040472035909</v>
      </c>
      <c r="IO13" s="32">
        <f>IF(IH13&lt;0,0,IF(IH13&lt;=InputData!$B$163,InputData!$C$163*IH13,IF(IH13&lt;=InputData!$B$164,InputData!$D$163+InputData!$C$164*(IH13-InputData!$B$163),IF(IH13&lt;=InputData!$B$165,InputData!$D$164+InputData!$C$165*(IH13-InputData!$B$164),InputData!$D$165+InputData!$C$166*(IH13-InputData!$B$165)))))</f>
        <v>0</v>
      </c>
      <c r="IP13" s="43">
        <f t="shared" si="101"/>
        <v>0.20456827119494778</v>
      </c>
      <c r="IQ13" s="43">
        <f t="shared" si="102"/>
        <v>0.15167344140273514</v>
      </c>
      <c r="IR13" s="5">
        <f t="shared" si="27"/>
        <v>61662.773730820394</v>
      </c>
      <c r="IS13" s="32">
        <f>IR13/((1+InputData!$C$7)^(IntMed!$B13-IntMed!$B$7))</f>
        <v>51641.602223008493</v>
      </c>
      <c r="IT13" s="5">
        <f t="shared" si="103"/>
        <v>363115.97670968575</v>
      </c>
      <c r="IV13" s="41">
        <f t="shared" si="28"/>
        <v>3</v>
      </c>
      <c r="IW13" s="91" t="str">
        <f t="shared" si="29"/>
        <v>Residency (O3&gt;2 = (BP+BAH+BAS+VSP)*12)</v>
      </c>
      <c r="IX13" s="32">
        <f t="shared" si="30"/>
        <v>57174.719999999994</v>
      </c>
      <c r="IY13" s="32">
        <f t="shared" si="31"/>
        <v>19939.199999999997</v>
      </c>
      <c r="IZ13" s="32">
        <f t="shared" si="32"/>
        <v>77113.919999999984</v>
      </c>
      <c r="JA13" s="32">
        <f t="shared" si="33"/>
        <v>53892.863362138443</v>
      </c>
      <c r="JB13" s="32">
        <f t="shared" si="34"/>
        <v>18794.680256420157</v>
      </c>
      <c r="JC13" s="32">
        <f>IF(JA13-InputData!$C$158-InputData!$C$159&gt;=0,JA13-InputData!$C$158-InputData!$C$159,0)</f>
        <v>53892.863362138443</v>
      </c>
      <c r="JD13" s="32">
        <f>IF(JA13-IF(JA13&lt;=InputData!$C$146,InputData!$C$145,0)-MAX(InputData!$C$144,JJ13)&gt;=0,JA13-IF(JA13&lt;=InputData!$C$146,InputData!$C$145,0)-MAX(InputData!$C$144,JJ13),0)</f>
        <v>43892.863362138443</v>
      </c>
      <c r="JE13" s="32">
        <f>IF(JD13&lt;0,"Error",IF(JD13&lt;=InputData!$B$170,InputData!$C$170*JD13,IF(JD13&lt;=InputData!$B$171,InputData!$D$170+InputData!$C$171*(JD13-InputData!$B$170),IF(JD13&lt;=InputData!$B$172,InputData!$D$171+InputData!$C$172*(JD13-InputData!$B$171),IF(JD13&lt;=InputData!$B$173,InputData!$D$172+InputData!$C$173*(JD13-InputData!$B$172),IF(JD13&lt;=InputData!$B$174,InputData!$D$173+InputData!$C$174*(JD13-InputData!$B$173),IF(JD13&lt;=InputData!$B$175,InputData!$D$174+InputData!$C$175*(JD13-InputData!$B$174),InputData!$D$175+InputData!$C$176*(JD13-InputData!$B$175))))))))</f>
        <v>6901.9658405346108</v>
      </c>
      <c r="JF13" s="32">
        <f>IF(JA13&lt;=InputData!$C$150,InputData!$C$152,IF(JA13&lt;InputData!$C$151,IF(InputData!$C$152-0.25*IF(JA13-InputData!$C$150&lt;=0,0,JA13-InputData!$C$150)&lt;=0,0,InputData!$C$152-0.25*IF(JA13-InputData!$C$150&lt;=0,0,JA13-InputData!$C$150)),0))</f>
        <v>51900</v>
      </c>
      <c r="JG13" s="32">
        <f>IF(JA13-JF13&lt;=0,0,IF(JA13-JF13&lt;=InputData!$C$153,InputData!$C$154*(JA13-JF13),InputData!$C$155*(JA13-JF13)-InputData!$D$154))</f>
        <v>518.14447415599534</v>
      </c>
      <c r="JH13" s="32">
        <f t="shared" si="104"/>
        <v>6901.9658405346108</v>
      </c>
      <c r="JI13" s="32">
        <f>IF(JA13&gt;=0,IF(JA13&lt;=InputData!$C$148,InputData!$C$147*JA13,InputData!$C$147*InputData!$C$148)+InputData!$C$149*JA13,0)</f>
        <v>4122.8040472035909</v>
      </c>
      <c r="JJ13" s="32">
        <f>IF(JC13&lt;0,0,IF(JC13&lt;=InputData!$B$163,InputData!$C$163*JC13,IF(JC13&lt;=InputData!$B$164,InputData!$D$163+InputData!$C$164*(JC13-InputData!$B$163),IF(JC13&lt;=InputData!$B$165,InputData!$D$164+InputData!$C$165*(JC13-InputData!$B$164),InputData!$D$165+InputData!$C$166*(JC13-InputData!$B$165)))))</f>
        <v>0</v>
      </c>
      <c r="JK13" s="42">
        <f t="shared" si="105"/>
        <v>0.20456827119494778</v>
      </c>
      <c r="JL13" s="42">
        <f t="shared" si="106"/>
        <v>0.15167344140273514</v>
      </c>
      <c r="JM13" s="32">
        <f t="shared" si="35"/>
        <v>61662.773730820394</v>
      </c>
      <c r="JN13" s="32">
        <f>JM13/((1+InputData!$C$7)^(IntMed!$B13-IntMed!$B$7))</f>
        <v>51641.602223008493</v>
      </c>
      <c r="JO13" s="32">
        <f t="shared" si="107"/>
        <v>270992.25439901254</v>
      </c>
      <c r="JQ13" s="56" t="s">
        <v>1</v>
      </c>
      <c r="JR13" s="32">
        <f>JR12*(1+InputData!$C$9)</f>
        <v>61071.309994644871</v>
      </c>
      <c r="JS13" s="32">
        <v>0</v>
      </c>
      <c r="JT13" s="32">
        <f t="shared" si="108"/>
        <v>61071.309994644871</v>
      </c>
      <c r="JU13" s="5">
        <f>JR13*(1/(1+InputData!$C$3))^(IntMed!$B13-IntMed!$B$7)</f>
        <v>54229.575547866203</v>
      </c>
      <c r="JV13" s="5">
        <f>JS13*(1/(1+InputData!$C$3))^(IntMed!$B13-IntMed!$B$7)</f>
        <v>0</v>
      </c>
      <c r="JW13" s="32">
        <f>IF(JU13-InputData!$C$158-InputData!$C$159&gt;=0,JU13-InputData!$C$158-InputData!$C$159,0)</f>
        <v>54229.575547866203</v>
      </c>
      <c r="JX13" s="32">
        <f>IF(JU13-IF(JU13&lt;=InputData!$C$146,InputData!$C$145,0)-MAX(InputData!$C$144,KD13)&gt;=0,JU13-IF(JU13&lt;=InputData!$C$146,InputData!$C$145,0)-MAX(InputData!$C$144,KD13),0)</f>
        <v>44229.575547866203</v>
      </c>
      <c r="JY13" s="32">
        <f>IF(JX13&lt;0,"Error",IF(JX13&lt;=InputData!$B$170,InputData!$C$170*JX13,IF(JX13&lt;=InputData!$B$171,InputData!$D$170+InputData!$C$171*(JX13-InputData!$B$170),IF(JX13&lt;=InputData!$B$172,InputData!$D$171+InputData!$C$172*(JX13-InputData!$B$171),IF(JX13&lt;=InputData!$B$173,InputData!$D$172+InputData!$C$173*(JX13-InputData!$B$172),IF(JX13&lt;=InputData!$B$174,InputData!$D$173+InputData!$C$174*(JX13-InputData!$B$173),IF(JX13&lt;=InputData!$B$175,InputData!$D$174+InputData!$C$175*(JX13-InputData!$B$174),InputData!$D$175+InputData!$C$176*(JX13-InputData!$B$175))))))))</f>
        <v>6986.1438869665508</v>
      </c>
      <c r="JZ13" s="32">
        <f>IF(JU13&lt;=InputData!$C$150,InputData!$C$152,IF(JU13&lt;InputData!$C$151,IF(InputData!$C$152-0.25*IF(JU13-InputData!$C$150&lt;=0,0,JU13-InputData!$C$150)&lt;=0,0,InputData!$C$152-0.25*IF(JU13-InputData!$C$150&lt;=0,0,JU13-InputData!$C$150)),0))</f>
        <v>51900</v>
      </c>
      <c r="KA13" s="32">
        <f>IF(JU13-JZ13&lt;=0,0,IF(JU13-JZ13&lt;=InputData!$C$153,InputData!$C$154*(JU13-JZ13),InputData!$C$155*(JU13-JZ13)-InputData!$D$154))</f>
        <v>605.68964244521283</v>
      </c>
      <c r="KB13" s="32">
        <f t="shared" si="109"/>
        <v>6986.1438869665508</v>
      </c>
      <c r="KC13" s="32">
        <f>IF(JU13&gt;=0,IF(JU13&lt;=InputData!$C$148,InputData!$C$147*JU13,InputData!$C$147*InputData!$C$148)+InputData!$C$149*JU13,0)</f>
        <v>4148.5625294117644</v>
      </c>
      <c r="KD13" s="32">
        <f>IF(JW13&lt;0,0,IF(JW13&lt;=InputData!$B$163,InputData!$C$163*JW13,IF(JW13&lt;=InputData!$B$164,InputData!$D$163+InputData!$C$164*(JW13-InputData!$B$163),IF(JW13&lt;=InputData!$B$165,InputData!$D$164+InputData!$C$165*(JW13-InputData!$B$164),InputData!$D$165+InputData!$C$166*(JW13-InputData!$B$165)))))</f>
        <v>0</v>
      </c>
      <c r="KE13" s="43">
        <f t="shared" si="110"/>
        <v>0.20532534698801339</v>
      </c>
      <c r="KF13" s="43">
        <f t="shared" si="111"/>
        <v>0.20532534698801339</v>
      </c>
      <c r="KG13" s="5">
        <f t="shared" si="112"/>
        <v>43094.869131487889</v>
      </c>
      <c r="KH13" s="32">
        <f>KG13/((1+InputData!$C$7)^(IntMed!$B13-IntMed!$B$7))</f>
        <v>36091.274441463502</v>
      </c>
      <c r="KI13" s="5">
        <f t="shared" si="143"/>
        <v>159178.72767926601</v>
      </c>
      <c r="KK13" s="7"/>
      <c r="KM13">
        <v>28</v>
      </c>
      <c r="KN13" s="56" t="s">
        <v>1</v>
      </c>
      <c r="KO13" s="32">
        <f>KO12*(1+InputData!$C$9)</f>
        <v>61071.309994644871</v>
      </c>
      <c r="KP13" s="32">
        <v>0</v>
      </c>
      <c r="KQ13" s="32">
        <f t="shared" si="114"/>
        <v>61071.309994644871</v>
      </c>
      <c r="KR13" s="32">
        <f>KR12*(1+InputData!$C$8)</f>
        <v>12939.606197343363</v>
      </c>
      <c r="KS13" s="5">
        <f>KO13*(1/(1+InputData!$C$3))^(IntMed!$B13-IntMed!$B$7)</f>
        <v>54229.575547866203</v>
      </c>
      <c r="KT13" s="5">
        <f>KP13*(1/(1+InputData!$C$3))^(IntMed!$B13-IntMed!$B$7)</f>
        <v>0</v>
      </c>
      <c r="KU13" s="134" t="s">
        <v>141</v>
      </c>
      <c r="KV13" s="32">
        <v>0</v>
      </c>
      <c r="KW13" s="133">
        <f t="shared" ref="KW13:KW23" si="165">IF(0.1*($KQ13-1.5*$AZ13)&lt;=$DD$2,LA12-KY12,MIN(LA12,1.1*$DC$2))</f>
        <v>212416.2</v>
      </c>
      <c r="KX13" s="5">
        <f>KW13*InputData!$C$6</f>
        <v>13191.046020000002</v>
      </c>
      <c r="KY13" s="133">
        <f t="shared" ref="KY13:KY36" si="166">MAX(0,KY12+KX13-KZ13)</f>
        <v>21383.110884870781</v>
      </c>
      <c r="KZ13" s="118">
        <f t="shared" si="155"/>
        <v>4166.1900698629825</v>
      </c>
      <c r="LA13" s="32">
        <f t="shared" ref="LA13:LA23" si="167">LA12+$BD13+KX13-KZ13</f>
        <v>233799.31088487079</v>
      </c>
      <c r="LB13" s="32">
        <f>KZ13/((1+InputData!$C$3)^(IntMed!$B13-IntMed!$B$7))</f>
        <v>3699.4575547866202</v>
      </c>
      <c r="LC13" s="32">
        <f>IF(KS13-InputData!$C$158-InputData!$C$159&gt;=0,KS13-InputData!$C$158-InputData!$C$159,0)</f>
        <v>54229.575547866203</v>
      </c>
      <c r="LD13" s="32">
        <f>IF(KS13-IF(KS13&lt;=InputData!$C$146,InputData!$C$145,0)-MAX(InputData!$C$144,LJ13)&gt;=0,KS13-IF(KS13&lt;=InputData!$C$146,InputData!$C$145,0)-MAX(InputData!$C$144,LJ13),0)</f>
        <v>44229.575547866203</v>
      </c>
      <c r="LE13" s="32">
        <f>IF(LD13&lt;0,"Error",IF(LD13&lt;=InputData!$B$170,InputData!$C$170*LD13,IF(LD13&lt;=InputData!$B$171,InputData!$D$170+InputData!$C$171*(LD13-InputData!$B$170),IF(LD13&lt;=InputData!$B$172,InputData!$D$171+InputData!$C$172*(LD13-InputData!$B$171),IF(LD13&lt;=InputData!$B$173,InputData!$D$172+InputData!$C$173*(LD13-InputData!$B$172),IF(LD13&lt;=InputData!$B$174,InputData!$D$173+InputData!$C$174*(LD13-InputData!$B$173),IF(LD13&lt;=InputData!$B$175,InputData!$D$174+InputData!$C$175*(LD13-InputData!$B$174),InputData!$D$175+InputData!$C$176*(LD13-InputData!$B$175))))))))</f>
        <v>6986.1438869665508</v>
      </c>
      <c r="LF13" s="32">
        <f>IF(KS13&lt;=InputData!$C$150,InputData!$C$152,IF(KS13&lt;InputData!$C$151,IF(InputData!$C$152-0.25*IF(KS13-InputData!$C$150&lt;=0,0,KS13-InputData!$C$150)&lt;=0,0,InputData!$C$152-0.25*IF(KS13-InputData!$C$150&lt;=0,0,KS13-InputData!$C$150)),0))</f>
        <v>51900</v>
      </c>
      <c r="LG13" s="32">
        <f>IF(KS13-LF13&lt;=0,0,IF(KS13-LF13&lt;=InputData!$C$153,InputData!$C$154*(KS13-LF13),InputData!$C$155*(KS13-LF13)-InputData!$D$154))</f>
        <v>605.68964244521283</v>
      </c>
      <c r="LH13" s="32">
        <f t="shared" si="118"/>
        <v>6986.1438869665508</v>
      </c>
      <c r="LI13" s="32">
        <f>IF(KS13&gt;=0,IF(KS13&lt;=InputData!$C$148,InputData!$C$147*KS13,InputData!$C$147*InputData!$C$148)+InputData!$C$149*KS13,0)</f>
        <v>4148.5625294117644</v>
      </c>
      <c r="LJ13" s="32">
        <f>IF(LC13&lt;0,0,IF(LC13&lt;=InputData!$B$163,InputData!$C$163*LC13,IF(LC13&lt;=InputData!$B$164,InputData!$D$163+InputData!$C$164*(LC13-InputData!$B$163),IF(LC13&lt;=InputData!$B$165,InputData!$D$164+InputData!$C$165*(LC13-InputData!$B$164),InputData!$D$165+InputData!$C$166*(LC13-InputData!$B$165)))))</f>
        <v>0</v>
      </c>
      <c r="LK13" s="43">
        <f t="shared" si="156"/>
        <v>0.20532534698801339</v>
      </c>
      <c r="LL13" s="32">
        <f t="shared" si="119"/>
        <v>43094.869131487889</v>
      </c>
      <c r="LM13" s="5">
        <f t="shared" si="120"/>
        <v>39395.41157670127</v>
      </c>
      <c r="LN13" s="32">
        <f>LM13/((1+InputData!$C$7)^(IntMed!$B13-IntMed!$B$7))</f>
        <v>32993.036981060301</v>
      </c>
      <c r="LO13" s="5">
        <f t="shared" si="145"/>
        <v>-91947.694234953364</v>
      </c>
      <c r="LQ13" s="157" t="str">
        <f t="shared" si="37"/>
        <v>Residency</v>
      </c>
      <c r="LR13" s="32">
        <f t="shared" si="121"/>
        <v>61071.309994644871</v>
      </c>
      <c r="LS13" s="32">
        <v>0</v>
      </c>
      <c r="LT13" s="32">
        <f t="shared" si="123"/>
        <v>61071.309994644871</v>
      </c>
      <c r="LU13" s="32">
        <f>LU12*(1+InputData!$C$8)</f>
        <v>12939.606197343363</v>
      </c>
      <c r="LV13" s="32">
        <f>LR13/((1+InputData!$C$3)^(IntMed!$B13-IntMed!$B$7))</f>
        <v>54229.57554786621</v>
      </c>
      <c r="LW13" s="32">
        <f>LS13/((1+InputData!$C$3)^(IntMed!$B13-IntMed!$B$7))</f>
        <v>0</v>
      </c>
      <c r="LX13" s="134" t="s">
        <v>140</v>
      </c>
      <c r="LY13" s="32">
        <v>0</v>
      </c>
      <c r="LZ13" s="32">
        <f>$LZ$12</f>
        <v>0</v>
      </c>
      <c r="MA13" s="32">
        <f>(LZ13)*InputData!$C$6</f>
        <v>0</v>
      </c>
      <c r="MB13" s="32">
        <v>0</v>
      </c>
      <c r="MC13" s="32">
        <f t="shared" ref="MC13:MC36" si="168">MC12+LY13+MA13-MB13</f>
        <v>0</v>
      </c>
      <c r="MD13" s="32">
        <f>MB13/((1+InputData!$C$3)^(IntMed!$B13-IntMed!$B$7))</f>
        <v>0</v>
      </c>
      <c r="ME13" s="32">
        <f>IF(LV13-InputData!$C$158-InputData!$C$159&gt;=0,LV13-InputData!$C$158-InputData!$C$159,0)</f>
        <v>54229.57554786621</v>
      </c>
      <c r="MF13" s="32">
        <f>IF(LV13-IF(LV13&lt;=InputData!$C$146,InputData!$C$145,0)-MAX(InputData!$C$144,ML13)&gt;=0,LV13-IF(LV13&lt;=InputData!$C$146,InputData!$C$145,0)-MAX(InputData!$C$144,ML13),0)</f>
        <v>44229.57554786621</v>
      </c>
      <c r="MG13" s="32">
        <f>IF(MF13&lt;0,"Error",IF(MF13&lt;=InputData!$B$170,InputData!$C$170*MF13,IF(MF13&lt;=InputData!$B$171,InputData!$D$170+InputData!$C$171*(MF13-InputData!$B$170),IF(MF13&lt;=InputData!$B$172,InputData!$D$171+InputData!$C$172*(MF13-InputData!$B$171),IF(MF13&lt;=InputData!$B$173,InputData!$D$172+InputData!$C$173*(MF13-InputData!$B$172),IF(MF13&lt;=InputData!$B$174,InputData!$D$173+InputData!$C$174*(MF13-InputData!$B$173),IF(MF13&lt;=InputData!$B$175,InputData!$D$174+InputData!$C$175*(MF13-InputData!$B$174),InputData!$D$175+InputData!$C$176*(MF13-InputData!$B$175))))))))</f>
        <v>6986.1438869665526</v>
      </c>
      <c r="MH13" s="32">
        <f>IF(LV13&lt;=InputData!$C$150,InputData!$C$152,IF(LV13&lt;InputData!$C$151,IF(InputData!$C$152-0.25*IF(LV13-InputData!$C$150&lt;=0,0,LV13-InputData!$C$150)&lt;=0,0,InputData!$C$152-0.25*IF(LV13-InputData!$C$150&lt;=0,0,LV13-InputData!$C$150)),0))</f>
        <v>51900</v>
      </c>
      <c r="MI13" s="32">
        <f>IF(LV13-MH13&lt;=0,0,IF(LV13-MH13&lt;=InputData!$C$153,InputData!$C$154*(LV13-MH13),InputData!$C$155*(LV13-MH13)-InputData!$D$154))</f>
        <v>605.68964244521476</v>
      </c>
      <c r="MJ13" s="32">
        <f t="shared" si="124"/>
        <v>6986.1438869665526</v>
      </c>
      <c r="MK13" s="32">
        <f>IF(LV13&gt;=0,IF(LV13&lt;=InputData!$C$148,InputData!$C$147*LV13,InputData!$C$147*InputData!$C$148)+InputData!$C$149*LV13,0)</f>
        <v>4148.5625294117654</v>
      </c>
      <c r="ML13" s="32">
        <f>IF(ME13&lt;0,0,IF(ME13&lt;=InputData!$B$163,InputData!$C$163*ME13,IF(ME13&lt;=InputData!$B$164,InputData!$D$163+InputData!$C$164*(ME13-InputData!$B$163),IF(ME13&lt;=InputData!$B$165,InputData!$D$164+InputData!$C$165*(ME13-InputData!$B$164),InputData!$D$165+InputData!$C$166*(ME13-InputData!$B$165)))))</f>
        <v>0</v>
      </c>
      <c r="MM13" s="43">
        <f t="shared" si="38"/>
        <v>0.20532534698801341</v>
      </c>
      <c r="MN13" s="32">
        <f t="shared" si="125"/>
        <v>43094.869131487896</v>
      </c>
      <c r="MO13" s="32">
        <f t="shared" si="126"/>
        <v>43094.869131487896</v>
      </c>
      <c r="MP13" s="32">
        <f>MO13/((1+InputData!$C$7)^(IntMed!$B13-IntMed!$B$7))</f>
        <v>36091.274441463502</v>
      </c>
      <c r="MQ13" s="5">
        <f t="shared" si="147"/>
        <v>107962.72535202681</v>
      </c>
    </row>
    <row r="14" spans="1:355" ht="14.45" x14ac:dyDescent="0.3">
      <c r="A14" s="53">
        <v>2020</v>
      </c>
      <c r="B14" s="51">
        <v>8</v>
      </c>
      <c r="C14" s="4"/>
      <c r="D14" s="3">
        <v>4</v>
      </c>
      <c r="E14" s="4" t="s">
        <v>18</v>
      </c>
      <c r="F14" s="5">
        <f>InputData!$E$24*12</f>
        <v>56314.799999999996</v>
      </c>
      <c r="G14" s="5">
        <f>(InputData!$E$24+InputData!$D$45+InputData!$C$50)*12+InputData!$J$50</f>
        <v>78814.679999999993</v>
      </c>
      <c r="H14" s="5">
        <f>(InputData!$C$35+InputData!$C$40)*12</f>
        <v>19939.199999999997</v>
      </c>
      <c r="I14" s="5">
        <f t="shared" si="39"/>
        <v>98753.87999999999</v>
      </c>
      <c r="J14" s="5">
        <f>G14*((1+InputData!$C$5)/(1+InputData!$C$3))^(IntMed!$B14-IntMed!$B$7)</f>
        <v>73562.339178415801</v>
      </c>
      <c r="K14" s="5">
        <f>H14*((1+InputData!$C$5)/(1+InputData!$C$3))^(IntMed!$B14-IntMed!$B$7)</f>
        <v>18610.418685278786</v>
      </c>
      <c r="L14" s="32">
        <f>IF(J14-InputData!$C$158-InputData!$C$159&gt;=0,J14-InputData!$C$158-InputData!$C$159,0)</f>
        <v>73562.339178415801</v>
      </c>
      <c r="M14" s="32">
        <f>IF(J14-IF(J14&lt;=InputData!$C$146,InputData!$C$145,0)-MAX(InputData!$C$144,S14)&gt;=0,J14-IF(J14&lt;=InputData!$C$146,InputData!$C$145,0)-MAX(InputData!$C$144,S14),0)</f>
        <v>63562.339178415801</v>
      </c>
      <c r="N14" s="32">
        <f>IF(M14&lt;0,"Error",IF(M14&lt;=InputData!$B$170,InputData!$C$170*M14,IF(M14&lt;=InputData!$B$171,InputData!$D$170+InputData!$C$171*(M14-InputData!$B$170),IF(M14&lt;=InputData!$B$172,InputData!$D$171+InputData!$C$172*(M14-InputData!$B$171),IF(M14&lt;=InputData!$B$173,InputData!$D$172+InputData!$C$173*(M14-InputData!$B$172),IF(M14&lt;=InputData!$B$174,InputData!$D$173+InputData!$C$174*(M14-InputData!$B$173),IF(M14&lt;=InputData!$B$175,InputData!$D$174+InputData!$C$175*(M14-InputData!$B$174),InputData!$D$175+InputData!$C$176*(M14-InputData!$B$175))))))))</f>
        <v>11819.33479460395</v>
      </c>
      <c r="O14" s="32">
        <f>IF(J14&lt;=InputData!$C$150,InputData!$C$152,IF(J14&lt;InputData!$C$151,IF(InputData!$C$152-0.25*IF(J14-InputData!$C$150&lt;=0,0,J14-InputData!$C$150)&lt;=0,0,InputData!$C$152-0.25*IF(J14-InputData!$C$150&lt;=0,0,J14-InputData!$C$150)),0))</f>
        <v>51900</v>
      </c>
      <c r="P14" s="32">
        <f>IF(J14-O14&lt;=0,0,IF(J14-O14&lt;=InputData!$C$153,InputData!$C$154*(J14-O14),InputData!$C$155*(J14-O14)-InputData!$D$154))</f>
        <v>5632.2081863881085</v>
      </c>
      <c r="Q14" s="32">
        <f t="shared" si="40"/>
        <v>11819.33479460395</v>
      </c>
      <c r="R14" s="32">
        <f>IF(J14&gt;=0,IF(J14&lt;=InputData!$C$148,InputData!$C$147*J14,InputData!$C$147*InputData!$C$148)+InputData!$C$149*J14,0)</f>
        <v>5627.5189471488084</v>
      </c>
      <c r="S14" s="32">
        <f>IF(L14&lt;0,0,IF(L14&lt;=InputData!$B$163,InputData!$C$163*L14,IF(L14&lt;=InputData!$B$164,InputData!$D$163+InputData!$C$164*(L14-InputData!$B$163),IF(L14&lt;=InputData!$B$165,InputData!$D$164+InputData!$C$165*(L14-InputData!$B$164),InputData!$D$165+InputData!$C$166*(L14-InputData!$B$165)))))</f>
        <v>0</v>
      </c>
      <c r="T14" s="43">
        <f t="shared" si="41"/>
        <v>0.23717100267077837</v>
      </c>
      <c r="U14" s="43">
        <f t="shared" si="42"/>
        <v>0.18928427602820816</v>
      </c>
      <c r="V14" s="5">
        <f t="shared" si="43"/>
        <v>74725.904121941829</v>
      </c>
      <c r="W14" s="32">
        <f>V14/((1+InputData!$C$7)^(IntMed!$B14-IntMed!$B$7))</f>
        <v>60758.998319008228</v>
      </c>
      <c r="X14" s="5">
        <f t="shared" si="127"/>
        <v>423874.97502869397</v>
      </c>
      <c r="Y14" s="53"/>
      <c r="Z14" s="3">
        <v>4</v>
      </c>
      <c r="AA14" s="4" t="s">
        <v>18</v>
      </c>
      <c r="AB14" s="5">
        <f t="shared" si="149"/>
        <v>56314.799999999996</v>
      </c>
      <c r="AC14" s="5">
        <f t="shared" si="149"/>
        <v>78814.679999999993</v>
      </c>
      <c r="AD14" s="5">
        <f t="shared" si="149"/>
        <v>19939.199999999997</v>
      </c>
      <c r="AE14" s="5">
        <f t="shared" si="44"/>
        <v>98753.87999999999</v>
      </c>
      <c r="AF14" s="5">
        <f>AC14*((1+InputData!$C$5)/(1+InputData!$C$3))^(IntMed!$B14-IntMed!$B$7)</f>
        <v>73562.339178415801</v>
      </c>
      <c r="AG14" s="5">
        <f>AD14*((1+InputData!$C$5)/(1+InputData!$C$3))^(IntMed!$B14-IntMed!$B$7)</f>
        <v>18610.418685278786</v>
      </c>
      <c r="AH14" s="32">
        <f>IF(AF14-InputData!$C$158-InputData!$C$159&gt;=0,AF14-InputData!$C$158-InputData!$C$159,0)</f>
        <v>73562.339178415801</v>
      </c>
      <c r="AI14" s="32">
        <f>IF(AF14-IF(AF14&lt;=InputData!$C$146,InputData!$C$145,0)-MAX(InputData!$C$144,AO14)&gt;=0,AF14-IF(AF14&lt;=InputData!$C$146,InputData!$C$145,0)-MAX(InputData!$C$144,AO14),0)</f>
        <v>63562.339178415801</v>
      </c>
      <c r="AJ14" s="32">
        <f>IF(AI14&lt;0,"Error",IF(AI14&lt;=InputData!$B$170,InputData!$C$170*AI14,IF(AI14&lt;=InputData!$B$171,InputData!$D$170+InputData!$C$171*(AI14-InputData!$B$170),IF(AI14&lt;=InputData!$B$172,InputData!$D$171+InputData!$C$172*(AI14-InputData!$B$171),IF(AI14&lt;=InputData!$B$173,InputData!$D$172+InputData!$C$173*(AI14-InputData!$B$172),IF(AI14&lt;=InputData!$B$174,InputData!$D$173+InputData!$C$174*(AI14-InputData!$B$173),IF(AI14&lt;=InputData!$B$175,InputData!$D$174+InputData!$C$175*(AI14-InputData!$B$174),InputData!$D$175+InputData!$C$176*(AI14-InputData!$B$175))))))))</f>
        <v>11819.33479460395</v>
      </c>
      <c r="AK14" s="32">
        <f>IF(AF14&lt;=InputData!$C$150,InputData!$C$152,IF(AF14&lt;InputData!$C$151,IF(InputData!$C$152-0.25*IF(AF14-InputData!$C$150&lt;=0,0,AF14-InputData!$C$150)&lt;=0,0,InputData!$C$152-0.25*IF(AF14-InputData!$C$150&lt;=0,0,AF14-InputData!$C$150)),0))</f>
        <v>51900</v>
      </c>
      <c r="AL14" s="32">
        <f>IF(AF14-AK14&lt;=0,0,IF(AF14-AK14&lt;=InputData!$C$153,InputData!$C$154*(AF14-AK14),InputData!$C$155*(AF14-AK14)-InputData!$D$154))</f>
        <v>5632.2081863881085</v>
      </c>
      <c r="AM14" s="32">
        <f t="shared" si="45"/>
        <v>11819.33479460395</v>
      </c>
      <c r="AN14" s="32">
        <f>IF(AF14&gt;=0,IF(AF14&lt;=InputData!$C$148,InputData!$C$147*AF14,InputData!$C$147*InputData!$C$148)+InputData!$C$149*AF14,0)</f>
        <v>5627.5189471488084</v>
      </c>
      <c r="AO14" s="32">
        <f>IF(AH14&lt;0,0,IF(AH14&lt;=InputData!$B$163,InputData!$C$163*AH14,IF(AH14&lt;=InputData!$B$164,InputData!$D$163+InputData!$C$164*(AH14-InputData!$B$163),IF(AH14&lt;=InputData!$B$165,InputData!$D$164+InputData!$C$165*(AH14-InputData!$B$164),InputData!$D$165+InputData!$C$166*(AH14-InputData!$B$165)))))</f>
        <v>0</v>
      </c>
      <c r="AP14" s="43">
        <f t="shared" si="46"/>
        <v>0.23717100267077837</v>
      </c>
      <c r="AQ14" s="43">
        <f t="shared" si="47"/>
        <v>0.18928427602820816</v>
      </c>
      <c r="AR14" s="5">
        <f t="shared" si="48"/>
        <v>74725.904121941829</v>
      </c>
      <c r="AS14" s="32">
        <f>AR14/((1+InputData!$C$7)^(IntMed!$B14-IntMed!$B$7))</f>
        <v>60758.998319008228</v>
      </c>
      <c r="AT14" s="5">
        <f t="shared" si="128"/>
        <v>331751.25271802075</v>
      </c>
      <c r="AU14" s="53"/>
      <c r="AV14" s="41" t="s">
        <v>109</v>
      </c>
      <c r="AW14" s="32">
        <f>InputData!$C$81*(1+InputData!$C$12)^(IntMed!$B14-IntMed!$B$7)</f>
        <v>205040.39167539644</v>
      </c>
      <c r="AX14" s="32">
        <v>0</v>
      </c>
      <c r="AY14" s="32">
        <f t="shared" si="50"/>
        <v>205040.39167539644</v>
      </c>
      <c r="AZ14" s="32">
        <f>AZ13*(1+InputData!$C$8)</f>
        <v>13198.398321290229</v>
      </c>
      <c r="BA14" s="32">
        <f>AW14/((1+InputData!$C$3)^(IntMed!$B14-IntMed!$B$7))</f>
        <v>178500</v>
      </c>
      <c r="BB14" s="32">
        <f>AX14/((1+InputData!$C$3)^(IntMed!$B14-IntMed!$B$7))</f>
        <v>0</v>
      </c>
      <c r="BC14" s="60" t="s">
        <v>144</v>
      </c>
      <c r="BD14" s="32">
        <v>0</v>
      </c>
      <c r="BE14" s="118">
        <f>BH13+BD14</f>
        <v>245393.81505000003</v>
      </c>
      <c r="BF14" s="32">
        <f>(BE14)*InputData!$C$6</f>
        <v>15238.955914605003</v>
      </c>
      <c r="BG14" s="32">
        <f>MIN($BE$14*InputData!$C$6/(1-(1+InputData!$C$6)^(-10)), BE14+BF14)</f>
        <v>33673.665953283198</v>
      </c>
      <c r="BH14" s="118">
        <f t="shared" si="157"/>
        <v>226959.10501132184</v>
      </c>
      <c r="BI14" s="32">
        <f>BG14/((1+InputData!$C$3)^(IntMed!$B14-IntMed!$B$7))</f>
        <v>29314.952646875492</v>
      </c>
      <c r="BJ14" s="32">
        <f>IF(BA14-InputData!$C$158-InputData!$C$159&gt;=0,BA14-InputData!$C$158-InputData!$C$159,0)</f>
        <v>178500</v>
      </c>
      <c r="BK14" s="32">
        <f>IF(BA14-IF(BA14&lt;=InputData!$C$146,InputData!$C$145,0)-MAX(InputData!$C$144,BQ14)&gt;=0,BA14-IF(BA14&lt;=InputData!$C$146,InputData!$C$145,0)-MAX(InputData!$C$144,BQ14),0)</f>
        <v>172400</v>
      </c>
      <c r="BL14" s="32">
        <f>IF(BK14&lt;0,"Error",IF(BK14&lt;=InputData!$B$170,InputData!$C$170*BK14,IF(BK14&lt;=InputData!$B$171,InputData!$D$170+InputData!$C$171*(BK14-InputData!$B$170),IF(BK14&lt;=InputData!$B$172,InputData!$D$171+InputData!$C$172*(BK14-InputData!$B$171),IF(BK14&lt;=InputData!$B$173,InputData!$D$172+InputData!$C$173*(BK14-InputData!$B$172),IF(BK14&lt;=InputData!$B$174,InputData!$D$173+InputData!$C$174*(BK14-InputData!$B$173),IF(BK14&lt;=InputData!$B$175,InputData!$D$174+InputData!$C$175*(BK14-InputData!$B$174),InputData!$D$175+InputData!$C$176*(BK14-InputData!$B$175))))))))</f>
        <v>41565.25</v>
      </c>
      <c r="BM14" s="32">
        <f>IF(BA14&lt;=InputData!$C$150,InputData!$C$152,IF(BA14&lt;InputData!$C$151,IF(InputData!$C$152-0.25*IF(BA14-InputData!$C$150&lt;=0,0,BA14-InputData!$C$150)&lt;=0,0,InputData!$C$152-0.25*IF(BA14-InputData!$C$150&lt;=0,0,BA14-InputData!$C$150)),0))</f>
        <v>36125</v>
      </c>
      <c r="BN14" s="32">
        <f>IF(BA14-BM14&lt;=0,0,IF(BA14-BM14&lt;=InputData!$C$153,InputData!$C$154*(BA14-BM14),InputData!$C$155*(BA14-BM14)-InputData!$D$154))</f>
        <v>37017.5</v>
      </c>
      <c r="BO14" s="32">
        <f t="shared" si="51"/>
        <v>41565.25</v>
      </c>
      <c r="BP14" s="32">
        <f>IF(BA14&gt;=0,IF(BA14&lt;=InputData!$C$148,InputData!$C$147*BA14,InputData!$C$147*InputData!$C$148)+InputData!$C$149*BA14,0)</f>
        <v>9637.65</v>
      </c>
      <c r="BQ14" s="32">
        <f>IF(BJ14&lt;0,0,IF(BJ14&lt;=InputData!$B$163,InputData!$C$163*BJ14,IF(BJ14&lt;=InputData!$B$164,InputData!$D$163+InputData!$C$164*(BJ14-InputData!$B$163),IF(BJ14&lt;=InputData!$B$165,InputData!$D$164+InputData!$C$165*(BJ14-InputData!$B$164),InputData!$D$165+InputData!$C$166*(BJ14-InputData!$B$165)))))</f>
        <v>0</v>
      </c>
      <c r="BR14" s="43">
        <f t="shared" si="52"/>
        <v>0.2868509803921569</v>
      </c>
      <c r="BS14" s="32">
        <f t="shared" si="53"/>
        <v>127297.1</v>
      </c>
      <c r="BT14" s="32">
        <f t="shared" si="54"/>
        <v>97982.147353124514</v>
      </c>
      <c r="BU14" s="32">
        <f>BT14/((1+InputData!$C$7)^(IntMed!$B14-IntMed!$B$7))</f>
        <v>79668.452276019205</v>
      </c>
      <c r="BV14" s="5">
        <f t="shared" si="130"/>
        <v>-3236.2026610360772</v>
      </c>
      <c r="BW14" s="5"/>
      <c r="BX14" s="60" t="s">
        <v>144</v>
      </c>
      <c r="BY14" s="5">
        <f>CB13</f>
        <v>245393.81505000003</v>
      </c>
      <c r="BZ14" s="32">
        <f>(BY14)*InputData!$C$6</f>
        <v>15238.955914605003</v>
      </c>
      <c r="CA14" s="32">
        <f>MIN($BY$14*InputData!$C$6/(1-(1+InputData!$C$6)^(-25)), BY14+BZ14)</f>
        <v>19581.069601718285</v>
      </c>
      <c r="CB14" s="32">
        <f>CB13+$BD14+BZ14-CA14</f>
        <v>241051.70136288676</v>
      </c>
      <c r="CC14" s="32">
        <f>CA14/((1+InputData!$C$3)^(IntMed!$B14-IntMed!$B$7))</f>
        <v>17046.499449923351</v>
      </c>
      <c r="CD14" s="5">
        <f t="shared" si="58"/>
        <v>110250.60055007666</v>
      </c>
      <c r="CE14" s="32">
        <f>CD14/((1+InputData!$C$7)^(IntMed!$B14-IntMed!$B$7))</f>
        <v>89643.827427774217</v>
      </c>
      <c r="CF14" s="5">
        <f t="shared" si="131"/>
        <v>6739.1724907189346</v>
      </c>
      <c r="CG14" s="5"/>
      <c r="CH14" s="60" t="s">
        <v>144</v>
      </c>
      <c r="CI14" s="5">
        <f>CL13</f>
        <v>245393.81505000003</v>
      </c>
      <c r="CJ14" s="32">
        <f>(CI14)*InputData!$C$6</f>
        <v>15238.955914605003</v>
      </c>
      <c r="CK14" s="118">
        <f>IF(0.15*($AY$14-1.5*$AZ14)&lt;=$BG$14,MIN(0.15*($AY14-1.5*$AZ14),$BG$14, CI14+CJ14),"DNQ")</f>
        <v>27786.419129019163</v>
      </c>
      <c r="CL14" s="32">
        <f>CL13+$BD14+CJ14-CK14</f>
        <v>232846.35183558587</v>
      </c>
      <c r="CM14" s="32">
        <f>CK14/((1+InputData!$C$3)^(IntMed!$B14-IntMed!$B$7))</f>
        <v>24189.749999999996</v>
      </c>
      <c r="CN14" s="5">
        <f t="shared" si="62"/>
        <v>103107.35</v>
      </c>
      <c r="CO14" s="32">
        <f>CN14/((1+InputData!$C$7)^(IntMed!$B14-IntMed!$B$7))</f>
        <v>83835.711042108145</v>
      </c>
      <c r="CP14" s="5">
        <f t="shared" si="132"/>
        <v>931.05610505286313</v>
      </c>
      <c r="CQ14" s="5"/>
      <c r="CR14" s="60" t="s">
        <v>144</v>
      </c>
      <c r="CS14" s="5">
        <f>CV13</f>
        <v>245393.81505000003</v>
      </c>
      <c r="CT14" s="32">
        <f>(CS14)*InputData!$C$6</f>
        <v>15238.955914605003</v>
      </c>
      <c r="CU14" s="118">
        <f>IF(0.1*($AY$14-1.5*$AZ14)&lt;=$BG$14,MIN(0.1*($AY14-1.5*$AZ14),$BG$14, CS14+CT14),"DNQ")</f>
        <v>18524.279419346112</v>
      </c>
      <c r="CV14" s="32">
        <f>CV13+$BD14+CT14-CU14</f>
        <v>242108.49154525893</v>
      </c>
      <c r="CW14" s="32">
        <f>CU14/((1+InputData!$C$3)^(IntMed!$B14-IntMed!$B$7))</f>
        <v>16126.500000000002</v>
      </c>
      <c r="CX14" s="5">
        <f t="shared" si="66"/>
        <v>111170.6</v>
      </c>
      <c r="CY14" s="32">
        <f>CX14/((1+InputData!$C$7)^(IntMed!$B14-IntMed!$B$7))</f>
        <v>90391.871170947445</v>
      </c>
      <c r="CZ14" s="5">
        <f t="shared" si="133"/>
        <v>7487.2162338921626</v>
      </c>
      <c r="DA14" s="5"/>
      <c r="DB14" s="32" t="s">
        <v>141</v>
      </c>
      <c r="DC14" s="5">
        <f t="shared" si="158"/>
        <v>170510.19525334824</v>
      </c>
      <c r="DD14" s="5">
        <f>DC14*InputData!$C$6</f>
        <v>10588.683125232927</v>
      </c>
      <c r="DE14" s="32">
        <f t="shared" si="159"/>
        <v>29148.379963889372</v>
      </c>
      <c r="DF14" s="32">
        <f t="shared" si="160"/>
        <v>151950.4984146918</v>
      </c>
      <c r="DG14" s="32">
        <f>DE14/((1+InputData!$C$3)^(IntMed!$B14-IntMed!$B$7))</f>
        <v>25375.418867669763</v>
      </c>
      <c r="DH14" s="5">
        <f t="shared" si="70"/>
        <v>101921.68113233024</v>
      </c>
      <c r="DI14" s="32">
        <f>DH14/((1+InputData!$C$7)^(IntMed!$B14-IntMed!$B$7))</f>
        <v>82871.65375054178</v>
      </c>
      <c r="DJ14" s="5">
        <f t="shared" si="134"/>
        <v>-56445.777537569098</v>
      </c>
      <c r="DK14" s="5"/>
      <c r="DL14" s="32" t="s">
        <v>141</v>
      </c>
      <c r="DM14" s="133">
        <f>IF(0.15*($AY14-1.5*$AZ14)&lt;=$DD$2,DQ13-DO13,DQ13)</f>
        <v>212416.2</v>
      </c>
      <c r="DN14" s="5">
        <f>DM14*InputData!$C$6</f>
        <v>13191.046020000002</v>
      </c>
      <c r="DO14" s="133">
        <f>DO13+DN14-DP14</f>
        <v>990.48569328700978</v>
      </c>
      <c r="DP14" s="32">
        <f t="shared" si="150"/>
        <v>27786.419129019163</v>
      </c>
      <c r="DQ14" s="32">
        <f t="shared" si="151"/>
        <v>213406.68569328703</v>
      </c>
      <c r="DR14" s="32">
        <f>DP14/((1+InputData!$C$3)^(IntMed!$B14-IntMed!$B$7))</f>
        <v>24189.749999999996</v>
      </c>
      <c r="DS14" s="5">
        <f t="shared" si="74"/>
        <v>103107.35</v>
      </c>
      <c r="DT14" s="32">
        <f>DS14/((1+InputData!$C$7)^(IntMed!$B14-IntMed!$B$7))</f>
        <v>83835.711042108145</v>
      </c>
      <c r="DU14" s="5">
        <f t="shared" si="136"/>
        <v>-12633.502841794281</v>
      </c>
      <c r="DV14" s="5"/>
      <c r="DW14" s="32" t="s">
        <v>141</v>
      </c>
      <c r="DX14" s="133">
        <f t="shared" si="161"/>
        <v>212416.2</v>
      </c>
      <c r="DY14" s="5">
        <f>DX14*InputData!$C$6</f>
        <v>13191.046020000002</v>
      </c>
      <c r="DZ14" s="133">
        <f t="shared" si="162"/>
        <v>16049.87748552467</v>
      </c>
      <c r="EA14" s="32">
        <f t="shared" si="163"/>
        <v>18524.279419346112</v>
      </c>
      <c r="EB14" s="32">
        <f t="shared" si="164"/>
        <v>228466.0774855247</v>
      </c>
      <c r="EC14" s="32">
        <f>EA14/((1+InputData!$C$3)^(IntMed!$B14-IntMed!$B$7))</f>
        <v>16126.500000000002</v>
      </c>
      <c r="ED14" s="5">
        <f t="shared" si="78"/>
        <v>111170.6</v>
      </c>
      <c r="EE14" s="32">
        <f>ED14/((1+InputData!$C$7)^(IntMed!$B14-IntMed!$B$7))</f>
        <v>90391.871170947445</v>
      </c>
      <c r="EF14" s="5">
        <f t="shared" si="138"/>
        <v>-1555.8230640059483</v>
      </c>
      <c r="EG14" s="32"/>
      <c r="EH14" s="130" t="s">
        <v>144</v>
      </c>
      <c r="EI14" s="32">
        <v>0</v>
      </c>
      <c r="EJ14" s="60">
        <f>EL13</f>
        <v>248535.37202399998</v>
      </c>
      <c r="EK14" s="32">
        <f>EJ14*InputData!$C$6</f>
        <v>15434.0466026904</v>
      </c>
      <c r="EL14" s="32">
        <f>EL13+EI14+EK14-EN14</f>
        <v>245445.1392073443</v>
      </c>
      <c r="EM14" s="32">
        <f>EM13*(1+InputData!$C$8)</f>
        <v>13198.398321290229</v>
      </c>
      <c r="EN14" s="32">
        <f>MIN(0.1*($AW14-1.5*$EM14),$FD$14,EJ14+EK14)</f>
        <v>18524.279419346112</v>
      </c>
      <c r="EO14" s="32">
        <f>AW14/((1+InputData!$C$3)^(IntMed!$B14-IntMed!$B$7))</f>
        <v>178500</v>
      </c>
      <c r="EP14" s="32">
        <f>AX14/((1+InputData!$C$3)^(IntMed!$B14-IntMed!$B$7))</f>
        <v>0</v>
      </c>
      <c r="EQ14" s="32">
        <v>41130.5</v>
      </c>
      <c r="ER14" s="32">
        <v>8335.2000000000007</v>
      </c>
      <c r="ES14" s="32">
        <v>0</v>
      </c>
      <c r="ET14" s="42">
        <f t="shared" si="154"/>
        <v>0.27711876750700276</v>
      </c>
      <c r="EU14" s="32">
        <f t="shared" si="79"/>
        <v>129034.3</v>
      </c>
      <c r="EV14" s="32">
        <f>EN14/((1+InputData!$C$3)^(IntMed!$B14-IntMed!$B$7))</f>
        <v>16126.500000000002</v>
      </c>
      <c r="EW14" s="32">
        <f t="shared" si="80"/>
        <v>112907.8</v>
      </c>
      <c r="EX14" s="32">
        <f>EW14/((1+InputData!$C$7)^(IntMed!$B14-IntMed!$B$7))</f>
        <v>91804.373744453114</v>
      </c>
      <c r="EY14" s="5">
        <f t="shared" si="148"/>
        <v>9826.2777719179285</v>
      </c>
      <c r="EZ14" s="79"/>
      <c r="FA14" s="60">
        <f>FC13</f>
        <v>248535.37202399998</v>
      </c>
      <c r="FB14" s="32">
        <f>FA14*InputData!$C$6</f>
        <v>15434.0466026904</v>
      </c>
      <c r="FC14" s="32">
        <f>FC13+$EI14+FB14-FD14</f>
        <v>229864.65892275938</v>
      </c>
      <c r="FD14" s="53">
        <f>MIN($EJ$14*InputData!$C$6/(1-(1+InputData!$C$6)^(-10)), FA14+FB14)</f>
        <v>34104.75970393102</v>
      </c>
      <c r="FE14" s="32">
        <f>FD14/((1+InputData!$C$3)^(IntMed!$B14-IntMed!$B$7))</f>
        <v>29690.245699438805</v>
      </c>
      <c r="FF14" s="5">
        <f t="shared" si="84"/>
        <v>99344.054300561198</v>
      </c>
      <c r="FG14" s="32">
        <f>FF14/((1+InputData!$C$7)^(IntMed!$B14-IntMed!$B$7))</f>
        <v>80775.8072542195</v>
      </c>
      <c r="FH14" s="5">
        <f t="shared" si="140"/>
        <v>-1202.2887183156854</v>
      </c>
      <c r="FI14" s="79"/>
      <c r="FJ14" s="60">
        <f>FL13</f>
        <v>248535.37202399998</v>
      </c>
      <c r="FK14" s="32">
        <f>FJ14*InputData!$C$6</f>
        <v>15434.0466026904</v>
      </c>
      <c r="FL14" s="32">
        <f>FL13+$EI14+FK14-FM14</f>
        <v>244137.67014884346</v>
      </c>
      <c r="FM14" s="53">
        <f>MIN($EJ$14*InputData!$C$6/(1-(1+InputData!$C$6)^(-25)), FJ14+FK14)</f>
        <v>19831.748477846937</v>
      </c>
      <c r="FN14" s="32">
        <f>FM14/((1+InputData!$C$3)^(IntMed!$B14-IntMed!$B$7))</f>
        <v>17264.730497100645</v>
      </c>
      <c r="FO14" s="5">
        <f t="shared" si="88"/>
        <v>111769.56950289937</v>
      </c>
      <c r="FP14" s="32">
        <f>FO14/((1+InputData!$C$7)^(IntMed!$B14-IntMed!$B$7))</f>
        <v>90878.888189308462</v>
      </c>
      <c r="FQ14" s="5">
        <f t="shared" si="141"/>
        <v>8900.7922167732759</v>
      </c>
      <c r="FR14" s="79"/>
      <c r="FS14" s="60">
        <f>FU13</f>
        <v>248535.37202399998</v>
      </c>
      <c r="FT14" s="32">
        <f>FS14*InputData!$C$6</f>
        <v>15434.0466026904</v>
      </c>
      <c r="FU14" s="32">
        <f>FU13+$EI14+FT14-FV14</f>
        <v>236182.99949767123</v>
      </c>
      <c r="FV14" s="5">
        <f>MIN(0.15*($AW14-1.5*$EM14),$FD$14, FS14+FT14)</f>
        <v>27786.419129019163</v>
      </c>
      <c r="FW14" s="32">
        <f>FV14/((1+InputData!$C$3)^(IntMed!$B14-IntMed!$B$7))</f>
        <v>24189.749999999996</v>
      </c>
      <c r="FX14" s="5">
        <f t="shared" si="92"/>
        <v>104844.55</v>
      </c>
      <c r="FY14" s="32">
        <f>FX14/((1+InputData!$C$7)^(IntMed!$B14-IntMed!$B$7))</f>
        <v>85248.213615613815</v>
      </c>
      <c r="FZ14" s="5">
        <f t="shared" si="142"/>
        <v>3270.117643078629</v>
      </c>
      <c r="GC14" s="3">
        <f t="shared" si="3"/>
        <v>4</v>
      </c>
      <c r="GD14" s="4" t="str">
        <f t="shared" si="4"/>
        <v>Service (O3&gt;3 = (BP+BAH+BAS+VSP+BCPSP)*12)+ASP</v>
      </c>
      <c r="GE14" s="4"/>
      <c r="GF14" s="4"/>
      <c r="GG14" s="4"/>
      <c r="GH14" s="4"/>
      <c r="GI14" s="5">
        <f t="shared" si="5"/>
        <v>78814.679999999993</v>
      </c>
      <c r="GJ14" s="5">
        <f t="shared" si="6"/>
        <v>19939.199999999997</v>
      </c>
      <c r="GK14" s="5">
        <f t="shared" si="7"/>
        <v>98753.87999999999</v>
      </c>
      <c r="GL14" s="5">
        <f t="shared" si="8"/>
        <v>73562.339178415801</v>
      </c>
      <c r="GM14" s="5">
        <f t="shared" si="9"/>
        <v>18610.418685278786</v>
      </c>
      <c r="GN14" s="32">
        <f>IF(GL14-InputData!$C$158-InputData!$C$159&gt;=0,GL14-InputData!$C$158-InputData!$C$159,0)</f>
        <v>73562.339178415801</v>
      </c>
      <c r="GO14" s="32">
        <f>IF(GL14-IF(GL14&lt;=InputData!$C$146,InputData!$C$145,0)-MAX(InputData!$C$144,GU14)&gt;=0,GL14-IF(GL14&lt;=InputData!$C$146,InputData!$C$145,0)-MAX(InputData!$C$144,GU14),0)</f>
        <v>63562.339178415801</v>
      </c>
      <c r="GP14" s="32">
        <f>IF(GO14&lt;0,"Error",IF(GO14&lt;=InputData!$B$170,InputData!$C$170*GO14,IF(GO14&lt;=InputData!$B$171,InputData!$D$170+InputData!$C$171*(GO14-InputData!$B$170),IF(GO14&lt;=InputData!$B$172,InputData!$D$171+InputData!$C$172*(GO14-InputData!$B$171),IF(GO14&lt;=InputData!$B$173,InputData!$D$172+InputData!$C$173*(GO14-InputData!$B$172),IF(GO14&lt;=InputData!$B$174,InputData!$D$173+InputData!$C$174*(GO14-InputData!$B$173),IF(GO14&lt;=InputData!$B$175,InputData!$D$174+InputData!$C$175*(GO14-InputData!$B$174),InputData!$D$175+InputData!$C$176*(GO14-InputData!$B$175))))))))</f>
        <v>11819.33479460395</v>
      </c>
      <c r="GQ14" s="32">
        <f>IF(GL14&lt;=InputData!$C$150,InputData!$C$152,IF(GL14&lt;InputData!$C$151,IF(InputData!$C$152-0.25*IF(GL14-InputData!$C$150&lt;=0,0,GL14-InputData!$C$150)&lt;=0,0,InputData!$C$152-0.25*IF(GL14-InputData!$C$150&lt;=0,0,GL14-InputData!$C$150)),0))</f>
        <v>51900</v>
      </c>
      <c r="GR14" s="32">
        <f>IF(GL14-GQ14&lt;=0,0,IF(GL14-GQ14&lt;=InputData!$C$153,InputData!$C$154*(GL14-GQ14),InputData!$C$155*(GL14-GQ14)-InputData!$D$154))</f>
        <v>5632.2081863881085</v>
      </c>
      <c r="GS14" s="32">
        <f t="shared" si="93"/>
        <v>11819.33479460395</v>
      </c>
      <c r="GT14" s="32">
        <f>IF(GL14&gt;=0,IF(GL14&lt;=InputData!$C$148,InputData!$C$147*GL14,InputData!$C$147*InputData!$C$148)+InputData!$C$149*GL14,0)</f>
        <v>5627.5189471488084</v>
      </c>
      <c r="GU14" s="32">
        <f>IF(GN14&lt;0,0,IF(GN14&lt;=InputData!$B$163,InputData!$C$163*GN14,IF(GN14&lt;=InputData!$B$164,InputData!$D$163+InputData!$C$164*(GN14-InputData!$B$163),IF(GN14&lt;=InputData!$B$165,InputData!$D$164+InputData!$C$165*(GN14-InputData!$B$164),InputData!$D$165+InputData!$C$166*(GN14-InputData!$B$165)))))</f>
        <v>0</v>
      </c>
      <c r="GV14" s="43">
        <f t="shared" si="10"/>
        <v>0.23717100267077837</v>
      </c>
      <c r="GW14" s="43">
        <f t="shared" si="11"/>
        <v>0.18928427602820816</v>
      </c>
      <c r="GX14" s="5">
        <f t="shared" si="12"/>
        <v>74725.904121941829</v>
      </c>
      <c r="GY14" s="32">
        <f>GX14/((1+InputData!$C$7)^(IntMed!$B14-IntMed!$B$7))</f>
        <v>60758.998319008228</v>
      </c>
      <c r="GZ14" s="32">
        <f t="shared" si="94"/>
        <v>423874.97502869397</v>
      </c>
      <c r="HB14" s="3">
        <f t="shared" si="13"/>
        <v>4</v>
      </c>
      <c r="HC14" s="4" t="str">
        <f t="shared" si="14"/>
        <v>Service (O3&gt;3 = (BP+BAH+BAS+VSP+BCPSP)*12)+ASP</v>
      </c>
      <c r="HD14" s="4"/>
      <c r="HE14" s="4"/>
      <c r="HF14" s="4"/>
      <c r="HG14" s="4"/>
      <c r="HH14" s="5">
        <f t="shared" si="15"/>
        <v>78814.679999999993</v>
      </c>
      <c r="HI14" s="5">
        <f t="shared" si="16"/>
        <v>19939.199999999997</v>
      </c>
      <c r="HJ14" s="5">
        <f t="shared" si="17"/>
        <v>98753.87999999999</v>
      </c>
      <c r="HK14" s="5">
        <f t="shared" si="18"/>
        <v>73562.339178415801</v>
      </c>
      <c r="HL14" s="5">
        <f t="shared" si="19"/>
        <v>18610.418685278786</v>
      </c>
      <c r="HM14" s="32">
        <f>IF(HK14-InputData!$C$158-InputData!$C$159&gt;=0,HK14-InputData!$C$158-InputData!$C$159,0)</f>
        <v>73562.339178415801</v>
      </c>
      <c r="HN14" s="32">
        <f>IF(HK14-IF(HK14&lt;=InputData!$C$146,InputData!$C$145,0)-MAX(InputData!$C$144,HT14)&gt;=0,HK14-IF(HK14&lt;=InputData!$C$146,InputData!$C$145,0)-MAX(InputData!$C$144,HT14),0)</f>
        <v>63562.339178415801</v>
      </c>
      <c r="HO14" s="32">
        <f>IF(HN14&lt;0,"Error",IF(HN14&lt;=InputData!$B$170,InputData!$C$170*HN14,IF(HN14&lt;=InputData!$B$171,InputData!$D$170+InputData!$C$171*(HN14-InputData!$B$170),IF(HN14&lt;=InputData!$B$172,InputData!$D$171+InputData!$C$172*(HN14-InputData!$B$171),IF(HN14&lt;=InputData!$B$173,InputData!$D$172+InputData!$C$173*(HN14-InputData!$B$172),IF(HN14&lt;=InputData!$B$174,InputData!$D$173+InputData!$C$174*(HN14-InputData!$B$173),IF(HN14&lt;=InputData!$B$175,InputData!$D$174+InputData!$C$175*(HN14-InputData!$B$174),InputData!$D$175+InputData!$C$176*(HN14-InputData!$B$175))))))))</f>
        <v>11819.33479460395</v>
      </c>
      <c r="HP14" s="32">
        <f>IF(HK14&lt;=InputData!$C$150,InputData!$C$152,IF(HK14&lt;InputData!$C$151,IF(InputData!$C$152-0.25*IF(HK14-InputData!$C$150&lt;=0,0,HK14-InputData!$C$150)&lt;=0,0,InputData!$C$152-0.25*IF(HK14-InputData!$C$150&lt;=0,0,HK14-InputData!$C$150)),0))</f>
        <v>51900</v>
      </c>
      <c r="HQ14" s="32">
        <f>IF(HK14-HP14&lt;=0,0,IF(HK14-HP14&lt;=InputData!$C$153,InputData!$C$154*(HK14-HP14),InputData!$C$155*(HK14-HP14)-InputData!$D$154))</f>
        <v>5632.2081863881085</v>
      </c>
      <c r="HR14" s="32">
        <f t="shared" si="95"/>
        <v>11819.33479460395</v>
      </c>
      <c r="HS14" s="32">
        <f>IF(HK14&gt;=0,IF(HK14&lt;=InputData!$C$148,InputData!$C$147*HK14,InputData!$C$147*InputData!$C$148)+InputData!$C$149*HK14,0)</f>
        <v>5627.5189471488084</v>
      </c>
      <c r="HT14" s="32">
        <f>IF(HM14&lt;0,0,IF(HM14&lt;=InputData!$B$163,InputData!$C$163*HM14,IF(HM14&lt;=InputData!$B$164,InputData!$D$163+InputData!$C$164*(HM14-InputData!$B$163),IF(HM14&lt;=InputData!$B$165,InputData!$D$164+InputData!$C$165*(HM14-InputData!$B$164),InputData!$D$165+InputData!$C$166*(HM14-InputData!$B$165)))))</f>
        <v>0</v>
      </c>
      <c r="HU14" s="43">
        <f t="shared" si="96"/>
        <v>0.23717100267077837</v>
      </c>
      <c r="HV14" s="43">
        <f t="shared" si="97"/>
        <v>0.18928427602820816</v>
      </c>
      <c r="HW14" s="5">
        <f t="shared" si="98"/>
        <v>74725.904121941829</v>
      </c>
      <c r="HX14" s="32">
        <f>HW14/((1+InputData!$C$7)^(IntMed!$B14-IntMed!$B$7))</f>
        <v>60758.998319008228</v>
      </c>
      <c r="HY14" s="32">
        <f t="shared" si="99"/>
        <v>331751.25271802075</v>
      </c>
      <c r="IA14" s="3">
        <f t="shared" si="20"/>
        <v>4</v>
      </c>
      <c r="IB14" s="4" t="str">
        <f t="shared" si="21"/>
        <v>Service (O3&gt;3 = (BP+BAH+BAS+VSP+BCPSP)*12)+ASP</v>
      </c>
      <c r="IC14" s="5">
        <f t="shared" si="22"/>
        <v>78814.679999999993</v>
      </c>
      <c r="ID14" s="5">
        <f t="shared" si="23"/>
        <v>19939.199999999997</v>
      </c>
      <c r="IE14" s="5">
        <f t="shared" si="24"/>
        <v>98753.87999999999</v>
      </c>
      <c r="IF14" s="5">
        <f t="shared" si="25"/>
        <v>73562.339178415801</v>
      </c>
      <c r="IG14" s="5">
        <f t="shared" si="26"/>
        <v>18610.418685278786</v>
      </c>
      <c r="IH14" s="32">
        <f>IF(IF14-InputData!$C$158-InputData!$C$159&gt;=0,IF14-InputData!$C$158-InputData!$C$159,0)</f>
        <v>73562.339178415801</v>
      </c>
      <c r="II14" s="32">
        <f>IF(IF14-IF(IF14&lt;=InputData!$C$146,InputData!$C$145,0)-MAX(InputData!$C$144,IO14)&gt;=0,IF14-IF(IF14&lt;=InputData!$C$146,InputData!$C$145,0)-MAX(InputData!$C$144,IO14),0)</f>
        <v>63562.339178415801</v>
      </c>
      <c r="IJ14" s="32">
        <f>IF(II14&lt;0,"Error",IF(II14&lt;=InputData!$B$170,InputData!$C$170*II14,IF(II14&lt;=InputData!$B$171,InputData!$D$170+InputData!$C$171*(II14-InputData!$B$170),IF(II14&lt;=InputData!$B$172,InputData!$D$171+InputData!$C$172*(II14-InputData!$B$171),IF(II14&lt;=InputData!$B$173,InputData!$D$172+InputData!$C$173*(II14-InputData!$B$172),IF(II14&lt;=InputData!$B$174,InputData!$D$173+InputData!$C$174*(II14-InputData!$B$173),IF(II14&lt;=InputData!$B$175,InputData!$D$174+InputData!$C$175*(II14-InputData!$B$174),InputData!$D$175+InputData!$C$176*(II14-InputData!$B$175))))))))</f>
        <v>11819.33479460395</v>
      </c>
      <c r="IK14" s="32">
        <f>IF(IF14&lt;=InputData!$C$150,InputData!$C$152,IF(IF14&lt;InputData!$C$151,IF(InputData!$C$152-0.25*IF(IF14-InputData!$C$150&lt;=0,0,IF14-InputData!$C$150)&lt;=0,0,InputData!$C$152-0.25*IF(IF14-InputData!$C$150&lt;=0,0,IF14-InputData!$C$150)),0))</f>
        <v>51900</v>
      </c>
      <c r="IL14" s="32">
        <f>IF(IF14-IK14&lt;=0,0,IF(IF14-IK14&lt;=InputData!$C$153,InputData!$C$154*(IF14-IK14),InputData!$C$155*(IF14-IK14)-InputData!$D$154))</f>
        <v>5632.2081863881085</v>
      </c>
      <c r="IM14" s="32">
        <f t="shared" si="100"/>
        <v>11819.33479460395</v>
      </c>
      <c r="IN14" s="32">
        <f>IF(IF14&gt;=0,IF(IF14&lt;=InputData!$C$148,InputData!$C$147*IF14,InputData!$C$147*InputData!$C$148)+InputData!$C$149*IF14,0)</f>
        <v>5627.5189471488084</v>
      </c>
      <c r="IO14" s="32">
        <f>IF(IH14&lt;0,0,IF(IH14&lt;=InputData!$B$163,InputData!$C$163*IH14,IF(IH14&lt;=InputData!$B$164,InputData!$D$163+InputData!$C$164*(IH14-InputData!$B$163),IF(IH14&lt;=InputData!$B$165,InputData!$D$164+InputData!$C$165*(IH14-InputData!$B$164),InputData!$D$165+InputData!$C$166*(IH14-InputData!$B$165)))))</f>
        <v>0</v>
      </c>
      <c r="IP14" s="43">
        <f t="shared" si="101"/>
        <v>0.23717100267077837</v>
      </c>
      <c r="IQ14" s="43">
        <f t="shared" si="102"/>
        <v>0.18928427602820816</v>
      </c>
      <c r="IR14" s="5">
        <f t="shared" si="27"/>
        <v>74725.904121941829</v>
      </c>
      <c r="IS14" s="32">
        <f>IR14/((1+InputData!$C$7)^(IntMed!$B14-IntMed!$B$7))</f>
        <v>60758.998319008228</v>
      </c>
      <c r="IT14" s="5">
        <f t="shared" si="103"/>
        <v>423874.97502869397</v>
      </c>
      <c r="IV14" s="41">
        <f t="shared" si="28"/>
        <v>4</v>
      </c>
      <c r="IW14" s="49" t="str">
        <f t="shared" si="29"/>
        <v>Service (O3&gt;3 = (BP+BAH+BAS+VSP+BCPSP)*12)+ASP</v>
      </c>
      <c r="IX14" s="32">
        <f t="shared" si="30"/>
        <v>78814.679999999993</v>
      </c>
      <c r="IY14" s="32">
        <f t="shared" si="31"/>
        <v>19939.199999999997</v>
      </c>
      <c r="IZ14" s="32">
        <f t="shared" si="32"/>
        <v>98753.87999999999</v>
      </c>
      <c r="JA14" s="32">
        <f t="shared" si="33"/>
        <v>73562.339178415801</v>
      </c>
      <c r="JB14" s="32">
        <f t="shared" si="34"/>
        <v>18610.418685278786</v>
      </c>
      <c r="JC14" s="32">
        <f>IF(JA14-InputData!$C$158-InputData!$C$159&gt;=0,JA14-InputData!$C$158-InputData!$C$159,0)</f>
        <v>73562.339178415801</v>
      </c>
      <c r="JD14" s="32">
        <f>IF(JA14-IF(JA14&lt;=InputData!$C$146,InputData!$C$145,0)-MAX(InputData!$C$144,JJ14)&gt;=0,JA14-IF(JA14&lt;=InputData!$C$146,InputData!$C$145,0)-MAX(InputData!$C$144,JJ14),0)</f>
        <v>63562.339178415801</v>
      </c>
      <c r="JE14" s="32">
        <f>IF(JD14&lt;0,"Error",IF(JD14&lt;=InputData!$B$170,InputData!$C$170*JD14,IF(JD14&lt;=InputData!$B$171,InputData!$D$170+InputData!$C$171*(JD14-InputData!$B$170),IF(JD14&lt;=InputData!$B$172,InputData!$D$171+InputData!$C$172*(JD14-InputData!$B$171),IF(JD14&lt;=InputData!$B$173,InputData!$D$172+InputData!$C$173*(JD14-InputData!$B$172),IF(JD14&lt;=InputData!$B$174,InputData!$D$173+InputData!$C$174*(JD14-InputData!$B$173),IF(JD14&lt;=InputData!$B$175,InputData!$D$174+InputData!$C$175*(JD14-InputData!$B$174),InputData!$D$175+InputData!$C$176*(JD14-InputData!$B$175))))))))</f>
        <v>11819.33479460395</v>
      </c>
      <c r="JF14" s="32">
        <f>IF(JA14&lt;=InputData!$C$150,InputData!$C$152,IF(JA14&lt;InputData!$C$151,IF(InputData!$C$152-0.25*IF(JA14-InputData!$C$150&lt;=0,0,JA14-InputData!$C$150)&lt;=0,0,InputData!$C$152-0.25*IF(JA14-InputData!$C$150&lt;=0,0,JA14-InputData!$C$150)),0))</f>
        <v>51900</v>
      </c>
      <c r="JG14" s="32">
        <f>IF(JA14-JF14&lt;=0,0,IF(JA14-JF14&lt;=InputData!$C$153,InputData!$C$154*(JA14-JF14),InputData!$C$155*(JA14-JF14)-InputData!$D$154))</f>
        <v>5632.2081863881085</v>
      </c>
      <c r="JH14" s="32">
        <f t="shared" si="104"/>
        <v>11819.33479460395</v>
      </c>
      <c r="JI14" s="32">
        <f>IF(JA14&gt;=0,IF(JA14&lt;=InputData!$C$148,InputData!$C$147*JA14,InputData!$C$147*InputData!$C$148)+InputData!$C$149*JA14,0)</f>
        <v>5627.5189471488084</v>
      </c>
      <c r="JJ14" s="32">
        <f>IF(JC14&lt;0,0,IF(JC14&lt;=InputData!$B$163,InputData!$C$163*JC14,IF(JC14&lt;=InputData!$B$164,InputData!$D$163+InputData!$C$164*(JC14-InputData!$B$163),IF(JC14&lt;=InputData!$B$165,InputData!$D$164+InputData!$C$165*(JC14-InputData!$B$164),InputData!$D$165+InputData!$C$166*(JC14-InputData!$B$165)))))</f>
        <v>0</v>
      </c>
      <c r="JK14" s="42">
        <f t="shared" si="105"/>
        <v>0.23717100267077837</v>
      </c>
      <c r="JL14" s="42">
        <f t="shared" si="106"/>
        <v>0.18928427602820816</v>
      </c>
      <c r="JM14" s="32">
        <f t="shared" si="35"/>
        <v>74725.904121941829</v>
      </c>
      <c r="JN14" s="32">
        <f>JM14/((1+InputData!$C$7)^(IntMed!$B14-IntMed!$B$7))</f>
        <v>60758.998319008228</v>
      </c>
      <c r="JO14" s="32">
        <f t="shared" si="107"/>
        <v>331751.25271802075</v>
      </c>
      <c r="JQ14" s="41" t="s">
        <v>242</v>
      </c>
      <c r="JR14" s="32">
        <f>InputData!$C$116*(1+InputData!$C$12)^(IntMed!$B14-IntMed!$B$7)</f>
        <v>160815.99347089918</v>
      </c>
      <c r="JS14" s="32">
        <v>0</v>
      </c>
      <c r="JT14" s="32">
        <f t="shared" si="108"/>
        <v>160815.99347089918</v>
      </c>
      <c r="JU14" s="5">
        <f>JR14*(1/(1+InputData!$C$3))^(IntMed!$B14-IntMed!$B$7)</f>
        <v>139999.99999999994</v>
      </c>
      <c r="JV14" s="5">
        <f>JS14*(1/(1+InputData!$C$3))^(IntMed!$B14-IntMed!$B$7)</f>
        <v>0</v>
      </c>
      <c r="JW14" s="32">
        <f>IF(JU14-InputData!$C$158-InputData!$C$159&gt;=0,JU14-InputData!$C$158-InputData!$C$159,0)</f>
        <v>139999.99999999994</v>
      </c>
      <c r="JX14" s="32">
        <f>IF(JU14-IF(JU14&lt;=InputData!$C$146,InputData!$C$145,0)-MAX(InputData!$C$144,KD14)&gt;=0,JU14-IF(JU14&lt;=InputData!$C$146,InputData!$C$145,0)-MAX(InputData!$C$144,KD14),0)</f>
        <v>129999.99999999994</v>
      </c>
      <c r="JY14" s="32">
        <f>IF(JX14&lt;0,"Error",IF(JX14&lt;=InputData!$B$170,InputData!$C$170*JX14,IF(JX14&lt;=InputData!$B$171,InputData!$D$170+InputData!$C$171*(JX14-InputData!$B$170),IF(JX14&lt;=InputData!$B$172,InputData!$D$171+InputData!$C$172*(JX14-InputData!$B$171),IF(JX14&lt;=InputData!$B$173,InputData!$D$172+InputData!$C$173*(JX14-InputData!$B$172),IF(JX14&lt;=InputData!$B$174,InputData!$D$173+InputData!$C$174*(JX14-InputData!$B$173),IF(JX14&lt;=InputData!$B$175,InputData!$D$174+InputData!$C$175*(JX14-InputData!$B$174),InputData!$D$175+InputData!$C$176*(JX14-InputData!$B$175))))))))</f>
        <v>29693.249999999985</v>
      </c>
      <c r="JZ14" s="32">
        <f>IF(JU14&lt;=InputData!$C$150,InputData!$C$152,IF(JU14&lt;InputData!$C$151,IF(InputData!$C$152-0.25*IF(JU14-InputData!$C$150&lt;=0,0,JU14-InputData!$C$150)&lt;=0,0,InputData!$C$152-0.25*IF(JU14-InputData!$C$150&lt;=0,0,JU14-InputData!$C$150)),0))</f>
        <v>45750.000000000015</v>
      </c>
      <c r="KA14" s="32">
        <f>IF(JU14-JZ14&lt;=0,0,IF(JU14-JZ14&lt;=InputData!$C$153,InputData!$C$154*(JU14-JZ14),InputData!$C$155*(JU14-JZ14)-InputData!$D$154))</f>
        <v>24504.999999999982</v>
      </c>
      <c r="KB14" s="32">
        <f t="shared" si="109"/>
        <v>29693.249999999985</v>
      </c>
      <c r="KC14" s="32">
        <f>IF(JU14&gt;=0,IF(JU14&lt;=InputData!$C$148,InputData!$C$147*JU14,InputData!$C$147*InputData!$C$148)+InputData!$C$149*JU14,0)</f>
        <v>9079.4</v>
      </c>
      <c r="KD14" s="32">
        <f>IF(JW14&lt;0,0,IF(JW14&lt;=InputData!$B$163,InputData!$C$163*JW14,IF(JW14&lt;=InputData!$B$164,InputData!$D$163+InputData!$C$164*(JW14-InputData!$B$163),IF(JW14&lt;=InputData!$B$165,InputData!$D$164+InputData!$C$165*(JW14-InputData!$B$164),InputData!$D$165+InputData!$C$166*(JW14-InputData!$B$165)))))</f>
        <v>0</v>
      </c>
      <c r="KE14" s="43">
        <f t="shared" si="110"/>
        <v>0.27694750000000001</v>
      </c>
      <c r="KF14" s="43">
        <f t="shared" si="111"/>
        <v>0.27694750000000001</v>
      </c>
      <c r="KG14" s="5">
        <f t="shared" si="112"/>
        <v>101227.34999999996</v>
      </c>
      <c r="KH14" s="32">
        <f>KG14/((1+InputData!$C$7)^(IntMed!$B14-IntMed!$B$7))</f>
        <v>82307.099000782604</v>
      </c>
      <c r="KI14" s="5">
        <f t="shared" si="143"/>
        <v>241485.8266800486</v>
      </c>
      <c r="KK14" s="149">
        <v>1</v>
      </c>
      <c r="KL14" s="145" t="s">
        <v>375</v>
      </c>
      <c r="KM14">
        <v>29</v>
      </c>
      <c r="KN14" s="41" t="s">
        <v>367</v>
      </c>
      <c r="KO14" s="5">
        <f>InputData!$C125*(1+InputData!$C$5)^(IntMed!$B14-IntMed!$B$7)</f>
        <v>191863.7476777375</v>
      </c>
      <c r="KP14" s="5">
        <v>0</v>
      </c>
      <c r="KQ14" s="5">
        <f t="shared" ref="KQ14:KQ36" si="169">KO14+KP14</f>
        <v>191863.7476777375</v>
      </c>
      <c r="KR14" s="32">
        <f>KR13*(1+InputData!$C$8)</f>
        <v>13198.398321290229</v>
      </c>
      <c r="KS14" s="5">
        <f>KO14*(1/(1+InputData!$C$3))^(IntMed!$B14-IntMed!$B$7)</f>
        <v>167028.93844786601</v>
      </c>
      <c r="KT14" s="5">
        <f>KP14*(1/(1+InputData!$C$3))^(IntMed!$B14-IntMed!$B$7)</f>
        <v>0</v>
      </c>
      <c r="KU14" s="32" t="s">
        <v>141</v>
      </c>
      <c r="KV14" s="32">
        <v>0</v>
      </c>
      <c r="KW14" s="133">
        <f t="shared" si="165"/>
        <v>212416.2</v>
      </c>
      <c r="KX14" s="5">
        <f>KW14*InputData!$C$6</f>
        <v>13191.046020000002</v>
      </c>
      <c r="KY14" s="133">
        <f t="shared" si="166"/>
        <v>17367.541885290568</v>
      </c>
      <c r="KZ14" s="118">
        <f t="shared" si="155"/>
        <v>17206.615019580215</v>
      </c>
      <c r="LA14" s="32">
        <f t="shared" si="167"/>
        <v>229783.7418852906</v>
      </c>
      <c r="LB14" s="32">
        <f>KZ14/((1+InputData!$C$3)^(IntMed!$B14-IntMed!$B$7))</f>
        <v>14979.393844786606</v>
      </c>
      <c r="LC14" s="32">
        <f>IF(KS14-InputData!$C$158-InputData!$C$159&gt;=0,KS14-InputData!$C$158-InputData!$C$159,0)</f>
        <v>167028.93844786601</v>
      </c>
      <c r="LD14" s="32">
        <f>IF(KS14-IF(KS14&lt;=InputData!$C$146,InputData!$C$145,0)-MAX(InputData!$C$144,LJ14)&gt;=0,KS14-IF(KS14&lt;=InputData!$C$146,InputData!$C$145,0)-MAX(InputData!$C$144,LJ14),0)</f>
        <v>160928.93844786601</v>
      </c>
      <c r="LE14" s="32">
        <f>IF(LD14&lt;0,"Error",IF(LD14&lt;=InputData!$B$170,InputData!$C$170*LD14,IF(LD14&lt;=InputData!$B$171,InputData!$D$170+InputData!$C$171*(LD14-InputData!$B$170),IF(LD14&lt;=InputData!$B$172,InputData!$D$171+InputData!$C$172*(LD14-InputData!$B$171),IF(LD14&lt;=InputData!$B$173,InputData!$D$172+InputData!$C$173*(LD14-InputData!$B$172),IF(LD14&lt;=InputData!$B$174,InputData!$D$173+InputData!$C$174*(LD14-InputData!$B$173),IF(LD14&lt;=InputData!$B$175,InputData!$D$174+InputData!$C$175*(LD14-InputData!$B$174),InputData!$D$175+InputData!$C$176*(LD14-InputData!$B$175))))))))</f>
        <v>38353.35276540248</v>
      </c>
      <c r="LF14" s="32">
        <f>IF(KS14&lt;=InputData!$C$150,InputData!$C$152,IF(KS14&lt;InputData!$C$151,IF(InputData!$C$152-0.25*IF(KS14-InputData!$C$150&lt;=0,0,KS14-InputData!$C$150)&lt;=0,0,InputData!$C$152-0.25*IF(KS14-InputData!$C$150&lt;=0,0,KS14-InputData!$C$150)),0))</f>
        <v>38992.765388033498</v>
      </c>
      <c r="LG14" s="32">
        <f>IF(KS14-LF14&lt;=0,0,IF(KS14-LF14&lt;=InputData!$C$153,InputData!$C$154*(KS14-LF14),InputData!$C$155*(KS14-LF14)-InputData!$D$154))</f>
        <v>33289.404995556455</v>
      </c>
      <c r="LH14" s="32">
        <f t="shared" si="118"/>
        <v>38353.35276540248</v>
      </c>
      <c r="LI14" s="32">
        <f>IF(KS14&gt;=0,IF(KS14&lt;=InputData!$C$148,InputData!$C$147*KS14,InputData!$C$147*InputData!$C$148)+InputData!$C$149*KS14,0)</f>
        <v>9471.319607494057</v>
      </c>
      <c r="LJ14" s="32">
        <f>IF(LC14&lt;0,0,IF(LC14&lt;=InputData!$B$163,InputData!$C$163*LC14,IF(LC14&lt;=InputData!$B$164,InputData!$D$163+InputData!$C$164*(LC14-InputData!$B$163),IF(LC14&lt;=InputData!$B$165,InputData!$D$164+InputData!$C$165*(LC14-InputData!$B$164),InputData!$D$165+InputData!$C$166*(LC14-InputData!$B$165)))))</f>
        <v>0</v>
      </c>
      <c r="LK14" s="43">
        <f t="shared" si="156"/>
        <v>0.28632566797892833</v>
      </c>
      <c r="LL14" s="32">
        <f t="shared" si="119"/>
        <v>119204.26607496946</v>
      </c>
      <c r="LM14" s="5">
        <f t="shared" si="120"/>
        <v>104224.87223018285</v>
      </c>
      <c r="LN14" s="32">
        <f>LM14/((1+InputData!$C$7)^(IntMed!$B14-IntMed!$B$7))</f>
        <v>84744.358881207314</v>
      </c>
      <c r="LO14" s="5">
        <f t="shared" si="145"/>
        <v>-7203.3353537460498</v>
      </c>
      <c r="LQ14" s="157" t="str">
        <f t="shared" si="37"/>
        <v>Private Practice</v>
      </c>
      <c r="LR14" s="32">
        <f t="shared" si="121"/>
        <v>205040.39167539644</v>
      </c>
      <c r="LS14" s="32">
        <v>0</v>
      </c>
      <c r="LT14" s="32">
        <f t="shared" si="123"/>
        <v>205040.39167539644</v>
      </c>
      <c r="LU14" s="32">
        <f>LU13*(1+InputData!$C$8)</f>
        <v>13198.398321290229</v>
      </c>
      <c r="LV14" s="32">
        <f>LR14/((1+InputData!$C$3)^(IntMed!$B14-IntMed!$B$7))</f>
        <v>178500</v>
      </c>
      <c r="LW14" s="32">
        <f>LS14/((1+InputData!$C$3)^(IntMed!$B14-IntMed!$B$7))</f>
        <v>0</v>
      </c>
      <c r="LX14" s="60" t="s">
        <v>144</v>
      </c>
      <c r="LY14" s="32">
        <v>0</v>
      </c>
      <c r="LZ14" s="118">
        <f>MC13+LY14</f>
        <v>0</v>
      </c>
      <c r="MA14" s="32">
        <f>(LZ14)*InputData!$C$6</f>
        <v>0</v>
      </c>
      <c r="MB14" s="32">
        <f>MIN($BE$14*InputData!$C$6/(1-(1+InputData!$C$6)^(-10)), LZ14+MA14)</f>
        <v>0</v>
      </c>
      <c r="MC14" s="118">
        <f t="shared" si="168"/>
        <v>0</v>
      </c>
      <c r="MD14" s="32">
        <f>MB14/((1+InputData!$C$3)^(IntMed!$B14-IntMed!$B$7))</f>
        <v>0</v>
      </c>
      <c r="ME14" s="32">
        <f>IF(LV14-InputData!$C$158-InputData!$C$159&gt;=0,LV14-InputData!$C$158-InputData!$C$159,0)</f>
        <v>178500</v>
      </c>
      <c r="MF14" s="32">
        <f>IF(LV14-IF(LV14&lt;=InputData!$C$146,InputData!$C$145,0)-MAX(InputData!$C$144,ML14)&gt;=0,LV14-IF(LV14&lt;=InputData!$C$146,InputData!$C$145,0)-MAX(InputData!$C$144,ML14),0)</f>
        <v>172400</v>
      </c>
      <c r="MG14" s="32">
        <f>IF(MF14&lt;0,"Error",IF(MF14&lt;=InputData!$B$170,InputData!$C$170*MF14,IF(MF14&lt;=InputData!$B$171,InputData!$D$170+InputData!$C$171*(MF14-InputData!$B$170),IF(MF14&lt;=InputData!$B$172,InputData!$D$171+InputData!$C$172*(MF14-InputData!$B$171),IF(MF14&lt;=InputData!$B$173,InputData!$D$172+InputData!$C$173*(MF14-InputData!$B$172),IF(MF14&lt;=InputData!$B$174,InputData!$D$173+InputData!$C$174*(MF14-InputData!$B$173),IF(MF14&lt;=InputData!$B$175,InputData!$D$174+InputData!$C$175*(MF14-InputData!$B$174),InputData!$D$175+InputData!$C$176*(MF14-InputData!$B$175))))))))</f>
        <v>41565.25</v>
      </c>
      <c r="MH14" s="32">
        <f>IF(LV14&lt;=InputData!$C$150,InputData!$C$152,IF(LV14&lt;InputData!$C$151,IF(InputData!$C$152-0.25*IF(LV14-InputData!$C$150&lt;=0,0,LV14-InputData!$C$150)&lt;=0,0,InputData!$C$152-0.25*IF(LV14-InputData!$C$150&lt;=0,0,LV14-InputData!$C$150)),0))</f>
        <v>36125</v>
      </c>
      <c r="MI14" s="32">
        <f>IF(LV14-MH14&lt;=0,0,IF(LV14-MH14&lt;=InputData!$C$153,InputData!$C$154*(LV14-MH14),InputData!$C$155*(LV14-MH14)-InputData!$D$154))</f>
        <v>37017.5</v>
      </c>
      <c r="MJ14" s="32">
        <f t="shared" si="124"/>
        <v>41565.25</v>
      </c>
      <c r="MK14" s="32">
        <f>IF(LV14&gt;=0,IF(LV14&lt;=InputData!$C$148,InputData!$C$147*LV14,InputData!$C$147*InputData!$C$148)+InputData!$C$149*LV14,0)</f>
        <v>9637.65</v>
      </c>
      <c r="ML14" s="32">
        <f>IF(ME14&lt;0,0,IF(ME14&lt;=InputData!$B$163,InputData!$C$163*ME14,IF(ME14&lt;=InputData!$B$164,InputData!$D$163+InputData!$C$164*(ME14-InputData!$B$163),IF(ME14&lt;=InputData!$B$165,InputData!$D$164+InputData!$C$165*(ME14-InputData!$B$164),InputData!$D$165+InputData!$C$166*(ME14-InputData!$B$165)))))</f>
        <v>0</v>
      </c>
      <c r="MM14" s="43">
        <f t="shared" si="38"/>
        <v>0.2868509803921569</v>
      </c>
      <c r="MN14" s="32">
        <f t="shared" si="125"/>
        <v>127297.1</v>
      </c>
      <c r="MO14" s="32">
        <f t="shared" si="126"/>
        <v>127297.1</v>
      </c>
      <c r="MP14" s="32">
        <f>MO14/((1+InputData!$C$7)^(IntMed!$B14-IntMed!$B$7))</f>
        <v>103504.19142862604</v>
      </c>
      <c r="MQ14" s="5">
        <f t="shared" si="147"/>
        <v>211466.91678065286</v>
      </c>
    </row>
    <row r="15" spans="1:355" ht="14.45" x14ac:dyDescent="0.3">
      <c r="A15" s="53">
        <v>2021</v>
      </c>
      <c r="B15" s="51">
        <v>9</v>
      </c>
      <c r="C15" s="4"/>
      <c r="D15" s="3">
        <v>5</v>
      </c>
      <c r="E15" s="4" t="s">
        <v>19</v>
      </c>
      <c r="F15" s="5">
        <f>InputData!$F$24*12</f>
        <v>61398</v>
      </c>
      <c r="G15" s="5">
        <f>(InputData!$F$24+InputData!$D$45+InputData!$C$50)*12+InputData!$J$50</f>
        <v>83897.88</v>
      </c>
      <c r="H15" s="5">
        <f>(InputData!$C$35+InputData!$C$40)*12</f>
        <v>19939.199999999997</v>
      </c>
      <c r="I15" s="5">
        <f t="shared" si="39"/>
        <v>103837.08</v>
      </c>
      <c r="J15" s="5">
        <f>G15*((1+InputData!$C$5)/(1+InputData!$C$3))^(IntMed!$B15-IntMed!$B$7)</f>
        <v>77539.072719466712</v>
      </c>
      <c r="K15" s="5">
        <f>H15*((1+InputData!$C$5)/(1+InputData!$C$3))^(IntMed!$B15-IntMed!$B$7)</f>
        <v>18427.963600128995</v>
      </c>
      <c r="L15" s="32">
        <f>IF(J15-InputData!$C$158-InputData!$C$159&gt;=0,J15-InputData!$C$158-InputData!$C$159,0)</f>
        <v>77539.072719466712</v>
      </c>
      <c r="M15" s="32">
        <f>IF(J15-IF(J15&lt;=InputData!$C$146,InputData!$C$145,0)-MAX(InputData!$C$144,S15)&gt;=0,J15-IF(J15&lt;=InputData!$C$146,InputData!$C$145,0)-MAX(InputData!$C$144,S15),0)</f>
        <v>67539.072719466712</v>
      </c>
      <c r="N15" s="32">
        <f>IF(M15&lt;0,"Error",IF(M15&lt;=InputData!$B$170,InputData!$C$170*M15,IF(M15&lt;=InputData!$B$171,InputData!$D$170+InputData!$C$171*(M15-InputData!$B$170),IF(M15&lt;=InputData!$B$172,InputData!$D$171+InputData!$C$172*(M15-InputData!$B$171),IF(M15&lt;=InputData!$B$173,InputData!$D$172+InputData!$C$173*(M15-InputData!$B$172),IF(M15&lt;=InputData!$B$174,InputData!$D$173+InputData!$C$174*(M15-InputData!$B$173),IF(M15&lt;=InputData!$B$175,InputData!$D$174+InputData!$C$175*(M15-InputData!$B$174),InputData!$D$175+InputData!$C$176*(M15-InputData!$B$175))))))))</f>
        <v>12813.518179866678</v>
      </c>
      <c r="O15" s="32">
        <f>IF(J15&lt;=InputData!$C$150,InputData!$C$152,IF(J15&lt;InputData!$C$151,IF(InputData!$C$152-0.25*IF(J15-InputData!$C$150&lt;=0,0,J15-InputData!$C$150)&lt;=0,0,InputData!$C$152-0.25*IF(J15-InputData!$C$150&lt;=0,0,J15-InputData!$C$150)),0))</f>
        <v>51900</v>
      </c>
      <c r="P15" s="32">
        <f>IF(J15-O15&lt;=0,0,IF(J15-O15&lt;=InputData!$C$153,InputData!$C$154*(J15-O15),InputData!$C$155*(J15-O15)-InputData!$D$154))</f>
        <v>6666.1589070613454</v>
      </c>
      <c r="Q15" s="32">
        <f t="shared" si="40"/>
        <v>12813.518179866678</v>
      </c>
      <c r="R15" s="32">
        <f>IF(J15&gt;=0,IF(J15&lt;=InputData!$C$148,InputData!$C$147*J15,InputData!$C$147*InputData!$C$148)+InputData!$C$149*J15,0)</f>
        <v>5931.7390630392038</v>
      </c>
      <c r="S15" s="32">
        <f>IF(L15&lt;0,0,IF(L15&lt;=InputData!$B$163,InputData!$C$163*L15,IF(L15&lt;=InputData!$B$164,InputData!$D$163+InputData!$C$164*(L15-InputData!$B$163),IF(L15&lt;=InputData!$B$165,InputData!$D$164+InputData!$C$165*(L15-InputData!$B$164),InputData!$D$165+InputData!$C$166*(L15-InputData!$B$165)))))</f>
        <v>0</v>
      </c>
      <c r="T15" s="43">
        <f t="shared" si="41"/>
        <v>0.24175240411663779</v>
      </c>
      <c r="U15" s="43">
        <f t="shared" si="42"/>
        <v>0.19533016712612861</v>
      </c>
      <c r="V15" s="5">
        <f t="shared" si="43"/>
        <v>77221.779076689825</v>
      </c>
      <c r="W15" s="32">
        <f>V15/((1+InputData!$C$7)^(IntMed!$B15-IntMed!$B$7))</f>
        <v>60959.585493289618</v>
      </c>
      <c r="X15" s="5">
        <f t="shared" si="127"/>
        <v>484834.5605219836</v>
      </c>
      <c r="Y15" s="53"/>
      <c r="Z15" s="3">
        <v>5</v>
      </c>
      <c r="AA15" s="4" t="s">
        <v>19</v>
      </c>
      <c r="AB15" s="5">
        <f t="shared" si="149"/>
        <v>61398</v>
      </c>
      <c r="AC15" s="5">
        <f t="shared" si="149"/>
        <v>83897.88</v>
      </c>
      <c r="AD15" s="5">
        <f t="shared" si="149"/>
        <v>19939.199999999997</v>
      </c>
      <c r="AE15" s="5">
        <f t="shared" si="44"/>
        <v>103837.08</v>
      </c>
      <c r="AF15" s="5">
        <f>AC15*((1+InputData!$C$5)/(1+InputData!$C$3))^(IntMed!$B15-IntMed!$B$7)</f>
        <v>77539.072719466712</v>
      </c>
      <c r="AG15" s="5">
        <f>AD15*((1+InputData!$C$5)/(1+InputData!$C$3))^(IntMed!$B15-IntMed!$B$7)</f>
        <v>18427.963600128995</v>
      </c>
      <c r="AH15" s="32">
        <f>IF(AF15-InputData!$C$158-InputData!$C$159&gt;=0,AF15-InputData!$C$158-InputData!$C$159,0)</f>
        <v>77539.072719466712</v>
      </c>
      <c r="AI15" s="32">
        <f>IF(AF15-IF(AF15&lt;=InputData!$C$146,InputData!$C$145,0)-MAX(InputData!$C$144,AO15)&gt;=0,AF15-IF(AF15&lt;=InputData!$C$146,InputData!$C$145,0)-MAX(InputData!$C$144,AO15),0)</f>
        <v>67539.072719466712</v>
      </c>
      <c r="AJ15" s="32">
        <f>IF(AI15&lt;0,"Error",IF(AI15&lt;=InputData!$B$170,InputData!$C$170*AI15,IF(AI15&lt;=InputData!$B$171,InputData!$D$170+InputData!$C$171*(AI15-InputData!$B$170),IF(AI15&lt;=InputData!$B$172,InputData!$D$171+InputData!$C$172*(AI15-InputData!$B$171),IF(AI15&lt;=InputData!$B$173,InputData!$D$172+InputData!$C$173*(AI15-InputData!$B$172),IF(AI15&lt;=InputData!$B$174,InputData!$D$173+InputData!$C$174*(AI15-InputData!$B$173),IF(AI15&lt;=InputData!$B$175,InputData!$D$174+InputData!$C$175*(AI15-InputData!$B$174),InputData!$D$175+InputData!$C$176*(AI15-InputData!$B$175))))))))</f>
        <v>12813.518179866678</v>
      </c>
      <c r="AK15" s="32">
        <f>IF(AF15&lt;=InputData!$C$150,InputData!$C$152,IF(AF15&lt;InputData!$C$151,IF(InputData!$C$152-0.25*IF(AF15-InputData!$C$150&lt;=0,0,AF15-InputData!$C$150)&lt;=0,0,InputData!$C$152-0.25*IF(AF15-InputData!$C$150&lt;=0,0,AF15-InputData!$C$150)),0))</f>
        <v>51900</v>
      </c>
      <c r="AL15" s="32">
        <f>IF(AF15-AK15&lt;=0,0,IF(AF15-AK15&lt;=InputData!$C$153,InputData!$C$154*(AF15-AK15),InputData!$C$155*(AF15-AK15)-InputData!$D$154))</f>
        <v>6666.1589070613454</v>
      </c>
      <c r="AM15" s="32">
        <f t="shared" si="45"/>
        <v>12813.518179866678</v>
      </c>
      <c r="AN15" s="32">
        <f>IF(AF15&gt;=0,IF(AF15&lt;=InputData!$C$148,InputData!$C$147*AF15,InputData!$C$147*InputData!$C$148)+InputData!$C$149*AF15,0)</f>
        <v>5931.7390630392038</v>
      </c>
      <c r="AO15" s="32">
        <f>IF(AH15&lt;0,0,IF(AH15&lt;=InputData!$B$163,InputData!$C$163*AH15,IF(AH15&lt;=InputData!$B$164,InputData!$D$163+InputData!$C$164*(AH15-InputData!$B$163),IF(AH15&lt;=InputData!$B$165,InputData!$D$164+InputData!$C$165*(AH15-InputData!$B$164),InputData!$D$165+InputData!$C$166*(AH15-InputData!$B$165)))))</f>
        <v>0</v>
      </c>
      <c r="AP15" s="43">
        <f t="shared" si="46"/>
        <v>0.24175240411663779</v>
      </c>
      <c r="AQ15" s="43">
        <f t="shared" si="47"/>
        <v>0.19533016712612861</v>
      </c>
      <c r="AR15" s="5">
        <f t="shared" si="48"/>
        <v>77221.779076689825</v>
      </c>
      <c r="AS15" s="32">
        <f>AR15/((1+InputData!$C$7)^(IntMed!$B15-IntMed!$B$7))</f>
        <v>60959.585493289618</v>
      </c>
      <c r="AT15" s="5">
        <f t="shared" si="128"/>
        <v>392710.83821131039</v>
      </c>
      <c r="AU15" s="53"/>
      <c r="AV15" s="41" t="s">
        <v>109</v>
      </c>
      <c r="AW15" s="32">
        <f>$AW$14*(1+InputData!$C$3+InputData!$C$4)^(IntMed!$B15-IntMed!$B$14)</f>
        <v>211191.60342565834</v>
      </c>
      <c r="AX15" s="32">
        <v>0</v>
      </c>
      <c r="AY15" s="32">
        <f t="shared" si="50"/>
        <v>211191.60342565834</v>
      </c>
      <c r="AZ15" s="32">
        <f>AZ14*(1+InputData!$C$8)</f>
        <v>13462.366287716035</v>
      </c>
      <c r="BA15" s="32">
        <f>AW15/((1+InputData!$C$3)^(IntMed!$B15-IntMed!$B$7))</f>
        <v>180249.99999999997</v>
      </c>
      <c r="BB15" s="32">
        <f>AX15/((1+InputData!$C$3)^(IntMed!$B15-IntMed!$B$7))</f>
        <v>0</v>
      </c>
      <c r="BC15" s="32" t="s">
        <v>141</v>
      </c>
      <c r="BD15" s="32">
        <v>0</v>
      </c>
      <c r="BE15" s="32">
        <f>BH14+BD15</f>
        <v>226959.10501132184</v>
      </c>
      <c r="BF15" s="32">
        <f>(BE15)*InputData!$C$6</f>
        <v>14094.160421203087</v>
      </c>
      <c r="BG15" s="32">
        <f>MIN($BE$14*InputData!$C$6/(1-(1+InputData!$C$6)^(-10)), BE15+BF15)</f>
        <v>33673.665953283198</v>
      </c>
      <c r="BH15" s="32">
        <f t="shared" si="157"/>
        <v>207379.59947924173</v>
      </c>
      <c r="BI15" s="32">
        <f>BG15/((1+InputData!$C$3)^(IntMed!$B15-IntMed!$B$7))</f>
        <v>28740.149653799501</v>
      </c>
      <c r="BJ15" s="32">
        <f>IF(BA15-InputData!$C$158-InputData!$C$159&gt;=0,BA15-InputData!$C$158-InputData!$C$159,0)</f>
        <v>180249.99999999997</v>
      </c>
      <c r="BK15" s="32">
        <f>IF(BA15-IF(BA15&lt;=InputData!$C$146,InputData!$C$145,0)-MAX(InputData!$C$144,BQ15)&gt;=0,BA15-IF(BA15&lt;=InputData!$C$146,InputData!$C$145,0)-MAX(InputData!$C$144,BQ15),0)</f>
        <v>174149.99999999997</v>
      </c>
      <c r="BL15" s="32">
        <f>IF(BK15&lt;0,"Error",IF(BK15&lt;=InputData!$B$170,InputData!$C$170*BK15,IF(BK15&lt;=InputData!$B$171,InputData!$D$170+InputData!$C$171*(BK15-InputData!$B$170),IF(BK15&lt;=InputData!$B$172,InputData!$D$171+InputData!$C$172*(BK15-InputData!$B$171),IF(BK15&lt;=InputData!$B$173,InputData!$D$172+InputData!$C$173*(BK15-InputData!$B$172),IF(BK15&lt;=InputData!$B$174,InputData!$D$173+InputData!$C$174*(BK15-InputData!$B$173),IF(BK15&lt;=InputData!$B$175,InputData!$D$174+InputData!$C$175*(BK15-InputData!$B$174),InputData!$D$175+InputData!$C$176*(BK15-InputData!$B$175))))))))</f>
        <v>42055.249999999993</v>
      </c>
      <c r="BM15" s="32">
        <f>IF(BA15&lt;=InputData!$C$150,InputData!$C$152,IF(BA15&lt;InputData!$C$151,IF(InputData!$C$152-0.25*IF(BA15-InputData!$C$150&lt;=0,0,BA15-InputData!$C$150)&lt;=0,0,InputData!$C$152-0.25*IF(BA15-InputData!$C$150&lt;=0,0,BA15-InputData!$C$150)),0))</f>
        <v>35687.500000000007</v>
      </c>
      <c r="BN15" s="32">
        <f>IF(BA15-BM15&lt;=0,0,IF(BA15-BM15&lt;=InputData!$C$153,InputData!$C$154*(BA15-BM15),InputData!$C$155*(BA15-BM15)-InputData!$D$154))</f>
        <v>37586.249999999993</v>
      </c>
      <c r="BO15" s="32">
        <f t="shared" si="51"/>
        <v>42055.249999999993</v>
      </c>
      <c r="BP15" s="32">
        <f>IF(BA15&gt;=0,IF(BA15&lt;=InputData!$C$148,InputData!$C$147*BA15,InputData!$C$147*InputData!$C$148)+InputData!$C$149*BA15,0)</f>
        <v>9663.0249999999996</v>
      </c>
      <c r="BQ15" s="32">
        <f>IF(BJ15&lt;0,0,IF(BJ15&lt;=InputData!$B$163,InputData!$C$163*BJ15,IF(BJ15&lt;=InputData!$B$164,InputData!$D$163+InputData!$C$164*(BJ15-InputData!$B$163),IF(BJ15&lt;=InputData!$B$165,InputData!$D$164+InputData!$C$165*(BJ15-InputData!$B$164),InputData!$D$165+InputData!$C$166*(BJ15-InputData!$B$165)))))</f>
        <v>0</v>
      </c>
      <c r="BR15" s="43">
        <f t="shared" si="52"/>
        <v>0.2869252427184466</v>
      </c>
      <c r="BS15" s="32">
        <f t="shared" si="53"/>
        <v>128531.72499999998</v>
      </c>
      <c r="BT15" s="32">
        <f t="shared" si="54"/>
        <v>99791.57534620048</v>
      </c>
      <c r="BU15" s="32">
        <f>BT15/((1+InputData!$C$7)^(IntMed!$B15-IntMed!$B$7))</f>
        <v>78776.391085025549</v>
      </c>
      <c r="BV15" s="5">
        <f t="shared" si="130"/>
        <v>75540.188423989472</v>
      </c>
      <c r="BW15" s="5"/>
      <c r="BX15" s="32" t="s">
        <v>141</v>
      </c>
      <c r="BY15" s="5">
        <f>CB14</f>
        <v>241051.70136288676</v>
      </c>
      <c r="BZ15" s="32">
        <f>(BY15)*InputData!$C$6</f>
        <v>14969.310654635268</v>
      </c>
      <c r="CA15" s="32">
        <f>MIN($BY$14*InputData!$C$6/(1-(1+InputData!$C$6)^(-25)), BY15+BZ15)</f>
        <v>19581.069601718285</v>
      </c>
      <c r="CB15" s="32">
        <f>CB14+$BD15+BZ15-CA15</f>
        <v>236439.94241580376</v>
      </c>
      <c r="CC15" s="32">
        <f>CA15/((1+InputData!$C$3)^(IntMed!$B15-IntMed!$B$7))</f>
        <v>16712.254362669952</v>
      </c>
      <c r="CD15" s="5">
        <f t="shared" si="58"/>
        <v>111819.47063733003</v>
      </c>
      <c r="CE15" s="32">
        <f>CD15/((1+InputData!$C$7)^(IntMed!$B15-IntMed!$B$7))</f>
        <v>88271.322697204319</v>
      </c>
      <c r="CF15" s="5">
        <f t="shared" si="131"/>
        <v>95010.495187923254</v>
      </c>
      <c r="CG15" s="5"/>
      <c r="CH15" s="32" t="s">
        <v>141</v>
      </c>
      <c r="CI15" s="5">
        <f>CL14</f>
        <v>232846.35183558587</v>
      </c>
      <c r="CJ15" s="32">
        <f>(CI15)*InputData!$C$6</f>
        <v>14459.758448989884</v>
      </c>
      <c r="CK15" s="32">
        <f t="shared" ref="CK15:CK36" si="170">IF(0.15*($AY$14-1.5*$AZ15)&lt;=$BG$14,MIN(0.15*($AY15-1.5*$AZ15),$BG$14, CI15+CJ15),"DNQ")</f>
        <v>28649.708099112646</v>
      </c>
      <c r="CL15" s="32">
        <f>CL14+$BD15+CJ15-CK15</f>
        <v>218656.40218546311</v>
      </c>
      <c r="CM15" s="32">
        <f>CK15/((1+InputData!$C$3)^(IntMed!$B15-IntMed!$B$7))</f>
        <v>24452.25</v>
      </c>
      <c r="CN15" s="5">
        <f t="shared" si="62"/>
        <v>104079.47499999998</v>
      </c>
      <c r="CO15" s="32">
        <f>CN15/((1+InputData!$C$7)^(IntMed!$B15-IntMed!$B$7))</f>
        <v>82161.298667546405</v>
      </c>
      <c r="CP15" s="5">
        <f t="shared" si="132"/>
        <v>83092.354772599268</v>
      </c>
      <c r="CQ15" s="5"/>
      <c r="CR15" s="32" t="s">
        <v>141</v>
      </c>
      <c r="CS15" s="5">
        <f>CV14</f>
        <v>242108.49154525893</v>
      </c>
      <c r="CT15" s="32">
        <f>(CS15)*InputData!$C$6</f>
        <v>15034.93732496058</v>
      </c>
      <c r="CU15" s="32">
        <f t="shared" ref="CU15:CU36" si="171">IF(0.1*($AY$14-1.5*$AZ15)&lt;=$BG$14,MIN(0.1*($AY15-1.5*$AZ15),$BG$14, CS15+CT15),"DNQ")</f>
        <v>19099.805399408429</v>
      </c>
      <c r="CV15" s="32">
        <f>CV14+$BD15+CT15-CU15</f>
        <v>238043.62347081109</v>
      </c>
      <c r="CW15" s="32">
        <f>CU15/((1+InputData!$C$3)^(IntMed!$B15-IntMed!$B$7))</f>
        <v>16301.499999999998</v>
      </c>
      <c r="CX15" s="5">
        <f t="shared" si="66"/>
        <v>112230.22499999998</v>
      </c>
      <c r="CY15" s="32">
        <f>CX15/((1+InputData!$C$7)^(IntMed!$B15-IntMed!$B$7))</f>
        <v>88595.575984130715</v>
      </c>
      <c r="CZ15" s="5">
        <f t="shared" si="133"/>
        <v>96082.792218022878</v>
      </c>
      <c r="DA15" s="5"/>
      <c r="DB15" s="32" t="s">
        <v>141</v>
      </c>
      <c r="DC15" s="5">
        <f t="shared" si="158"/>
        <v>151950.4984146918</v>
      </c>
      <c r="DD15" s="5">
        <f>DC15*InputData!$C$6</f>
        <v>9436.1259515523616</v>
      </c>
      <c r="DE15" s="32">
        <f t="shared" si="159"/>
        <v>29148.379963889372</v>
      </c>
      <c r="DF15" s="32">
        <f t="shared" si="160"/>
        <v>132238.24440235479</v>
      </c>
      <c r="DG15" s="32">
        <f>DE15/((1+InputData!$C$3)^(IntMed!$B15-IntMed!$B$7))</f>
        <v>24877.861634970352</v>
      </c>
      <c r="DH15" s="5">
        <f t="shared" si="70"/>
        <v>103653.86336502963</v>
      </c>
      <c r="DI15" s="32">
        <f>DH15/((1+InputData!$C$7)^(IntMed!$B15-IntMed!$B$7))</f>
        <v>81825.316912669354</v>
      </c>
      <c r="DJ15" s="5">
        <f t="shared" si="134"/>
        <v>25379.539375100256</v>
      </c>
      <c r="DK15" s="5"/>
      <c r="DL15" s="32" t="s">
        <v>141</v>
      </c>
      <c r="DM15" s="32">
        <f>IF(0.15*($AY15-1.5*$AZ15)&lt;=$DD$2,DQ14-DO14,DQ14)</f>
        <v>212416.2</v>
      </c>
      <c r="DN15" s="5">
        <f>DM15*InputData!$C$6</f>
        <v>13191.046020000002</v>
      </c>
      <c r="DO15" s="32">
        <f>MAX(0,DN15-DP15)</f>
        <v>0</v>
      </c>
      <c r="DP15" s="32">
        <f t="shared" si="150"/>
        <v>28649.708099112646</v>
      </c>
      <c r="DQ15" s="32">
        <f t="shared" si="151"/>
        <v>197948.0236141744</v>
      </c>
      <c r="DR15" s="32">
        <f>DP15/((1+InputData!$C$3)^(IntMed!$B15-IntMed!$B$7))</f>
        <v>24452.25</v>
      </c>
      <c r="DS15" s="5">
        <f t="shared" si="74"/>
        <v>104079.47499999998</v>
      </c>
      <c r="DT15" s="32">
        <f>DS15/((1+InputData!$C$7)^(IntMed!$B15-IntMed!$B$7))</f>
        <v>82161.298667546405</v>
      </c>
      <c r="DU15" s="5">
        <f t="shared" si="136"/>
        <v>69527.795825752124</v>
      </c>
      <c r="DV15" s="5"/>
      <c r="DW15" s="32" t="s">
        <v>141</v>
      </c>
      <c r="DX15" s="133">
        <f t="shared" si="161"/>
        <v>212416.20000000004</v>
      </c>
      <c r="DY15" s="5">
        <f>DX15*InputData!$C$6</f>
        <v>13191.046020000003</v>
      </c>
      <c r="DZ15" s="133">
        <f t="shared" si="162"/>
        <v>10141.118106116246</v>
      </c>
      <c r="EA15" s="32">
        <f t="shared" si="163"/>
        <v>19099.805399408429</v>
      </c>
      <c r="EB15" s="32">
        <f t="shared" si="164"/>
        <v>222557.31810611629</v>
      </c>
      <c r="EC15" s="32">
        <f>EA15/((1+InputData!$C$3)^(IntMed!$B15-IntMed!$B$7))</f>
        <v>16301.499999999998</v>
      </c>
      <c r="ED15" s="5">
        <f t="shared" si="78"/>
        <v>112230.22499999998</v>
      </c>
      <c r="EE15" s="32">
        <f>ED15/((1+InputData!$C$7)^(IntMed!$B15-IntMed!$B$7))</f>
        <v>88595.575984130715</v>
      </c>
      <c r="EF15" s="5">
        <f t="shared" si="138"/>
        <v>87039.752920124767</v>
      </c>
      <c r="EG15" s="32"/>
      <c r="EH15" s="130" t="s">
        <v>141</v>
      </c>
      <c r="EI15" s="32">
        <v>0</v>
      </c>
      <c r="EJ15" s="32">
        <f>EJ14-(EN14-EK14)</f>
        <v>245445.13920734427</v>
      </c>
      <c r="EK15" s="32">
        <f>EJ15*InputData!$C$6</f>
        <v>15242.143144776081</v>
      </c>
      <c r="EL15" s="32">
        <f>EL14+EI15+EK15-EN15</f>
        <v>241587.47695271196</v>
      </c>
      <c r="EM15" s="32">
        <f>EM14*(1+InputData!$C$8)</f>
        <v>13462.366287716035</v>
      </c>
      <c r="EN15" s="32">
        <f t="shared" ref="EN15:EN36" si="172">MIN(0.1*($AW15-1.5*$EM15),$FD$14,EJ15+EK15)</f>
        <v>19099.805399408429</v>
      </c>
      <c r="EO15" s="32">
        <f>AW15/((1+InputData!$C$3)^(IntMed!$B15-IntMed!$B$7))</f>
        <v>180249.99999999997</v>
      </c>
      <c r="EP15" s="32">
        <f>AX15/((1+InputData!$C$3)^(IntMed!$B15-IntMed!$B$7))</f>
        <v>0</v>
      </c>
      <c r="EQ15" s="32">
        <v>41624.620000000003</v>
      </c>
      <c r="ER15" s="32">
        <v>8360.7900000000009</v>
      </c>
      <c r="ES15" s="32">
        <v>0</v>
      </c>
      <c r="ET15" s="42">
        <f t="shared" si="154"/>
        <v>0.27731156726768386</v>
      </c>
      <c r="EU15" s="32">
        <f t="shared" si="79"/>
        <v>130264.58999999997</v>
      </c>
      <c r="EV15" s="32">
        <f>EN15/((1+InputData!$C$3)^(IntMed!$B15-IntMed!$B$7))</f>
        <v>16301.499999999998</v>
      </c>
      <c r="EW15" s="32">
        <f t="shared" si="80"/>
        <v>113963.08999999997</v>
      </c>
      <c r="EX15" s="32">
        <f>EW15/((1+InputData!$C$7)^(IntMed!$B15-IntMed!$B$7))</f>
        <v>89963.515616950128</v>
      </c>
      <c r="EY15" s="5">
        <f t="shared" si="148"/>
        <v>99789.793388868056</v>
      </c>
      <c r="EZ15" s="79"/>
      <c r="FA15" s="32">
        <f>FC14</f>
        <v>229864.65892275938</v>
      </c>
      <c r="FB15" s="32">
        <f>FA15*InputData!$C$6</f>
        <v>14274.595319103359</v>
      </c>
      <c r="FC15" s="32">
        <f>FC14+$EI15+FB15-FD15</f>
        <v>210034.49453793172</v>
      </c>
      <c r="FD15" s="53">
        <f>MIN($EJ$14*InputData!$C$6/(1-(1+InputData!$C$6)^(-10)), FA15+FB15)</f>
        <v>34104.75970393102</v>
      </c>
      <c r="FE15" s="32">
        <f>FD15/((1+InputData!$C$3)^(IntMed!$B15-IntMed!$B$7))</f>
        <v>29108.084019057649</v>
      </c>
      <c r="FF15" s="5">
        <f t="shared" si="84"/>
        <v>101156.50598094231</v>
      </c>
      <c r="FG15" s="32">
        <f>FF15/((1+InputData!$C$7)^(IntMed!$B15-IntMed!$B$7))</f>
        <v>79853.879932288735</v>
      </c>
      <c r="FH15" s="5">
        <f t="shared" si="140"/>
        <v>78651.59121397305</v>
      </c>
      <c r="FI15" s="79"/>
      <c r="FJ15" s="32">
        <f>FL14</f>
        <v>244137.67014884346</v>
      </c>
      <c r="FK15" s="32">
        <f>FJ15*InputData!$C$6</f>
        <v>15160.949316243179</v>
      </c>
      <c r="FL15" s="32">
        <f>FL14+$EI15+FK15-FM15</f>
        <v>239466.8709872397</v>
      </c>
      <c r="FM15" s="53">
        <f>MIN($EJ$14*InputData!$C$6/(1-(1+InputData!$C$6)^(-25)), FJ15+FK15)</f>
        <v>19831.748477846937</v>
      </c>
      <c r="FN15" s="32">
        <f>FM15/((1+InputData!$C$3)^(IntMed!$B15-IntMed!$B$7))</f>
        <v>16926.206369706513</v>
      </c>
      <c r="FO15" s="5">
        <f t="shared" si="88"/>
        <v>113338.38363029345</v>
      </c>
      <c r="FP15" s="32">
        <f>FO15/((1+InputData!$C$7)^(IntMed!$B15-IntMed!$B$7))</f>
        <v>89470.36663996907</v>
      </c>
      <c r="FQ15" s="5">
        <f t="shared" si="141"/>
        <v>98371.158856742346</v>
      </c>
      <c r="FR15" s="79"/>
      <c r="FS15" s="32">
        <f>FU14</f>
        <v>236182.99949767123</v>
      </c>
      <c r="FT15" s="32">
        <f>FS15*InputData!$C$6</f>
        <v>14666.964268805385</v>
      </c>
      <c r="FU15" s="32">
        <f>FU14+$EI15+FT15-FV15</f>
        <v>222200.25566736396</v>
      </c>
      <c r="FV15" s="5">
        <f t="shared" ref="FV15:FV36" si="173">MIN(0.15*($AW15-1.5*$EM15),$FD$14, FS15+FT15)</f>
        <v>28649.708099112646</v>
      </c>
      <c r="FW15" s="32">
        <f>FV15/((1+InputData!$C$3)^(IntMed!$B15-IntMed!$B$7))</f>
        <v>24452.25</v>
      </c>
      <c r="FX15" s="5">
        <f t="shared" si="92"/>
        <v>105812.33999999997</v>
      </c>
      <c r="FY15" s="32">
        <f>FX15/((1+InputData!$C$7)^(IntMed!$B15-IntMed!$B$7))</f>
        <v>83529.238300365818</v>
      </c>
      <c r="FZ15" s="5">
        <f t="shared" si="142"/>
        <v>86799.355943444447</v>
      </c>
      <c r="GC15" s="3">
        <f t="shared" si="3"/>
        <v>5</v>
      </c>
      <c r="GD15" s="4" t="str">
        <f t="shared" si="4"/>
        <v>Service (O3&gt;4 = (BP+BAH+BAS+VSP+BCPSP)*12)+ASP</v>
      </c>
      <c r="GE15" s="4"/>
      <c r="GF15" s="4"/>
      <c r="GG15" s="4"/>
      <c r="GH15" s="4"/>
      <c r="GI15" s="5">
        <f t="shared" si="5"/>
        <v>83897.88</v>
      </c>
      <c r="GJ15" s="5">
        <f t="shared" si="6"/>
        <v>19939.199999999997</v>
      </c>
      <c r="GK15" s="5">
        <f t="shared" si="7"/>
        <v>103837.08</v>
      </c>
      <c r="GL15" s="5">
        <f t="shared" si="8"/>
        <v>77539.072719466712</v>
      </c>
      <c r="GM15" s="5">
        <f t="shared" si="9"/>
        <v>18427.963600128995</v>
      </c>
      <c r="GN15" s="32">
        <f>IF(GL15-InputData!$C$158-InputData!$C$159&gt;=0,GL15-InputData!$C$158-InputData!$C$159,0)</f>
        <v>77539.072719466712</v>
      </c>
      <c r="GO15" s="32">
        <f>IF(GL15-IF(GL15&lt;=InputData!$C$146,InputData!$C$145,0)-MAX(InputData!$C$144,GU15)&gt;=0,GL15-IF(GL15&lt;=InputData!$C$146,InputData!$C$145,0)-MAX(InputData!$C$144,GU15),0)</f>
        <v>67539.072719466712</v>
      </c>
      <c r="GP15" s="32">
        <f>IF(GO15&lt;0,"Error",IF(GO15&lt;=InputData!$B$170,InputData!$C$170*GO15,IF(GO15&lt;=InputData!$B$171,InputData!$D$170+InputData!$C$171*(GO15-InputData!$B$170),IF(GO15&lt;=InputData!$B$172,InputData!$D$171+InputData!$C$172*(GO15-InputData!$B$171),IF(GO15&lt;=InputData!$B$173,InputData!$D$172+InputData!$C$173*(GO15-InputData!$B$172),IF(GO15&lt;=InputData!$B$174,InputData!$D$173+InputData!$C$174*(GO15-InputData!$B$173),IF(GO15&lt;=InputData!$B$175,InputData!$D$174+InputData!$C$175*(GO15-InputData!$B$174),InputData!$D$175+InputData!$C$176*(GO15-InputData!$B$175))))))))</f>
        <v>12813.518179866678</v>
      </c>
      <c r="GQ15" s="32">
        <f>IF(GL15&lt;=InputData!$C$150,InputData!$C$152,IF(GL15&lt;InputData!$C$151,IF(InputData!$C$152-0.25*IF(GL15-InputData!$C$150&lt;=0,0,GL15-InputData!$C$150)&lt;=0,0,InputData!$C$152-0.25*IF(GL15-InputData!$C$150&lt;=0,0,GL15-InputData!$C$150)),0))</f>
        <v>51900</v>
      </c>
      <c r="GR15" s="32">
        <f>IF(GL15-GQ15&lt;=0,0,IF(GL15-GQ15&lt;=InputData!$C$153,InputData!$C$154*(GL15-GQ15),InputData!$C$155*(GL15-GQ15)-InputData!$D$154))</f>
        <v>6666.1589070613454</v>
      </c>
      <c r="GS15" s="32">
        <f t="shared" si="93"/>
        <v>12813.518179866678</v>
      </c>
      <c r="GT15" s="32">
        <f>IF(GL15&gt;=0,IF(GL15&lt;=InputData!$C$148,InputData!$C$147*GL15,InputData!$C$147*InputData!$C$148)+InputData!$C$149*GL15,0)</f>
        <v>5931.7390630392038</v>
      </c>
      <c r="GU15" s="32">
        <f>IF(GN15&lt;0,0,IF(GN15&lt;=InputData!$B$163,InputData!$C$163*GN15,IF(GN15&lt;=InputData!$B$164,InputData!$D$163+InputData!$C$164*(GN15-InputData!$B$163),IF(GN15&lt;=InputData!$B$165,InputData!$D$164+InputData!$C$165*(GN15-InputData!$B$164),InputData!$D$165+InputData!$C$166*(GN15-InputData!$B$165)))))</f>
        <v>0</v>
      </c>
      <c r="GV15" s="43">
        <f t="shared" si="10"/>
        <v>0.24175240411663779</v>
      </c>
      <c r="GW15" s="43">
        <f t="shared" si="11"/>
        <v>0.19533016712612861</v>
      </c>
      <c r="GX15" s="5">
        <f t="shared" si="12"/>
        <v>77221.779076689825</v>
      </c>
      <c r="GY15" s="32">
        <f>GX15/((1+InputData!$C$7)^(IntMed!$B15-IntMed!$B$7))</f>
        <v>60959.585493289618</v>
      </c>
      <c r="GZ15" s="32">
        <f t="shared" si="94"/>
        <v>484834.5605219836</v>
      </c>
      <c r="HB15" s="3">
        <f t="shared" si="13"/>
        <v>5</v>
      </c>
      <c r="HC15" s="4" t="str">
        <f t="shared" si="14"/>
        <v>Service (O3&gt;4 = (BP+BAH+BAS+VSP+BCPSP)*12)+ASP</v>
      </c>
      <c r="HD15" s="4"/>
      <c r="HE15" s="4"/>
      <c r="HF15" s="4"/>
      <c r="HG15" s="4"/>
      <c r="HH15" s="5">
        <f t="shared" si="15"/>
        <v>83897.88</v>
      </c>
      <c r="HI15" s="5">
        <f t="shared" si="16"/>
        <v>19939.199999999997</v>
      </c>
      <c r="HJ15" s="5">
        <f t="shared" si="17"/>
        <v>103837.08</v>
      </c>
      <c r="HK15" s="5">
        <f t="shared" si="18"/>
        <v>77539.072719466712</v>
      </c>
      <c r="HL15" s="5">
        <f t="shared" si="19"/>
        <v>18427.963600128995</v>
      </c>
      <c r="HM15" s="32">
        <f>IF(HK15-InputData!$C$158-InputData!$C$159&gt;=0,HK15-InputData!$C$158-InputData!$C$159,0)</f>
        <v>77539.072719466712</v>
      </c>
      <c r="HN15" s="32">
        <f>IF(HK15-IF(HK15&lt;=InputData!$C$146,InputData!$C$145,0)-MAX(InputData!$C$144,HT15)&gt;=0,HK15-IF(HK15&lt;=InputData!$C$146,InputData!$C$145,0)-MAX(InputData!$C$144,HT15),0)</f>
        <v>67539.072719466712</v>
      </c>
      <c r="HO15" s="32">
        <f>IF(HN15&lt;0,"Error",IF(HN15&lt;=InputData!$B$170,InputData!$C$170*HN15,IF(HN15&lt;=InputData!$B$171,InputData!$D$170+InputData!$C$171*(HN15-InputData!$B$170),IF(HN15&lt;=InputData!$B$172,InputData!$D$171+InputData!$C$172*(HN15-InputData!$B$171),IF(HN15&lt;=InputData!$B$173,InputData!$D$172+InputData!$C$173*(HN15-InputData!$B$172),IF(HN15&lt;=InputData!$B$174,InputData!$D$173+InputData!$C$174*(HN15-InputData!$B$173),IF(HN15&lt;=InputData!$B$175,InputData!$D$174+InputData!$C$175*(HN15-InputData!$B$174),InputData!$D$175+InputData!$C$176*(HN15-InputData!$B$175))))))))</f>
        <v>12813.518179866678</v>
      </c>
      <c r="HP15" s="32">
        <f>IF(HK15&lt;=InputData!$C$150,InputData!$C$152,IF(HK15&lt;InputData!$C$151,IF(InputData!$C$152-0.25*IF(HK15-InputData!$C$150&lt;=0,0,HK15-InputData!$C$150)&lt;=0,0,InputData!$C$152-0.25*IF(HK15-InputData!$C$150&lt;=0,0,HK15-InputData!$C$150)),0))</f>
        <v>51900</v>
      </c>
      <c r="HQ15" s="32">
        <f>IF(HK15-HP15&lt;=0,0,IF(HK15-HP15&lt;=InputData!$C$153,InputData!$C$154*(HK15-HP15),InputData!$C$155*(HK15-HP15)-InputData!$D$154))</f>
        <v>6666.1589070613454</v>
      </c>
      <c r="HR15" s="32">
        <f t="shared" si="95"/>
        <v>12813.518179866678</v>
      </c>
      <c r="HS15" s="32">
        <f>IF(HK15&gt;=0,IF(HK15&lt;=InputData!$C$148,InputData!$C$147*HK15,InputData!$C$147*InputData!$C$148)+InputData!$C$149*HK15,0)</f>
        <v>5931.7390630392038</v>
      </c>
      <c r="HT15" s="32">
        <f>IF(HM15&lt;0,0,IF(HM15&lt;=InputData!$B$163,InputData!$C$163*HM15,IF(HM15&lt;=InputData!$B$164,InputData!$D$163+InputData!$C$164*(HM15-InputData!$B$163),IF(HM15&lt;=InputData!$B$165,InputData!$D$164+InputData!$C$165*(HM15-InputData!$B$164),InputData!$D$165+InputData!$C$166*(HM15-InputData!$B$165)))))</f>
        <v>0</v>
      </c>
      <c r="HU15" s="43">
        <f t="shared" si="96"/>
        <v>0.24175240411663779</v>
      </c>
      <c r="HV15" s="43">
        <f t="shared" si="97"/>
        <v>0.19533016712612861</v>
      </c>
      <c r="HW15" s="5">
        <f t="shared" si="98"/>
        <v>77221.779076689825</v>
      </c>
      <c r="HX15" s="32">
        <f>HW15/((1+InputData!$C$7)^(IntMed!$B15-IntMed!$B$7))</f>
        <v>60959.585493289618</v>
      </c>
      <c r="HY15" s="32">
        <f t="shared" si="99"/>
        <v>392710.83821131039</v>
      </c>
      <c r="IA15" s="3">
        <f t="shared" si="20"/>
        <v>5</v>
      </c>
      <c r="IB15" s="4" t="str">
        <f t="shared" si="21"/>
        <v>Service (O3&gt;4 = (BP+BAH+BAS+VSP+BCPSP)*12)+ASP</v>
      </c>
      <c r="IC15" s="5">
        <f t="shared" si="22"/>
        <v>83897.88</v>
      </c>
      <c r="ID15" s="5">
        <f t="shared" si="23"/>
        <v>19939.199999999997</v>
      </c>
      <c r="IE15" s="5">
        <f t="shared" si="24"/>
        <v>103837.08</v>
      </c>
      <c r="IF15" s="5">
        <f t="shared" si="25"/>
        <v>77539.072719466712</v>
      </c>
      <c r="IG15" s="5">
        <f t="shared" si="26"/>
        <v>18427.963600128995</v>
      </c>
      <c r="IH15" s="32">
        <f>IF(IF15-InputData!$C$158-InputData!$C$159&gt;=0,IF15-InputData!$C$158-InputData!$C$159,0)</f>
        <v>77539.072719466712</v>
      </c>
      <c r="II15" s="32">
        <f>IF(IF15-IF(IF15&lt;=InputData!$C$146,InputData!$C$145,0)-MAX(InputData!$C$144,IO15)&gt;=0,IF15-IF(IF15&lt;=InputData!$C$146,InputData!$C$145,0)-MAX(InputData!$C$144,IO15),0)</f>
        <v>67539.072719466712</v>
      </c>
      <c r="IJ15" s="32">
        <f>IF(II15&lt;0,"Error",IF(II15&lt;=InputData!$B$170,InputData!$C$170*II15,IF(II15&lt;=InputData!$B$171,InputData!$D$170+InputData!$C$171*(II15-InputData!$B$170),IF(II15&lt;=InputData!$B$172,InputData!$D$171+InputData!$C$172*(II15-InputData!$B$171),IF(II15&lt;=InputData!$B$173,InputData!$D$172+InputData!$C$173*(II15-InputData!$B$172),IF(II15&lt;=InputData!$B$174,InputData!$D$173+InputData!$C$174*(II15-InputData!$B$173),IF(II15&lt;=InputData!$B$175,InputData!$D$174+InputData!$C$175*(II15-InputData!$B$174),InputData!$D$175+InputData!$C$176*(II15-InputData!$B$175))))))))</f>
        <v>12813.518179866678</v>
      </c>
      <c r="IK15" s="32">
        <f>IF(IF15&lt;=InputData!$C$150,InputData!$C$152,IF(IF15&lt;InputData!$C$151,IF(InputData!$C$152-0.25*IF(IF15-InputData!$C$150&lt;=0,0,IF15-InputData!$C$150)&lt;=0,0,InputData!$C$152-0.25*IF(IF15-InputData!$C$150&lt;=0,0,IF15-InputData!$C$150)),0))</f>
        <v>51900</v>
      </c>
      <c r="IL15" s="32">
        <f>IF(IF15-IK15&lt;=0,0,IF(IF15-IK15&lt;=InputData!$C$153,InputData!$C$154*(IF15-IK15),InputData!$C$155*(IF15-IK15)-InputData!$D$154))</f>
        <v>6666.1589070613454</v>
      </c>
      <c r="IM15" s="32">
        <f t="shared" si="100"/>
        <v>12813.518179866678</v>
      </c>
      <c r="IN15" s="32">
        <f>IF(IF15&gt;=0,IF(IF15&lt;=InputData!$C$148,InputData!$C$147*IF15,InputData!$C$147*InputData!$C$148)+InputData!$C$149*IF15,0)</f>
        <v>5931.7390630392038</v>
      </c>
      <c r="IO15" s="32">
        <f>IF(IH15&lt;0,0,IF(IH15&lt;=InputData!$B$163,InputData!$C$163*IH15,IF(IH15&lt;=InputData!$B$164,InputData!$D$163+InputData!$C$164*(IH15-InputData!$B$163),IF(IH15&lt;=InputData!$B$165,InputData!$D$164+InputData!$C$165*(IH15-InputData!$B$164),InputData!$D$165+InputData!$C$166*(IH15-InputData!$B$165)))))</f>
        <v>0</v>
      </c>
      <c r="IP15" s="43">
        <f t="shared" si="101"/>
        <v>0.24175240411663779</v>
      </c>
      <c r="IQ15" s="43">
        <f t="shared" si="102"/>
        <v>0.19533016712612861</v>
      </c>
      <c r="IR15" s="5">
        <f t="shared" si="27"/>
        <v>77221.779076689825</v>
      </c>
      <c r="IS15" s="32">
        <f>IR15/((1+InputData!$C$7)^(IntMed!$B15-IntMed!$B$7))</f>
        <v>60959.585493289618</v>
      </c>
      <c r="IT15" s="5">
        <f t="shared" si="103"/>
        <v>484834.5605219836</v>
      </c>
      <c r="IV15" s="41">
        <f t="shared" si="28"/>
        <v>5</v>
      </c>
      <c r="IW15" s="49" t="str">
        <f t="shared" si="29"/>
        <v>Service (O3&gt;4 = (BP+BAH+BAS+VSP+BCPSP)*12)+ASP</v>
      </c>
      <c r="IX15" s="32">
        <f t="shared" si="30"/>
        <v>83897.88</v>
      </c>
      <c r="IY15" s="32">
        <f t="shared" si="31"/>
        <v>19939.199999999997</v>
      </c>
      <c r="IZ15" s="32">
        <f t="shared" si="32"/>
        <v>103837.08</v>
      </c>
      <c r="JA15" s="32">
        <f t="shared" si="33"/>
        <v>77539.072719466712</v>
      </c>
      <c r="JB15" s="32">
        <f t="shared" si="34"/>
        <v>18427.963600128995</v>
      </c>
      <c r="JC15" s="32">
        <f>IF(JA15-InputData!$C$158-InputData!$C$159&gt;=0,JA15-InputData!$C$158-InputData!$C$159,0)</f>
        <v>77539.072719466712</v>
      </c>
      <c r="JD15" s="32">
        <f>IF(JA15-IF(JA15&lt;=InputData!$C$146,InputData!$C$145,0)-MAX(InputData!$C$144,JJ15)&gt;=0,JA15-IF(JA15&lt;=InputData!$C$146,InputData!$C$145,0)-MAX(InputData!$C$144,JJ15),0)</f>
        <v>67539.072719466712</v>
      </c>
      <c r="JE15" s="32">
        <f>IF(JD15&lt;0,"Error",IF(JD15&lt;=InputData!$B$170,InputData!$C$170*JD15,IF(JD15&lt;=InputData!$B$171,InputData!$D$170+InputData!$C$171*(JD15-InputData!$B$170),IF(JD15&lt;=InputData!$B$172,InputData!$D$171+InputData!$C$172*(JD15-InputData!$B$171),IF(JD15&lt;=InputData!$B$173,InputData!$D$172+InputData!$C$173*(JD15-InputData!$B$172),IF(JD15&lt;=InputData!$B$174,InputData!$D$173+InputData!$C$174*(JD15-InputData!$B$173),IF(JD15&lt;=InputData!$B$175,InputData!$D$174+InputData!$C$175*(JD15-InputData!$B$174),InputData!$D$175+InputData!$C$176*(JD15-InputData!$B$175))))))))</f>
        <v>12813.518179866678</v>
      </c>
      <c r="JF15" s="32">
        <f>IF(JA15&lt;=InputData!$C$150,InputData!$C$152,IF(JA15&lt;InputData!$C$151,IF(InputData!$C$152-0.25*IF(JA15-InputData!$C$150&lt;=0,0,JA15-InputData!$C$150)&lt;=0,0,InputData!$C$152-0.25*IF(JA15-InputData!$C$150&lt;=0,0,JA15-InputData!$C$150)),0))</f>
        <v>51900</v>
      </c>
      <c r="JG15" s="32">
        <f>IF(JA15-JF15&lt;=0,0,IF(JA15-JF15&lt;=InputData!$C$153,InputData!$C$154*(JA15-JF15),InputData!$C$155*(JA15-JF15)-InputData!$D$154))</f>
        <v>6666.1589070613454</v>
      </c>
      <c r="JH15" s="32">
        <f t="shared" si="104"/>
        <v>12813.518179866678</v>
      </c>
      <c r="JI15" s="32">
        <f>IF(JA15&gt;=0,IF(JA15&lt;=InputData!$C$148,InputData!$C$147*JA15,InputData!$C$147*InputData!$C$148)+InputData!$C$149*JA15,0)</f>
        <v>5931.7390630392038</v>
      </c>
      <c r="JJ15" s="32">
        <f>IF(JC15&lt;0,0,IF(JC15&lt;=InputData!$B$163,InputData!$C$163*JC15,IF(JC15&lt;=InputData!$B$164,InputData!$D$163+InputData!$C$164*(JC15-InputData!$B$163),IF(JC15&lt;=InputData!$B$165,InputData!$D$164+InputData!$C$165*(JC15-InputData!$B$164),InputData!$D$165+InputData!$C$166*(JC15-InputData!$B$165)))))</f>
        <v>0</v>
      </c>
      <c r="JK15" s="42">
        <f t="shared" si="105"/>
        <v>0.24175240411663779</v>
      </c>
      <c r="JL15" s="42">
        <f t="shared" si="106"/>
        <v>0.19533016712612861</v>
      </c>
      <c r="JM15" s="32">
        <f t="shared" si="35"/>
        <v>77221.779076689825</v>
      </c>
      <c r="JN15" s="32">
        <f>JM15/((1+InputData!$C$7)^(IntMed!$B15-IntMed!$B$7))</f>
        <v>60959.585493289618</v>
      </c>
      <c r="JO15" s="32">
        <f t="shared" si="107"/>
        <v>392710.83821131039</v>
      </c>
      <c r="JQ15" s="41" t="s">
        <v>242</v>
      </c>
      <c r="JR15" s="32">
        <f>$JR$14*(1+InputData!$C$3+InputData!$C$4)^(IntMed!$B15-IntMed!$B$14)</f>
        <v>165640.47327502616</v>
      </c>
      <c r="JS15" s="32">
        <v>0</v>
      </c>
      <c r="JT15" s="32">
        <f t="shared" si="108"/>
        <v>165640.47327502616</v>
      </c>
      <c r="JU15" s="5">
        <f>JR15*(1/(1+InputData!$C$3))^(IntMed!$B15-IntMed!$B$7)</f>
        <v>141372.54901960777</v>
      </c>
      <c r="JV15" s="5">
        <f>JS15*(1/(1+InputData!$C$3))^(IntMed!$B15-IntMed!$B$7)</f>
        <v>0</v>
      </c>
      <c r="JW15" s="32">
        <f>IF(JU15-InputData!$C$158-InputData!$C$159&gt;=0,JU15-InputData!$C$158-InputData!$C$159,0)</f>
        <v>141372.54901960777</v>
      </c>
      <c r="JX15" s="32">
        <f>IF(JU15-IF(JU15&lt;=InputData!$C$146,InputData!$C$145,0)-MAX(InputData!$C$144,KD15)&gt;=0,JU15-IF(JU15&lt;=InputData!$C$146,InputData!$C$145,0)-MAX(InputData!$C$144,KD15),0)</f>
        <v>131372.54901960777</v>
      </c>
      <c r="JY15" s="32">
        <f>IF(JX15&lt;0,"Error",IF(JX15&lt;=InputData!$B$170,InputData!$C$170*JX15,IF(JX15&lt;=InputData!$B$171,InputData!$D$170+InputData!$C$171*(JX15-InputData!$B$170),IF(JX15&lt;=InputData!$B$172,InputData!$D$171+InputData!$C$172*(JX15-InputData!$B$171),IF(JX15&lt;=InputData!$B$173,InputData!$D$172+InputData!$C$173*(JX15-InputData!$B$172),IF(JX15&lt;=InputData!$B$174,InputData!$D$173+InputData!$C$174*(JX15-InputData!$B$173),IF(JX15&lt;=InputData!$B$175,InputData!$D$174+InputData!$C$175*(JX15-InputData!$B$174),InputData!$D$175+InputData!$C$176*(JX15-InputData!$B$175))))))))</f>
        <v>30077.563725490178</v>
      </c>
      <c r="JZ15" s="32">
        <f>IF(JU15&lt;=InputData!$C$150,InputData!$C$152,IF(JU15&lt;InputData!$C$151,IF(InputData!$C$152-0.25*IF(JU15-InputData!$C$150&lt;=0,0,JU15-InputData!$C$150)&lt;=0,0,InputData!$C$152-0.25*IF(JU15-InputData!$C$150&lt;=0,0,JU15-InputData!$C$150)),0))</f>
        <v>45406.862745098057</v>
      </c>
      <c r="KA15" s="32">
        <f>IF(JU15-JZ15&lt;=0,0,IF(JU15-JZ15&lt;=InputData!$C$153,InputData!$C$154*(JU15-JZ15),InputData!$C$155*(JU15-JZ15)-InputData!$D$154))</f>
        <v>24951.078431372527</v>
      </c>
      <c r="KB15" s="32">
        <f t="shared" si="109"/>
        <v>30077.563725490178</v>
      </c>
      <c r="KC15" s="32">
        <f>IF(JU15&gt;=0,IF(JU15&lt;=InputData!$C$148,InputData!$C$147*JU15,InputData!$C$147*InputData!$C$148)+InputData!$C$149*JU15,0)</f>
        <v>9099.3019607843125</v>
      </c>
      <c r="KD15" s="32">
        <f>IF(JW15&lt;0,0,IF(JW15&lt;=InputData!$B$163,InputData!$C$163*JW15,IF(JW15&lt;=InputData!$B$164,InputData!$D$163+InputData!$C$164*(JW15-InputData!$B$163),IF(JW15&lt;=InputData!$B$165,InputData!$D$164+InputData!$C$165*(JW15-InputData!$B$164),InputData!$D$165+InputData!$C$166*(JW15-InputData!$B$165)))))</f>
        <v>0</v>
      </c>
      <c r="KE15" s="43">
        <f t="shared" si="110"/>
        <v>0.27711791262135921</v>
      </c>
      <c r="KF15" s="43">
        <f t="shared" si="111"/>
        <v>0.27711791262135921</v>
      </c>
      <c r="KG15" s="5">
        <f t="shared" si="112"/>
        <v>102195.68333333328</v>
      </c>
      <c r="KH15" s="32">
        <f>KG15/((1+InputData!$C$7)^(IntMed!$B15-IntMed!$B$7))</f>
        <v>80674.216130356072</v>
      </c>
      <c r="KI15" s="5">
        <f t="shared" si="143"/>
        <v>322160.04281040467</v>
      </c>
      <c r="KK15" s="149">
        <v>1</v>
      </c>
      <c r="KL15" s="145" t="s">
        <v>375</v>
      </c>
      <c r="KM15">
        <v>30</v>
      </c>
      <c r="KN15" s="41" t="s">
        <v>367</v>
      </c>
      <c r="KO15" s="5">
        <f>InputData!$C126*(1+InputData!$C$5)^(IntMed!$B15-IntMed!$B$7)</f>
        <v>198089.32940057153</v>
      </c>
      <c r="KP15" s="5">
        <v>0</v>
      </c>
      <c r="KQ15" s="5">
        <f t="shared" si="169"/>
        <v>198089.32940057153</v>
      </c>
      <c r="KR15" s="32">
        <f>KR14*(1+InputData!$C$8)</f>
        <v>13462.366287716035</v>
      </c>
      <c r="KS15" s="5">
        <f>KO15*(1/(1+InputData!$C$3))^(IntMed!$B15-IntMed!$B$7)</f>
        <v>169067.33527889402</v>
      </c>
      <c r="KT15" s="5">
        <f>KP15*(1/(1+InputData!$C$3))^(IntMed!$B15-IntMed!$B$7)</f>
        <v>0</v>
      </c>
      <c r="KU15" s="32" t="s">
        <v>141</v>
      </c>
      <c r="KV15" s="32">
        <v>0</v>
      </c>
      <c r="KW15" s="133">
        <f t="shared" si="165"/>
        <v>212416.20000000004</v>
      </c>
      <c r="KX15" s="5">
        <f>KW15*InputData!$C$6</f>
        <v>13191.046020000003</v>
      </c>
      <c r="KY15" s="133">
        <f t="shared" si="166"/>
        <v>12769.009908390824</v>
      </c>
      <c r="KZ15" s="118">
        <f t="shared" si="155"/>
        <v>17789.577996899749</v>
      </c>
      <c r="LA15" s="32">
        <f t="shared" si="167"/>
        <v>225185.20990839085</v>
      </c>
      <c r="LB15" s="32">
        <f>KZ15/((1+InputData!$C$3)^(IntMed!$B15-IntMed!$B$7))</f>
        <v>15183.233527889408</v>
      </c>
      <c r="LC15" s="32">
        <f>IF(KS15-InputData!$C$158-InputData!$C$159&gt;=0,KS15-InputData!$C$158-InputData!$C$159,0)</f>
        <v>169067.33527889402</v>
      </c>
      <c r="LD15" s="32">
        <f>IF(KS15-IF(KS15&lt;=InputData!$C$146,InputData!$C$145,0)-MAX(InputData!$C$144,LJ15)&gt;=0,KS15-IF(KS15&lt;=InputData!$C$146,InputData!$C$145,0)-MAX(InputData!$C$144,LJ15),0)</f>
        <v>162967.33527889402</v>
      </c>
      <c r="LE15" s="32">
        <f>IF(LD15&lt;0,"Error",IF(LD15&lt;=InputData!$B$170,InputData!$C$170*LD15,IF(LD15&lt;=InputData!$B$171,InputData!$D$170+InputData!$C$171*(LD15-InputData!$B$170),IF(LD15&lt;=InputData!$B$172,InputData!$D$171+InputData!$C$172*(LD15-InputData!$B$171),IF(LD15&lt;=InputData!$B$173,InputData!$D$172+InputData!$C$173*(LD15-InputData!$B$172),IF(LD15&lt;=InputData!$B$174,InputData!$D$173+InputData!$C$174*(LD15-InputData!$B$173),IF(LD15&lt;=InputData!$B$175,InputData!$D$174+InputData!$C$175*(LD15-InputData!$B$174),InputData!$D$175+InputData!$C$176*(LD15-InputData!$B$175))))))))</f>
        <v>38924.103878090333</v>
      </c>
      <c r="LF15" s="32">
        <f>IF(KS15&lt;=InputData!$C$150,InputData!$C$152,IF(KS15&lt;InputData!$C$151,IF(InputData!$C$152-0.25*IF(KS15-InputData!$C$150&lt;=0,0,KS15-InputData!$C$150)&lt;=0,0,InputData!$C$152-0.25*IF(KS15-InputData!$C$150&lt;=0,0,KS15-InputData!$C$150)),0))</f>
        <v>38483.166180276494</v>
      </c>
      <c r="LG15" s="32">
        <f>IF(KS15-LF15&lt;=0,0,IF(KS15-LF15&lt;=InputData!$C$153,InputData!$C$154*(KS15-LF15),InputData!$C$155*(KS15-LF15)-InputData!$D$154))</f>
        <v>33951.883965640562</v>
      </c>
      <c r="LH15" s="32">
        <f t="shared" si="118"/>
        <v>38924.103878090333</v>
      </c>
      <c r="LI15" s="32">
        <f>IF(KS15&gt;=0,IF(KS15&lt;=InputData!$C$148,InputData!$C$147*KS15,InputData!$C$147*InputData!$C$148)+InputData!$C$149*KS15,0)</f>
        <v>9500.8763615439639</v>
      </c>
      <c r="LJ15" s="32">
        <f>IF(LC15&lt;0,0,IF(LC15&lt;=InputData!$B$163,InputData!$C$163*LC15,IF(LC15&lt;=InputData!$B$164,InputData!$D$163+InputData!$C$164*(LC15-InputData!$B$163),IF(LC15&lt;=InputData!$B$165,InputData!$D$164+InputData!$C$165*(LC15-InputData!$B$164),InputData!$D$165+InputData!$C$166*(LC15-InputData!$B$165)))))</f>
        <v>0</v>
      </c>
      <c r="LK15" s="43">
        <f t="shared" si="156"/>
        <v>0.28642422357785607</v>
      </c>
      <c r="LL15" s="32">
        <f t="shared" si="119"/>
        <v>120642.35503925972</v>
      </c>
      <c r="LM15" s="5">
        <f t="shared" si="120"/>
        <v>105459.12151137032</v>
      </c>
      <c r="LN15" s="32">
        <f>LM15/((1+InputData!$C$7)^(IntMed!$B15-IntMed!$B$7))</f>
        <v>83250.404363711161</v>
      </c>
      <c r="LO15" s="5">
        <f t="shared" si="145"/>
        <v>76047.069009965111</v>
      </c>
      <c r="LQ15" s="157" t="str">
        <f t="shared" si="37"/>
        <v>Private Practice</v>
      </c>
      <c r="LR15" s="32">
        <f t="shared" si="121"/>
        <v>211191.60342565834</v>
      </c>
      <c r="LS15" s="32">
        <v>0</v>
      </c>
      <c r="LT15" s="32">
        <f t="shared" si="123"/>
        <v>211191.60342565834</v>
      </c>
      <c r="LU15" s="32">
        <f>LU14*(1+InputData!$C$8)</f>
        <v>13462.366287716035</v>
      </c>
      <c r="LV15" s="32">
        <f>LR15/((1+InputData!$C$3)^(IntMed!$B15-IntMed!$B$7))</f>
        <v>180249.99999999997</v>
      </c>
      <c r="LW15" s="32">
        <f>LS15/((1+InputData!$C$3)^(IntMed!$B15-IntMed!$B$7))</f>
        <v>0</v>
      </c>
      <c r="LX15" s="32" t="s">
        <v>141</v>
      </c>
      <c r="LY15" s="32">
        <v>0</v>
      </c>
      <c r="LZ15" s="32">
        <f>MC14+LY15</f>
        <v>0</v>
      </c>
      <c r="MA15" s="32">
        <f>(LZ15)*InputData!$C$6</f>
        <v>0</v>
      </c>
      <c r="MB15" s="32">
        <f>MIN($BE$14*InputData!$C$6/(1-(1+InputData!$C$6)^(-10)), LZ15+MA15)</f>
        <v>0</v>
      </c>
      <c r="MC15" s="32">
        <f t="shared" si="168"/>
        <v>0</v>
      </c>
      <c r="MD15" s="32">
        <f>MB15/((1+InputData!$C$3)^(IntMed!$B15-IntMed!$B$7))</f>
        <v>0</v>
      </c>
      <c r="ME15" s="32">
        <f>IF(LV15-InputData!$C$158-InputData!$C$159&gt;=0,LV15-InputData!$C$158-InputData!$C$159,0)</f>
        <v>180249.99999999997</v>
      </c>
      <c r="MF15" s="32">
        <f>IF(LV15-IF(LV15&lt;=InputData!$C$146,InputData!$C$145,0)-MAX(InputData!$C$144,ML15)&gt;=0,LV15-IF(LV15&lt;=InputData!$C$146,InputData!$C$145,0)-MAX(InputData!$C$144,ML15),0)</f>
        <v>174149.99999999997</v>
      </c>
      <c r="MG15" s="32">
        <f>IF(MF15&lt;0,"Error",IF(MF15&lt;=InputData!$B$170,InputData!$C$170*MF15,IF(MF15&lt;=InputData!$B$171,InputData!$D$170+InputData!$C$171*(MF15-InputData!$B$170),IF(MF15&lt;=InputData!$B$172,InputData!$D$171+InputData!$C$172*(MF15-InputData!$B$171),IF(MF15&lt;=InputData!$B$173,InputData!$D$172+InputData!$C$173*(MF15-InputData!$B$172),IF(MF15&lt;=InputData!$B$174,InputData!$D$173+InputData!$C$174*(MF15-InputData!$B$173),IF(MF15&lt;=InputData!$B$175,InputData!$D$174+InputData!$C$175*(MF15-InputData!$B$174),InputData!$D$175+InputData!$C$176*(MF15-InputData!$B$175))))))))</f>
        <v>42055.249999999993</v>
      </c>
      <c r="MH15" s="32">
        <f>IF(LV15&lt;=InputData!$C$150,InputData!$C$152,IF(LV15&lt;InputData!$C$151,IF(InputData!$C$152-0.25*IF(LV15-InputData!$C$150&lt;=0,0,LV15-InputData!$C$150)&lt;=0,0,InputData!$C$152-0.25*IF(LV15-InputData!$C$150&lt;=0,0,LV15-InputData!$C$150)),0))</f>
        <v>35687.500000000007</v>
      </c>
      <c r="MI15" s="32">
        <f>IF(LV15-MH15&lt;=0,0,IF(LV15-MH15&lt;=InputData!$C$153,InputData!$C$154*(LV15-MH15),InputData!$C$155*(LV15-MH15)-InputData!$D$154))</f>
        <v>37586.249999999993</v>
      </c>
      <c r="MJ15" s="32">
        <f t="shared" si="124"/>
        <v>42055.249999999993</v>
      </c>
      <c r="MK15" s="32">
        <f>IF(LV15&gt;=0,IF(LV15&lt;=InputData!$C$148,InputData!$C$147*LV15,InputData!$C$147*InputData!$C$148)+InputData!$C$149*LV15,0)</f>
        <v>9663.0249999999996</v>
      </c>
      <c r="ML15" s="32">
        <f>IF(ME15&lt;0,0,IF(ME15&lt;=InputData!$B$163,InputData!$C$163*ME15,IF(ME15&lt;=InputData!$B$164,InputData!$D$163+InputData!$C$164*(ME15-InputData!$B$163),IF(ME15&lt;=InputData!$B$165,InputData!$D$164+InputData!$C$165*(ME15-InputData!$B$164),InputData!$D$165+InputData!$C$166*(ME15-InputData!$B$165)))))</f>
        <v>0</v>
      </c>
      <c r="MM15" s="43">
        <f t="shared" si="38"/>
        <v>0.2869252427184466</v>
      </c>
      <c r="MN15" s="32">
        <f t="shared" si="125"/>
        <v>128531.72499999998</v>
      </c>
      <c r="MO15" s="32">
        <f t="shared" si="126"/>
        <v>128531.72499999998</v>
      </c>
      <c r="MP15" s="32">
        <f>MO15/((1+InputData!$C$7)^(IntMed!$B15-IntMed!$B$7))</f>
        <v>101464.13061729934</v>
      </c>
      <c r="MQ15" s="5">
        <f t="shared" si="147"/>
        <v>312931.04739795218</v>
      </c>
    </row>
    <row r="16" spans="1:355" ht="14.45" x14ac:dyDescent="0.3">
      <c r="A16" s="53">
        <v>2022</v>
      </c>
      <c r="B16" s="51">
        <v>10</v>
      </c>
      <c r="C16" s="4"/>
      <c r="D16" s="3">
        <v>6</v>
      </c>
      <c r="E16" s="4" t="s">
        <v>19</v>
      </c>
      <c r="F16" s="5">
        <f>InputData!$F$24*12</f>
        <v>61398</v>
      </c>
      <c r="G16" s="5">
        <f>(InputData!$F$24+InputData!$D$45+InputData!$C$50)*12+InputData!$J$50</f>
        <v>83897.88</v>
      </c>
      <c r="H16" s="5">
        <f>(InputData!$C$35+InputData!$C$40)*12</f>
        <v>19939.199999999997</v>
      </c>
      <c r="I16" s="5">
        <f t="shared" si="39"/>
        <v>103837.08</v>
      </c>
      <c r="J16" s="5">
        <f>G16*((1+InputData!$C$5)/(1+InputData!$C$3))^(IntMed!$B16-IntMed!$B$7)</f>
        <v>76778.885732020964</v>
      </c>
      <c r="K16" s="5">
        <f>H16*((1+InputData!$C$5)/(1+InputData!$C$3))^(IntMed!$B16-IntMed!$B$7)</f>
        <v>18247.297290323808</v>
      </c>
      <c r="L16" s="32">
        <f>IF(J16-InputData!$C$158-InputData!$C$159&gt;=0,J16-InputData!$C$158-InputData!$C$159,0)</f>
        <v>76778.885732020964</v>
      </c>
      <c r="M16" s="32">
        <f>IF(J16-IF(J16&lt;=InputData!$C$146,InputData!$C$145,0)-MAX(InputData!$C$144,S16)&gt;=0,J16-IF(J16&lt;=InputData!$C$146,InputData!$C$145,0)-MAX(InputData!$C$144,S16),0)</f>
        <v>66778.885732020964</v>
      </c>
      <c r="N16" s="32">
        <f>IF(M16&lt;0,"Error",IF(M16&lt;=InputData!$B$170,InputData!$C$170*M16,IF(M16&lt;=InputData!$B$171,InputData!$D$170+InputData!$C$171*(M16-InputData!$B$170),IF(M16&lt;=InputData!$B$172,InputData!$D$171+InputData!$C$172*(M16-InputData!$B$171),IF(M16&lt;=InputData!$B$173,InputData!$D$172+InputData!$C$173*(M16-InputData!$B$172),IF(M16&lt;=InputData!$B$174,InputData!$D$173+InputData!$C$174*(M16-InputData!$B$173),IF(M16&lt;=InputData!$B$175,InputData!$D$174+InputData!$C$175*(M16-InputData!$B$174),InputData!$D$175+InputData!$C$176*(M16-InputData!$B$175))))))))</f>
        <v>12623.471433005241</v>
      </c>
      <c r="O16" s="32">
        <f>IF(J16&lt;=InputData!$C$150,InputData!$C$152,IF(J16&lt;InputData!$C$151,IF(InputData!$C$152-0.25*IF(J16-InputData!$C$150&lt;=0,0,J16-InputData!$C$150)&lt;=0,0,InputData!$C$152-0.25*IF(J16-InputData!$C$150&lt;=0,0,J16-InputData!$C$150)),0))</f>
        <v>51900</v>
      </c>
      <c r="P16" s="32">
        <f>IF(J16-O16&lt;=0,0,IF(J16-O16&lt;=InputData!$C$153,InputData!$C$154*(J16-O16),InputData!$C$155*(J16-O16)-InputData!$D$154))</f>
        <v>6468.510290325451</v>
      </c>
      <c r="Q16" s="32">
        <f t="shared" si="40"/>
        <v>12623.471433005241</v>
      </c>
      <c r="R16" s="32">
        <f>IF(J16&gt;=0,IF(J16&lt;=InputData!$C$148,InputData!$C$147*J16,InputData!$C$147*InputData!$C$148)+InputData!$C$149*J16,0)</f>
        <v>5873.5847584996036</v>
      </c>
      <c r="S16" s="32">
        <f>IF(L16&lt;0,0,IF(L16&lt;=InputData!$B$163,InputData!$C$163*L16,IF(L16&lt;=InputData!$B$164,InputData!$D$163+InputData!$C$164*(L16-InputData!$B$163),IF(L16&lt;=InputData!$B$165,InputData!$D$164+InputData!$C$165*(L16-InputData!$B$164),InputData!$D$165+InputData!$C$166*(L16-InputData!$B$165)))))</f>
        <v>0</v>
      </c>
      <c r="T16" s="43">
        <f t="shared" si="41"/>
        <v>0.24091331900888174</v>
      </c>
      <c r="U16" s="43">
        <f t="shared" si="42"/>
        <v>0.19465220640457995</v>
      </c>
      <c r="V16" s="5">
        <f t="shared" si="43"/>
        <v>76529.12683083993</v>
      </c>
      <c r="W16" s="32">
        <f>V16/((1+InputData!$C$7)^(IntMed!$B16-IntMed!$B$7))</f>
        <v>58653.20331480333</v>
      </c>
      <c r="X16" s="5">
        <f t="shared" si="127"/>
        <v>543487.76383678697</v>
      </c>
      <c r="Y16" s="53"/>
      <c r="Z16" s="3">
        <v>6</v>
      </c>
      <c r="AA16" s="4" t="s">
        <v>19</v>
      </c>
      <c r="AB16" s="5">
        <f t="shared" si="149"/>
        <v>61398</v>
      </c>
      <c r="AC16" s="5">
        <f t="shared" si="149"/>
        <v>83897.88</v>
      </c>
      <c r="AD16" s="5">
        <f t="shared" si="149"/>
        <v>19939.199999999997</v>
      </c>
      <c r="AE16" s="5">
        <f t="shared" si="44"/>
        <v>103837.08</v>
      </c>
      <c r="AF16" s="5">
        <f>AC16*((1+InputData!$C$5)/(1+InputData!$C$3))^(IntMed!$B16-IntMed!$B$7)</f>
        <v>76778.885732020964</v>
      </c>
      <c r="AG16" s="5">
        <f>AD16*((1+InputData!$C$5)/(1+InputData!$C$3))^(IntMed!$B16-IntMed!$B$7)</f>
        <v>18247.297290323808</v>
      </c>
      <c r="AH16" s="32">
        <f>IF(AF16-InputData!$C$158-InputData!$C$159&gt;=0,AF16-InputData!$C$158-InputData!$C$159,0)</f>
        <v>76778.885732020964</v>
      </c>
      <c r="AI16" s="32">
        <f>IF(AF16-IF(AF16&lt;=InputData!$C$146,InputData!$C$145,0)-MAX(InputData!$C$144,AO16)&gt;=0,AF16-IF(AF16&lt;=InputData!$C$146,InputData!$C$145,0)-MAX(InputData!$C$144,AO16),0)</f>
        <v>66778.885732020964</v>
      </c>
      <c r="AJ16" s="32">
        <f>IF(AI16&lt;0,"Error",IF(AI16&lt;=InputData!$B$170,InputData!$C$170*AI16,IF(AI16&lt;=InputData!$B$171,InputData!$D$170+InputData!$C$171*(AI16-InputData!$B$170),IF(AI16&lt;=InputData!$B$172,InputData!$D$171+InputData!$C$172*(AI16-InputData!$B$171),IF(AI16&lt;=InputData!$B$173,InputData!$D$172+InputData!$C$173*(AI16-InputData!$B$172),IF(AI16&lt;=InputData!$B$174,InputData!$D$173+InputData!$C$174*(AI16-InputData!$B$173),IF(AI16&lt;=InputData!$B$175,InputData!$D$174+InputData!$C$175*(AI16-InputData!$B$174),InputData!$D$175+InputData!$C$176*(AI16-InputData!$B$175))))))))</f>
        <v>12623.471433005241</v>
      </c>
      <c r="AK16" s="32">
        <f>IF(AF16&lt;=InputData!$C$150,InputData!$C$152,IF(AF16&lt;InputData!$C$151,IF(InputData!$C$152-0.25*IF(AF16-InputData!$C$150&lt;=0,0,AF16-InputData!$C$150)&lt;=0,0,InputData!$C$152-0.25*IF(AF16-InputData!$C$150&lt;=0,0,AF16-InputData!$C$150)),0))</f>
        <v>51900</v>
      </c>
      <c r="AL16" s="32">
        <f>IF(AF16-AK16&lt;=0,0,IF(AF16-AK16&lt;=InputData!$C$153,InputData!$C$154*(AF16-AK16),InputData!$C$155*(AF16-AK16)-InputData!$D$154))</f>
        <v>6468.510290325451</v>
      </c>
      <c r="AM16" s="32">
        <f t="shared" si="45"/>
        <v>12623.471433005241</v>
      </c>
      <c r="AN16" s="32">
        <f>IF(AF16&gt;=0,IF(AF16&lt;=InputData!$C$148,InputData!$C$147*AF16,InputData!$C$147*InputData!$C$148)+InputData!$C$149*AF16,0)</f>
        <v>5873.5847584996036</v>
      </c>
      <c r="AO16" s="32">
        <f>IF(AH16&lt;0,0,IF(AH16&lt;=InputData!$B$163,InputData!$C$163*AH16,IF(AH16&lt;=InputData!$B$164,InputData!$D$163+InputData!$C$164*(AH16-InputData!$B$163),IF(AH16&lt;=InputData!$B$165,InputData!$D$164+InputData!$C$165*(AH16-InputData!$B$164),InputData!$D$165+InputData!$C$166*(AH16-InputData!$B$165)))))</f>
        <v>0</v>
      </c>
      <c r="AP16" s="43">
        <f t="shared" si="46"/>
        <v>0.24091331900888174</v>
      </c>
      <c r="AQ16" s="43">
        <f t="shared" si="47"/>
        <v>0.19465220640457995</v>
      </c>
      <c r="AR16" s="5">
        <f t="shared" si="48"/>
        <v>76529.12683083993</v>
      </c>
      <c r="AS16" s="32">
        <f>AR16/((1+InputData!$C$7)^(IntMed!$B16-IntMed!$B$7))</f>
        <v>58653.20331480333</v>
      </c>
      <c r="AT16" s="5">
        <f t="shared" si="128"/>
        <v>451364.04152611369</v>
      </c>
      <c r="AU16" s="53"/>
      <c r="AV16" s="41" t="s">
        <v>109</v>
      </c>
      <c r="AW16" s="32">
        <f>$AW$14*(1+InputData!$C$3+InputData!$C$4)^(IntMed!$B16-IntMed!$B$14)</f>
        <v>217527.35152842809</v>
      </c>
      <c r="AX16" s="32">
        <v>0</v>
      </c>
      <c r="AY16" s="32">
        <f t="shared" si="50"/>
        <v>217527.35152842809</v>
      </c>
      <c r="AZ16" s="32">
        <f>AZ15*(1+InputData!$C$8)</f>
        <v>13731.613613470356</v>
      </c>
      <c r="BA16" s="32">
        <f>AW16/((1+InputData!$C$3)^(IntMed!$B16-IntMed!$B$7))</f>
        <v>182017.15686274509</v>
      </c>
      <c r="BB16" s="32">
        <f>AX16/((1+InputData!$C$3)^(IntMed!$B16-IntMed!$B$7))</f>
        <v>0</v>
      </c>
      <c r="BC16" s="32" t="s">
        <v>141</v>
      </c>
      <c r="BD16" s="32">
        <v>0</v>
      </c>
      <c r="BE16" s="32">
        <f t="shared" ref="BE16:BE36" si="174">BH15+BD16</f>
        <v>207379.59947924173</v>
      </c>
      <c r="BF16" s="32">
        <f>(BE16)*InputData!$C$6</f>
        <v>12878.273127660912</v>
      </c>
      <c r="BG16" s="32">
        <f>MIN($BE$14*InputData!$C$6/(1-(1+InputData!$C$6)^(-10)), BE16+BF16)</f>
        <v>33673.665953283198</v>
      </c>
      <c r="BH16" s="32">
        <f t="shared" si="157"/>
        <v>186584.20665361945</v>
      </c>
      <c r="BI16" s="32">
        <f>BG16/((1+InputData!$C$3)^(IntMed!$B16-IntMed!$B$7))</f>
        <v>28176.617307646567</v>
      </c>
      <c r="BJ16" s="32">
        <f>IF(BA16-InputData!$C$158-InputData!$C$159&gt;=0,BA16-InputData!$C$158-InputData!$C$159,0)</f>
        <v>182017.15686274509</v>
      </c>
      <c r="BK16" s="32">
        <f>IF(BA16-IF(BA16&lt;=InputData!$C$146,InputData!$C$145,0)-MAX(InputData!$C$144,BQ16)&gt;=0,BA16-IF(BA16&lt;=InputData!$C$146,InputData!$C$145,0)-MAX(InputData!$C$144,BQ16),0)</f>
        <v>175917.15686274509</v>
      </c>
      <c r="BL16" s="32">
        <f>IF(BK16&lt;0,"Error",IF(BK16&lt;=InputData!$B$170,InputData!$C$170*BK16,IF(BK16&lt;=InputData!$B$171,InputData!$D$170+InputData!$C$171*(BK16-InputData!$B$170),IF(BK16&lt;=InputData!$B$172,InputData!$D$171+InputData!$C$172*(BK16-InputData!$B$171),IF(BK16&lt;=InputData!$B$173,InputData!$D$172+InputData!$C$173*(BK16-InputData!$B$172),IF(BK16&lt;=InputData!$B$174,InputData!$D$173+InputData!$C$174*(BK16-InputData!$B$173),IF(BK16&lt;=InputData!$B$175,InputData!$D$174+InputData!$C$175*(BK16-InputData!$B$174),InputData!$D$175+InputData!$C$176*(BK16-InputData!$B$175))))))))</f>
        <v>42550.053921568629</v>
      </c>
      <c r="BM16" s="32">
        <f>IF(BA16&lt;=InputData!$C$150,InputData!$C$152,IF(BA16&lt;InputData!$C$151,IF(InputData!$C$152-0.25*IF(BA16-InputData!$C$150&lt;=0,0,BA16-InputData!$C$150)&lt;=0,0,InputData!$C$152-0.25*IF(BA16-InputData!$C$150&lt;=0,0,BA16-InputData!$C$150)),0))</f>
        <v>35245.710784313727</v>
      </c>
      <c r="BN16" s="32">
        <f>IF(BA16-BM16&lt;=0,0,IF(BA16-BM16&lt;=InputData!$C$153,InputData!$C$154*(BA16-BM16),InputData!$C$155*(BA16-BM16)-InputData!$D$154))</f>
        <v>38160.575980392154</v>
      </c>
      <c r="BO16" s="32">
        <f t="shared" si="51"/>
        <v>42550.053921568629</v>
      </c>
      <c r="BP16" s="32">
        <f>IF(BA16&gt;=0,IF(BA16&lt;=InputData!$C$148,InputData!$C$147*BA16,InputData!$C$147*InputData!$C$148)+InputData!$C$149*BA16,0)</f>
        <v>9688.6487745098038</v>
      </c>
      <c r="BQ16" s="32">
        <f>IF(BJ16&lt;0,0,IF(BJ16&lt;=InputData!$B$163,InputData!$C$163*BJ16,IF(BJ16&lt;=InputData!$B$164,InputData!$D$163+InputData!$C$164*(BJ16-InputData!$B$163),IF(BJ16&lt;=InputData!$B$165,InputData!$D$164+InputData!$C$165*(BJ16-InputData!$B$164),InputData!$D$165+InputData!$C$166*(BJ16-InputData!$B$165)))))</f>
        <v>0</v>
      </c>
      <c r="BR16" s="43">
        <f t="shared" si="52"/>
        <v>0.28699878405127727</v>
      </c>
      <c r="BS16" s="32">
        <f t="shared" si="53"/>
        <v>129778.45416666666</v>
      </c>
      <c r="BT16" s="32">
        <f t="shared" si="54"/>
        <v>101601.8368590201</v>
      </c>
      <c r="BU16" s="32">
        <f>BT16/((1+InputData!$C$7)^(IntMed!$B16-IntMed!$B$7))</f>
        <v>77869.347805600453</v>
      </c>
      <c r="BV16" s="5">
        <f t="shared" si="130"/>
        <v>153409.53622958992</v>
      </c>
      <c r="BW16" s="5"/>
      <c r="BX16" s="32" t="s">
        <v>141</v>
      </c>
      <c r="BY16" s="5">
        <f t="shared" ref="BY16:BY36" si="175">CB15</f>
        <v>236439.94241580376</v>
      </c>
      <c r="BZ16" s="32">
        <f>(BY16)*InputData!$C$6</f>
        <v>14682.920424021413</v>
      </c>
      <c r="CA16" s="32">
        <f>MIN($BY$14*InputData!$C$6/(1-(1+InputData!$C$6)^(-25)), BY16+BZ16)</f>
        <v>19581.069601718285</v>
      </c>
      <c r="CB16" s="32">
        <f t="shared" ref="CB16:CB36" si="176">CB15+$BD16+BZ16-CA16</f>
        <v>231541.79323810688</v>
      </c>
      <c r="CC16" s="32">
        <f>CA16/((1+InputData!$C$3)^(IntMed!$B16-IntMed!$B$7))</f>
        <v>16384.563100656815</v>
      </c>
      <c r="CD16" s="5">
        <f t="shared" si="58"/>
        <v>113393.89106600985</v>
      </c>
      <c r="CE16" s="32">
        <f>CD16/((1+InputData!$C$7)^(IntMed!$B16-IntMed!$B$7))</f>
        <v>86906.975458540459</v>
      </c>
      <c r="CF16" s="5">
        <f t="shared" si="131"/>
        <v>181917.47064646371</v>
      </c>
      <c r="CG16" s="5"/>
      <c r="CH16" s="32" t="s">
        <v>141</v>
      </c>
      <c r="CI16" s="5">
        <f t="shared" ref="CI16:CI36" si="177">CL15</f>
        <v>218656.40218546311</v>
      </c>
      <c r="CJ16" s="32">
        <f>(CI16)*InputData!$C$6</f>
        <v>13578.56257571726</v>
      </c>
      <c r="CK16" s="32">
        <f t="shared" si="170"/>
        <v>29539.489666233381</v>
      </c>
      <c r="CL16" s="32">
        <f t="shared" ref="CL16:CL36" si="178">CL15+$BD16+CJ16-CK16</f>
        <v>202695.47509494697</v>
      </c>
      <c r="CM16" s="32">
        <f>CK16/((1+InputData!$C$3)^(IntMed!$B16-IntMed!$B$7))</f>
        <v>24717.323529411758</v>
      </c>
      <c r="CN16" s="5">
        <f t="shared" si="62"/>
        <v>105061.1306372549</v>
      </c>
      <c r="CO16" s="32">
        <f>CN16/((1+InputData!$C$7)^(IntMed!$B16-IntMed!$B$7))</f>
        <v>80520.608439331816</v>
      </c>
      <c r="CP16" s="5">
        <f t="shared" si="132"/>
        <v>163612.96321193108</v>
      </c>
      <c r="CQ16" s="5"/>
      <c r="CR16" s="32" t="s">
        <v>141</v>
      </c>
      <c r="CS16" s="5">
        <f t="shared" ref="CS16:CS36" si="179">CV15</f>
        <v>238043.62347081109</v>
      </c>
      <c r="CT16" s="32">
        <f>(CS16)*InputData!$C$6</f>
        <v>14782.50901753737</v>
      </c>
      <c r="CU16" s="32">
        <f t="shared" si="171"/>
        <v>19692.993110822255</v>
      </c>
      <c r="CV16" s="32">
        <f t="shared" ref="CV16:CV36" si="180">CV15+$BD16+CT16-CU16</f>
        <v>233133.13937752621</v>
      </c>
      <c r="CW16" s="32">
        <f>CU16/((1+InputData!$C$3)^(IntMed!$B16-IntMed!$B$7))</f>
        <v>16478.215686274507</v>
      </c>
      <c r="CX16" s="5">
        <f t="shared" si="66"/>
        <v>113300.23848039216</v>
      </c>
      <c r="CY16" s="32">
        <f>CX16/((1+InputData!$C$7)^(IntMed!$B16-IntMed!$B$7))</f>
        <v>86835.198549895824</v>
      </c>
      <c r="CZ16" s="5">
        <f t="shared" si="133"/>
        <v>182917.9907679187</v>
      </c>
      <c r="DA16" s="5"/>
      <c r="DB16" s="32" t="s">
        <v>141</v>
      </c>
      <c r="DC16" s="5">
        <f t="shared" si="158"/>
        <v>132238.24440235479</v>
      </c>
      <c r="DD16" s="5">
        <f>DC16*InputData!$C$6</f>
        <v>8211.9949773862318</v>
      </c>
      <c r="DE16" s="32">
        <f t="shared" si="159"/>
        <v>29148.379963889372</v>
      </c>
      <c r="DF16" s="32">
        <f t="shared" si="160"/>
        <v>111301.85941585165</v>
      </c>
      <c r="DG16" s="32">
        <f>DE16/((1+InputData!$C$3)^(IntMed!$B16-IntMed!$B$7))</f>
        <v>24390.060426441523</v>
      </c>
      <c r="DH16" s="5">
        <f t="shared" si="70"/>
        <v>105388.39374022515</v>
      </c>
      <c r="DI16" s="32">
        <f>DH16/((1+InputData!$C$7)^(IntMed!$B16-IntMed!$B$7))</f>
        <v>80771.428357326906</v>
      </c>
      <c r="DJ16" s="5">
        <f t="shared" si="134"/>
        <v>106150.96773242716</v>
      </c>
      <c r="DK16" s="5"/>
      <c r="DL16" s="32" t="s">
        <v>141</v>
      </c>
      <c r="DM16" s="32">
        <f t="shared" ref="DM16:DM36" si="181">IF(0.15*($AY16-1.5*$AZ16)&lt;=$DD$2,DQ15-DO15,DQ15)</f>
        <v>197948.0236141744</v>
      </c>
      <c r="DN16" s="5">
        <f>DM16*InputData!$C$6</f>
        <v>12292.572266440231</v>
      </c>
      <c r="DO16" s="32">
        <f t="shared" ref="DO16:DO36" si="182">MAX(0,DN16-DP16)</f>
        <v>0</v>
      </c>
      <c r="DP16" s="32">
        <f t="shared" si="150"/>
        <v>29148.379963889372</v>
      </c>
      <c r="DQ16" s="32">
        <f t="shared" si="151"/>
        <v>181092.21591672525</v>
      </c>
      <c r="DR16" s="32">
        <f>DP16/((1+InputData!$C$3)^(IntMed!$B16-IntMed!$B$7))</f>
        <v>24390.060426441523</v>
      </c>
      <c r="DS16" s="5">
        <f t="shared" si="74"/>
        <v>105388.39374022515</v>
      </c>
      <c r="DT16" s="32">
        <f>DS16/((1+InputData!$C$7)^(IntMed!$B16-IntMed!$B$7))</f>
        <v>80771.428357326906</v>
      </c>
      <c r="DU16" s="5">
        <f t="shared" si="136"/>
        <v>150299.22418307903</v>
      </c>
      <c r="DV16" s="5"/>
      <c r="DW16" s="32" t="s">
        <v>141</v>
      </c>
      <c r="DX16" s="133">
        <f t="shared" si="161"/>
        <v>212416.20000000004</v>
      </c>
      <c r="DY16" s="5">
        <f>DX16*InputData!$C$6</f>
        <v>13191.046020000003</v>
      </c>
      <c r="DZ16" s="133">
        <f t="shared" si="162"/>
        <v>3639.1710152939959</v>
      </c>
      <c r="EA16" s="32">
        <f t="shared" si="163"/>
        <v>19692.993110822255</v>
      </c>
      <c r="EB16" s="32">
        <f t="shared" si="164"/>
        <v>216055.37101529405</v>
      </c>
      <c r="EC16" s="32">
        <f>EA16/((1+InputData!$C$3)^(IntMed!$B16-IntMed!$B$7))</f>
        <v>16478.215686274507</v>
      </c>
      <c r="ED16" s="5">
        <f t="shared" si="78"/>
        <v>113300.23848039216</v>
      </c>
      <c r="EE16" s="32">
        <f>ED16/((1+InputData!$C$7)^(IntMed!$B16-IntMed!$B$7))</f>
        <v>86835.198549895824</v>
      </c>
      <c r="EF16" s="5">
        <f t="shared" si="138"/>
        <v>173874.95147002058</v>
      </c>
      <c r="EG16" s="32"/>
      <c r="EH16" s="130" t="s">
        <v>141</v>
      </c>
      <c r="EI16" s="32">
        <v>0</v>
      </c>
      <c r="EJ16" s="32">
        <f>EJ15-(EN15-EK15)</f>
        <v>241587.47695271194</v>
      </c>
      <c r="EK16" s="32">
        <f>EJ16*InputData!$C$6</f>
        <v>15002.582318763412</v>
      </c>
      <c r="EL16" s="32">
        <f>EL15+EI16+EK16-EN16</f>
        <v>236897.06616065314</v>
      </c>
      <c r="EM16" s="32">
        <f>EM15*(1+InputData!$C$8)</f>
        <v>13731.613613470356</v>
      </c>
      <c r="EN16" s="32">
        <f t="shared" si="172"/>
        <v>19692.993110822255</v>
      </c>
      <c r="EO16" s="32">
        <f>AW16/((1+InputData!$C$3)^(IntMed!$B16-IntMed!$B$7))</f>
        <v>182017.15686274509</v>
      </c>
      <c r="EP16" s="32">
        <f>AX16/((1+InputData!$C$3)^(IntMed!$B16-IntMed!$B$7))</f>
        <v>0</v>
      </c>
      <c r="EQ16" s="32">
        <v>42123.58</v>
      </c>
      <c r="ER16" s="32">
        <v>8386.625</v>
      </c>
      <c r="ES16" s="32">
        <v>0</v>
      </c>
      <c r="ET16" s="42">
        <f t="shared" si="154"/>
        <v>0.27750243916889972</v>
      </c>
      <c r="EU16" s="32">
        <f t="shared" si="79"/>
        <v>131506.9518627451</v>
      </c>
      <c r="EV16" s="32">
        <f>EN16/((1+InputData!$C$3)^(IntMed!$B16-IntMed!$B$7))</f>
        <v>16478.215686274507</v>
      </c>
      <c r="EW16" s="32">
        <f t="shared" si="80"/>
        <v>115028.7361764706</v>
      </c>
      <c r="EX16" s="32">
        <f>EW16/((1+InputData!$C$7)^(IntMed!$B16-IntMed!$B$7))</f>
        <v>88159.948105987743</v>
      </c>
      <c r="EY16" s="5">
        <f t="shared" si="148"/>
        <v>187949.74149485579</v>
      </c>
      <c r="EZ16" s="79"/>
      <c r="FA16" s="32">
        <f t="shared" ref="FA16:FA23" si="183">FC15</f>
        <v>210034.49453793172</v>
      </c>
      <c r="FB16" s="32">
        <f>FA16*InputData!$C$6</f>
        <v>13043.14211080556</v>
      </c>
      <c r="FC16" s="32">
        <f t="shared" ref="FC16:FC23" si="184">FC15+$EI16+FB16-FD16</f>
        <v>188972.87694480625</v>
      </c>
      <c r="FD16" s="53">
        <f>MIN($EJ$14*InputData!$C$6/(1-(1+InputData!$C$6)^(-10)), FA16+FB16)</f>
        <v>34104.75970393102</v>
      </c>
      <c r="FE16" s="32">
        <f>FD16/((1+InputData!$C$3)^(IntMed!$B16-IntMed!$B$7))</f>
        <v>28537.33727358593</v>
      </c>
      <c r="FF16" s="5">
        <f t="shared" si="84"/>
        <v>102969.61458915917</v>
      </c>
      <c r="FG16" s="32">
        <f>FF16/((1+InputData!$C$7)^(IntMed!$B16-IntMed!$B$7))</f>
        <v>78917.63554410603</v>
      </c>
      <c r="FH16" s="5">
        <f t="shared" si="140"/>
        <v>157569.22675807908</v>
      </c>
      <c r="FI16" s="79"/>
      <c r="FJ16" s="32">
        <f t="shared" ref="FJ16:FJ36" si="185">FL15</f>
        <v>239466.8709872397</v>
      </c>
      <c r="FK16" s="32">
        <f>FJ16*InputData!$C$6</f>
        <v>14870.892688307586</v>
      </c>
      <c r="FL16" s="32">
        <f t="shared" ref="FL16:FL36" si="186">FL15+$EI16+FK16-FM16</f>
        <v>234506.01519770036</v>
      </c>
      <c r="FM16" s="53">
        <f>MIN($EJ$14*InputData!$C$6/(1-(1+InputData!$C$6)^(-25)), FJ16+FK16)</f>
        <v>19831.748477846937</v>
      </c>
      <c r="FN16" s="32">
        <f>FM16/((1+InputData!$C$3)^(IntMed!$B16-IntMed!$B$7))</f>
        <v>16594.319970300505</v>
      </c>
      <c r="FO16" s="5">
        <f t="shared" si="88"/>
        <v>114912.63189244459</v>
      </c>
      <c r="FP16" s="32">
        <f>FO16/((1+InputData!$C$7)^(IntMed!$B16-IntMed!$B$7))</f>
        <v>88070.963840013443</v>
      </c>
      <c r="FQ16" s="5">
        <f t="shared" si="141"/>
        <v>186442.1226967558</v>
      </c>
      <c r="FR16" s="79"/>
      <c r="FS16" s="32">
        <f t="shared" ref="FS16:FS36" si="187">FU15</f>
        <v>222200.25566736396</v>
      </c>
      <c r="FT16" s="32">
        <f>FS16*InputData!$C$6</f>
        <v>13798.635876943303</v>
      </c>
      <c r="FU16" s="32">
        <f t="shared" ref="FU16:FU36" si="188">FU15+$EI16+FT16-FV16</f>
        <v>206459.40187807387</v>
      </c>
      <c r="FV16" s="5">
        <f t="shared" si="173"/>
        <v>29539.489666233381</v>
      </c>
      <c r="FW16" s="32">
        <f>FV16/((1+InputData!$C$3)^(IntMed!$B16-IntMed!$B$7))</f>
        <v>24717.323529411758</v>
      </c>
      <c r="FX16" s="5">
        <f t="shared" si="92"/>
        <v>106789.62833333334</v>
      </c>
      <c r="FY16" s="32">
        <f>FX16/((1+InputData!$C$7)^(IntMed!$B16-IntMed!$B$7))</f>
        <v>81845.357995423736</v>
      </c>
      <c r="FZ16" s="5">
        <f t="shared" si="142"/>
        <v>168644.7139388682</v>
      </c>
      <c r="GC16" s="3">
        <f t="shared" si="3"/>
        <v>6</v>
      </c>
      <c r="GD16" s="4" t="str">
        <f t="shared" si="4"/>
        <v>Service (O3&gt;4 = (BP+BAH+BAS+VSP+BCPSP)*12)+ASP</v>
      </c>
      <c r="GE16" s="4"/>
      <c r="GF16" s="4"/>
      <c r="GG16" s="4"/>
      <c r="GH16" s="4"/>
      <c r="GI16" s="5">
        <f t="shared" si="5"/>
        <v>83897.88</v>
      </c>
      <c r="GJ16" s="5">
        <f t="shared" si="6"/>
        <v>19939.199999999997</v>
      </c>
      <c r="GK16" s="5">
        <f t="shared" si="7"/>
        <v>103837.08</v>
      </c>
      <c r="GL16" s="5">
        <f t="shared" si="8"/>
        <v>76778.885732020964</v>
      </c>
      <c r="GM16" s="5">
        <f t="shared" si="9"/>
        <v>18247.297290323808</v>
      </c>
      <c r="GN16" s="32">
        <f>IF(GL16-InputData!$C$158-InputData!$C$159&gt;=0,GL16-InputData!$C$158-InputData!$C$159,0)</f>
        <v>76778.885732020964</v>
      </c>
      <c r="GO16" s="32">
        <f>IF(GL16-IF(GL16&lt;=InputData!$C$146,InputData!$C$145,0)-MAX(InputData!$C$144,GU16)&gt;=0,GL16-IF(GL16&lt;=InputData!$C$146,InputData!$C$145,0)-MAX(InputData!$C$144,GU16),0)</f>
        <v>66778.885732020964</v>
      </c>
      <c r="GP16" s="32">
        <f>IF(GO16&lt;0,"Error",IF(GO16&lt;=InputData!$B$170,InputData!$C$170*GO16,IF(GO16&lt;=InputData!$B$171,InputData!$D$170+InputData!$C$171*(GO16-InputData!$B$170),IF(GO16&lt;=InputData!$B$172,InputData!$D$171+InputData!$C$172*(GO16-InputData!$B$171),IF(GO16&lt;=InputData!$B$173,InputData!$D$172+InputData!$C$173*(GO16-InputData!$B$172),IF(GO16&lt;=InputData!$B$174,InputData!$D$173+InputData!$C$174*(GO16-InputData!$B$173),IF(GO16&lt;=InputData!$B$175,InputData!$D$174+InputData!$C$175*(GO16-InputData!$B$174),InputData!$D$175+InputData!$C$176*(GO16-InputData!$B$175))))))))</f>
        <v>12623.471433005241</v>
      </c>
      <c r="GQ16" s="32">
        <f>IF(GL16&lt;=InputData!$C$150,InputData!$C$152,IF(GL16&lt;InputData!$C$151,IF(InputData!$C$152-0.25*IF(GL16-InputData!$C$150&lt;=0,0,GL16-InputData!$C$150)&lt;=0,0,InputData!$C$152-0.25*IF(GL16-InputData!$C$150&lt;=0,0,GL16-InputData!$C$150)),0))</f>
        <v>51900</v>
      </c>
      <c r="GR16" s="32">
        <f>IF(GL16-GQ16&lt;=0,0,IF(GL16-GQ16&lt;=InputData!$C$153,InputData!$C$154*(GL16-GQ16),InputData!$C$155*(GL16-GQ16)-InputData!$D$154))</f>
        <v>6468.510290325451</v>
      </c>
      <c r="GS16" s="32">
        <f t="shared" si="93"/>
        <v>12623.471433005241</v>
      </c>
      <c r="GT16" s="32">
        <f>IF(GL16&gt;=0,IF(GL16&lt;=InputData!$C$148,InputData!$C$147*GL16,InputData!$C$147*InputData!$C$148)+InputData!$C$149*GL16,0)</f>
        <v>5873.5847584996036</v>
      </c>
      <c r="GU16" s="32">
        <f>IF(GN16&lt;0,0,IF(GN16&lt;=InputData!$B$163,InputData!$C$163*GN16,IF(GN16&lt;=InputData!$B$164,InputData!$D$163+InputData!$C$164*(GN16-InputData!$B$163),IF(GN16&lt;=InputData!$B$165,InputData!$D$164+InputData!$C$165*(GN16-InputData!$B$164),InputData!$D$165+InputData!$C$166*(GN16-InputData!$B$165)))))</f>
        <v>0</v>
      </c>
      <c r="GV16" s="43">
        <f t="shared" si="10"/>
        <v>0.24091331900888174</v>
      </c>
      <c r="GW16" s="43">
        <f t="shared" si="11"/>
        <v>0.19465220640457995</v>
      </c>
      <c r="GX16" s="5">
        <f t="shared" si="12"/>
        <v>76529.12683083993</v>
      </c>
      <c r="GY16" s="32">
        <f>GX16/((1+InputData!$C$7)^(IntMed!$B16-IntMed!$B$7))</f>
        <v>58653.20331480333</v>
      </c>
      <c r="GZ16" s="32">
        <f t="shared" si="94"/>
        <v>543487.76383678697</v>
      </c>
      <c r="HB16" s="3">
        <f t="shared" si="13"/>
        <v>6</v>
      </c>
      <c r="HC16" s="4" t="str">
        <f t="shared" si="14"/>
        <v>Service (O3&gt;4 = (BP+BAH+BAS+VSP+BCPSP)*12)+ASP</v>
      </c>
      <c r="HD16" s="4"/>
      <c r="HE16" s="4"/>
      <c r="HF16" s="4"/>
      <c r="HG16" s="4"/>
      <c r="HH16" s="5">
        <f t="shared" si="15"/>
        <v>83897.88</v>
      </c>
      <c r="HI16" s="5">
        <f t="shared" si="16"/>
        <v>19939.199999999997</v>
      </c>
      <c r="HJ16" s="5">
        <f t="shared" si="17"/>
        <v>103837.08</v>
      </c>
      <c r="HK16" s="5">
        <f t="shared" si="18"/>
        <v>76778.885732020964</v>
      </c>
      <c r="HL16" s="5">
        <f t="shared" si="19"/>
        <v>18247.297290323808</v>
      </c>
      <c r="HM16" s="32">
        <f>IF(HK16-InputData!$C$158-InputData!$C$159&gt;=0,HK16-InputData!$C$158-InputData!$C$159,0)</f>
        <v>76778.885732020964</v>
      </c>
      <c r="HN16" s="32">
        <f>IF(HK16-IF(HK16&lt;=InputData!$C$146,InputData!$C$145,0)-MAX(InputData!$C$144,HT16)&gt;=0,HK16-IF(HK16&lt;=InputData!$C$146,InputData!$C$145,0)-MAX(InputData!$C$144,HT16),0)</f>
        <v>66778.885732020964</v>
      </c>
      <c r="HO16" s="32">
        <f>IF(HN16&lt;0,"Error",IF(HN16&lt;=InputData!$B$170,InputData!$C$170*HN16,IF(HN16&lt;=InputData!$B$171,InputData!$D$170+InputData!$C$171*(HN16-InputData!$B$170),IF(HN16&lt;=InputData!$B$172,InputData!$D$171+InputData!$C$172*(HN16-InputData!$B$171),IF(HN16&lt;=InputData!$B$173,InputData!$D$172+InputData!$C$173*(HN16-InputData!$B$172),IF(HN16&lt;=InputData!$B$174,InputData!$D$173+InputData!$C$174*(HN16-InputData!$B$173),IF(HN16&lt;=InputData!$B$175,InputData!$D$174+InputData!$C$175*(HN16-InputData!$B$174),InputData!$D$175+InputData!$C$176*(HN16-InputData!$B$175))))))))</f>
        <v>12623.471433005241</v>
      </c>
      <c r="HP16" s="32">
        <f>IF(HK16&lt;=InputData!$C$150,InputData!$C$152,IF(HK16&lt;InputData!$C$151,IF(InputData!$C$152-0.25*IF(HK16-InputData!$C$150&lt;=0,0,HK16-InputData!$C$150)&lt;=0,0,InputData!$C$152-0.25*IF(HK16-InputData!$C$150&lt;=0,0,HK16-InputData!$C$150)),0))</f>
        <v>51900</v>
      </c>
      <c r="HQ16" s="32">
        <f>IF(HK16-HP16&lt;=0,0,IF(HK16-HP16&lt;=InputData!$C$153,InputData!$C$154*(HK16-HP16),InputData!$C$155*(HK16-HP16)-InputData!$D$154))</f>
        <v>6468.510290325451</v>
      </c>
      <c r="HR16" s="32">
        <f t="shared" si="95"/>
        <v>12623.471433005241</v>
      </c>
      <c r="HS16" s="32">
        <f>IF(HK16&gt;=0,IF(HK16&lt;=InputData!$C$148,InputData!$C$147*HK16,InputData!$C$147*InputData!$C$148)+InputData!$C$149*HK16,0)</f>
        <v>5873.5847584996036</v>
      </c>
      <c r="HT16" s="32">
        <f>IF(HM16&lt;0,0,IF(HM16&lt;=InputData!$B$163,InputData!$C$163*HM16,IF(HM16&lt;=InputData!$B$164,InputData!$D$163+InputData!$C$164*(HM16-InputData!$B$163),IF(HM16&lt;=InputData!$B$165,InputData!$D$164+InputData!$C$165*(HM16-InputData!$B$164),InputData!$D$165+InputData!$C$166*(HM16-InputData!$B$165)))))</f>
        <v>0</v>
      </c>
      <c r="HU16" s="43">
        <f t="shared" si="96"/>
        <v>0.24091331900888174</v>
      </c>
      <c r="HV16" s="43">
        <f t="shared" si="97"/>
        <v>0.19465220640457995</v>
      </c>
      <c r="HW16" s="5">
        <f t="shared" si="98"/>
        <v>76529.12683083993</v>
      </c>
      <c r="HX16" s="32">
        <f>HW16/((1+InputData!$C$7)^(IntMed!$B16-IntMed!$B$7))</f>
        <v>58653.20331480333</v>
      </c>
      <c r="HY16" s="32">
        <f t="shared" si="99"/>
        <v>451364.04152611369</v>
      </c>
      <c r="IA16" s="3">
        <f t="shared" si="20"/>
        <v>6</v>
      </c>
      <c r="IB16" s="4" t="str">
        <f t="shared" si="21"/>
        <v>Service (O3&gt;4 = (BP+BAH+BAS+VSP+BCPSP)*12)+ASP</v>
      </c>
      <c r="IC16" s="5">
        <f t="shared" si="22"/>
        <v>83897.88</v>
      </c>
      <c r="ID16" s="5">
        <f t="shared" si="23"/>
        <v>19939.199999999997</v>
      </c>
      <c r="IE16" s="5">
        <f t="shared" si="24"/>
        <v>103837.08</v>
      </c>
      <c r="IF16" s="5">
        <f t="shared" si="25"/>
        <v>76778.885732020964</v>
      </c>
      <c r="IG16" s="5">
        <f t="shared" si="26"/>
        <v>18247.297290323808</v>
      </c>
      <c r="IH16" s="32">
        <f>IF(IF16-InputData!$C$158-InputData!$C$159&gt;=0,IF16-InputData!$C$158-InputData!$C$159,0)</f>
        <v>76778.885732020964</v>
      </c>
      <c r="II16" s="32">
        <f>IF(IF16-IF(IF16&lt;=InputData!$C$146,InputData!$C$145,0)-MAX(InputData!$C$144,IO16)&gt;=0,IF16-IF(IF16&lt;=InputData!$C$146,InputData!$C$145,0)-MAX(InputData!$C$144,IO16),0)</f>
        <v>66778.885732020964</v>
      </c>
      <c r="IJ16" s="32">
        <f>IF(II16&lt;0,"Error",IF(II16&lt;=InputData!$B$170,InputData!$C$170*II16,IF(II16&lt;=InputData!$B$171,InputData!$D$170+InputData!$C$171*(II16-InputData!$B$170),IF(II16&lt;=InputData!$B$172,InputData!$D$171+InputData!$C$172*(II16-InputData!$B$171),IF(II16&lt;=InputData!$B$173,InputData!$D$172+InputData!$C$173*(II16-InputData!$B$172),IF(II16&lt;=InputData!$B$174,InputData!$D$173+InputData!$C$174*(II16-InputData!$B$173),IF(II16&lt;=InputData!$B$175,InputData!$D$174+InputData!$C$175*(II16-InputData!$B$174),InputData!$D$175+InputData!$C$176*(II16-InputData!$B$175))))))))</f>
        <v>12623.471433005241</v>
      </c>
      <c r="IK16" s="32">
        <f>IF(IF16&lt;=InputData!$C$150,InputData!$C$152,IF(IF16&lt;InputData!$C$151,IF(InputData!$C$152-0.25*IF(IF16-InputData!$C$150&lt;=0,0,IF16-InputData!$C$150)&lt;=0,0,InputData!$C$152-0.25*IF(IF16-InputData!$C$150&lt;=0,0,IF16-InputData!$C$150)),0))</f>
        <v>51900</v>
      </c>
      <c r="IL16" s="32">
        <f>IF(IF16-IK16&lt;=0,0,IF(IF16-IK16&lt;=InputData!$C$153,InputData!$C$154*(IF16-IK16),InputData!$C$155*(IF16-IK16)-InputData!$D$154))</f>
        <v>6468.510290325451</v>
      </c>
      <c r="IM16" s="32">
        <f t="shared" si="100"/>
        <v>12623.471433005241</v>
      </c>
      <c r="IN16" s="32">
        <f>IF(IF16&gt;=0,IF(IF16&lt;=InputData!$C$148,InputData!$C$147*IF16,InputData!$C$147*InputData!$C$148)+InputData!$C$149*IF16,0)</f>
        <v>5873.5847584996036</v>
      </c>
      <c r="IO16" s="32">
        <f>IF(IH16&lt;0,0,IF(IH16&lt;=InputData!$B$163,InputData!$C$163*IH16,IF(IH16&lt;=InputData!$B$164,InputData!$D$163+InputData!$C$164*(IH16-InputData!$B$163),IF(IH16&lt;=InputData!$B$165,InputData!$D$164+InputData!$C$165*(IH16-InputData!$B$164),InputData!$D$165+InputData!$C$166*(IH16-InputData!$B$165)))))</f>
        <v>0</v>
      </c>
      <c r="IP16" s="43">
        <f t="shared" si="101"/>
        <v>0.24091331900888174</v>
      </c>
      <c r="IQ16" s="43">
        <f t="shared" si="102"/>
        <v>0.19465220640457995</v>
      </c>
      <c r="IR16" s="5">
        <f t="shared" si="27"/>
        <v>76529.12683083993</v>
      </c>
      <c r="IS16" s="32">
        <f>IR16/((1+InputData!$C$7)^(IntMed!$B16-IntMed!$B$7))</f>
        <v>58653.20331480333</v>
      </c>
      <c r="IT16" s="5">
        <f t="shared" si="103"/>
        <v>543487.76383678697</v>
      </c>
      <c r="IV16" s="41">
        <f t="shared" si="28"/>
        <v>6</v>
      </c>
      <c r="IW16" s="49" t="str">
        <f t="shared" si="29"/>
        <v>Service (O3&gt;4 = (BP+BAH+BAS+VSP+BCPSP)*12)+ASP</v>
      </c>
      <c r="IX16" s="32">
        <f t="shared" si="30"/>
        <v>83897.88</v>
      </c>
      <c r="IY16" s="32">
        <f t="shared" si="31"/>
        <v>19939.199999999997</v>
      </c>
      <c r="IZ16" s="32">
        <f t="shared" si="32"/>
        <v>103837.08</v>
      </c>
      <c r="JA16" s="32">
        <f t="shared" si="33"/>
        <v>76778.885732020964</v>
      </c>
      <c r="JB16" s="32">
        <f t="shared" si="34"/>
        <v>18247.297290323808</v>
      </c>
      <c r="JC16" s="32">
        <f>IF(JA16-InputData!$C$158-InputData!$C$159&gt;=0,JA16-InputData!$C$158-InputData!$C$159,0)</f>
        <v>76778.885732020964</v>
      </c>
      <c r="JD16" s="32">
        <f>IF(JA16-IF(JA16&lt;=InputData!$C$146,InputData!$C$145,0)-MAX(InputData!$C$144,JJ16)&gt;=0,JA16-IF(JA16&lt;=InputData!$C$146,InputData!$C$145,0)-MAX(InputData!$C$144,JJ16),0)</f>
        <v>66778.885732020964</v>
      </c>
      <c r="JE16" s="32">
        <f>IF(JD16&lt;0,"Error",IF(JD16&lt;=InputData!$B$170,InputData!$C$170*JD16,IF(JD16&lt;=InputData!$B$171,InputData!$D$170+InputData!$C$171*(JD16-InputData!$B$170),IF(JD16&lt;=InputData!$B$172,InputData!$D$171+InputData!$C$172*(JD16-InputData!$B$171),IF(JD16&lt;=InputData!$B$173,InputData!$D$172+InputData!$C$173*(JD16-InputData!$B$172),IF(JD16&lt;=InputData!$B$174,InputData!$D$173+InputData!$C$174*(JD16-InputData!$B$173),IF(JD16&lt;=InputData!$B$175,InputData!$D$174+InputData!$C$175*(JD16-InputData!$B$174),InputData!$D$175+InputData!$C$176*(JD16-InputData!$B$175))))))))</f>
        <v>12623.471433005241</v>
      </c>
      <c r="JF16" s="32">
        <f>IF(JA16&lt;=InputData!$C$150,InputData!$C$152,IF(JA16&lt;InputData!$C$151,IF(InputData!$C$152-0.25*IF(JA16-InputData!$C$150&lt;=0,0,JA16-InputData!$C$150)&lt;=0,0,InputData!$C$152-0.25*IF(JA16-InputData!$C$150&lt;=0,0,JA16-InputData!$C$150)),0))</f>
        <v>51900</v>
      </c>
      <c r="JG16" s="32">
        <f>IF(JA16-JF16&lt;=0,0,IF(JA16-JF16&lt;=InputData!$C$153,InputData!$C$154*(JA16-JF16),InputData!$C$155*(JA16-JF16)-InputData!$D$154))</f>
        <v>6468.510290325451</v>
      </c>
      <c r="JH16" s="32">
        <f t="shared" si="104"/>
        <v>12623.471433005241</v>
      </c>
      <c r="JI16" s="32">
        <f>IF(JA16&gt;=0,IF(JA16&lt;=InputData!$C$148,InputData!$C$147*JA16,InputData!$C$147*InputData!$C$148)+InputData!$C$149*JA16,0)</f>
        <v>5873.5847584996036</v>
      </c>
      <c r="JJ16" s="32">
        <f>IF(JC16&lt;0,0,IF(JC16&lt;=InputData!$B$163,InputData!$C$163*JC16,IF(JC16&lt;=InputData!$B$164,InputData!$D$163+InputData!$C$164*(JC16-InputData!$B$163),IF(JC16&lt;=InputData!$B$165,InputData!$D$164+InputData!$C$165*(JC16-InputData!$B$164),InputData!$D$165+InputData!$C$166*(JC16-InputData!$B$165)))))</f>
        <v>0</v>
      </c>
      <c r="JK16" s="42">
        <f t="shared" si="105"/>
        <v>0.24091331900888174</v>
      </c>
      <c r="JL16" s="42">
        <f t="shared" si="106"/>
        <v>0.19465220640457995</v>
      </c>
      <c r="JM16" s="32">
        <f t="shared" si="35"/>
        <v>76529.12683083993</v>
      </c>
      <c r="JN16" s="32">
        <f>JM16/((1+InputData!$C$7)^(IntMed!$B16-IntMed!$B$7))</f>
        <v>58653.20331480333</v>
      </c>
      <c r="JO16" s="32">
        <f t="shared" si="107"/>
        <v>451364.04152611369</v>
      </c>
      <c r="JQ16" s="41" t="s">
        <v>242</v>
      </c>
      <c r="JR16" s="32">
        <f>$JR$14*(1+InputData!$C$3+InputData!$C$4)^(IntMed!$B16-IntMed!$B$14)</f>
        <v>170609.68747327692</v>
      </c>
      <c r="JS16" s="32">
        <v>0</v>
      </c>
      <c r="JT16" s="32">
        <f t="shared" si="108"/>
        <v>170609.68747327692</v>
      </c>
      <c r="JU16" s="5">
        <f>JR16*(1/(1+InputData!$C$3))^(IntMed!$B16-IntMed!$B$7)</f>
        <v>142758.55440215295</v>
      </c>
      <c r="JV16" s="5">
        <f>JS16*(1/(1+InputData!$C$3))^(IntMed!$B16-IntMed!$B$7)</f>
        <v>0</v>
      </c>
      <c r="JW16" s="32">
        <f>IF(JU16-InputData!$C$158-InputData!$C$159&gt;=0,JU16-InputData!$C$158-InputData!$C$159,0)</f>
        <v>142758.55440215295</v>
      </c>
      <c r="JX16" s="32">
        <f>IF(JU16-IF(JU16&lt;=InputData!$C$146,InputData!$C$145,0)-MAX(InputData!$C$144,KD16)&gt;=0,JU16-IF(JU16&lt;=InputData!$C$146,InputData!$C$145,0)-MAX(InputData!$C$144,KD16),0)</f>
        <v>132758.55440215295</v>
      </c>
      <c r="JY16" s="32">
        <f>IF(JX16&lt;0,"Error",IF(JX16&lt;=InputData!$B$170,InputData!$C$170*JX16,IF(JX16&lt;=InputData!$B$171,InputData!$D$170+InputData!$C$171*(JX16-InputData!$B$170),IF(JX16&lt;=InputData!$B$172,InputData!$D$171+InputData!$C$172*(JX16-InputData!$B$171),IF(JX16&lt;=InputData!$B$173,InputData!$D$172+InputData!$C$173*(JX16-InputData!$B$172),IF(JX16&lt;=InputData!$B$174,InputData!$D$173+InputData!$C$174*(JX16-InputData!$B$173),IF(JX16&lt;=InputData!$B$175,InputData!$D$174+InputData!$C$175*(JX16-InputData!$B$174),InputData!$D$175+InputData!$C$176*(JX16-InputData!$B$175))))))))</f>
        <v>30465.645232602827</v>
      </c>
      <c r="JZ16" s="32">
        <f>IF(JU16&lt;=InputData!$C$150,InputData!$C$152,IF(JU16&lt;InputData!$C$151,IF(InputData!$C$152-0.25*IF(JU16-InputData!$C$150&lt;=0,0,JU16-InputData!$C$150)&lt;=0,0,InputData!$C$152-0.25*IF(JU16-InputData!$C$150&lt;=0,0,JU16-InputData!$C$150)),0))</f>
        <v>45060.361399461763</v>
      </c>
      <c r="KA16" s="32">
        <f>IF(JU16-JZ16&lt;=0,0,IF(JU16-JZ16&lt;=InputData!$C$153,InputData!$C$154*(JU16-JZ16),InputData!$C$155*(JU16-JZ16)-InputData!$D$154))</f>
        <v>25401.530180699709</v>
      </c>
      <c r="KB16" s="32">
        <f t="shared" si="109"/>
        <v>30465.645232602827</v>
      </c>
      <c r="KC16" s="32">
        <f>IF(JU16&gt;=0,IF(JU16&lt;=InputData!$C$148,InputData!$C$147*JU16,InputData!$C$147*InputData!$C$148)+InputData!$C$149*JU16,0)</f>
        <v>9119.3990388312177</v>
      </c>
      <c r="KD16" s="32">
        <f>IF(JW16&lt;0,0,IF(JW16&lt;=InputData!$B$163,InputData!$C$163*JW16,IF(JW16&lt;=InputData!$B$164,InputData!$D$163+InputData!$C$164*(JW16-InputData!$B$163),IF(JW16&lt;=InputData!$B$165,InputData!$D$164+InputData!$C$165*(JW16-InputData!$B$164),InputData!$D$165+InputData!$C$166*(JW16-InputData!$B$165)))))</f>
        <v>0</v>
      </c>
      <c r="KE16" s="43">
        <f t="shared" si="110"/>
        <v>0.27728667075124896</v>
      </c>
      <c r="KF16" s="43">
        <f t="shared" si="111"/>
        <v>0.27728667075124896</v>
      </c>
      <c r="KG16" s="5">
        <f t="shared" si="112"/>
        <v>103173.5101307189</v>
      </c>
      <c r="KH16" s="32">
        <f>KG16/((1+InputData!$C$7)^(IntMed!$B16-IntMed!$B$7))</f>
        <v>79073.904498807678</v>
      </c>
      <c r="KI16" s="5">
        <f t="shared" si="143"/>
        <v>401233.94730921235</v>
      </c>
      <c r="KK16" s="149">
        <v>2</v>
      </c>
      <c r="KL16" s="145" t="s">
        <v>374</v>
      </c>
      <c r="KM16">
        <v>31</v>
      </c>
      <c r="KN16" s="41" t="s">
        <v>367</v>
      </c>
      <c r="KO16" s="5">
        <f>InputData!$C127*(1+InputData!$C$5)^(IntMed!$B16-IntMed!$B$7)</f>
        <v>204420.23638309442</v>
      </c>
      <c r="KP16" s="5">
        <v>0</v>
      </c>
      <c r="KQ16" s="5">
        <f t="shared" si="169"/>
        <v>204420.23638309442</v>
      </c>
      <c r="KR16" s="32">
        <f>KR15*(1+InputData!$C$8)</f>
        <v>13731.613613470356</v>
      </c>
      <c r="KS16" s="5">
        <f>KO16*(1/(1+InputData!$C$3))^(IntMed!$B16-IntMed!$B$7)</f>
        <v>171049.70924448781</v>
      </c>
      <c r="KT16" s="5">
        <f>KP16*(1/(1+InputData!$C$3))^(IntMed!$B16-IntMed!$B$7)</f>
        <v>0</v>
      </c>
      <c r="KU16" s="32" t="s">
        <v>141</v>
      </c>
      <c r="KV16" s="32">
        <v>0</v>
      </c>
      <c r="KW16" s="133">
        <f t="shared" si="165"/>
        <v>212416.20000000004</v>
      </c>
      <c r="KX16" s="5">
        <f>KW16*InputData!$C$6</f>
        <v>13191.046020000003</v>
      </c>
      <c r="KY16" s="133">
        <f t="shared" si="166"/>
        <v>7577.7743321019407</v>
      </c>
      <c r="KZ16" s="118">
        <f t="shared" si="155"/>
        <v>18382.281596288889</v>
      </c>
      <c r="LA16" s="32">
        <f t="shared" si="167"/>
        <v>219993.97433210196</v>
      </c>
      <c r="LB16" s="32">
        <f>KZ16/((1+InputData!$C$3)^(IntMed!$B16-IntMed!$B$7))</f>
        <v>15381.470924448786</v>
      </c>
      <c r="LC16" s="32">
        <f>IF(KS16-InputData!$C$158-InputData!$C$159&gt;=0,KS16-InputData!$C$158-InputData!$C$159,0)</f>
        <v>171049.70924448781</v>
      </c>
      <c r="LD16" s="32">
        <f>IF(KS16-IF(KS16&lt;=InputData!$C$146,InputData!$C$145,0)-MAX(InputData!$C$144,LJ16)&gt;=0,KS16-IF(KS16&lt;=InputData!$C$146,InputData!$C$145,0)-MAX(InputData!$C$144,LJ16),0)</f>
        <v>164949.70924448781</v>
      </c>
      <c r="LE16" s="32">
        <f>IF(LD16&lt;0,"Error",IF(LD16&lt;=InputData!$B$170,InputData!$C$170*LD16,IF(LD16&lt;=InputData!$B$171,InputData!$D$170+InputData!$C$171*(LD16-InputData!$B$170),IF(LD16&lt;=InputData!$B$172,InputData!$D$171+InputData!$C$172*(LD16-InputData!$B$171),IF(LD16&lt;=InputData!$B$173,InputData!$D$172+InputData!$C$173*(LD16-InputData!$B$172),IF(LD16&lt;=InputData!$B$174,InputData!$D$173+InputData!$C$174*(LD16-InputData!$B$173),IF(LD16&lt;=InputData!$B$175,InputData!$D$174+InputData!$C$175*(LD16-InputData!$B$174),InputData!$D$175+InputData!$C$176*(LD16-InputData!$B$175))))))))</f>
        <v>39479.168588456589</v>
      </c>
      <c r="LF16" s="32">
        <f>IF(KS16&lt;=InputData!$C$150,InputData!$C$152,IF(KS16&lt;InputData!$C$151,IF(InputData!$C$152-0.25*IF(KS16-InputData!$C$150&lt;=0,0,KS16-InputData!$C$150)&lt;=0,0,InputData!$C$152-0.25*IF(KS16-InputData!$C$150&lt;=0,0,KS16-InputData!$C$150)),0))</f>
        <v>37987.572688878048</v>
      </c>
      <c r="LG16" s="32">
        <f>IF(KS16-LF16&lt;=0,0,IF(KS16-LF16&lt;=InputData!$C$153,InputData!$C$154*(KS16-LF16),InputData!$C$155*(KS16-LF16)-InputData!$D$154))</f>
        <v>34596.15550445854</v>
      </c>
      <c r="LH16" s="32">
        <f t="shared" si="118"/>
        <v>39479.168588456589</v>
      </c>
      <c r="LI16" s="32">
        <f>IF(KS16&gt;=0,IF(KS16&lt;=InputData!$C$148,InputData!$C$147*KS16,InputData!$C$147*InputData!$C$148)+InputData!$C$149*KS16,0)</f>
        <v>9529.6207840450734</v>
      </c>
      <c r="LJ16" s="32">
        <f>IF(LC16&lt;0,0,IF(LC16&lt;=InputData!$B$163,InputData!$C$163*LC16,IF(LC16&lt;=InputData!$B$164,InputData!$D$163+InputData!$C$164*(LC16-InputData!$B$163),IF(LC16&lt;=InputData!$B$165,InputData!$D$164+InputData!$C$165*(LC16-InputData!$B$164),InputData!$D$165+InputData!$C$166*(LC16-InputData!$B$165)))))</f>
        <v>0</v>
      </c>
      <c r="LK16" s="43">
        <f t="shared" si="156"/>
        <v>0.28651781747522032</v>
      </c>
      <c r="LL16" s="32">
        <f t="shared" si="119"/>
        <v>122040.91987198615</v>
      </c>
      <c r="LM16" s="5">
        <f t="shared" si="120"/>
        <v>106659.44894753736</v>
      </c>
      <c r="LN16" s="32">
        <f>LM16/((1+InputData!$C$7)^(IntMed!$B16-IntMed!$B$7))</f>
        <v>81745.586335943473</v>
      </c>
      <c r="LO16" s="5">
        <f t="shared" si="145"/>
        <v>157792.6553459086</v>
      </c>
      <c r="LQ16" s="157" t="str">
        <f t="shared" si="37"/>
        <v>Private Practice</v>
      </c>
      <c r="LR16" s="32">
        <f t="shared" si="121"/>
        <v>217527.35152842809</v>
      </c>
      <c r="LS16" s="32">
        <v>0</v>
      </c>
      <c r="LT16" s="32">
        <f t="shared" si="123"/>
        <v>217527.35152842809</v>
      </c>
      <c r="LU16" s="32">
        <f>LU15*(1+InputData!$C$8)</f>
        <v>13731.613613470356</v>
      </c>
      <c r="LV16" s="32">
        <f>LR16/((1+InputData!$C$3)^(IntMed!$B16-IntMed!$B$7))</f>
        <v>182017.15686274509</v>
      </c>
      <c r="LW16" s="32">
        <f>LS16/((1+InputData!$C$3)^(IntMed!$B16-IntMed!$B$7))</f>
        <v>0</v>
      </c>
      <c r="LX16" s="32" t="s">
        <v>141</v>
      </c>
      <c r="LY16" s="32">
        <v>0</v>
      </c>
      <c r="LZ16" s="32">
        <f t="shared" ref="LZ16:LZ36" si="189">MC15+LY16</f>
        <v>0</v>
      </c>
      <c r="MA16" s="32">
        <f>(LZ16)*InputData!$C$6</f>
        <v>0</v>
      </c>
      <c r="MB16" s="32">
        <f>MIN($BE$14*InputData!$C$6/(1-(1+InputData!$C$6)^(-10)), LZ16+MA16)</f>
        <v>0</v>
      </c>
      <c r="MC16" s="32">
        <f t="shared" si="168"/>
        <v>0</v>
      </c>
      <c r="MD16" s="32">
        <f>MB16/((1+InputData!$C$3)^(IntMed!$B16-IntMed!$B$7))</f>
        <v>0</v>
      </c>
      <c r="ME16" s="32">
        <f>IF(LV16-InputData!$C$158-InputData!$C$159&gt;=0,LV16-InputData!$C$158-InputData!$C$159,0)</f>
        <v>182017.15686274509</v>
      </c>
      <c r="MF16" s="32">
        <f>IF(LV16-IF(LV16&lt;=InputData!$C$146,InputData!$C$145,0)-MAX(InputData!$C$144,ML16)&gt;=0,LV16-IF(LV16&lt;=InputData!$C$146,InputData!$C$145,0)-MAX(InputData!$C$144,ML16),0)</f>
        <v>175917.15686274509</v>
      </c>
      <c r="MG16" s="32">
        <f>IF(MF16&lt;0,"Error",IF(MF16&lt;=InputData!$B$170,InputData!$C$170*MF16,IF(MF16&lt;=InputData!$B$171,InputData!$D$170+InputData!$C$171*(MF16-InputData!$B$170),IF(MF16&lt;=InputData!$B$172,InputData!$D$171+InputData!$C$172*(MF16-InputData!$B$171),IF(MF16&lt;=InputData!$B$173,InputData!$D$172+InputData!$C$173*(MF16-InputData!$B$172),IF(MF16&lt;=InputData!$B$174,InputData!$D$173+InputData!$C$174*(MF16-InputData!$B$173),IF(MF16&lt;=InputData!$B$175,InputData!$D$174+InputData!$C$175*(MF16-InputData!$B$174),InputData!$D$175+InputData!$C$176*(MF16-InputData!$B$175))))))))</f>
        <v>42550.053921568629</v>
      </c>
      <c r="MH16" s="32">
        <f>IF(LV16&lt;=InputData!$C$150,InputData!$C$152,IF(LV16&lt;InputData!$C$151,IF(InputData!$C$152-0.25*IF(LV16-InputData!$C$150&lt;=0,0,LV16-InputData!$C$150)&lt;=0,0,InputData!$C$152-0.25*IF(LV16-InputData!$C$150&lt;=0,0,LV16-InputData!$C$150)),0))</f>
        <v>35245.710784313727</v>
      </c>
      <c r="MI16" s="32">
        <f>IF(LV16-MH16&lt;=0,0,IF(LV16-MH16&lt;=InputData!$C$153,InputData!$C$154*(LV16-MH16),InputData!$C$155*(LV16-MH16)-InputData!$D$154))</f>
        <v>38160.575980392154</v>
      </c>
      <c r="MJ16" s="32">
        <f t="shared" si="124"/>
        <v>42550.053921568629</v>
      </c>
      <c r="MK16" s="32">
        <f>IF(LV16&gt;=0,IF(LV16&lt;=InputData!$C$148,InputData!$C$147*LV16,InputData!$C$147*InputData!$C$148)+InputData!$C$149*LV16,0)</f>
        <v>9688.6487745098038</v>
      </c>
      <c r="ML16" s="32">
        <f>IF(ME16&lt;0,0,IF(ME16&lt;=InputData!$B$163,InputData!$C$163*ME16,IF(ME16&lt;=InputData!$B$164,InputData!$D$163+InputData!$C$164*(ME16-InputData!$B$163),IF(ME16&lt;=InputData!$B$165,InputData!$D$164+InputData!$C$165*(ME16-InputData!$B$164),InputData!$D$165+InputData!$C$166*(ME16-InputData!$B$165)))))</f>
        <v>0</v>
      </c>
      <c r="MM16" s="43">
        <f t="shared" si="38"/>
        <v>0.28699878405127727</v>
      </c>
      <c r="MN16" s="32">
        <f t="shared" si="125"/>
        <v>129778.45416666666</v>
      </c>
      <c r="MO16" s="32">
        <f t="shared" si="126"/>
        <v>129778.45416666666</v>
      </c>
      <c r="MP16" s="32">
        <f>MO16/((1+InputData!$C$7)^(IntMed!$B16-IntMed!$B$7))</f>
        <v>99464.378771023825</v>
      </c>
      <c r="MQ16" s="5">
        <f t="shared" si="147"/>
        <v>412395.426168976</v>
      </c>
    </row>
    <row r="17" spans="1:355" ht="14.45" x14ac:dyDescent="0.3">
      <c r="A17" s="53">
        <v>2023</v>
      </c>
      <c r="B17" s="51">
        <v>11</v>
      </c>
      <c r="C17" s="4"/>
      <c r="D17" s="3">
        <v>7</v>
      </c>
      <c r="E17" s="4" t="s">
        <v>20</v>
      </c>
      <c r="F17" s="5">
        <f>InputData!$G$23*12</f>
        <v>69296.399999999994</v>
      </c>
      <c r="G17" s="5">
        <f>(InputData!$G$23+InputData!$E$45+InputData!$C$50)*12+InputData!$J$50</f>
        <v>98796.36</v>
      </c>
      <c r="H17" s="5">
        <f>(InputData!$C$34+InputData!$C$40)*12</f>
        <v>20659.199999999997</v>
      </c>
      <c r="I17" s="5">
        <f t="shared" si="39"/>
        <v>119455.56</v>
      </c>
      <c r="J17" s="5">
        <f>G17*((1+InputData!$C$5)/(1+InputData!$C$3))^(IntMed!$B17-IntMed!$B$7)</f>
        <v>89526.779922880974</v>
      </c>
      <c r="K17" s="5">
        <f>H17*((1+InputData!$C$5)/(1+InputData!$C$3))^(IntMed!$B17-IntMed!$B$7)</f>
        <v>18720.848134311655</v>
      </c>
      <c r="L17" s="32">
        <f>IF(J17-InputData!$C$158-InputData!$C$159&gt;=0,J17-InputData!$C$158-InputData!$C$159,0)</f>
        <v>89526.779922880974</v>
      </c>
      <c r="M17" s="32">
        <f>IF(J17-IF(J17&lt;=InputData!$C$146,InputData!$C$145,0)-MAX(InputData!$C$144,S17)&gt;=0,J17-IF(J17&lt;=InputData!$C$146,InputData!$C$145,0)-MAX(InputData!$C$144,S17),0)</f>
        <v>79526.779922880974</v>
      </c>
      <c r="N17" s="32">
        <f>IF(M17&lt;0,"Error",IF(M17&lt;=InputData!$B$170,InputData!$C$170*M17,IF(M17&lt;=InputData!$B$171,InputData!$D$170+InputData!$C$171*(M17-InputData!$B$170),IF(M17&lt;=InputData!$B$172,InputData!$D$171+InputData!$C$172*(M17-InputData!$B$171),IF(M17&lt;=InputData!$B$173,InputData!$D$172+InputData!$C$173*(M17-InputData!$B$172),IF(M17&lt;=InputData!$B$174,InputData!$D$173+InputData!$C$174*(M17-InputData!$B$173),IF(M17&lt;=InputData!$B$175,InputData!$D$174+InputData!$C$175*(M17-InputData!$B$174),InputData!$D$175+InputData!$C$176*(M17-InputData!$B$175))))))))</f>
        <v>15810.444980720244</v>
      </c>
      <c r="O17" s="32">
        <f>IF(J17&lt;=InputData!$C$150,InputData!$C$152,IF(J17&lt;InputData!$C$151,IF(InputData!$C$152-0.25*IF(J17-InputData!$C$150&lt;=0,0,J17-InputData!$C$150)&lt;=0,0,InputData!$C$152-0.25*IF(J17-InputData!$C$150&lt;=0,0,J17-InputData!$C$150)),0))</f>
        <v>51900</v>
      </c>
      <c r="P17" s="32">
        <f>IF(J17-O17&lt;=0,0,IF(J17-O17&lt;=InputData!$C$153,InputData!$C$154*(J17-O17),InputData!$C$155*(J17-O17)-InputData!$D$154))</f>
        <v>9782.9627799490536</v>
      </c>
      <c r="Q17" s="32">
        <f t="shared" si="40"/>
        <v>15810.444980720244</v>
      </c>
      <c r="R17" s="32">
        <f>IF(J17&gt;=0,IF(J17&lt;=InputData!$C$148,InputData!$C$147*J17,InputData!$C$147*InputData!$C$148)+InputData!$C$149*J17,0)</f>
        <v>6848.7986641003954</v>
      </c>
      <c r="S17" s="32">
        <f>IF(L17&lt;0,0,IF(L17&lt;=InputData!$B$163,InputData!$C$163*L17,IF(L17&lt;=InputData!$B$164,InputData!$D$163+InputData!$C$164*(L17-InputData!$B$163),IF(L17&lt;=InputData!$B$165,InputData!$D$164+InputData!$C$165*(L17-InputData!$B$164),InputData!$D$165+InputData!$C$166*(L17-InputData!$B$165)))))</f>
        <v>0</v>
      </c>
      <c r="T17" s="43">
        <f t="shared" si="41"/>
        <v>0.25310017476714203</v>
      </c>
      <c r="U17" s="43">
        <f t="shared" si="42"/>
        <v>0.20932785365836032</v>
      </c>
      <c r="V17" s="5">
        <f t="shared" si="43"/>
        <v>85588.38441237199</v>
      </c>
      <c r="W17" s="32">
        <f>V17/((1+InputData!$C$7)^(IntMed!$B17-IntMed!$B$7))</f>
        <v>63685.796027087723</v>
      </c>
      <c r="X17" s="5">
        <f t="shared" si="127"/>
        <v>607173.55986387469</v>
      </c>
      <c r="Y17" s="53"/>
      <c r="Z17" s="3">
        <v>7</v>
      </c>
      <c r="AA17" s="46" t="s">
        <v>20</v>
      </c>
      <c r="AB17" s="5">
        <f t="shared" si="149"/>
        <v>69296.399999999994</v>
      </c>
      <c r="AC17" s="5">
        <f t="shared" si="149"/>
        <v>98796.36</v>
      </c>
      <c r="AD17" s="5">
        <f t="shared" si="149"/>
        <v>20659.199999999997</v>
      </c>
      <c r="AE17" s="5">
        <f t="shared" si="44"/>
        <v>119455.56</v>
      </c>
      <c r="AF17" s="5">
        <f>AC17*((1+InputData!$C$5)/(1+InputData!$C$3))^(IntMed!$B17-IntMed!$B$7)</f>
        <v>89526.779922880974</v>
      </c>
      <c r="AG17" s="5">
        <f>AD17*((1+InputData!$C$5)/(1+InputData!$C$3))^(IntMed!$B17-IntMed!$B$7)</f>
        <v>18720.848134311655</v>
      </c>
      <c r="AH17" s="32">
        <f>IF(AF17-InputData!$C$158-InputData!$C$159&gt;=0,AF17-InputData!$C$158-InputData!$C$159,0)</f>
        <v>89526.779922880974</v>
      </c>
      <c r="AI17" s="32">
        <f>IF(AF17-IF(AF17&lt;=InputData!$C$146,InputData!$C$145,0)-MAX(InputData!$C$144,AO17)&gt;=0,AF17-IF(AF17&lt;=InputData!$C$146,InputData!$C$145,0)-MAX(InputData!$C$144,AO17),0)</f>
        <v>79526.779922880974</v>
      </c>
      <c r="AJ17" s="32">
        <f>IF(AI17&lt;0,"Error",IF(AI17&lt;=InputData!$B$170,InputData!$C$170*AI17,IF(AI17&lt;=InputData!$B$171,InputData!$D$170+InputData!$C$171*(AI17-InputData!$B$170),IF(AI17&lt;=InputData!$B$172,InputData!$D$171+InputData!$C$172*(AI17-InputData!$B$171),IF(AI17&lt;=InputData!$B$173,InputData!$D$172+InputData!$C$173*(AI17-InputData!$B$172),IF(AI17&lt;=InputData!$B$174,InputData!$D$173+InputData!$C$174*(AI17-InputData!$B$173),IF(AI17&lt;=InputData!$B$175,InputData!$D$174+InputData!$C$175*(AI17-InputData!$B$174),InputData!$D$175+InputData!$C$176*(AI17-InputData!$B$175))))))))</f>
        <v>15810.444980720244</v>
      </c>
      <c r="AK17" s="32">
        <f>IF(AF17&lt;=InputData!$C$150,InputData!$C$152,IF(AF17&lt;InputData!$C$151,IF(InputData!$C$152-0.25*IF(AF17-InputData!$C$150&lt;=0,0,AF17-InputData!$C$150)&lt;=0,0,InputData!$C$152-0.25*IF(AF17-InputData!$C$150&lt;=0,0,AF17-InputData!$C$150)),0))</f>
        <v>51900</v>
      </c>
      <c r="AL17" s="32">
        <f>IF(AF17-AK17&lt;=0,0,IF(AF17-AK17&lt;=InputData!$C$153,InputData!$C$154*(AF17-AK17),InputData!$C$155*(AF17-AK17)-InputData!$D$154))</f>
        <v>9782.9627799490536</v>
      </c>
      <c r="AM17" s="32">
        <f t="shared" si="45"/>
        <v>15810.444980720244</v>
      </c>
      <c r="AN17" s="32">
        <f>IF(AF17&gt;=0,IF(AF17&lt;=InputData!$C$148,InputData!$C$147*AF17,InputData!$C$147*InputData!$C$148)+InputData!$C$149*AF17,0)</f>
        <v>6848.7986641003954</v>
      </c>
      <c r="AO17" s="32">
        <f>IF(AH17&lt;0,0,IF(AH17&lt;=InputData!$B$163,InputData!$C$163*AH17,IF(AH17&lt;=InputData!$B$164,InputData!$D$163+InputData!$C$164*(AH17-InputData!$B$163),IF(AH17&lt;=InputData!$B$165,InputData!$D$164+InputData!$C$165*(AH17-InputData!$B$164),InputData!$D$165+InputData!$C$166*(AH17-InputData!$B$165)))))</f>
        <v>0</v>
      </c>
      <c r="AP17" s="43">
        <f t="shared" si="46"/>
        <v>0.25310017476714203</v>
      </c>
      <c r="AQ17" s="43">
        <f t="shared" si="47"/>
        <v>0.20932785365836032</v>
      </c>
      <c r="AR17" s="5">
        <f t="shared" si="48"/>
        <v>85588.38441237199</v>
      </c>
      <c r="AS17" s="32">
        <f>AR17/((1+InputData!$C$7)^(IntMed!$B17-IntMed!$B$7))</f>
        <v>63685.796027087723</v>
      </c>
      <c r="AT17" s="5">
        <f t="shared" si="128"/>
        <v>515049.83755320142</v>
      </c>
      <c r="AU17" s="53"/>
      <c r="AV17" s="41" t="s">
        <v>109</v>
      </c>
      <c r="AW17" s="32">
        <f>$AW$14*(1+InputData!$C$3+InputData!$C$4)^(IntMed!$B17-IntMed!$B$14)</f>
        <v>224053.17207428094</v>
      </c>
      <c r="AX17" s="32">
        <v>0</v>
      </c>
      <c r="AY17" s="32">
        <f t="shared" si="50"/>
        <v>224053.17207428094</v>
      </c>
      <c r="AZ17" s="32">
        <f>AZ16*(1+InputData!$C$8)</f>
        <v>14006.245885739763</v>
      </c>
      <c r="BA17" s="32">
        <f>AW17/((1+InputData!$C$3)^(IntMed!$B17-IntMed!$B$7))</f>
        <v>183801.63879277199</v>
      </c>
      <c r="BB17" s="32">
        <f>AX17/((1+InputData!$C$3)^(IntMed!$B17-IntMed!$B$7))</f>
        <v>0</v>
      </c>
      <c r="BC17" s="32" t="s">
        <v>141</v>
      </c>
      <c r="BD17" s="32">
        <v>0</v>
      </c>
      <c r="BE17" s="32">
        <f t="shared" si="174"/>
        <v>186584.20665361945</v>
      </c>
      <c r="BF17" s="32">
        <f>(BE17)*InputData!$C$6</f>
        <v>11586.879233189768</v>
      </c>
      <c r="BG17" s="32">
        <f>MIN($BE$14*InputData!$C$6/(1-(1+InputData!$C$6)^(-10)), BE17+BF17)</f>
        <v>33673.665953283198</v>
      </c>
      <c r="BH17" s="32">
        <f t="shared" si="157"/>
        <v>164497.41993352602</v>
      </c>
      <c r="BI17" s="32">
        <f>BG17/((1+InputData!$C$3)^(IntMed!$B17-IntMed!$B$7))</f>
        <v>27624.134615339772</v>
      </c>
      <c r="BJ17" s="32">
        <f>IF(BA17-InputData!$C$158-InputData!$C$159&gt;=0,BA17-InputData!$C$158-InputData!$C$159,0)</f>
        <v>183801.63879277199</v>
      </c>
      <c r="BK17" s="32">
        <f>IF(BA17-IF(BA17&lt;=InputData!$C$146,InputData!$C$145,0)-MAX(InputData!$C$144,BQ17)&gt;=0,BA17-IF(BA17&lt;=InputData!$C$146,InputData!$C$145,0)-MAX(InputData!$C$144,BQ17),0)</f>
        <v>177701.63879277199</v>
      </c>
      <c r="BL17" s="32">
        <f>IF(BK17&lt;0,"Error",IF(BK17&lt;=InputData!$B$170,InputData!$C$170*BK17,IF(BK17&lt;=InputData!$B$171,InputData!$D$170+InputData!$C$171*(BK17-InputData!$B$170),IF(BK17&lt;=InputData!$B$172,InputData!$D$171+InputData!$C$172*(BK17-InputData!$B$171),IF(BK17&lt;=InputData!$B$173,InputData!$D$172+InputData!$C$173*(BK17-InputData!$B$172),IF(BK17&lt;=InputData!$B$174,InputData!$D$173+InputData!$C$174*(BK17-InputData!$B$173),IF(BK17&lt;=InputData!$B$175,InputData!$D$174+InputData!$C$175*(BK17-InputData!$B$174),InputData!$D$175+InputData!$C$176*(BK17-InputData!$B$175))))))))</f>
        <v>43049.708861976163</v>
      </c>
      <c r="BM17" s="32">
        <f>IF(BA17&lt;=InputData!$C$150,InputData!$C$152,IF(BA17&lt;InputData!$C$151,IF(InputData!$C$152-0.25*IF(BA17-InputData!$C$150&lt;=0,0,BA17-InputData!$C$150)&lt;=0,0,InputData!$C$152-0.25*IF(BA17-InputData!$C$150&lt;=0,0,BA17-InputData!$C$150)),0))</f>
        <v>34799.590301807002</v>
      </c>
      <c r="BN17" s="32">
        <f>IF(BA17-BM17&lt;=0,0,IF(BA17-BM17&lt;=InputData!$C$153,InputData!$C$154*(BA17-BM17),InputData!$C$155*(BA17-BM17)-InputData!$D$154))</f>
        <v>38740.532607650894</v>
      </c>
      <c r="BO17" s="32">
        <f t="shared" si="51"/>
        <v>43049.708861976163</v>
      </c>
      <c r="BP17" s="32">
        <f>IF(BA17&gt;=0,IF(BA17&lt;=InputData!$C$148,InputData!$C$147*BA17,InputData!$C$147*InputData!$C$148)+InputData!$C$149*BA17,0)</f>
        <v>9714.5237624951933</v>
      </c>
      <c r="BQ17" s="32">
        <f>IF(BJ17&lt;0,0,IF(BJ17&lt;=InputData!$B$163,InputData!$C$163*BJ17,IF(BJ17&lt;=InputData!$B$164,InputData!$D$163+InputData!$C$164*(BJ17-InputData!$B$163),IF(BJ17&lt;=InputData!$B$165,InputData!$D$164+InputData!$C$165*(BJ17-InputData!$B$164),InputData!$D$165+InputData!$C$166*(BJ17-InputData!$B$165)))))</f>
        <v>0</v>
      </c>
      <c r="BR17" s="43">
        <f t="shared" si="52"/>
        <v>0.28707161139058524</v>
      </c>
      <c r="BS17" s="32">
        <f t="shared" si="53"/>
        <v>131037.40616830063</v>
      </c>
      <c r="BT17" s="32">
        <f t="shared" si="54"/>
        <v>103413.27155296085</v>
      </c>
      <c r="BU17" s="32">
        <f>BT17/((1+InputData!$C$7)^(IntMed!$B17-IntMed!$B$7))</f>
        <v>76949.186082120781</v>
      </c>
      <c r="BV17" s="5">
        <f t="shared" si="130"/>
        <v>230358.72231171071</v>
      </c>
      <c r="BW17" s="5"/>
      <c r="BX17" s="32" t="s">
        <v>141</v>
      </c>
      <c r="BY17" s="5">
        <f t="shared" si="175"/>
        <v>231541.79323810688</v>
      </c>
      <c r="BZ17" s="32">
        <f>(BY17)*InputData!$C$6</f>
        <v>14378.745360086437</v>
      </c>
      <c r="CA17" s="32">
        <f>MIN($BY$14*InputData!$C$6/(1-(1+InputData!$C$6)^(-25)), BY17+BZ17)</f>
        <v>19581.069601718285</v>
      </c>
      <c r="CB17" s="32">
        <f t="shared" si="176"/>
        <v>226339.46899647504</v>
      </c>
      <c r="CC17" s="32">
        <f>CA17/((1+InputData!$C$3)^(IntMed!$B17-IntMed!$B$7))</f>
        <v>16063.29715750668</v>
      </c>
      <c r="CD17" s="5">
        <f t="shared" si="58"/>
        <v>114974.10901079395</v>
      </c>
      <c r="CE17" s="32">
        <f>CD17/((1+InputData!$C$7)^(IntMed!$B17-IntMed!$B$7))</f>
        <v>85551.534885604517</v>
      </c>
      <c r="CF17" s="5">
        <f t="shared" si="131"/>
        <v>267469.0055320682</v>
      </c>
      <c r="CG17" s="5"/>
      <c r="CH17" s="32" t="s">
        <v>141</v>
      </c>
      <c r="CI17" s="5">
        <f t="shared" si="177"/>
        <v>202695.47509494697</v>
      </c>
      <c r="CJ17" s="32">
        <f>(CI17)*InputData!$C$6</f>
        <v>12587.389003396207</v>
      </c>
      <c r="CK17" s="32">
        <f t="shared" si="170"/>
        <v>30456.570486850695</v>
      </c>
      <c r="CL17" s="32">
        <f t="shared" si="178"/>
        <v>184826.2936114925</v>
      </c>
      <c r="CM17" s="32">
        <f>CK17/((1+InputData!$C$3)^(IntMed!$B17-IntMed!$B$7))</f>
        <v>24984.995818915799</v>
      </c>
      <c r="CN17" s="5">
        <f t="shared" si="62"/>
        <v>106052.41034938482</v>
      </c>
      <c r="CO17" s="32">
        <f>CN17/((1+InputData!$C$7)^(IntMed!$B17-IntMed!$B$7))</f>
        <v>78912.953201107724</v>
      </c>
      <c r="CP17" s="5">
        <f t="shared" si="132"/>
        <v>242525.91641303879</v>
      </c>
      <c r="CQ17" s="5"/>
      <c r="CR17" s="32" t="s">
        <v>141</v>
      </c>
      <c r="CS17" s="5">
        <f t="shared" si="179"/>
        <v>233133.13937752621</v>
      </c>
      <c r="CT17" s="32">
        <f>(CS17)*InputData!$C$6</f>
        <v>14477.567955344379</v>
      </c>
      <c r="CU17" s="32">
        <f t="shared" si="171"/>
        <v>20304.38032456713</v>
      </c>
      <c r="CV17" s="32">
        <f t="shared" si="180"/>
        <v>227306.32700830349</v>
      </c>
      <c r="CW17" s="32">
        <f>CU17/((1+InputData!$C$3)^(IntMed!$B17-IntMed!$B$7))</f>
        <v>16656.663879277199</v>
      </c>
      <c r="CX17" s="5">
        <f t="shared" si="66"/>
        <v>114380.74228902343</v>
      </c>
      <c r="CY17" s="32">
        <f>CX17/((1+InputData!$C$7)^(IntMed!$B17-IntMed!$B$7))</f>
        <v>85110.01431863285</v>
      </c>
      <c r="CZ17" s="5">
        <f t="shared" si="133"/>
        <v>268028.00508655154</v>
      </c>
      <c r="DA17" s="5"/>
      <c r="DB17" s="32" t="s">
        <v>141</v>
      </c>
      <c r="DC17" s="5">
        <f t="shared" si="158"/>
        <v>111301.85941585165</v>
      </c>
      <c r="DD17" s="5">
        <f>DC17*InputData!$C$6</f>
        <v>6911.8454697243878</v>
      </c>
      <c r="DE17" s="32">
        <f t="shared" si="159"/>
        <v>29148.379963889372</v>
      </c>
      <c r="DF17" s="32">
        <f t="shared" si="160"/>
        <v>89065.324921686668</v>
      </c>
      <c r="DG17" s="32">
        <f>DE17/((1+InputData!$C$3)^(IntMed!$B17-IntMed!$B$7))</f>
        <v>23911.823947491688</v>
      </c>
      <c r="DH17" s="5">
        <f t="shared" si="70"/>
        <v>107125.58222080894</v>
      </c>
      <c r="DI17" s="32">
        <f>DH17/((1+InputData!$C$7)^(IntMed!$B17-IntMed!$B$7))</f>
        <v>79711.493860272749</v>
      </c>
      <c r="DJ17" s="5">
        <f t="shared" si="134"/>
        <v>185862.46159269992</v>
      </c>
      <c r="DK17" s="5"/>
      <c r="DL17" s="32" t="s">
        <v>141</v>
      </c>
      <c r="DM17" s="32">
        <f t="shared" si="181"/>
        <v>181092.21591672525</v>
      </c>
      <c r="DN17" s="5">
        <f>DM17*InputData!$C$6</f>
        <v>11245.826608428639</v>
      </c>
      <c r="DO17" s="32">
        <f t="shared" si="182"/>
        <v>0</v>
      </c>
      <c r="DP17" s="32">
        <f t="shared" si="150"/>
        <v>29148.379963889372</v>
      </c>
      <c r="DQ17" s="32">
        <f t="shared" si="151"/>
        <v>163189.66256126453</v>
      </c>
      <c r="DR17" s="32">
        <f>DP17/((1+InputData!$C$3)^(IntMed!$B17-IntMed!$B$7))</f>
        <v>23911.823947491688</v>
      </c>
      <c r="DS17" s="5">
        <f t="shared" si="74"/>
        <v>107125.58222080894</v>
      </c>
      <c r="DT17" s="32">
        <f>DS17/((1+InputData!$C$7)^(IntMed!$B17-IntMed!$B$7))</f>
        <v>79711.493860272749</v>
      </c>
      <c r="DU17" s="5">
        <f t="shared" si="136"/>
        <v>230010.71804335178</v>
      </c>
      <c r="DV17" s="5"/>
      <c r="DW17" s="32" t="s">
        <v>141</v>
      </c>
      <c r="DX17" s="133">
        <f t="shared" si="161"/>
        <v>212416.20000000004</v>
      </c>
      <c r="DY17" s="5">
        <f>DX17*InputData!$C$6</f>
        <v>13191.046020000003</v>
      </c>
      <c r="DZ17" s="133">
        <f t="shared" si="162"/>
        <v>0</v>
      </c>
      <c r="EA17" s="32">
        <f t="shared" si="163"/>
        <v>20304.38032456713</v>
      </c>
      <c r="EB17" s="32">
        <f t="shared" si="164"/>
        <v>208942.03671072691</v>
      </c>
      <c r="EC17" s="32">
        <f>EA17/((1+InputData!$C$3)^(IntMed!$B17-IntMed!$B$7))</f>
        <v>16656.663879277199</v>
      </c>
      <c r="ED17" s="5">
        <f t="shared" si="78"/>
        <v>114380.74228902343</v>
      </c>
      <c r="EE17" s="32">
        <f>ED17/((1+InputData!$C$7)^(IntMed!$B17-IntMed!$B$7))</f>
        <v>85110.01431863285</v>
      </c>
      <c r="EF17" s="5">
        <f t="shared" si="138"/>
        <v>258984.96578865341</v>
      </c>
      <c r="EG17" s="32"/>
      <c r="EH17" s="130" t="s">
        <v>141</v>
      </c>
      <c r="EI17" s="32">
        <v>0</v>
      </c>
      <c r="EJ17" s="32">
        <f t="shared" ref="EJ17:EJ25" si="190">EJ16-(EN16-EK16)</f>
        <v>236897.06616065308</v>
      </c>
      <c r="EK17" s="32">
        <f>EJ17*InputData!$C$6</f>
        <v>14711.307808576557</v>
      </c>
      <c r="EL17" s="32">
        <f t="shared" ref="EL17:EL25" si="191">EL16+EI17+EK17-EN17</f>
        <v>231303.99364466255</v>
      </c>
      <c r="EM17" s="32">
        <f>EM16*(1+InputData!$C$8)</f>
        <v>14006.245885739763</v>
      </c>
      <c r="EN17" s="32">
        <f t="shared" si="172"/>
        <v>20304.38032456713</v>
      </c>
      <c r="EO17" s="32">
        <f>AW17/((1+InputData!$C$3)^(IntMed!$B17-IntMed!$B$7))</f>
        <v>183801.63879277199</v>
      </c>
      <c r="EP17" s="32">
        <f>AX17/((1+InputData!$C$3)^(IntMed!$B17-IntMed!$B$7))</f>
        <v>0</v>
      </c>
      <c r="EQ17" s="32">
        <v>42627.43</v>
      </c>
      <c r="ER17" s="32">
        <v>8412.7199999999993</v>
      </c>
      <c r="ES17" s="32">
        <v>0</v>
      </c>
      <c r="ET17" s="42">
        <f t="shared" si="154"/>
        <v>0.27769148488140227</v>
      </c>
      <c r="EU17" s="32">
        <f t="shared" si="79"/>
        <v>132761.488792772</v>
      </c>
      <c r="EV17" s="32">
        <f>EN17/((1+InputData!$C$3)^(IntMed!$B17-IntMed!$B$7))</f>
        <v>16656.663879277199</v>
      </c>
      <c r="EW17" s="32">
        <f t="shared" si="80"/>
        <v>116104.8249134948</v>
      </c>
      <c r="EX17" s="32">
        <f>EW17/((1+InputData!$C$7)^(IntMed!$B17-IntMed!$B$7))</f>
        <v>86392.893708281175</v>
      </c>
      <c r="EY17" s="5">
        <f t="shared" si="148"/>
        <v>274342.63520313695</v>
      </c>
      <c r="EZ17" s="79"/>
      <c r="FA17" s="32">
        <f t="shared" si="183"/>
        <v>188972.87694480625</v>
      </c>
      <c r="FB17" s="32">
        <f>FA17*InputData!$C$6</f>
        <v>11735.215658272469</v>
      </c>
      <c r="FC17" s="32">
        <f t="shared" si="184"/>
        <v>166603.3328991477</v>
      </c>
      <c r="FD17" s="53">
        <f>MIN($EJ$14*InputData!$C$6/(1-(1+InputData!$C$6)^(-10)), FA17+FB17)</f>
        <v>34104.75970393102</v>
      </c>
      <c r="FE17" s="32">
        <f>FD17/((1+InputData!$C$3)^(IntMed!$B17-IntMed!$B$7))</f>
        <v>27977.781640770518</v>
      </c>
      <c r="FF17" s="5">
        <f t="shared" si="84"/>
        <v>104783.70715200147</v>
      </c>
      <c r="FG17" s="32">
        <f>FF17/((1+InputData!$C$7)^(IntMed!$B17-IntMed!$B$7))</f>
        <v>77968.918872124763</v>
      </c>
      <c r="FH17" s="5">
        <f t="shared" si="140"/>
        <v>235538.14563020383</v>
      </c>
      <c r="FI17" s="79"/>
      <c r="FJ17" s="32">
        <f t="shared" si="185"/>
        <v>234506.01519770036</v>
      </c>
      <c r="FK17" s="32">
        <f>FJ17*InputData!$C$6</f>
        <v>14562.823543777193</v>
      </c>
      <c r="FL17" s="32">
        <f t="shared" si="186"/>
        <v>229237.09026363061</v>
      </c>
      <c r="FM17" s="53">
        <f>MIN($EJ$14*InputData!$C$6/(1-(1+InputData!$C$6)^(-25)), FJ17+FK17)</f>
        <v>19831.748477846937</v>
      </c>
      <c r="FN17" s="32">
        <f>FM17/((1+InputData!$C$3)^(IntMed!$B17-IntMed!$B$7))</f>
        <v>16268.941147353433</v>
      </c>
      <c r="FO17" s="5">
        <f t="shared" si="88"/>
        <v>116492.54764541857</v>
      </c>
      <c r="FP17" s="32">
        <f>FO17/((1+InputData!$C$7)^(IntMed!$B17-IntMed!$B$7))</f>
        <v>86681.395833772796</v>
      </c>
      <c r="FQ17" s="5">
        <f t="shared" si="141"/>
        <v>273123.51853052858</v>
      </c>
      <c r="FR17" s="79"/>
      <c r="FS17" s="32">
        <f t="shared" si="187"/>
        <v>206459.40187807387</v>
      </c>
      <c r="FT17" s="32">
        <f>FS17*InputData!$C$6</f>
        <v>12821.128856628387</v>
      </c>
      <c r="FU17" s="32">
        <f t="shared" si="188"/>
        <v>188823.96024785156</v>
      </c>
      <c r="FV17" s="5">
        <f t="shared" si="173"/>
        <v>30456.570486850695</v>
      </c>
      <c r="FW17" s="32">
        <f>FV17/((1+InputData!$C$3)^(IntMed!$B17-IntMed!$B$7))</f>
        <v>24984.995818915799</v>
      </c>
      <c r="FX17" s="5">
        <f t="shared" si="92"/>
        <v>107776.49297385619</v>
      </c>
      <c r="FY17" s="32">
        <f>FX17/((1+InputData!$C$7)^(IntMed!$B17-IntMed!$B$7))</f>
        <v>80195.83259075605</v>
      </c>
      <c r="FZ17" s="5">
        <f t="shared" si="142"/>
        <v>248840.54652962426</v>
      </c>
      <c r="GC17" s="3">
        <f t="shared" si="3"/>
        <v>7</v>
      </c>
      <c r="GD17" s="4" t="str">
        <f t="shared" si="4"/>
        <v>Service (O4&gt;6 = (BP+BAH+BAS+VSP+BCPSP)*12)+ASP</v>
      </c>
      <c r="GE17" s="4"/>
      <c r="GF17" s="4"/>
      <c r="GG17" s="4"/>
      <c r="GH17" s="4"/>
      <c r="GI17" s="5">
        <f t="shared" si="5"/>
        <v>98796.36</v>
      </c>
      <c r="GJ17" s="5">
        <f t="shared" si="6"/>
        <v>20659.199999999997</v>
      </c>
      <c r="GK17" s="5">
        <f t="shared" si="7"/>
        <v>119455.56</v>
      </c>
      <c r="GL17" s="5">
        <f t="shared" si="8"/>
        <v>89526.779922880974</v>
      </c>
      <c r="GM17" s="5">
        <f t="shared" si="9"/>
        <v>18720.848134311655</v>
      </c>
      <c r="GN17" s="32">
        <f>IF(GL17-InputData!$C$158-InputData!$C$159&gt;=0,GL17-InputData!$C$158-InputData!$C$159,0)</f>
        <v>89526.779922880974</v>
      </c>
      <c r="GO17" s="32">
        <f>IF(GL17-IF(GL17&lt;=InputData!$C$146,InputData!$C$145,0)-MAX(InputData!$C$144,GU17)&gt;=0,GL17-IF(GL17&lt;=InputData!$C$146,InputData!$C$145,0)-MAX(InputData!$C$144,GU17),0)</f>
        <v>79526.779922880974</v>
      </c>
      <c r="GP17" s="32">
        <f>IF(GO17&lt;0,"Error",IF(GO17&lt;=InputData!$B$170,InputData!$C$170*GO17,IF(GO17&lt;=InputData!$B$171,InputData!$D$170+InputData!$C$171*(GO17-InputData!$B$170),IF(GO17&lt;=InputData!$B$172,InputData!$D$171+InputData!$C$172*(GO17-InputData!$B$171),IF(GO17&lt;=InputData!$B$173,InputData!$D$172+InputData!$C$173*(GO17-InputData!$B$172),IF(GO17&lt;=InputData!$B$174,InputData!$D$173+InputData!$C$174*(GO17-InputData!$B$173),IF(GO17&lt;=InputData!$B$175,InputData!$D$174+InputData!$C$175*(GO17-InputData!$B$174),InputData!$D$175+InputData!$C$176*(GO17-InputData!$B$175))))))))</f>
        <v>15810.444980720244</v>
      </c>
      <c r="GQ17" s="32">
        <f>IF(GL17&lt;=InputData!$C$150,InputData!$C$152,IF(GL17&lt;InputData!$C$151,IF(InputData!$C$152-0.25*IF(GL17-InputData!$C$150&lt;=0,0,GL17-InputData!$C$150)&lt;=0,0,InputData!$C$152-0.25*IF(GL17-InputData!$C$150&lt;=0,0,GL17-InputData!$C$150)),0))</f>
        <v>51900</v>
      </c>
      <c r="GR17" s="32">
        <f>IF(GL17-GQ17&lt;=0,0,IF(GL17-GQ17&lt;=InputData!$C$153,InputData!$C$154*(GL17-GQ17),InputData!$C$155*(GL17-GQ17)-InputData!$D$154))</f>
        <v>9782.9627799490536</v>
      </c>
      <c r="GS17" s="32">
        <f t="shared" si="93"/>
        <v>15810.444980720244</v>
      </c>
      <c r="GT17" s="32">
        <f>IF(GL17&gt;=0,IF(GL17&lt;=InputData!$C$148,InputData!$C$147*GL17,InputData!$C$147*InputData!$C$148)+InputData!$C$149*GL17,0)</f>
        <v>6848.7986641003954</v>
      </c>
      <c r="GU17" s="32">
        <f>IF(GN17&lt;0,0,IF(GN17&lt;=InputData!$B$163,InputData!$C$163*GN17,IF(GN17&lt;=InputData!$B$164,InputData!$D$163+InputData!$C$164*(GN17-InputData!$B$163),IF(GN17&lt;=InputData!$B$165,InputData!$D$164+InputData!$C$165*(GN17-InputData!$B$164),InputData!$D$165+InputData!$C$166*(GN17-InputData!$B$165)))))</f>
        <v>0</v>
      </c>
      <c r="GV17" s="43">
        <f t="shared" si="10"/>
        <v>0.25310017476714203</v>
      </c>
      <c r="GW17" s="43">
        <f t="shared" si="11"/>
        <v>0.20932785365836032</v>
      </c>
      <c r="GX17" s="5">
        <f t="shared" si="12"/>
        <v>85588.38441237199</v>
      </c>
      <c r="GY17" s="32">
        <f>GX17/((1+InputData!$C$7)^(IntMed!$B17-IntMed!$B$7))</f>
        <v>63685.796027087723</v>
      </c>
      <c r="GZ17" s="32">
        <f t="shared" si="94"/>
        <v>607173.55986387469</v>
      </c>
      <c r="HB17" s="3">
        <f t="shared" si="13"/>
        <v>7</v>
      </c>
      <c r="HC17" s="46" t="str">
        <f t="shared" si="14"/>
        <v>Service (O4&gt;6 = (BP+BAH+BAS+VSP+BCPSP)*12)+ASP</v>
      </c>
      <c r="HD17" s="4"/>
      <c r="HE17" s="4"/>
      <c r="HF17" s="4"/>
      <c r="HG17" s="4"/>
      <c r="HH17" s="5">
        <f t="shared" si="15"/>
        <v>98796.36</v>
      </c>
      <c r="HI17" s="5">
        <f t="shared" si="16"/>
        <v>20659.199999999997</v>
      </c>
      <c r="HJ17" s="5">
        <f t="shared" si="17"/>
        <v>119455.56</v>
      </c>
      <c r="HK17" s="5">
        <f t="shared" si="18"/>
        <v>89526.779922880974</v>
      </c>
      <c r="HL17" s="5">
        <f t="shared" si="19"/>
        <v>18720.848134311655</v>
      </c>
      <c r="HM17" s="32">
        <f>IF(HK17-InputData!$C$158-InputData!$C$159&gt;=0,HK17-InputData!$C$158-InputData!$C$159,0)</f>
        <v>89526.779922880974</v>
      </c>
      <c r="HN17" s="32">
        <f>IF(HK17-IF(HK17&lt;=InputData!$C$146,InputData!$C$145,0)-MAX(InputData!$C$144,HT17)&gt;=0,HK17-IF(HK17&lt;=InputData!$C$146,InputData!$C$145,0)-MAX(InputData!$C$144,HT17),0)</f>
        <v>79526.779922880974</v>
      </c>
      <c r="HO17" s="32">
        <f>IF(HN17&lt;0,"Error",IF(HN17&lt;=InputData!$B$170,InputData!$C$170*HN17,IF(HN17&lt;=InputData!$B$171,InputData!$D$170+InputData!$C$171*(HN17-InputData!$B$170),IF(HN17&lt;=InputData!$B$172,InputData!$D$171+InputData!$C$172*(HN17-InputData!$B$171),IF(HN17&lt;=InputData!$B$173,InputData!$D$172+InputData!$C$173*(HN17-InputData!$B$172),IF(HN17&lt;=InputData!$B$174,InputData!$D$173+InputData!$C$174*(HN17-InputData!$B$173),IF(HN17&lt;=InputData!$B$175,InputData!$D$174+InputData!$C$175*(HN17-InputData!$B$174),InputData!$D$175+InputData!$C$176*(HN17-InputData!$B$175))))))))</f>
        <v>15810.444980720244</v>
      </c>
      <c r="HP17" s="32">
        <f>IF(HK17&lt;=InputData!$C$150,InputData!$C$152,IF(HK17&lt;InputData!$C$151,IF(InputData!$C$152-0.25*IF(HK17-InputData!$C$150&lt;=0,0,HK17-InputData!$C$150)&lt;=0,0,InputData!$C$152-0.25*IF(HK17-InputData!$C$150&lt;=0,0,HK17-InputData!$C$150)),0))</f>
        <v>51900</v>
      </c>
      <c r="HQ17" s="32">
        <f>IF(HK17-HP17&lt;=0,0,IF(HK17-HP17&lt;=InputData!$C$153,InputData!$C$154*(HK17-HP17),InputData!$C$155*(HK17-HP17)-InputData!$D$154))</f>
        <v>9782.9627799490536</v>
      </c>
      <c r="HR17" s="32">
        <f t="shared" si="95"/>
        <v>15810.444980720244</v>
      </c>
      <c r="HS17" s="32">
        <f>IF(HK17&gt;=0,IF(HK17&lt;=InputData!$C$148,InputData!$C$147*HK17,InputData!$C$147*InputData!$C$148)+InputData!$C$149*HK17,0)</f>
        <v>6848.7986641003954</v>
      </c>
      <c r="HT17" s="32">
        <f>IF(HM17&lt;0,0,IF(HM17&lt;=InputData!$B$163,InputData!$C$163*HM17,IF(HM17&lt;=InputData!$B$164,InputData!$D$163+InputData!$C$164*(HM17-InputData!$B$163),IF(HM17&lt;=InputData!$B$165,InputData!$D$164+InputData!$C$165*(HM17-InputData!$B$164),InputData!$D$165+InputData!$C$166*(HM17-InputData!$B$165)))))</f>
        <v>0</v>
      </c>
      <c r="HU17" s="43">
        <f t="shared" si="96"/>
        <v>0.25310017476714203</v>
      </c>
      <c r="HV17" s="43">
        <f t="shared" si="97"/>
        <v>0.20932785365836032</v>
      </c>
      <c r="HW17" s="5">
        <f t="shared" si="98"/>
        <v>85588.38441237199</v>
      </c>
      <c r="HX17" s="32">
        <f>HW17/((1+InputData!$C$7)^(IntMed!$B17-IntMed!$B$7))</f>
        <v>63685.796027087723</v>
      </c>
      <c r="HY17" s="32">
        <f t="shared" si="99"/>
        <v>515049.83755320142</v>
      </c>
      <c r="IA17" s="3">
        <f t="shared" si="20"/>
        <v>7</v>
      </c>
      <c r="IB17" s="4" t="str">
        <f t="shared" si="21"/>
        <v>Service (O4&gt;6 = (BP+BAH+BAS+VSP+BCPSP)*12)+ASP</v>
      </c>
      <c r="IC17" s="5">
        <f t="shared" si="22"/>
        <v>98796.36</v>
      </c>
      <c r="ID17" s="5">
        <f t="shared" si="23"/>
        <v>20659.199999999997</v>
      </c>
      <c r="IE17" s="5">
        <f t="shared" si="24"/>
        <v>119455.56</v>
      </c>
      <c r="IF17" s="5">
        <f t="shared" si="25"/>
        <v>89526.779922880974</v>
      </c>
      <c r="IG17" s="5">
        <f t="shared" si="26"/>
        <v>18720.848134311655</v>
      </c>
      <c r="IH17" s="32">
        <f>IF(IF17-InputData!$C$158-InputData!$C$159&gt;=0,IF17-InputData!$C$158-InputData!$C$159,0)</f>
        <v>89526.779922880974</v>
      </c>
      <c r="II17" s="32">
        <f>IF(IF17-IF(IF17&lt;=InputData!$C$146,InputData!$C$145,0)-MAX(InputData!$C$144,IO17)&gt;=0,IF17-IF(IF17&lt;=InputData!$C$146,InputData!$C$145,0)-MAX(InputData!$C$144,IO17),0)</f>
        <v>79526.779922880974</v>
      </c>
      <c r="IJ17" s="32">
        <f>IF(II17&lt;0,"Error",IF(II17&lt;=InputData!$B$170,InputData!$C$170*II17,IF(II17&lt;=InputData!$B$171,InputData!$D$170+InputData!$C$171*(II17-InputData!$B$170),IF(II17&lt;=InputData!$B$172,InputData!$D$171+InputData!$C$172*(II17-InputData!$B$171),IF(II17&lt;=InputData!$B$173,InputData!$D$172+InputData!$C$173*(II17-InputData!$B$172),IF(II17&lt;=InputData!$B$174,InputData!$D$173+InputData!$C$174*(II17-InputData!$B$173),IF(II17&lt;=InputData!$B$175,InputData!$D$174+InputData!$C$175*(II17-InputData!$B$174),InputData!$D$175+InputData!$C$176*(II17-InputData!$B$175))))))))</f>
        <v>15810.444980720244</v>
      </c>
      <c r="IK17" s="32">
        <f>IF(IF17&lt;=InputData!$C$150,InputData!$C$152,IF(IF17&lt;InputData!$C$151,IF(InputData!$C$152-0.25*IF(IF17-InputData!$C$150&lt;=0,0,IF17-InputData!$C$150)&lt;=0,0,InputData!$C$152-0.25*IF(IF17-InputData!$C$150&lt;=0,0,IF17-InputData!$C$150)),0))</f>
        <v>51900</v>
      </c>
      <c r="IL17" s="32">
        <f>IF(IF17-IK17&lt;=0,0,IF(IF17-IK17&lt;=InputData!$C$153,InputData!$C$154*(IF17-IK17),InputData!$C$155*(IF17-IK17)-InputData!$D$154))</f>
        <v>9782.9627799490536</v>
      </c>
      <c r="IM17" s="32">
        <f t="shared" si="100"/>
        <v>15810.444980720244</v>
      </c>
      <c r="IN17" s="32">
        <f>IF(IF17&gt;=0,IF(IF17&lt;=InputData!$C$148,InputData!$C$147*IF17,InputData!$C$147*InputData!$C$148)+InputData!$C$149*IF17,0)</f>
        <v>6848.7986641003954</v>
      </c>
      <c r="IO17" s="32">
        <f>IF(IH17&lt;0,0,IF(IH17&lt;=InputData!$B$163,InputData!$C$163*IH17,IF(IH17&lt;=InputData!$B$164,InputData!$D$163+InputData!$C$164*(IH17-InputData!$B$163),IF(IH17&lt;=InputData!$B$165,InputData!$D$164+InputData!$C$165*(IH17-InputData!$B$164),InputData!$D$165+InputData!$C$166*(IH17-InputData!$B$165)))))</f>
        <v>0</v>
      </c>
      <c r="IP17" s="43">
        <f t="shared" si="101"/>
        <v>0.25310017476714203</v>
      </c>
      <c r="IQ17" s="43">
        <f t="shared" si="102"/>
        <v>0.20932785365836032</v>
      </c>
      <c r="IR17" s="5">
        <f t="shared" si="27"/>
        <v>85588.38441237199</v>
      </c>
      <c r="IS17" s="32">
        <f>IR17/((1+InputData!$C$7)^(IntMed!$B17-IntMed!$B$7))</f>
        <v>63685.796027087723</v>
      </c>
      <c r="IT17" s="5">
        <f t="shared" si="103"/>
        <v>607173.55986387469</v>
      </c>
      <c r="IV17" s="41">
        <f t="shared" si="28"/>
        <v>7</v>
      </c>
      <c r="IW17" s="91" t="str">
        <f t="shared" si="29"/>
        <v>Service (O4&gt;6 = (BP+BAH+BAS+VSP+BCPSP)*12)+ASP</v>
      </c>
      <c r="IX17" s="32">
        <f t="shared" si="30"/>
        <v>98796.36</v>
      </c>
      <c r="IY17" s="32">
        <f t="shared" si="31"/>
        <v>20659.199999999997</v>
      </c>
      <c r="IZ17" s="32">
        <f t="shared" si="32"/>
        <v>119455.56</v>
      </c>
      <c r="JA17" s="32">
        <f t="shared" si="33"/>
        <v>89526.779922880974</v>
      </c>
      <c r="JB17" s="32">
        <f t="shared" si="34"/>
        <v>18720.848134311655</v>
      </c>
      <c r="JC17" s="32">
        <f>IF(JA17-InputData!$C$158-InputData!$C$159&gt;=0,JA17-InputData!$C$158-InputData!$C$159,0)</f>
        <v>89526.779922880974</v>
      </c>
      <c r="JD17" s="32">
        <f>IF(JA17-IF(JA17&lt;=InputData!$C$146,InputData!$C$145,0)-MAX(InputData!$C$144,JJ17)&gt;=0,JA17-IF(JA17&lt;=InputData!$C$146,InputData!$C$145,0)-MAX(InputData!$C$144,JJ17),0)</f>
        <v>79526.779922880974</v>
      </c>
      <c r="JE17" s="32">
        <f>IF(JD17&lt;0,"Error",IF(JD17&lt;=InputData!$B$170,InputData!$C$170*JD17,IF(JD17&lt;=InputData!$B$171,InputData!$D$170+InputData!$C$171*(JD17-InputData!$B$170),IF(JD17&lt;=InputData!$B$172,InputData!$D$171+InputData!$C$172*(JD17-InputData!$B$171),IF(JD17&lt;=InputData!$B$173,InputData!$D$172+InputData!$C$173*(JD17-InputData!$B$172),IF(JD17&lt;=InputData!$B$174,InputData!$D$173+InputData!$C$174*(JD17-InputData!$B$173),IF(JD17&lt;=InputData!$B$175,InputData!$D$174+InputData!$C$175*(JD17-InputData!$B$174),InputData!$D$175+InputData!$C$176*(JD17-InputData!$B$175))))))))</f>
        <v>15810.444980720244</v>
      </c>
      <c r="JF17" s="32">
        <f>IF(JA17&lt;=InputData!$C$150,InputData!$C$152,IF(JA17&lt;InputData!$C$151,IF(InputData!$C$152-0.25*IF(JA17-InputData!$C$150&lt;=0,0,JA17-InputData!$C$150)&lt;=0,0,InputData!$C$152-0.25*IF(JA17-InputData!$C$150&lt;=0,0,JA17-InputData!$C$150)),0))</f>
        <v>51900</v>
      </c>
      <c r="JG17" s="32">
        <f>IF(JA17-JF17&lt;=0,0,IF(JA17-JF17&lt;=InputData!$C$153,InputData!$C$154*(JA17-JF17),InputData!$C$155*(JA17-JF17)-InputData!$D$154))</f>
        <v>9782.9627799490536</v>
      </c>
      <c r="JH17" s="32">
        <f t="shared" si="104"/>
        <v>15810.444980720244</v>
      </c>
      <c r="JI17" s="32">
        <f>IF(JA17&gt;=0,IF(JA17&lt;=InputData!$C$148,InputData!$C$147*JA17,InputData!$C$147*InputData!$C$148)+InputData!$C$149*JA17,0)</f>
        <v>6848.7986641003954</v>
      </c>
      <c r="JJ17" s="32">
        <f>IF(JC17&lt;0,0,IF(JC17&lt;=InputData!$B$163,InputData!$C$163*JC17,IF(JC17&lt;=InputData!$B$164,InputData!$D$163+InputData!$C$164*(JC17-InputData!$B$163),IF(JC17&lt;=InputData!$B$165,InputData!$D$164+InputData!$C$165*(JC17-InputData!$B$164),InputData!$D$165+InputData!$C$166*(JC17-InputData!$B$165)))))</f>
        <v>0</v>
      </c>
      <c r="JK17" s="42">
        <f t="shared" si="105"/>
        <v>0.25310017476714203</v>
      </c>
      <c r="JL17" s="42">
        <f t="shared" si="106"/>
        <v>0.20932785365836032</v>
      </c>
      <c r="JM17" s="32">
        <f t="shared" si="35"/>
        <v>85588.38441237199</v>
      </c>
      <c r="JN17" s="32">
        <f>JM17/((1+InputData!$C$7)^(IntMed!$B17-IntMed!$B$7))</f>
        <v>63685.796027087723</v>
      </c>
      <c r="JO17" s="32">
        <f t="shared" si="107"/>
        <v>515049.83755320142</v>
      </c>
      <c r="JQ17" s="56" t="s">
        <v>242</v>
      </c>
      <c r="JR17" s="32">
        <f>$JR$14*(1+InputData!$C$3+InputData!$C$4)^(IntMed!$B17-IntMed!$B$14)</f>
        <v>175727.97809747525</v>
      </c>
      <c r="JS17" s="32">
        <v>0</v>
      </c>
      <c r="JT17" s="32">
        <f t="shared" si="108"/>
        <v>175727.97809747525</v>
      </c>
      <c r="JU17" s="5">
        <f>JR17*(1/(1+InputData!$C$3))^(IntMed!$B17-IntMed!$B$7)</f>
        <v>144158.1480727623</v>
      </c>
      <c r="JV17" s="5">
        <f>JS17*(1/(1+InputData!$C$3))^(IntMed!$B17-IntMed!$B$7)</f>
        <v>0</v>
      </c>
      <c r="JW17" s="32">
        <f>IF(JU17-InputData!$C$158-InputData!$C$159&gt;=0,JU17-InputData!$C$158-InputData!$C$159,0)</f>
        <v>144158.1480727623</v>
      </c>
      <c r="JX17" s="32">
        <f>IF(JU17-IF(JU17&lt;=InputData!$C$146,InputData!$C$145,0)-MAX(InputData!$C$144,KD17)&gt;=0,JU17-IF(JU17&lt;=InputData!$C$146,InputData!$C$145,0)-MAX(InputData!$C$144,KD17),0)</f>
        <v>134158.1480727623</v>
      </c>
      <c r="JY17" s="32">
        <f>IF(JX17&lt;0,"Error",IF(JX17&lt;=InputData!$B$170,InputData!$C$170*JX17,IF(JX17&lt;=InputData!$B$171,InputData!$D$170+InputData!$C$171*(JX17-InputData!$B$170),IF(JX17&lt;=InputData!$B$172,InputData!$D$171+InputData!$C$172*(JX17-InputData!$B$171),IF(JX17&lt;=InputData!$B$173,InputData!$D$172+InputData!$C$173*(JX17-InputData!$B$172),IF(JX17&lt;=InputData!$B$174,InputData!$D$173+InputData!$C$174*(JX17-InputData!$B$173),IF(JX17&lt;=InputData!$B$175,InputData!$D$174+InputData!$C$175*(JX17-InputData!$B$174),InputData!$D$175+InputData!$C$176*(JX17-InputData!$B$175))))))))</f>
        <v>30857.531460373444</v>
      </c>
      <c r="JZ17" s="32">
        <f>IF(JU17&lt;=InputData!$C$150,InputData!$C$152,IF(JU17&lt;InputData!$C$151,IF(InputData!$C$152-0.25*IF(JU17-InputData!$C$150&lt;=0,0,JU17-InputData!$C$150)&lt;=0,0,InputData!$C$152-0.25*IF(JU17-InputData!$C$150&lt;=0,0,JU17-InputData!$C$150)),0))</f>
        <v>44710.462981809425</v>
      </c>
      <c r="KA17" s="32">
        <f>IF(JU17-JZ17&lt;=0,0,IF(JU17-JZ17&lt;=InputData!$C$153,InputData!$C$154*(JU17-JZ17),InputData!$C$155*(JU17-JZ17)-InputData!$D$154))</f>
        <v>25856.398123647748</v>
      </c>
      <c r="KB17" s="32">
        <f t="shared" si="109"/>
        <v>30857.531460373444</v>
      </c>
      <c r="KC17" s="32">
        <f>IF(JU17&gt;=0,IF(JU17&lt;=InputData!$C$148,InputData!$C$147*JU17,InputData!$C$147*InputData!$C$148)+InputData!$C$149*JU17,0)</f>
        <v>9139.6931470550535</v>
      </c>
      <c r="KD17" s="32">
        <f>IF(JW17&lt;0,0,IF(JW17&lt;=InputData!$B$163,InputData!$C$163*JW17,IF(JW17&lt;=InputData!$B$164,InputData!$D$163+InputData!$C$164*(JW17-InputData!$B$163),IF(JW17&lt;=InputData!$B$165,InputData!$D$164+InputData!$C$165*(JW17-InputData!$B$164),InputData!$D$165+InputData!$C$166*(JW17-InputData!$B$165)))))</f>
        <v>0</v>
      </c>
      <c r="KE17" s="43">
        <f t="shared" si="110"/>
        <v>0.27745379045269314</v>
      </c>
      <c r="KF17" s="43">
        <f t="shared" si="111"/>
        <v>0.27745379045269314</v>
      </c>
      <c r="KG17" s="5">
        <f t="shared" si="112"/>
        <v>104160.92346533381</v>
      </c>
      <c r="KH17" s="32">
        <f>KG17/((1+InputData!$C$7)^(IntMed!$B17-IntMed!$B$7))</f>
        <v>77505.509320578392</v>
      </c>
      <c r="KI17" s="5">
        <f t="shared" si="143"/>
        <v>478739.45662979071</v>
      </c>
      <c r="KK17" s="149">
        <v>2</v>
      </c>
      <c r="KL17" s="145" t="s">
        <v>374</v>
      </c>
      <c r="KM17">
        <v>32</v>
      </c>
      <c r="KN17" s="41" t="s">
        <v>367</v>
      </c>
      <c r="KO17" s="5">
        <f>InputData!$C128*(1+InputData!$C$5)^(IntMed!$B17-IntMed!$B$7)</f>
        <v>210857.95257232772</v>
      </c>
      <c r="KP17" s="5">
        <v>0</v>
      </c>
      <c r="KQ17" s="5">
        <f t="shared" si="169"/>
        <v>210857.95257232772</v>
      </c>
      <c r="KR17" s="32">
        <f>KR16*(1+InputData!$C$8)</f>
        <v>14006.245885739763</v>
      </c>
      <c r="KS17" s="5">
        <f>KO17*(1/(1+InputData!$C$3))^(IntMed!$B17-IntMed!$B$7)</f>
        <v>172976.96290786512</v>
      </c>
      <c r="KT17" s="5">
        <f>KP17*(1/(1+InputData!$C$3))^(IntMed!$B17-IntMed!$B$7)</f>
        <v>0</v>
      </c>
      <c r="KU17" s="32" t="s">
        <v>141</v>
      </c>
      <c r="KV17" s="32">
        <v>0</v>
      </c>
      <c r="KW17" s="133">
        <f t="shared" si="165"/>
        <v>212416.2</v>
      </c>
      <c r="KX17" s="5">
        <f>KW17*InputData!$C$6</f>
        <v>13191.046020000002</v>
      </c>
      <c r="KY17" s="133">
        <f t="shared" si="166"/>
        <v>1783.9619777301341</v>
      </c>
      <c r="KZ17" s="118">
        <f t="shared" si="155"/>
        <v>18984.858374371808</v>
      </c>
      <c r="LA17" s="32">
        <f t="shared" si="167"/>
        <v>214200.16197773017</v>
      </c>
      <c r="LB17" s="32">
        <f>KZ17/((1+InputData!$C$3)^(IntMed!$B17-IntMed!$B$7))</f>
        <v>15574.196290786518</v>
      </c>
      <c r="LC17" s="32">
        <f>IF(KS17-InputData!$C$158-InputData!$C$159&gt;=0,KS17-InputData!$C$158-InputData!$C$159,0)</f>
        <v>172976.96290786512</v>
      </c>
      <c r="LD17" s="32">
        <f>IF(KS17-IF(KS17&lt;=InputData!$C$146,InputData!$C$145,0)-MAX(InputData!$C$144,LJ17)&gt;=0,KS17-IF(KS17&lt;=InputData!$C$146,InputData!$C$145,0)-MAX(InputData!$C$144,LJ17),0)</f>
        <v>166876.96290786512</v>
      </c>
      <c r="LE17" s="32">
        <f>IF(LD17&lt;0,"Error",IF(LD17&lt;=InputData!$B$170,InputData!$C$170*LD17,IF(LD17&lt;=InputData!$B$171,InputData!$D$170+InputData!$C$171*(LD17-InputData!$B$170),IF(LD17&lt;=InputData!$B$172,InputData!$D$171+InputData!$C$172*(LD17-InputData!$B$171),IF(LD17&lt;=InputData!$B$173,InputData!$D$172+InputData!$C$173*(LD17-InputData!$B$172),IF(LD17&lt;=InputData!$B$174,InputData!$D$173+InputData!$C$174*(LD17-InputData!$B$173),IF(LD17&lt;=InputData!$B$175,InputData!$D$174+InputData!$C$175*(LD17-InputData!$B$174),InputData!$D$175+InputData!$C$176*(LD17-InputData!$B$175))))))))</f>
        <v>40018.799614202231</v>
      </c>
      <c r="LF17" s="32">
        <f>IF(KS17&lt;=InputData!$C$150,InputData!$C$152,IF(KS17&lt;InputData!$C$151,IF(InputData!$C$152-0.25*IF(KS17-InputData!$C$150&lt;=0,0,KS17-InputData!$C$150)&lt;=0,0,InputData!$C$152-0.25*IF(KS17-InputData!$C$150&lt;=0,0,KS17-InputData!$C$150)),0))</f>
        <v>37505.75927303372</v>
      </c>
      <c r="LG17" s="32">
        <f>IF(KS17-LF17&lt;=0,0,IF(KS17-LF17&lt;=InputData!$C$153,InputData!$C$154*(KS17-LF17),InputData!$C$155*(KS17-LF17)-InputData!$D$154))</f>
        <v>35222.512945056165</v>
      </c>
      <c r="LH17" s="32">
        <f t="shared" si="118"/>
        <v>40018.799614202231</v>
      </c>
      <c r="LI17" s="32">
        <f>IF(KS17&gt;=0,IF(KS17&lt;=InputData!$C$148,InputData!$C$147*KS17,InputData!$C$147*InputData!$C$148)+InputData!$C$149*KS17,0)</f>
        <v>9557.5659621640443</v>
      </c>
      <c r="LJ17" s="32">
        <f>IF(LC17&lt;0,0,IF(LC17&lt;=InputData!$B$163,InputData!$C$163*LC17,IF(LC17&lt;=InputData!$B$164,InputData!$D$163+InputData!$C$164*(LC17-InputData!$B$163),IF(LC17&lt;=InputData!$B$165,InputData!$D$164+InputData!$C$165*(LC17-InputData!$B$164),InputData!$D$165+InputData!$C$166*(LC17-InputData!$B$165)))))</f>
        <v>0</v>
      </c>
      <c r="LK17" s="43">
        <f t="shared" si="156"/>
        <v>0.28660675238455163</v>
      </c>
      <c r="LL17" s="32">
        <f t="shared" si="119"/>
        <v>123400.59733149884</v>
      </c>
      <c r="LM17" s="5">
        <f t="shared" si="120"/>
        <v>107826.40104071231</v>
      </c>
      <c r="LN17" s="32">
        <f>LM17/((1+InputData!$C$7)^(IntMed!$B17-IntMed!$B$7))</f>
        <v>80232.968879607943</v>
      </c>
      <c r="LO17" s="5">
        <f t="shared" si="145"/>
        <v>238025.62422551654</v>
      </c>
      <c r="LQ17" s="157" t="str">
        <f t="shared" si="37"/>
        <v>Private Practice</v>
      </c>
      <c r="LR17" s="32">
        <f t="shared" si="121"/>
        <v>224053.17207428094</v>
      </c>
      <c r="LS17" s="32">
        <v>0</v>
      </c>
      <c r="LT17" s="32">
        <f t="shared" si="123"/>
        <v>224053.17207428094</v>
      </c>
      <c r="LU17" s="32">
        <f>LU16*(1+InputData!$C$8)</f>
        <v>14006.245885739763</v>
      </c>
      <c r="LV17" s="32">
        <f>LR17/((1+InputData!$C$3)^(IntMed!$B17-IntMed!$B$7))</f>
        <v>183801.63879277199</v>
      </c>
      <c r="LW17" s="32">
        <f>LS17/((1+InputData!$C$3)^(IntMed!$B17-IntMed!$B$7))</f>
        <v>0</v>
      </c>
      <c r="LX17" s="32" t="s">
        <v>141</v>
      </c>
      <c r="LY17" s="32">
        <v>0</v>
      </c>
      <c r="LZ17" s="32">
        <f t="shared" si="189"/>
        <v>0</v>
      </c>
      <c r="MA17" s="32">
        <f>(LZ17)*InputData!$C$6</f>
        <v>0</v>
      </c>
      <c r="MB17" s="32">
        <f>MIN($BE$14*InputData!$C$6/(1-(1+InputData!$C$6)^(-10)), LZ17+MA17)</f>
        <v>0</v>
      </c>
      <c r="MC17" s="32">
        <f t="shared" si="168"/>
        <v>0</v>
      </c>
      <c r="MD17" s="32">
        <f>MB17/((1+InputData!$C$3)^(IntMed!$B17-IntMed!$B$7))</f>
        <v>0</v>
      </c>
      <c r="ME17" s="32">
        <f>IF(LV17-InputData!$C$158-InputData!$C$159&gt;=0,LV17-InputData!$C$158-InputData!$C$159,0)</f>
        <v>183801.63879277199</v>
      </c>
      <c r="MF17" s="32">
        <f>IF(LV17-IF(LV17&lt;=InputData!$C$146,InputData!$C$145,0)-MAX(InputData!$C$144,ML17)&gt;=0,LV17-IF(LV17&lt;=InputData!$C$146,InputData!$C$145,0)-MAX(InputData!$C$144,ML17),0)</f>
        <v>177701.63879277199</v>
      </c>
      <c r="MG17" s="32">
        <f>IF(MF17&lt;0,"Error",IF(MF17&lt;=InputData!$B$170,InputData!$C$170*MF17,IF(MF17&lt;=InputData!$B$171,InputData!$D$170+InputData!$C$171*(MF17-InputData!$B$170),IF(MF17&lt;=InputData!$B$172,InputData!$D$171+InputData!$C$172*(MF17-InputData!$B$171),IF(MF17&lt;=InputData!$B$173,InputData!$D$172+InputData!$C$173*(MF17-InputData!$B$172),IF(MF17&lt;=InputData!$B$174,InputData!$D$173+InputData!$C$174*(MF17-InputData!$B$173),IF(MF17&lt;=InputData!$B$175,InputData!$D$174+InputData!$C$175*(MF17-InputData!$B$174),InputData!$D$175+InputData!$C$176*(MF17-InputData!$B$175))))))))</f>
        <v>43049.708861976163</v>
      </c>
      <c r="MH17" s="32">
        <f>IF(LV17&lt;=InputData!$C$150,InputData!$C$152,IF(LV17&lt;InputData!$C$151,IF(InputData!$C$152-0.25*IF(LV17-InputData!$C$150&lt;=0,0,LV17-InputData!$C$150)&lt;=0,0,InputData!$C$152-0.25*IF(LV17-InputData!$C$150&lt;=0,0,LV17-InputData!$C$150)),0))</f>
        <v>34799.590301807002</v>
      </c>
      <c r="MI17" s="32">
        <f>IF(LV17-MH17&lt;=0,0,IF(LV17-MH17&lt;=InputData!$C$153,InputData!$C$154*(LV17-MH17),InputData!$C$155*(LV17-MH17)-InputData!$D$154))</f>
        <v>38740.532607650894</v>
      </c>
      <c r="MJ17" s="32">
        <f t="shared" si="124"/>
        <v>43049.708861976163</v>
      </c>
      <c r="MK17" s="32">
        <f>IF(LV17&gt;=0,IF(LV17&lt;=InputData!$C$148,InputData!$C$147*LV17,InputData!$C$147*InputData!$C$148)+InputData!$C$149*LV17,0)</f>
        <v>9714.5237624951933</v>
      </c>
      <c r="ML17" s="32">
        <f>IF(ME17&lt;0,0,IF(ME17&lt;=InputData!$B$163,InputData!$C$163*ME17,IF(ME17&lt;=InputData!$B$164,InputData!$D$163+InputData!$C$164*(ME17-InputData!$B$163),IF(ME17&lt;=InputData!$B$165,InputData!$D$164+InputData!$C$165*(ME17-InputData!$B$164),InputData!$D$165+InputData!$C$166*(ME17-InputData!$B$165)))))</f>
        <v>0</v>
      </c>
      <c r="MM17" s="43">
        <f t="shared" si="38"/>
        <v>0.28707161139058524</v>
      </c>
      <c r="MN17" s="32">
        <f t="shared" si="125"/>
        <v>131037.40616830063</v>
      </c>
      <c r="MO17" s="32">
        <f t="shared" si="126"/>
        <v>131037.40616830063</v>
      </c>
      <c r="MP17" s="32">
        <f>MO17/((1+InputData!$C$7)^(IntMed!$B17-IntMed!$B$7))</f>
        <v>97504.1365536831</v>
      </c>
      <c r="MQ17" s="5">
        <f t="shared" si="147"/>
        <v>509899.56272265909</v>
      </c>
    </row>
    <row r="18" spans="1:355" ht="14.45" x14ac:dyDescent="0.3">
      <c r="A18" s="53">
        <v>2024</v>
      </c>
      <c r="B18" s="51">
        <v>12</v>
      </c>
      <c r="C18" s="4"/>
      <c r="D18" s="3">
        <v>8</v>
      </c>
      <c r="E18" s="4" t="s">
        <v>20</v>
      </c>
      <c r="F18" s="5">
        <f>InputData!$G$23*12</f>
        <v>69296.399999999994</v>
      </c>
      <c r="G18" s="5">
        <f>(InputData!$G$23+InputData!$E$45+InputData!$C$50)*12+InputData!$J$50</f>
        <v>98796.36</v>
      </c>
      <c r="H18" s="5">
        <f>(InputData!$C$34+InputData!$C$40)*12</f>
        <v>20659.199999999997</v>
      </c>
      <c r="I18" s="5">
        <f t="shared" si="39"/>
        <v>119455.56</v>
      </c>
      <c r="J18" s="5">
        <f>G18*((1+InputData!$C$5)/(1+InputData!$C$3))^(IntMed!$B18-IntMed!$B$7)</f>
        <v>88649.066394225287</v>
      </c>
      <c r="K18" s="5">
        <f>H18*((1+InputData!$C$5)/(1+InputData!$C$3))^(IntMed!$B18-IntMed!$B$7)</f>
        <v>18537.310407504676</v>
      </c>
      <c r="L18" s="32">
        <f>IF(J18-InputData!$C$158-InputData!$C$159&gt;=0,J18-InputData!$C$158-InputData!$C$159,0)</f>
        <v>88649.066394225287</v>
      </c>
      <c r="M18" s="32">
        <f>IF(J18-IF(J18&lt;=InputData!$C$146,InputData!$C$145,0)-MAX(InputData!$C$144,S18)&gt;=0,J18-IF(J18&lt;=InputData!$C$146,InputData!$C$145,0)-MAX(InputData!$C$144,S18),0)</f>
        <v>78649.066394225287</v>
      </c>
      <c r="N18" s="32">
        <f>IF(M18&lt;0,"Error",IF(M18&lt;=InputData!$B$170,InputData!$C$170*M18,IF(M18&lt;=InputData!$B$171,InputData!$D$170+InputData!$C$171*(M18-InputData!$B$170),IF(M18&lt;=InputData!$B$172,InputData!$D$171+InputData!$C$172*(M18-InputData!$B$171),IF(M18&lt;=InputData!$B$173,InputData!$D$172+InputData!$C$173*(M18-InputData!$B$172),IF(M18&lt;=InputData!$B$174,InputData!$D$173+InputData!$C$174*(M18-InputData!$B$173),IF(M18&lt;=InputData!$B$175,InputData!$D$174+InputData!$C$175*(M18-InputData!$B$174),InputData!$D$175+InputData!$C$176*(M18-InputData!$B$175))))))))</f>
        <v>15591.016598556322</v>
      </c>
      <c r="O18" s="32">
        <f>IF(J18&lt;=InputData!$C$150,InputData!$C$152,IF(J18&lt;InputData!$C$151,IF(InputData!$C$152-0.25*IF(J18-InputData!$C$150&lt;=0,0,J18-InputData!$C$150)&lt;=0,0,InputData!$C$152-0.25*IF(J18-InputData!$C$150&lt;=0,0,J18-InputData!$C$150)),0))</f>
        <v>51900</v>
      </c>
      <c r="P18" s="32">
        <f>IF(J18-O18&lt;=0,0,IF(J18-O18&lt;=InputData!$C$153,InputData!$C$154*(J18-O18),InputData!$C$155*(J18-O18)-InputData!$D$154))</f>
        <v>9554.7572624985751</v>
      </c>
      <c r="Q18" s="32">
        <f t="shared" si="40"/>
        <v>15591.016598556322</v>
      </c>
      <c r="R18" s="32">
        <f>IF(J18&gt;=0,IF(J18&lt;=InputData!$C$148,InputData!$C$147*J18,InputData!$C$147*InputData!$C$148)+InputData!$C$149*J18,0)</f>
        <v>6781.6535791582337</v>
      </c>
      <c r="S18" s="32">
        <f>IF(L18&lt;0,0,IF(L18&lt;=InputData!$B$163,InputData!$C$163*L18,IF(L18&lt;=InputData!$B$164,InputData!$D$163+InputData!$C$164*(L18-InputData!$B$163),IF(L18&lt;=InputData!$B$165,InputData!$D$164+InputData!$C$165*(L18-InputData!$B$164),InputData!$D$165+InputData!$C$166*(L18-InputData!$B$165)))))</f>
        <v>0</v>
      </c>
      <c r="T18" s="43">
        <f t="shared" si="41"/>
        <v>0.25237344382424248</v>
      </c>
      <c r="U18" s="43">
        <f t="shared" si="42"/>
        <v>0.20872680694393494</v>
      </c>
      <c r="V18" s="5">
        <f t="shared" si="43"/>
        <v>84813.706624015409</v>
      </c>
      <c r="W18" s="32">
        <f>V18/((1+InputData!$C$7)^(IntMed!$B18-IntMed!$B$7))</f>
        <v>61271.226212394111</v>
      </c>
      <c r="X18" s="5">
        <f t="shared" si="127"/>
        <v>668444.78607626876</v>
      </c>
      <c r="Y18" s="53"/>
      <c r="Z18" s="3">
        <v>8</v>
      </c>
      <c r="AA18" s="97" t="s">
        <v>260</v>
      </c>
      <c r="AB18" s="5">
        <f t="shared" ref="AB18:AB30" si="192">F18</f>
        <v>69296.399999999994</v>
      </c>
      <c r="AC18" s="5">
        <f>G18+InputData!$D$57+InputData!$J$57</f>
        <v>153796.35999999999</v>
      </c>
      <c r="AD18" s="5">
        <f t="shared" ref="AD18:AD36" si="193">H18</f>
        <v>20659.199999999997</v>
      </c>
      <c r="AE18" s="5">
        <f t="shared" si="44"/>
        <v>174455.56</v>
      </c>
      <c r="AF18" s="5">
        <f>AC18*((1+InputData!$C$5)/(1+InputData!$C$3))^(IntMed!$B18-IntMed!$B$7)</f>
        <v>138000.0612252331</v>
      </c>
      <c r="AG18" s="5">
        <f>AD18*((1+InputData!$C$5)/(1+InputData!$C$3))^(IntMed!$B18-IntMed!$B$7)</f>
        <v>18537.310407504676</v>
      </c>
      <c r="AH18" s="32">
        <f>IF(AF18-InputData!$C$158-InputData!$C$159&gt;=0,AF18-InputData!$C$158-InputData!$C$159,0)</f>
        <v>138000.0612252331</v>
      </c>
      <c r="AI18" s="32">
        <f>IF(AF18-IF(AF18&lt;=InputData!$C$146,InputData!$C$145,0)-MAX(InputData!$C$144,AO18)&gt;=0,AF18-IF(AF18&lt;=InputData!$C$146,InputData!$C$145,0)-MAX(InputData!$C$144,AO18),0)</f>
        <v>128000.0612252331</v>
      </c>
      <c r="AJ18" s="32">
        <f>IF(AI18&lt;0,"Error",IF(AI18&lt;=InputData!$B$170,InputData!$C$170*AI18,IF(AI18&lt;=InputData!$B$171,InputData!$D$170+InputData!$C$171*(AI18-InputData!$B$170),IF(AI18&lt;=InputData!$B$172,InputData!$D$171+InputData!$C$172*(AI18-InputData!$B$171),IF(AI18&lt;=InputData!$B$173,InputData!$D$172+InputData!$C$173*(AI18-InputData!$B$172),IF(AI18&lt;=InputData!$B$174,InputData!$D$173+InputData!$C$174*(AI18-InputData!$B$173),IF(AI18&lt;=InputData!$B$175,InputData!$D$174+InputData!$C$175*(AI18-InputData!$B$174),InputData!$D$175+InputData!$C$176*(AI18-InputData!$B$175))))))))</f>
        <v>29133.26714306527</v>
      </c>
      <c r="AK18" s="32">
        <f>IF(AF18&lt;=InputData!$C$150,InputData!$C$152,IF(AF18&lt;InputData!$C$151,IF(InputData!$C$152-0.25*IF(AF18-InputData!$C$150&lt;=0,0,AF18-InputData!$C$150)&lt;=0,0,InputData!$C$152-0.25*IF(AF18-InputData!$C$150&lt;=0,0,AF18-InputData!$C$150)),0))</f>
        <v>46249.984693691724</v>
      </c>
      <c r="AL18" s="32">
        <f>IF(AF18-AK18&lt;=0,0,IF(AF18-AK18&lt;=InputData!$C$153,InputData!$C$154*(AF18-AK18),InputData!$C$155*(AF18-AK18)-InputData!$D$154))</f>
        <v>23855.019898200761</v>
      </c>
      <c r="AM18" s="32">
        <f t="shared" si="45"/>
        <v>29133.26714306527</v>
      </c>
      <c r="AN18" s="32">
        <f>IF(AF18&gt;=0,IF(AF18&lt;=InputData!$C$148,InputData!$C$147*AF18,InputData!$C$147*InputData!$C$148)+InputData!$C$149*AF18,0)</f>
        <v>9050.4008877658798</v>
      </c>
      <c r="AO18" s="32">
        <f>IF(AH18&lt;0,0,IF(AH18&lt;=InputData!$B$163,InputData!$C$163*AH18,IF(AH18&lt;=InputData!$B$164,InputData!$D$163+InputData!$C$164*(AH18-InputData!$B$163),IF(AH18&lt;=InputData!$B$165,InputData!$D$164+InputData!$C$165*(AH18-InputData!$B$164),InputData!$D$165+InputData!$C$166*(AH18-InputData!$B$165)))))</f>
        <v>0</v>
      </c>
      <c r="AP18" s="43">
        <f t="shared" si="46"/>
        <v>0.27669312384224742</v>
      </c>
      <c r="AQ18" s="43">
        <f t="shared" si="47"/>
        <v>0.24392685039082082</v>
      </c>
      <c r="AR18" s="5">
        <f t="shared" si="48"/>
        <v>118353.70360190663</v>
      </c>
      <c r="AS18" s="32">
        <f>AR18/((1+InputData!$C$7)^(IntMed!$B18-IntMed!$B$7))</f>
        <v>85501.233646280918</v>
      </c>
      <c r="AT18" s="5">
        <f t="shared" si="128"/>
        <v>600551.07119948231</v>
      </c>
      <c r="AU18" s="53"/>
      <c r="AV18" s="41" t="s">
        <v>109</v>
      </c>
      <c r="AW18" s="32">
        <f>$AW$14*(1+InputData!$C$3+InputData!$C$4)^(IntMed!$B18-IntMed!$B$14)</f>
        <v>230774.76723650933</v>
      </c>
      <c r="AX18" s="32">
        <v>0</v>
      </c>
      <c r="AY18" s="32">
        <f t="shared" si="50"/>
        <v>230774.76723650933</v>
      </c>
      <c r="AZ18" s="32">
        <f>AZ17*(1+InputData!$C$8)</f>
        <v>14286.370803454558</v>
      </c>
      <c r="BA18" s="32">
        <f>AW18/((1+InputData!$C$3)^(IntMed!$B18-IntMed!$B$7))</f>
        <v>185603.61564368152</v>
      </c>
      <c r="BB18" s="32">
        <f>AX18/((1+InputData!$C$3)^(IntMed!$B18-IntMed!$B$7))</f>
        <v>0</v>
      </c>
      <c r="BC18" s="32" t="s">
        <v>141</v>
      </c>
      <c r="BD18" s="32">
        <v>0</v>
      </c>
      <c r="BE18" s="32">
        <f t="shared" si="174"/>
        <v>164497.41993352602</v>
      </c>
      <c r="BF18" s="32">
        <f>(BE18)*InputData!$C$6</f>
        <v>10215.289777871967</v>
      </c>
      <c r="BG18" s="32">
        <f>MIN($BE$14*InputData!$C$6/(1-(1+InputData!$C$6)^(-10)), BE18+BF18)</f>
        <v>33673.665953283198</v>
      </c>
      <c r="BH18" s="32">
        <f t="shared" si="157"/>
        <v>141039.0437581148</v>
      </c>
      <c r="BI18" s="32">
        <f>BG18/((1+InputData!$C$3)^(IntMed!$B18-IntMed!$B$7))</f>
        <v>27082.484916999783</v>
      </c>
      <c r="BJ18" s="32">
        <f>IF(BA18-InputData!$C$158-InputData!$C$159&gt;=0,BA18-InputData!$C$158-InputData!$C$159,0)</f>
        <v>185603.61564368152</v>
      </c>
      <c r="BK18" s="32">
        <f>IF(BA18-IF(BA18&lt;=InputData!$C$146,InputData!$C$145,0)-MAX(InputData!$C$144,BQ18)&gt;=0,BA18-IF(BA18&lt;=InputData!$C$146,InputData!$C$145,0)-MAX(InputData!$C$144,BQ18),0)</f>
        <v>179503.61564368152</v>
      </c>
      <c r="BL18" s="32">
        <f>IF(BK18&lt;0,"Error",IF(BK18&lt;=InputData!$B$170,InputData!$C$170*BK18,IF(BK18&lt;=InputData!$B$171,InputData!$D$170+InputData!$C$171*(BK18-InputData!$B$170),IF(BK18&lt;=InputData!$B$172,InputData!$D$171+InputData!$C$172*(BK18-InputData!$B$171),IF(BK18&lt;=InputData!$B$173,InputData!$D$172+InputData!$C$173*(BK18-InputData!$B$172),IF(BK18&lt;=InputData!$B$174,InputData!$D$173+InputData!$C$174*(BK18-InputData!$B$173),IF(BK18&lt;=InputData!$B$175,InputData!$D$174+InputData!$C$175*(BK18-InputData!$B$174),InputData!$D$175+InputData!$C$176*(BK18-InputData!$B$175))))))))</f>
        <v>43554.26238023083</v>
      </c>
      <c r="BM18" s="32">
        <f>IF(BA18&lt;=InputData!$C$150,InputData!$C$152,IF(BA18&lt;InputData!$C$151,IF(InputData!$C$152-0.25*IF(BA18-InputData!$C$150&lt;=0,0,BA18-InputData!$C$150)&lt;=0,0,InputData!$C$152-0.25*IF(BA18-InputData!$C$150&lt;=0,0,BA18-InputData!$C$150)),0))</f>
        <v>34349.09608907962</v>
      </c>
      <c r="BN18" s="32">
        <f>IF(BA18-BM18&lt;=0,0,IF(BA18-BM18&lt;=InputData!$C$153,InputData!$C$154*(BA18-BM18),InputData!$C$155*(BA18-BM18)-InputData!$D$154))</f>
        <v>39326.175084196497</v>
      </c>
      <c r="BO18" s="32">
        <f t="shared" si="51"/>
        <v>43554.26238023083</v>
      </c>
      <c r="BP18" s="32">
        <f>IF(BA18&gt;=0,IF(BA18&lt;=InputData!$C$148,InputData!$C$147*BA18,InputData!$C$147*InputData!$C$148)+InputData!$C$149*BA18,0)</f>
        <v>9740.6524268333815</v>
      </c>
      <c r="BQ18" s="32">
        <f>IF(BJ18&lt;0,0,IF(BJ18&lt;=InputData!$B$163,InputData!$C$163*BJ18,IF(BJ18&lt;=InputData!$B$164,InputData!$D$163+InputData!$C$164*(BJ18-InputData!$B$163),IF(BJ18&lt;=InputData!$B$165,InputData!$D$164+InputData!$C$165*(BJ18-InputData!$B$164),InputData!$D$165+InputData!$C$166*(BJ18-InputData!$B$165)))))</f>
        <v>0</v>
      </c>
      <c r="BR18" s="43">
        <f t="shared" si="52"/>
        <v>0.28714373166834656</v>
      </c>
      <c r="BS18" s="32">
        <f t="shared" si="53"/>
        <v>132308.70083661732</v>
      </c>
      <c r="BT18" s="32">
        <f t="shared" si="54"/>
        <v>105226.21591961753</v>
      </c>
      <c r="BU18" s="32">
        <f>BT18/((1+InputData!$C$7)^(IntMed!$B18-IntMed!$B$7))</f>
        <v>76017.657236307103</v>
      </c>
      <c r="BV18" s="5">
        <f t="shared" si="130"/>
        <v>306376.37954801781</v>
      </c>
      <c r="BW18" s="5"/>
      <c r="BX18" s="32" t="s">
        <v>141</v>
      </c>
      <c r="BY18" s="5">
        <f t="shared" si="175"/>
        <v>226339.46899647504</v>
      </c>
      <c r="BZ18" s="32">
        <f>(BY18)*InputData!$C$6</f>
        <v>14055.6810246811</v>
      </c>
      <c r="CA18" s="32">
        <f>MIN($BY$14*InputData!$C$6/(1-(1+InputData!$C$6)^(-25)), BY18+BZ18)</f>
        <v>19581.069601718285</v>
      </c>
      <c r="CB18" s="32">
        <f t="shared" si="176"/>
        <v>220814.08041943787</v>
      </c>
      <c r="CC18" s="32">
        <f>CA18/((1+InputData!$C$3)^(IntMed!$B18-IntMed!$B$7))</f>
        <v>15748.330546575178</v>
      </c>
      <c r="CD18" s="5">
        <f t="shared" si="58"/>
        <v>116560.37029004215</v>
      </c>
      <c r="CE18" s="32">
        <f>CD18/((1+InputData!$C$7)^(IntMed!$B18-IntMed!$B$7))</f>
        <v>84205.691505756695</v>
      </c>
      <c r="CF18" s="5">
        <f t="shared" si="131"/>
        <v>351674.6970378249</v>
      </c>
      <c r="CG18" s="5"/>
      <c r="CH18" s="32" t="s">
        <v>141</v>
      </c>
      <c r="CI18" s="5">
        <f t="shared" si="177"/>
        <v>184826.2936114925</v>
      </c>
      <c r="CJ18" s="32">
        <f>(CI18)*InputData!$C$6</f>
        <v>11477.712833273685</v>
      </c>
      <c r="CK18" s="32">
        <f t="shared" si="170"/>
        <v>31401.781654699123</v>
      </c>
      <c r="CL18" s="32">
        <f t="shared" si="178"/>
        <v>164902.22479006706</v>
      </c>
      <c r="CM18" s="32">
        <f>CK18/((1+InputData!$C$3)^(IntMed!$B18-IntMed!$B$7))</f>
        <v>25255.292346552225</v>
      </c>
      <c r="CN18" s="5">
        <f t="shared" si="62"/>
        <v>107053.40849006511</v>
      </c>
      <c r="CO18" s="32">
        <f>CN18/((1+InputData!$C$7)^(IntMed!$B18-IntMed!$B$7))</f>
        <v>77337.660025641613</v>
      </c>
      <c r="CP18" s="5">
        <f t="shared" si="132"/>
        <v>319863.57643868041</v>
      </c>
      <c r="CQ18" s="5"/>
      <c r="CR18" s="32" t="s">
        <v>141</v>
      </c>
      <c r="CS18" s="5">
        <f t="shared" si="179"/>
        <v>227306.32700830349</v>
      </c>
      <c r="CT18" s="32">
        <f>(CS18)*InputData!$C$6</f>
        <v>14115.722907215648</v>
      </c>
      <c r="CU18" s="32">
        <f t="shared" si="171"/>
        <v>20934.521103132749</v>
      </c>
      <c r="CV18" s="32">
        <f t="shared" si="180"/>
        <v>220487.52881238639</v>
      </c>
      <c r="CW18" s="32">
        <f>CU18/((1+InputData!$C$3)^(IntMed!$B18-IntMed!$B$7))</f>
        <v>16836.861564368151</v>
      </c>
      <c r="CX18" s="5">
        <f t="shared" si="66"/>
        <v>115471.83927224917</v>
      </c>
      <c r="CY18" s="32">
        <f>CX18/((1+InputData!$C$7)^(IntMed!$B18-IntMed!$B$7))</f>
        <v>83419.313538265342</v>
      </c>
      <c r="CZ18" s="5">
        <f t="shared" si="133"/>
        <v>351447.31862481689</v>
      </c>
      <c r="DA18" s="5"/>
      <c r="DB18" s="32" t="s">
        <v>141</v>
      </c>
      <c r="DC18" s="5">
        <f t="shared" si="158"/>
        <v>89065.324921686668</v>
      </c>
      <c r="DD18" s="5">
        <f>DC18*InputData!$C$6</f>
        <v>5530.9566776367419</v>
      </c>
      <c r="DE18" s="32">
        <f t="shared" si="159"/>
        <v>29148.379963889372</v>
      </c>
      <c r="DF18" s="32">
        <f t="shared" si="160"/>
        <v>65447.901635434042</v>
      </c>
      <c r="DG18" s="32">
        <f>DE18/((1+InputData!$C$3)^(IntMed!$B18-IntMed!$B$7))</f>
        <v>23442.964654403619</v>
      </c>
      <c r="DH18" s="5">
        <f t="shared" si="70"/>
        <v>108865.7361822137</v>
      </c>
      <c r="DI18" s="32">
        <f>DH18/((1+InputData!$C$7)^(IntMed!$B18-IntMed!$B$7))</f>
        <v>78646.924110618886</v>
      </c>
      <c r="DJ18" s="5">
        <f t="shared" si="134"/>
        <v>264509.38570331881</v>
      </c>
      <c r="DK18" s="5"/>
      <c r="DL18" s="32" t="s">
        <v>141</v>
      </c>
      <c r="DM18" s="32">
        <f t="shared" si="181"/>
        <v>163189.66256126453</v>
      </c>
      <c r="DN18" s="5">
        <f>DM18*InputData!$C$6</f>
        <v>10134.078045054528</v>
      </c>
      <c r="DO18" s="32">
        <f t="shared" si="182"/>
        <v>0</v>
      </c>
      <c r="DP18" s="32">
        <f t="shared" si="150"/>
        <v>29148.379963889372</v>
      </c>
      <c r="DQ18" s="32">
        <f t="shared" si="151"/>
        <v>144175.36064242967</v>
      </c>
      <c r="DR18" s="32">
        <f>DP18/((1+InputData!$C$3)^(IntMed!$B18-IntMed!$B$7))</f>
        <v>23442.964654403619</v>
      </c>
      <c r="DS18" s="5">
        <f t="shared" si="74"/>
        <v>108865.7361822137</v>
      </c>
      <c r="DT18" s="32">
        <f>DS18/((1+InputData!$C$7)^(IntMed!$B18-IntMed!$B$7))</f>
        <v>78646.924110618886</v>
      </c>
      <c r="DU18" s="5">
        <f t="shared" si="136"/>
        <v>308657.64215397066</v>
      </c>
      <c r="DV18" s="5"/>
      <c r="DW18" s="32" t="s">
        <v>141</v>
      </c>
      <c r="DX18" s="133">
        <f t="shared" si="161"/>
        <v>208942.03671072691</v>
      </c>
      <c r="DY18" s="5">
        <f>DX18*InputData!$C$6</f>
        <v>12975.300479736141</v>
      </c>
      <c r="DZ18" s="133">
        <f t="shared" si="162"/>
        <v>0</v>
      </c>
      <c r="EA18" s="32">
        <f t="shared" si="163"/>
        <v>20934.521103132749</v>
      </c>
      <c r="EB18" s="32">
        <f t="shared" si="164"/>
        <v>200982.81608733031</v>
      </c>
      <c r="EC18" s="32">
        <f>EA18/((1+InputData!$C$3)^(IntMed!$B18-IntMed!$B$7))</f>
        <v>16836.861564368151</v>
      </c>
      <c r="ED18" s="5">
        <f t="shared" si="78"/>
        <v>115471.83927224917</v>
      </c>
      <c r="EE18" s="32">
        <f>ED18/((1+InputData!$C$7)^(IntMed!$B18-IntMed!$B$7))</f>
        <v>83419.313538265342</v>
      </c>
      <c r="EF18" s="5">
        <f t="shared" si="138"/>
        <v>342404.27932691877</v>
      </c>
      <c r="EG18" s="32"/>
      <c r="EH18" s="130" t="s">
        <v>141</v>
      </c>
      <c r="EI18" s="32">
        <v>0</v>
      </c>
      <c r="EJ18" s="32">
        <f t="shared" si="190"/>
        <v>231303.99364466249</v>
      </c>
      <c r="EK18" s="32">
        <f>EJ18*InputData!$C$6</f>
        <v>14363.978005333542</v>
      </c>
      <c r="EL18" s="32">
        <f t="shared" si="191"/>
        <v>224733.45054686334</v>
      </c>
      <c r="EM18" s="32">
        <f>EM17*(1+InputData!$C$8)</f>
        <v>14286.370803454558</v>
      </c>
      <c r="EN18" s="32">
        <f t="shared" si="172"/>
        <v>20934.521103132749</v>
      </c>
      <c r="EO18" s="32">
        <f>AW18/((1+InputData!$C$3)^(IntMed!$B18-IntMed!$B$7))</f>
        <v>185603.61564368152</v>
      </c>
      <c r="EP18" s="32">
        <f>AX18/((1+InputData!$C$3)^(IntMed!$B18-IntMed!$B$7))</f>
        <v>0</v>
      </c>
      <c r="EQ18" s="32">
        <v>43136.23</v>
      </c>
      <c r="ER18" s="32">
        <v>8439.07</v>
      </c>
      <c r="ES18" s="32">
        <v>0</v>
      </c>
      <c r="ET18" s="42">
        <f t="shared" si="154"/>
        <v>0.27787874617169817</v>
      </c>
      <c r="EU18" s="32">
        <f t="shared" si="79"/>
        <v>134028.3156436815</v>
      </c>
      <c r="EV18" s="32">
        <f>EN18/((1+InputData!$C$3)^(IntMed!$B18-IntMed!$B$7))</f>
        <v>16836.861564368151</v>
      </c>
      <c r="EW18" s="32">
        <f t="shared" si="80"/>
        <v>117191.45407931335</v>
      </c>
      <c r="EX18" s="32">
        <f>EW18/((1+InputData!$C$7)^(IntMed!$B18-IntMed!$B$7))</f>
        <v>84661.599862442774</v>
      </c>
      <c r="EY18" s="5">
        <f t="shared" si="148"/>
        <v>359004.23506557971</v>
      </c>
      <c r="EZ18" s="79"/>
      <c r="FA18" s="32">
        <f t="shared" si="183"/>
        <v>166603.3328991477</v>
      </c>
      <c r="FB18" s="32">
        <f>FA18*InputData!$C$6</f>
        <v>10346.066973037072</v>
      </c>
      <c r="FC18" s="32">
        <f t="shared" si="184"/>
        <v>142844.64016825377</v>
      </c>
      <c r="FD18" s="53">
        <f>MIN($EJ$14*InputData!$C$6/(1-(1+InputData!$C$6)^(-10)), FA18+FB18)</f>
        <v>34104.75970393102</v>
      </c>
      <c r="FE18" s="32">
        <f>FD18/((1+InputData!$C$3)^(IntMed!$B18-IntMed!$B$7))</f>
        <v>27429.197687029922</v>
      </c>
      <c r="FF18" s="5">
        <f t="shared" si="84"/>
        <v>106599.11795665158</v>
      </c>
      <c r="FG18" s="32">
        <f>FF18/((1+InputData!$C$7)^(IntMed!$B18-IntMed!$B$7))</f>
        <v>77009.470878546272</v>
      </c>
      <c r="FH18" s="5">
        <f t="shared" si="140"/>
        <v>312547.61650875013</v>
      </c>
      <c r="FI18" s="79"/>
      <c r="FJ18" s="32">
        <f t="shared" si="185"/>
        <v>229237.09026363061</v>
      </c>
      <c r="FK18" s="32">
        <f>FJ18*InputData!$C$6</f>
        <v>14235.623305371462</v>
      </c>
      <c r="FL18" s="32">
        <f t="shared" si="186"/>
        <v>223640.96509115514</v>
      </c>
      <c r="FM18" s="53">
        <f>MIN($EJ$14*InputData!$C$6/(1-(1+InputData!$C$6)^(-25)), FJ18+FK18)</f>
        <v>19831.748477846937</v>
      </c>
      <c r="FN18" s="32">
        <f>FM18/((1+InputData!$C$3)^(IntMed!$B18-IntMed!$B$7))</f>
        <v>15949.942301326899</v>
      </c>
      <c r="FO18" s="5">
        <f t="shared" si="88"/>
        <v>118078.37334235461</v>
      </c>
      <c r="FP18" s="32">
        <f>FO18/((1+InputData!$C$7)^(IntMed!$B18-IntMed!$B$7))</f>
        <v>85302.329208689072</v>
      </c>
      <c r="FQ18" s="5">
        <f t="shared" si="141"/>
        <v>358425.84773921769</v>
      </c>
      <c r="FR18" s="79"/>
      <c r="FS18" s="32">
        <f t="shared" si="187"/>
        <v>188823.96024785156</v>
      </c>
      <c r="FT18" s="32">
        <f>FS18*InputData!$C$6</f>
        <v>11725.967931391582</v>
      </c>
      <c r="FU18" s="32">
        <f t="shared" si="188"/>
        <v>169148.14652454402</v>
      </c>
      <c r="FV18" s="5">
        <f t="shared" si="173"/>
        <v>31401.781654699123</v>
      </c>
      <c r="FW18" s="32">
        <f>FV18/((1+InputData!$C$3)^(IntMed!$B18-IntMed!$B$7))</f>
        <v>25255.292346552225</v>
      </c>
      <c r="FX18" s="5">
        <f t="shared" si="92"/>
        <v>108773.02329712929</v>
      </c>
      <c r="FY18" s="32">
        <f>FX18/((1+InputData!$C$7)^(IntMed!$B18-IntMed!$B$7))</f>
        <v>78579.946349819045</v>
      </c>
      <c r="FZ18" s="5">
        <f t="shared" si="142"/>
        <v>327420.49287944334</v>
      </c>
      <c r="GC18" s="3">
        <f t="shared" si="3"/>
        <v>8</v>
      </c>
      <c r="GD18" s="4" t="str">
        <f t="shared" si="4"/>
        <v>Service (O4&gt;6 = (BP+BAH+BAS+VSP+BCPSP)*12)+ASP</v>
      </c>
      <c r="GE18" s="4"/>
      <c r="GF18" s="4"/>
      <c r="GG18" s="4"/>
      <c r="GH18" s="4"/>
      <c r="GI18" s="5">
        <f t="shared" si="5"/>
        <v>98796.36</v>
      </c>
      <c r="GJ18" s="5">
        <f t="shared" si="6"/>
        <v>20659.199999999997</v>
      </c>
      <c r="GK18" s="5">
        <f t="shared" si="7"/>
        <v>119455.56</v>
      </c>
      <c r="GL18" s="5">
        <f t="shared" si="8"/>
        <v>88649.066394225287</v>
      </c>
      <c r="GM18" s="5">
        <f t="shared" si="9"/>
        <v>18537.310407504676</v>
      </c>
      <c r="GN18" s="32">
        <f>IF(GL18-InputData!$C$158-InputData!$C$159&gt;=0,GL18-InputData!$C$158-InputData!$C$159,0)</f>
        <v>88649.066394225287</v>
      </c>
      <c r="GO18" s="32">
        <f>IF(GL18-IF(GL18&lt;=InputData!$C$146,InputData!$C$145,0)-MAX(InputData!$C$144,GU18)&gt;=0,GL18-IF(GL18&lt;=InputData!$C$146,InputData!$C$145,0)-MAX(InputData!$C$144,GU18),0)</f>
        <v>78649.066394225287</v>
      </c>
      <c r="GP18" s="32">
        <f>IF(GO18&lt;0,"Error",IF(GO18&lt;=InputData!$B$170,InputData!$C$170*GO18,IF(GO18&lt;=InputData!$B$171,InputData!$D$170+InputData!$C$171*(GO18-InputData!$B$170),IF(GO18&lt;=InputData!$B$172,InputData!$D$171+InputData!$C$172*(GO18-InputData!$B$171),IF(GO18&lt;=InputData!$B$173,InputData!$D$172+InputData!$C$173*(GO18-InputData!$B$172),IF(GO18&lt;=InputData!$B$174,InputData!$D$173+InputData!$C$174*(GO18-InputData!$B$173),IF(GO18&lt;=InputData!$B$175,InputData!$D$174+InputData!$C$175*(GO18-InputData!$B$174),InputData!$D$175+InputData!$C$176*(GO18-InputData!$B$175))))))))</f>
        <v>15591.016598556322</v>
      </c>
      <c r="GQ18" s="32">
        <f>IF(GL18&lt;=InputData!$C$150,InputData!$C$152,IF(GL18&lt;InputData!$C$151,IF(InputData!$C$152-0.25*IF(GL18-InputData!$C$150&lt;=0,0,GL18-InputData!$C$150)&lt;=0,0,InputData!$C$152-0.25*IF(GL18-InputData!$C$150&lt;=0,0,GL18-InputData!$C$150)),0))</f>
        <v>51900</v>
      </c>
      <c r="GR18" s="32">
        <f>IF(GL18-GQ18&lt;=0,0,IF(GL18-GQ18&lt;=InputData!$C$153,InputData!$C$154*(GL18-GQ18),InputData!$C$155*(GL18-GQ18)-InputData!$D$154))</f>
        <v>9554.7572624985751</v>
      </c>
      <c r="GS18" s="32">
        <f t="shared" si="93"/>
        <v>15591.016598556322</v>
      </c>
      <c r="GT18" s="32">
        <f>IF(GL18&gt;=0,IF(GL18&lt;=InputData!$C$148,InputData!$C$147*GL18,InputData!$C$147*InputData!$C$148)+InputData!$C$149*GL18,0)</f>
        <v>6781.6535791582337</v>
      </c>
      <c r="GU18" s="32">
        <f>IF(GN18&lt;0,0,IF(GN18&lt;=InputData!$B$163,InputData!$C$163*GN18,IF(GN18&lt;=InputData!$B$164,InputData!$D$163+InputData!$C$164*(GN18-InputData!$B$163),IF(GN18&lt;=InputData!$B$165,InputData!$D$164+InputData!$C$165*(GN18-InputData!$B$164),InputData!$D$165+InputData!$C$166*(GN18-InputData!$B$165)))))</f>
        <v>0</v>
      </c>
      <c r="GV18" s="43">
        <f t="shared" si="10"/>
        <v>0.25237344382424248</v>
      </c>
      <c r="GW18" s="43">
        <f t="shared" si="11"/>
        <v>0.20872680694393494</v>
      </c>
      <c r="GX18" s="5">
        <f t="shared" si="12"/>
        <v>84813.706624015409</v>
      </c>
      <c r="GY18" s="32">
        <f>GX18/((1+InputData!$C$7)^(IntMed!$B18-IntMed!$B$7))</f>
        <v>61271.226212394111</v>
      </c>
      <c r="GZ18" s="32">
        <f t="shared" si="94"/>
        <v>668444.78607626876</v>
      </c>
      <c r="HB18" s="3">
        <f t="shared" si="13"/>
        <v>8</v>
      </c>
      <c r="HC18" s="122" t="str">
        <f t="shared" si="14"/>
        <v>Multi-Year (O4&gt;6 = (BP+BAH+BAS+VSP+BCPSP)*12+ASP+ISP+MSP)</v>
      </c>
      <c r="HD18" s="4"/>
      <c r="HE18" s="4"/>
      <c r="HF18" s="4"/>
      <c r="HG18" s="4"/>
      <c r="HH18" s="5">
        <f t="shared" si="15"/>
        <v>153796.35999999999</v>
      </c>
      <c r="HI18" s="5">
        <f t="shared" si="16"/>
        <v>20659.199999999997</v>
      </c>
      <c r="HJ18" s="5">
        <f t="shared" si="17"/>
        <v>174455.56</v>
      </c>
      <c r="HK18" s="5">
        <f t="shared" si="18"/>
        <v>138000.0612252331</v>
      </c>
      <c r="HL18" s="5">
        <f t="shared" si="19"/>
        <v>18537.310407504676</v>
      </c>
      <c r="HM18" s="32">
        <f>IF(HK18-InputData!$C$158-InputData!$C$159&gt;=0,HK18-InputData!$C$158-InputData!$C$159,0)</f>
        <v>138000.0612252331</v>
      </c>
      <c r="HN18" s="32">
        <f>IF(HK18-IF(HK18&lt;=InputData!$C$146,InputData!$C$145,0)-MAX(InputData!$C$144,HT18)&gt;=0,HK18-IF(HK18&lt;=InputData!$C$146,InputData!$C$145,0)-MAX(InputData!$C$144,HT18),0)</f>
        <v>128000.0612252331</v>
      </c>
      <c r="HO18" s="32">
        <f>IF(HN18&lt;0,"Error",IF(HN18&lt;=InputData!$B$170,InputData!$C$170*HN18,IF(HN18&lt;=InputData!$B$171,InputData!$D$170+InputData!$C$171*(HN18-InputData!$B$170),IF(HN18&lt;=InputData!$B$172,InputData!$D$171+InputData!$C$172*(HN18-InputData!$B$171),IF(HN18&lt;=InputData!$B$173,InputData!$D$172+InputData!$C$173*(HN18-InputData!$B$172),IF(HN18&lt;=InputData!$B$174,InputData!$D$173+InputData!$C$174*(HN18-InputData!$B$173),IF(HN18&lt;=InputData!$B$175,InputData!$D$174+InputData!$C$175*(HN18-InputData!$B$174),InputData!$D$175+InputData!$C$176*(HN18-InputData!$B$175))))))))</f>
        <v>29133.26714306527</v>
      </c>
      <c r="HP18" s="32">
        <f>IF(HK18&lt;=InputData!$C$150,InputData!$C$152,IF(HK18&lt;InputData!$C$151,IF(InputData!$C$152-0.25*IF(HK18-InputData!$C$150&lt;=0,0,HK18-InputData!$C$150)&lt;=0,0,InputData!$C$152-0.25*IF(HK18-InputData!$C$150&lt;=0,0,HK18-InputData!$C$150)),0))</f>
        <v>46249.984693691724</v>
      </c>
      <c r="HQ18" s="32">
        <f>IF(HK18-HP18&lt;=0,0,IF(HK18-HP18&lt;=InputData!$C$153,InputData!$C$154*(HK18-HP18),InputData!$C$155*(HK18-HP18)-InputData!$D$154))</f>
        <v>23855.019898200761</v>
      </c>
      <c r="HR18" s="32">
        <f t="shared" si="95"/>
        <v>29133.26714306527</v>
      </c>
      <c r="HS18" s="32">
        <f>IF(HK18&gt;=0,IF(HK18&lt;=InputData!$C$148,InputData!$C$147*HK18,InputData!$C$147*InputData!$C$148)+InputData!$C$149*HK18,0)</f>
        <v>9050.4008877658798</v>
      </c>
      <c r="HT18" s="32">
        <f>IF(HM18&lt;0,0,IF(HM18&lt;=InputData!$B$163,InputData!$C$163*HM18,IF(HM18&lt;=InputData!$B$164,InputData!$D$163+InputData!$C$164*(HM18-InputData!$B$163),IF(HM18&lt;=InputData!$B$165,InputData!$D$164+InputData!$C$165*(HM18-InputData!$B$164),InputData!$D$165+InputData!$C$166*(HM18-InputData!$B$165)))))</f>
        <v>0</v>
      </c>
      <c r="HU18" s="43">
        <f t="shared" si="96"/>
        <v>0.27669312384224742</v>
      </c>
      <c r="HV18" s="43">
        <f t="shared" si="97"/>
        <v>0.24392685039082082</v>
      </c>
      <c r="HW18" s="5">
        <f t="shared" si="98"/>
        <v>118353.70360190663</v>
      </c>
      <c r="HX18" s="32">
        <f>HW18/((1+InputData!$C$7)^(IntMed!$B18-IntMed!$B$7))</f>
        <v>85501.233646280918</v>
      </c>
      <c r="HY18" s="32">
        <f t="shared" si="99"/>
        <v>600551.07119948231</v>
      </c>
      <c r="IA18" s="3">
        <f t="shared" si="20"/>
        <v>8</v>
      </c>
      <c r="IB18" s="4" t="str">
        <f t="shared" si="21"/>
        <v>Service (O4&gt;6 = (BP+BAH+BAS+VSP+BCPSP)*12)+ASP</v>
      </c>
      <c r="IC18" s="5">
        <f t="shared" si="22"/>
        <v>98796.36</v>
      </c>
      <c r="ID18" s="5">
        <f t="shared" si="23"/>
        <v>20659.199999999997</v>
      </c>
      <c r="IE18" s="5">
        <f t="shared" si="24"/>
        <v>119455.56</v>
      </c>
      <c r="IF18" s="5">
        <f t="shared" si="25"/>
        <v>88649.066394225287</v>
      </c>
      <c r="IG18" s="5">
        <f t="shared" si="26"/>
        <v>18537.310407504676</v>
      </c>
      <c r="IH18" s="32">
        <f>IF(IF18-InputData!$C$158-InputData!$C$159&gt;=0,IF18-InputData!$C$158-InputData!$C$159,0)</f>
        <v>88649.066394225287</v>
      </c>
      <c r="II18" s="32">
        <f>IF(IF18-IF(IF18&lt;=InputData!$C$146,InputData!$C$145,0)-MAX(InputData!$C$144,IO18)&gt;=0,IF18-IF(IF18&lt;=InputData!$C$146,InputData!$C$145,0)-MAX(InputData!$C$144,IO18),0)</f>
        <v>78649.066394225287</v>
      </c>
      <c r="IJ18" s="32">
        <f>IF(II18&lt;0,"Error",IF(II18&lt;=InputData!$B$170,InputData!$C$170*II18,IF(II18&lt;=InputData!$B$171,InputData!$D$170+InputData!$C$171*(II18-InputData!$B$170),IF(II18&lt;=InputData!$B$172,InputData!$D$171+InputData!$C$172*(II18-InputData!$B$171),IF(II18&lt;=InputData!$B$173,InputData!$D$172+InputData!$C$173*(II18-InputData!$B$172),IF(II18&lt;=InputData!$B$174,InputData!$D$173+InputData!$C$174*(II18-InputData!$B$173),IF(II18&lt;=InputData!$B$175,InputData!$D$174+InputData!$C$175*(II18-InputData!$B$174),InputData!$D$175+InputData!$C$176*(II18-InputData!$B$175))))))))</f>
        <v>15591.016598556322</v>
      </c>
      <c r="IK18" s="32">
        <f>IF(IF18&lt;=InputData!$C$150,InputData!$C$152,IF(IF18&lt;InputData!$C$151,IF(InputData!$C$152-0.25*IF(IF18-InputData!$C$150&lt;=0,0,IF18-InputData!$C$150)&lt;=0,0,InputData!$C$152-0.25*IF(IF18-InputData!$C$150&lt;=0,0,IF18-InputData!$C$150)),0))</f>
        <v>51900</v>
      </c>
      <c r="IL18" s="32">
        <f>IF(IF18-IK18&lt;=0,0,IF(IF18-IK18&lt;=InputData!$C$153,InputData!$C$154*(IF18-IK18),InputData!$C$155*(IF18-IK18)-InputData!$D$154))</f>
        <v>9554.7572624985751</v>
      </c>
      <c r="IM18" s="32">
        <f t="shared" si="100"/>
        <v>15591.016598556322</v>
      </c>
      <c r="IN18" s="32">
        <f>IF(IF18&gt;=0,IF(IF18&lt;=InputData!$C$148,InputData!$C$147*IF18,InputData!$C$147*InputData!$C$148)+InputData!$C$149*IF18,0)</f>
        <v>6781.6535791582337</v>
      </c>
      <c r="IO18" s="32">
        <f>IF(IH18&lt;0,0,IF(IH18&lt;=InputData!$B$163,InputData!$C$163*IH18,IF(IH18&lt;=InputData!$B$164,InputData!$D$163+InputData!$C$164*(IH18-InputData!$B$163),IF(IH18&lt;=InputData!$B$165,InputData!$D$164+InputData!$C$165*(IH18-InputData!$B$164),InputData!$D$165+InputData!$C$166*(IH18-InputData!$B$165)))))</f>
        <v>0</v>
      </c>
      <c r="IP18" s="43">
        <f t="shared" si="101"/>
        <v>0.25237344382424248</v>
      </c>
      <c r="IQ18" s="43">
        <f t="shared" si="102"/>
        <v>0.20872680694393494</v>
      </c>
      <c r="IR18" s="5">
        <f t="shared" si="27"/>
        <v>84813.706624015409</v>
      </c>
      <c r="IS18" s="32">
        <f>IR18/((1+InputData!$C$7)^(IntMed!$B18-IntMed!$B$7))</f>
        <v>61271.226212394111</v>
      </c>
      <c r="IT18" s="5">
        <f t="shared" si="103"/>
        <v>668444.78607626876</v>
      </c>
      <c r="IV18" s="41"/>
      <c r="IW18" s="49" t="s">
        <v>109</v>
      </c>
      <c r="IX18" s="32">
        <f>MIN(InputData!$C$13+InputData!$E$13*($B18-$B$18),1)*IntMed!AW18</f>
        <v>207697.2905128584</v>
      </c>
      <c r="IY18" s="32">
        <f>MIN(InputData!$C$13+InputData!$E$13*($B18-$B$18),1)*IntMed!AX18</f>
        <v>0</v>
      </c>
      <c r="IZ18" s="32">
        <f>MIN(InputData!$C$13+InputData!$E$13*($B18-$B$18),1)*IntMed!AY18</f>
        <v>207697.2905128584</v>
      </c>
      <c r="JA18" s="32">
        <f>MIN(InputData!$C$13+InputData!$E$13*($B18-$B$18),1)*IntMed!EO18</f>
        <v>167043.25407931337</v>
      </c>
      <c r="JB18" s="32">
        <f>MIN(InputData!$C$13+InputData!$E$13*($B18-$B$18),1)*IntMed!EP18</f>
        <v>0</v>
      </c>
      <c r="JC18" s="32">
        <f>IF(JA18-InputData!$C$158-InputData!$C$159&gt;=0,JA18-InputData!$C$158-InputData!$C$159,0)</f>
        <v>167043.25407931337</v>
      </c>
      <c r="JD18" s="32">
        <f>IF(JA18-IF(JA18&lt;=InputData!$C$146,InputData!$C$145,0)-MAX(InputData!$C$144,JJ18)&gt;=0,JA18-IF(JA18&lt;=InputData!$C$146,InputData!$C$145,0)-MAX(InputData!$C$144,JJ18),0)</f>
        <v>160943.25407931337</v>
      </c>
      <c r="JE18" s="32">
        <f>IF(JD18&lt;0,"Error",IF(JD18&lt;=InputData!$B$170,InputData!$C$170*JD18,IF(JD18&lt;=InputData!$B$171,InputData!$D$170+InputData!$C$171*(JD18-InputData!$B$170),IF(JD18&lt;=InputData!$B$172,InputData!$D$171+InputData!$C$172*(JD18-InputData!$B$171),IF(JD18&lt;=InputData!$B$173,InputData!$D$172+InputData!$C$173*(JD18-InputData!$B$172),IF(JD18&lt;=InputData!$B$174,InputData!$D$173+InputData!$C$174*(JD18-InputData!$B$173),IF(JD18&lt;=InputData!$B$175,InputData!$D$174+InputData!$C$175*(JD18-InputData!$B$174),InputData!$D$175+InputData!$C$176*(JD18-InputData!$B$175))))))))</f>
        <v>38357.361142207745</v>
      </c>
      <c r="JF18" s="32">
        <f>IF(JA18&lt;=InputData!$C$150,InputData!$C$152,IF(JA18&lt;InputData!$C$151,IF(InputData!$C$152-0.25*IF(JA18-InputData!$C$150&lt;=0,0,JA18-InputData!$C$150)&lt;=0,0,InputData!$C$152-0.25*IF(JA18-InputData!$C$150&lt;=0,0,JA18-InputData!$C$150)),0))</f>
        <v>38989.186480171658</v>
      </c>
      <c r="JG18" s="32">
        <f>IF(JA18-JF18&lt;=0,0,IF(JA18-JF18&lt;=InputData!$C$153,InputData!$C$154*(JA18-JF18),InputData!$C$155*(JA18-JF18)-InputData!$D$154))</f>
        <v>33294.057575776846</v>
      </c>
      <c r="JH18" s="32">
        <f t="shared" si="104"/>
        <v>38357.361142207745</v>
      </c>
      <c r="JI18" s="32">
        <f>IF(JA18&gt;=0,IF(JA18&lt;=InputData!$C$148,InputData!$C$147*JA18,InputData!$C$147*InputData!$C$148)+InputData!$C$149*JA18,0)</f>
        <v>9471.5271841500435</v>
      </c>
      <c r="JJ18" s="32">
        <f>IF(JC18&lt;0,0,IF(JC18&lt;=InputData!$B$163,InputData!$C$163*JC18,IF(JC18&lt;=InputData!$B$164,InputData!$D$163+InputData!$C$164*(JC18-InputData!$B$163),IF(JC18&lt;=InputData!$B$165,InputData!$D$164+InputData!$C$165*(JC18-InputData!$B$164),InputData!$D$165+InputData!$C$166*(JC18-InputData!$B$165)))))</f>
        <v>0</v>
      </c>
      <c r="JK18" s="42">
        <f t="shared" si="105"/>
        <v>0.28632636852038501</v>
      </c>
      <c r="JL18" s="42">
        <f t="shared" si="106"/>
        <v>0.28632636852038501</v>
      </c>
      <c r="JM18" s="32">
        <f t="shared" si="35"/>
        <v>119214.36575295558</v>
      </c>
      <c r="JN18" s="32">
        <f>JM18/((1+InputData!$C$7)^(IntMed!$B18-IntMed!$B$7))</f>
        <v>86122.994296161938</v>
      </c>
      <c r="JO18" s="32">
        <f t="shared" si="107"/>
        <v>601172.8318493634</v>
      </c>
      <c r="JQ18" s="41" t="s">
        <v>109</v>
      </c>
      <c r="JR18" s="32">
        <f>$JR$14*(1+InputData!$C$3+InputData!$C$4)^(IntMed!$B18-IntMed!$B$14)</f>
        <v>180999.81744039949</v>
      </c>
      <c r="JS18" s="32">
        <v>0</v>
      </c>
      <c r="JT18" s="32">
        <f t="shared" si="108"/>
        <v>180999.81744039949</v>
      </c>
      <c r="JU18" s="5">
        <f>JR18*(1/(1+InputData!$C$3))^(IntMed!$B18-IntMed!$B$7)</f>
        <v>145571.46324994622</v>
      </c>
      <c r="JV18" s="5">
        <f>JS18*(1/(1+InputData!$C$3))^(IntMed!$B18-IntMed!$B$7)</f>
        <v>0</v>
      </c>
      <c r="JW18" s="32">
        <f>IF(JU18-InputData!$C$158-InputData!$C$159&gt;=0,JU18-InputData!$C$158-InputData!$C$159,0)</f>
        <v>145571.46324994622</v>
      </c>
      <c r="JX18" s="32">
        <f>IF(JU18-IF(JU18&lt;=InputData!$C$146,InputData!$C$145,0)-MAX(InputData!$C$144,KD18)&gt;=0,JU18-IF(JU18&lt;=InputData!$C$146,InputData!$C$145,0)-MAX(InputData!$C$144,KD18),0)</f>
        <v>135571.46324994622</v>
      </c>
      <c r="JY18" s="32">
        <f>IF(JX18&lt;0,"Error",IF(JX18&lt;=InputData!$B$170,InputData!$C$170*JX18,IF(JX18&lt;=InputData!$B$171,InputData!$D$170+InputData!$C$171*(JX18-InputData!$B$170),IF(JX18&lt;=InputData!$B$172,InputData!$D$171+InputData!$C$172*(JX18-InputData!$B$171),IF(JX18&lt;=InputData!$B$173,InputData!$D$172+InputData!$C$173*(JX18-InputData!$B$172),IF(JX18&lt;=InputData!$B$174,InputData!$D$173+InputData!$C$174*(JX18-InputData!$B$173),IF(JX18&lt;=InputData!$B$175,InputData!$D$174+InputData!$C$175*(JX18-InputData!$B$174),InputData!$D$175+InputData!$C$176*(JX18-InputData!$B$175))))))))</f>
        <v>31253.259709984944</v>
      </c>
      <c r="JZ18" s="32">
        <f>IF(JU18&lt;=InputData!$C$150,InputData!$C$152,IF(JU18&lt;InputData!$C$151,IF(InputData!$C$152-0.25*IF(JU18-InputData!$C$150&lt;=0,0,JU18-InputData!$C$150)&lt;=0,0,InputData!$C$152-0.25*IF(JU18-InputData!$C$150&lt;=0,0,JU18-InputData!$C$150)),0))</f>
        <v>44357.134187513446</v>
      </c>
      <c r="KA18" s="32">
        <f>IF(JU18-JZ18&lt;=0,0,IF(JU18-JZ18&lt;=InputData!$C$153,InputData!$C$154*(JU18-JZ18),InputData!$C$155*(JU18-JZ18)-InputData!$D$154))</f>
        <v>26315.725556232523</v>
      </c>
      <c r="KB18" s="32">
        <f t="shared" si="109"/>
        <v>31253.259709984944</v>
      </c>
      <c r="KC18" s="32">
        <f>IF(JU18&gt;=0,IF(JU18&lt;=InputData!$C$148,InputData!$C$147*JU18,InputData!$C$147*InputData!$C$148)+InputData!$C$149*JU18,0)</f>
        <v>9160.186217124221</v>
      </c>
      <c r="KD18" s="32">
        <f>IF(JW18&lt;0,0,IF(JW18&lt;=InputData!$B$163,InputData!$C$163*JW18,IF(JW18&lt;=InputData!$B$164,InputData!$D$163+InputData!$C$164*(JW18-InputData!$B$163),IF(JW18&lt;=InputData!$B$165,InputData!$D$164+InputData!$C$165*(JW18-InputData!$B$164),InputData!$D$165+InputData!$C$166*(JW18-InputData!$B$165)))))</f>
        <v>0</v>
      </c>
      <c r="KE18" s="43">
        <f t="shared" si="110"/>
        <v>0.27761928763276406</v>
      </c>
      <c r="KF18" s="43">
        <f t="shared" si="111"/>
        <v>0.27761928763276406</v>
      </c>
      <c r="KG18" s="5">
        <f t="shared" si="112"/>
        <v>105158.01732283705</v>
      </c>
      <c r="KH18" s="32">
        <f>KG18/((1+InputData!$C$7)^(IntMed!$B18-IntMed!$B$7))</f>
        <v>75968.389118958701</v>
      </c>
      <c r="KI18" s="5">
        <f t="shared" si="143"/>
        <v>554707.84574874945</v>
      </c>
      <c r="KK18" s="149">
        <v>3</v>
      </c>
      <c r="KL18" s="145" t="s">
        <v>373</v>
      </c>
      <c r="KM18">
        <v>33</v>
      </c>
      <c r="KN18" s="41" t="s">
        <v>367</v>
      </c>
      <c r="KO18" s="5">
        <f>InputData!$C129*(1+InputData!$C$5)^(IntMed!$B18-IntMed!$B$7)</f>
        <v>215220.60080081274</v>
      </c>
      <c r="KP18" s="5">
        <v>0</v>
      </c>
      <c r="KQ18" s="5">
        <f t="shared" si="169"/>
        <v>215220.60080081274</v>
      </c>
      <c r="KR18" s="32">
        <f>KR17*(1+InputData!$C$8)</f>
        <v>14286.370803454558</v>
      </c>
      <c r="KS18" s="5">
        <f>KO18*(1/(1+InputData!$C$3))^(IntMed!$B18-IntMed!$B$7)</f>
        <v>173093.97447554523</v>
      </c>
      <c r="KT18" s="5">
        <f>KP18*(1/(1+InputData!$C$3))^(IntMed!$B18-IntMed!$B$7)</f>
        <v>0</v>
      </c>
      <c r="KU18" s="32" t="s">
        <v>141</v>
      </c>
      <c r="KV18" s="32">
        <v>0</v>
      </c>
      <c r="KW18" s="133">
        <f t="shared" si="165"/>
        <v>212416.20000000004</v>
      </c>
      <c r="KX18" s="5">
        <f>KW18*InputData!$C$6</f>
        <v>13191.046020000003</v>
      </c>
      <c r="KY18" s="133">
        <f t="shared" si="166"/>
        <v>0</v>
      </c>
      <c r="KZ18" s="118">
        <f t="shared" si="155"/>
        <v>19379.104459563092</v>
      </c>
      <c r="LA18" s="32">
        <f t="shared" si="167"/>
        <v>208012.10353816708</v>
      </c>
      <c r="LB18" s="32">
        <f>KZ18/((1+InputData!$C$3)^(IntMed!$B18-IntMed!$B$7))</f>
        <v>15585.897447554535</v>
      </c>
      <c r="LC18" s="32">
        <f>IF(KS18-InputData!$C$158-InputData!$C$159&gt;=0,KS18-InputData!$C$158-InputData!$C$159,0)</f>
        <v>173093.97447554523</v>
      </c>
      <c r="LD18" s="32">
        <f>IF(KS18-IF(KS18&lt;=InputData!$C$146,InputData!$C$145,0)-MAX(InputData!$C$144,LJ18)&gt;=0,KS18-IF(KS18&lt;=InputData!$C$146,InputData!$C$145,0)-MAX(InputData!$C$144,LJ18),0)</f>
        <v>166993.97447554523</v>
      </c>
      <c r="LE18" s="32">
        <f>IF(LD18&lt;0,"Error",IF(LD18&lt;=InputData!$B$170,InputData!$C$170*LD18,IF(LD18&lt;=InputData!$B$171,InputData!$D$170+InputData!$C$171*(LD18-InputData!$B$170),IF(LD18&lt;=InputData!$B$172,InputData!$D$171+InputData!$C$172*(LD18-InputData!$B$171),IF(LD18&lt;=InputData!$B$173,InputData!$D$172+InputData!$C$173*(LD18-InputData!$B$172),IF(LD18&lt;=InputData!$B$174,InputData!$D$173+InputData!$C$174*(LD18-InputData!$B$173),IF(LD18&lt;=InputData!$B$175,InputData!$D$174+InputData!$C$175*(LD18-InputData!$B$174),InputData!$D$175+InputData!$C$176*(LD18-InputData!$B$175))))))))</f>
        <v>40051.562853152667</v>
      </c>
      <c r="LF18" s="32">
        <f>IF(KS18&lt;=InputData!$C$150,InputData!$C$152,IF(KS18&lt;InputData!$C$151,IF(InputData!$C$152-0.25*IF(KS18-InputData!$C$150&lt;=0,0,KS18-InputData!$C$150)&lt;=0,0,InputData!$C$152-0.25*IF(KS18-InputData!$C$150&lt;=0,0,KS18-InputData!$C$150)),0))</f>
        <v>37476.506381113693</v>
      </c>
      <c r="LG18" s="32">
        <f>IF(KS18-LF18&lt;=0,0,IF(KS18-LF18&lt;=InputData!$C$153,InputData!$C$154*(KS18-LF18),InputData!$C$155*(KS18-LF18)-InputData!$D$154))</f>
        <v>35260.541704552197</v>
      </c>
      <c r="LH18" s="32">
        <f t="shared" si="118"/>
        <v>40051.562853152667</v>
      </c>
      <c r="LI18" s="32">
        <f>IF(KS18&gt;=0,IF(KS18&lt;=InputData!$C$148,InputData!$C$147*KS18,InputData!$C$147*InputData!$C$148)+InputData!$C$149*KS18,0)</f>
        <v>9559.2626298954056</v>
      </c>
      <c r="LJ18" s="32">
        <f>IF(LC18&lt;0,0,IF(LC18&lt;=InputData!$B$163,InputData!$C$163*LC18,IF(LC18&lt;=InputData!$B$164,InputData!$D$163+InputData!$C$164*(LC18-InputData!$B$163),IF(LC18&lt;=InputData!$B$165,InputData!$D$164+InputData!$C$165*(LC18-InputData!$B$164),InputData!$D$165+InputData!$C$166*(LC18-InputData!$B$165)))))</f>
        <v>0</v>
      </c>
      <c r="LK18" s="43">
        <f t="shared" si="156"/>
        <v>0.28661208822180639</v>
      </c>
      <c r="LL18" s="32">
        <f t="shared" si="119"/>
        <v>123483.14899249715</v>
      </c>
      <c r="LM18" s="5">
        <f t="shared" si="120"/>
        <v>107897.25154494261</v>
      </c>
      <c r="LN18" s="32">
        <f>LM18/((1+InputData!$C$7)^(IntMed!$B18-IntMed!$B$7))</f>
        <v>77947.270202595217</v>
      </c>
      <c r="LO18" s="5">
        <f t="shared" si="145"/>
        <v>315972.89442811173</v>
      </c>
      <c r="LQ18" s="157" t="str">
        <f t="shared" si="37"/>
        <v>Private Practice</v>
      </c>
      <c r="LR18" s="32">
        <f t="shared" si="121"/>
        <v>230774.76723650933</v>
      </c>
      <c r="LS18" s="32">
        <v>0</v>
      </c>
      <c r="LT18" s="32">
        <f t="shared" si="123"/>
        <v>230774.76723650933</v>
      </c>
      <c r="LU18" s="32">
        <f>LU17*(1+InputData!$C$8)</f>
        <v>14286.370803454558</v>
      </c>
      <c r="LV18" s="32">
        <f>LR18/((1+InputData!$C$3)^(IntMed!$B18-IntMed!$B$7))</f>
        <v>185603.61564368152</v>
      </c>
      <c r="LW18" s="32">
        <f>LS18/((1+InputData!$C$3)^(IntMed!$B18-IntMed!$B$7))</f>
        <v>0</v>
      </c>
      <c r="LX18" s="32" t="s">
        <v>141</v>
      </c>
      <c r="LY18" s="32">
        <v>0</v>
      </c>
      <c r="LZ18" s="32">
        <f t="shared" si="189"/>
        <v>0</v>
      </c>
      <c r="MA18" s="32">
        <f>(LZ18)*InputData!$C$6</f>
        <v>0</v>
      </c>
      <c r="MB18" s="32">
        <f>MIN($BE$14*InputData!$C$6/(1-(1+InputData!$C$6)^(-10)), LZ18+MA18)</f>
        <v>0</v>
      </c>
      <c r="MC18" s="32">
        <f t="shared" si="168"/>
        <v>0</v>
      </c>
      <c r="MD18" s="32">
        <f>MB18/((1+InputData!$C$3)^(IntMed!$B18-IntMed!$B$7))</f>
        <v>0</v>
      </c>
      <c r="ME18" s="32">
        <f>IF(LV18-InputData!$C$158-InputData!$C$159&gt;=0,LV18-InputData!$C$158-InputData!$C$159,0)</f>
        <v>185603.61564368152</v>
      </c>
      <c r="MF18" s="32">
        <f>IF(LV18-IF(LV18&lt;=InputData!$C$146,InputData!$C$145,0)-MAX(InputData!$C$144,ML18)&gt;=0,LV18-IF(LV18&lt;=InputData!$C$146,InputData!$C$145,0)-MAX(InputData!$C$144,ML18),0)</f>
        <v>179503.61564368152</v>
      </c>
      <c r="MG18" s="32">
        <f>IF(MF18&lt;0,"Error",IF(MF18&lt;=InputData!$B$170,InputData!$C$170*MF18,IF(MF18&lt;=InputData!$B$171,InputData!$D$170+InputData!$C$171*(MF18-InputData!$B$170),IF(MF18&lt;=InputData!$B$172,InputData!$D$171+InputData!$C$172*(MF18-InputData!$B$171),IF(MF18&lt;=InputData!$B$173,InputData!$D$172+InputData!$C$173*(MF18-InputData!$B$172),IF(MF18&lt;=InputData!$B$174,InputData!$D$173+InputData!$C$174*(MF18-InputData!$B$173),IF(MF18&lt;=InputData!$B$175,InputData!$D$174+InputData!$C$175*(MF18-InputData!$B$174),InputData!$D$175+InputData!$C$176*(MF18-InputData!$B$175))))))))</f>
        <v>43554.26238023083</v>
      </c>
      <c r="MH18" s="32">
        <f>IF(LV18&lt;=InputData!$C$150,InputData!$C$152,IF(LV18&lt;InputData!$C$151,IF(InputData!$C$152-0.25*IF(LV18-InputData!$C$150&lt;=0,0,LV18-InputData!$C$150)&lt;=0,0,InputData!$C$152-0.25*IF(LV18-InputData!$C$150&lt;=0,0,LV18-InputData!$C$150)),0))</f>
        <v>34349.09608907962</v>
      </c>
      <c r="MI18" s="32">
        <f>IF(LV18-MH18&lt;=0,0,IF(LV18-MH18&lt;=InputData!$C$153,InputData!$C$154*(LV18-MH18),InputData!$C$155*(LV18-MH18)-InputData!$D$154))</f>
        <v>39326.175084196497</v>
      </c>
      <c r="MJ18" s="32">
        <f t="shared" si="124"/>
        <v>43554.26238023083</v>
      </c>
      <c r="MK18" s="32">
        <f>IF(LV18&gt;=0,IF(LV18&lt;=InputData!$C$148,InputData!$C$147*LV18,InputData!$C$147*InputData!$C$148)+InputData!$C$149*LV18,0)</f>
        <v>9740.6524268333815</v>
      </c>
      <c r="ML18" s="32">
        <f>IF(ME18&lt;0,0,IF(ME18&lt;=InputData!$B$163,InputData!$C$163*ME18,IF(ME18&lt;=InputData!$B$164,InputData!$D$163+InputData!$C$164*(ME18-InputData!$B$163),IF(ME18&lt;=InputData!$B$165,InputData!$D$164+InputData!$C$165*(ME18-InputData!$B$164),InputData!$D$165+InputData!$C$166*(ME18-InputData!$B$165)))))</f>
        <v>0</v>
      </c>
      <c r="MM18" s="43">
        <f t="shared" si="38"/>
        <v>0.28714373166834656</v>
      </c>
      <c r="MN18" s="32">
        <f t="shared" si="125"/>
        <v>132308.70083661732</v>
      </c>
      <c r="MO18" s="32">
        <f t="shared" si="126"/>
        <v>132308.70083661732</v>
      </c>
      <c r="MP18" s="32">
        <f>MO18/((1+InputData!$C$7)^(IntMed!$B18-IntMed!$B$7))</f>
        <v>95582.620563512814</v>
      </c>
      <c r="MQ18" s="5">
        <f t="shared" si="147"/>
        <v>605482.18328617187</v>
      </c>
    </row>
    <row r="19" spans="1:355" ht="14.45" x14ac:dyDescent="0.3">
      <c r="A19" s="53">
        <v>2025</v>
      </c>
      <c r="B19" s="51">
        <v>13</v>
      </c>
      <c r="C19" s="4"/>
      <c r="D19" s="3">
        <v>9</v>
      </c>
      <c r="E19" s="4" t="s">
        <v>21</v>
      </c>
      <c r="F19" s="5">
        <f>InputData!$H$23*12</f>
        <v>73317.600000000006</v>
      </c>
      <c r="G19" s="5">
        <f>(InputData!$H$23+InputData!$F$45+InputData!$C$50)*12+InputData!$J$50</f>
        <v>102317.52</v>
      </c>
      <c r="H19" s="5">
        <f>(InputData!$C$34+InputData!$C$40)*12</f>
        <v>20659.199999999997</v>
      </c>
      <c r="I19" s="5">
        <f t="shared" si="39"/>
        <v>122976.72</v>
      </c>
      <c r="J19" s="5">
        <f>G19*((1+InputData!$C$5)/(1+InputData!$C$3))^(IntMed!$B19-IntMed!$B$7)</f>
        <v>90908.486892120462</v>
      </c>
      <c r="K19" s="5">
        <f>H19*((1+InputData!$C$5)/(1+InputData!$C$3))^(IntMed!$B19-IntMed!$B$7)</f>
        <v>18355.5720701762</v>
      </c>
      <c r="L19" s="32">
        <f>IF(J19-InputData!$C$158-InputData!$C$159&gt;=0,J19-InputData!$C$158-InputData!$C$159,0)</f>
        <v>90908.486892120462</v>
      </c>
      <c r="M19" s="32">
        <f>IF(J19-IF(J19&lt;=InputData!$C$146,InputData!$C$145,0)-MAX(InputData!$C$144,S19)&gt;=0,J19-IF(J19&lt;=InputData!$C$146,InputData!$C$145,0)-MAX(InputData!$C$144,S19),0)</f>
        <v>80908.486892120462</v>
      </c>
      <c r="N19" s="32">
        <f>IF(M19&lt;0,"Error",IF(M19&lt;=InputData!$B$170,InputData!$C$170*M19,IF(M19&lt;=InputData!$B$171,InputData!$D$170+InputData!$C$171*(M19-InputData!$B$170),IF(M19&lt;=InputData!$B$172,InputData!$D$171+InputData!$C$172*(M19-InputData!$B$171),IF(M19&lt;=InputData!$B$173,InputData!$D$172+InputData!$C$173*(M19-InputData!$B$172),IF(M19&lt;=InputData!$B$174,InputData!$D$173+InputData!$C$174*(M19-InputData!$B$173),IF(M19&lt;=InputData!$B$175,InputData!$D$174+InputData!$C$175*(M19-InputData!$B$174),InputData!$D$175+InputData!$C$176*(M19-InputData!$B$175))))))))</f>
        <v>16155.871723030115</v>
      </c>
      <c r="O19" s="32">
        <f>IF(J19&lt;=InputData!$C$150,InputData!$C$152,IF(J19&lt;InputData!$C$151,IF(InputData!$C$152-0.25*IF(J19-InputData!$C$150&lt;=0,0,J19-InputData!$C$150)&lt;=0,0,InputData!$C$152-0.25*IF(J19-InputData!$C$150&lt;=0,0,J19-InputData!$C$150)),0))</f>
        <v>51900</v>
      </c>
      <c r="P19" s="32">
        <f>IF(J19-O19&lt;=0,0,IF(J19-O19&lt;=InputData!$C$153,InputData!$C$154*(J19-O19),InputData!$C$155*(J19-O19)-InputData!$D$154))</f>
        <v>10142.206591951321</v>
      </c>
      <c r="Q19" s="32">
        <f t="shared" si="40"/>
        <v>16155.871723030115</v>
      </c>
      <c r="R19" s="32">
        <f>IF(J19&gt;=0,IF(J19&lt;=InputData!$C$148,InputData!$C$147*J19,InputData!$C$147*InputData!$C$148)+InputData!$C$149*J19,0)</f>
        <v>6954.4992472472159</v>
      </c>
      <c r="S19" s="32">
        <f>IF(L19&lt;0,0,IF(L19&lt;=InputData!$B$163,InputData!$C$163*L19,IF(L19&lt;=InputData!$B$164,InputData!$D$163+InputData!$C$164*(L19-InputData!$B$163),IF(L19&lt;=InputData!$B$165,InputData!$D$164+InputData!$C$165*(L19-InputData!$B$164),InputData!$D$165+InputData!$C$166*(L19-InputData!$B$165)))))</f>
        <v>0</v>
      </c>
      <c r="T19" s="43">
        <f t="shared" si="41"/>
        <v>0.25421576973008042</v>
      </c>
      <c r="U19" s="43">
        <f t="shared" si="42"/>
        <v>0.21150935806120783</v>
      </c>
      <c r="V19" s="5">
        <f t="shared" si="43"/>
        <v>86153.687992019331</v>
      </c>
      <c r="W19" s="32">
        <f>V19/((1+InputData!$C$7)^(IntMed!$B19-IntMed!$B$7))</f>
        <v>60426.463362025315</v>
      </c>
      <c r="X19" s="5">
        <f t="shared" si="127"/>
        <v>728871.24943829409</v>
      </c>
      <c r="Y19" s="53"/>
      <c r="Z19" s="3">
        <v>9</v>
      </c>
      <c r="AA19" s="97" t="s">
        <v>261</v>
      </c>
      <c r="AB19" s="5">
        <f t="shared" si="192"/>
        <v>73317.600000000006</v>
      </c>
      <c r="AC19" s="5">
        <f>G19+InputData!$D$57+InputData!$J$57</f>
        <v>157317.52000000002</v>
      </c>
      <c r="AD19" s="5">
        <f t="shared" si="193"/>
        <v>20659.199999999997</v>
      </c>
      <c r="AE19" s="5">
        <f t="shared" ref="AE19:AE21" si="194">AC19+AD19</f>
        <v>177976.72000000003</v>
      </c>
      <c r="AF19" s="5">
        <f>AC19*((1+InputData!$C$5)/(1+InputData!$C$3))^(IntMed!$B19-IntMed!$B$7)</f>
        <v>139775.64844047138</v>
      </c>
      <c r="AG19" s="5">
        <f>AD19*((1+InputData!$C$5)/(1+InputData!$C$3))^(IntMed!$B19-IntMed!$B$7)</f>
        <v>18355.5720701762</v>
      </c>
      <c r="AH19" s="32">
        <f>IF(AF19-InputData!$C$158-InputData!$C$159&gt;=0,AF19-InputData!$C$158-InputData!$C$159,0)</f>
        <v>139775.64844047138</v>
      </c>
      <c r="AI19" s="32">
        <f>IF(AF19-IF(AF19&lt;=InputData!$C$146,InputData!$C$145,0)-MAX(InputData!$C$144,AO19)&gt;=0,AF19-IF(AF19&lt;=InputData!$C$146,InputData!$C$145,0)-MAX(InputData!$C$144,AO19),0)</f>
        <v>129775.64844047138</v>
      </c>
      <c r="AJ19" s="32">
        <f>IF(AI19&lt;0,"Error",IF(AI19&lt;=InputData!$B$170,InputData!$C$170*AI19,IF(AI19&lt;=InputData!$B$171,InputData!$D$170+InputData!$C$171*(AI19-InputData!$B$170),IF(AI19&lt;=InputData!$B$172,InputData!$D$171+InputData!$C$172*(AI19-InputData!$B$171),IF(AI19&lt;=InputData!$B$173,InputData!$D$172+InputData!$C$173*(AI19-InputData!$B$172),IF(AI19&lt;=InputData!$B$174,InputData!$D$173+InputData!$C$174*(AI19-InputData!$B$173),IF(AI19&lt;=InputData!$B$175,InputData!$D$174+InputData!$C$175*(AI19-InputData!$B$174),InputData!$D$175+InputData!$C$176*(AI19-InputData!$B$175))))))))</f>
        <v>29630.431563331989</v>
      </c>
      <c r="AK19" s="32">
        <f>IF(AF19&lt;=InputData!$C$150,InputData!$C$152,IF(AF19&lt;InputData!$C$151,IF(InputData!$C$152-0.25*IF(AF19-InputData!$C$150&lt;=0,0,AF19-InputData!$C$150)&lt;=0,0,InputData!$C$152-0.25*IF(AF19-InputData!$C$150&lt;=0,0,AF19-InputData!$C$150)),0))</f>
        <v>45806.087889882154</v>
      </c>
      <c r="AL19" s="32">
        <f>IF(AF19-AK19&lt;=0,0,IF(AF19-AK19&lt;=InputData!$C$153,InputData!$C$154*(AF19-AK19),InputData!$C$155*(AF19-AK19)-InputData!$D$154))</f>
        <v>24432.085743153202</v>
      </c>
      <c r="AM19" s="32">
        <f t="shared" si="45"/>
        <v>29630.431563331989</v>
      </c>
      <c r="AN19" s="32">
        <f>IF(AF19&gt;=0,IF(AF19&lt;=InputData!$C$148,InputData!$C$147*AF19,InputData!$C$147*InputData!$C$148)+InputData!$C$149*AF19,0)</f>
        <v>9076.146902386834</v>
      </c>
      <c r="AO19" s="32">
        <f>IF(AH19&lt;0,0,IF(AH19&lt;=InputData!$B$163,InputData!$C$163*AH19,IF(AH19&lt;=InputData!$B$164,InputData!$D$163+InputData!$C$164*(AH19-InputData!$B$163),IF(AH19&lt;=InputData!$B$165,InputData!$D$164+InputData!$C$165*(AH19-InputData!$B$164),InputData!$D$165+InputData!$C$166*(AH19-InputData!$B$165)))))</f>
        <v>0</v>
      </c>
      <c r="AP19" s="43">
        <f t="shared" si="46"/>
        <v>0.27691932677531766</v>
      </c>
      <c r="AQ19" s="43">
        <f t="shared" si="47"/>
        <v>0.24477505669484514</v>
      </c>
      <c r="AR19" s="5">
        <f t="shared" si="48"/>
        <v>119424.64204492874</v>
      </c>
      <c r="AS19" s="32">
        <f>AR19/((1+InputData!$C$7)^(IntMed!$B19-IntMed!$B$7))</f>
        <v>83762.041129560836</v>
      </c>
      <c r="AT19" s="5">
        <f t="shared" si="128"/>
        <v>684313.1123290431</v>
      </c>
      <c r="AU19" s="53"/>
      <c r="AV19" s="41" t="s">
        <v>109</v>
      </c>
      <c r="AW19" s="32">
        <f>$AW$14*(1+InputData!$C$3+InputData!$C$4)^(IntMed!$B19-IntMed!$B$14)</f>
        <v>237698.01025360462</v>
      </c>
      <c r="AX19" s="32">
        <v>0</v>
      </c>
      <c r="AY19" s="32">
        <f t="shared" si="50"/>
        <v>237698.01025360462</v>
      </c>
      <c r="AZ19" s="32">
        <f>AZ18*(1+InputData!$C$8)</f>
        <v>14572.09821952365</v>
      </c>
      <c r="BA19" s="32">
        <f>AW19/((1+InputData!$C$3)^(IntMed!$B19-IntMed!$B$7))</f>
        <v>187423.25893430584</v>
      </c>
      <c r="BB19" s="32">
        <f>AX19/((1+InputData!$C$3)^(IntMed!$B19-IntMed!$B$7))</f>
        <v>0</v>
      </c>
      <c r="BC19" s="32" t="s">
        <v>141</v>
      </c>
      <c r="BD19" s="32">
        <v>0</v>
      </c>
      <c r="BE19" s="32">
        <f t="shared" si="174"/>
        <v>141039.0437581148</v>
      </c>
      <c r="BF19" s="32">
        <f>(BE19)*InputData!$C$6</f>
        <v>8758.5246173789292</v>
      </c>
      <c r="BG19" s="32">
        <f>MIN($BE$14*InputData!$C$6/(1-(1+InputData!$C$6)^(-10)), BE19+BF19)</f>
        <v>33673.665953283198</v>
      </c>
      <c r="BH19" s="32">
        <f t="shared" si="157"/>
        <v>116123.90242221052</v>
      </c>
      <c r="BI19" s="32">
        <f>BG19/((1+InputData!$C$3)^(IntMed!$B19-IntMed!$B$7))</f>
        <v>26551.455800980173</v>
      </c>
      <c r="BJ19" s="32">
        <f>IF(BA19-InputData!$C$158-InputData!$C$159&gt;=0,BA19-InputData!$C$158-InputData!$C$159,0)</f>
        <v>187423.25893430584</v>
      </c>
      <c r="BK19" s="32">
        <f>IF(BA19-IF(BA19&lt;=InputData!$C$146,InputData!$C$145,0)-MAX(InputData!$C$144,BQ19)&gt;=0,BA19-IF(BA19&lt;=InputData!$C$146,InputData!$C$145,0)-MAX(InputData!$C$144,BQ19),0)</f>
        <v>181323.25893430584</v>
      </c>
      <c r="BL19" s="32">
        <f>IF(BK19&lt;0,"Error",IF(BK19&lt;=InputData!$B$170,InputData!$C$170*BK19,IF(BK19&lt;=InputData!$B$171,InputData!$D$170+InputData!$C$171*(BK19-InputData!$B$170),IF(BK19&lt;=InputData!$B$172,InputData!$D$171+InputData!$C$172*(BK19-InputData!$B$171),IF(BK19&lt;=InputData!$B$173,InputData!$D$172+InputData!$C$173*(BK19-InputData!$B$172),IF(BK19&lt;=InputData!$B$174,InputData!$D$173+InputData!$C$174*(BK19-InputData!$B$173),IF(BK19&lt;=InputData!$B$175,InputData!$D$174+InputData!$C$175*(BK19-InputData!$B$174),InputData!$D$175+InputData!$C$176*(BK19-InputData!$B$175))))))))</f>
        <v>44063.762501605641</v>
      </c>
      <c r="BM19" s="32">
        <f>IF(BA19&lt;=InputData!$C$150,InputData!$C$152,IF(BA19&lt;InputData!$C$151,IF(InputData!$C$152-0.25*IF(BA19-InputData!$C$150&lt;=0,0,BA19-InputData!$C$150)&lt;=0,0,InputData!$C$152-0.25*IF(BA19-InputData!$C$150&lt;=0,0,BA19-InputData!$C$150)),0))</f>
        <v>33894.185266423541</v>
      </c>
      <c r="BN19" s="32">
        <f>IF(BA19-BM19&lt;=0,0,IF(BA19-BM19&lt;=InputData!$C$153,InputData!$C$154*(BA19-BM19),InputData!$C$155*(BA19-BM19)-InputData!$D$154))</f>
        <v>39917.559153649403</v>
      </c>
      <c r="BO19" s="32">
        <f t="shared" si="51"/>
        <v>44063.762501605641</v>
      </c>
      <c r="BP19" s="32">
        <f>IF(BA19&gt;=0,IF(BA19&lt;=InputData!$C$148,InputData!$C$147*BA19,InputData!$C$147*InputData!$C$148)+InputData!$C$149*BA19,0)</f>
        <v>9767.0372545474347</v>
      </c>
      <c r="BQ19" s="32">
        <f>IF(BJ19&lt;0,0,IF(BJ19&lt;=InputData!$B$163,InputData!$C$163*BJ19,IF(BJ19&lt;=InputData!$B$164,InputData!$D$163+InputData!$C$164*(BJ19-InputData!$B$163),IF(BJ19&lt;=InputData!$B$165,InputData!$D$164+InputData!$C$165*(BJ19-InputData!$B$164),InputData!$D$165+InputData!$C$166*(BJ19-InputData!$B$165)))))</f>
        <v>0</v>
      </c>
      <c r="BR19" s="43">
        <f t="shared" si="52"/>
        <v>0.2872151517492364</v>
      </c>
      <c r="BS19" s="32">
        <f t="shared" si="53"/>
        <v>133592.45917815276</v>
      </c>
      <c r="BT19" s="32">
        <f t="shared" si="54"/>
        <v>107041.00337717259</v>
      </c>
      <c r="BU19" s="32">
        <f>BT19/((1+InputData!$C$7)^(IntMed!$B19-IntMed!$B$7))</f>
        <v>75076.406124416942</v>
      </c>
      <c r="BV19" s="5">
        <f t="shared" si="130"/>
        <v>381452.78567243472</v>
      </c>
      <c r="BW19" s="5"/>
      <c r="BX19" s="32" t="s">
        <v>141</v>
      </c>
      <c r="BY19" s="5">
        <f t="shared" si="175"/>
        <v>220814.08041943787</v>
      </c>
      <c r="BZ19" s="32">
        <f>(BY19)*InputData!$C$6</f>
        <v>13712.554394047093</v>
      </c>
      <c r="CA19" s="32">
        <f>MIN($BY$14*InputData!$C$6/(1-(1+InputData!$C$6)^(-25)), BY19+BZ19)</f>
        <v>19581.069601718285</v>
      </c>
      <c r="CB19" s="32">
        <f t="shared" si="176"/>
        <v>214945.56521176669</v>
      </c>
      <c r="CC19" s="32">
        <f>CA19/((1+InputData!$C$3)^(IntMed!$B19-IntMed!$B$7))</f>
        <v>15439.539751544291</v>
      </c>
      <c r="CD19" s="5">
        <f t="shared" si="58"/>
        <v>118152.91942660847</v>
      </c>
      <c r="CE19" s="32">
        <f>CD19/((1+InputData!$C$7)^(IntMed!$B19-IntMed!$B$7))</f>
        <v>82870.080471884663</v>
      </c>
      <c r="CF19" s="5">
        <f t="shared" si="131"/>
        <v>434544.77750970959</v>
      </c>
      <c r="CG19" s="5"/>
      <c r="CH19" s="32" t="s">
        <v>141</v>
      </c>
      <c r="CI19" s="5">
        <f t="shared" si="177"/>
        <v>164902.22479006706</v>
      </c>
      <c r="CJ19" s="32">
        <f>(CI19)*InputData!$C$6</f>
        <v>10240.428159463165</v>
      </c>
      <c r="CK19" s="32">
        <f t="shared" si="170"/>
        <v>32375.979438647868</v>
      </c>
      <c r="CL19" s="32">
        <f t="shared" si="178"/>
        <v>142766.67351088236</v>
      </c>
      <c r="CM19" s="32">
        <f>CK19/((1+InputData!$C$3)^(IntMed!$B19-IntMed!$B$7))</f>
        <v>25528.23884014587</v>
      </c>
      <c r="CN19" s="5">
        <f t="shared" si="62"/>
        <v>108064.22033800688</v>
      </c>
      <c r="CO19" s="32">
        <f>CN19/((1+InputData!$C$7)^(IntMed!$B19-IntMed!$B$7))</f>
        <v>75794.069913818326</v>
      </c>
      <c r="CP19" s="5">
        <f t="shared" si="132"/>
        <v>395657.64635249873</v>
      </c>
      <c r="CQ19" s="5"/>
      <c r="CR19" s="32" t="s">
        <v>141</v>
      </c>
      <c r="CS19" s="5">
        <f t="shared" si="179"/>
        <v>220487.52881238639</v>
      </c>
      <c r="CT19" s="32">
        <f>(CS19)*InputData!$C$6</f>
        <v>13692.275539249194</v>
      </c>
      <c r="CU19" s="32">
        <f t="shared" si="171"/>
        <v>21583.986292431917</v>
      </c>
      <c r="CV19" s="32">
        <f t="shared" si="180"/>
        <v>212595.81805920365</v>
      </c>
      <c r="CW19" s="32">
        <f>CU19/((1+InputData!$C$3)^(IntMed!$B19-IntMed!$B$7))</f>
        <v>17018.825893430585</v>
      </c>
      <c r="CX19" s="5">
        <f t="shared" si="66"/>
        <v>116573.63328472216</v>
      </c>
      <c r="CY19" s="32">
        <f>CX19/((1+InputData!$C$7)^(IntMed!$B19-IntMed!$B$7))</f>
        <v>81762.400946898022</v>
      </c>
      <c r="CZ19" s="5">
        <f t="shared" si="133"/>
        <v>433209.71957171493</v>
      </c>
      <c r="DA19" s="5"/>
      <c r="DB19" s="32" t="s">
        <v>141</v>
      </c>
      <c r="DC19" s="5">
        <f t="shared" si="158"/>
        <v>65447.901635434042</v>
      </c>
      <c r="DD19" s="5">
        <f>DC19*InputData!$C$6</f>
        <v>4064.3146915604543</v>
      </c>
      <c r="DE19" s="32">
        <f t="shared" si="159"/>
        <v>29148.379963889372</v>
      </c>
      <c r="DF19" s="32">
        <f t="shared" si="160"/>
        <v>40363.836363105132</v>
      </c>
      <c r="DG19" s="32">
        <f>DE19/((1+InputData!$C$3)^(IntMed!$B19-IntMed!$B$7))</f>
        <v>22983.298680787859</v>
      </c>
      <c r="DH19" s="5">
        <f t="shared" si="70"/>
        <v>110609.16049736489</v>
      </c>
      <c r="DI19" s="32">
        <f>DH19/((1+InputData!$C$7)^(IntMed!$B19-IntMed!$B$7))</f>
        <v>77579.039737887128</v>
      </c>
      <c r="DJ19" s="5">
        <f t="shared" si="134"/>
        <v>342088.42544120597</v>
      </c>
      <c r="DK19" s="5"/>
      <c r="DL19" s="32" t="s">
        <v>141</v>
      </c>
      <c r="DM19" s="32">
        <f t="shared" si="181"/>
        <v>144175.36064242967</v>
      </c>
      <c r="DN19" s="5">
        <f>DM19*InputData!$C$6</f>
        <v>8953.2898958948826</v>
      </c>
      <c r="DO19" s="32">
        <f t="shared" si="182"/>
        <v>0</v>
      </c>
      <c r="DP19" s="32">
        <f t="shared" si="150"/>
        <v>29148.379963889372</v>
      </c>
      <c r="DQ19" s="32">
        <f t="shared" si="151"/>
        <v>123980.27057443518</v>
      </c>
      <c r="DR19" s="32">
        <f>DP19/((1+InputData!$C$3)^(IntMed!$B19-IntMed!$B$7))</f>
        <v>22983.298680787859</v>
      </c>
      <c r="DS19" s="5">
        <f t="shared" si="74"/>
        <v>110609.16049736489</v>
      </c>
      <c r="DT19" s="32">
        <f>DS19/((1+InputData!$C$7)^(IntMed!$B19-IntMed!$B$7))</f>
        <v>77579.039737887128</v>
      </c>
      <c r="DU19" s="5">
        <f t="shared" si="136"/>
        <v>386236.68189185776</v>
      </c>
      <c r="DV19" s="5"/>
      <c r="DW19" s="32" t="s">
        <v>141</v>
      </c>
      <c r="DX19" s="133">
        <f t="shared" si="161"/>
        <v>200982.81608733031</v>
      </c>
      <c r="DY19" s="5">
        <f>DX19*InputData!$C$6</f>
        <v>12481.032879023212</v>
      </c>
      <c r="DZ19" s="133">
        <f t="shared" si="162"/>
        <v>0</v>
      </c>
      <c r="EA19" s="32">
        <f t="shared" si="163"/>
        <v>21583.986292431917</v>
      </c>
      <c r="EB19" s="32">
        <f t="shared" si="164"/>
        <v>191879.8626739216</v>
      </c>
      <c r="EC19" s="32">
        <f>EA19/((1+InputData!$C$3)^(IntMed!$B19-IntMed!$B$7))</f>
        <v>17018.825893430585</v>
      </c>
      <c r="ED19" s="5">
        <f t="shared" si="78"/>
        <v>116573.63328472216</v>
      </c>
      <c r="EE19" s="32">
        <f>ED19/((1+InputData!$C$7)^(IntMed!$B19-IntMed!$B$7))</f>
        <v>81762.400946898022</v>
      </c>
      <c r="EF19" s="5">
        <f t="shared" si="138"/>
        <v>424166.6802738168</v>
      </c>
      <c r="EG19" s="32"/>
      <c r="EH19" s="130" t="s">
        <v>141</v>
      </c>
      <c r="EI19" s="32">
        <v>0</v>
      </c>
      <c r="EJ19" s="32">
        <f t="shared" si="190"/>
        <v>224733.45054686329</v>
      </c>
      <c r="EK19" s="32">
        <f>EJ19*InputData!$C$6</f>
        <v>13955.947278960211</v>
      </c>
      <c r="EL19" s="32">
        <f t="shared" si="191"/>
        <v>217105.41153339163</v>
      </c>
      <c r="EM19" s="32">
        <f>EM18*(1+InputData!$C$8)</f>
        <v>14572.09821952365</v>
      </c>
      <c r="EN19" s="32">
        <f t="shared" si="172"/>
        <v>21583.986292431917</v>
      </c>
      <c r="EO19" s="32">
        <f>AW19/((1+InputData!$C$3)^(IntMed!$B19-IntMed!$B$7))</f>
        <v>187423.25893430584</v>
      </c>
      <c r="EP19" s="32">
        <f>AX19/((1+InputData!$C$3)^(IntMed!$B19-IntMed!$B$7))</f>
        <v>0</v>
      </c>
      <c r="EQ19" s="32">
        <v>43679.92</v>
      </c>
      <c r="ER19" s="32">
        <v>8465.6749999999993</v>
      </c>
      <c r="ES19" s="32">
        <v>0</v>
      </c>
      <c r="ET19" s="42">
        <f t="shared" si="154"/>
        <v>0.27822371298259024</v>
      </c>
      <c r="EU19" s="32">
        <f t="shared" si="79"/>
        <v>135277.66393430583</v>
      </c>
      <c r="EV19" s="32">
        <f>EN19/((1+InputData!$C$3)^(IntMed!$B19-IntMed!$B$7))</f>
        <v>17018.825893430585</v>
      </c>
      <c r="EW19" s="32">
        <f t="shared" si="80"/>
        <v>118258.83804087524</v>
      </c>
      <c r="EX19" s="32">
        <f>EW19/((1+InputData!$C$7)^(IntMed!$B19-IntMed!$B$7))</f>
        <v>82944.369656869298</v>
      </c>
      <c r="EY19" s="5">
        <f t="shared" si="148"/>
        <v>441948.60472244897</v>
      </c>
      <c r="EZ19" s="79"/>
      <c r="FA19" s="32">
        <f t="shared" si="183"/>
        <v>142844.64016825377</v>
      </c>
      <c r="FB19" s="32">
        <f>FA19*InputData!$C$6</f>
        <v>8870.6521544485586</v>
      </c>
      <c r="FC19" s="32">
        <f t="shared" si="184"/>
        <v>117610.53261877131</v>
      </c>
      <c r="FD19" s="53">
        <f>MIN($EJ$14*InputData!$C$6/(1-(1+InputData!$C$6)^(-10)), FA19+FB19)</f>
        <v>34104.75970393102</v>
      </c>
      <c r="FE19" s="32">
        <f>FD19/((1+InputData!$C$3)^(IntMed!$B19-IntMed!$B$7))</f>
        <v>26891.370281401883</v>
      </c>
      <c r="FF19" s="5">
        <f t="shared" si="84"/>
        <v>108386.29365290396</v>
      </c>
      <c r="FG19" s="32">
        <f>FF19/((1+InputData!$C$7)^(IntMed!$B19-IntMed!$B$7))</f>
        <v>76019.965656834189</v>
      </c>
      <c r="FH19" s="5">
        <f t="shared" si="140"/>
        <v>388567.58216558432</v>
      </c>
      <c r="FI19" s="79"/>
      <c r="FJ19" s="32">
        <f t="shared" si="185"/>
        <v>223640.96509115514</v>
      </c>
      <c r="FK19" s="32">
        <f>FJ19*InputData!$C$6</f>
        <v>13888.103932160735</v>
      </c>
      <c r="FL19" s="32">
        <f t="shared" si="186"/>
        <v>217697.32054546895</v>
      </c>
      <c r="FM19" s="53">
        <f>MIN($EJ$14*InputData!$C$6/(1-(1+InputData!$C$6)^(-25)), FJ19+FK19)</f>
        <v>19831.748477846937</v>
      </c>
      <c r="FN19" s="32">
        <f>FM19/((1+InputData!$C$3)^(IntMed!$B19-IntMed!$B$7))</f>
        <v>15637.198334634211</v>
      </c>
      <c r="FO19" s="5">
        <f t="shared" si="88"/>
        <v>119640.46559967162</v>
      </c>
      <c r="FP19" s="32">
        <f>FO19/((1+InputData!$C$7)^(IntMed!$B19-IntMed!$B$7))</f>
        <v>83913.415428529217</v>
      </c>
      <c r="FQ19" s="5">
        <f t="shared" si="141"/>
        <v>442339.26316774689</v>
      </c>
      <c r="FR19" s="79"/>
      <c r="FS19" s="32">
        <f t="shared" si="187"/>
        <v>169148.14652454402</v>
      </c>
      <c r="FT19" s="32">
        <f>FS19*InputData!$C$6</f>
        <v>10504.099899174184</v>
      </c>
      <c r="FU19" s="32">
        <f t="shared" si="188"/>
        <v>147276.26698507034</v>
      </c>
      <c r="FV19" s="5">
        <f t="shared" si="173"/>
        <v>32375.979438647868</v>
      </c>
      <c r="FW19" s="32">
        <f>FV19/((1+InputData!$C$3)^(IntMed!$B19-IntMed!$B$7))</f>
        <v>25528.23884014587</v>
      </c>
      <c r="FX19" s="5">
        <f t="shared" si="92"/>
        <v>109749.42509415996</v>
      </c>
      <c r="FY19" s="32">
        <f>FX19/((1+InputData!$C$7)^(IntMed!$B19-IntMed!$B$7))</f>
        <v>76976.038623789602</v>
      </c>
      <c r="FZ19" s="5">
        <f t="shared" si="142"/>
        <v>404396.53150323295</v>
      </c>
      <c r="GC19" s="3">
        <f t="shared" si="3"/>
        <v>9</v>
      </c>
      <c r="GD19" s="4" t="str">
        <f t="shared" si="4"/>
        <v>Service (O4&gt;8 = (BP+BAH+BAS+VSP+BCPSP)*12)+ASP</v>
      </c>
      <c r="GE19" s="4"/>
      <c r="GF19" s="4"/>
      <c r="GG19" s="4"/>
      <c r="GH19" s="4"/>
      <c r="GI19" s="5">
        <f t="shared" si="5"/>
        <v>102317.52</v>
      </c>
      <c r="GJ19" s="5">
        <f t="shared" si="6"/>
        <v>20659.199999999997</v>
      </c>
      <c r="GK19" s="5">
        <f t="shared" si="7"/>
        <v>122976.72</v>
      </c>
      <c r="GL19" s="5">
        <f t="shared" si="8"/>
        <v>90908.486892120462</v>
      </c>
      <c r="GM19" s="5">
        <f t="shared" si="9"/>
        <v>18355.5720701762</v>
      </c>
      <c r="GN19" s="32">
        <f>IF(GL19-InputData!$C$158-InputData!$C$159&gt;=0,GL19-InputData!$C$158-InputData!$C$159,0)</f>
        <v>90908.486892120462</v>
      </c>
      <c r="GO19" s="32">
        <f>IF(GL19-IF(GL19&lt;=InputData!$C$146,InputData!$C$145,0)-MAX(InputData!$C$144,GU19)&gt;=0,GL19-IF(GL19&lt;=InputData!$C$146,InputData!$C$145,0)-MAX(InputData!$C$144,GU19),0)</f>
        <v>80908.486892120462</v>
      </c>
      <c r="GP19" s="32">
        <f>IF(GO19&lt;0,"Error",IF(GO19&lt;=InputData!$B$170,InputData!$C$170*GO19,IF(GO19&lt;=InputData!$B$171,InputData!$D$170+InputData!$C$171*(GO19-InputData!$B$170),IF(GO19&lt;=InputData!$B$172,InputData!$D$171+InputData!$C$172*(GO19-InputData!$B$171),IF(GO19&lt;=InputData!$B$173,InputData!$D$172+InputData!$C$173*(GO19-InputData!$B$172),IF(GO19&lt;=InputData!$B$174,InputData!$D$173+InputData!$C$174*(GO19-InputData!$B$173),IF(GO19&lt;=InputData!$B$175,InputData!$D$174+InputData!$C$175*(GO19-InputData!$B$174),InputData!$D$175+InputData!$C$176*(GO19-InputData!$B$175))))))))</f>
        <v>16155.871723030115</v>
      </c>
      <c r="GQ19" s="32">
        <f>IF(GL19&lt;=InputData!$C$150,InputData!$C$152,IF(GL19&lt;InputData!$C$151,IF(InputData!$C$152-0.25*IF(GL19-InputData!$C$150&lt;=0,0,GL19-InputData!$C$150)&lt;=0,0,InputData!$C$152-0.25*IF(GL19-InputData!$C$150&lt;=0,0,GL19-InputData!$C$150)),0))</f>
        <v>51900</v>
      </c>
      <c r="GR19" s="32">
        <f>IF(GL19-GQ19&lt;=0,0,IF(GL19-GQ19&lt;=InputData!$C$153,InputData!$C$154*(GL19-GQ19),InputData!$C$155*(GL19-GQ19)-InputData!$D$154))</f>
        <v>10142.206591951321</v>
      </c>
      <c r="GS19" s="32">
        <f t="shared" si="93"/>
        <v>16155.871723030115</v>
      </c>
      <c r="GT19" s="32">
        <f>IF(GL19&gt;=0,IF(GL19&lt;=InputData!$C$148,InputData!$C$147*GL19,InputData!$C$147*InputData!$C$148)+InputData!$C$149*GL19,0)</f>
        <v>6954.4992472472159</v>
      </c>
      <c r="GU19" s="32">
        <f>IF(GN19&lt;0,0,IF(GN19&lt;=InputData!$B$163,InputData!$C$163*GN19,IF(GN19&lt;=InputData!$B$164,InputData!$D$163+InputData!$C$164*(GN19-InputData!$B$163),IF(GN19&lt;=InputData!$B$165,InputData!$D$164+InputData!$C$165*(GN19-InputData!$B$164),InputData!$D$165+InputData!$C$166*(GN19-InputData!$B$165)))))</f>
        <v>0</v>
      </c>
      <c r="GV19" s="43">
        <f t="shared" si="10"/>
        <v>0.25421576973008042</v>
      </c>
      <c r="GW19" s="43">
        <f t="shared" si="11"/>
        <v>0.21150935806120783</v>
      </c>
      <c r="GX19" s="5">
        <f t="shared" si="12"/>
        <v>86153.687992019331</v>
      </c>
      <c r="GY19" s="32">
        <f>GX19/((1+InputData!$C$7)^(IntMed!$B19-IntMed!$B$7))</f>
        <v>60426.463362025315</v>
      </c>
      <c r="GZ19" s="32">
        <f t="shared" si="94"/>
        <v>728871.24943829409</v>
      </c>
      <c r="HB19" s="3">
        <f t="shared" si="13"/>
        <v>9</v>
      </c>
      <c r="HC19" s="122" t="str">
        <f t="shared" si="14"/>
        <v>Multi-Year (O4&gt;8 = (BP+BAH+BAS+VSP+BCPSP)*12+ASP+ISP+MSP)</v>
      </c>
      <c r="HD19" s="4"/>
      <c r="HE19" s="4"/>
      <c r="HF19" s="4"/>
      <c r="HG19" s="4"/>
      <c r="HH19" s="5">
        <f t="shared" si="15"/>
        <v>157317.52000000002</v>
      </c>
      <c r="HI19" s="5">
        <f t="shared" si="16"/>
        <v>20659.199999999997</v>
      </c>
      <c r="HJ19" s="5">
        <f t="shared" si="17"/>
        <v>177976.72000000003</v>
      </c>
      <c r="HK19" s="5">
        <f t="shared" si="18"/>
        <v>139775.64844047138</v>
      </c>
      <c r="HL19" s="5">
        <f t="shared" si="19"/>
        <v>18355.5720701762</v>
      </c>
      <c r="HM19" s="32">
        <f>IF(HK19-InputData!$C$158-InputData!$C$159&gt;=0,HK19-InputData!$C$158-InputData!$C$159,0)</f>
        <v>139775.64844047138</v>
      </c>
      <c r="HN19" s="32">
        <f>IF(HK19-IF(HK19&lt;=InputData!$C$146,InputData!$C$145,0)-MAX(InputData!$C$144,HT19)&gt;=0,HK19-IF(HK19&lt;=InputData!$C$146,InputData!$C$145,0)-MAX(InputData!$C$144,HT19),0)</f>
        <v>129775.64844047138</v>
      </c>
      <c r="HO19" s="32">
        <f>IF(HN19&lt;0,"Error",IF(HN19&lt;=InputData!$B$170,InputData!$C$170*HN19,IF(HN19&lt;=InputData!$B$171,InputData!$D$170+InputData!$C$171*(HN19-InputData!$B$170),IF(HN19&lt;=InputData!$B$172,InputData!$D$171+InputData!$C$172*(HN19-InputData!$B$171),IF(HN19&lt;=InputData!$B$173,InputData!$D$172+InputData!$C$173*(HN19-InputData!$B$172),IF(HN19&lt;=InputData!$B$174,InputData!$D$173+InputData!$C$174*(HN19-InputData!$B$173),IF(HN19&lt;=InputData!$B$175,InputData!$D$174+InputData!$C$175*(HN19-InputData!$B$174),InputData!$D$175+InputData!$C$176*(HN19-InputData!$B$175))))))))</f>
        <v>29630.431563331989</v>
      </c>
      <c r="HP19" s="32">
        <f>IF(HK19&lt;=InputData!$C$150,InputData!$C$152,IF(HK19&lt;InputData!$C$151,IF(InputData!$C$152-0.25*IF(HK19-InputData!$C$150&lt;=0,0,HK19-InputData!$C$150)&lt;=0,0,InputData!$C$152-0.25*IF(HK19-InputData!$C$150&lt;=0,0,HK19-InputData!$C$150)),0))</f>
        <v>45806.087889882154</v>
      </c>
      <c r="HQ19" s="32">
        <f>IF(HK19-HP19&lt;=0,0,IF(HK19-HP19&lt;=InputData!$C$153,InputData!$C$154*(HK19-HP19),InputData!$C$155*(HK19-HP19)-InputData!$D$154))</f>
        <v>24432.085743153202</v>
      </c>
      <c r="HR19" s="32">
        <f t="shared" si="95"/>
        <v>29630.431563331989</v>
      </c>
      <c r="HS19" s="32">
        <f>IF(HK19&gt;=0,IF(HK19&lt;=InputData!$C$148,InputData!$C$147*HK19,InputData!$C$147*InputData!$C$148)+InputData!$C$149*HK19,0)</f>
        <v>9076.146902386834</v>
      </c>
      <c r="HT19" s="32">
        <f>IF(HM19&lt;0,0,IF(HM19&lt;=InputData!$B$163,InputData!$C$163*HM19,IF(HM19&lt;=InputData!$B$164,InputData!$D$163+InputData!$C$164*(HM19-InputData!$B$163),IF(HM19&lt;=InputData!$B$165,InputData!$D$164+InputData!$C$165*(HM19-InputData!$B$164),InputData!$D$165+InputData!$C$166*(HM19-InputData!$B$165)))))</f>
        <v>0</v>
      </c>
      <c r="HU19" s="43">
        <f t="shared" si="96"/>
        <v>0.27691932677531766</v>
      </c>
      <c r="HV19" s="43">
        <f t="shared" si="97"/>
        <v>0.24477505669484514</v>
      </c>
      <c r="HW19" s="5">
        <f t="shared" si="98"/>
        <v>119424.64204492874</v>
      </c>
      <c r="HX19" s="32">
        <f>HW19/((1+InputData!$C$7)^(IntMed!$B19-IntMed!$B$7))</f>
        <v>83762.041129560836</v>
      </c>
      <c r="HY19" s="32">
        <f t="shared" si="99"/>
        <v>684313.1123290431</v>
      </c>
      <c r="IA19" s="3">
        <f t="shared" si="20"/>
        <v>9</v>
      </c>
      <c r="IB19" s="4" t="str">
        <f t="shared" si="21"/>
        <v>Service (O4&gt;8 = (BP+BAH+BAS+VSP+BCPSP)*12)+ASP</v>
      </c>
      <c r="IC19" s="5">
        <f t="shared" si="22"/>
        <v>102317.52</v>
      </c>
      <c r="ID19" s="5">
        <f t="shared" si="23"/>
        <v>20659.199999999997</v>
      </c>
      <c r="IE19" s="5">
        <f t="shared" si="24"/>
        <v>122976.72</v>
      </c>
      <c r="IF19" s="5">
        <f t="shared" si="25"/>
        <v>90908.486892120462</v>
      </c>
      <c r="IG19" s="5">
        <f t="shared" si="26"/>
        <v>18355.5720701762</v>
      </c>
      <c r="IH19" s="32">
        <f>IF(IF19-InputData!$C$158-InputData!$C$159&gt;=0,IF19-InputData!$C$158-InputData!$C$159,0)</f>
        <v>90908.486892120462</v>
      </c>
      <c r="II19" s="32">
        <f>IF(IF19-IF(IF19&lt;=InputData!$C$146,InputData!$C$145,0)-MAX(InputData!$C$144,IO19)&gt;=0,IF19-IF(IF19&lt;=InputData!$C$146,InputData!$C$145,0)-MAX(InputData!$C$144,IO19),0)</f>
        <v>80908.486892120462</v>
      </c>
      <c r="IJ19" s="32">
        <f>IF(II19&lt;0,"Error",IF(II19&lt;=InputData!$B$170,InputData!$C$170*II19,IF(II19&lt;=InputData!$B$171,InputData!$D$170+InputData!$C$171*(II19-InputData!$B$170),IF(II19&lt;=InputData!$B$172,InputData!$D$171+InputData!$C$172*(II19-InputData!$B$171),IF(II19&lt;=InputData!$B$173,InputData!$D$172+InputData!$C$173*(II19-InputData!$B$172),IF(II19&lt;=InputData!$B$174,InputData!$D$173+InputData!$C$174*(II19-InputData!$B$173),IF(II19&lt;=InputData!$B$175,InputData!$D$174+InputData!$C$175*(II19-InputData!$B$174),InputData!$D$175+InputData!$C$176*(II19-InputData!$B$175))))))))</f>
        <v>16155.871723030115</v>
      </c>
      <c r="IK19" s="32">
        <f>IF(IF19&lt;=InputData!$C$150,InputData!$C$152,IF(IF19&lt;InputData!$C$151,IF(InputData!$C$152-0.25*IF(IF19-InputData!$C$150&lt;=0,0,IF19-InputData!$C$150)&lt;=0,0,InputData!$C$152-0.25*IF(IF19-InputData!$C$150&lt;=0,0,IF19-InputData!$C$150)),0))</f>
        <v>51900</v>
      </c>
      <c r="IL19" s="32">
        <f>IF(IF19-IK19&lt;=0,0,IF(IF19-IK19&lt;=InputData!$C$153,InputData!$C$154*(IF19-IK19),InputData!$C$155*(IF19-IK19)-InputData!$D$154))</f>
        <v>10142.206591951321</v>
      </c>
      <c r="IM19" s="32">
        <f t="shared" si="100"/>
        <v>16155.871723030115</v>
      </c>
      <c r="IN19" s="32">
        <f>IF(IF19&gt;=0,IF(IF19&lt;=InputData!$C$148,InputData!$C$147*IF19,InputData!$C$147*InputData!$C$148)+InputData!$C$149*IF19,0)</f>
        <v>6954.4992472472159</v>
      </c>
      <c r="IO19" s="32">
        <f>IF(IH19&lt;0,0,IF(IH19&lt;=InputData!$B$163,InputData!$C$163*IH19,IF(IH19&lt;=InputData!$B$164,InputData!$D$163+InputData!$C$164*(IH19-InputData!$B$163),IF(IH19&lt;=InputData!$B$165,InputData!$D$164+InputData!$C$165*(IH19-InputData!$B$164),InputData!$D$165+InputData!$C$166*(IH19-InputData!$B$165)))))</f>
        <v>0</v>
      </c>
      <c r="IP19" s="43">
        <f t="shared" si="101"/>
        <v>0.25421576973008042</v>
      </c>
      <c r="IQ19" s="43">
        <f t="shared" si="102"/>
        <v>0.21150935806120783</v>
      </c>
      <c r="IR19" s="5">
        <f t="shared" si="27"/>
        <v>86153.687992019331</v>
      </c>
      <c r="IS19" s="32">
        <f>IR19/((1+InputData!$C$7)^(IntMed!$B19-IntMed!$B$7))</f>
        <v>60426.463362025315</v>
      </c>
      <c r="IT19" s="5">
        <f t="shared" si="103"/>
        <v>728871.24943829409</v>
      </c>
      <c r="IV19" s="41"/>
      <c r="IW19" s="49" t="s">
        <v>109</v>
      </c>
      <c r="IX19" s="32">
        <f>MIN(InputData!$C$13+InputData!$E$13*($B19-$B$18),1)*IntMed!AW19</f>
        <v>213928.20922824417</v>
      </c>
      <c r="IY19" s="32">
        <f>MIN(InputData!$C$13+InputData!$E$13*($B19-$B$18),1)*IntMed!AX19</f>
        <v>0</v>
      </c>
      <c r="IZ19" s="32">
        <f>MIN(InputData!$C$13+InputData!$E$13*($B19-$B$18),1)*IntMed!AY19</f>
        <v>213928.20922824417</v>
      </c>
      <c r="JA19" s="32">
        <f>MIN(InputData!$C$13+InputData!$E$13*($B19-$B$18),1)*IntMed!EO19</f>
        <v>168680.93304087524</v>
      </c>
      <c r="JB19" s="32">
        <f>MIN(InputData!$C$13+InputData!$E$13*($B19-$B$18),1)*IntMed!EP19</f>
        <v>0</v>
      </c>
      <c r="JC19" s="32">
        <f>IF(JA19-InputData!$C$158-InputData!$C$159&gt;=0,JA19-InputData!$C$158-InputData!$C$159,0)</f>
        <v>168680.93304087524</v>
      </c>
      <c r="JD19" s="32">
        <f>IF(JA19-IF(JA19&lt;=InputData!$C$146,InputData!$C$145,0)-MAX(InputData!$C$144,JJ19)&gt;=0,JA19-IF(JA19&lt;=InputData!$C$146,InputData!$C$145,0)-MAX(InputData!$C$144,JJ19),0)</f>
        <v>162580.93304087524</v>
      </c>
      <c r="JE19" s="32">
        <f>IF(JD19&lt;0,"Error",IF(JD19&lt;=InputData!$B$170,InputData!$C$170*JD19,IF(JD19&lt;=InputData!$B$171,InputData!$D$170+InputData!$C$171*(JD19-InputData!$B$170),IF(JD19&lt;=InputData!$B$172,InputData!$D$171+InputData!$C$172*(JD19-InputData!$B$171),IF(JD19&lt;=InputData!$B$173,InputData!$D$172+InputData!$C$173*(JD19-InputData!$B$172),IF(JD19&lt;=InputData!$B$174,InputData!$D$173+InputData!$C$174*(JD19-InputData!$B$173),IF(JD19&lt;=InputData!$B$175,InputData!$D$174+InputData!$C$175*(JD19-InputData!$B$174),InputData!$D$175+InputData!$C$176*(JD19-InputData!$B$175))))))))</f>
        <v>38815.911251445068</v>
      </c>
      <c r="JF19" s="32">
        <f>IF(JA19&lt;=InputData!$C$150,InputData!$C$152,IF(JA19&lt;InputData!$C$151,IF(InputData!$C$152-0.25*IF(JA19-InputData!$C$150&lt;=0,0,JA19-InputData!$C$150)&lt;=0,0,InputData!$C$152-0.25*IF(JA19-InputData!$C$150&lt;=0,0,JA19-InputData!$C$150)),0))</f>
        <v>38579.766739781189</v>
      </c>
      <c r="JG19" s="32">
        <f>IF(JA19-JF19&lt;=0,0,IF(JA19-JF19&lt;=InputData!$C$153,InputData!$C$154*(JA19-JF19),InputData!$C$155*(JA19-JF19)-InputData!$D$154))</f>
        <v>33826.303238284454</v>
      </c>
      <c r="JH19" s="32">
        <f t="shared" si="104"/>
        <v>38815.911251445068</v>
      </c>
      <c r="JI19" s="32">
        <f>IF(JA19&gt;=0,IF(JA19&lt;=InputData!$C$148,InputData!$C$147*JA19,InputData!$C$147*InputData!$C$148)+InputData!$C$149*JA19,0)</f>
        <v>9495.2735290926903</v>
      </c>
      <c r="JJ19" s="32">
        <f>IF(JC19&lt;0,0,IF(JC19&lt;=InputData!$B$163,InputData!$C$163*JC19,IF(JC19&lt;=InputData!$B$164,InputData!$D$163+InputData!$C$164*(JC19-InputData!$B$163),IF(JC19&lt;=InputData!$B$165,InputData!$D$164+InputData!$C$165*(JC19-InputData!$B$164),InputData!$D$165+InputData!$C$166*(JC19-InputData!$B$165)))))</f>
        <v>0</v>
      </c>
      <c r="JK19" s="42">
        <f t="shared" si="105"/>
        <v>0.28640572416581817</v>
      </c>
      <c r="JL19" s="42">
        <f t="shared" si="106"/>
        <v>0.28640572416581817</v>
      </c>
      <c r="JM19" s="32">
        <f t="shared" si="35"/>
        <v>120369.74826033748</v>
      </c>
      <c r="JN19" s="32">
        <f>JM19/((1+InputData!$C$7)^(IntMed!$B19-IntMed!$B$7))</f>
        <v>84424.919613693841</v>
      </c>
      <c r="JO19" s="32">
        <f t="shared" si="107"/>
        <v>685597.75146305724</v>
      </c>
      <c r="JQ19" s="41" t="s">
        <v>109</v>
      </c>
      <c r="JR19" s="32">
        <f>$JR$14*(1+InputData!$C$3+InputData!$C$4)^(IntMed!$B19-IntMed!$B$14)</f>
        <v>186429.81196361146</v>
      </c>
      <c r="JS19" s="32">
        <v>0</v>
      </c>
      <c r="JT19" s="32">
        <f t="shared" si="108"/>
        <v>186429.81196361146</v>
      </c>
      <c r="JU19" s="5">
        <f>JR19*(1/(1+InputData!$C$3))^(IntMed!$B19-IntMed!$B$7)</f>
        <v>146998.634458279</v>
      </c>
      <c r="JV19" s="5">
        <f>JS19*(1/(1+InputData!$C$3))^(IntMed!$B19-IntMed!$B$7)</f>
        <v>0</v>
      </c>
      <c r="JW19" s="32">
        <f>IF(JU19-InputData!$C$158-InputData!$C$159&gt;=0,JU19-InputData!$C$158-InputData!$C$159,0)</f>
        <v>146998.634458279</v>
      </c>
      <c r="JX19" s="32">
        <f>IF(JU19-IF(JU19&lt;=InputData!$C$146,InputData!$C$145,0)-MAX(InputData!$C$144,KD19)&gt;=0,JU19-IF(JU19&lt;=InputData!$C$146,InputData!$C$145,0)-MAX(InputData!$C$144,KD19),0)</f>
        <v>136998.634458279</v>
      </c>
      <c r="JY19" s="32">
        <f>IF(JX19&lt;0,"Error",IF(JX19&lt;=InputData!$B$170,InputData!$C$170*JX19,IF(JX19&lt;=InputData!$B$171,InputData!$D$170+InputData!$C$171*(JX19-InputData!$B$170),IF(JX19&lt;=InputData!$B$172,InputData!$D$171+InputData!$C$172*(JX19-InputData!$B$171),IF(JX19&lt;=InputData!$B$173,InputData!$D$172+InputData!$C$173*(JX19-InputData!$B$172),IF(JX19&lt;=InputData!$B$174,InputData!$D$173+InputData!$C$174*(JX19-InputData!$B$173),IF(JX19&lt;=InputData!$B$175,InputData!$D$174+InputData!$C$175*(JX19-InputData!$B$174),InputData!$D$175+InputData!$C$176*(JX19-InputData!$B$175))))))))</f>
        <v>31652.867648318123</v>
      </c>
      <c r="JZ19" s="32">
        <f>IF(JU19&lt;=InputData!$C$150,InputData!$C$152,IF(JU19&lt;InputData!$C$151,IF(InputData!$C$152-0.25*IF(JU19-InputData!$C$150&lt;=0,0,JU19-InputData!$C$150)&lt;=0,0,InputData!$C$152-0.25*IF(JU19-InputData!$C$150&lt;=0,0,JU19-InputData!$C$150)),0))</f>
        <v>44000.341385430249</v>
      </c>
      <c r="KA19" s="32">
        <f>IF(JU19-JZ19&lt;=0,0,IF(JU19-JZ19&lt;=InputData!$C$153,InputData!$C$154*(JU19-JZ19),InputData!$C$155*(JU19-JZ19)-InputData!$D$154))</f>
        <v>26779.556198940678</v>
      </c>
      <c r="KB19" s="32">
        <f t="shared" si="109"/>
        <v>31652.867648318123</v>
      </c>
      <c r="KC19" s="32">
        <f>IF(JU19&gt;=0,IF(JU19&lt;=InputData!$C$148,InputData!$C$147*JU19,InputData!$C$147*InputData!$C$148)+InputData!$C$149*JU19,0)</f>
        <v>9180.8801996450456</v>
      </c>
      <c r="KD19" s="32">
        <f>IF(JW19&lt;0,0,IF(JW19&lt;=InputData!$B$163,InputData!$C$163*JW19,IF(JW19&lt;=InputData!$B$164,InputData!$D$163+InputData!$C$164*(JW19-InputData!$B$163),IF(JW19&lt;=InputData!$B$165,InputData!$D$164+InputData!$C$165*(JW19-InputData!$B$164),InputData!$D$165+InputData!$C$166*(JW19-InputData!$B$165)))))</f>
        <v>0</v>
      </c>
      <c r="KE19" s="43">
        <f t="shared" si="110"/>
        <v>0.27778317804409647</v>
      </c>
      <c r="KF19" s="43">
        <f t="shared" si="111"/>
        <v>0.27778317804409647</v>
      </c>
      <c r="KG19" s="5">
        <f t="shared" si="112"/>
        <v>106164.88661031584</v>
      </c>
      <c r="KH19" s="32">
        <f>KG19/((1+InputData!$C$7)^(IntMed!$B19-IntMed!$B$7))</f>
        <v>74461.9154514439</v>
      </c>
      <c r="KI19" s="5">
        <f t="shared" si="143"/>
        <v>629169.76120019332</v>
      </c>
      <c r="KK19" s="149">
        <v>3</v>
      </c>
      <c r="KL19" s="145" t="s">
        <v>373</v>
      </c>
      <c r="KM19">
        <v>34</v>
      </c>
      <c r="KN19" s="41" t="s">
        <v>367</v>
      </c>
      <c r="KO19" s="5">
        <f>InputData!$C130*(1+InputData!$C$5)^(IntMed!$B19-IntMed!$B$7)</f>
        <v>219649.41619861033</v>
      </c>
      <c r="KP19" s="5">
        <v>0</v>
      </c>
      <c r="KQ19" s="5">
        <f t="shared" si="169"/>
        <v>219649.41619861033</v>
      </c>
      <c r="KR19" s="32">
        <f>KR18*(1+InputData!$C$8)</f>
        <v>14572.09821952365</v>
      </c>
      <c r="KS19" s="5">
        <f>KO19*(1/(1+InputData!$C$3))^(IntMed!$B19-IntMed!$B$7)</f>
        <v>173192.06569309908</v>
      </c>
      <c r="KT19" s="5">
        <f>KP19*(1/(1+InputData!$C$3))^(IntMed!$B19-IntMed!$B$7)</f>
        <v>0</v>
      </c>
      <c r="KU19" s="32" t="s">
        <v>141</v>
      </c>
      <c r="KV19" s="32">
        <v>0</v>
      </c>
      <c r="KW19" s="133">
        <f t="shared" si="165"/>
        <v>208012.10353816708</v>
      </c>
      <c r="KX19" s="5">
        <f>KW19*InputData!$C$6</f>
        <v>12917.551629720176</v>
      </c>
      <c r="KY19" s="133">
        <f t="shared" si="166"/>
        <v>0</v>
      </c>
      <c r="KZ19" s="118">
        <f t="shared" si="155"/>
        <v>19779.126886932485</v>
      </c>
      <c r="LA19" s="32">
        <f t="shared" si="167"/>
        <v>201150.52828095475</v>
      </c>
      <c r="LB19" s="32">
        <f>KZ19/((1+InputData!$C$3)^(IntMed!$B19-IntMed!$B$7))</f>
        <v>15595.706569309918</v>
      </c>
      <c r="LC19" s="32">
        <f>IF(KS19-InputData!$C$158-InputData!$C$159&gt;=0,KS19-InputData!$C$158-InputData!$C$159,0)</f>
        <v>173192.06569309908</v>
      </c>
      <c r="LD19" s="32">
        <f>IF(KS19-IF(KS19&lt;=InputData!$C$146,InputData!$C$145,0)-MAX(InputData!$C$144,LJ19)&gt;=0,KS19-IF(KS19&lt;=InputData!$C$146,InputData!$C$145,0)-MAX(InputData!$C$144,LJ19),0)</f>
        <v>167092.06569309908</v>
      </c>
      <c r="LE19" s="32">
        <f>IF(LD19&lt;0,"Error",IF(LD19&lt;=InputData!$B$170,InputData!$C$170*LD19,IF(LD19&lt;=InputData!$B$171,InputData!$D$170+InputData!$C$171*(LD19-InputData!$B$170),IF(LD19&lt;=InputData!$B$172,InputData!$D$171+InputData!$C$172*(LD19-InputData!$B$171),IF(LD19&lt;=InputData!$B$173,InputData!$D$172+InputData!$C$173*(LD19-InputData!$B$172),IF(LD19&lt;=InputData!$B$174,InputData!$D$173+InputData!$C$174*(LD19-InputData!$B$173),IF(LD19&lt;=InputData!$B$175,InputData!$D$174+InputData!$C$175*(LD19-InputData!$B$174),InputData!$D$175+InputData!$C$176*(LD19-InputData!$B$175))))))))</f>
        <v>40079.028394067747</v>
      </c>
      <c r="LF19" s="32">
        <f>IF(KS19&lt;=InputData!$C$150,InputData!$C$152,IF(KS19&lt;InputData!$C$151,IF(InputData!$C$152-0.25*IF(KS19-InputData!$C$150&lt;=0,0,KS19-InputData!$C$150)&lt;=0,0,InputData!$C$152-0.25*IF(KS19-InputData!$C$150&lt;=0,0,KS19-InputData!$C$150)),0))</f>
        <v>37451.98357672523</v>
      </c>
      <c r="LG19" s="32">
        <f>IF(KS19-LF19&lt;=0,0,IF(KS19-LF19&lt;=InputData!$C$153,InputData!$C$154*(KS19-LF19),InputData!$C$155*(KS19-LF19)-InputData!$D$154))</f>
        <v>35292.421350257202</v>
      </c>
      <c r="LH19" s="32">
        <f t="shared" si="118"/>
        <v>40079.028394067747</v>
      </c>
      <c r="LI19" s="32">
        <f>IF(KS19&gt;=0,IF(KS19&lt;=InputData!$C$148,InputData!$C$147*KS19,InputData!$C$147*InputData!$C$148)+InputData!$C$149*KS19,0)</f>
        <v>9560.6849525499365</v>
      </c>
      <c r="LJ19" s="32">
        <f>IF(LC19&lt;0,0,IF(LC19&lt;=InputData!$B$163,InputData!$C$163*LC19,IF(LC19&lt;=InputData!$B$164,InputData!$D$163+InputData!$C$164*(LC19-InputData!$B$163),IF(LC19&lt;=InputData!$B$165,InputData!$D$164+InputData!$C$165*(LC19-InputData!$B$164),InputData!$D$165+InputData!$C$166*(LC19-InputData!$B$165)))))</f>
        <v>0</v>
      </c>
      <c r="LK19" s="43">
        <f t="shared" si="156"/>
        <v>0.2866165557178616</v>
      </c>
      <c r="LL19" s="32">
        <f t="shared" si="119"/>
        <v>123552.35234648141</v>
      </c>
      <c r="LM19" s="5">
        <f t="shared" si="120"/>
        <v>107956.64577717149</v>
      </c>
      <c r="LN19" s="32">
        <f>LM19/((1+InputData!$C$7)^(IntMed!$B19-IntMed!$B$7))</f>
        <v>75718.619281227788</v>
      </c>
      <c r="LO19" s="5">
        <f t="shared" si="145"/>
        <v>391691.51370933955</v>
      </c>
      <c r="LQ19" s="157" t="str">
        <f t="shared" si="37"/>
        <v>Private Practice</v>
      </c>
      <c r="LR19" s="32">
        <f t="shared" si="121"/>
        <v>237698.01025360462</v>
      </c>
      <c r="LS19" s="32">
        <v>0</v>
      </c>
      <c r="LT19" s="32">
        <f t="shared" si="123"/>
        <v>237698.01025360462</v>
      </c>
      <c r="LU19" s="32">
        <f>LU18*(1+InputData!$C$8)</f>
        <v>14572.09821952365</v>
      </c>
      <c r="LV19" s="32">
        <f>LR19/((1+InputData!$C$3)^(IntMed!$B19-IntMed!$B$7))</f>
        <v>187423.25893430584</v>
      </c>
      <c r="LW19" s="32">
        <f>LS19/((1+InputData!$C$3)^(IntMed!$B19-IntMed!$B$7))</f>
        <v>0</v>
      </c>
      <c r="LX19" s="32" t="s">
        <v>141</v>
      </c>
      <c r="LY19" s="32">
        <v>0</v>
      </c>
      <c r="LZ19" s="32">
        <f t="shared" si="189"/>
        <v>0</v>
      </c>
      <c r="MA19" s="32">
        <f>(LZ19)*InputData!$C$6</f>
        <v>0</v>
      </c>
      <c r="MB19" s="32">
        <f>MIN($BE$14*InputData!$C$6/(1-(1+InputData!$C$6)^(-10)), LZ19+MA19)</f>
        <v>0</v>
      </c>
      <c r="MC19" s="32">
        <f t="shared" si="168"/>
        <v>0</v>
      </c>
      <c r="MD19" s="32">
        <f>MB19/((1+InputData!$C$3)^(IntMed!$B19-IntMed!$B$7))</f>
        <v>0</v>
      </c>
      <c r="ME19" s="32">
        <f>IF(LV19-InputData!$C$158-InputData!$C$159&gt;=0,LV19-InputData!$C$158-InputData!$C$159,0)</f>
        <v>187423.25893430584</v>
      </c>
      <c r="MF19" s="32">
        <f>IF(LV19-IF(LV19&lt;=InputData!$C$146,InputData!$C$145,0)-MAX(InputData!$C$144,ML19)&gt;=0,LV19-IF(LV19&lt;=InputData!$C$146,InputData!$C$145,0)-MAX(InputData!$C$144,ML19),0)</f>
        <v>181323.25893430584</v>
      </c>
      <c r="MG19" s="32">
        <f>IF(MF19&lt;0,"Error",IF(MF19&lt;=InputData!$B$170,InputData!$C$170*MF19,IF(MF19&lt;=InputData!$B$171,InputData!$D$170+InputData!$C$171*(MF19-InputData!$B$170),IF(MF19&lt;=InputData!$B$172,InputData!$D$171+InputData!$C$172*(MF19-InputData!$B$171),IF(MF19&lt;=InputData!$B$173,InputData!$D$172+InputData!$C$173*(MF19-InputData!$B$172),IF(MF19&lt;=InputData!$B$174,InputData!$D$173+InputData!$C$174*(MF19-InputData!$B$173),IF(MF19&lt;=InputData!$B$175,InputData!$D$174+InputData!$C$175*(MF19-InputData!$B$174),InputData!$D$175+InputData!$C$176*(MF19-InputData!$B$175))))))))</f>
        <v>44063.762501605641</v>
      </c>
      <c r="MH19" s="32">
        <f>IF(LV19&lt;=InputData!$C$150,InputData!$C$152,IF(LV19&lt;InputData!$C$151,IF(InputData!$C$152-0.25*IF(LV19-InputData!$C$150&lt;=0,0,LV19-InputData!$C$150)&lt;=0,0,InputData!$C$152-0.25*IF(LV19-InputData!$C$150&lt;=0,0,LV19-InputData!$C$150)),0))</f>
        <v>33894.185266423541</v>
      </c>
      <c r="MI19" s="32">
        <f>IF(LV19-MH19&lt;=0,0,IF(LV19-MH19&lt;=InputData!$C$153,InputData!$C$154*(LV19-MH19),InputData!$C$155*(LV19-MH19)-InputData!$D$154))</f>
        <v>39917.559153649403</v>
      </c>
      <c r="MJ19" s="32">
        <f t="shared" si="124"/>
        <v>44063.762501605641</v>
      </c>
      <c r="MK19" s="32">
        <f>IF(LV19&gt;=0,IF(LV19&lt;=InputData!$C$148,InputData!$C$147*LV19,InputData!$C$147*InputData!$C$148)+InputData!$C$149*LV19,0)</f>
        <v>9767.0372545474347</v>
      </c>
      <c r="ML19" s="32">
        <f>IF(ME19&lt;0,0,IF(ME19&lt;=InputData!$B$163,InputData!$C$163*ME19,IF(ME19&lt;=InputData!$B$164,InputData!$D$163+InputData!$C$164*(ME19-InputData!$B$163),IF(ME19&lt;=InputData!$B$165,InputData!$D$164+InputData!$C$165*(ME19-InputData!$B$164),InputData!$D$165+InputData!$C$166*(ME19-InputData!$B$165)))))</f>
        <v>0</v>
      </c>
      <c r="MM19" s="43">
        <f t="shared" si="38"/>
        <v>0.2872151517492364</v>
      </c>
      <c r="MN19" s="32">
        <f t="shared" si="125"/>
        <v>133592.45917815276</v>
      </c>
      <c r="MO19" s="32">
        <f t="shared" si="126"/>
        <v>133592.45917815276</v>
      </c>
      <c r="MP19" s="32">
        <f>MO19/((1+InputData!$C$7)^(IntMed!$B19-IntMed!$B$7))</f>
        <v>93699.063013057443</v>
      </c>
      <c r="MQ19" s="5">
        <f t="shared" si="147"/>
        <v>699181.24629922933</v>
      </c>
    </row>
    <row r="20" spans="1:355" ht="14.45" x14ac:dyDescent="0.3">
      <c r="A20" s="53">
        <v>2026</v>
      </c>
      <c r="B20" s="51">
        <v>14</v>
      </c>
      <c r="C20" s="4"/>
      <c r="D20" s="3">
        <v>10</v>
      </c>
      <c r="E20" s="46" t="s">
        <v>21</v>
      </c>
      <c r="F20" s="5">
        <f>InputData!$H$23*12</f>
        <v>73317.600000000006</v>
      </c>
      <c r="G20" s="5">
        <f>(InputData!$H$23+InputData!$F$45+InputData!$C$50)*12+InputData!$J$50</f>
        <v>102317.52</v>
      </c>
      <c r="H20" s="5">
        <f>(InputData!$C$34+InputData!$C$40)*12</f>
        <v>20659.199999999997</v>
      </c>
      <c r="I20" s="5">
        <f t="shared" si="39"/>
        <v>122976.72</v>
      </c>
      <c r="J20" s="5">
        <f>G20*((1+InputData!$C$5)/(1+InputData!$C$3))^(IntMed!$B20-IntMed!$B$7)</f>
        <v>90017.227216707513</v>
      </c>
      <c r="K20" s="5">
        <f>H20*((1+InputData!$C$5)/(1+InputData!$C$3))^(IntMed!$B20-IntMed!$B$7)</f>
        <v>18175.615481252906</v>
      </c>
      <c r="L20" s="32">
        <f>IF(J20-InputData!$C$158-InputData!$C$159&gt;=0,J20-InputData!$C$158-InputData!$C$159,0)</f>
        <v>90017.227216707513</v>
      </c>
      <c r="M20" s="32">
        <f>IF(J20-IF(J20&lt;=InputData!$C$146,InputData!$C$145,0)-MAX(InputData!$C$144,S20)&gt;=0,J20-IF(J20&lt;=InputData!$C$146,InputData!$C$145,0)-MAX(InputData!$C$144,S20),0)</f>
        <v>80017.227216707513</v>
      </c>
      <c r="N20" s="32">
        <f>IF(M20&lt;0,"Error",IF(M20&lt;=InputData!$B$170,InputData!$C$170*M20,IF(M20&lt;=InputData!$B$171,InputData!$D$170+InputData!$C$171*(M20-InputData!$B$170),IF(M20&lt;=InputData!$B$172,InputData!$D$171+InputData!$C$172*(M20-InputData!$B$171),IF(M20&lt;=InputData!$B$173,InputData!$D$172+InputData!$C$173*(M20-InputData!$B$172),IF(M20&lt;=InputData!$B$174,InputData!$D$173+InputData!$C$174*(M20-InputData!$B$173),IF(M20&lt;=InputData!$B$175,InputData!$D$174+InputData!$C$175*(M20-InputData!$B$174),InputData!$D$175+InputData!$C$176*(M20-InputData!$B$175))))))))</f>
        <v>15933.056804176878</v>
      </c>
      <c r="O20" s="32">
        <f>IF(J20&lt;=InputData!$C$150,InputData!$C$152,IF(J20&lt;InputData!$C$151,IF(InputData!$C$152-0.25*IF(J20-InputData!$C$150&lt;=0,0,J20-InputData!$C$150)&lt;=0,0,InputData!$C$152-0.25*IF(J20-InputData!$C$150&lt;=0,0,J20-InputData!$C$150)),0))</f>
        <v>51900</v>
      </c>
      <c r="P20" s="32">
        <f>IF(J20-O20&lt;=0,0,IF(J20-O20&lt;=InputData!$C$153,InputData!$C$154*(J20-O20),InputData!$C$155*(J20-O20)-InputData!$D$154))</f>
        <v>9910.4790763439541</v>
      </c>
      <c r="Q20" s="32">
        <f t="shared" si="40"/>
        <v>15933.056804176878</v>
      </c>
      <c r="R20" s="32">
        <f>IF(J20&gt;=0,IF(J20&lt;=InputData!$C$148,InputData!$C$147*J20,InputData!$C$147*InputData!$C$148)+InputData!$C$149*J20,0)</f>
        <v>6886.317882078125</v>
      </c>
      <c r="S20" s="32">
        <f>IF(L20&lt;0,0,IF(L20&lt;=InputData!$B$163,InputData!$C$163*L20,IF(L20&lt;=InputData!$B$164,InputData!$D$163+InputData!$C$164*(L20-InputData!$B$163),IF(L20&lt;=InputData!$B$165,InputData!$D$164+InputData!$C$165*(L20-InputData!$B$164),InputData!$D$165+InputData!$C$166*(L20-InputData!$B$165)))))</f>
        <v>0</v>
      </c>
      <c r="T20" s="43">
        <f t="shared" si="41"/>
        <v>0.25350008428186344</v>
      </c>
      <c r="U20" s="43">
        <f t="shared" si="42"/>
        <v>0.21091390259482645</v>
      </c>
      <c r="V20" s="5">
        <f t="shared" si="43"/>
        <v>85373.468011705409</v>
      </c>
      <c r="W20" s="32">
        <f>V20/((1+InputData!$C$7)^(IntMed!$B20-IntMed!$B$7))</f>
        <v>58135.17744243551</v>
      </c>
      <c r="X20" s="5">
        <f t="shared" si="127"/>
        <v>787006.42688072962</v>
      </c>
      <c r="Y20" s="53"/>
      <c r="Z20" s="3">
        <v>10</v>
      </c>
      <c r="AA20" s="97" t="s">
        <v>261</v>
      </c>
      <c r="AB20" s="5">
        <f t="shared" si="192"/>
        <v>73317.600000000006</v>
      </c>
      <c r="AC20" s="5">
        <f>G20+InputData!$D$57+InputData!$J$57</f>
        <v>157317.52000000002</v>
      </c>
      <c r="AD20" s="5">
        <f t="shared" si="193"/>
        <v>20659.199999999997</v>
      </c>
      <c r="AE20" s="5">
        <f t="shared" si="194"/>
        <v>177976.72000000003</v>
      </c>
      <c r="AF20" s="5">
        <f>AC20*((1+InputData!$C$5)/(1+InputData!$C$3))^(IntMed!$B20-IntMed!$B$7)</f>
        <v>138405.29894595695</v>
      </c>
      <c r="AG20" s="5">
        <f>AD20*((1+InputData!$C$5)/(1+InputData!$C$3))^(IntMed!$B20-IntMed!$B$7)</f>
        <v>18175.615481252906</v>
      </c>
      <c r="AH20" s="32">
        <f>IF(AF20-InputData!$C$158-InputData!$C$159&gt;=0,AF20-InputData!$C$158-InputData!$C$159,0)</f>
        <v>138405.29894595695</v>
      </c>
      <c r="AI20" s="32">
        <f>IF(AF20-IF(AF20&lt;=InputData!$C$146,InputData!$C$145,0)-MAX(InputData!$C$144,AO20)&gt;=0,AF20-IF(AF20&lt;=InputData!$C$146,InputData!$C$145,0)-MAX(InputData!$C$144,AO20),0)</f>
        <v>128405.29894595695</v>
      </c>
      <c r="AJ20" s="32">
        <f>IF(AI20&lt;0,"Error",IF(AI20&lt;=InputData!$B$170,InputData!$C$170*AI20,IF(AI20&lt;=InputData!$B$171,InputData!$D$170+InputData!$C$171*(AI20-InputData!$B$170),IF(AI20&lt;=InputData!$B$172,InputData!$D$171+InputData!$C$172*(AI20-InputData!$B$171),IF(AI20&lt;=InputData!$B$173,InputData!$D$172+InputData!$C$173*(AI20-InputData!$B$172),IF(AI20&lt;=InputData!$B$174,InputData!$D$173+InputData!$C$174*(AI20-InputData!$B$173),IF(AI20&lt;=InputData!$B$175,InputData!$D$174+InputData!$C$175*(AI20-InputData!$B$174),InputData!$D$175+InputData!$C$176*(AI20-InputData!$B$175))))))))</f>
        <v>29246.733704867947</v>
      </c>
      <c r="AK20" s="32">
        <f>IF(AF20&lt;=InputData!$C$150,InputData!$C$152,IF(AF20&lt;InputData!$C$151,IF(InputData!$C$152-0.25*IF(AF20-InputData!$C$150&lt;=0,0,AF20-InputData!$C$150)&lt;=0,0,InputData!$C$152-0.25*IF(AF20-InputData!$C$150&lt;=0,0,AF20-InputData!$C$150)),0))</f>
        <v>46148.675263510762</v>
      </c>
      <c r="AL20" s="32">
        <f>IF(AF20-AK20&lt;=0,0,IF(AF20-AK20&lt;=InputData!$C$153,InputData!$C$154*(AF20-AK20),InputData!$C$155*(AF20-AK20)-InputData!$D$154))</f>
        <v>23986.722157436012</v>
      </c>
      <c r="AM20" s="32">
        <f t="shared" si="45"/>
        <v>29246.733704867947</v>
      </c>
      <c r="AN20" s="32">
        <f>IF(AF20&gt;=0,IF(AF20&lt;=InputData!$C$148,InputData!$C$147*AF20,InputData!$C$147*InputData!$C$148)+InputData!$C$149*AF20,0)</f>
        <v>9056.2768347163765</v>
      </c>
      <c r="AO20" s="32">
        <f>IF(AH20&lt;0,0,IF(AH20&lt;=InputData!$B$163,InputData!$C$163*AH20,IF(AH20&lt;=InputData!$B$164,InputData!$D$163+InputData!$C$164*(AH20-InputData!$B$163),IF(AH20&lt;=InputData!$B$165,InputData!$D$164+InputData!$C$165*(AH20-InputData!$B$164),InputData!$D$165+InputData!$C$166*(AH20-InputData!$B$165)))))</f>
        <v>0</v>
      </c>
      <c r="AP20" s="43">
        <f t="shared" si="46"/>
        <v>0.27674526070378624</v>
      </c>
      <c r="AQ20" s="43">
        <f t="shared" si="47"/>
        <v>0.24462119588265874</v>
      </c>
      <c r="AR20" s="5">
        <f t="shared" si="48"/>
        <v>118277.90388762552</v>
      </c>
      <c r="AS20" s="32">
        <f>AR20/((1+InputData!$C$7)^(IntMed!$B20-IntMed!$B$7))</f>
        <v>80541.4971438629</v>
      </c>
      <c r="AT20" s="5">
        <f t="shared" si="128"/>
        <v>764854.60947290598</v>
      </c>
      <c r="AU20" s="53"/>
      <c r="AV20" s="41" t="s">
        <v>109</v>
      </c>
      <c r="AW20" s="32">
        <f>$AW$14*(1+InputData!$C$3+InputData!$C$4)^(IntMed!$B20-IntMed!$B$14)</f>
        <v>244828.95056121275</v>
      </c>
      <c r="AX20" s="32">
        <v>0</v>
      </c>
      <c r="AY20" s="32">
        <f t="shared" si="50"/>
        <v>244828.95056121275</v>
      </c>
      <c r="AZ20" s="32">
        <f>AZ19*(1+InputData!$C$8)</f>
        <v>14863.540183914123</v>
      </c>
      <c r="BA20" s="32">
        <f>AW20/((1+InputData!$C$3)^(IntMed!$B20-IntMed!$B$7))</f>
        <v>189260.74186503433</v>
      </c>
      <c r="BB20" s="32">
        <f>AX20/((1+InputData!$C$3)^(IntMed!$B20-IntMed!$B$7))</f>
        <v>0</v>
      </c>
      <c r="BC20" s="32" t="s">
        <v>141</v>
      </c>
      <c r="BD20" s="32">
        <v>0</v>
      </c>
      <c r="BE20" s="32">
        <f t="shared" si="174"/>
        <v>116123.90242221052</v>
      </c>
      <c r="BF20" s="32">
        <f>(BE20)*InputData!$C$6</f>
        <v>7211.2943404192738</v>
      </c>
      <c r="BG20" s="32">
        <f>MIN($BE$14*InputData!$C$6/(1-(1+InputData!$C$6)^(-10)), BE20+BF20)</f>
        <v>33673.665953283198</v>
      </c>
      <c r="BH20" s="32">
        <f t="shared" si="157"/>
        <v>89661.530809346601</v>
      </c>
      <c r="BI20" s="32">
        <f>BG20/((1+InputData!$C$3)^(IntMed!$B20-IntMed!$B$7))</f>
        <v>26030.839020568801</v>
      </c>
      <c r="BJ20" s="32">
        <f>IF(BA20-InputData!$C$158-InputData!$C$159&gt;=0,BA20-InputData!$C$158-InputData!$C$159,0)</f>
        <v>189260.74186503433</v>
      </c>
      <c r="BK20" s="32">
        <f>IF(BA20-IF(BA20&lt;=InputData!$C$146,InputData!$C$145,0)-MAX(InputData!$C$144,BQ20)&gt;=0,BA20-IF(BA20&lt;=InputData!$C$146,InputData!$C$145,0)-MAX(InputData!$C$144,BQ20),0)</f>
        <v>183160.74186503433</v>
      </c>
      <c r="BL20" s="32">
        <f>IF(BK20&lt;0,"Error",IF(BK20&lt;=InputData!$B$170,InputData!$C$170*BK20,IF(BK20&lt;=InputData!$B$171,InputData!$D$170+InputData!$C$171*(BK20-InputData!$B$170),IF(BK20&lt;=InputData!$B$172,InputData!$D$171+InputData!$C$172*(BK20-InputData!$B$171),IF(BK20&lt;=InputData!$B$173,InputData!$D$172+InputData!$C$173*(BK20-InputData!$B$172),IF(BK20&lt;=InputData!$B$174,InputData!$D$173+InputData!$C$174*(BK20-InputData!$B$173),IF(BK20&lt;=InputData!$B$175,InputData!$D$174+InputData!$C$175*(BK20-InputData!$B$174),InputData!$D$175+InputData!$C$176*(BK20-InputData!$B$175))))))))</f>
        <v>44578.257722209615</v>
      </c>
      <c r="BM20" s="32">
        <f>IF(BA20&lt;=InputData!$C$150,InputData!$C$152,IF(BA20&lt;InputData!$C$151,IF(InputData!$C$152-0.25*IF(BA20-InputData!$C$150&lt;=0,0,BA20-InputData!$C$150)&lt;=0,0,InputData!$C$152-0.25*IF(BA20-InputData!$C$150&lt;=0,0,BA20-InputData!$C$150)),0))</f>
        <v>33434.814533741417</v>
      </c>
      <c r="BN20" s="32">
        <f>IF(BA20-BM20&lt;=0,0,IF(BA20-BM20&lt;=InputData!$C$153,InputData!$C$154*(BA20-BM20),InputData!$C$155*(BA20-BM20)-InputData!$D$154))</f>
        <v>40514.741106136156</v>
      </c>
      <c r="BO20" s="32">
        <f t="shared" si="51"/>
        <v>44578.257722209615</v>
      </c>
      <c r="BP20" s="32">
        <f>IF(BA20&gt;=0,IF(BA20&lt;=InputData!$C$148,InputData!$C$147*BA20,InputData!$C$147*InputData!$C$148)+InputData!$C$149*BA20,0)</f>
        <v>9793.6807570429974</v>
      </c>
      <c r="BQ20" s="32">
        <f>IF(BJ20&lt;0,0,IF(BJ20&lt;=InputData!$B$163,InputData!$C$163*BJ20,IF(BJ20&lt;=InputData!$B$164,InputData!$D$163+InputData!$C$164*(BJ20-InputData!$B$163),IF(BJ20&lt;=InputData!$B$165,InputData!$D$164+InputData!$C$165*(BJ20-InputData!$B$164),InputData!$D$165+InputData!$C$166*(BJ20-InputData!$B$165)))))</f>
        <v>0</v>
      </c>
      <c r="BR20" s="43">
        <f t="shared" si="52"/>
        <v>0.28728587843128262</v>
      </c>
      <c r="BS20" s="32">
        <f t="shared" si="53"/>
        <v>134888.80338578171</v>
      </c>
      <c r="BT20" s="32">
        <f t="shared" si="54"/>
        <v>108857.9643652129</v>
      </c>
      <c r="BU20" s="32">
        <f>BT20/((1+InputData!$C$7)^(IntMed!$B20-IntMed!$B$7))</f>
        <v>74126.976703421329</v>
      </c>
      <c r="BV20" s="5">
        <f t="shared" si="130"/>
        <v>455579.76237585605</v>
      </c>
      <c r="BW20" s="5"/>
      <c r="BX20" s="32" t="s">
        <v>141</v>
      </c>
      <c r="BY20" s="5">
        <f t="shared" si="175"/>
        <v>214945.56521176669</v>
      </c>
      <c r="BZ20" s="32">
        <f>(BY20)*InputData!$C$6</f>
        <v>13348.119599650712</v>
      </c>
      <c r="CA20" s="32">
        <f>MIN($BY$14*InputData!$C$6/(1-(1+InputData!$C$6)^(-25)), BY20+BZ20)</f>
        <v>19581.069601718285</v>
      </c>
      <c r="CB20" s="32">
        <f t="shared" si="176"/>
        <v>208712.61520969911</v>
      </c>
      <c r="CC20" s="32">
        <f>CA20/((1+InputData!$C$3)^(IntMed!$B20-IntMed!$B$7))</f>
        <v>15136.803677984599</v>
      </c>
      <c r="CD20" s="5">
        <f t="shared" si="58"/>
        <v>119751.99970779711</v>
      </c>
      <c r="CE20" s="32">
        <f>CD20/((1+InputData!$C$7)^(IntMed!$B20-IntMed!$B$7))</f>
        <v>81545.284667887085</v>
      </c>
      <c r="CF20" s="5">
        <f t="shared" si="131"/>
        <v>516090.06217759667</v>
      </c>
      <c r="CG20" s="5"/>
      <c r="CH20" s="32" t="s">
        <v>141</v>
      </c>
      <c r="CI20" s="5">
        <f t="shared" si="177"/>
        <v>142766.67351088236</v>
      </c>
      <c r="CJ20" s="32">
        <f>(CI20)*InputData!$C$6</f>
        <v>8865.8104250257948</v>
      </c>
      <c r="CK20" s="32">
        <f t="shared" si="170"/>
        <v>33380.04604280123</v>
      </c>
      <c r="CL20" s="32">
        <f t="shared" si="178"/>
        <v>118252.43789310692</v>
      </c>
      <c r="CM20" s="32">
        <f>CK20/((1+InputData!$C$3)^(IntMed!$B20-IntMed!$B$7))</f>
        <v>25803.861279755143</v>
      </c>
      <c r="CN20" s="5">
        <f t="shared" si="62"/>
        <v>109084.94210602656</v>
      </c>
      <c r="CO20" s="32">
        <f>CN20/((1+InputData!$C$7)^(IntMed!$B20-IntMed!$B$7))</f>
        <v>74281.537500177015</v>
      </c>
      <c r="CP20" s="5">
        <f t="shared" si="132"/>
        <v>469939.18385267572</v>
      </c>
      <c r="CQ20" s="5"/>
      <c r="CR20" s="32" t="s">
        <v>141</v>
      </c>
      <c r="CS20" s="5">
        <f t="shared" si="179"/>
        <v>212595.81805920365</v>
      </c>
      <c r="CT20" s="32">
        <f>(CS20)*InputData!$C$6</f>
        <v>13202.200301476547</v>
      </c>
      <c r="CU20" s="32">
        <f t="shared" si="171"/>
        <v>22253.364028534157</v>
      </c>
      <c r="CV20" s="32">
        <f t="shared" si="180"/>
        <v>203544.65433214605</v>
      </c>
      <c r="CW20" s="32">
        <f>CU20/((1+InputData!$C$3)^(IntMed!$B20-IntMed!$B$7))</f>
        <v>17202.574186503432</v>
      </c>
      <c r="CX20" s="5">
        <f t="shared" si="66"/>
        <v>117686.22919927827</v>
      </c>
      <c r="CY20" s="32">
        <f>CX20/((1+InputData!$C$7)^(IntMed!$B20-IntMed!$B$7))</f>
        <v>80138.595471992798</v>
      </c>
      <c r="CZ20" s="5">
        <f t="shared" si="133"/>
        <v>513348.31504370773</v>
      </c>
      <c r="DA20" s="5"/>
      <c r="DB20" s="32" t="s">
        <v>141</v>
      </c>
      <c r="DC20" s="5">
        <f t="shared" si="158"/>
        <v>40363.836363105132</v>
      </c>
      <c r="DD20" s="5">
        <f>DC20*InputData!$C$6</f>
        <v>2506.5942381488289</v>
      </c>
      <c r="DE20" s="32">
        <f t="shared" si="159"/>
        <v>29148.379963889372</v>
      </c>
      <c r="DF20" s="32">
        <f t="shared" si="160"/>
        <v>13722.050637364588</v>
      </c>
      <c r="DG20" s="32">
        <f>DE20/((1+InputData!$C$3)^(IntMed!$B20-IntMed!$B$7))</f>
        <v>22532.645765478293</v>
      </c>
      <c r="DH20" s="5">
        <f t="shared" si="70"/>
        <v>112356.15762030342</v>
      </c>
      <c r="DI20" s="32">
        <f>DH20/((1+InputData!$C$7)^(IntMed!$B20-IntMed!$B$7))</f>
        <v>76509.076088030328</v>
      </c>
      <c r="DJ20" s="5">
        <f t="shared" si="134"/>
        <v>418597.50152923632</v>
      </c>
      <c r="DK20" s="5"/>
      <c r="DL20" s="32" t="s">
        <v>141</v>
      </c>
      <c r="DM20" s="32">
        <f t="shared" si="181"/>
        <v>123980.27057443518</v>
      </c>
      <c r="DN20" s="5">
        <f>DM20*InputData!$C$6</f>
        <v>7699.1748026724254</v>
      </c>
      <c r="DO20" s="32">
        <f t="shared" si="182"/>
        <v>0</v>
      </c>
      <c r="DP20" s="32">
        <f t="shared" si="150"/>
        <v>29148.379963889372</v>
      </c>
      <c r="DQ20" s="32">
        <f t="shared" si="151"/>
        <v>102531.06541321825</v>
      </c>
      <c r="DR20" s="32">
        <f>DP20/((1+InputData!$C$3)^(IntMed!$B20-IntMed!$B$7))</f>
        <v>22532.645765478293</v>
      </c>
      <c r="DS20" s="5">
        <f t="shared" si="74"/>
        <v>112356.15762030342</v>
      </c>
      <c r="DT20" s="32">
        <f>DS20/((1+InputData!$C$7)^(IntMed!$B20-IntMed!$B$7))</f>
        <v>76509.076088030328</v>
      </c>
      <c r="DU20" s="5">
        <f t="shared" si="136"/>
        <v>462745.75797988812</v>
      </c>
      <c r="DV20" s="5"/>
      <c r="DW20" s="32" t="s">
        <v>141</v>
      </c>
      <c r="DX20" s="133">
        <f t="shared" si="161"/>
        <v>191879.8626739216</v>
      </c>
      <c r="DY20" s="5">
        <f>DX20*InputData!$C$6</f>
        <v>11915.739472050531</v>
      </c>
      <c r="DZ20" s="133">
        <f t="shared" si="162"/>
        <v>0</v>
      </c>
      <c r="EA20" s="32">
        <f t="shared" si="163"/>
        <v>22253.364028534157</v>
      </c>
      <c r="EB20" s="32">
        <f t="shared" si="164"/>
        <v>181542.23811743798</v>
      </c>
      <c r="EC20" s="32">
        <f>EA20/((1+InputData!$C$3)^(IntMed!$B20-IntMed!$B$7))</f>
        <v>17202.574186503432</v>
      </c>
      <c r="ED20" s="5">
        <f t="shared" si="78"/>
        <v>117686.22919927827</v>
      </c>
      <c r="EE20" s="32">
        <f>ED20/((1+InputData!$C$7)^(IntMed!$B20-IntMed!$B$7))</f>
        <v>80138.595471992798</v>
      </c>
      <c r="EF20" s="5">
        <f t="shared" si="138"/>
        <v>504305.2757458096</v>
      </c>
      <c r="EG20" s="32"/>
      <c r="EH20" s="130" t="s">
        <v>141</v>
      </c>
      <c r="EI20" s="32">
        <v>0</v>
      </c>
      <c r="EJ20" s="32">
        <f t="shared" si="190"/>
        <v>217105.41153339157</v>
      </c>
      <c r="EK20" s="32">
        <f>EJ20*InputData!$C$6</f>
        <v>13482.246056223617</v>
      </c>
      <c r="EL20" s="32">
        <f t="shared" si="191"/>
        <v>208334.29356108108</v>
      </c>
      <c r="EM20" s="32">
        <f>EM19*(1+InputData!$C$8)</f>
        <v>14863.540183914123</v>
      </c>
      <c r="EN20" s="32">
        <f t="shared" si="172"/>
        <v>22253.364028534157</v>
      </c>
      <c r="EO20" s="32">
        <f>AW20/((1+InputData!$C$3)^(IntMed!$B20-IntMed!$B$7))</f>
        <v>189260.74186503433</v>
      </c>
      <c r="EP20" s="32">
        <f>AX20/((1+InputData!$C$3)^(IntMed!$B20-IntMed!$B$7))</f>
        <v>0</v>
      </c>
      <c r="EQ20" s="32">
        <v>44291.39</v>
      </c>
      <c r="ER20" s="32">
        <v>8492.5400000000009</v>
      </c>
      <c r="ES20" s="32">
        <v>0</v>
      </c>
      <c r="ET20" s="42">
        <f t="shared" si="154"/>
        <v>0.27889529270492497</v>
      </c>
      <c r="EU20" s="32">
        <f t="shared" si="79"/>
        <v>136476.81186503431</v>
      </c>
      <c r="EV20" s="32">
        <f>EN20/((1+InputData!$C$3)^(IntMed!$B20-IntMed!$B$7))</f>
        <v>17202.574186503432</v>
      </c>
      <c r="EW20" s="32">
        <f t="shared" si="80"/>
        <v>119274.23767853087</v>
      </c>
      <c r="EX20" s="32">
        <f>EW20/((1+InputData!$C$7)^(IntMed!$B20-IntMed!$B$7))</f>
        <v>81219.951973860385</v>
      </c>
      <c r="EY20" s="5">
        <f t="shared" si="148"/>
        <v>523168.55669630936</v>
      </c>
      <c r="EZ20" s="79"/>
      <c r="FA20" s="32">
        <f t="shared" si="183"/>
        <v>117610.53261877131</v>
      </c>
      <c r="FB20" s="32">
        <f>FA20*InputData!$C$6</f>
        <v>7303.6140756256982</v>
      </c>
      <c r="FC20" s="32">
        <f t="shared" si="184"/>
        <v>90809.38699046598</v>
      </c>
      <c r="FD20" s="53">
        <f>MIN($EJ$14*InputData!$C$6/(1-(1+InputData!$C$6)^(-10)), FA20+FB20)</f>
        <v>34104.75970393102</v>
      </c>
      <c r="FE20" s="32">
        <f>FD20/((1+InputData!$C$3)^(IntMed!$B20-IntMed!$B$7))</f>
        <v>26364.088511178317</v>
      </c>
      <c r="FF20" s="5">
        <f t="shared" si="84"/>
        <v>110112.723353856</v>
      </c>
      <c r="FG20" s="32">
        <f>FF20/((1+InputData!$C$7)^(IntMed!$B20-IntMed!$B$7))</f>
        <v>74981.406518106334</v>
      </c>
      <c r="FH20" s="5">
        <f t="shared" si="140"/>
        <v>463548.98868369067</v>
      </c>
      <c r="FI20" s="79"/>
      <c r="FJ20" s="32">
        <f t="shared" si="185"/>
        <v>217697.32054546895</v>
      </c>
      <c r="FK20" s="32">
        <f>FJ20*InputData!$C$6</f>
        <v>13519.003605873622</v>
      </c>
      <c r="FL20" s="32">
        <f t="shared" si="186"/>
        <v>211384.57567349562</v>
      </c>
      <c r="FM20" s="53">
        <f>MIN($EJ$14*InputData!$C$6/(1-(1+InputData!$C$6)^(-25)), FJ20+FK20)</f>
        <v>19831.748477846937</v>
      </c>
      <c r="FN20" s="32">
        <f>FM20/((1+InputData!$C$3)^(IntMed!$B20-IntMed!$B$7))</f>
        <v>15330.586602582562</v>
      </c>
      <c r="FO20" s="5">
        <f t="shared" si="88"/>
        <v>121146.22526245174</v>
      </c>
      <c r="FP20" s="32">
        <f>FO20/((1+InputData!$C$7)^(IntMed!$B20-IntMed!$B$7))</f>
        <v>82494.684427581888</v>
      </c>
      <c r="FQ20" s="5">
        <f t="shared" si="141"/>
        <v>524833.94759532879</v>
      </c>
      <c r="FR20" s="79"/>
      <c r="FS20" s="32">
        <f t="shared" si="187"/>
        <v>147276.26698507034</v>
      </c>
      <c r="FT20" s="32">
        <f>FS20*InputData!$C$6</f>
        <v>9145.8561797728689</v>
      </c>
      <c r="FU20" s="32">
        <f t="shared" si="188"/>
        <v>123042.07712204198</v>
      </c>
      <c r="FV20" s="5">
        <f t="shared" si="173"/>
        <v>33380.04604280123</v>
      </c>
      <c r="FW20" s="32">
        <f>FV20/((1+InputData!$C$3)^(IntMed!$B20-IntMed!$B$7))</f>
        <v>25803.861279755143</v>
      </c>
      <c r="FX20" s="5">
        <f t="shared" si="92"/>
        <v>110672.95058527916</v>
      </c>
      <c r="FY20" s="32">
        <f>FX20/((1+InputData!$C$7)^(IntMed!$B20-IntMed!$B$7))</f>
        <v>75362.894002044603</v>
      </c>
      <c r="FZ20" s="5">
        <f t="shared" si="142"/>
        <v>479759.42550527758</v>
      </c>
      <c r="GC20" s="3">
        <f t="shared" si="3"/>
        <v>10</v>
      </c>
      <c r="GD20" s="46" t="str">
        <f t="shared" si="4"/>
        <v>Service (O4&gt;8 = (BP+BAH+BAS+VSP+BCPSP)*12)+ASP</v>
      </c>
      <c r="GE20" s="4"/>
      <c r="GF20" s="4"/>
      <c r="GG20" s="4"/>
      <c r="GH20" s="4"/>
      <c r="GI20" s="5">
        <f t="shared" si="5"/>
        <v>102317.52</v>
      </c>
      <c r="GJ20" s="5">
        <f t="shared" si="6"/>
        <v>20659.199999999997</v>
      </c>
      <c r="GK20" s="5">
        <f t="shared" si="7"/>
        <v>122976.72</v>
      </c>
      <c r="GL20" s="5">
        <f t="shared" si="8"/>
        <v>90017.227216707513</v>
      </c>
      <c r="GM20" s="5">
        <f t="shared" si="9"/>
        <v>18175.615481252906</v>
      </c>
      <c r="GN20" s="32">
        <f>IF(GL20-InputData!$C$158-InputData!$C$159&gt;=0,GL20-InputData!$C$158-InputData!$C$159,0)</f>
        <v>90017.227216707513</v>
      </c>
      <c r="GO20" s="32">
        <f>IF(GL20-IF(GL20&lt;=InputData!$C$146,InputData!$C$145,0)-MAX(InputData!$C$144,GU20)&gt;=0,GL20-IF(GL20&lt;=InputData!$C$146,InputData!$C$145,0)-MAX(InputData!$C$144,GU20),0)</f>
        <v>80017.227216707513</v>
      </c>
      <c r="GP20" s="32">
        <f>IF(GO20&lt;0,"Error",IF(GO20&lt;=InputData!$B$170,InputData!$C$170*GO20,IF(GO20&lt;=InputData!$B$171,InputData!$D$170+InputData!$C$171*(GO20-InputData!$B$170),IF(GO20&lt;=InputData!$B$172,InputData!$D$171+InputData!$C$172*(GO20-InputData!$B$171),IF(GO20&lt;=InputData!$B$173,InputData!$D$172+InputData!$C$173*(GO20-InputData!$B$172),IF(GO20&lt;=InputData!$B$174,InputData!$D$173+InputData!$C$174*(GO20-InputData!$B$173),IF(GO20&lt;=InputData!$B$175,InputData!$D$174+InputData!$C$175*(GO20-InputData!$B$174),InputData!$D$175+InputData!$C$176*(GO20-InputData!$B$175))))))))</f>
        <v>15933.056804176878</v>
      </c>
      <c r="GQ20" s="32">
        <f>IF(GL20&lt;=InputData!$C$150,InputData!$C$152,IF(GL20&lt;InputData!$C$151,IF(InputData!$C$152-0.25*IF(GL20-InputData!$C$150&lt;=0,0,GL20-InputData!$C$150)&lt;=0,0,InputData!$C$152-0.25*IF(GL20-InputData!$C$150&lt;=0,0,GL20-InputData!$C$150)),0))</f>
        <v>51900</v>
      </c>
      <c r="GR20" s="32">
        <f>IF(GL20-GQ20&lt;=0,0,IF(GL20-GQ20&lt;=InputData!$C$153,InputData!$C$154*(GL20-GQ20),InputData!$C$155*(GL20-GQ20)-InputData!$D$154))</f>
        <v>9910.4790763439541</v>
      </c>
      <c r="GS20" s="32">
        <f t="shared" si="93"/>
        <v>15933.056804176878</v>
      </c>
      <c r="GT20" s="32">
        <f>IF(GL20&gt;=0,IF(GL20&lt;=InputData!$C$148,InputData!$C$147*GL20,InputData!$C$147*InputData!$C$148)+InputData!$C$149*GL20,0)</f>
        <v>6886.317882078125</v>
      </c>
      <c r="GU20" s="32">
        <f>IF(GN20&lt;0,0,IF(GN20&lt;=InputData!$B$163,InputData!$C$163*GN20,IF(GN20&lt;=InputData!$B$164,InputData!$D$163+InputData!$C$164*(GN20-InputData!$B$163),IF(GN20&lt;=InputData!$B$165,InputData!$D$164+InputData!$C$165*(GN20-InputData!$B$164),InputData!$D$165+InputData!$C$166*(GN20-InputData!$B$165)))))</f>
        <v>0</v>
      </c>
      <c r="GV20" s="43">
        <f t="shared" si="10"/>
        <v>0.25350008428186344</v>
      </c>
      <c r="GW20" s="43">
        <f t="shared" si="11"/>
        <v>0.21091390259482645</v>
      </c>
      <c r="GX20" s="5">
        <f t="shared" si="12"/>
        <v>85373.468011705409</v>
      </c>
      <c r="GY20" s="32">
        <f>GX20/((1+InputData!$C$7)^(IntMed!$B20-IntMed!$B$7))</f>
        <v>58135.17744243551</v>
      </c>
      <c r="GZ20" s="32">
        <f t="shared" si="94"/>
        <v>787006.42688072962</v>
      </c>
      <c r="HB20" s="3">
        <f t="shared" si="13"/>
        <v>10</v>
      </c>
      <c r="HC20" s="122" t="str">
        <f t="shared" ref="HC20:HC33" si="195">AA20</f>
        <v>Multi-Year (O4&gt;8 = (BP+BAH+BAS+VSP+BCPSP)*12+ASP+ISP+MSP)</v>
      </c>
      <c r="HD20" s="4"/>
      <c r="HE20" s="4"/>
      <c r="HF20" s="4"/>
      <c r="HG20" s="4"/>
      <c r="HH20" s="5">
        <f t="shared" ref="HH20:HH30" si="196">AC20</f>
        <v>157317.52000000002</v>
      </c>
      <c r="HI20" s="5">
        <f t="shared" ref="HI20:HI33" si="197">AD20</f>
        <v>20659.199999999997</v>
      </c>
      <c r="HJ20" s="5">
        <f t="shared" ref="HJ20:HJ30" si="198">AE20</f>
        <v>177976.72000000003</v>
      </c>
      <c r="HK20" s="5">
        <f t="shared" ref="HK20:HK33" si="199">AF20</f>
        <v>138405.29894595695</v>
      </c>
      <c r="HL20" s="5">
        <f t="shared" ref="HL20:HL30" si="200">AG20</f>
        <v>18175.615481252906</v>
      </c>
      <c r="HM20" s="32">
        <f>IF(HK20-InputData!$C$158-InputData!$C$159&gt;=0,HK20-InputData!$C$158-InputData!$C$159,0)</f>
        <v>138405.29894595695</v>
      </c>
      <c r="HN20" s="32">
        <f>IF(HK20-IF(HK20&lt;=InputData!$C$146,InputData!$C$145,0)-MAX(InputData!$C$144,HT20)&gt;=0,HK20-IF(HK20&lt;=InputData!$C$146,InputData!$C$145,0)-MAX(InputData!$C$144,HT20),0)</f>
        <v>128405.29894595695</v>
      </c>
      <c r="HO20" s="32">
        <f>IF(HN20&lt;0,"Error",IF(HN20&lt;=InputData!$B$170,InputData!$C$170*HN20,IF(HN20&lt;=InputData!$B$171,InputData!$D$170+InputData!$C$171*(HN20-InputData!$B$170),IF(HN20&lt;=InputData!$B$172,InputData!$D$171+InputData!$C$172*(HN20-InputData!$B$171),IF(HN20&lt;=InputData!$B$173,InputData!$D$172+InputData!$C$173*(HN20-InputData!$B$172),IF(HN20&lt;=InputData!$B$174,InputData!$D$173+InputData!$C$174*(HN20-InputData!$B$173),IF(HN20&lt;=InputData!$B$175,InputData!$D$174+InputData!$C$175*(HN20-InputData!$B$174),InputData!$D$175+InputData!$C$176*(HN20-InputData!$B$175))))))))</f>
        <v>29246.733704867947</v>
      </c>
      <c r="HP20" s="32">
        <f>IF(HK20&lt;=InputData!$C$150,InputData!$C$152,IF(HK20&lt;InputData!$C$151,IF(InputData!$C$152-0.25*IF(HK20-InputData!$C$150&lt;=0,0,HK20-InputData!$C$150)&lt;=0,0,InputData!$C$152-0.25*IF(HK20-InputData!$C$150&lt;=0,0,HK20-InputData!$C$150)),0))</f>
        <v>46148.675263510762</v>
      </c>
      <c r="HQ20" s="32">
        <f>IF(HK20-HP20&lt;=0,0,IF(HK20-HP20&lt;=InputData!$C$153,InputData!$C$154*(HK20-HP20),InputData!$C$155*(HK20-HP20)-InputData!$D$154))</f>
        <v>23986.722157436012</v>
      </c>
      <c r="HR20" s="32">
        <f t="shared" si="95"/>
        <v>29246.733704867947</v>
      </c>
      <c r="HS20" s="32">
        <f>IF(HK20&gt;=0,IF(HK20&lt;=InputData!$C$148,InputData!$C$147*HK20,InputData!$C$147*InputData!$C$148)+InputData!$C$149*HK20,0)</f>
        <v>9056.2768347163765</v>
      </c>
      <c r="HT20" s="32">
        <f>IF(HM20&lt;0,0,IF(HM20&lt;=InputData!$B$163,InputData!$C$163*HM20,IF(HM20&lt;=InputData!$B$164,InputData!$D$163+InputData!$C$164*(HM20-InputData!$B$163),IF(HM20&lt;=InputData!$B$165,InputData!$D$164+InputData!$C$165*(HM20-InputData!$B$164),InputData!$D$165+InputData!$C$166*(HM20-InputData!$B$165)))))</f>
        <v>0</v>
      </c>
      <c r="HU20" s="43">
        <f t="shared" si="96"/>
        <v>0.27674526070378624</v>
      </c>
      <c r="HV20" s="43">
        <f t="shared" si="97"/>
        <v>0.24462119588265874</v>
      </c>
      <c r="HW20" s="5">
        <f t="shared" si="98"/>
        <v>118277.90388762552</v>
      </c>
      <c r="HX20" s="32">
        <f>HW20/((1+InputData!$C$7)^(IntMed!$B20-IntMed!$B$7))</f>
        <v>80541.4971438629</v>
      </c>
      <c r="HY20" s="32">
        <f t="shared" si="99"/>
        <v>764854.60947290598</v>
      </c>
      <c r="IA20" s="3">
        <f t="shared" si="20"/>
        <v>10</v>
      </c>
      <c r="IB20" s="46" t="str">
        <f t="shared" si="21"/>
        <v>Service (O4&gt;8 = (BP+BAH+BAS+VSP+BCPSP)*12)+ASP</v>
      </c>
      <c r="IC20" s="5">
        <f t="shared" si="22"/>
        <v>102317.52</v>
      </c>
      <c r="ID20" s="5">
        <f t="shared" si="23"/>
        <v>20659.199999999997</v>
      </c>
      <c r="IE20" s="5">
        <f t="shared" si="24"/>
        <v>122976.72</v>
      </c>
      <c r="IF20" s="5">
        <f t="shared" si="25"/>
        <v>90017.227216707513</v>
      </c>
      <c r="IG20" s="5">
        <f t="shared" si="26"/>
        <v>18175.615481252906</v>
      </c>
      <c r="IH20" s="32">
        <f>IF(IF20-InputData!$C$158-InputData!$C$159&gt;=0,IF20-InputData!$C$158-InputData!$C$159,0)</f>
        <v>90017.227216707513</v>
      </c>
      <c r="II20" s="32">
        <f>IF(IF20-IF(IF20&lt;=InputData!$C$146,InputData!$C$145,0)-MAX(InputData!$C$144,IO20)&gt;=0,IF20-IF(IF20&lt;=InputData!$C$146,InputData!$C$145,0)-MAX(InputData!$C$144,IO20),0)</f>
        <v>80017.227216707513</v>
      </c>
      <c r="IJ20" s="32">
        <f>IF(II20&lt;0,"Error",IF(II20&lt;=InputData!$B$170,InputData!$C$170*II20,IF(II20&lt;=InputData!$B$171,InputData!$D$170+InputData!$C$171*(II20-InputData!$B$170),IF(II20&lt;=InputData!$B$172,InputData!$D$171+InputData!$C$172*(II20-InputData!$B$171),IF(II20&lt;=InputData!$B$173,InputData!$D$172+InputData!$C$173*(II20-InputData!$B$172),IF(II20&lt;=InputData!$B$174,InputData!$D$173+InputData!$C$174*(II20-InputData!$B$173),IF(II20&lt;=InputData!$B$175,InputData!$D$174+InputData!$C$175*(II20-InputData!$B$174),InputData!$D$175+InputData!$C$176*(II20-InputData!$B$175))))))))</f>
        <v>15933.056804176878</v>
      </c>
      <c r="IK20" s="32">
        <f>IF(IF20&lt;=InputData!$C$150,InputData!$C$152,IF(IF20&lt;InputData!$C$151,IF(InputData!$C$152-0.25*IF(IF20-InputData!$C$150&lt;=0,0,IF20-InputData!$C$150)&lt;=0,0,InputData!$C$152-0.25*IF(IF20-InputData!$C$150&lt;=0,0,IF20-InputData!$C$150)),0))</f>
        <v>51900</v>
      </c>
      <c r="IL20" s="32">
        <f>IF(IF20-IK20&lt;=0,0,IF(IF20-IK20&lt;=InputData!$C$153,InputData!$C$154*(IF20-IK20),InputData!$C$155*(IF20-IK20)-InputData!$D$154))</f>
        <v>9910.4790763439541</v>
      </c>
      <c r="IM20" s="32">
        <f t="shared" si="100"/>
        <v>15933.056804176878</v>
      </c>
      <c r="IN20" s="32">
        <f>IF(IF20&gt;=0,IF(IF20&lt;=InputData!$C$148,InputData!$C$147*IF20,InputData!$C$147*InputData!$C$148)+InputData!$C$149*IF20,0)</f>
        <v>6886.317882078125</v>
      </c>
      <c r="IO20" s="32">
        <f>IF(IH20&lt;0,0,IF(IH20&lt;=InputData!$B$163,InputData!$C$163*IH20,IF(IH20&lt;=InputData!$B$164,InputData!$D$163+InputData!$C$164*(IH20-InputData!$B$163),IF(IH20&lt;=InputData!$B$165,InputData!$D$164+InputData!$C$165*(IH20-InputData!$B$164),InputData!$D$165+InputData!$C$166*(IH20-InputData!$B$165)))))</f>
        <v>0</v>
      </c>
      <c r="IP20" s="43">
        <f t="shared" si="101"/>
        <v>0.25350008428186344</v>
      </c>
      <c r="IQ20" s="43">
        <f t="shared" si="102"/>
        <v>0.21091390259482645</v>
      </c>
      <c r="IR20" s="5">
        <f t="shared" si="27"/>
        <v>85373.468011705409</v>
      </c>
      <c r="IS20" s="32">
        <f>IR20/((1+InputData!$C$7)^(IntMed!$B20-IntMed!$B$7))</f>
        <v>58135.17744243551</v>
      </c>
      <c r="IT20" s="5">
        <f t="shared" si="103"/>
        <v>787006.42688072962</v>
      </c>
      <c r="IV20" s="41"/>
      <c r="IW20" s="49" t="s">
        <v>109</v>
      </c>
      <c r="IX20" s="32">
        <f>MIN(InputData!$C$13+InputData!$E$13*($B20-$B$18),1)*IntMed!AW20</f>
        <v>220346.05550509147</v>
      </c>
      <c r="IY20" s="32">
        <f>MIN(InputData!$C$13+InputData!$E$13*($B20-$B$18),1)*IntMed!AX20</f>
        <v>0</v>
      </c>
      <c r="IZ20" s="32">
        <f>MIN(InputData!$C$13+InputData!$E$13*($B20-$B$18),1)*IntMed!AY20</f>
        <v>220346.05550509147</v>
      </c>
      <c r="JA20" s="32">
        <f>MIN(InputData!$C$13+InputData!$E$13*($B20-$B$18),1)*IntMed!EO20</f>
        <v>170334.66767853091</v>
      </c>
      <c r="JB20" s="32">
        <f>MIN(InputData!$C$13+InputData!$E$13*($B20-$B$18),1)*IntMed!EP20</f>
        <v>0</v>
      </c>
      <c r="JC20" s="32">
        <f>IF(JA20-InputData!$C$158-InputData!$C$159&gt;=0,JA20-InputData!$C$158-InputData!$C$159,0)</f>
        <v>170334.66767853091</v>
      </c>
      <c r="JD20" s="32">
        <f>IF(JA20-IF(JA20&lt;=InputData!$C$146,InputData!$C$145,0)-MAX(InputData!$C$144,JJ20)&gt;=0,JA20-IF(JA20&lt;=InputData!$C$146,InputData!$C$145,0)-MAX(InputData!$C$144,JJ20),0)</f>
        <v>164234.66767853091</v>
      </c>
      <c r="JE20" s="32">
        <f>IF(JD20&lt;0,"Error",IF(JD20&lt;=InputData!$B$170,InputData!$C$170*JD20,IF(JD20&lt;=InputData!$B$171,InputData!$D$170+InputData!$C$171*(JD20-InputData!$B$170),IF(JD20&lt;=InputData!$B$172,InputData!$D$171+InputData!$C$172*(JD20-InputData!$B$171),IF(JD20&lt;=InputData!$B$173,InputData!$D$172+InputData!$C$173*(JD20-InputData!$B$172),IF(JD20&lt;=InputData!$B$174,InputData!$D$173+InputData!$C$174*(JD20-InputData!$B$173),IF(JD20&lt;=InputData!$B$175,InputData!$D$174+InputData!$C$175*(JD20-InputData!$B$174),InputData!$D$175+InputData!$C$176*(JD20-InputData!$B$175))))))))</f>
        <v>39278.956949988657</v>
      </c>
      <c r="JF20" s="32">
        <f>IF(JA20&lt;=InputData!$C$150,InputData!$C$152,IF(JA20&lt;InputData!$C$151,IF(InputData!$C$152-0.25*IF(JA20-InputData!$C$150&lt;=0,0,JA20-InputData!$C$150)&lt;=0,0,InputData!$C$152-0.25*IF(JA20-InputData!$C$150&lt;=0,0,JA20-InputData!$C$150)),0))</f>
        <v>38166.333080367272</v>
      </c>
      <c r="JG20" s="32">
        <f>IF(JA20-JF20&lt;=0,0,IF(JA20-JF20&lt;=InputData!$C$153,InputData!$C$154*(JA20-JF20),InputData!$C$155*(JA20-JF20)-InputData!$D$154))</f>
        <v>34363.76699552255</v>
      </c>
      <c r="JH20" s="32">
        <f t="shared" si="104"/>
        <v>39278.956949988657</v>
      </c>
      <c r="JI20" s="32">
        <f>IF(JA20&gt;=0,IF(JA20&lt;=InputData!$C$148,InputData!$C$147*JA20,InputData!$C$147*InputData!$C$148)+InputData!$C$149*JA20,0)</f>
        <v>9519.2526813386976</v>
      </c>
      <c r="JJ20" s="32">
        <f>IF(JC20&lt;0,0,IF(JC20&lt;=InputData!$B$163,InputData!$C$163*JC20,IF(JC20&lt;=InputData!$B$164,InputData!$D$163+InputData!$C$164*(JC20-InputData!$B$163),IF(JC20&lt;=InputData!$B$165,InputData!$D$164+InputData!$C$165*(JC20-InputData!$B$164),InputData!$D$165+InputData!$C$166*(JC20-InputData!$B$165)))))</f>
        <v>0</v>
      </c>
      <c r="JK20" s="42">
        <f t="shared" si="105"/>
        <v>0.28648430936809177</v>
      </c>
      <c r="JL20" s="42">
        <f t="shared" si="106"/>
        <v>0.28648430936809177</v>
      </c>
      <c r="JM20" s="32">
        <f t="shared" si="35"/>
        <v>121536.45804720356</v>
      </c>
      <c r="JN20" s="32">
        <f>JM20/((1+InputData!$C$7)^(IntMed!$B20-IntMed!$B$7))</f>
        <v>82760.413965267915</v>
      </c>
      <c r="JO20" s="32">
        <f t="shared" si="107"/>
        <v>768358.16542832518</v>
      </c>
      <c r="JQ20" s="41" t="s">
        <v>109</v>
      </c>
      <c r="JR20" s="32">
        <f>$JR$14*(1+InputData!$C$3+InputData!$C$4)^(IntMed!$B20-IntMed!$B$14)</f>
        <v>192022.70632251981</v>
      </c>
      <c r="JS20" s="32">
        <v>0</v>
      </c>
      <c r="JT20" s="32">
        <f t="shared" si="108"/>
        <v>192022.70632251981</v>
      </c>
      <c r="JU20" s="5">
        <f>JR20*(1/(1+InputData!$C$3))^(IntMed!$B20-IntMed!$B$7)</f>
        <v>148439.7975412033</v>
      </c>
      <c r="JV20" s="5">
        <f>JS20*(1/(1+InputData!$C$3))^(IntMed!$B20-IntMed!$B$7)</f>
        <v>0</v>
      </c>
      <c r="JW20" s="32">
        <f>IF(JU20-InputData!$C$158-InputData!$C$159&gt;=0,JU20-InputData!$C$158-InputData!$C$159,0)</f>
        <v>148439.7975412033</v>
      </c>
      <c r="JX20" s="32">
        <f>IF(JU20-IF(JU20&lt;=InputData!$C$146,InputData!$C$145,0)-MAX(InputData!$C$144,KD20)&gt;=0,JU20-IF(JU20&lt;=InputData!$C$146,InputData!$C$145,0)-MAX(InputData!$C$144,KD20),0)</f>
        <v>138439.7975412033</v>
      </c>
      <c r="JY20" s="32">
        <f>IF(JX20&lt;0,"Error",IF(JX20&lt;=InputData!$B$170,InputData!$C$170*JX20,IF(JX20&lt;=InputData!$B$171,InputData!$D$170+InputData!$C$171*(JX20-InputData!$B$170),IF(JX20&lt;=InputData!$B$172,InputData!$D$171+InputData!$C$172*(JX20-InputData!$B$171),IF(JX20&lt;=InputData!$B$173,InputData!$D$172+InputData!$C$173*(JX20-InputData!$B$172),IF(JX20&lt;=InputData!$B$174,InputData!$D$173+InputData!$C$174*(JX20-InputData!$B$173),IF(JX20&lt;=InputData!$B$175,InputData!$D$174+InputData!$C$175*(JX20-InputData!$B$174),InputData!$D$175+InputData!$C$176*(JX20-InputData!$B$175))))))))</f>
        <v>32056.393311536925</v>
      </c>
      <c r="JZ20" s="32">
        <f>IF(JU20&lt;=InputData!$C$150,InputData!$C$152,IF(JU20&lt;InputData!$C$151,IF(InputData!$C$152-0.25*IF(JU20-InputData!$C$150&lt;=0,0,JU20-InputData!$C$150)&lt;=0,0,InputData!$C$152-0.25*IF(JU20-InputData!$C$150&lt;=0,0,JU20-InputData!$C$150)),0))</f>
        <v>43640.050614699176</v>
      </c>
      <c r="KA20" s="32">
        <f>IF(JU20-JZ20&lt;=0,0,IF(JU20-JZ20&lt;=InputData!$C$153,InputData!$C$154*(JU20-JZ20),InputData!$C$155*(JU20-JZ20)-InputData!$D$154))</f>
        <v>27247.934200891075</v>
      </c>
      <c r="KB20" s="32">
        <f t="shared" si="109"/>
        <v>32056.393311536925</v>
      </c>
      <c r="KC20" s="32">
        <f>IF(JU20&gt;=0,IF(JU20&lt;=InputData!$C$148,InputData!$C$147*JU20,InputData!$C$147*InputData!$C$148)+InputData!$C$149*JU20,0)</f>
        <v>9201.7770643474469</v>
      </c>
      <c r="KD20" s="32">
        <f>IF(JW20&lt;0,0,IF(JW20&lt;=InputData!$B$163,InputData!$C$163*JW20,IF(JW20&lt;=InputData!$B$164,InputData!$D$163+InputData!$C$164*(JW20-InputData!$B$163),IF(JW20&lt;=InputData!$B$165,InputData!$D$164+InputData!$C$165*(JW20-InputData!$B$164),InputData!$D$165+InputData!$C$166*(JW20-InputData!$B$165)))))</f>
        <v>0</v>
      </c>
      <c r="KE20" s="43">
        <f t="shared" si="110"/>
        <v>0.2779454772863868</v>
      </c>
      <c r="KF20" s="43">
        <f t="shared" si="111"/>
        <v>0.2779454772863868</v>
      </c>
      <c r="KG20" s="5">
        <f t="shared" si="112"/>
        <v>107181.62716531892</v>
      </c>
      <c r="KH20" s="32">
        <f>KG20/((1+InputData!$C$7)^(IntMed!$B20-IntMed!$B$7))</f>
        <v>72985.472640873122</v>
      </c>
      <c r="KI20" s="5">
        <f t="shared" si="143"/>
        <v>702155.23384106648</v>
      </c>
      <c r="KK20" s="149">
        <v>4</v>
      </c>
      <c r="KL20" s="145" t="s">
        <v>372</v>
      </c>
      <c r="KM20">
        <v>35</v>
      </c>
      <c r="KN20" s="41" t="s">
        <v>367</v>
      </c>
      <c r="KO20" s="5">
        <f>InputData!$C131*(1+InputData!$C$5)^(IntMed!$B20-IntMed!$B$7)</f>
        <v>224145.28584428373</v>
      </c>
      <c r="KP20" s="5">
        <v>0</v>
      </c>
      <c r="KQ20" s="5">
        <f t="shared" si="169"/>
        <v>224145.28584428373</v>
      </c>
      <c r="KR20" s="32">
        <f>KR19*(1+InputData!$C$8)</f>
        <v>14863.540183914123</v>
      </c>
      <c r="KS20" s="5">
        <f>KO20*(1/(1+InputData!$C$3))^(IntMed!$B20-IntMed!$B$7)</f>
        <v>173271.59630099733</v>
      </c>
      <c r="KT20" s="5">
        <f>KP20*(1/(1+InputData!$C$3))^(IntMed!$B20-IntMed!$B$7)</f>
        <v>0</v>
      </c>
      <c r="KU20" s="32" t="s">
        <v>141</v>
      </c>
      <c r="KV20" s="32">
        <v>0</v>
      </c>
      <c r="KW20" s="133">
        <f t="shared" si="165"/>
        <v>201150.52828095475</v>
      </c>
      <c r="KX20" s="5">
        <f>KW20*InputData!$C$6</f>
        <v>12491.44780624729</v>
      </c>
      <c r="KY20" s="133">
        <f t="shared" si="166"/>
        <v>0</v>
      </c>
      <c r="KZ20" s="118">
        <f t="shared" si="155"/>
        <v>20184.997556841256</v>
      </c>
      <c r="LA20" s="32">
        <f t="shared" si="167"/>
        <v>193456.97853036076</v>
      </c>
      <c r="LB20" s="32">
        <f>KZ20/((1+InputData!$C$3)^(IntMed!$B20-IntMed!$B$7))</f>
        <v>15603.659630099744</v>
      </c>
      <c r="LC20" s="32">
        <f>IF(KS20-InputData!$C$158-InputData!$C$159&gt;=0,KS20-InputData!$C$158-InputData!$C$159,0)</f>
        <v>173271.59630099733</v>
      </c>
      <c r="LD20" s="32">
        <f>IF(KS20-IF(KS20&lt;=InputData!$C$146,InputData!$C$145,0)-MAX(InputData!$C$144,LJ20)&gt;=0,KS20-IF(KS20&lt;=InputData!$C$146,InputData!$C$145,0)-MAX(InputData!$C$144,LJ20),0)</f>
        <v>167171.59630099733</v>
      </c>
      <c r="LE20" s="32">
        <f>IF(LD20&lt;0,"Error",IF(LD20&lt;=InputData!$B$170,InputData!$C$170*LD20,IF(LD20&lt;=InputData!$B$171,InputData!$D$170+InputData!$C$171*(LD20-InputData!$B$170),IF(LD20&lt;=InputData!$B$172,InputData!$D$171+InputData!$C$172*(LD20-InputData!$B$171),IF(LD20&lt;=InputData!$B$173,InputData!$D$172+InputData!$C$173*(LD20-InputData!$B$172),IF(LD20&lt;=InputData!$B$174,InputData!$D$173+InputData!$C$174*(LD20-InputData!$B$173),IF(LD20&lt;=InputData!$B$175,InputData!$D$174+InputData!$C$175*(LD20-InputData!$B$174),InputData!$D$175+InputData!$C$176*(LD20-InputData!$B$175))))))))</f>
        <v>40101.29696427926</v>
      </c>
      <c r="LF20" s="32">
        <f>IF(KS20&lt;=InputData!$C$150,InputData!$C$152,IF(KS20&lt;InputData!$C$151,IF(InputData!$C$152-0.25*IF(KS20-InputData!$C$150&lt;=0,0,KS20-InputData!$C$150)&lt;=0,0,InputData!$C$152-0.25*IF(KS20-InputData!$C$150&lt;=0,0,KS20-InputData!$C$150)),0))</f>
        <v>37432.100924750666</v>
      </c>
      <c r="LG20" s="32">
        <f>IF(KS20-LF20&lt;=0,0,IF(KS20-LF20&lt;=InputData!$C$153,InputData!$C$154*(KS20-LF20),InputData!$C$155*(KS20-LF20)-InputData!$D$154))</f>
        <v>35318.26879782413</v>
      </c>
      <c r="LH20" s="32">
        <f t="shared" si="118"/>
        <v>40101.29696427926</v>
      </c>
      <c r="LI20" s="32">
        <f>IF(KS20&gt;=0,IF(KS20&lt;=InputData!$C$148,InputData!$C$147*KS20,InputData!$C$147*InputData!$C$148)+InputData!$C$149*KS20,0)</f>
        <v>9561.8381463644619</v>
      </c>
      <c r="LJ20" s="32">
        <f>IF(LC20&lt;0,0,IF(LC20&lt;=InputData!$B$163,InputData!$C$163*LC20,IF(LC20&lt;=InputData!$B$164,InputData!$D$163+InputData!$C$164*(LC20-InputData!$B$163),IF(LC20&lt;=InputData!$B$165,InputData!$D$164+InputData!$C$165*(LC20-InputData!$B$164),InputData!$D$165+InputData!$C$166*(LC20-InputData!$B$165)))))</f>
        <v>0</v>
      </c>
      <c r="LK20" s="43">
        <f t="shared" si="156"/>
        <v>0.2866201741707961</v>
      </c>
      <c r="LL20" s="32">
        <f t="shared" si="119"/>
        <v>123608.46119035361</v>
      </c>
      <c r="LM20" s="5">
        <f t="shared" si="120"/>
        <v>108004.80156025387</v>
      </c>
      <c r="LN20" s="32">
        <f>LM20/((1+InputData!$C$7)^(IntMed!$B20-IntMed!$B$7))</f>
        <v>73546.014348152137</v>
      </c>
      <c r="LO20" s="5">
        <f t="shared" si="145"/>
        <v>465237.5280574917</v>
      </c>
      <c r="LQ20" s="157" t="str">
        <f t="shared" si="37"/>
        <v>Private Practice</v>
      </c>
      <c r="LR20" s="32">
        <f t="shared" si="121"/>
        <v>244828.95056121275</v>
      </c>
      <c r="LS20" s="32">
        <v>0</v>
      </c>
      <c r="LT20" s="32">
        <f t="shared" si="123"/>
        <v>244828.95056121275</v>
      </c>
      <c r="LU20" s="32">
        <f>LU19*(1+InputData!$C$8)</f>
        <v>14863.540183914123</v>
      </c>
      <c r="LV20" s="32">
        <f>LR20/((1+InputData!$C$3)^(IntMed!$B20-IntMed!$B$7))</f>
        <v>189260.74186503433</v>
      </c>
      <c r="LW20" s="32">
        <f>LS20/((1+InputData!$C$3)^(IntMed!$B20-IntMed!$B$7))</f>
        <v>0</v>
      </c>
      <c r="LX20" s="32" t="s">
        <v>141</v>
      </c>
      <c r="LY20" s="32">
        <v>0</v>
      </c>
      <c r="LZ20" s="32">
        <f t="shared" si="189"/>
        <v>0</v>
      </c>
      <c r="MA20" s="32">
        <f>(LZ20)*InputData!$C$6</f>
        <v>0</v>
      </c>
      <c r="MB20" s="32">
        <f>MIN($BE$14*InputData!$C$6/(1-(1+InputData!$C$6)^(-10)), LZ20+MA20)</f>
        <v>0</v>
      </c>
      <c r="MC20" s="32">
        <f t="shared" si="168"/>
        <v>0</v>
      </c>
      <c r="MD20" s="32">
        <f>MB20/((1+InputData!$C$3)^(IntMed!$B20-IntMed!$B$7))</f>
        <v>0</v>
      </c>
      <c r="ME20" s="32">
        <f>IF(LV20-InputData!$C$158-InputData!$C$159&gt;=0,LV20-InputData!$C$158-InputData!$C$159,0)</f>
        <v>189260.74186503433</v>
      </c>
      <c r="MF20" s="32">
        <f>IF(LV20-IF(LV20&lt;=InputData!$C$146,InputData!$C$145,0)-MAX(InputData!$C$144,ML20)&gt;=0,LV20-IF(LV20&lt;=InputData!$C$146,InputData!$C$145,0)-MAX(InputData!$C$144,ML20),0)</f>
        <v>183160.74186503433</v>
      </c>
      <c r="MG20" s="32">
        <f>IF(MF20&lt;0,"Error",IF(MF20&lt;=InputData!$B$170,InputData!$C$170*MF20,IF(MF20&lt;=InputData!$B$171,InputData!$D$170+InputData!$C$171*(MF20-InputData!$B$170),IF(MF20&lt;=InputData!$B$172,InputData!$D$171+InputData!$C$172*(MF20-InputData!$B$171),IF(MF20&lt;=InputData!$B$173,InputData!$D$172+InputData!$C$173*(MF20-InputData!$B$172),IF(MF20&lt;=InputData!$B$174,InputData!$D$173+InputData!$C$174*(MF20-InputData!$B$173),IF(MF20&lt;=InputData!$B$175,InputData!$D$174+InputData!$C$175*(MF20-InputData!$B$174),InputData!$D$175+InputData!$C$176*(MF20-InputData!$B$175))))))))</f>
        <v>44578.257722209615</v>
      </c>
      <c r="MH20" s="32">
        <f>IF(LV20&lt;=InputData!$C$150,InputData!$C$152,IF(LV20&lt;InputData!$C$151,IF(InputData!$C$152-0.25*IF(LV20-InputData!$C$150&lt;=0,0,LV20-InputData!$C$150)&lt;=0,0,InputData!$C$152-0.25*IF(LV20-InputData!$C$150&lt;=0,0,LV20-InputData!$C$150)),0))</f>
        <v>33434.814533741417</v>
      </c>
      <c r="MI20" s="32">
        <f>IF(LV20-MH20&lt;=0,0,IF(LV20-MH20&lt;=InputData!$C$153,InputData!$C$154*(LV20-MH20),InputData!$C$155*(LV20-MH20)-InputData!$D$154))</f>
        <v>40514.741106136156</v>
      </c>
      <c r="MJ20" s="32">
        <f t="shared" si="124"/>
        <v>44578.257722209615</v>
      </c>
      <c r="MK20" s="32">
        <f>IF(LV20&gt;=0,IF(LV20&lt;=InputData!$C$148,InputData!$C$147*LV20,InputData!$C$147*InputData!$C$148)+InputData!$C$149*LV20,0)</f>
        <v>9793.6807570429974</v>
      </c>
      <c r="ML20" s="32">
        <f>IF(ME20&lt;0,0,IF(ME20&lt;=InputData!$B$163,InputData!$C$163*ME20,IF(ME20&lt;=InputData!$B$164,InputData!$D$163+InputData!$C$164*(ME20-InputData!$B$163),IF(ME20&lt;=InputData!$B$165,InputData!$D$164+InputData!$C$165*(ME20-InputData!$B$164),InputData!$D$165+InputData!$C$166*(ME20-InputData!$B$165)))))</f>
        <v>0</v>
      </c>
      <c r="MM20" s="43">
        <f t="shared" si="38"/>
        <v>0.28728587843128262</v>
      </c>
      <c r="MN20" s="32">
        <f t="shared" si="125"/>
        <v>134888.80338578171</v>
      </c>
      <c r="MO20" s="32">
        <f t="shared" si="126"/>
        <v>134888.80338578171</v>
      </c>
      <c r="MP20" s="32">
        <f>MO20/((1+InputData!$C$7)^(IntMed!$B20-IntMed!$B$7))</f>
        <v>91852.711415624362</v>
      </c>
      <c r="MQ20" s="5">
        <f t="shared" si="147"/>
        <v>791033.95771485369</v>
      </c>
    </row>
    <row r="21" spans="1:355" ht="14.45" x14ac:dyDescent="0.3">
      <c r="A21" s="53">
        <v>2027</v>
      </c>
      <c r="B21" s="51">
        <v>15</v>
      </c>
      <c r="C21" s="4"/>
      <c r="D21" s="3">
        <v>11</v>
      </c>
      <c r="E21" s="4" t="s">
        <v>22</v>
      </c>
      <c r="F21" s="5">
        <f>InputData!$I$23*12</f>
        <v>78332.399999999994</v>
      </c>
      <c r="G21" s="5">
        <f>(InputData!$I$23+InputData!$G$45+InputData!$D$50)*12+InputData!$J$50+InputData!$D$57+InputData!$J$57</f>
        <v>162832.24</v>
      </c>
      <c r="H21" s="5">
        <f>(InputData!$C$34+InputData!$C$40)*12</f>
        <v>20659.199999999997</v>
      </c>
      <c r="I21" s="5">
        <f t="shared" si="39"/>
        <v>183491.44</v>
      </c>
      <c r="J21" s="5">
        <f>G21*((1+InputData!$C$5)/(1+InputData!$C$3))^(IntMed!$B21-IntMed!$B$7)</f>
        <v>141852.57558010521</v>
      </c>
      <c r="K21" s="5">
        <f>H21*((1+InputData!$C$5)/(1+InputData!$C$3))^(IntMed!$B21-IntMed!$B$7)</f>
        <v>17997.423172613169</v>
      </c>
      <c r="L21" s="32">
        <f>IF(J21-InputData!$C$158-InputData!$C$159&gt;=0,J21-InputData!$C$158-InputData!$C$159,0)</f>
        <v>141852.57558010521</v>
      </c>
      <c r="M21" s="32">
        <f>IF(J21-IF(J21&lt;=InputData!$C$146,InputData!$C$145,0)-MAX(InputData!$C$144,S21)&gt;=0,J21-IF(J21&lt;=InputData!$C$146,InputData!$C$145,0)-MAX(InputData!$C$144,S21),0)</f>
        <v>131852.57558010521</v>
      </c>
      <c r="N21" s="32">
        <f>IF(M21&lt;0,"Error",IF(M21&lt;=InputData!$B$170,InputData!$C$170*M21,IF(M21&lt;=InputData!$B$171,InputData!$D$170+InputData!$C$171*(M21-InputData!$B$170),IF(M21&lt;=InputData!$B$172,InputData!$D$171+InputData!$C$172*(M21-InputData!$B$171),IF(M21&lt;=InputData!$B$173,InputData!$D$172+InputData!$C$173*(M21-InputData!$B$172),IF(M21&lt;=InputData!$B$174,InputData!$D$173+InputData!$C$174*(M21-InputData!$B$173),IF(M21&lt;=InputData!$B$175,InputData!$D$174+InputData!$C$175*(M21-InputData!$B$174),InputData!$D$175+InputData!$C$176*(M21-InputData!$B$175))))))))</f>
        <v>30211.971162429461</v>
      </c>
      <c r="O21" s="32">
        <f>IF(J21&lt;=InputData!$C$150,InputData!$C$152,IF(J21&lt;InputData!$C$151,IF(InputData!$C$152-0.25*IF(J21-InputData!$C$150&lt;=0,0,J21-InputData!$C$150)&lt;=0,0,InputData!$C$152-0.25*IF(J21-InputData!$C$150&lt;=0,0,J21-InputData!$C$150)),0))</f>
        <v>45286.856104973696</v>
      </c>
      <c r="P21" s="32">
        <f>IF(J21-O21&lt;=0,0,IF(J21-O21&lt;=InputData!$C$153,InputData!$C$154*(J21-O21),InputData!$C$155*(J21-O21)-InputData!$D$154))</f>
        <v>25107.087063534193</v>
      </c>
      <c r="Q21" s="32">
        <f t="shared" si="40"/>
        <v>30211.971162429461</v>
      </c>
      <c r="R21" s="32">
        <f>IF(J21&gt;=0,IF(J21&lt;=InputData!$C$148,InputData!$C$147*J21,InputData!$C$147*InputData!$C$148)+InputData!$C$149*J21,0)</f>
        <v>9106.2623459115257</v>
      </c>
      <c r="S21" s="32">
        <f>IF(L21&lt;0,0,IF(L21&lt;=InputData!$B$163,InputData!$C$163*L21,IF(L21&lt;=InputData!$B$164,InputData!$D$163+InputData!$C$164*(L21-InputData!$B$163),IF(L21&lt;=InputData!$B$165,InputData!$D$164+InputData!$C$165*(L21-InputData!$B$164),InputData!$D$165+InputData!$C$166*(L21-InputData!$B$165)))))</f>
        <v>0</v>
      </c>
      <c r="T21" s="43">
        <f t="shared" si="41"/>
        <v>0.27717673329193576</v>
      </c>
      <c r="U21" s="43">
        <f t="shared" si="42"/>
        <v>0.24596955780503155</v>
      </c>
      <c r="V21" s="5">
        <f t="shared" si="43"/>
        <v>120531.7652443774</v>
      </c>
      <c r="W21" s="32">
        <f>V21/((1+InputData!$C$7)^(IntMed!$B21-IntMed!$B$7))</f>
        <v>79685.696169807692</v>
      </c>
      <c r="X21" s="5">
        <f t="shared" si="127"/>
        <v>866692.12305053731</v>
      </c>
      <c r="Y21" s="53"/>
      <c r="Z21" s="3">
        <v>11</v>
      </c>
      <c r="AA21" s="97" t="s">
        <v>262</v>
      </c>
      <c r="AB21" s="5">
        <f t="shared" si="192"/>
        <v>78332.399999999994</v>
      </c>
      <c r="AC21" s="5">
        <f t="shared" ref="AC21:AC30" si="201">G21</f>
        <v>162832.24</v>
      </c>
      <c r="AD21" s="5">
        <f t="shared" si="193"/>
        <v>20659.199999999997</v>
      </c>
      <c r="AE21" s="5">
        <f t="shared" si="194"/>
        <v>183491.44</v>
      </c>
      <c r="AF21" s="5">
        <f>AC21*((1+InputData!$C$5)/(1+InputData!$C$3))^(IntMed!$B21-IntMed!$B$7)</f>
        <v>141852.57558010521</v>
      </c>
      <c r="AG21" s="5">
        <f>AD21*((1+InputData!$C$5)/(1+InputData!$C$3))^(IntMed!$B21-IntMed!$B$7)</f>
        <v>17997.423172613169</v>
      </c>
      <c r="AH21" s="32">
        <f>IF(AF21-InputData!$C$158-InputData!$C$159&gt;=0,AF21-InputData!$C$158-InputData!$C$159,0)</f>
        <v>141852.57558010521</v>
      </c>
      <c r="AI21" s="32">
        <f>IF(AF21-IF(AF21&lt;=InputData!$C$146,InputData!$C$145,0)-MAX(InputData!$C$144,AO21)&gt;=0,AF21-IF(AF21&lt;=InputData!$C$146,InputData!$C$145,0)-MAX(InputData!$C$144,AO21),0)</f>
        <v>131852.57558010521</v>
      </c>
      <c r="AJ21" s="32">
        <f>IF(AI21&lt;0,"Error",IF(AI21&lt;=InputData!$B$170,InputData!$C$170*AI21,IF(AI21&lt;=InputData!$B$171,InputData!$D$170+InputData!$C$171*(AI21-InputData!$B$170),IF(AI21&lt;=InputData!$B$172,InputData!$D$171+InputData!$C$172*(AI21-InputData!$B$171),IF(AI21&lt;=InputData!$B$173,InputData!$D$172+InputData!$C$173*(AI21-InputData!$B$172),IF(AI21&lt;=InputData!$B$174,InputData!$D$173+InputData!$C$174*(AI21-InputData!$B$173),IF(AI21&lt;=InputData!$B$175,InputData!$D$174+InputData!$C$175*(AI21-InputData!$B$174),InputData!$D$175+InputData!$C$176*(AI21-InputData!$B$175))))))))</f>
        <v>30211.971162429461</v>
      </c>
      <c r="AK21" s="32">
        <f>IF(AF21&lt;=InputData!$C$150,InputData!$C$152,IF(AF21&lt;InputData!$C$151,IF(InputData!$C$152-0.25*IF(AF21-InputData!$C$150&lt;=0,0,AF21-InputData!$C$150)&lt;=0,0,InputData!$C$152-0.25*IF(AF21-InputData!$C$150&lt;=0,0,AF21-InputData!$C$150)),0))</f>
        <v>45286.856104973696</v>
      </c>
      <c r="AL21" s="32">
        <f>IF(AF21-AK21&lt;=0,0,IF(AF21-AK21&lt;=InputData!$C$153,InputData!$C$154*(AF21-AK21),InputData!$C$155*(AF21-AK21)-InputData!$D$154))</f>
        <v>25107.087063534193</v>
      </c>
      <c r="AM21" s="32">
        <f t="shared" si="45"/>
        <v>30211.971162429461</v>
      </c>
      <c r="AN21" s="32">
        <f>IF(AF21&gt;=0,IF(AF21&lt;=InputData!$C$148,InputData!$C$147*AF21,InputData!$C$147*InputData!$C$148)+InputData!$C$149*AF21,0)</f>
        <v>9106.2623459115257</v>
      </c>
      <c r="AO21" s="32">
        <f>IF(AH21&lt;0,0,IF(AH21&lt;=InputData!$B$163,InputData!$C$163*AH21,IF(AH21&lt;=InputData!$B$164,InputData!$D$163+InputData!$C$164*(AH21-InputData!$B$163),IF(AH21&lt;=InputData!$B$165,InputData!$D$164+InputData!$C$165*(AH21-InputData!$B$164),InputData!$D$165+InputData!$C$166*(AH21-InputData!$B$165)))))</f>
        <v>0</v>
      </c>
      <c r="AP21" s="43">
        <f t="shared" si="46"/>
        <v>0.27717673329193576</v>
      </c>
      <c r="AQ21" s="43">
        <f t="shared" si="47"/>
        <v>0.24596955780503155</v>
      </c>
      <c r="AR21" s="5">
        <f t="shared" si="48"/>
        <v>120531.7652443774</v>
      </c>
      <c r="AS21" s="32">
        <f>AR21/((1+InputData!$C$7)^(IntMed!$B21-IntMed!$B$7))</f>
        <v>79685.696169807692</v>
      </c>
      <c r="AT21" s="5">
        <f t="shared" si="128"/>
        <v>844540.30564271368</v>
      </c>
      <c r="AU21" s="53"/>
      <c r="AV21" s="41" t="s">
        <v>109</v>
      </c>
      <c r="AW21" s="32">
        <f>$AW$14*(1+InputData!$C$3+InputData!$C$4)^(IntMed!$B21-IntMed!$B$14)</f>
        <v>252173.81907804916</v>
      </c>
      <c r="AX21" s="32">
        <v>0</v>
      </c>
      <c r="AY21" s="32">
        <f t="shared" si="50"/>
        <v>252173.81907804916</v>
      </c>
      <c r="AZ21" s="32">
        <f>AZ20*(1+InputData!$C$8)</f>
        <v>15160.810987592406</v>
      </c>
      <c r="BA21" s="32">
        <f>AW21/((1+InputData!$C$3)^(IntMed!$B21-IntMed!$B$7))</f>
        <v>191116.23933429937</v>
      </c>
      <c r="BB21" s="32">
        <f>AX21/((1+InputData!$C$3)^(IntMed!$B21-IntMed!$B$7))</f>
        <v>0</v>
      </c>
      <c r="BC21" s="32" t="s">
        <v>141</v>
      </c>
      <c r="BD21" s="32">
        <v>0</v>
      </c>
      <c r="BE21" s="32">
        <f t="shared" si="174"/>
        <v>89661.530809346601</v>
      </c>
      <c r="BF21" s="32">
        <f>(BE21)*InputData!$C$6</f>
        <v>5567.981063260424</v>
      </c>
      <c r="BG21" s="32">
        <f>MIN($BE$14*InputData!$C$6/(1-(1+InputData!$C$6)^(-10)), BE21+BF21)</f>
        <v>33673.665953283198</v>
      </c>
      <c r="BH21" s="32">
        <f t="shared" si="157"/>
        <v>61555.845919323823</v>
      </c>
      <c r="BI21" s="32">
        <f>BG21/((1+InputData!$C$3)^(IntMed!$B21-IntMed!$B$7))</f>
        <v>25520.430412322348</v>
      </c>
      <c r="BJ21" s="32">
        <f>IF(BA21-InputData!$C$158-InputData!$C$159&gt;=0,BA21-InputData!$C$158-InputData!$C$159,0)</f>
        <v>191116.23933429937</v>
      </c>
      <c r="BK21" s="32">
        <f>IF(BA21-IF(BA21&lt;=InputData!$C$146,InputData!$C$145,0)-MAX(InputData!$C$144,BQ21)&gt;=0,BA21-IF(BA21&lt;=InputData!$C$146,InputData!$C$145,0)-MAX(InputData!$C$144,BQ21),0)</f>
        <v>185016.23933429937</v>
      </c>
      <c r="BL21" s="32">
        <f>IF(BK21&lt;0,"Error",IF(BK21&lt;=InputData!$B$170,InputData!$C$170*BK21,IF(BK21&lt;=InputData!$B$171,InputData!$D$170+InputData!$C$171*(BK21-InputData!$B$170),IF(BK21&lt;=InputData!$B$172,InputData!$D$171+InputData!$C$172*(BK21-InputData!$B$171),IF(BK21&lt;=InputData!$B$173,InputData!$D$172+InputData!$C$173*(BK21-InputData!$B$172),IF(BK21&lt;=InputData!$B$174,InputData!$D$173+InputData!$C$174*(BK21-InputData!$B$173),IF(BK21&lt;=InputData!$B$175,InputData!$D$174+InputData!$C$175*(BK21-InputData!$B$174),InputData!$D$175+InputData!$C$176*(BK21-InputData!$B$175))))))))</f>
        <v>45186.108980318793</v>
      </c>
      <c r="BM21" s="32">
        <f>IF(BA21&lt;=InputData!$C$150,InputData!$C$152,IF(BA21&lt;InputData!$C$151,IF(InputData!$C$152-0.25*IF(BA21-InputData!$C$150&lt;=0,0,BA21-InputData!$C$150)&lt;=0,0,InputData!$C$152-0.25*IF(BA21-InputData!$C$150&lt;=0,0,BA21-InputData!$C$150)),0))</f>
        <v>32970.940166425156</v>
      </c>
      <c r="BN21" s="32">
        <f>IF(BA21-BM21&lt;=0,0,IF(BA21-BM21&lt;=InputData!$C$153,InputData!$C$154*(BA21-BM21),InputData!$C$155*(BA21-BM21)-InputData!$D$154))</f>
        <v>41117.777783647296</v>
      </c>
      <c r="BO21" s="32">
        <f t="shared" si="51"/>
        <v>45186.108980318793</v>
      </c>
      <c r="BP21" s="32">
        <f>IF(BA21&gt;=0,IF(BA21&lt;=InputData!$C$148,InputData!$C$147*BA21,InputData!$C$147*InputData!$C$148)+InputData!$C$149*BA21,0)</f>
        <v>9820.5854703473415</v>
      </c>
      <c r="BQ21" s="32">
        <f>IF(BJ21&lt;0,0,IF(BJ21&lt;=InputData!$B$163,InputData!$C$163*BJ21,IF(BJ21&lt;=InputData!$B$164,InputData!$D$163+InputData!$C$164*(BJ21-InputData!$B$163),IF(BJ21&lt;=InputData!$B$165,InputData!$D$164+InputData!$C$165*(BJ21-InputData!$B$164),InputData!$D$165+InputData!$C$166*(BJ21-InputData!$B$165)))))</f>
        <v>0</v>
      </c>
      <c r="BR21" s="43">
        <f t="shared" si="52"/>
        <v>0.28781800354730064</v>
      </c>
      <c r="BS21" s="32">
        <f t="shared" si="53"/>
        <v>136109.54488363324</v>
      </c>
      <c r="BT21" s="32">
        <f t="shared" si="54"/>
        <v>110589.1144713109</v>
      </c>
      <c r="BU21" s="32">
        <f>BT21/((1+InputData!$C$7)^(IntMed!$B21-IntMed!$B$7))</f>
        <v>73112.432706697175</v>
      </c>
      <c r="BV21" s="5">
        <f t="shared" si="130"/>
        <v>528692.1950825532</v>
      </c>
      <c r="BW21" s="5"/>
      <c r="BX21" s="32" t="s">
        <v>141</v>
      </c>
      <c r="BY21" s="5">
        <f t="shared" si="175"/>
        <v>208712.61520969911</v>
      </c>
      <c r="BZ21" s="32">
        <f>(BY21)*InputData!$C$6</f>
        <v>12961.053404522316</v>
      </c>
      <c r="CA21" s="32">
        <f>MIN($BY$14*InputData!$C$6/(1-(1+InputData!$C$6)^(-25)), BY21+BZ21)</f>
        <v>19581.069601718285</v>
      </c>
      <c r="CB21" s="32">
        <f t="shared" si="176"/>
        <v>202092.59901250314</v>
      </c>
      <c r="CC21" s="32">
        <f>CA21/((1+InputData!$C$3)^(IntMed!$B21-IntMed!$B$7))</f>
        <v>14840.003605867252</v>
      </c>
      <c r="CD21" s="5">
        <f t="shared" si="58"/>
        <v>121269.54127776598</v>
      </c>
      <c r="CE21" s="32">
        <f>CD21/((1+InputData!$C$7)^(IntMed!$B21-IntMed!$B$7))</f>
        <v>80173.453042187117</v>
      </c>
      <c r="CF21" s="5">
        <f t="shared" si="131"/>
        <v>596263.51521978376</v>
      </c>
      <c r="CG21" s="5"/>
      <c r="CH21" s="32" t="s">
        <v>141</v>
      </c>
      <c r="CI21" s="5">
        <f t="shared" si="177"/>
        <v>118252.43789310692</v>
      </c>
      <c r="CJ21" s="32">
        <f>(CI21)*InputData!$C$6</f>
        <v>7343.47639316194</v>
      </c>
      <c r="CK21" s="32">
        <f t="shared" si="170"/>
        <v>33673.665953283198</v>
      </c>
      <c r="CL21" s="32">
        <f t="shared" si="178"/>
        <v>91922.248332985662</v>
      </c>
      <c r="CM21" s="32">
        <f>CK21/((1+InputData!$C$3)^(IntMed!$B21-IntMed!$B$7))</f>
        <v>25520.430412322348</v>
      </c>
      <c r="CN21" s="5">
        <f t="shared" si="62"/>
        <v>110589.1144713109</v>
      </c>
      <c r="CO21" s="32">
        <f>CN21/((1+InputData!$C$7)^(IntMed!$B21-IntMed!$B$7))</f>
        <v>73112.432706697175</v>
      </c>
      <c r="CP21" s="5">
        <f t="shared" si="132"/>
        <v>543051.61655937287</v>
      </c>
      <c r="CQ21" s="5"/>
      <c r="CR21" s="32" t="s">
        <v>141</v>
      </c>
      <c r="CS21" s="5">
        <f t="shared" si="179"/>
        <v>203544.65433214605</v>
      </c>
      <c r="CT21" s="32">
        <f>(CS21)*InputData!$C$6</f>
        <v>12640.12303402627</v>
      </c>
      <c r="CU21" s="32">
        <f t="shared" si="171"/>
        <v>22943.260259666058</v>
      </c>
      <c r="CV21" s="32">
        <f t="shared" si="180"/>
        <v>193241.51710650628</v>
      </c>
      <c r="CW21" s="32">
        <f>CU21/((1+InputData!$C$3)^(IntMed!$B21-IntMed!$B$7))</f>
        <v>17388.123933429939</v>
      </c>
      <c r="CX21" s="5">
        <f t="shared" si="66"/>
        <v>118721.42095020329</v>
      </c>
      <c r="CY21" s="32">
        <f>CX21/((1+InputData!$C$7)^(IntMed!$B21-IntMed!$B$7))</f>
        <v>78488.845322267051</v>
      </c>
      <c r="CZ21" s="5">
        <f t="shared" si="133"/>
        <v>591837.16036597476</v>
      </c>
      <c r="DA21" s="5"/>
      <c r="DB21" s="32" t="s">
        <v>141</v>
      </c>
      <c r="DC21" s="5">
        <f t="shared" si="158"/>
        <v>13722.050637364588</v>
      </c>
      <c r="DD21" s="5">
        <f>DC21*InputData!$C$6</f>
        <v>852.13934458034089</v>
      </c>
      <c r="DE21" s="32">
        <f t="shared" si="159"/>
        <v>14574.189981944928</v>
      </c>
      <c r="DF21" s="32">
        <f t="shared" si="160"/>
        <v>0</v>
      </c>
      <c r="DG21" s="32">
        <f>DE21/((1+InputData!$C$3)^(IntMed!$B21-IntMed!$B$7))</f>
        <v>11045.414590920915</v>
      </c>
      <c r="DH21" s="5">
        <f t="shared" si="70"/>
        <v>125064.13029271232</v>
      </c>
      <c r="DI21" s="32">
        <f>DH21/((1+InputData!$C$7)^(IntMed!$B21-IntMed!$B$7))</f>
        <v>82682.12340573188</v>
      </c>
      <c r="DJ21" s="5">
        <f t="shared" si="134"/>
        <v>501279.62493496819</v>
      </c>
      <c r="DK21" s="5"/>
      <c r="DL21" s="32" t="s">
        <v>141</v>
      </c>
      <c r="DM21" s="32">
        <f t="shared" si="181"/>
        <v>102531.06541321825</v>
      </c>
      <c r="DN21" s="5">
        <f>DM21*InputData!$C$6</f>
        <v>6367.1791621608536</v>
      </c>
      <c r="DO21" s="32">
        <f t="shared" si="182"/>
        <v>0</v>
      </c>
      <c r="DP21" s="32">
        <f t="shared" si="150"/>
        <v>29148.379963889372</v>
      </c>
      <c r="DQ21" s="32">
        <f t="shared" si="151"/>
        <v>79749.864611489742</v>
      </c>
      <c r="DR21" s="32">
        <f>DP21/((1+InputData!$C$3)^(IntMed!$B21-IntMed!$B$7))</f>
        <v>22090.829181841462</v>
      </c>
      <c r="DS21" s="5">
        <f t="shared" si="74"/>
        <v>114018.71570179178</v>
      </c>
      <c r="DT21" s="32">
        <f>DS21/((1+InputData!$C$7)^(IntMed!$B21-IntMed!$B$7))</f>
        <v>75379.803147025537</v>
      </c>
      <c r="DU21" s="5">
        <f t="shared" si="136"/>
        <v>538125.56112691364</v>
      </c>
      <c r="DV21" s="5"/>
      <c r="DW21" s="32" t="s">
        <v>141</v>
      </c>
      <c r="DX21" s="133">
        <f t="shared" si="161"/>
        <v>181542.23811743798</v>
      </c>
      <c r="DY21" s="5">
        <f>DX21*InputData!$C$6</f>
        <v>11273.7729870929</v>
      </c>
      <c r="DZ21" s="133">
        <f t="shared" si="162"/>
        <v>0</v>
      </c>
      <c r="EA21" s="32">
        <f t="shared" si="163"/>
        <v>22943.260259666058</v>
      </c>
      <c r="EB21" s="32">
        <f t="shared" si="164"/>
        <v>169872.75084486482</v>
      </c>
      <c r="EC21" s="32">
        <f>EA21/((1+InputData!$C$3)^(IntMed!$B21-IntMed!$B$7))</f>
        <v>17388.123933429939</v>
      </c>
      <c r="ED21" s="5">
        <f t="shared" si="78"/>
        <v>118721.42095020329</v>
      </c>
      <c r="EE21" s="32">
        <f>ED21/((1+InputData!$C$7)^(IntMed!$B21-IntMed!$B$7))</f>
        <v>78488.845322267051</v>
      </c>
      <c r="EF21" s="5">
        <f t="shared" si="138"/>
        <v>582794.1210680767</v>
      </c>
      <c r="EG21" s="32"/>
      <c r="EH21" s="130" t="s">
        <v>141</v>
      </c>
      <c r="EI21" s="32">
        <v>0</v>
      </c>
      <c r="EJ21" s="32">
        <f t="shared" si="190"/>
        <v>208334.29356108102</v>
      </c>
      <c r="EK21" s="32">
        <f>EJ21*InputData!$C$6</f>
        <v>12937.559630143132</v>
      </c>
      <c r="EL21" s="32">
        <f t="shared" si="191"/>
        <v>198328.59293155815</v>
      </c>
      <c r="EM21" s="32">
        <f>EM20*(1+InputData!$C$8)</f>
        <v>15160.810987592406</v>
      </c>
      <c r="EN21" s="32">
        <f t="shared" si="172"/>
        <v>22943.260259666058</v>
      </c>
      <c r="EO21" s="32">
        <f>AW21/((1+InputData!$C$3)^(IntMed!$B21-IntMed!$B$7))</f>
        <v>191116.23933429937</v>
      </c>
      <c r="EP21" s="32">
        <f>AX21/((1+InputData!$C$3)^(IntMed!$B21-IntMed!$B$7))</f>
        <v>0</v>
      </c>
      <c r="EQ21" s="32">
        <v>44908.85</v>
      </c>
      <c r="ER21" s="32">
        <v>8519.6749999999993</v>
      </c>
      <c r="ES21" s="32">
        <v>0</v>
      </c>
      <c r="ET21" s="42">
        <f t="shared" si="154"/>
        <v>0.27956036172595017</v>
      </c>
      <c r="EU21" s="32">
        <f t="shared" si="79"/>
        <v>137687.71433429938</v>
      </c>
      <c r="EV21" s="32">
        <f>EN21/((1+InputData!$C$3)^(IntMed!$B21-IntMed!$B$7))</f>
        <v>17388.123933429939</v>
      </c>
      <c r="EW21" s="32">
        <f t="shared" si="80"/>
        <v>120299.59040086943</v>
      </c>
      <c r="EX21" s="32">
        <f>EW21/((1+InputData!$C$7)^(IntMed!$B21-IntMed!$B$7))</f>
        <v>79532.201246701428</v>
      </c>
      <c r="EY21" s="5">
        <f t="shared" si="148"/>
        <v>602700.75794301077</v>
      </c>
      <c r="EZ21" s="79"/>
      <c r="FA21" s="32">
        <f t="shared" si="183"/>
        <v>90809.38699046598</v>
      </c>
      <c r="FB21" s="32">
        <f>FA21*InputData!$C$6</f>
        <v>5639.2629321079376</v>
      </c>
      <c r="FC21" s="32">
        <f t="shared" si="184"/>
        <v>62343.890218642904</v>
      </c>
      <c r="FD21" s="53">
        <f>MIN($EJ$14*InputData!$C$6/(1-(1+InputData!$C$6)^(-10)), FA21+FB21)</f>
        <v>34104.75970393102</v>
      </c>
      <c r="FE21" s="32">
        <f>FD21/((1+InputData!$C$3)^(IntMed!$B21-IntMed!$B$7))</f>
        <v>25847.145599194424</v>
      </c>
      <c r="FF21" s="5">
        <f t="shared" si="84"/>
        <v>111840.56873510496</v>
      </c>
      <c r="FG21" s="32">
        <f>FF21/((1+InputData!$C$7)^(IntMed!$B21-IntMed!$B$7))</f>
        <v>73939.791403659052</v>
      </c>
      <c r="FH21" s="5">
        <f t="shared" si="140"/>
        <v>537488.7800873497</v>
      </c>
      <c r="FI21" s="79"/>
      <c r="FJ21" s="32">
        <f t="shared" si="185"/>
        <v>211384.57567349562</v>
      </c>
      <c r="FK21" s="32">
        <f>FJ21*InputData!$C$6</f>
        <v>13126.982149324078</v>
      </c>
      <c r="FL21" s="32">
        <f t="shared" si="186"/>
        <v>204679.80934497277</v>
      </c>
      <c r="FM21" s="53">
        <f>MIN($EJ$14*InputData!$C$6/(1-(1+InputData!$C$6)^(-25)), FJ21+FK21)</f>
        <v>19831.748477846937</v>
      </c>
      <c r="FN21" s="32">
        <f>FM21/((1+InputData!$C$3)^(IntMed!$B21-IntMed!$B$7))</f>
        <v>15029.98686527702</v>
      </c>
      <c r="FO21" s="5">
        <f t="shared" si="88"/>
        <v>122657.72746902236</v>
      </c>
      <c r="FP21" s="32">
        <f>FO21/((1+InputData!$C$7)^(IntMed!$B21-IntMed!$B$7))</f>
        <v>81091.207651018238</v>
      </c>
      <c r="FQ21" s="5">
        <f t="shared" si="141"/>
        <v>605925.15524634707</v>
      </c>
      <c r="FR21" s="79"/>
      <c r="FS21" s="32">
        <f t="shared" si="187"/>
        <v>123042.07712204198</v>
      </c>
      <c r="FT21" s="32">
        <f>FS21*InputData!$C$6</f>
        <v>7640.9129892788078</v>
      </c>
      <c r="FU21" s="32">
        <f t="shared" si="188"/>
        <v>96578.230407389769</v>
      </c>
      <c r="FV21" s="5">
        <f t="shared" si="173"/>
        <v>34104.75970393102</v>
      </c>
      <c r="FW21" s="32">
        <f>FV21/((1+InputData!$C$3)^(IntMed!$B21-IntMed!$B$7))</f>
        <v>25847.145599194424</v>
      </c>
      <c r="FX21" s="5">
        <f t="shared" si="92"/>
        <v>111840.56873510496</v>
      </c>
      <c r="FY21" s="32">
        <f>FX21/((1+InputData!$C$7)^(IntMed!$B21-IntMed!$B$7))</f>
        <v>73939.791403659052</v>
      </c>
      <c r="FZ21" s="5">
        <f t="shared" si="142"/>
        <v>553699.21690893662</v>
      </c>
      <c r="GC21" s="3">
        <f t="shared" si="3"/>
        <v>11</v>
      </c>
      <c r="GD21" s="122" t="str">
        <f t="shared" si="4"/>
        <v>Multi-Year (O4&gt;10 = (BP+BAH+BAS+VSP+BCPSP)*12+ASP+ISP+MSP)</v>
      </c>
      <c r="GE21" s="4"/>
      <c r="GF21" s="4"/>
      <c r="GG21" s="4"/>
      <c r="GH21" s="4"/>
      <c r="GI21" s="5">
        <f t="shared" si="5"/>
        <v>162832.24</v>
      </c>
      <c r="GJ21" s="5">
        <f t="shared" si="6"/>
        <v>20659.199999999997</v>
      </c>
      <c r="GK21" s="5">
        <f t="shared" si="7"/>
        <v>183491.44</v>
      </c>
      <c r="GL21" s="5">
        <f t="shared" si="8"/>
        <v>141852.57558010521</v>
      </c>
      <c r="GM21" s="5">
        <f t="shared" si="9"/>
        <v>17997.423172613169</v>
      </c>
      <c r="GN21" s="32">
        <f>IF(GL21-InputData!$C$158-InputData!$C$159&gt;=0,GL21-InputData!$C$158-InputData!$C$159,0)</f>
        <v>141852.57558010521</v>
      </c>
      <c r="GO21" s="32">
        <f>IF(GL21-IF(GL21&lt;=InputData!$C$146,InputData!$C$145,0)-MAX(InputData!$C$144,GU21)&gt;=0,GL21-IF(GL21&lt;=InputData!$C$146,InputData!$C$145,0)-MAX(InputData!$C$144,GU21),0)</f>
        <v>131852.57558010521</v>
      </c>
      <c r="GP21" s="32">
        <f>IF(GO21&lt;0,"Error",IF(GO21&lt;=InputData!$B$170,InputData!$C$170*GO21,IF(GO21&lt;=InputData!$B$171,InputData!$D$170+InputData!$C$171*(GO21-InputData!$B$170),IF(GO21&lt;=InputData!$B$172,InputData!$D$171+InputData!$C$172*(GO21-InputData!$B$171),IF(GO21&lt;=InputData!$B$173,InputData!$D$172+InputData!$C$173*(GO21-InputData!$B$172),IF(GO21&lt;=InputData!$B$174,InputData!$D$173+InputData!$C$174*(GO21-InputData!$B$173),IF(GO21&lt;=InputData!$B$175,InputData!$D$174+InputData!$C$175*(GO21-InputData!$B$174),InputData!$D$175+InputData!$C$176*(GO21-InputData!$B$175))))))))</f>
        <v>30211.971162429461</v>
      </c>
      <c r="GQ21" s="32">
        <f>IF(GL21&lt;=InputData!$C$150,InputData!$C$152,IF(GL21&lt;InputData!$C$151,IF(InputData!$C$152-0.25*IF(GL21-InputData!$C$150&lt;=0,0,GL21-InputData!$C$150)&lt;=0,0,InputData!$C$152-0.25*IF(GL21-InputData!$C$150&lt;=0,0,GL21-InputData!$C$150)),0))</f>
        <v>45286.856104973696</v>
      </c>
      <c r="GR21" s="32">
        <f>IF(GL21-GQ21&lt;=0,0,IF(GL21-GQ21&lt;=InputData!$C$153,InputData!$C$154*(GL21-GQ21),InputData!$C$155*(GL21-GQ21)-InputData!$D$154))</f>
        <v>25107.087063534193</v>
      </c>
      <c r="GS21" s="32">
        <f t="shared" si="93"/>
        <v>30211.971162429461</v>
      </c>
      <c r="GT21" s="32">
        <f>IF(GL21&gt;=0,IF(GL21&lt;=InputData!$C$148,InputData!$C$147*GL21,InputData!$C$147*InputData!$C$148)+InputData!$C$149*GL21,0)</f>
        <v>9106.2623459115257</v>
      </c>
      <c r="GU21" s="32">
        <f>IF(GN21&lt;0,0,IF(GN21&lt;=InputData!$B$163,InputData!$C$163*GN21,IF(GN21&lt;=InputData!$B$164,InputData!$D$163+InputData!$C$164*(GN21-InputData!$B$163),IF(GN21&lt;=InputData!$B$165,InputData!$D$164+InputData!$C$165*(GN21-InputData!$B$164),InputData!$D$165+InputData!$C$166*(GN21-InputData!$B$165)))))</f>
        <v>0</v>
      </c>
      <c r="GV21" s="43">
        <f t="shared" si="10"/>
        <v>0.27717673329193576</v>
      </c>
      <c r="GW21" s="43">
        <f t="shared" si="11"/>
        <v>0.24596955780503155</v>
      </c>
      <c r="GX21" s="5">
        <f t="shared" si="12"/>
        <v>120531.7652443774</v>
      </c>
      <c r="GY21" s="32">
        <f>GX21/((1+InputData!$C$7)^(IntMed!$B21-IntMed!$B$7))</f>
        <v>79685.696169807692</v>
      </c>
      <c r="GZ21" s="32">
        <f t="shared" si="94"/>
        <v>866692.12305053731</v>
      </c>
      <c r="HB21" s="3">
        <f t="shared" si="13"/>
        <v>11</v>
      </c>
      <c r="HC21" s="122" t="str">
        <f t="shared" si="195"/>
        <v>Multi-Year (O4&gt;10 = (BP+BAH+BAS+VSP+BCPSP)*12+ASP+ISP+MSP)</v>
      </c>
      <c r="HD21" s="4"/>
      <c r="HE21" s="4"/>
      <c r="HF21" s="4"/>
      <c r="HG21" s="4"/>
      <c r="HH21" s="5">
        <f t="shared" si="196"/>
        <v>162832.24</v>
      </c>
      <c r="HI21" s="5">
        <f t="shared" si="197"/>
        <v>20659.199999999997</v>
      </c>
      <c r="HJ21" s="5">
        <f t="shared" si="198"/>
        <v>183491.44</v>
      </c>
      <c r="HK21" s="5">
        <f t="shared" si="199"/>
        <v>141852.57558010521</v>
      </c>
      <c r="HL21" s="5">
        <f t="shared" si="200"/>
        <v>17997.423172613169</v>
      </c>
      <c r="HM21" s="32">
        <f>IF(HK21-InputData!$C$158-InputData!$C$159&gt;=0,HK21-InputData!$C$158-InputData!$C$159,0)</f>
        <v>141852.57558010521</v>
      </c>
      <c r="HN21" s="32">
        <f>IF(HK21-IF(HK21&lt;=InputData!$C$146,InputData!$C$145,0)-MAX(InputData!$C$144,HT21)&gt;=0,HK21-IF(HK21&lt;=InputData!$C$146,InputData!$C$145,0)-MAX(InputData!$C$144,HT21),0)</f>
        <v>131852.57558010521</v>
      </c>
      <c r="HO21" s="32">
        <f>IF(HN21&lt;0,"Error",IF(HN21&lt;=InputData!$B$170,InputData!$C$170*HN21,IF(HN21&lt;=InputData!$B$171,InputData!$D$170+InputData!$C$171*(HN21-InputData!$B$170),IF(HN21&lt;=InputData!$B$172,InputData!$D$171+InputData!$C$172*(HN21-InputData!$B$171),IF(HN21&lt;=InputData!$B$173,InputData!$D$172+InputData!$C$173*(HN21-InputData!$B$172),IF(HN21&lt;=InputData!$B$174,InputData!$D$173+InputData!$C$174*(HN21-InputData!$B$173),IF(HN21&lt;=InputData!$B$175,InputData!$D$174+InputData!$C$175*(HN21-InputData!$B$174),InputData!$D$175+InputData!$C$176*(HN21-InputData!$B$175))))))))</f>
        <v>30211.971162429461</v>
      </c>
      <c r="HP21" s="32">
        <f>IF(HK21&lt;=InputData!$C$150,InputData!$C$152,IF(HK21&lt;InputData!$C$151,IF(InputData!$C$152-0.25*IF(HK21-InputData!$C$150&lt;=0,0,HK21-InputData!$C$150)&lt;=0,0,InputData!$C$152-0.25*IF(HK21-InputData!$C$150&lt;=0,0,HK21-InputData!$C$150)),0))</f>
        <v>45286.856104973696</v>
      </c>
      <c r="HQ21" s="32">
        <f>IF(HK21-HP21&lt;=0,0,IF(HK21-HP21&lt;=InputData!$C$153,InputData!$C$154*(HK21-HP21),InputData!$C$155*(HK21-HP21)-InputData!$D$154))</f>
        <v>25107.087063534193</v>
      </c>
      <c r="HR21" s="32">
        <f t="shared" si="95"/>
        <v>30211.971162429461</v>
      </c>
      <c r="HS21" s="32">
        <f>IF(HK21&gt;=0,IF(HK21&lt;=InputData!$C$148,InputData!$C$147*HK21,InputData!$C$147*InputData!$C$148)+InputData!$C$149*HK21,0)</f>
        <v>9106.2623459115257</v>
      </c>
      <c r="HT21" s="32">
        <f>IF(HM21&lt;0,0,IF(HM21&lt;=InputData!$B$163,InputData!$C$163*HM21,IF(HM21&lt;=InputData!$B$164,InputData!$D$163+InputData!$C$164*(HM21-InputData!$B$163),IF(HM21&lt;=InputData!$B$165,InputData!$D$164+InputData!$C$165*(HM21-InputData!$B$164),InputData!$D$165+InputData!$C$166*(HM21-InputData!$B$165)))))</f>
        <v>0</v>
      </c>
      <c r="HU21" s="43">
        <f t="shared" si="96"/>
        <v>0.27717673329193576</v>
      </c>
      <c r="HV21" s="43">
        <f t="shared" si="97"/>
        <v>0.24596955780503155</v>
      </c>
      <c r="HW21" s="5">
        <f t="shared" si="98"/>
        <v>120531.7652443774</v>
      </c>
      <c r="HX21" s="32">
        <f>HW21/((1+InputData!$C$7)^(IntMed!$B21-IntMed!$B$7))</f>
        <v>79685.696169807692</v>
      </c>
      <c r="HY21" s="32">
        <f t="shared" si="99"/>
        <v>844540.30564271368</v>
      </c>
      <c r="IA21" s="41"/>
      <c r="IB21" s="4" t="s">
        <v>109</v>
      </c>
      <c r="IC21" s="32">
        <f>MIN(InputData!$C$13+InputData!$E$13*($B21-$B$21),1)*IntMed!AW21</f>
        <v>226956.43717024426</v>
      </c>
      <c r="ID21" s="32">
        <f>MIN(InputData!$C$13+InputData!$E$13*($B21-$B$21),1)*IntMed!AX21</f>
        <v>0</v>
      </c>
      <c r="IE21" s="32">
        <f>MIN(InputData!$C$13+InputData!$E$13*($B21-$B$21),1)*IntMed!AY21</f>
        <v>226956.43717024426</v>
      </c>
      <c r="IF21" s="32">
        <f>MIN(InputData!$C$13+InputData!$E$13*($B21-$B$21),1)*IntMed!EO21</f>
        <v>172004.61540086943</v>
      </c>
      <c r="IG21" s="32">
        <f>MIN(InputData!$C$13+InputData!$E$13*($B21-$B$21),1)*IntMed!EP21</f>
        <v>0</v>
      </c>
      <c r="IH21" s="32">
        <f>IF(IF21-InputData!$C$158-InputData!$C$159&gt;=0,IF21-InputData!$C$158-InputData!$C$159,0)</f>
        <v>172004.61540086943</v>
      </c>
      <c r="II21" s="32">
        <f>IF(IF21-IF(IF21&lt;=InputData!$C$146,InputData!$C$145,0)-MAX(InputData!$C$144,IO21)&gt;=0,IF21-IF(IF21&lt;=InputData!$C$146,InputData!$C$145,0)-MAX(InputData!$C$144,IO21),0)</f>
        <v>165904.61540086943</v>
      </c>
      <c r="IJ21" s="32">
        <f>IF(II21&lt;0,"Error",IF(II21&lt;=InputData!$B$170,InputData!$C$170*II21,IF(II21&lt;=InputData!$B$171,InputData!$D$170+InputData!$C$171*(II21-InputData!$B$170),IF(II21&lt;=InputData!$B$172,InputData!$D$171+InputData!$C$172*(II21-InputData!$B$171),IF(II21&lt;=InputData!$B$173,InputData!$D$172+InputData!$C$173*(II21-InputData!$B$172),IF(II21&lt;=InputData!$B$174,InputData!$D$173+InputData!$C$174*(II21-InputData!$B$173),IF(II21&lt;=InputData!$B$175,InputData!$D$174+InputData!$C$175*(II21-InputData!$B$174),InputData!$D$175+InputData!$C$176*(II21-InputData!$B$175))))))))</f>
        <v>39746.542312243444</v>
      </c>
      <c r="IK21" s="32">
        <f>IF(IF21&lt;=InputData!$C$150,InputData!$C$152,IF(IF21&lt;InputData!$C$151,IF(InputData!$C$152-0.25*IF(IF21-InputData!$C$150&lt;=0,0,IF21-InputData!$C$150)&lt;=0,0,InputData!$C$152-0.25*IF(IF21-InputData!$C$150&lt;=0,0,IF21-InputData!$C$150)),0))</f>
        <v>37748.846149782643</v>
      </c>
      <c r="IL21" s="32">
        <f>IF(IF21-IK21&lt;=0,0,IF(IF21-IK21&lt;=InputData!$C$153,InputData!$C$154*(IF21-IK21),InputData!$C$155*(IF21-IK21)-InputData!$D$154))</f>
        <v>34906.500005282564</v>
      </c>
      <c r="IM21" s="32">
        <f t="shared" si="100"/>
        <v>39746.542312243444</v>
      </c>
      <c r="IN21" s="32">
        <f>IF(IF21&gt;=0,IF(IF21&lt;=InputData!$C$148,InputData!$C$147*IF21,InputData!$C$147*InputData!$C$148)+InputData!$C$149*IF21,0)</f>
        <v>9543.466923312606</v>
      </c>
      <c r="IO21" s="32">
        <f>IF(IH21&lt;0,0,IF(IH21&lt;=InputData!$B$163,InputData!$C$163*IH21,IF(IH21&lt;=InputData!$B$164,InputData!$D$163+InputData!$C$164*(IH21-InputData!$B$163),IF(IH21&lt;=InputData!$B$165,InputData!$D$164+InputData!$C$165*(IH21-InputData!$B$164),InputData!$D$165+InputData!$C$166*(IH21-InputData!$B$165)))))</f>
        <v>0</v>
      </c>
      <c r="IP21" s="43">
        <f t="shared" si="101"/>
        <v>0.28656213160723654</v>
      </c>
      <c r="IQ21" s="43">
        <f t="shared" si="102"/>
        <v>0.28656213160723654</v>
      </c>
      <c r="IR21" s="5">
        <f t="shared" si="27"/>
        <v>122714.60616531337</v>
      </c>
      <c r="IS21" s="32">
        <f>IR21/((1+InputData!$C$7)^(IntMed!$B21-IntMed!$B$7))</f>
        <v>81128.811169907975</v>
      </c>
      <c r="IT21" s="5">
        <f t="shared" si="103"/>
        <v>868135.23805063753</v>
      </c>
      <c r="IV21" s="41"/>
      <c r="IW21" s="49" t="s">
        <v>109</v>
      </c>
      <c r="IX21" s="32">
        <f>MIN(InputData!$C$13+InputData!$E$13*($B21-$B$18),1)*IntMed!AW21</f>
        <v>226956.43717024426</v>
      </c>
      <c r="IY21" s="32">
        <f>MIN(InputData!$C$13+InputData!$E$13*($B21-$B$18),1)*IntMed!AX21</f>
        <v>0</v>
      </c>
      <c r="IZ21" s="32">
        <f>MIN(InputData!$C$13+InputData!$E$13*($B21-$B$18),1)*IntMed!AY21</f>
        <v>226956.43717024426</v>
      </c>
      <c r="JA21" s="32">
        <f>MIN(InputData!$C$13+InputData!$E$13*($B21-$B$18),1)*IntMed!EO21</f>
        <v>172004.61540086943</v>
      </c>
      <c r="JB21" s="32">
        <f>MIN(InputData!$C$13+InputData!$E$13*($B21-$B$18),1)*IntMed!EP21</f>
        <v>0</v>
      </c>
      <c r="JC21" s="32">
        <f>IF(JA21-InputData!$C$158-InputData!$C$159&gt;=0,JA21-InputData!$C$158-InputData!$C$159,0)</f>
        <v>172004.61540086943</v>
      </c>
      <c r="JD21" s="32">
        <f>IF(JA21-IF(JA21&lt;=InputData!$C$146,InputData!$C$145,0)-MAX(InputData!$C$144,JJ21)&gt;=0,JA21-IF(JA21&lt;=InputData!$C$146,InputData!$C$145,0)-MAX(InputData!$C$144,JJ21),0)</f>
        <v>165904.61540086943</v>
      </c>
      <c r="JE21" s="32">
        <f>IF(JD21&lt;0,"Error",IF(JD21&lt;=InputData!$B$170,InputData!$C$170*JD21,IF(JD21&lt;=InputData!$B$171,InputData!$D$170+InputData!$C$171*(JD21-InputData!$B$170),IF(JD21&lt;=InputData!$B$172,InputData!$D$171+InputData!$C$172*(JD21-InputData!$B$171),IF(JD21&lt;=InputData!$B$173,InputData!$D$172+InputData!$C$173*(JD21-InputData!$B$172),IF(JD21&lt;=InputData!$B$174,InputData!$D$173+InputData!$C$174*(JD21-InputData!$B$173),IF(JD21&lt;=InputData!$B$175,InputData!$D$174+InputData!$C$175*(JD21-InputData!$B$174),InputData!$D$175+InputData!$C$176*(JD21-InputData!$B$175))))))))</f>
        <v>39746.542312243444</v>
      </c>
      <c r="JF21" s="32">
        <f>IF(JA21&lt;=InputData!$C$150,InputData!$C$152,IF(JA21&lt;InputData!$C$151,IF(InputData!$C$152-0.25*IF(JA21-InputData!$C$150&lt;=0,0,JA21-InputData!$C$150)&lt;=0,0,InputData!$C$152-0.25*IF(JA21-InputData!$C$150&lt;=0,0,JA21-InputData!$C$150)),0))</f>
        <v>37748.846149782643</v>
      </c>
      <c r="JG21" s="32">
        <f>IF(JA21-JF21&lt;=0,0,IF(JA21-JF21&lt;=InputData!$C$153,InputData!$C$154*(JA21-JF21),InputData!$C$155*(JA21-JF21)-InputData!$D$154))</f>
        <v>34906.500005282564</v>
      </c>
      <c r="JH21" s="32">
        <f t="shared" si="104"/>
        <v>39746.542312243444</v>
      </c>
      <c r="JI21" s="32">
        <f>IF(JA21&gt;=0,IF(JA21&lt;=InputData!$C$148,InputData!$C$147*JA21,InputData!$C$147*InputData!$C$148)+InputData!$C$149*JA21,0)</f>
        <v>9543.466923312606</v>
      </c>
      <c r="JJ21" s="32">
        <f>IF(JC21&lt;0,0,IF(JC21&lt;=InputData!$B$163,InputData!$C$163*JC21,IF(JC21&lt;=InputData!$B$164,InputData!$D$163+InputData!$C$164*(JC21-InputData!$B$163),IF(JC21&lt;=InputData!$B$165,InputData!$D$164+InputData!$C$165*(JC21-InputData!$B$164),InputData!$D$165+InputData!$C$166*(JC21-InputData!$B$165)))))</f>
        <v>0</v>
      </c>
      <c r="JK21" s="42">
        <f t="shared" si="105"/>
        <v>0.28656213160723654</v>
      </c>
      <c r="JL21" s="42">
        <f t="shared" si="106"/>
        <v>0.28656213160723654</v>
      </c>
      <c r="JM21" s="32">
        <f t="shared" si="35"/>
        <v>122714.60616531337</v>
      </c>
      <c r="JN21" s="32">
        <f>JM21/((1+InputData!$C$7)^(IntMed!$B21-IntMed!$B$7))</f>
        <v>81128.811169907975</v>
      </c>
      <c r="JO21" s="32">
        <f t="shared" si="107"/>
        <v>849486.97659823322</v>
      </c>
      <c r="JQ21" s="41" t="s">
        <v>109</v>
      </c>
      <c r="JR21" s="32">
        <f>$JR$14*(1+InputData!$C$3+InputData!$C$4)^(IntMed!$B21-IntMed!$B$14)</f>
        <v>197783.38751219542</v>
      </c>
      <c r="JS21" s="32">
        <v>0</v>
      </c>
      <c r="JT21" s="32">
        <f t="shared" si="108"/>
        <v>197783.38751219542</v>
      </c>
      <c r="JU21" s="5">
        <f>JR21*(1/(1+InputData!$C$3))^(IntMed!$B21-IntMed!$B$7)</f>
        <v>149895.0896739602</v>
      </c>
      <c r="JV21" s="5">
        <f>JS21*(1/(1+InputData!$C$3))^(IntMed!$B21-IntMed!$B$7)</f>
        <v>0</v>
      </c>
      <c r="JW21" s="32">
        <f>IF(JU21-InputData!$C$158-InputData!$C$159&gt;=0,JU21-InputData!$C$158-InputData!$C$159,0)</f>
        <v>149895.0896739602</v>
      </c>
      <c r="JX21" s="32">
        <f>IF(JU21-IF(JU21&lt;=InputData!$C$146,InputData!$C$145,0)-MAX(InputData!$C$144,KD21)&gt;=0,JU21-IF(JU21&lt;=InputData!$C$146,InputData!$C$145,0)-MAX(InputData!$C$144,KD21),0)</f>
        <v>139895.0896739602</v>
      </c>
      <c r="JY21" s="32">
        <f>IF(JX21&lt;0,"Error",IF(JX21&lt;=InputData!$B$170,InputData!$C$170*JX21,IF(JX21&lt;=InputData!$B$171,InputData!$D$170+InputData!$C$171*(JX21-InputData!$B$170),IF(JX21&lt;=InputData!$B$172,InputData!$D$171+InputData!$C$172*(JX21-InputData!$B$171),IF(JX21&lt;=InputData!$B$173,InputData!$D$172+InputData!$C$173*(JX21-InputData!$B$172),IF(JX21&lt;=InputData!$B$174,InputData!$D$173+InputData!$C$174*(JX21-InputData!$B$173),IF(JX21&lt;=InputData!$B$175,InputData!$D$174+InputData!$C$175*(JX21-InputData!$B$174),InputData!$D$175+InputData!$C$176*(JX21-InputData!$B$175))))))))</f>
        <v>32463.87510870886</v>
      </c>
      <c r="JZ21" s="32">
        <f>IF(JU21&lt;=InputData!$C$150,InputData!$C$152,IF(JU21&lt;InputData!$C$151,IF(InputData!$C$152-0.25*IF(JU21-InputData!$C$150&lt;=0,0,JU21-InputData!$C$150)&lt;=0,0,InputData!$C$152-0.25*IF(JU21-InputData!$C$150&lt;=0,0,JU21-InputData!$C$150)),0))</f>
        <v>43276.227581509949</v>
      </c>
      <c r="KA21" s="32">
        <f>IF(JU21-JZ21&lt;=0,0,IF(JU21-JZ21&lt;=InputData!$C$153,InputData!$C$154*(JU21-JZ21),InputData!$C$155*(JU21-JZ21)-InputData!$D$154))</f>
        <v>27720.904144037067</v>
      </c>
      <c r="KB21" s="32">
        <f t="shared" si="109"/>
        <v>32463.87510870886</v>
      </c>
      <c r="KC21" s="32">
        <f>IF(JU21&gt;=0,IF(JU21&lt;=InputData!$C$148,InputData!$C$147*JU21,InputData!$C$147*InputData!$C$148)+InputData!$C$149*JU21,0)</f>
        <v>9222.8788002724232</v>
      </c>
      <c r="KD21" s="32">
        <f>IF(JW21&lt;0,0,IF(JW21&lt;=InputData!$B$163,InputData!$C$163*JW21,IF(JW21&lt;=InputData!$B$164,InputData!$D$163+InputData!$C$164*(JW21-InputData!$B$163),IF(JW21&lt;=InputData!$B$165,InputData!$D$164+InputData!$C$165*(JW21-InputData!$B$164),InputData!$D$165+InputData!$C$166*(JW21-InputData!$B$165)))))</f>
        <v>0</v>
      </c>
      <c r="KE21" s="43">
        <f t="shared" si="110"/>
        <v>0.27810620080787818</v>
      </c>
      <c r="KF21" s="43">
        <f t="shared" si="111"/>
        <v>0.27810620080787818</v>
      </c>
      <c r="KG21" s="5">
        <f t="shared" si="112"/>
        <v>108208.33576497892</v>
      </c>
      <c r="KH21" s="32">
        <f>KG21/((1+InputData!$C$7)^(IntMed!$B21-IntMed!$B$7))</f>
        <v>71538.457512227295</v>
      </c>
      <c r="KI21" s="5">
        <f t="shared" si="143"/>
        <v>773693.69135329383</v>
      </c>
      <c r="KK21" s="149">
        <v>4</v>
      </c>
      <c r="KL21" s="145" t="s">
        <v>372</v>
      </c>
      <c r="KM21">
        <v>36</v>
      </c>
      <c r="KN21" s="41" t="s">
        <v>367</v>
      </c>
      <c r="KO21" s="5">
        <f>InputData!$C132*(1+InputData!$C$5)^(IntMed!$B21-IntMed!$B$7)</f>
        <v>228709.10794125081</v>
      </c>
      <c r="KP21" s="5">
        <v>0</v>
      </c>
      <c r="KQ21" s="5">
        <f t="shared" si="169"/>
        <v>228709.10794125081</v>
      </c>
      <c r="KR21" s="32">
        <f>KR20*(1+InputData!$C$8)</f>
        <v>15160.810987592406</v>
      </c>
      <c r="KS21" s="5">
        <f>KO21*(1/(1+InputData!$C$3))^(IntMed!$B21-IntMed!$B$7)</f>
        <v>173332.92080454112</v>
      </c>
      <c r="KT21" s="5">
        <f>KP21*(1/(1+InputData!$C$3))^(IntMed!$B21-IntMed!$B$7)</f>
        <v>0</v>
      </c>
      <c r="KU21" s="32" t="s">
        <v>141</v>
      </c>
      <c r="KV21" s="32">
        <v>0</v>
      </c>
      <c r="KW21" s="133">
        <f t="shared" si="165"/>
        <v>193456.97853036076</v>
      </c>
      <c r="KX21" s="5">
        <f>KW21*InputData!$C$6</f>
        <v>12013.678366735405</v>
      </c>
      <c r="KY21" s="133">
        <f t="shared" si="166"/>
        <v>0</v>
      </c>
      <c r="KZ21" s="118">
        <f t="shared" si="155"/>
        <v>20596.789145986222</v>
      </c>
      <c r="LA21" s="32">
        <f t="shared" si="167"/>
        <v>184873.86775110994</v>
      </c>
      <c r="LB21" s="32">
        <f>KZ21/((1+InputData!$C$3)^(IntMed!$B21-IntMed!$B$7))</f>
        <v>15609.792080454121</v>
      </c>
      <c r="LC21" s="32">
        <f>IF(KS21-InputData!$C$158-InputData!$C$159&gt;=0,KS21-InputData!$C$158-InputData!$C$159,0)</f>
        <v>173332.92080454112</v>
      </c>
      <c r="LD21" s="32">
        <f>IF(KS21-IF(KS21&lt;=InputData!$C$146,InputData!$C$145,0)-MAX(InputData!$C$144,LJ21)&gt;=0,KS21-IF(KS21&lt;=InputData!$C$146,InputData!$C$145,0)-MAX(InputData!$C$144,LJ21),0)</f>
        <v>167232.92080454112</v>
      </c>
      <c r="LE21" s="32">
        <f>IF(LD21&lt;0,"Error",IF(LD21&lt;=InputData!$B$170,InputData!$C$170*LD21,IF(LD21&lt;=InputData!$B$171,InputData!$D$170+InputData!$C$171*(LD21-InputData!$B$170),IF(LD21&lt;=InputData!$B$172,InputData!$D$171+InputData!$C$172*(LD21-InputData!$B$171),IF(LD21&lt;=InputData!$B$173,InputData!$D$172+InputData!$C$173*(LD21-InputData!$B$172),IF(LD21&lt;=InputData!$B$174,InputData!$D$173+InputData!$C$174*(LD21-InputData!$B$173),IF(LD21&lt;=InputData!$B$175,InputData!$D$174+InputData!$C$175*(LD21-InputData!$B$174),InputData!$D$175+InputData!$C$176*(LD21-InputData!$B$175))))))))</f>
        <v>40118.467825271517</v>
      </c>
      <c r="LF21" s="32">
        <f>IF(KS21&lt;=InputData!$C$150,InputData!$C$152,IF(KS21&lt;InputData!$C$151,IF(InputData!$C$152-0.25*IF(KS21-InputData!$C$150&lt;=0,0,KS21-InputData!$C$150)&lt;=0,0,InputData!$C$152-0.25*IF(KS21-InputData!$C$150&lt;=0,0,KS21-InputData!$C$150)),0))</f>
        <v>37416.76979886472</v>
      </c>
      <c r="LG21" s="32">
        <f>IF(KS21-LF21&lt;=0,0,IF(KS21-LF21&lt;=InputData!$C$153,InputData!$C$154*(KS21-LF21),InputData!$C$155*(KS21-LF21)-InputData!$D$154))</f>
        <v>35338.199261475864</v>
      </c>
      <c r="LH21" s="32">
        <f t="shared" si="118"/>
        <v>40118.467825271517</v>
      </c>
      <c r="LI21" s="32">
        <f>IF(KS21&gt;=0,IF(KS21&lt;=InputData!$C$148,InputData!$C$147*KS21,InputData!$C$147*InputData!$C$148)+InputData!$C$149*KS21,0)</f>
        <v>9562.7273516658461</v>
      </c>
      <c r="LJ21" s="32">
        <f>IF(LC21&lt;0,0,IF(LC21&lt;=InputData!$B$163,InputData!$C$163*LC21,IF(LC21&lt;=InputData!$B$164,InputData!$D$163+InputData!$C$164*(LC21-InputData!$B$163),IF(LC21&lt;=InputData!$B$165,InputData!$D$164+InputData!$C$165*(LC21-InputData!$B$164),InputData!$D$165+InputData!$C$166*(LC21-InputData!$B$165)))))</f>
        <v>0</v>
      </c>
      <c r="LK21" s="43">
        <f t="shared" si="156"/>
        <v>0.28662296202208676</v>
      </c>
      <c r="LL21" s="32">
        <f t="shared" si="119"/>
        <v>123651.72562760377</v>
      </c>
      <c r="LM21" s="5">
        <f t="shared" si="120"/>
        <v>108041.93354714965</v>
      </c>
      <c r="LN21" s="32">
        <f>LM21/((1+InputData!$C$7)^(IntMed!$B21-IntMed!$B$7))</f>
        <v>71428.446043092641</v>
      </c>
      <c r="LO21" s="5">
        <f t="shared" si="145"/>
        <v>536665.9741005844</v>
      </c>
      <c r="LQ21" s="157" t="str">
        <f t="shared" si="37"/>
        <v>Private Practice</v>
      </c>
      <c r="LR21" s="32">
        <f t="shared" si="121"/>
        <v>252173.81907804916</v>
      </c>
      <c r="LS21" s="32">
        <v>0</v>
      </c>
      <c r="LT21" s="32">
        <f t="shared" si="123"/>
        <v>252173.81907804916</v>
      </c>
      <c r="LU21" s="32">
        <f>LU20*(1+InputData!$C$8)</f>
        <v>15160.810987592406</v>
      </c>
      <c r="LV21" s="32">
        <f>LR21/((1+InputData!$C$3)^(IntMed!$B21-IntMed!$B$7))</f>
        <v>191116.23933429937</v>
      </c>
      <c r="LW21" s="32">
        <f>LS21/((1+InputData!$C$3)^(IntMed!$B21-IntMed!$B$7))</f>
        <v>0</v>
      </c>
      <c r="LX21" s="32" t="s">
        <v>141</v>
      </c>
      <c r="LY21" s="32">
        <v>0</v>
      </c>
      <c r="LZ21" s="32">
        <f t="shared" si="189"/>
        <v>0</v>
      </c>
      <c r="MA21" s="32">
        <f>(LZ21)*InputData!$C$6</f>
        <v>0</v>
      </c>
      <c r="MB21" s="32">
        <f>MIN($BE$14*InputData!$C$6/(1-(1+InputData!$C$6)^(-10)), LZ21+MA21)</f>
        <v>0</v>
      </c>
      <c r="MC21" s="32">
        <f t="shared" si="168"/>
        <v>0</v>
      </c>
      <c r="MD21" s="32">
        <f>MB21/((1+InputData!$C$3)^(IntMed!$B21-IntMed!$B$7))</f>
        <v>0</v>
      </c>
      <c r="ME21" s="32">
        <f>IF(LV21-InputData!$C$158-InputData!$C$159&gt;=0,LV21-InputData!$C$158-InputData!$C$159,0)</f>
        <v>191116.23933429937</v>
      </c>
      <c r="MF21" s="32">
        <f>IF(LV21-IF(LV21&lt;=InputData!$C$146,InputData!$C$145,0)-MAX(InputData!$C$144,ML21)&gt;=0,LV21-IF(LV21&lt;=InputData!$C$146,InputData!$C$145,0)-MAX(InputData!$C$144,ML21),0)</f>
        <v>185016.23933429937</v>
      </c>
      <c r="MG21" s="32">
        <f>IF(MF21&lt;0,"Error",IF(MF21&lt;=InputData!$B$170,InputData!$C$170*MF21,IF(MF21&lt;=InputData!$B$171,InputData!$D$170+InputData!$C$171*(MF21-InputData!$B$170),IF(MF21&lt;=InputData!$B$172,InputData!$D$171+InputData!$C$172*(MF21-InputData!$B$171),IF(MF21&lt;=InputData!$B$173,InputData!$D$172+InputData!$C$173*(MF21-InputData!$B$172),IF(MF21&lt;=InputData!$B$174,InputData!$D$173+InputData!$C$174*(MF21-InputData!$B$173),IF(MF21&lt;=InputData!$B$175,InputData!$D$174+InputData!$C$175*(MF21-InputData!$B$174),InputData!$D$175+InputData!$C$176*(MF21-InputData!$B$175))))))))</f>
        <v>45186.108980318793</v>
      </c>
      <c r="MH21" s="32">
        <f>IF(LV21&lt;=InputData!$C$150,InputData!$C$152,IF(LV21&lt;InputData!$C$151,IF(InputData!$C$152-0.25*IF(LV21-InputData!$C$150&lt;=0,0,LV21-InputData!$C$150)&lt;=0,0,InputData!$C$152-0.25*IF(LV21-InputData!$C$150&lt;=0,0,LV21-InputData!$C$150)),0))</f>
        <v>32970.940166425156</v>
      </c>
      <c r="MI21" s="32">
        <f>IF(LV21-MH21&lt;=0,0,IF(LV21-MH21&lt;=InputData!$C$153,InputData!$C$154*(LV21-MH21),InputData!$C$155*(LV21-MH21)-InputData!$D$154))</f>
        <v>41117.777783647296</v>
      </c>
      <c r="MJ21" s="32">
        <f t="shared" si="124"/>
        <v>45186.108980318793</v>
      </c>
      <c r="MK21" s="32">
        <f>IF(LV21&gt;=0,IF(LV21&lt;=InputData!$C$148,InputData!$C$147*LV21,InputData!$C$147*InputData!$C$148)+InputData!$C$149*LV21,0)</f>
        <v>9820.5854703473415</v>
      </c>
      <c r="ML21" s="32">
        <f>IF(ME21&lt;0,0,IF(ME21&lt;=InputData!$B$163,InputData!$C$163*ME21,IF(ME21&lt;=InputData!$B$164,InputData!$D$163+InputData!$C$164*(ME21-InputData!$B$163),IF(ME21&lt;=InputData!$B$165,InputData!$D$164+InputData!$C$165*(ME21-InputData!$B$164),InputData!$D$165+InputData!$C$166*(ME21-InputData!$B$165)))))</f>
        <v>0</v>
      </c>
      <c r="MM21" s="43">
        <f t="shared" si="38"/>
        <v>0.28781800354730064</v>
      </c>
      <c r="MN21" s="32">
        <f t="shared" si="125"/>
        <v>136109.54488363324</v>
      </c>
      <c r="MO21" s="32">
        <f t="shared" si="126"/>
        <v>136109.54488363324</v>
      </c>
      <c r="MP21" s="32">
        <f>MO21/((1+InputData!$C$7)^(IntMed!$B21-IntMed!$B$7))</f>
        <v>89984.443664438484</v>
      </c>
      <c r="MQ21" s="5">
        <f t="shared" si="147"/>
        <v>881018.40137929213</v>
      </c>
    </row>
    <row r="22" spans="1:355" x14ac:dyDescent="0.25">
      <c r="A22" s="53">
        <v>2028</v>
      </c>
      <c r="B22" s="51">
        <v>16</v>
      </c>
      <c r="C22" s="4"/>
      <c r="D22" s="3">
        <v>12</v>
      </c>
      <c r="E22" s="4" t="s">
        <v>22</v>
      </c>
      <c r="F22" s="5">
        <f>InputData!$I$23*12</f>
        <v>78332.399999999994</v>
      </c>
      <c r="G22" s="5">
        <f>(InputData!$I$23+InputData!$G$45+InputData!$D$50)*12+InputData!$J$50+InputData!$D$57+InputData!$J$57</f>
        <v>162832.24</v>
      </c>
      <c r="H22" s="5">
        <f>(InputData!$C$34+InputData!$C$40)*12</f>
        <v>20659.199999999997</v>
      </c>
      <c r="I22" s="5">
        <f t="shared" si="39"/>
        <v>183491.44</v>
      </c>
      <c r="J22" s="5">
        <f>G22*((1+InputData!$C$5)/(1+InputData!$C$3))^(IntMed!$B22-IntMed!$B$7)</f>
        <v>140461.86405481008</v>
      </c>
      <c r="K22" s="5">
        <f>H22*((1+InputData!$C$5)/(1+InputData!$C$3))^(IntMed!$B22-IntMed!$B$7)</f>
        <v>17820.977847391474</v>
      </c>
      <c r="L22" s="32">
        <f>IF(J22-InputData!$C$158-InputData!$C$159&gt;=0,J22-InputData!$C$158-InputData!$C$159,0)</f>
        <v>140461.86405481008</v>
      </c>
      <c r="M22" s="32">
        <f>IF(J22-IF(J22&lt;=InputData!$C$146,InputData!$C$145,0)-MAX(InputData!$C$144,S22)&gt;=0,J22-IF(J22&lt;=InputData!$C$146,InputData!$C$145,0)-MAX(InputData!$C$144,S22),0)</f>
        <v>130461.86405481008</v>
      </c>
      <c r="N22" s="32">
        <f>IF(M22&lt;0,"Error",IF(M22&lt;=InputData!$B$170,InputData!$C$170*M22,IF(M22&lt;=InputData!$B$171,InputData!$D$170+InputData!$C$171*(M22-InputData!$B$170),IF(M22&lt;=InputData!$B$172,InputData!$D$171+InputData!$C$172*(M22-InputData!$B$171),IF(M22&lt;=InputData!$B$173,InputData!$D$172+InputData!$C$173*(M22-InputData!$B$172),IF(M22&lt;=InputData!$B$174,InputData!$D$173+InputData!$C$174*(M22-InputData!$B$173),IF(M22&lt;=InputData!$B$175,InputData!$D$174+InputData!$C$175*(M22-InputData!$B$174),InputData!$D$175+InputData!$C$176*(M22-InputData!$B$175))))))))</f>
        <v>29822.571935346823</v>
      </c>
      <c r="O22" s="32">
        <f>IF(J22&lt;=InputData!$C$150,InputData!$C$152,IF(J22&lt;InputData!$C$151,IF(InputData!$C$152-0.25*IF(J22-InputData!$C$150&lt;=0,0,J22-InputData!$C$150)&lt;=0,0,InputData!$C$152-0.25*IF(J22-InputData!$C$150&lt;=0,0,J22-InputData!$C$150)),0))</f>
        <v>45634.53398629748</v>
      </c>
      <c r="P22" s="32">
        <f>IF(J22-O22&lt;=0,0,IF(J22-O22&lt;=InputData!$C$153,InputData!$C$154*(J22-O22),InputData!$C$155*(J22-O22)-InputData!$D$154))</f>
        <v>24655.105817813277</v>
      </c>
      <c r="Q22" s="32">
        <f t="shared" si="40"/>
        <v>29822.571935346823</v>
      </c>
      <c r="R22" s="32">
        <f>IF(J22&gt;=0,IF(J22&lt;=InputData!$C$148,InputData!$C$147*J22,InputData!$C$147*InputData!$C$148)+InputData!$C$149*J22,0)</f>
        <v>9086.0970287947457</v>
      </c>
      <c r="S22" s="32">
        <f>IF(L22&lt;0,0,IF(L22&lt;=InputData!$B$163,InputData!$C$163*L22,IF(L22&lt;=InputData!$B$164,InputData!$D$163+InputData!$C$164*(L22-InputData!$B$163),IF(L22&lt;=InputData!$B$165,InputData!$D$164+InputData!$C$165*(L22-InputData!$B$164),InputData!$D$165+InputData!$C$166*(L22-InputData!$B$165)))))</f>
        <v>0</v>
      </c>
      <c r="T22" s="43">
        <f t="shared" si="41"/>
        <v>0.27700521579977677</v>
      </c>
      <c r="U22" s="43">
        <f t="shared" si="42"/>
        <v>0.24581735137269095</v>
      </c>
      <c r="V22" s="5">
        <f t="shared" si="43"/>
        <v>119374.17293806</v>
      </c>
      <c r="W22" s="32">
        <f>V22/((1+InputData!$C$7)^(IntMed!$B22-IntMed!$B$7))</f>
        <v>76621.739110895753</v>
      </c>
      <c r="X22" s="5">
        <f t="shared" si="127"/>
        <v>943313.86216143309</v>
      </c>
      <c r="Y22" s="53"/>
      <c r="Z22" s="3">
        <v>12</v>
      </c>
      <c r="AA22" s="97" t="s">
        <v>262</v>
      </c>
      <c r="AB22" s="5">
        <f t="shared" si="192"/>
        <v>78332.399999999994</v>
      </c>
      <c r="AC22" s="5">
        <f t="shared" si="201"/>
        <v>162832.24</v>
      </c>
      <c r="AD22" s="5">
        <f t="shared" si="193"/>
        <v>20659.199999999997</v>
      </c>
      <c r="AE22" s="5">
        <f t="shared" ref="AE22:AE26" si="202">AC22+AD22</f>
        <v>183491.44</v>
      </c>
      <c r="AF22" s="5">
        <f>AC22*((1+InputData!$C$5)/(1+InputData!$C$3))^(IntMed!$B22-IntMed!$B$7)</f>
        <v>140461.86405481008</v>
      </c>
      <c r="AG22" s="5">
        <f>AD22*((1+InputData!$C$5)/(1+InputData!$C$3))^(IntMed!$B22-IntMed!$B$7)</f>
        <v>17820.977847391474</v>
      </c>
      <c r="AH22" s="32">
        <f>IF(AF22-InputData!$C$158-InputData!$C$159&gt;=0,AF22-InputData!$C$158-InputData!$C$159,0)</f>
        <v>140461.86405481008</v>
      </c>
      <c r="AI22" s="32">
        <f>IF(AF22-IF(AF22&lt;=InputData!$C$146,InputData!$C$145,0)-MAX(InputData!$C$144,AO22)&gt;=0,AF22-IF(AF22&lt;=InputData!$C$146,InputData!$C$145,0)-MAX(InputData!$C$144,AO22),0)</f>
        <v>130461.86405481008</v>
      </c>
      <c r="AJ22" s="32">
        <f>IF(AI22&lt;0,"Error",IF(AI22&lt;=InputData!$B$170,InputData!$C$170*AI22,IF(AI22&lt;=InputData!$B$171,InputData!$D$170+InputData!$C$171*(AI22-InputData!$B$170),IF(AI22&lt;=InputData!$B$172,InputData!$D$171+InputData!$C$172*(AI22-InputData!$B$171),IF(AI22&lt;=InputData!$B$173,InputData!$D$172+InputData!$C$173*(AI22-InputData!$B$172),IF(AI22&lt;=InputData!$B$174,InputData!$D$173+InputData!$C$174*(AI22-InputData!$B$173),IF(AI22&lt;=InputData!$B$175,InputData!$D$174+InputData!$C$175*(AI22-InputData!$B$174),InputData!$D$175+InputData!$C$176*(AI22-InputData!$B$175))))))))</f>
        <v>29822.571935346823</v>
      </c>
      <c r="AK22" s="32">
        <f>IF(AF22&lt;=InputData!$C$150,InputData!$C$152,IF(AF22&lt;InputData!$C$151,IF(InputData!$C$152-0.25*IF(AF22-InputData!$C$150&lt;=0,0,AF22-InputData!$C$150)&lt;=0,0,InputData!$C$152-0.25*IF(AF22-InputData!$C$150&lt;=0,0,AF22-InputData!$C$150)),0))</f>
        <v>45634.53398629748</v>
      </c>
      <c r="AL22" s="32">
        <f>IF(AF22-AK22&lt;=0,0,IF(AF22-AK22&lt;=InputData!$C$153,InputData!$C$154*(AF22-AK22),InputData!$C$155*(AF22-AK22)-InputData!$D$154))</f>
        <v>24655.105817813277</v>
      </c>
      <c r="AM22" s="32">
        <f t="shared" si="45"/>
        <v>29822.571935346823</v>
      </c>
      <c r="AN22" s="32">
        <f>IF(AF22&gt;=0,IF(AF22&lt;=InputData!$C$148,InputData!$C$147*AF22,InputData!$C$147*InputData!$C$148)+InputData!$C$149*AF22,0)</f>
        <v>9086.0970287947457</v>
      </c>
      <c r="AO22" s="32">
        <f>IF(AH22&lt;0,0,IF(AH22&lt;=InputData!$B$163,InputData!$C$163*AH22,IF(AH22&lt;=InputData!$B$164,InputData!$D$163+InputData!$C$164*(AH22-InputData!$B$163),IF(AH22&lt;=InputData!$B$165,InputData!$D$164+InputData!$C$165*(AH22-InputData!$B$164),InputData!$D$165+InputData!$C$166*(AH22-InputData!$B$165)))))</f>
        <v>0</v>
      </c>
      <c r="AP22" s="43">
        <f t="shared" si="46"/>
        <v>0.27700521579977677</v>
      </c>
      <c r="AQ22" s="43">
        <f t="shared" si="47"/>
        <v>0.24581735137269095</v>
      </c>
      <c r="AR22" s="5">
        <f t="shared" si="48"/>
        <v>119374.17293806</v>
      </c>
      <c r="AS22" s="32">
        <f>AR22/((1+InputData!$C$7)^(IntMed!$B22-IntMed!$B$7))</f>
        <v>76621.739110895753</v>
      </c>
      <c r="AT22" s="5">
        <f t="shared" si="128"/>
        <v>921162.04475360946</v>
      </c>
      <c r="AU22" s="53"/>
      <c r="AV22" s="41" t="s">
        <v>109</v>
      </c>
      <c r="AW22" s="32">
        <f>$AW$14*(1+InputData!$C$3+InputData!$C$4)^(IntMed!$B22-IntMed!$B$14)</f>
        <v>259739.0336503906</v>
      </c>
      <c r="AX22" s="32">
        <v>0</v>
      </c>
      <c r="AY22" s="32">
        <f t="shared" si="50"/>
        <v>259739.0336503906</v>
      </c>
      <c r="AZ22" s="32">
        <f>AZ21*(1+InputData!$C$8)</f>
        <v>15464.027207344254</v>
      </c>
      <c r="BA22" s="32">
        <f>AW22/((1+InputData!$C$3)^(IntMed!$B22-IntMed!$B$7))</f>
        <v>192989.92795522389</v>
      </c>
      <c r="BB22" s="32">
        <f>AX22/((1+InputData!$C$3)^(IntMed!$B22-IntMed!$B$7))</f>
        <v>0</v>
      </c>
      <c r="BC22" s="32" t="s">
        <v>141</v>
      </c>
      <c r="BD22" s="32">
        <v>0</v>
      </c>
      <c r="BE22" s="32">
        <f t="shared" si="174"/>
        <v>61555.845919323823</v>
      </c>
      <c r="BF22" s="32">
        <f>(BE22)*InputData!$C$6</f>
        <v>3822.6180315900097</v>
      </c>
      <c r="BG22" s="32">
        <f>MIN($BE$14*InputData!$C$6/(1-(1+InputData!$C$6)^(-10)), BE22+BF22)</f>
        <v>33673.665953283198</v>
      </c>
      <c r="BH22" s="32">
        <f t="shared" si="157"/>
        <v>31704.797997630638</v>
      </c>
      <c r="BI22" s="32">
        <f>BG22/((1+InputData!$C$3)^(IntMed!$B22-IntMed!$B$7))</f>
        <v>25020.029816002312</v>
      </c>
      <c r="BJ22" s="32">
        <f>IF(BA22-InputData!$C$158-InputData!$C$159&gt;=0,BA22-InputData!$C$158-InputData!$C$159,0)</f>
        <v>192989.92795522389</v>
      </c>
      <c r="BK22" s="32">
        <f>IF(BA22-IF(BA22&lt;=InputData!$C$146,InputData!$C$145,0)-MAX(InputData!$C$144,BQ22)&gt;=0,BA22-IF(BA22&lt;=InputData!$C$146,InputData!$C$145,0)-MAX(InputData!$C$144,BQ22),0)</f>
        <v>186889.92795522389</v>
      </c>
      <c r="BL22" s="32">
        <f>IF(BK22&lt;0,"Error",IF(BK22&lt;=InputData!$B$170,InputData!$C$170*BK22,IF(BK22&lt;=InputData!$B$171,InputData!$D$170+InputData!$C$171*(BK22-InputData!$B$170),IF(BK22&lt;=InputData!$B$172,InputData!$D$171+InputData!$C$172*(BK22-InputData!$B$171),IF(BK22&lt;=InputData!$B$173,InputData!$D$172+InputData!$C$173*(BK22-InputData!$B$172),IF(BK22&lt;=InputData!$B$174,InputData!$D$173+InputData!$C$174*(BK22-InputData!$B$173),IF(BK22&lt;=InputData!$B$175,InputData!$D$174+InputData!$C$175*(BK22-InputData!$B$174),InputData!$D$175+InputData!$C$176*(BK22-InputData!$B$175))))))))</f>
        <v>45804.426225223884</v>
      </c>
      <c r="BM22" s="32">
        <f>IF(BA22&lt;=InputData!$C$150,InputData!$C$152,IF(BA22&lt;InputData!$C$151,IF(InputData!$C$152-0.25*IF(BA22-InputData!$C$150&lt;=0,0,BA22-InputData!$C$150)&lt;=0,0,InputData!$C$152-0.25*IF(BA22-InputData!$C$150&lt;=0,0,BA22-InputData!$C$150)),0))</f>
        <v>32502.518011194028</v>
      </c>
      <c r="BN22" s="32">
        <f>IF(BA22-BM22&lt;=0,0,IF(BA22-BM22&lt;=InputData!$C$153,InputData!$C$154*(BA22-BM22),InputData!$C$155*(BA22-BM22)-InputData!$D$154))</f>
        <v>41726.726585447766</v>
      </c>
      <c r="BO22" s="32">
        <f t="shared" si="51"/>
        <v>45804.426225223884</v>
      </c>
      <c r="BP22" s="32">
        <f>IF(BA22&gt;=0,IF(BA22&lt;=InputData!$C$148,InputData!$C$147*BA22,InputData!$C$147*InputData!$C$148)+InputData!$C$149*BA22,0)</f>
        <v>9847.7539553507468</v>
      </c>
      <c r="BQ22" s="32">
        <f>IF(BJ22&lt;0,0,IF(BJ22&lt;=InputData!$B$163,InputData!$C$163*BJ22,IF(BJ22&lt;=InputData!$B$164,InputData!$D$163+InputData!$C$164*(BJ22-InputData!$B$163),IF(BJ22&lt;=InputData!$B$165,InputData!$D$164+InputData!$C$165*(BJ22-InputData!$B$164),InputData!$D$165+InputData!$C$166*(BJ22-InputData!$B$165)))))</f>
        <v>0</v>
      </c>
      <c r="BR22" s="43">
        <f t="shared" si="52"/>
        <v>0.2883683141924725</v>
      </c>
      <c r="BS22" s="32">
        <f t="shared" si="53"/>
        <v>137337.74777464927</v>
      </c>
      <c r="BT22" s="32">
        <f t="shared" si="54"/>
        <v>112317.71795864696</v>
      </c>
      <c r="BU22" s="32">
        <f>BT22/((1+InputData!$C$7)^(IntMed!$B22-IntMed!$B$7))</f>
        <v>72092.469176092432</v>
      </c>
      <c r="BV22" s="5">
        <f t="shared" si="130"/>
        <v>600784.66425864561</v>
      </c>
      <c r="BW22" s="5"/>
      <c r="BX22" s="32" t="s">
        <v>141</v>
      </c>
      <c r="BY22" s="5">
        <f t="shared" si="175"/>
        <v>202092.59901250314</v>
      </c>
      <c r="BZ22" s="32">
        <f>(BY22)*InputData!$C$6</f>
        <v>12549.950398676445</v>
      </c>
      <c r="CA22" s="32">
        <f>MIN($BY$14*InputData!$C$6/(1-(1+InputData!$C$6)^(-25)), BY22+BZ22)</f>
        <v>19581.069601718285</v>
      </c>
      <c r="CB22" s="32">
        <f t="shared" si="176"/>
        <v>195061.47980946131</v>
      </c>
      <c r="CC22" s="32">
        <f>CA22/((1+InputData!$C$3)^(IntMed!$B22-IntMed!$B$7))</f>
        <v>14549.023143007114</v>
      </c>
      <c r="CD22" s="5">
        <f t="shared" si="58"/>
        <v>122788.72463164215</v>
      </c>
      <c r="CE22" s="32">
        <f>CD22/((1+InputData!$C$7)^(IntMed!$B22-IntMed!$B$7))</f>
        <v>78813.409910425151</v>
      </c>
      <c r="CF22" s="5">
        <f t="shared" si="131"/>
        <v>675076.92513020895</v>
      </c>
      <c r="CG22" s="5"/>
      <c r="CH22" s="32" t="s">
        <v>141</v>
      </c>
      <c r="CI22" s="5">
        <f t="shared" si="177"/>
        <v>91922.248332985662</v>
      </c>
      <c r="CJ22" s="32">
        <f>(CI22)*InputData!$C$6</f>
        <v>5708.3716214784099</v>
      </c>
      <c r="CK22" s="32">
        <f t="shared" si="170"/>
        <v>33673.665953283198</v>
      </c>
      <c r="CL22" s="32">
        <f t="shared" si="178"/>
        <v>63956.954001180871</v>
      </c>
      <c r="CM22" s="32">
        <f>CK22/((1+InputData!$C$3)^(IntMed!$B22-IntMed!$B$7))</f>
        <v>25020.029816002312</v>
      </c>
      <c r="CN22" s="5">
        <f t="shared" si="62"/>
        <v>112317.71795864696</v>
      </c>
      <c r="CO22" s="32">
        <f>CN22/((1+InputData!$C$7)^(IntMed!$B22-IntMed!$B$7))</f>
        <v>72092.469176092432</v>
      </c>
      <c r="CP22" s="5">
        <f t="shared" si="132"/>
        <v>615144.08573546528</v>
      </c>
      <c r="CQ22" s="5"/>
      <c r="CR22" s="32" t="s">
        <v>141</v>
      </c>
      <c r="CS22" s="5">
        <f t="shared" si="179"/>
        <v>193241.51710650628</v>
      </c>
      <c r="CT22" s="32">
        <f>(CS22)*InputData!$C$6</f>
        <v>12000.298212314041</v>
      </c>
      <c r="CU22" s="32">
        <f t="shared" si="171"/>
        <v>23654.299283937424</v>
      </c>
      <c r="CV22" s="32">
        <f t="shared" si="180"/>
        <v>181587.51603488289</v>
      </c>
      <c r="CW22" s="32">
        <f>CU22/((1+InputData!$C$3)^(IntMed!$B22-IntMed!$B$7))</f>
        <v>17575.49279552239</v>
      </c>
      <c r="CX22" s="5">
        <f t="shared" si="66"/>
        <v>119762.25497912688</v>
      </c>
      <c r="CY22" s="32">
        <f>CX22/((1+InputData!$C$7)^(IntMed!$B22-IntMed!$B$7))</f>
        <v>76870.834205524632</v>
      </c>
      <c r="CZ22" s="5">
        <f t="shared" si="133"/>
        <v>668707.99457149941</v>
      </c>
      <c r="DA22" s="5"/>
      <c r="DB22" s="32" t="s">
        <v>141</v>
      </c>
      <c r="DC22" s="5">
        <f t="shared" si="158"/>
        <v>0</v>
      </c>
      <c r="DD22" s="5">
        <f>DC22*InputData!$C$6</f>
        <v>0</v>
      </c>
      <c r="DE22" s="32">
        <f t="shared" si="159"/>
        <v>0</v>
      </c>
      <c r="DF22" s="32">
        <f t="shared" si="160"/>
        <v>0</v>
      </c>
      <c r="DG22" s="32">
        <f>DE22/((1+InputData!$C$3)^(IntMed!$B22-IntMed!$B$7))</f>
        <v>0</v>
      </c>
      <c r="DH22" s="5">
        <f t="shared" si="70"/>
        <v>137337.74777464927</v>
      </c>
      <c r="DI22" s="32">
        <f>DH22/((1+InputData!$C$7)^(IntMed!$B22-IntMed!$B$7))</f>
        <v>88151.874237715601</v>
      </c>
      <c r="DJ22" s="5">
        <f t="shared" si="134"/>
        <v>589431.49917268381</v>
      </c>
      <c r="DK22" s="5"/>
      <c r="DL22" s="32" t="s">
        <v>141</v>
      </c>
      <c r="DM22" s="32">
        <f t="shared" si="181"/>
        <v>79749.864611489742</v>
      </c>
      <c r="DN22" s="5">
        <f>DM22*InputData!$C$6</f>
        <v>4952.4665923735129</v>
      </c>
      <c r="DO22" s="32">
        <f t="shared" si="182"/>
        <v>0</v>
      </c>
      <c r="DP22" s="32">
        <f t="shared" si="150"/>
        <v>29148.379963889372</v>
      </c>
      <c r="DQ22" s="32">
        <f t="shared" si="151"/>
        <v>55553.951239973889</v>
      </c>
      <c r="DR22" s="32">
        <f>DP22/((1+InputData!$C$3)^(IntMed!$B22-IntMed!$B$7))</f>
        <v>21657.675668472028</v>
      </c>
      <c r="DS22" s="5">
        <f t="shared" si="74"/>
        <v>115680.07210617723</v>
      </c>
      <c r="DT22" s="32">
        <f>DS22/((1+InputData!$C$7)^(IntMed!$B22-IntMed!$B$7))</f>
        <v>74250.636357063646</v>
      </c>
      <c r="DU22" s="5">
        <f t="shared" si="136"/>
        <v>612376.1974839773</v>
      </c>
      <c r="DV22" s="5"/>
      <c r="DW22" s="32" t="s">
        <v>141</v>
      </c>
      <c r="DX22" s="133">
        <f t="shared" si="161"/>
        <v>169872.75084486482</v>
      </c>
      <c r="DY22" s="5">
        <f>DX22*InputData!$C$6</f>
        <v>10549.097827466105</v>
      </c>
      <c r="DZ22" s="133">
        <f t="shared" si="162"/>
        <v>0</v>
      </c>
      <c r="EA22" s="32">
        <f t="shared" si="163"/>
        <v>23654.299283937424</v>
      </c>
      <c r="EB22" s="32">
        <f t="shared" si="164"/>
        <v>156767.5493883935</v>
      </c>
      <c r="EC22" s="32">
        <f>EA22/((1+InputData!$C$3)^(IntMed!$B22-IntMed!$B$7))</f>
        <v>17575.49279552239</v>
      </c>
      <c r="ED22" s="5">
        <f t="shared" si="78"/>
        <v>119762.25497912688</v>
      </c>
      <c r="EE22" s="32">
        <f>ED22/((1+InputData!$C$7)^(IntMed!$B22-IntMed!$B$7))</f>
        <v>76870.834205524632</v>
      </c>
      <c r="EF22" s="5">
        <f t="shared" si="138"/>
        <v>659664.95527360134</v>
      </c>
      <c r="EG22" s="32"/>
      <c r="EH22" s="130" t="s">
        <v>141</v>
      </c>
      <c r="EI22" s="32">
        <v>0</v>
      </c>
      <c r="EJ22" s="32">
        <f t="shared" si="190"/>
        <v>198328.59293155809</v>
      </c>
      <c r="EK22" s="32">
        <f>EJ22*InputData!$C$6</f>
        <v>12316.205621049758</v>
      </c>
      <c r="EL22" s="32">
        <f t="shared" si="191"/>
        <v>186990.49926867048</v>
      </c>
      <c r="EM22" s="32">
        <f>EM21*(1+InputData!$C$8)</f>
        <v>15464.027207344254</v>
      </c>
      <c r="EN22" s="32">
        <f t="shared" si="172"/>
        <v>23654.299283937424</v>
      </c>
      <c r="EO22" s="32">
        <f>AW22/((1+InputData!$C$3)^(IntMed!$B22-IntMed!$B$7))</f>
        <v>192989.92795522389</v>
      </c>
      <c r="EP22" s="32">
        <f>AX22/((1+InputData!$C$3)^(IntMed!$B22-IntMed!$B$7))</f>
        <v>0</v>
      </c>
      <c r="EQ22" s="32">
        <v>45532.36</v>
      </c>
      <c r="ER22" s="32">
        <v>8547.07</v>
      </c>
      <c r="ES22" s="32">
        <v>0</v>
      </c>
      <c r="ET22" s="42">
        <f t="shared" si="154"/>
        <v>0.28021892423602085</v>
      </c>
      <c r="EU22" s="32">
        <f t="shared" si="79"/>
        <v>138910.49795522389</v>
      </c>
      <c r="EV22" s="32">
        <f>EN22/((1+InputData!$C$3)^(IntMed!$B22-IntMed!$B$7))</f>
        <v>17575.49279552239</v>
      </c>
      <c r="EW22" s="32">
        <f t="shared" si="80"/>
        <v>121335.00515970151</v>
      </c>
      <c r="EX22" s="32">
        <f>EW22/((1+InputData!$C$7)^(IntMed!$B22-IntMed!$B$7))</f>
        <v>77880.322699196797</v>
      </c>
      <c r="EY22" s="5">
        <f t="shared" si="148"/>
        <v>680581.08064220753</v>
      </c>
      <c r="EZ22" s="79"/>
      <c r="FA22" s="32">
        <f t="shared" si="183"/>
        <v>62343.890218642904</v>
      </c>
      <c r="FB22" s="32">
        <f>FA22*InputData!$C$6</f>
        <v>3871.5555825777246</v>
      </c>
      <c r="FC22" s="32">
        <f t="shared" si="184"/>
        <v>32110.68609728961</v>
      </c>
      <c r="FD22" s="53">
        <f>MIN($EJ$14*InputData!$C$6/(1-(1+InputData!$C$6)^(-10)), FA22+FB22)</f>
        <v>34104.75970393102</v>
      </c>
      <c r="FE22" s="32">
        <f>FD22/((1+InputData!$C$3)^(IntMed!$B22-IntMed!$B$7))</f>
        <v>25340.338822739639</v>
      </c>
      <c r="FF22" s="5">
        <f t="shared" si="84"/>
        <v>113570.15913248426</v>
      </c>
      <c r="FG22" s="32">
        <f>FF22/((1+InputData!$C$7)^(IntMed!$B22-IntMed!$B$7))</f>
        <v>72896.363506931462</v>
      </c>
      <c r="FH22" s="5">
        <f t="shared" si="140"/>
        <v>610385.14359428117</v>
      </c>
      <c r="FI22" s="79"/>
      <c r="FJ22" s="32">
        <f t="shared" si="185"/>
        <v>204679.80934497277</v>
      </c>
      <c r="FK22" s="32">
        <f>FJ22*InputData!$C$6</f>
        <v>12710.61616032281</v>
      </c>
      <c r="FL22" s="32">
        <f t="shared" si="186"/>
        <v>197558.67702744863</v>
      </c>
      <c r="FM22" s="53">
        <f>MIN($EJ$14*InputData!$C$6/(1-(1+InputData!$C$6)^(-25)), FJ22+FK22)</f>
        <v>19831.748477846937</v>
      </c>
      <c r="FN22" s="32">
        <f>FM22/((1+InputData!$C$3)^(IntMed!$B22-IntMed!$B$7))</f>
        <v>14735.28124046767</v>
      </c>
      <c r="FO22" s="5">
        <f t="shared" si="88"/>
        <v>124175.21671475623</v>
      </c>
      <c r="FP22" s="32">
        <f>FO22/((1+InputData!$C$7)^(IntMed!$B22-IntMed!$B$7))</f>
        <v>79703.346418942878</v>
      </c>
      <c r="FQ22" s="5">
        <f t="shared" si="141"/>
        <v>685628.50166528998</v>
      </c>
      <c r="FR22" s="79"/>
      <c r="FS22" s="32">
        <f t="shared" si="187"/>
        <v>96578.230407389769</v>
      </c>
      <c r="FT22" s="32">
        <f>FS22*InputData!$C$6</f>
        <v>5997.5081082989045</v>
      </c>
      <c r="FU22" s="32">
        <f t="shared" si="188"/>
        <v>68470.978811757654</v>
      </c>
      <c r="FV22" s="5">
        <f t="shared" si="173"/>
        <v>34104.75970393102</v>
      </c>
      <c r="FW22" s="32">
        <f>FV22/((1+InputData!$C$3)^(IntMed!$B22-IntMed!$B$7))</f>
        <v>25340.338822739639</v>
      </c>
      <c r="FX22" s="5">
        <f t="shared" si="92"/>
        <v>113570.15913248426</v>
      </c>
      <c r="FY22" s="32">
        <f>FX22/((1+InputData!$C$7)^(IntMed!$B22-IntMed!$B$7))</f>
        <v>72896.363506931462</v>
      </c>
      <c r="FZ22" s="5">
        <f t="shared" si="142"/>
        <v>626595.58041586808</v>
      </c>
      <c r="GC22" s="3">
        <f t="shared" si="3"/>
        <v>12</v>
      </c>
      <c r="GD22" s="122" t="str">
        <f t="shared" si="4"/>
        <v>Multi-Year (O4&gt;10 = (BP+BAH+BAS+VSP+BCPSP)*12+ASP+ISP+MSP)</v>
      </c>
      <c r="GE22" s="4"/>
      <c r="GF22" s="4"/>
      <c r="GG22" s="4"/>
      <c r="GH22" s="4"/>
      <c r="GI22" s="5">
        <f t="shared" si="5"/>
        <v>162832.24</v>
      </c>
      <c r="GJ22" s="5">
        <f t="shared" si="6"/>
        <v>20659.199999999997</v>
      </c>
      <c r="GK22" s="5">
        <f t="shared" si="7"/>
        <v>183491.44</v>
      </c>
      <c r="GL22" s="5">
        <f t="shared" si="8"/>
        <v>140461.86405481008</v>
      </c>
      <c r="GM22" s="5">
        <f t="shared" si="9"/>
        <v>17820.977847391474</v>
      </c>
      <c r="GN22" s="32">
        <f>IF(GL22-InputData!$C$158-InputData!$C$159&gt;=0,GL22-InputData!$C$158-InputData!$C$159,0)</f>
        <v>140461.86405481008</v>
      </c>
      <c r="GO22" s="32">
        <f>IF(GL22-IF(GL22&lt;=InputData!$C$146,InputData!$C$145,0)-MAX(InputData!$C$144,GU22)&gt;=0,GL22-IF(GL22&lt;=InputData!$C$146,InputData!$C$145,0)-MAX(InputData!$C$144,GU22),0)</f>
        <v>130461.86405481008</v>
      </c>
      <c r="GP22" s="32">
        <f>IF(GO22&lt;0,"Error",IF(GO22&lt;=InputData!$B$170,InputData!$C$170*GO22,IF(GO22&lt;=InputData!$B$171,InputData!$D$170+InputData!$C$171*(GO22-InputData!$B$170),IF(GO22&lt;=InputData!$B$172,InputData!$D$171+InputData!$C$172*(GO22-InputData!$B$171),IF(GO22&lt;=InputData!$B$173,InputData!$D$172+InputData!$C$173*(GO22-InputData!$B$172),IF(GO22&lt;=InputData!$B$174,InputData!$D$173+InputData!$C$174*(GO22-InputData!$B$173),IF(GO22&lt;=InputData!$B$175,InputData!$D$174+InputData!$C$175*(GO22-InputData!$B$174),InputData!$D$175+InputData!$C$176*(GO22-InputData!$B$175))))))))</f>
        <v>29822.571935346823</v>
      </c>
      <c r="GQ22" s="32">
        <f>IF(GL22&lt;=InputData!$C$150,InputData!$C$152,IF(GL22&lt;InputData!$C$151,IF(InputData!$C$152-0.25*IF(GL22-InputData!$C$150&lt;=0,0,GL22-InputData!$C$150)&lt;=0,0,InputData!$C$152-0.25*IF(GL22-InputData!$C$150&lt;=0,0,GL22-InputData!$C$150)),0))</f>
        <v>45634.53398629748</v>
      </c>
      <c r="GR22" s="32">
        <f>IF(GL22-GQ22&lt;=0,0,IF(GL22-GQ22&lt;=InputData!$C$153,InputData!$C$154*(GL22-GQ22),InputData!$C$155*(GL22-GQ22)-InputData!$D$154))</f>
        <v>24655.105817813277</v>
      </c>
      <c r="GS22" s="32">
        <f t="shared" si="93"/>
        <v>29822.571935346823</v>
      </c>
      <c r="GT22" s="32">
        <f>IF(GL22&gt;=0,IF(GL22&lt;=InputData!$C$148,InputData!$C$147*GL22,InputData!$C$147*InputData!$C$148)+InputData!$C$149*GL22,0)</f>
        <v>9086.0970287947457</v>
      </c>
      <c r="GU22" s="32">
        <f>IF(GN22&lt;0,0,IF(GN22&lt;=InputData!$B$163,InputData!$C$163*GN22,IF(GN22&lt;=InputData!$B$164,InputData!$D$163+InputData!$C$164*(GN22-InputData!$B$163),IF(GN22&lt;=InputData!$B$165,InputData!$D$164+InputData!$C$165*(GN22-InputData!$B$164),InputData!$D$165+InputData!$C$166*(GN22-InputData!$B$165)))))</f>
        <v>0</v>
      </c>
      <c r="GV22" s="43">
        <f t="shared" si="10"/>
        <v>0.27700521579977677</v>
      </c>
      <c r="GW22" s="43">
        <f t="shared" si="11"/>
        <v>0.24581735137269095</v>
      </c>
      <c r="GX22" s="5">
        <f t="shared" si="12"/>
        <v>119374.17293806</v>
      </c>
      <c r="GY22" s="32">
        <f>GX22/((1+InputData!$C$7)^(IntMed!$B22-IntMed!$B$7))</f>
        <v>76621.739110895753</v>
      </c>
      <c r="GZ22" s="32">
        <f t="shared" si="94"/>
        <v>943313.86216143309</v>
      </c>
      <c r="HB22" s="3">
        <f t="shared" si="13"/>
        <v>12</v>
      </c>
      <c r="HC22" s="4" t="str">
        <f t="shared" si="195"/>
        <v>Multi-Year (O4&gt;10 = (BP+BAH+BAS+VSP+BCPSP)*12+ASP+ISP+MSP)</v>
      </c>
      <c r="HD22" s="4"/>
      <c r="HE22" s="4"/>
      <c r="HF22" s="4"/>
      <c r="HG22" s="4"/>
      <c r="HH22" s="5">
        <f t="shared" si="196"/>
        <v>162832.24</v>
      </c>
      <c r="HI22" s="5">
        <f t="shared" si="197"/>
        <v>20659.199999999997</v>
      </c>
      <c r="HJ22" s="5">
        <f t="shared" si="198"/>
        <v>183491.44</v>
      </c>
      <c r="HK22" s="5">
        <f t="shared" si="199"/>
        <v>140461.86405481008</v>
      </c>
      <c r="HL22" s="5">
        <f t="shared" si="200"/>
        <v>17820.977847391474</v>
      </c>
      <c r="HM22" s="32">
        <f>IF(HK22-InputData!$C$158-InputData!$C$159&gt;=0,HK22-InputData!$C$158-InputData!$C$159,0)</f>
        <v>140461.86405481008</v>
      </c>
      <c r="HN22" s="32">
        <f>IF(HK22-IF(HK22&lt;=InputData!$C$146,InputData!$C$145,0)-MAX(InputData!$C$144,HT22)&gt;=0,HK22-IF(HK22&lt;=InputData!$C$146,InputData!$C$145,0)-MAX(InputData!$C$144,HT22),0)</f>
        <v>130461.86405481008</v>
      </c>
      <c r="HO22" s="32">
        <f>IF(HN22&lt;0,"Error",IF(HN22&lt;=InputData!$B$170,InputData!$C$170*HN22,IF(HN22&lt;=InputData!$B$171,InputData!$D$170+InputData!$C$171*(HN22-InputData!$B$170),IF(HN22&lt;=InputData!$B$172,InputData!$D$171+InputData!$C$172*(HN22-InputData!$B$171),IF(HN22&lt;=InputData!$B$173,InputData!$D$172+InputData!$C$173*(HN22-InputData!$B$172),IF(HN22&lt;=InputData!$B$174,InputData!$D$173+InputData!$C$174*(HN22-InputData!$B$173),IF(HN22&lt;=InputData!$B$175,InputData!$D$174+InputData!$C$175*(HN22-InputData!$B$174),InputData!$D$175+InputData!$C$176*(HN22-InputData!$B$175))))))))</f>
        <v>29822.571935346823</v>
      </c>
      <c r="HP22" s="32">
        <f>IF(HK22&lt;=InputData!$C$150,InputData!$C$152,IF(HK22&lt;InputData!$C$151,IF(InputData!$C$152-0.25*IF(HK22-InputData!$C$150&lt;=0,0,HK22-InputData!$C$150)&lt;=0,0,InputData!$C$152-0.25*IF(HK22-InputData!$C$150&lt;=0,0,HK22-InputData!$C$150)),0))</f>
        <v>45634.53398629748</v>
      </c>
      <c r="HQ22" s="32">
        <f>IF(HK22-HP22&lt;=0,0,IF(HK22-HP22&lt;=InputData!$C$153,InputData!$C$154*(HK22-HP22),InputData!$C$155*(HK22-HP22)-InputData!$D$154))</f>
        <v>24655.105817813277</v>
      </c>
      <c r="HR22" s="32">
        <f t="shared" si="95"/>
        <v>29822.571935346823</v>
      </c>
      <c r="HS22" s="32">
        <f>IF(HK22&gt;=0,IF(HK22&lt;=InputData!$C$148,InputData!$C$147*HK22,InputData!$C$147*InputData!$C$148)+InputData!$C$149*HK22,0)</f>
        <v>9086.0970287947457</v>
      </c>
      <c r="HT22" s="32">
        <f>IF(HM22&lt;0,0,IF(HM22&lt;=InputData!$B$163,InputData!$C$163*HM22,IF(HM22&lt;=InputData!$B$164,InputData!$D$163+InputData!$C$164*(HM22-InputData!$B$163),IF(HM22&lt;=InputData!$B$165,InputData!$D$164+InputData!$C$165*(HM22-InputData!$B$164),InputData!$D$165+InputData!$C$166*(HM22-InputData!$B$165)))))</f>
        <v>0</v>
      </c>
      <c r="HU22" s="43">
        <f t="shared" si="96"/>
        <v>0.27700521579977677</v>
      </c>
      <c r="HV22" s="43">
        <f t="shared" si="97"/>
        <v>0.24581735137269095</v>
      </c>
      <c r="HW22" s="5">
        <f t="shared" si="98"/>
        <v>119374.17293806</v>
      </c>
      <c r="HX22" s="32">
        <f>HW22/((1+InputData!$C$7)^(IntMed!$B22-IntMed!$B$7))</f>
        <v>76621.739110895753</v>
      </c>
      <c r="HY22" s="32">
        <f t="shared" si="99"/>
        <v>921162.04475360946</v>
      </c>
      <c r="IA22" s="41"/>
      <c r="IB22" s="4" t="s">
        <v>109</v>
      </c>
      <c r="IC22" s="32">
        <f>MIN(InputData!$C$13+InputData!$E$13*($B22-$B$21),1)*IntMed!AW22</f>
        <v>233765.13028535154</v>
      </c>
      <c r="ID22" s="32">
        <f>MIN(InputData!$C$13+InputData!$E$13*($B22-$B$21),1)*IntMed!AX22</f>
        <v>0</v>
      </c>
      <c r="IE22" s="32">
        <f>MIN(InputData!$C$13+InputData!$E$13*($B22-$B$21),1)*IntMed!AY22</f>
        <v>233765.13028535154</v>
      </c>
      <c r="IF22" s="32">
        <f>MIN(InputData!$C$13+InputData!$E$13*($B22-$B$21),1)*IntMed!EO22</f>
        <v>173690.9351597015</v>
      </c>
      <c r="IG22" s="32">
        <f>MIN(InputData!$C$13+InputData!$E$13*($B22-$B$21),1)*IntMed!EP22</f>
        <v>0</v>
      </c>
      <c r="IH22" s="32">
        <f>IF(IF22-InputData!$C$158-InputData!$C$159&gt;=0,IF22-InputData!$C$158-InputData!$C$159,0)</f>
        <v>173690.9351597015</v>
      </c>
      <c r="II22" s="32">
        <f>IF(IF22-IF(IF22&lt;=InputData!$C$146,InputData!$C$145,0)-MAX(InputData!$C$144,IO22)&gt;=0,IF22-IF(IF22&lt;=InputData!$C$146,InputData!$C$145,0)-MAX(InputData!$C$144,IO22),0)</f>
        <v>167590.9351597015</v>
      </c>
      <c r="IJ22" s="32">
        <f>IF(II22&lt;0,"Error",IF(II22&lt;=InputData!$B$170,InputData!$C$170*II22,IF(II22&lt;=InputData!$B$171,InputData!$D$170+InputData!$C$171*(II22-InputData!$B$170),IF(II22&lt;=InputData!$B$172,InputData!$D$171+InputData!$C$172*(II22-InputData!$B$171),IF(II22&lt;=InputData!$B$173,InputData!$D$172+InputData!$C$173*(II22-InputData!$B$172),IF(II22&lt;=InputData!$B$174,InputData!$D$173+InputData!$C$174*(II22-InputData!$B$173),IF(II22&lt;=InputData!$B$175,InputData!$D$174+InputData!$C$175*(II22-InputData!$B$174),InputData!$D$175+InputData!$C$176*(II22-InputData!$B$175))))))))</f>
        <v>40218.711844716425</v>
      </c>
      <c r="IK22" s="32">
        <f>IF(IF22&lt;=InputData!$C$150,InputData!$C$152,IF(IF22&lt;InputData!$C$151,IF(InputData!$C$152-0.25*IF(IF22-InputData!$C$150&lt;=0,0,IF22-InputData!$C$150)&lt;=0,0,InputData!$C$152-0.25*IF(IF22-InputData!$C$150&lt;=0,0,IF22-InputData!$C$150)),0))</f>
        <v>37327.266210074624</v>
      </c>
      <c r="IL22" s="32">
        <f>IF(IF22-IK22&lt;=0,0,IF(IF22-IK22&lt;=InputData!$C$153,InputData!$C$154*(IF22-IK22),InputData!$C$155*(IF22-IK22)-InputData!$D$154))</f>
        <v>35454.55392690299</v>
      </c>
      <c r="IM22" s="32">
        <f t="shared" si="100"/>
        <v>40218.711844716425</v>
      </c>
      <c r="IN22" s="32">
        <f>IF(IF22&gt;=0,IF(IF22&lt;=InputData!$C$148,InputData!$C$147*IF22,InputData!$C$147*InputData!$C$148)+InputData!$C$149*IF22,0)</f>
        <v>9567.918559815671</v>
      </c>
      <c r="IO22" s="32">
        <f>IF(IH22&lt;0,0,IF(IH22&lt;=InputData!$B$163,InputData!$C$163*IH22,IF(IH22&lt;=InputData!$B$164,InputData!$D$163+InputData!$C$164*(IH22-InputData!$B$163),IF(IH22&lt;=InputData!$B$165,InputData!$D$164+InputData!$C$165*(IH22-InputData!$B$164),InputData!$D$165+InputData!$C$166*(IH22-InputData!$B$165)))))</f>
        <v>0</v>
      </c>
      <c r="IP22" s="43">
        <f t="shared" si="101"/>
        <v>0.28663919829066142</v>
      </c>
      <c r="IQ22" s="43">
        <f t="shared" si="102"/>
        <v>0.28663919829066142</v>
      </c>
      <c r="IR22" s="5">
        <f t="shared" si="27"/>
        <v>123904.3047551694</v>
      </c>
      <c r="IS22" s="32">
        <f>IR22/((1+InputData!$C$7)^(IntMed!$B22-IntMed!$B$7))</f>
        <v>79529.458340989426</v>
      </c>
      <c r="IT22" s="5">
        <f t="shared" si="103"/>
        <v>947664.69639162696</v>
      </c>
      <c r="IV22" s="41"/>
      <c r="IW22" s="49" t="s">
        <v>109</v>
      </c>
      <c r="IX22" s="32">
        <f>MIN(InputData!$C$13+InputData!$E$13*($B22-$B$18),1)*IntMed!AW22</f>
        <v>233765.13028535154</v>
      </c>
      <c r="IY22" s="32">
        <f>MIN(InputData!$C$13+InputData!$E$13*($B22-$B$18),1)*IntMed!AX22</f>
        <v>0</v>
      </c>
      <c r="IZ22" s="32">
        <f>MIN(InputData!$C$13+InputData!$E$13*($B22-$B$18),1)*IntMed!AY22</f>
        <v>233765.13028535154</v>
      </c>
      <c r="JA22" s="32">
        <f>MIN(InputData!$C$13+InputData!$E$13*($B22-$B$18),1)*IntMed!EO22</f>
        <v>173690.9351597015</v>
      </c>
      <c r="JB22" s="32">
        <f>MIN(InputData!$C$13+InputData!$E$13*($B22-$B$18),1)*IntMed!EP22</f>
        <v>0</v>
      </c>
      <c r="JC22" s="32">
        <f>IF(JA22-InputData!$C$158-InputData!$C$159&gt;=0,JA22-InputData!$C$158-InputData!$C$159,0)</f>
        <v>173690.9351597015</v>
      </c>
      <c r="JD22" s="32">
        <f>IF(JA22-IF(JA22&lt;=InputData!$C$146,InputData!$C$145,0)-MAX(InputData!$C$144,JJ22)&gt;=0,JA22-IF(JA22&lt;=InputData!$C$146,InputData!$C$145,0)-MAX(InputData!$C$144,JJ22),0)</f>
        <v>167590.9351597015</v>
      </c>
      <c r="JE22" s="32">
        <f>IF(JD22&lt;0,"Error",IF(JD22&lt;=InputData!$B$170,InputData!$C$170*JD22,IF(JD22&lt;=InputData!$B$171,InputData!$D$170+InputData!$C$171*(JD22-InputData!$B$170),IF(JD22&lt;=InputData!$B$172,InputData!$D$171+InputData!$C$172*(JD22-InputData!$B$171),IF(JD22&lt;=InputData!$B$173,InputData!$D$172+InputData!$C$173*(JD22-InputData!$B$172),IF(JD22&lt;=InputData!$B$174,InputData!$D$173+InputData!$C$174*(JD22-InputData!$B$173),IF(JD22&lt;=InputData!$B$175,InputData!$D$174+InputData!$C$175*(JD22-InputData!$B$174),InputData!$D$175+InputData!$C$176*(JD22-InputData!$B$175))))))))</f>
        <v>40218.711844716425</v>
      </c>
      <c r="JF22" s="32">
        <f>IF(JA22&lt;=InputData!$C$150,InputData!$C$152,IF(JA22&lt;InputData!$C$151,IF(InputData!$C$152-0.25*IF(JA22-InputData!$C$150&lt;=0,0,JA22-InputData!$C$150)&lt;=0,0,InputData!$C$152-0.25*IF(JA22-InputData!$C$150&lt;=0,0,JA22-InputData!$C$150)),0))</f>
        <v>37327.266210074624</v>
      </c>
      <c r="JG22" s="32">
        <f>IF(JA22-JF22&lt;=0,0,IF(JA22-JF22&lt;=InputData!$C$153,InputData!$C$154*(JA22-JF22),InputData!$C$155*(JA22-JF22)-InputData!$D$154))</f>
        <v>35454.55392690299</v>
      </c>
      <c r="JH22" s="32">
        <f t="shared" si="104"/>
        <v>40218.711844716425</v>
      </c>
      <c r="JI22" s="32">
        <f>IF(JA22&gt;=0,IF(JA22&lt;=InputData!$C$148,InputData!$C$147*JA22,InputData!$C$147*InputData!$C$148)+InputData!$C$149*JA22,0)</f>
        <v>9567.918559815671</v>
      </c>
      <c r="JJ22" s="32">
        <f>IF(JC22&lt;0,0,IF(JC22&lt;=InputData!$B$163,InputData!$C$163*JC22,IF(JC22&lt;=InputData!$B$164,InputData!$D$163+InputData!$C$164*(JC22-InputData!$B$163),IF(JC22&lt;=InputData!$B$165,InputData!$D$164+InputData!$C$165*(JC22-InputData!$B$164),InputData!$D$165+InputData!$C$166*(JC22-InputData!$B$165)))))</f>
        <v>0</v>
      </c>
      <c r="JK22" s="42">
        <f t="shared" si="105"/>
        <v>0.28663919829066142</v>
      </c>
      <c r="JL22" s="42">
        <f t="shared" si="106"/>
        <v>0.28663919829066142</v>
      </c>
      <c r="JM22" s="32">
        <f t="shared" si="35"/>
        <v>123904.3047551694</v>
      </c>
      <c r="JN22" s="32">
        <f>JM22/((1+InputData!$C$7)^(IntMed!$B22-IntMed!$B$7))</f>
        <v>79529.458340989426</v>
      </c>
      <c r="JO22" s="32">
        <f t="shared" si="107"/>
        <v>929016.43493922264</v>
      </c>
      <c r="JQ22" s="41" t="s">
        <v>109</v>
      </c>
      <c r="JR22" s="32">
        <f>$JR$14*(1+InputData!$C$3+InputData!$C$4)^(IntMed!$B22-IntMed!$B$14)</f>
        <v>203716.88913756126</v>
      </c>
      <c r="JS22" s="32">
        <v>0</v>
      </c>
      <c r="JT22" s="32">
        <f t="shared" si="108"/>
        <v>203716.88913756126</v>
      </c>
      <c r="JU22" s="5">
        <f>JR22*(1/(1+InputData!$C$3))^(IntMed!$B22-IntMed!$B$7)</f>
        <v>151364.64937664606</v>
      </c>
      <c r="JV22" s="5">
        <f>JS22*(1/(1+InputData!$C$3))^(IntMed!$B22-IntMed!$B$7)</f>
        <v>0</v>
      </c>
      <c r="JW22" s="32">
        <f>IF(JU22-InputData!$C$158-InputData!$C$159&gt;=0,JU22-InputData!$C$158-InputData!$C$159,0)</f>
        <v>151364.64937664606</v>
      </c>
      <c r="JX22" s="32">
        <f>IF(JU22-IF(JU22&lt;=InputData!$C$146,InputData!$C$145,0)-MAX(InputData!$C$144,KD22)&gt;=0,JU22-IF(JU22&lt;=InputData!$C$146,InputData!$C$145,0)-MAX(InputData!$C$144,KD22),0)</f>
        <v>145264.64937664606</v>
      </c>
      <c r="JY22" s="32">
        <f>IF(JX22&lt;0,"Error",IF(JX22&lt;=InputData!$B$170,InputData!$C$170*JX22,IF(JX22&lt;=InputData!$B$171,InputData!$D$170+InputData!$C$171*(JX22-InputData!$B$170),IF(JX22&lt;=InputData!$B$172,InputData!$D$171+InputData!$C$172*(JX22-InputData!$B$171),IF(JX22&lt;=InputData!$B$173,InputData!$D$172+InputData!$C$173*(JX22-InputData!$B$172),IF(JX22&lt;=InputData!$B$174,InputData!$D$173+InputData!$C$174*(JX22-InputData!$B$173),IF(JX22&lt;=InputData!$B$175,InputData!$D$174+InputData!$C$175*(JX22-InputData!$B$174),InputData!$D$175+InputData!$C$176*(JX22-InputData!$B$175))))))))</f>
        <v>33967.351825460901</v>
      </c>
      <c r="JZ22" s="32">
        <f>IF(JU22&lt;=InputData!$C$150,InputData!$C$152,IF(JU22&lt;InputData!$C$151,IF(InputData!$C$152-0.25*IF(JU22-InputData!$C$150&lt;=0,0,JU22-InputData!$C$150)&lt;=0,0,InputData!$C$152-0.25*IF(JU22-InputData!$C$150&lt;=0,0,JU22-InputData!$C$150)),0))</f>
        <v>42908.837655838484</v>
      </c>
      <c r="KA22" s="32">
        <f>IF(JU22-JZ22&lt;=0,0,IF(JU22-JZ22&lt;=InputData!$C$153,InputData!$C$154*(JU22-JZ22),InputData!$C$155*(JU22-JZ22)-InputData!$D$154))</f>
        <v>28198.511047409971</v>
      </c>
      <c r="KB22" s="32">
        <f t="shared" si="109"/>
        <v>33967.351825460901</v>
      </c>
      <c r="KC22" s="32">
        <f>IF(JU22&gt;=0,IF(JU22&lt;=InputData!$C$148,InputData!$C$147*JU22,InputData!$C$147*InputData!$C$148)+InputData!$C$149*JU22,0)</f>
        <v>9244.1874159613672</v>
      </c>
      <c r="KD22" s="32">
        <f>IF(JW22&lt;0,0,IF(JW22&lt;=InputData!$B$163,InputData!$C$163*JW22,IF(JW22&lt;=InputData!$B$164,InputData!$D$163+InputData!$C$164*(JW22-InputData!$B$163),IF(JW22&lt;=InputData!$B$165,InputData!$D$164+InputData!$C$165*(JW22-InputData!$B$164),InputData!$D$165+InputData!$C$166*(JW22-InputData!$B$165)))))</f>
        <v>0</v>
      </c>
      <c r="KE22" s="43">
        <f t="shared" si="110"/>
        <v>0.28547973003853394</v>
      </c>
      <c r="KF22" s="43">
        <f t="shared" si="111"/>
        <v>0.28547973003853394</v>
      </c>
      <c r="KG22" s="5">
        <f t="shared" si="112"/>
        <v>108153.11013522379</v>
      </c>
      <c r="KH22" s="32">
        <f>KG22/((1+InputData!$C$7)^(IntMed!$B22-IntMed!$B$7))</f>
        <v>69419.365888406421</v>
      </c>
      <c r="KI22" s="5">
        <f t="shared" si="143"/>
        <v>843113.05724170024</v>
      </c>
      <c r="KK22" s="149">
        <v>5</v>
      </c>
      <c r="KL22" s="145" t="s">
        <v>378</v>
      </c>
      <c r="KM22">
        <v>37</v>
      </c>
      <c r="KN22" s="41" t="s">
        <v>367</v>
      </c>
      <c r="KO22" s="5">
        <f>InputData!$C133*(1+InputData!$C$5)^(IntMed!$B22-IntMed!$B$7)</f>
        <v>233341.79195157267</v>
      </c>
      <c r="KP22" s="5">
        <v>0</v>
      </c>
      <c r="KQ22" s="5">
        <f t="shared" si="169"/>
        <v>233341.79195157267</v>
      </c>
      <c r="KR22" s="32">
        <f>KR21*(1+InputData!$C$8)</f>
        <v>15464.027207344254</v>
      </c>
      <c r="KS22" s="5">
        <f>KO22*(1/(1+InputData!$C$3))^(IntMed!$B22-IntMed!$B$7)</f>
        <v>173376.38854193487</v>
      </c>
      <c r="KT22" s="5">
        <f>KP22*(1/(1+InputData!$C$3))^(IntMed!$B22-IntMed!$B$7)</f>
        <v>0</v>
      </c>
      <c r="KU22" s="32" t="s">
        <v>141</v>
      </c>
      <c r="KV22" s="32">
        <v>0</v>
      </c>
      <c r="KW22" s="133">
        <f t="shared" si="165"/>
        <v>184873.86775110994</v>
      </c>
      <c r="KX22" s="5">
        <f>KW22*InputData!$C$6</f>
        <v>11480.667187343928</v>
      </c>
      <c r="KY22" s="133">
        <f t="shared" si="166"/>
        <v>0</v>
      </c>
      <c r="KZ22" s="118">
        <f t="shared" si="155"/>
        <v>21014.575114055631</v>
      </c>
      <c r="LA22" s="32">
        <f t="shared" si="167"/>
        <v>175339.95982439825</v>
      </c>
      <c r="LB22" s="32">
        <f>KZ22/((1+InputData!$C$3)^(IntMed!$B22-IntMed!$B$7))</f>
        <v>15614.138854193501</v>
      </c>
      <c r="LC22" s="32">
        <f>IF(KS22-InputData!$C$158-InputData!$C$159&gt;=0,KS22-InputData!$C$158-InputData!$C$159,0)</f>
        <v>173376.38854193487</v>
      </c>
      <c r="LD22" s="32">
        <f>IF(KS22-IF(KS22&lt;=InputData!$C$146,InputData!$C$145,0)-MAX(InputData!$C$144,LJ22)&gt;=0,KS22-IF(KS22&lt;=InputData!$C$146,InputData!$C$145,0)-MAX(InputData!$C$144,LJ22),0)</f>
        <v>167276.38854193487</v>
      </c>
      <c r="LE22" s="32">
        <f>IF(LD22&lt;0,"Error",IF(LD22&lt;=InputData!$B$170,InputData!$C$170*LD22,IF(LD22&lt;=InputData!$B$171,InputData!$D$170+InputData!$C$171*(LD22-InputData!$B$170),IF(LD22&lt;=InputData!$B$172,InputData!$D$171+InputData!$C$172*(LD22-InputData!$B$171),IF(LD22&lt;=InputData!$B$173,InputData!$D$172+InputData!$C$173*(LD22-InputData!$B$172),IF(LD22&lt;=InputData!$B$174,InputData!$D$173+InputData!$C$174*(LD22-InputData!$B$173),IF(LD22&lt;=InputData!$B$175,InputData!$D$174+InputData!$C$175*(LD22-InputData!$B$174),InputData!$D$175+InputData!$C$176*(LD22-InputData!$B$175))))))))</f>
        <v>40130.63879174176</v>
      </c>
      <c r="LF22" s="32">
        <f>IF(KS22&lt;=InputData!$C$150,InputData!$C$152,IF(KS22&lt;InputData!$C$151,IF(InputData!$C$152-0.25*IF(KS22-InputData!$C$150&lt;=0,0,KS22-InputData!$C$150)&lt;=0,0,InputData!$C$152-0.25*IF(KS22-InputData!$C$150&lt;=0,0,KS22-InputData!$C$150)),0))</f>
        <v>37405.902864516283</v>
      </c>
      <c r="LG22" s="32">
        <f>IF(KS22-LF22&lt;=0,0,IF(KS22-LF22&lt;=InputData!$C$153,InputData!$C$154*(KS22-LF22),InputData!$C$155*(KS22-LF22)-InputData!$D$154))</f>
        <v>35352.326276128835</v>
      </c>
      <c r="LH22" s="32">
        <f t="shared" si="118"/>
        <v>40130.63879174176</v>
      </c>
      <c r="LI22" s="32">
        <f>IF(KS22&gt;=0,IF(KS22&lt;=InputData!$C$148,InputData!$C$147*KS22,InputData!$C$147*InputData!$C$148)+InputData!$C$149*KS22,0)</f>
        <v>9563.3576338580551</v>
      </c>
      <c r="LJ22" s="32">
        <f>IF(LC22&lt;0,0,IF(LC22&lt;=InputData!$B$163,InputData!$C$163*LC22,IF(LC22&lt;=InputData!$B$164,InputData!$D$163+InputData!$C$164*(LC22-InputData!$B$163),IF(LC22&lt;=InputData!$B$165,InputData!$D$164+InputData!$C$165*(LC22-InputData!$B$164),InputData!$D$165+InputData!$C$166*(LC22-InputData!$B$165)))))</f>
        <v>0</v>
      </c>
      <c r="LK22" s="43">
        <f t="shared" si="156"/>
        <v>0.28662493689894941</v>
      </c>
      <c r="LL22" s="32">
        <f t="shared" si="119"/>
        <v>123682.39211633505</v>
      </c>
      <c r="LM22" s="5">
        <f t="shared" si="120"/>
        <v>108068.25326214154</v>
      </c>
      <c r="LN22" s="32">
        <f>LM22/((1+InputData!$C$7)^(IntMed!$B22-IntMed!$B$7))</f>
        <v>69364.899490599855</v>
      </c>
      <c r="LO22" s="5">
        <f t="shared" si="145"/>
        <v>606030.87359118427</v>
      </c>
      <c r="LQ22" s="157" t="str">
        <f t="shared" si="37"/>
        <v>Private Practice</v>
      </c>
      <c r="LR22" s="32">
        <f t="shared" si="121"/>
        <v>259739.0336503906</v>
      </c>
      <c r="LS22" s="32">
        <v>0</v>
      </c>
      <c r="LT22" s="32">
        <f t="shared" si="123"/>
        <v>259739.0336503906</v>
      </c>
      <c r="LU22" s="32">
        <f>LU21*(1+InputData!$C$8)</f>
        <v>15464.027207344254</v>
      </c>
      <c r="LV22" s="32">
        <f>LR22/((1+InputData!$C$3)^(IntMed!$B22-IntMed!$B$7))</f>
        <v>192989.92795522389</v>
      </c>
      <c r="LW22" s="32">
        <f>LS22/((1+InputData!$C$3)^(IntMed!$B22-IntMed!$B$7))</f>
        <v>0</v>
      </c>
      <c r="LX22" s="32" t="s">
        <v>141</v>
      </c>
      <c r="LY22" s="32">
        <v>0</v>
      </c>
      <c r="LZ22" s="32">
        <f t="shared" si="189"/>
        <v>0</v>
      </c>
      <c r="MA22" s="32">
        <f>(LZ22)*InputData!$C$6</f>
        <v>0</v>
      </c>
      <c r="MB22" s="32">
        <f>MIN($BE$14*InputData!$C$6/(1-(1+InputData!$C$6)^(-10)), LZ22+MA22)</f>
        <v>0</v>
      </c>
      <c r="MC22" s="32">
        <f t="shared" si="168"/>
        <v>0</v>
      </c>
      <c r="MD22" s="32">
        <f>MB22/((1+InputData!$C$3)^(IntMed!$B22-IntMed!$B$7))</f>
        <v>0</v>
      </c>
      <c r="ME22" s="32">
        <f>IF(LV22-InputData!$C$158-InputData!$C$159&gt;=0,LV22-InputData!$C$158-InputData!$C$159,0)</f>
        <v>192989.92795522389</v>
      </c>
      <c r="MF22" s="32">
        <f>IF(LV22-IF(LV22&lt;=InputData!$C$146,InputData!$C$145,0)-MAX(InputData!$C$144,ML22)&gt;=0,LV22-IF(LV22&lt;=InputData!$C$146,InputData!$C$145,0)-MAX(InputData!$C$144,ML22),0)</f>
        <v>186889.92795522389</v>
      </c>
      <c r="MG22" s="32">
        <f>IF(MF22&lt;0,"Error",IF(MF22&lt;=InputData!$B$170,InputData!$C$170*MF22,IF(MF22&lt;=InputData!$B$171,InputData!$D$170+InputData!$C$171*(MF22-InputData!$B$170),IF(MF22&lt;=InputData!$B$172,InputData!$D$171+InputData!$C$172*(MF22-InputData!$B$171),IF(MF22&lt;=InputData!$B$173,InputData!$D$172+InputData!$C$173*(MF22-InputData!$B$172),IF(MF22&lt;=InputData!$B$174,InputData!$D$173+InputData!$C$174*(MF22-InputData!$B$173),IF(MF22&lt;=InputData!$B$175,InputData!$D$174+InputData!$C$175*(MF22-InputData!$B$174),InputData!$D$175+InputData!$C$176*(MF22-InputData!$B$175))))))))</f>
        <v>45804.426225223884</v>
      </c>
      <c r="MH22" s="32">
        <f>IF(LV22&lt;=InputData!$C$150,InputData!$C$152,IF(LV22&lt;InputData!$C$151,IF(InputData!$C$152-0.25*IF(LV22-InputData!$C$150&lt;=0,0,LV22-InputData!$C$150)&lt;=0,0,InputData!$C$152-0.25*IF(LV22-InputData!$C$150&lt;=0,0,LV22-InputData!$C$150)),0))</f>
        <v>32502.518011194028</v>
      </c>
      <c r="MI22" s="32">
        <f>IF(LV22-MH22&lt;=0,0,IF(LV22-MH22&lt;=InputData!$C$153,InputData!$C$154*(LV22-MH22),InputData!$C$155*(LV22-MH22)-InputData!$D$154))</f>
        <v>41726.726585447766</v>
      </c>
      <c r="MJ22" s="32">
        <f t="shared" si="124"/>
        <v>45804.426225223884</v>
      </c>
      <c r="MK22" s="32">
        <f>IF(LV22&gt;=0,IF(LV22&lt;=InputData!$C$148,InputData!$C$147*LV22,InputData!$C$147*InputData!$C$148)+InputData!$C$149*LV22,0)</f>
        <v>9847.7539553507468</v>
      </c>
      <c r="ML22" s="32">
        <f>IF(ME22&lt;0,0,IF(ME22&lt;=InputData!$B$163,InputData!$C$163*ME22,IF(ME22&lt;=InputData!$B$164,InputData!$D$163+InputData!$C$164*(ME22-InputData!$B$163),IF(ME22&lt;=InputData!$B$165,InputData!$D$164+InputData!$C$165*(ME22-InputData!$B$164),InputData!$D$165+InputData!$C$166*(ME22-InputData!$B$165)))))</f>
        <v>0</v>
      </c>
      <c r="MM22" s="43">
        <f t="shared" si="38"/>
        <v>0.2883683141924725</v>
      </c>
      <c r="MN22" s="32">
        <f t="shared" si="125"/>
        <v>137337.74777464927</v>
      </c>
      <c r="MO22" s="32">
        <f t="shared" si="126"/>
        <v>137337.74777464927</v>
      </c>
      <c r="MP22" s="32">
        <f>MO22/((1+InputData!$C$7)^(IntMed!$B22-IntMed!$B$7))</f>
        <v>88151.874237715601</v>
      </c>
      <c r="MQ22" s="5">
        <f t="shared" si="147"/>
        <v>969170.27561700775</v>
      </c>
    </row>
    <row r="23" spans="1:355" x14ac:dyDescent="0.25">
      <c r="A23" s="53">
        <v>2029</v>
      </c>
      <c r="B23" s="51">
        <v>17</v>
      </c>
      <c r="C23" s="4"/>
      <c r="D23" s="3">
        <v>13</v>
      </c>
      <c r="E23" s="4" t="s">
        <v>23</v>
      </c>
      <c r="F23" s="5">
        <f>InputData!$J$22*12</f>
        <v>85420.799999999988</v>
      </c>
      <c r="G23" s="5">
        <f>(InputData!$J$22+InputData!$H$45+InputData!$E$50)*12+InputData!$J$50+InputData!$D$57+InputData!$J$57</f>
        <v>169420.72</v>
      </c>
      <c r="H23" s="5">
        <f>(InputData!$C$33+InputData!$C$40)*12</f>
        <v>21019.199999999997</v>
      </c>
      <c r="I23" s="5">
        <f t="shared" si="39"/>
        <v>190439.91999999998</v>
      </c>
      <c r="J23" s="5">
        <f>G23*((1+InputData!$C$5)/(1+InputData!$C$3))^(IntMed!$B23-IntMed!$B$7)</f>
        <v>144712.40306693374</v>
      </c>
      <c r="K23" s="5">
        <f>H23*((1+InputData!$C$5)/(1+InputData!$C$3))^(IntMed!$B23-IntMed!$B$7)</f>
        <v>17953.759980151739</v>
      </c>
      <c r="L23" s="32">
        <f>IF(J23-InputData!$C$158-InputData!$C$159&gt;=0,J23-InputData!$C$158-InputData!$C$159,0)</f>
        <v>144712.40306693374</v>
      </c>
      <c r="M23" s="32">
        <f>IF(J23-IF(J23&lt;=InputData!$C$146,InputData!$C$145,0)-MAX(InputData!$C$144,S23)&gt;=0,J23-IF(J23&lt;=InputData!$C$146,InputData!$C$145,0)-MAX(InputData!$C$144,S23),0)</f>
        <v>134712.40306693374</v>
      </c>
      <c r="N23" s="32">
        <f>IF(M23&lt;0,"Error",IF(M23&lt;=InputData!$B$170,InputData!$C$170*M23,IF(M23&lt;=InputData!$B$171,InputData!$D$170+InputData!$C$171*(M23-InputData!$B$170),IF(M23&lt;=InputData!$B$172,InputData!$D$171+InputData!$C$172*(M23-InputData!$B$171),IF(M23&lt;=InputData!$B$173,InputData!$D$172+InputData!$C$173*(M23-InputData!$B$172),IF(M23&lt;=InputData!$B$174,InputData!$D$173+InputData!$C$174*(M23-InputData!$B$173),IF(M23&lt;=InputData!$B$175,InputData!$D$174+InputData!$C$175*(M23-InputData!$B$174),InputData!$D$175+InputData!$C$176*(M23-InputData!$B$175))))))))</f>
        <v>31012.72285874145</v>
      </c>
      <c r="O23" s="32">
        <f>IF(J23&lt;=InputData!$C$150,InputData!$C$152,IF(J23&lt;InputData!$C$151,IF(InputData!$C$152-0.25*IF(J23-InputData!$C$150&lt;=0,0,J23-InputData!$C$150)&lt;=0,0,InputData!$C$152-0.25*IF(J23-InputData!$C$150&lt;=0,0,J23-InputData!$C$150)),0))</f>
        <v>44571.899233266566</v>
      </c>
      <c r="P23" s="32">
        <f>IF(J23-O23&lt;=0,0,IF(J23-O23&lt;=InputData!$C$153,InputData!$C$154*(J23-O23),InputData!$C$155*(J23-O23)-InputData!$D$154))</f>
        <v>26036.530996753467</v>
      </c>
      <c r="Q23" s="32">
        <f t="shared" si="40"/>
        <v>31012.72285874145</v>
      </c>
      <c r="R23" s="32">
        <f>IF(J23&gt;=0,IF(J23&lt;=InputData!$C$148,InputData!$C$147*J23,InputData!$C$147*InputData!$C$148)+InputData!$C$149*J23,0)</f>
        <v>9147.7298444705393</v>
      </c>
      <c r="S23" s="32">
        <f>IF(L23&lt;0,0,IF(L23&lt;=InputData!$B$163,InputData!$C$163*L23,IF(L23&lt;=InputData!$B$164,InputData!$D$163+InputData!$C$164*(L23-InputData!$B$163),IF(L23&lt;=InputData!$B$165,InputData!$D$164+InputData!$C$165*(L23-InputData!$B$164),InputData!$D$165+InputData!$C$166*(L23-InputData!$B$165)))))</f>
        <v>0</v>
      </c>
      <c r="T23" s="43">
        <f t="shared" si="41"/>
        <v>0.27751907819979049</v>
      </c>
      <c r="U23" s="43">
        <f t="shared" si="42"/>
        <v>0.24688879328632782</v>
      </c>
      <c r="V23" s="5">
        <f t="shared" si="43"/>
        <v>122505.71034387351</v>
      </c>
      <c r="W23" s="32">
        <f>V23/((1+InputData!$C$7)^(IntMed!$B23-IntMed!$B$7))</f>
        <v>76341.50855197756</v>
      </c>
      <c r="X23" s="5">
        <f t="shared" si="127"/>
        <v>1019655.3707134107</v>
      </c>
      <c r="Y23" s="53"/>
      <c r="Z23" s="3">
        <v>13</v>
      </c>
      <c r="AA23" s="97" t="s">
        <v>263</v>
      </c>
      <c r="AB23" s="5">
        <f t="shared" si="192"/>
        <v>85420.799999999988</v>
      </c>
      <c r="AC23" s="5">
        <f t="shared" si="201"/>
        <v>169420.72</v>
      </c>
      <c r="AD23" s="5">
        <f t="shared" si="193"/>
        <v>21019.199999999997</v>
      </c>
      <c r="AE23" s="5">
        <f t="shared" si="202"/>
        <v>190439.91999999998</v>
      </c>
      <c r="AF23" s="5">
        <f>AC23*((1+InputData!$C$5)/(1+InputData!$C$3))^(IntMed!$B23-IntMed!$B$7)</f>
        <v>144712.40306693374</v>
      </c>
      <c r="AG23" s="5">
        <f>AD23*((1+InputData!$C$5)/(1+InputData!$C$3))^(IntMed!$B23-IntMed!$B$7)</f>
        <v>17953.759980151739</v>
      </c>
      <c r="AH23" s="32">
        <f>IF(AF23-InputData!$C$158-InputData!$C$159&gt;=0,AF23-InputData!$C$158-InputData!$C$159,0)</f>
        <v>144712.40306693374</v>
      </c>
      <c r="AI23" s="32">
        <f>IF(AF23-IF(AF23&lt;=InputData!$C$146,InputData!$C$145,0)-MAX(InputData!$C$144,AO23)&gt;=0,AF23-IF(AF23&lt;=InputData!$C$146,InputData!$C$145,0)-MAX(InputData!$C$144,AO23),0)</f>
        <v>134712.40306693374</v>
      </c>
      <c r="AJ23" s="32">
        <f>IF(AI23&lt;0,"Error",IF(AI23&lt;=InputData!$B$170,InputData!$C$170*AI23,IF(AI23&lt;=InputData!$B$171,InputData!$D$170+InputData!$C$171*(AI23-InputData!$B$170),IF(AI23&lt;=InputData!$B$172,InputData!$D$171+InputData!$C$172*(AI23-InputData!$B$171),IF(AI23&lt;=InputData!$B$173,InputData!$D$172+InputData!$C$173*(AI23-InputData!$B$172),IF(AI23&lt;=InputData!$B$174,InputData!$D$173+InputData!$C$174*(AI23-InputData!$B$173),IF(AI23&lt;=InputData!$B$175,InputData!$D$174+InputData!$C$175*(AI23-InputData!$B$174),InputData!$D$175+InputData!$C$176*(AI23-InputData!$B$175))))))))</f>
        <v>31012.72285874145</v>
      </c>
      <c r="AK23" s="32">
        <f>IF(AF23&lt;=InputData!$C$150,InputData!$C$152,IF(AF23&lt;InputData!$C$151,IF(InputData!$C$152-0.25*IF(AF23-InputData!$C$150&lt;=0,0,AF23-InputData!$C$150)&lt;=0,0,InputData!$C$152-0.25*IF(AF23-InputData!$C$150&lt;=0,0,AF23-InputData!$C$150)),0))</f>
        <v>44571.899233266566</v>
      </c>
      <c r="AL23" s="32">
        <f>IF(AF23-AK23&lt;=0,0,IF(AF23-AK23&lt;=InputData!$C$153,InputData!$C$154*(AF23-AK23),InputData!$C$155*(AF23-AK23)-InputData!$D$154))</f>
        <v>26036.530996753467</v>
      </c>
      <c r="AM23" s="32">
        <f t="shared" si="45"/>
        <v>31012.72285874145</v>
      </c>
      <c r="AN23" s="32">
        <f>IF(AF23&gt;=0,IF(AF23&lt;=InputData!$C$148,InputData!$C$147*AF23,InputData!$C$147*InputData!$C$148)+InputData!$C$149*AF23,0)</f>
        <v>9147.7298444705393</v>
      </c>
      <c r="AO23" s="32">
        <f>IF(AH23&lt;0,0,IF(AH23&lt;=InputData!$B$163,InputData!$C$163*AH23,IF(AH23&lt;=InputData!$B$164,InputData!$D$163+InputData!$C$164*(AH23-InputData!$B$163),IF(AH23&lt;=InputData!$B$165,InputData!$D$164+InputData!$C$165*(AH23-InputData!$B$164),InputData!$D$165+InputData!$C$166*(AH23-InputData!$B$165)))))</f>
        <v>0</v>
      </c>
      <c r="AP23" s="43">
        <f t="shared" si="46"/>
        <v>0.27751907819979049</v>
      </c>
      <c r="AQ23" s="43">
        <f t="shared" si="47"/>
        <v>0.24688879328632782</v>
      </c>
      <c r="AR23" s="5">
        <f t="shared" si="48"/>
        <v>122505.71034387351</v>
      </c>
      <c r="AS23" s="32">
        <f>AR23/((1+InputData!$C$7)^(IntMed!$B23-IntMed!$B$7))</f>
        <v>76341.50855197756</v>
      </c>
      <c r="AT23" s="5">
        <f t="shared" si="128"/>
        <v>997503.55330558703</v>
      </c>
      <c r="AU23" s="53"/>
      <c r="AV23" s="41" t="s">
        <v>109</v>
      </c>
      <c r="AW23" s="32">
        <f>$AW$14*(1+InputData!$C$3+InputData!$C$4)^(IntMed!$B23-IntMed!$B$14)</f>
        <v>267531.20465990232</v>
      </c>
      <c r="AX23" s="32">
        <v>0</v>
      </c>
      <c r="AY23" s="32">
        <f t="shared" si="50"/>
        <v>267531.20465990232</v>
      </c>
      <c r="AZ23" s="32">
        <f>AZ22*(1+InputData!$C$8)</f>
        <v>15773.307751491138</v>
      </c>
      <c r="BA23" s="32">
        <f>AW23/((1+InputData!$C$3)^(IntMed!$B23-IntMed!$B$7))</f>
        <v>194881.98607243193</v>
      </c>
      <c r="BB23" s="32">
        <f>AX23/((1+InputData!$C$3)^(IntMed!$B23-IntMed!$B$7))</f>
        <v>0</v>
      </c>
      <c r="BC23" s="32" t="s">
        <v>141</v>
      </c>
      <c r="BD23" s="32">
        <v>0</v>
      </c>
      <c r="BE23" s="32">
        <f t="shared" si="174"/>
        <v>31704.797997630638</v>
      </c>
      <c r="BF23" s="32">
        <f>(BE23)*InputData!$C$6</f>
        <v>1968.8679556528627</v>
      </c>
      <c r="BG23" s="32">
        <f>MIN($BE$14*InputData!$C$6/(1-(1+InputData!$C$6)^(-10)), BE23+BF23)</f>
        <v>33673.665953283198</v>
      </c>
      <c r="BH23" s="32">
        <f t="shared" si="157"/>
        <v>3.0559021979570389E-10</v>
      </c>
      <c r="BI23" s="32">
        <f>BG23/((1+InputData!$C$3)^(IntMed!$B23-IntMed!$B$7))</f>
        <v>24529.440996080692</v>
      </c>
      <c r="BJ23" s="32">
        <f>IF(BA23-InputData!$C$158-InputData!$C$159&gt;=0,BA23-InputData!$C$158-InputData!$C$159,0)</f>
        <v>194881.98607243193</v>
      </c>
      <c r="BK23" s="32">
        <f>IF(BA23-IF(BA23&lt;=InputData!$C$146,InputData!$C$145,0)-MAX(InputData!$C$144,BQ23)&gt;=0,BA23-IF(BA23&lt;=InputData!$C$146,InputData!$C$145,0)-MAX(InputData!$C$144,BQ23),0)</f>
        <v>188781.98607243193</v>
      </c>
      <c r="BL23" s="32">
        <f>IF(BK23&lt;0,"Error",IF(BK23&lt;=InputData!$B$170,InputData!$C$170*BK23,IF(BK23&lt;=InputData!$B$171,InputData!$D$170+InputData!$C$171*(BK23-InputData!$B$170),IF(BK23&lt;=InputData!$B$172,InputData!$D$171+InputData!$C$172*(BK23-InputData!$B$171),IF(BK23&lt;=InputData!$B$173,InputData!$D$172+InputData!$C$173*(BK23-InputData!$B$172),IF(BK23&lt;=InputData!$B$174,InputData!$D$173+InputData!$C$174*(BK23-InputData!$B$173),IF(BK23&lt;=InputData!$B$175,InputData!$D$174+InputData!$C$175*(BK23-InputData!$B$174),InputData!$D$175+InputData!$C$176*(BK23-InputData!$B$175))))))))</f>
        <v>46428.805403902537</v>
      </c>
      <c r="BM23" s="32">
        <f>IF(BA23&lt;=InputData!$C$150,InputData!$C$152,IF(BA23&lt;InputData!$C$151,IF(InputData!$C$152-0.25*IF(BA23-InputData!$C$150&lt;=0,0,BA23-InputData!$C$150)&lt;=0,0,InputData!$C$152-0.25*IF(BA23-InputData!$C$150&lt;=0,0,BA23-InputData!$C$150)),0))</f>
        <v>32029.503481892018</v>
      </c>
      <c r="BN23" s="32">
        <f>IF(BA23-BM23&lt;=0,0,IF(BA23-BM23&lt;=InputData!$C$153,InputData!$C$154*(BA23-BM23),InputData!$C$155*(BA23-BM23)-InputData!$D$154))</f>
        <v>42341.645473540375</v>
      </c>
      <c r="BO23" s="32">
        <f t="shared" si="51"/>
        <v>46428.805403902537</v>
      </c>
      <c r="BP23" s="32">
        <f>IF(BA23&gt;=0,IF(BA23&lt;=InputData!$C$148,InputData!$C$147*BA23,InputData!$C$147*InputData!$C$148)+InputData!$C$149*BA23,0)</f>
        <v>9875.1887980502634</v>
      </c>
      <c r="BQ23" s="32">
        <f>IF(BJ23&lt;0,0,IF(BJ23&lt;=InputData!$B$163,InputData!$C$163*BJ23,IF(BJ23&lt;=InputData!$B$164,InputData!$D$163+InputData!$C$164*(BJ23-InputData!$B$163),IF(BJ23&lt;=InputData!$B$165,InputData!$D$164+InputData!$C$165*(BJ23-InputData!$B$164),InputData!$D$165+InputData!$C$166*(BJ23-InputData!$B$165)))))</f>
        <v>0</v>
      </c>
      <c r="BR23" s="43">
        <f t="shared" si="52"/>
        <v>0.28891328201584654</v>
      </c>
      <c r="BS23" s="32">
        <f t="shared" si="53"/>
        <v>138577.99187047913</v>
      </c>
      <c r="BT23" s="32">
        <f t="shared" si="54"/>
        <v>114048.55087439844</v>
      </c>
      <c r="BU23" s="32">
        <f>BT23/((1+InputData!$C$7)^(IntMed!$B23-IntMed!$B$7))</f>
        <v>71071.286370888367</v>
      </c>
      <c r="BV23" s="5">
        <f t="shared" si="130"/>
        <v>671855.95062953397</v>
      </c>
      <c r="BW23" s="5"/>
      <c r="BX23" s="32" t="s">
        <v>141</v>
      </c>
      <c r="BY23" s="5">
        <f t="shared" si="175"/>
        <v>195061.47980946131</v>
      </c>
      <c r="BZ23" s="32">
        <f>(BY23)*InputData!$C$6</f>
        <v>12113.317896167548</v>
      </c>
      <c r="CA23" s="32">
        <f>MIN($BY$14*InputData!$C$6/(1-(1+InputData!$C$6)^(-25)), BY23+BZ23)</f>
        <v>19581.069601718285</v>
      </c>
      <c r="CB23" s="32">
        <f t="shared" si="176"/>
        <v>187593.72810391057</v>
      </c>
      <c r="CC23" s="32">
        <f>CA23/((1+InputData!$C$3)^(IntMed!$B23-IntMed!$B$7))</f>
        <v>14263.748179418737</v>
      </c>
      <c r="CD23" s="5">
        <f t="shared" si="58"/>
        <v>124314.2436910604</v>
      </c>
      <c r="CE23" s="32">
        <f>CD23/((1+InputData!$C$7)^(IntMed!$B23-IntMed!$B$7))</f>
        <v>77468.526742421527</v>
      </c>
      <c r="CF23" s="5">
        <f t="shared" si="131"/>
        <v>752545.45187263051</v>
      </c>
      <c r="CG23" s="5"/>
      <c r="CH23" s="32" t="s">
        <v>141</v>
      </c>
      <c r="CI23" s="5">
        <f t="shared" si="177"/>
        <v>63956.954001180871</v>
      </c>
      <c r="CJ23" s="32">
        <f>(CI23)*InputData!$C$6</f>
        <v>3971.7268434733323</v>
      </c>
      <c r="CK23" s="32">
        <f t="shared" si="170"/>
        <v>33673.665953283198</v>
      </c>
      <c r="CL23" s="32">
        <f t="shared" si="178"/>
        <v>34255.014891371</v>
      </c>
      <c r="CM23" s="32">
        <f>CK23/((1+InputData!$C$3)^(IntMed!$B23-IntMed!$B$7))</f>
        <v>24529.440996080692</v>
      </c>
      <c r="CN23" s="5">
        <f t="shared" si="62"/>
        <v>114048.55087439844</v>
      </c>
      <c r="CO23" s="32">
        <f>CN23/((1+InputData!$C$7)^(IntMed!$B23-IntMed!$B$7))</f>
        <v>71071.286370888367</v>
      </c>
      <c r="CP23" s="5">
        <f t="shared" si="132"/>
        <v>686215.37210635364</v>
      </c>
      <c r="CQ23" s="5"/>
      <c r="CR23" s="32" t="s">
        <v>141</v>
      </c>
      <c r="CS23" s="5">
        <f t="shared" si="179"/>
        <v>181587.51603488289</v>
      </c>
      <c r="CT23" s="32">
        <f>(CS23)*InputData!$C$6</f>
        <v>11276.584745766228</v>
      </c>
      <c r="CU23" s="32">
        <f t="shared" si="171"/>
        <v>24387.124303266562</v>
      </c>
      <c r="CV23" s="32">
        <f t="shared" si="180"/>
        <v>168476.97647738256</v>
      </c>
      <c r="CW23" s="32">
        <f>CU23/((1+InputData!$C$3)^(IntMed!$B23-IntMed!$B$7))</f>
        <v>17764.698607243194</v>
      </c>
      <c r="CX23" s="5">
        <f t="shared" si="66"/>
        <v>120813.29326323594</v>
      </c>
      <c r="CY23" s="32">
        <f>CX23/((1+InputData!$C$7)^(IntMed!$B23-IntMed!$B$7))</f>
        <v>75286.850179952802</v>
      </c>
      <c r="CZ23" s="5">
        <f t="shared" si="133"/>
        <v>743994.84475145221</v>
      </c>
      <c r="DA23" s="5"/>
      <c r="DB23" s="32" t="s">
        <v>141</v>
      </c>
      <c r="DC23" s="5">
        <f t="shared" si="158"/>
        <v>0</v>
      </c>
      <c r="DD23" s="5">
        <f>DC23*InputData!$C$6</f>
        <v>0</v>
      </c>
      <c r="DE23" s="32">
        <f t="shared" si="159"/>
        <v>0</v>
      </c>
      <c r="DF23" s="32">
        <f t="shared" si="160"/>
        <v>0</v>
      </c>
      <c r="DG23" s="32">
        <f>DE23/((1+InputData!$C$3)^(IntMed!$B23-IntMed!$B$7))</f>
        <v>0</v>
      </c>
      <c r="DH23" s="5">
        <f t="shared" si="70"/>
        <v>138577.99187047913</v>
      </c>
      <c r="DI23" s="32">
        <f>DH23/((1+InputData!$C$7)^(IntMed!$B23-IntMed!$B$7))</f>
        <v>86357.223037196367</v>
      </c>
      <c r="DJ23" s="5">
        <f t="shared" si="134"/>
        <v>675788.72220988013</v>
      </c>
      <c r="DK23" s="5"/>
      <c r="DL23" s="32" t="s">
        <v>141</v>
      </c>
      <c r="DM23" s="32">
        <f t="shared" si="181"/>
        <v>55553.951239973889</v>
      </c>
      <c r="DN23" s="5">
        <f>DM23*InputData!$C$6</f>
        <v>3449.9003720023788</v>
      </c>
      <c r="DO23" s="32">
        <f t="shared" si="182"/>
        <v>0</v>
      </c>
      <c r="DP23" s="32">
        <f t="shared" si="150"/>
        <v>29148.379963889372</v>
      </c>
      <c r="DQ23" s="32">
        <f t="shared" si="151"/>
        <v>29855.471648086892</v>
      </c>
      <c r="DR23" s="32">
        <f>DP23/((1+InputData!$C$3)^(IntMed!$B23-IntMed!$B$7))</f>
        <v>21233.015361247082</v>
      </c>
      <c r="DS23" s="5">
        <f t="shared" si="74"/>
        <v>117344.97650923204</v>
      </c>
      <c r="DT23" s="32">
        <f>DS23/((1+InputData!$C$7)^(IntMed!$B23-IntMed!$B$7))</f>
        <v>73125.509844114349</v>
      </c>
      <c r="DU23" s="5">
        <f t="shared" si="136"/>
        <v>685501.70732809161</v>
      </c>
      <c r="DV23" s="5"/>
      <c r="DW23" s="32" t="s">
        <v>141</v>
      </c>
      <c r="DX23" s="133">
        <f t="shared" si="161"/>
        <v>156767.5493883935</v>
      </c>
      <c r="DY23" s="5">
        <f>DX23*InputData!$C$6</f>
        <v>9735.2648170192369</v>
      </c>
      <c r="DZ23" s="133">
        <f t="shared" si="162"/>
        <v>0</v>
      </c>
      <c r="EA23" s="32">
        <f t="shared" si="163"/>
        <v>24387.124303266562</v>
      </c>
      <c r="EB23" s="32">
        <f t="shared" si="164"/>
        <v>142115.68990214617</v>
      </c>
      <c r="EC23" s="32">
        <f>EA23/((1+InputData!$C$3)^(IntMed!$B23-IntMed!$B$7))</f>
        <v>17764.698607243194</v>
      </c>
      <c r="ED23" s="5">
        <f t="shared" si="78"/>
        <v>120813.29326323594</v>
      </c>
      <c r="EE23" s="32">
        <f>ED23/((1+InputData!$C$7)^(IntMed!$B23-IntMed!$B$7))</f>
        <v>75286.850179952802</v>
      </c>
      <c r="EF23" s="5">
        <f t="shared" si="138"/>
        <v>734951.80545355415</v>
      </c>
      <c r="EG23" s="32"/>
      <c r="EH23" s="130" t="s">
        <v>141</v>
      </c>
      <c r="EI23" s="32">
        <v>0</v>
      </c>
      <c r="EJ23" s="32">
        <f t="shared" si="190"/>
        <v>186990.49926867042</v>
      </c>
      <c r="EK23" s="32">
        <f>EJ23*InputData!$C$6</f>
        <v>11612.110004584434</v>
      </c>
      <c r="EL23" s="32">
        <f t="shared" si="191"/>
        <v>174215.48496998835</v>
      </c>
      <c r="EM23" s="32">
        <f>EM22*(1+InputData!$C$8)</f>
        <v>15773.307751491138</v>
      </c>
      <c r="EN23" s="32">
        <f t="shared" si="172"/>
        <v>24387.124303266562</v>
      </c>
      <c r="EO23" s="32">
        <f>AW23/((1+InputData!$C$3)^(IntMed!$B23-IntMed!$B$7))</f>
        <v>194881.98607243193</v>
      </c>
      <c r="EP23" s="32">
        <f>AX23/((1+InputData!$C$3)^(IntMed!$B23-IntMed!$B$7))</f>
        <v>0</v>
      </c>
      <c r="EQ23" s="32">
        <v>46161.98</v>
      </c>
      <c r="ER23" s="32">
        <v>8574.7350000000006</v>
      </c>
      <c r="ES23" s="32">
        <v>0</v>
      </c>
      <c r="ET23" s="42">
        <f t="shared" si="154"/>
        <v>0.28087108564080404</v>
      </c>
      <c r="EU23" s="32">
        <f t="shared" si="79"/>
        <v>140145.27107243193</v>
      </c>
      <c r="EV23" s="32">
        <f>EN23/((1+InputData!$C$3)^(IntMed!$B23-IntMed!$B$7))</f>
        <v>17764.698607243194</v>
      </c>
      <c r="EW23" s="32">
        <f t="shared" si="80"/>
        <v>122380.57246518874</v>
      </c>
      <c r="EX23" s="32">
        <f>EW23/((1+InputData!$C$7)^(IntMed!$B23-IntMed!$B$7))</f>
        <v>76263.526763137081</v>
      </c>
      <c r="EY23" s="5">
        <f t="shared" si="148"/>
        <v>756844.60740534461</v>
      </c>
      <c r="EZ23" s="79"/>
      <c r="FA23" s="32">
        <f t="shared" si="183"/>
        <v>32110.68609728961</v>
      </c>
      <c r="FB23" s="32">
        <f>FA23*InputData!$C$6</f>
        <v>1994.0736066416848</v>
      </c>
      <c r="FC23" s="32">
        <f t="shared" si="184"/>
        <v>2.7648638933897018E-10</v>
      </c>
      <c r="FD23" s="53">
        <f>MIN($EJ$14*InputData!$C$6/(1-(1+InputData!$C$6)^(-10)), FA23+FB23)</f>
        <v>34104.75970393102</v>
      </c>
      <c r="FE23" s="32">
        <f>FD23/((1+InputData!$C$3)^(IntMed!$B23-IntMed!$B$7))</f>
        <v>24843.469434058465</v>
      </c>
      <c r="FF23" s="5">
        <f t="shared" si="84"/>
        <v>115301.80163837346</v>
      </c>
      <c r="FG23" s="32">
        <f>FF23/((1+InputData!$C$7)^(IntMed!$B23-IntMed!$B$7))</f>
        <v>71852.270813549956</v>
      </c>
      <c r="FH23" s="5">
        <f t="shared" si="140"/>
        <v>682237.41440783115</v>
      </c>
      <c r="FI23" s="79"/>
      <c r="FJ23" s="32">
        <f t="shared" si="185"/>
        <v>197558.67702744863</v>
      </c>
      <c r="FK23" s="32">
        <f>FJ23*InputData!$C$6</f>
        <v>12268.393843404561</v>
      </c>
      <c r="FL23" s="32">
        <f t="shared" si="186"/>
        <v>189995.32239300627</v>
      </c>
      <c r="FM23" s="53">
        <f>MIN($EJ$14*InputData!$C$6/(1-(1+InputData!$C$6)^(-25)), FJ23+FK23)</f>
        <v>19831.748477846937</v>
      </c>
      <c r="FN23" s="32">
        <f>FM23/((1+InputData!$C$3)^(IntMed!$B23-IntMed!$B$7))</f>
        <v>14446.354157321242</v>
      </c>
      <c r="FO23" s="5">
        <f t="shared" si="88"/>
        <v>125698.91691511069</v>
      </c>
      <c r="FP23" s="32">
        <f>FO23/((1+InputData!$C$7)^(IntMed!$B23-IntMed!$B$7))</f>
        <v>78331.409317272992</v>
      </c>
      <c r="FQ23" s="5">
        <f t="shared" si="141"/>
        <v>763959.91098256293</v>
      </c>
      <c r="FR23" s="79"/>
      <c r="FS23" s="32">
        <f t="shared" si="187"/>
        <v>68470.978811757654</v>
      </c>
      <c r="FT23" s="32">
        <f>FS23*InputData!$C$6</f>
        <v>4252.0477842101509</v>
      </c>
      <c r="FU23" s="32">
        <f t="shared" si="188"/>
        <v>38618.266892036787</v>
      </c>
      <c r="FV23" s="5">
        <f t="shared" si="173"/>
        <v>34104.75970393102</v>
      </c>
      <c r="FW23" s="32">
        <f>FV23/((1+InputData!$C$3)^(IntMed!$B23-IntMed!$B$7))</f>
        <v>24843.469434058465</v>
      </c>
      <c r="FX23" s="5">
        <f t="shared" si="92"/>
        <v>115301.80163837346</v>
      </c>
      <c r="FY23" s="32">
        <f>FX23/((1+InputData!$C$7)^(IntMed!$B23-IntMed!$B$7))</f>
        <v>71852.270813549956</v>
      </c>
      <c r="FZ23" s="5">
        <f t="shared" si="142"/>
        <v>698447.85122941807</v>
      </c>
      <c r="GC23" s="3">
        <f t="shared" si="3"/>
        <v>13</v>
      </c>
      <c r="GD23" s="122" t="str">
        <f t="shared" si="4"/>
        <v>Multi-Year (O5&gt;12 = (BP+BAH+BAS+VSP+BCPSP)*12+ASP+ISP+MSP)</v>
      </c>
      <c r="GE23" s="4"/>
      <c r="GF23" s="4"/>
      <c r="GG23" s="4"/>
      <c r="GH23" s="4"/>
      <c r="GI23" s="5">
        <f t="shared" si="5"/>
        <v>169420.72</v>
      </c>
      <c r="GJ23" s="5">
        <f t="shared" si="6"/>
        <v>21019.199999999997</v>
      </c>
      <c r="GK23" s="5">
        <f t="shared" si="7"/>
        <v>190439.91999999998</v>
      </c>
      <c r="GL23" s="5">
        <f t="shared" si="8"/>
        <v>144712.40306693374</v>
      </c>
      <c r="GM23" s="5">
        <f t="shared" si="9"/>
        <v>17953.759980151739</v>
      </c>
      <c r="GN23" s="32">
        <f>IF(GL23-InputData!$C$158-InputData!$C$159&gt;=0,GL23-InputData!$C$158-InputData!$C$159,0)</f>
        <v>144712.40306693374</v>
      </c>
      <c r="GO23" s="32">
        <f>IF(GL23-IF(GL23&lt;=InputData!$C$146,InputData!$C$145,0)-MAX(InputData!$C$144,GU23)&gt;=0,GL23-IF(GL23&lt;=InputData!$C$146,InputData!$C$145,0)-MAX(InputData!$C$144,GU23),0)</f>
        <v>134712.40306693374</v>
      </c>
      <c r="GP23" s="32">
        <f>IF(GO23&lt;0,"Error",IF(GO23&lt;=InputData!$B$170,InputData!$C$170*GO23,IF(GO23&lt;=InputData!$B$171,InputData!$D$170+InputData!$C$171*(GO23-InputData!$B$170),IF(GO23&lt;=InputData!$B$172,InputData!$D$171+InputData!$C$172*(GO23-InputData!$B$171),IF(GO23&lt;=InputData!$B$173,InputData!$D$172+InputData!$C$173*(GO23-InputData!$B$172),IF(GO23&lt;=InputData!$B$174,InputData!$D$173+InputData!$C$174*(GO23-InputData!$B$173),IF(GO23&lt;=InputData!$B$175,InputData!$D$174+InputData!$C$175*(GO23-InputData!$B$174),InputData!$D$175+InputData!$C$176*(GO23-InputData!$B$175))))))))</f>
        <v>31012.72285874145</v>
      </c>
      <c r="GQ23" s="32">
        <f>IF(GL23&lt;=InputData!$C$150,InputData!$C$152,IF(GL23&lt;InputData!$C$151,IF(InputData!$C$152-0.25*IF(GL23-InputData!$C$150&lt;=0,0,GL23-InputData!$C$150)&lt;=0,0,InputData!$C$152-0.25*IF(GL23-InputData!$C$150&lt;=0,0,GL23-InputData!$C$150)),0))</f>
        <v>44571.899233266566</v>
      </c>
      <c r="GR23" s="32">
        <f>IF(GL23-GQ23&lt;=0,0,IF(GL23-GQ23&lt;=InputData!$C$153,InputData!$C$154*(GL23-GQ23),InputData!$C$155*(GL23-GQ23)-InputData!$D$154))</f>
        <v>26036.530996753467</v>
      </c>
      <c r="GS23" s="32">
        <f t="shared" si="93"/>
        <v>31012.72285874145</v>
      </c>
      <c r="GT23" s="32">
        <f>IF(GL23&gt;=0,IF(GL23&lt;=InputData!$C$148,InputData!$C$147*GL23,InputData!$C$147*InputData!$C$148)+InputData!$C$149*GL23,0)</f>
        <v>9147.7298444705393</v>
      </c>
      <c r="GU23" s="32">
        <f>IF(GN23&lt;0,0,IF(GN23&lt;=InputData!$B$163,InputData!$C$163*GN23,IF(GN23&lt;=InputData!$B$164,InputData!$D$163+InputData!$C$164*(GN23-InputData!$B$163),IF(GN23&lt;=InputData!$B$165,InputData!$D$164+InputData!$C$165*(GN23-InputData!$B$164),InputData!$D$165+InputData!$C$166*(GN23-InputData!$B$165)))))</f>
        <v>0</v>
      </c>
      <c r="GV23" s="43">
        <f t="shared" si="10"/>
        <v>0.27751907819979049</v>
      </c>
      <c r="GW23" s="43">
        <f t="shared" si="11"/>
        <v>0.24688879328632782</v>
      </c>
      <c r="GX23" s="5">
        <f t="shared" si="12"/>
        <v>122505.71034387351</v>
      </c>
      <c r="GY23" s="32">
        <f>GX23/((1+InputData!$C$7)^(IntMed!$B23-IntMed!$B$7))</f>
        <v>76341.50855197756</v>
      </c>
      <c r="GZ23" s="32">
        <f t="shared" si="94"/>
        <v>1019655.3707134107</v>
      </c>
      <c r="HB23" s="3">
        <f t="shared" si="13"/>
        <v>13</v>
      </c>
      <c r="HC23" s="4" t="str">
        <f t="shared" si="195"/>
        <v>Multi-Year (O5&gt;12 = (BP+BAH+BAS+VSP+BCPSP)*12+ASP+ISP+MSP)</v>
      </c>
      <c r="HD23" s="4"/>
      <c r="HE23" s="4"/>
      <c r="HF23" s="4"/>
      <c r="HG23" s="4"/>
      <c r="HH23" s="5">
        <f t="shared" si="196"/>
        <v>169420.72</v>
      </c>
      <c r="HI23" s="5">
        <f t="shared" si="197"/>
        <v>21019.199999999997</v>
      </c>
      <c r="HJ23" s="5">
        <f t="shared" si="198"/>
        <v>190439.91999999998</v>
      </c>
      <c r="HK23" s="5">
        <f t="shared" si="199"/>
        <v>144712.40306693374</v>
      </c>
      <c r="HL23" s="5">
        <f t="shared" si="200"/>
        <v>17953.759980151739</v>
      </c>
      <c r="HM23" s="32">
        <f>IF(HK23-InputData!$C$158-InputData!$C$159&gt;=0,HK23-InputData!$C$158-InputData!$C$159,0)</f>
        <v>144712.40306693374</v>
      </c>
      <c r="HN23" s="32">
        <f>IF(HK23-IF(HK23&lt;=InputData!$C$146,InputData!$C$145,0)-MAX(InputData!$C$144,HT23)&gt;=0,HK23-IF(HK23&lt;=InputData!$C$146,InputData!$C$145,0)-MAX(InputData!$C$144,HT23),0)</f>
        <v>134712.40306693374</v>
      </c>
      <c r="HO23" s="32">
        <f>IF(HN23&lt;0,"Error",IF(HN23&lt;=InputData!$B$170,InputData!$C$170*HN23,IF(HN23&lt;=InputData!$B$171,InputData!$D$170+InputData!$C$171*(HN23-InputData!$B$170),IF(HN23&lt;=InputData!$B$172,InputData!$D$171+InputData!$C$172*(HN23-InputData!$B$171),IF(HN23&lt;=InputData!$B$173,InputData!$D$172+InputData!$C$173*(HN23-InputData!$B$172),IF(HN23&lt;=InputData!$B$174,InputData!$D$173+InputData!$C$174*(HN23-InputData!$B$173),IF(HN23&lt;=InputData!$B$175,InputData!$D$174+InputData!$C$175*(HN23-InputData!$B$174),InputData!$D$175+InputData!$C$176*(HN23-InputData!$B$175))))))))</f>
        <v>31012.72285874145</v>
      </c>
      <c r="HP23" s="32">
        <f>IF(HK23&lt;=InputData!$C$150,InputData!$C$152,IF(HK23&lt;InputData!$C$151,IF(InputData!$C$152-0.25*IF(HK23-InputData!$C$150&lt;=0,0,HK23-InputData!$C$150)&lt;=0,0,InputData!$C$152-0.25*IF(HK23-InputData!$C$150&lt;=0,0,HK23-InputData!$C$150)),0))</f>
        <v>44571.899233266566</v>
      </c>
      <c r="HQ23" s="32">
        <f>IF(HK23-HP23&lt;=0,0,IF(HK23-HP23&lt;=InputData!$C$153,InputData!$C$154*(HK23-HP23),InputData!$C$155*(HK23-HP23)-InputData!$D$154))</f>
        <v>26036.530996753467</v>
      </c>
      <c r="HR23" s="32">
        <f t="shared" si="95"/>
        <v>31012.72285874145</v>
      </c>
      <c r="HS23" s="32">
        <f>IF(HK23&gt;=0,IF(HK23&lt;=InputData!$C$148,InputData!$C$147*HK23,InputData!$C$147*InputData!$C$148)+InputData!$C$149*HK23,0)</f>
        <v>9147.7298444705393</v>
      </c>
      <c r="HT23" s="32">
        <f>IF(HM23&lt;0,0,IF(HM23&lt;=InputData!$B$163,InputData!$C$163*HM23,IF(HM23&lt;=InputData!$B$164,InputData!$D$163+InputData!$C$164*(HM23-InputData!$B$163),IF(HM23&lt;=InputData!$B$165,InputData!$D$164+InputData!$C$165*(HM23-InputData!$B$164),InputData!$D$165+InputData!$C$166*(HM23-InputData!$B$165)))))</f>
        <v>0</v>
      </c>
      <c r="HU23" s="43">
        <f t="shared" si="96"/>
        <v>0.27751907819979049</v>
      </c>
      <c r="HV23" s="43">
        <f t="shared" si="97"/>
        <v>0.24688879328632782</v>
      </c>
      <c r="HW23" s="5">
        <f t="shared" si="98"/>
        <v>122505.71034387351</v>
      </c>
      <c r="HX23" s="32">
        <f>HW23/((1+InputData!$C$7)^(IntMed!$B23-IntMed!$B$7))</f>
        <v>76341.50855197756</v>
      </c>
      <c r="HY23" s="32">
        <f t="shared" si="99"/>
        <v>997503.55330558703</v>
      </c>
      <c r="IA23" s="41"/>
      <c r="IB23" s="4" t="s">
        <v>109</v>
      </c>
      <c r="IC23" s="32">
        <f>MIN(InputData!$C$13+InputData!$E$13*($B23-$B$21),1)*IntMed!AW23</f>
        <v>240778.0841939121</v>
      </c>
      <c r="ID23" s="32">
        <f>MIN(InputData!$C$13+InputData!$E$13*($B23-$B$21),1)*IntMed!AX23</f>
        <v>0</v>
      </c>
      <c r="IE23" s="32">
        <f>MIN(InputData!$C$13+InputData!$E$13*($B23-$B$21),1)*IntMed!AY23</f>
        <v>240778.0841939121</v>
      </c>
      <c r="IF23" s="32">
        <f>MIN(InputData!$C$13+InputData!$E$13*($B23-$B$21),1)*IntMed!EO23</f>
        <v>175393.78746518874</v>
      </c>
      <c r="IG23" s="32">
        <f>MIN(InputData!$C$13+InputData!$E$13*($B23-$B$21),1)*IntMed!EP23</f>
        <v>0</v>
      </c>
      <c r="IH23" s="32">
        <f>IF(IF23-InputData!$C$158-InputData!$C$159&gt;=0,IF23-InputData!$C$158-InputData!$C$159,0)</f>
        <v>175393.78746518874</v>
      </c>
      <c r="II23" s="32">
        <f>IF(IF23-IF(IF23&lt;=InputData!$C$146,InputData!$C$145,0)-MAX(InputData!$C$144,IO23)&gt;=0,IF23-IF(IF23&lt;=InputData!$C$146,InputData!$C$145,0)-MAX(InputData!$C$144,IO23),0)</f>
        <v>169293.78746518874</v>
      </c>
      <c r="IJ23" s="32">
        <f>IF(II23&lt;0,"Error",IF(II23&lt;=InputData!$B$170,InputData!$C$170*II23,IF(II23&lt;=InputData!$B$171,InputData!$D$170+InputData!$C$171*(II23-InputData!$B$170),IF(II23&lt;=InputData!$B$172,InputData!$D$171+InputData!$C$172*(II23-InputData!$B$171),IF(II23&lt;=InputData!$B$173,InputData!$D$172+InputData!$C$173*(II23-InputData!$B$172),IF(II23&lt;=InputData!$B$174,InputData!$D$173+InputData!$C$174*(II23-InputData!$B$173),IF(II23&lt;=InputData!$B$175,InputData!$D$174+InputData!$C$175*(II23-InputData!$B$174),InputData!$D$175+InputData!$C$176*(II23-InputData!$B$175))))))))</f>
        <v>40695.510490252855</v>
      </c>
      <c r="IK23" s="32">
        <f>IF(IF23&lt;=InputData!$C$150,InputData!$C$152,IF(IF23&lt;InputData!$C$151,IF(InputData!$C$152-0.25*IF(IF23-InputData!$C$150&lt;=0,0,IF23-InputData!$C$150)&lt;=0,0,InputData!$C$152-0.25*IF(IF23-InputData!$C$150&lt;=0,0,IF23-InputData!$C$150)),0))</f>
        <v>36901.553133702815</v>
      </c>
      <c r="IL23" s="32">
        <f>IF(IF23-IK23&lt;=0,0,IF(IF23-IK23&lt;=InputData!$C$153,InputData!$C$154*(IF23-IK23),InputData!$C$155*(IF23-IK23)-InputData!$D$154))</f>
        <v>36007.980926186341</v>
      </c>
      <c r="IM23" s="32">
        <f t="shared" si="100"/>
        <v>40695.510490252855</v>
      </c>
      <c r="IN23" s="32">
        <f>IF(IF23&gt;=0,IF(IF23&lt;=InputData!$C$148,InputData!$C$147*IF23,InputData!$C$147*InputData!$C$148)+InputData!$C$149*IF23,0)</f>
        <v>9592.6099182452363</v>
      </c>
      <c r="IO23" s="32">
        <f>IF(IH23&lt;0,0,IF(IH23&lt;=InputData!$B$163,InputData!$C$163*IH23,IF(IH23&lt;=InputData!$B$164,InputData!$D$163+InputData!$C$164*(IH23-InputData!$B$163),IF(IH23&lt;=InputData!$B$165,InputData!$D$164+InputData!$C$165*(IH23-InputData!$B$164),InputData!$D$165+InputData!$C$166*(IH23-InputData!$B$165)))))</f>
        <v>0</v>
      </c>
      <c r="IP23" s="43">
        <f t="shared" si="101"/>
        <v>0.28671551675385892</v>
      </c>
      <c r="IQ23" s="43">
        <f t="shared" si="102"/>
        <v>0.28671551675385892</v>
      </c>
      <c r="IR23" s="5">
        <f t="shared" si="27"/>
        <v>125105.66705669067</v>
      </c>
      <c r="IS23" s="32">
        <f>IR23/((1+InputData!$C$7)^(IntMed!$B23-IntMed!$B$7))</f>
        <v>77961.715618808623</v>
      </c>
      <c r="IT23" s="5">
        <f t="shared" si="103"/>
        <v>1025626.4120104356</v>
      </c>
      <c r="IV23" s="41"/>
      <c r="IW23" s="49" t="s">
        <v>109</v>
      </c>
      <c r="IX23" s="32">
        <f>MIN(InputData!$C$13+InputData!$E$13*($B23-$B$18),1)*IntMed!AW23</f>
        <v>240778.0841939121</v>
      </c>
      <c r="IY23" s="32">
        <f>MIN(InputData!$C$13+InputData!$E$13*($B23-$B$18),1)*IntMed!AX23</f>
        <v>0</v>
      </c>
      <c r="IZ23" s="32">
        <f>MIN(InputData!$C$13+InputData!$E$13*($B23-$B$18),1)*IntMed!AY23</f>
        <v>240778.0841939121</v>
      </c>
      <c r="JA23" s="32">
        <f>MIN(InputData!$C$13+InputData!$E$13*($B23-$B$18),1)*IntMed!EO23</f>
        <v>175393.78746518874</v>
      </c>
      <c r="JB23" s="32">
        <f>MIN(InputData!$C$13+InputData!$E$13*($B23-$B$18),1)*IntMed!EP23</f>
        <v>0</v>
      </c>
      <c r="JC23" s="32">
        <f>IF(JA23-InputData!$C$158-InputData!$C$159&gt;=0,JA23-InputData!$C$158-InputData!$C$159,0)</f>
        <v>175393.78746518874</v>
      </c>
      <c r="JD23" s="32">
        <f>IF(JA23-IF(JA23&lt;=InputData!$C$146,InputData!$C$145,0)-MAX(InputData!$C$144,JJ23)&gt;=0,JA23-IF(JA23&lt;=InputData!$C$146,InputData!$C$145,0)-MAX(InputData!$C$144,JJ23),0)</f>
        <v>169293.78746518874</v>
      </c>
      <c r="JE23" s="32">
        <f>IF(JD23&lt;0,"Error",IF(JD23&lt;=InputData!$B$170,InputData!$C$170*JD23,IF(JD23&lt;=InputData!$B$171,InputData!$D$170+InputData!$C$171*(JD23-InputData!$B$170),IF(JD23&lt;=InputData!$B$172,InputData!$D$171+InputData!$C$172*(JD23-InputData!$B$171),IF(JD23&lt;=InputData!$B$173,InputData!$D$172+InputData!$C$173*(JD23-InputData!$B$172),IF(JD23&lt;=InputData!$B$174,InputData!$D$173+InputData!$C$174*(JD23-InputData!$B$173),IF(JD23&lt;=InputData!$B$175,InputData!$D$174+InputData!$C$175*(JD23-InputData!$B$174),InputData!$D$175+InputData!$C$176*(JD23-InputData!$B$175))))))))</f>
        <v>40695.510490252855</v>
      </c>
      <c r="JF23" s="32">
        <f>IF(JA23&lt;=InputData!$C$150,InputData!$C$152,IF(JA23&lt;InputData!$C$151,IF(InputData!$C$152-0.25*IF(JA23-InputData!$C$150&lt;=0,0,JA23-InputData!$C$150)&lt;=0,0,InputData!$C$152-0.25*IF(JA23-InputData!$C$150&lt;=0,0,JA23-InputData!$C$150)),0))</f>
        <v>36901.553133702815</v>
      </c>
      <c r="JG23" s="32">
        <f>IF(JA23-JF23&lt;=0,0,IF(JA23-JF23&lt;=InputData!$C$153,InputData!$C$154*(JA23-JF23),InputData!$C$155*(JA23-JF23)-InputData!$D$154))</f>
        <v>36007.980926186341</v>
      </c>
      <c r="JH23" s="32">
        <f t="shared" si="104"/>
        <v>40695.510490252855</v>
      </c>
      <c r="JI23" s="32">
        <f>IF(JA23&gt;=0,IF(JA23&lt;=InputData!$C$148,InputData!$C$147*JA23,InputData!$C$147*InputData!$C$148)+InputData!$C$149*JA23,0)</f>
        <v>9592.6099182452363</v>
      </c>
      <c r="JJ23" s="32">
        <f>IF(JC23&lt;0,0,IF(JC23&lt;=InputData!$B$163,InputData!$C$163*JC23,IF(JC23&lt;=InputData!$B$164,InputData!$D$163+InputData!$C$164*(JC23-InputData!$B$163),IF(JC23&lt;=InputData!$B$165,InputData!$D$164+InputData!$C$165*(JC23-InputData!$B$164),InputData!$D$165+InputData!$C$166*(JC23-InputData!$B$165)))))</f>
        <v>0</v>
      </c>
      <c r="JK23" s="42">
        <f t="shared" si="105"/>
        <v>0.28671551675385892</v>
      </c>
      <c r="JL23" s="42">
        <f t="shared" si="106"/>
        <v>0.28671551675385892</v>
      </c>
      <c r="JM23" s="32">
        <f t="shared" si="35"/>
        <v>125105.66705669067</v>
      </c>
      <c r="JN23" s="32">
        <f>JM23/((1+InputData!$C$7)^(IntMed!$B23-IntMed!$B$7))</f>
        <v>77961.715618808623</v>
      </c>
      <c r="JO23" s="32">
        <f t="shared" si="107"/>
        <v>1006978.1505580313</v>
      </c>
      <c r="JQ23" s="41" t="s">
        <v>109</v>
      </c>
      <c r="JR23" s="32">
        <f>$JR$14*(1+InputData!$C$3+InputData!$C$4)^(IntMed!$B23-IntMed!$B$14)</f>
        <v>209828.3958116881</v>
      </c>
      <c r="JS23" s="32">
        <v>0</v>
      </c>
      <c r="JT23" s="32">
        <f t="shared" si="108"/>
        <v>209828.3958116881</v>
      </c>
      <c r="JU23" s="5">
        <f>JR23*(1/(1+InputData!$C$3))^(IntMed!$B23-IntMed!$B$7)</f>
        <v>152848.61652739748</v>
      </c>
      <c r="JV23" s="5">
        <f>JS23*(1/(1+InputData!$C$3))^(IntMed!$B23-IntMed!$B$7)</f>
        <v>0</v>
      </c>
      <c r="JW23" s="32">
        <f>IF(JU23-InputData!$C$158-InputData!$C$159&gt;=0,JU23-InputData!$C$158-InputData!$C$159,0)</f>
        <v>152848.61652739748</v>
      </c>
      <c r="JX23" s="32">
        <f>IF(JU23-IF(JU23&lt;=InputData!$C$146,InputData!$C$145,0)-MAX(InputData!$C$144,KD23)&gt;=0,JU23-IF(JU23&lt;=InputData!$C$146,InputData!$C$145,0)-MAX(InputData!$C$144,KD23),0)</f>
        <v>146748.61652739748</v>
      </c>
      <c r="JY23" s="32">
        <f>IF(JX23&lt;0,"Error",IF(JX23&lt;=InputData!$B$170,InputData!$C$170*JX23,IF(JX23&lt;=InputData!$B$171,InputData!$D$170+InputData!$C$171*(JX23-InputData!$B$170),IF(JX23&lt;=InputData!$B$172,InputData!$D$171+InputData!$C$172*(JX23-InputData!$B$171),IF(JX23&lt;=InputData!$B$173,InputData!$D$172+InputData!$C$173*(JX23-InputData!$B$172),IF(JX23&lt;=InputData!$B$174,InputData!$D$173+InputData!$C$174*(JX23-InputData!$B$173),IF(JX23&lt;=InputData!$B$175,InputData!$D$174+InputData!$C$175*(JX23-InputData!$B$174),InputData!$D$175+InputData!$C$176*(JX23-InputData!$B$175))))))))</f>
        <v>34382.862627671297</v>
      </c>
      <c r="JZ23" s="32">
        <f>IF(JU23&lt;=InputData!$C$150,InputData!$C$152,IF(JU23&lt;InputData!$C$151,IF(InputData!$C$152-0.25*IF(JU23-InputData!$C$150&lt;=0,0,JU23-InputData!$C$150)&lt;=0,0,InputData!$C$152-0.25*IF(JU23-InputData!$C$150&lt;=0,0,JU23-InputData!$C$150)),0))</f>
        <v>42537.845868150631</v>
      </c>
      <c r="KA23" s="32">
        <f>IF(JU23-JZ23&lt;=0,0,IF(JU23-JZ23&lt;=InputData!$C$153,InputData!$C$154*(JU23-JZ23),InputData!$C$155*(JU23-JZ23)-InputData!$D$154))</f>
        <v>28680.800371404181</v>
      </c>
      <c r="KB23" s="32">
        <f t="shared" si="109"/>
        <v>34382.862627671297</v>
      </c>
      <c r="KC23" s="32">
        <f>IF(JU23&gt;=0,IF(JU23&lt;=InputData!$C$148,InputData!$C$147*JU23,InputData!$C$147*InputData!$C$148)+InputData!$C$149*JU23,0)</f>
        <v>9265.704939647263</v>
      </c>
      <c r="KD23" s="32">
        <f>IF(JW23&lt;0,0,IF(JW23&lt;=InputData!$B$163,InputData!$C$163*JW23,IF(JW23&lt;=InputData!$B$164,InputData!$D$163+InputData!$C$164*(JW23-InputData!$B$163),IF(JW23&lt;=InputData!$B$165,InputData!$D$164+InputData!$C$165*(JW23-InputData!$B$164),InputData!$D$165+InputData!$C$166*(JW23-InputData!$B$165)))))</f>
        <v>0</v>
      </c>
      <c r="KE23" s="43">
        <f t="shared" si="110"/>
        <v>0.2855673054750531</v>
      </c>
      <c r="KF23" s="43">
        <f t="shared" si="111"/>
        <v>0.2855673054750531</v>
      </c>
      <c r="KG23" s="5">
        <f t="shared" si="112"/>
        <v>109200.04896007892</v>
      </c>
      <c r="KH23" s="32">
        <f>KG23/((1+InputData!$C$7)^(IntMed!$B23-IntMed!$B$7))</f>
        <v>68049.860273139013</v>
      </c>
      <c r="KI23" s="5">
        <f t="shared" si="143"/>
        <v>911162.91751483921</v>
      </c>
      <c r="KK23" s="150">
        <v>5</v>
      </c>
      <c r="KL23" s="146" t="s">
        <v>378</v>
      </c>
      <c r="KM23">
        <v>38</v>
      </c>
      <c r="KN23" s="56" t="s">
        <v>367</v>
      </c>
      <c r="KO23" s="5">
        <f>InputData!$C134*(1+InputData!$C$5)^(IntMed!$B23-IntMed!$B$7)</f>
        <v>236087.20562702333</v>
      </c>
      <c r="KP23" s="5">
        <v>0</v>
      </c>
      <c r="KQ23" s="5">
        <f t="shared" si="169"/>
        <v>236087.20562702333</v>
      </c>
      <c r="KR23" s="32">
        <f>KR22*(1+InputData!$C$8)</f>
        <v>15773.307751491138</v>
      </c>
      <c r="KS23" s="5">
        <f>KO23*(1/(1+InputData!$C$3))^(IntMed!$B23-IntMed!$B$7)</f>
        <v>171976.73661049668</v>
      </c>
      <c r="KT23" s="5">
        <f>KP23*(1/(1+InputData!$C$3))^(IntMed!$B23-IntMed!$B$7)</f>
        <v>0</v>
      </c>
      <c r="KU23" s="134" t="s">
        <v>141</v>
      </c>
      <c r="KV23" s="32">
        <v>0</v>
      </c>
      <c r="KW23" s="133">
        <f t="shared" si="165"/>
        <v>175339.95982439825</v>
      </c>
      <c r="KX23" s="5">
        <f>KW23*InputData!$C$6</f>
        <v>10888.611505095132</v>
      </c>
      <c r="KY23" s="133">
        <f t="shared" si="166"/>
        <v>0</v>
      </c>
      <c r="KZ23" s="118">
        <f t="shared" si="155"/>
        <v>21242.724399978662</v>
      </c>
      <c r="LA23" s="32">
        <f t="shared" si="167"/>
        <v>164985.84692951469</v>
      </c>
      <c r="LB23" s="32">
        <f>KZ23/((1+InputData!$C$3)^(IntMed!$B23-IntMed!$B$7))</f>
        <v>15474.173661049679</v>
      </c>
      <c r="LC23" s="32">
        <f>IF(KS23-InputData!$C$158-InputData!$C$159&gt;=0,KS23-InputData!$C$158-InputData!$C$159,0)</f>
        <v>171976.73661049668</v>
      </c>
      <c r="LD23" s="32">
        <f>IF(KS23-IF(KS23&lt;=InputData!$C$146,InputData!$C$145,0)-MAX(InputData!$C$144,LJ23)&gt;=0,KS23-IF(KS23&lt;=InputData!$C$146,InputData!$C$145,0)-MAX(InputData!$C$144,LJ23),0)</f>
        <v>165876.73661049668</v>
      </c>
      <c r="LE23" s="32">
        <f>IF(LD23&lt;0,"Error",IF(LD23&lt;=InputData!$B$170,InputData!$C$170*LD23,IF(LD23&lt;=InputData!$B$171,InputData!$D$170+InputData!$C$171*(LD23-InputData!$B$170),IF(LD23&lt;=InputData!$B$172,InputData!$D$171+InputData!$C$172*(LD23-InputData!$B$171),IF(LD23&lt;=InputData!$B$173,InputData!$D$172+InputData!$C$173*(LD23-InputData!$B$172),IF(LD23&lt;=InputData!$B$174,InputData!$D$173+InputData!$C$174*(LD23-InputData!$B$173),IF(LD23&lt;=InputData!$B$175,InputData!$D$174+InputData!$C$175*(LD23-InputData!$B$174),InputData!$D$175+InputData!$C$176*(LD23-InputData!$B$175))))))))</f>
        <v>39738.736250939073</v>
      </c>
      <c r="LF23" s="32">
        <f>IF(KS23&lt;=InputData!$C$150,InputData!$C$152,IF(KS23&lt;InputData!$C$151,IF(InputData!$C$152-0.25*IF(KS23-InputData!$C$150&lt;=0,0,KS23-InputData!$C$150)&lt;=0,0,InputData!$C$152-0.25*IF(KS23-InputData!$C$150&lt;=0,0,KS23-InputData!$C$150)),0))</f>
        <v>37755.81584737583</v>
      </c>
      <c r="LG23" s="32">
        <f>IF(KS23-LF23&lt;=0,0,IF(KS23-LF23&lt;=InputData!$C$153,InputData!$C$154*(KS23-LF23),InputData!$C$155*(KS23-LF23)-InputData!$D$154))</f>
        <v>34897.439398411421</v>
      </c>
      <c r="LH23" s="32">
        <f t="shared" si="118"/>
        <v>39738.736250939073</v>
      </c>
      <c r="LI23" s="32">
        <f>IF(KS23&gt;=0,IF(KS23&lt;=InputData!$C$148,InputData!$C$147*KS23,InputData!$C$147*InputData!$C$148)+InputData!$C$149*KS23,0)</f>
        <v>9543.0626808522011</v>
      </c>
      <c r="LJ23" s="32">
        <f>IF(LC23&lt;0,0,IF(LC23&lt;=InputData!$B$163,InputData!$C$163*LC23,IF(LC23&lt;=InputData!$B$164,InputData!$D$163+InputData!$C$164*(LC23-InputData!$B$163),IF(LC23&lt;=InputData!$B$165,InputData!$D$164+InputData!$C$165*(LC23-InputData!$B$164),InputData!$D$165+InputData!$C$166*(LC23-InputData!$B$165)))))</f>
        <v>0</v>
      </c>
      <c r="LK23" s="43">
        <f t="shared" si="156"/>
        <v>0.28656084481593386</v>
      </c>
      <c r="LL23" s="32">
        <f t="shared" si="119"/>
        <v>122694.93767870541</v>
      </c>
      <c r="LM23" s="5">
        <f t="shared" si="120"/>
        <v>107220.76401765573</v>
      </c>
      <c r="LN23" s="32">
        <f>LM23/((1+InputData!$C$7)^(IntMed!$B23-IntMed!$B$7))</f>
        <v>66816.435333724701</v>
      </c>
      <c r="LO23" s="5">
        <f t="shared" si="145"/>
        <v>672847.30892490898</v>
      </c>
      <c r="LQ23" s="157" t="str">
        <f t="shared" si="37"/>
        <v>Private Practice</v>
      </c>
      <c r="LR23" s="32">
        <f t="shared" si="121"/>
        <v>267531.20465990232</v>
      </c>
      <c r="LS23" s="32">
        <v>0</v>
      </c>
      <c r="LT23" s="32">
        <f t="shared" si="123"/>
        <v>267531.20465990232</v>
      </c>
      <c r="LU23" s="32">
        <f>LU22*(1+InputData!$C$8)</f>
        <v>15773.307751491138</v>
      </c>
      <c r="LV23" s="32">
        <f>LR23/((1+InputData!$C$3)^(IntMed!$B23-IntMed!$B$7))</f>
        <v>194881.98607243193</v>
      </c>
      <c r="LW23" s="32">
        <f>LS23/((1+InputData!$C$3)^(IntMed!$B23-IntMed!$B$7))</f>
        <v>0</v>
      </c>
      <c r="LX23" s="32" t="s">
        <v>141</v>
      </c>
      <c r="LY23" s="32">
        <v>0</v>
      </c>
      <c r="LZ23" s="32">
        <f t="shared" si="189"/>
        <v>0</v>
      </c>
      <c r="MA23" s="32">
        <f>(LZ23)*InputData!$C$6</f>
        <v>0</v>
      </c>
      <c r="MB23" s="32">
        <f>MIN($BE$14*InputData!$C$6/(1-(1+InputData!$C$6)^(-10)), LZ23+MA23)</f>
        <v>0</v>
      </c>
      <c r="MC23" s="32">
        <f t="shared" si="168"/>
        <v>0</v>
      </c>
      <c r="MD23" s="32">
        <f>MB23/((1+InputData!$C$3)^(IntMed!$B23-IntMed!$B$7))</f>
        <v>0</v>
      </c>
      <c r="ME23" s="32">
        <f>IF(LV23-InputData!$C$158-InputData!$C$159&gt;=0,LV23-InputData!$C$158-InputData!$C$159,0)</f>
        <v>194881.98607243193</v>
      </c>
      <c r="MF23" s="32">
        <f>IF(LV23-IF(LV23&lt;=InputData!$C$146,InputData!$C$145,0)-MAX(InputData!$C$144,ML23)&gt;=0,LV23-IF(LV23&lt;=InputData!$C$146,InputData!$C$145,0)-MAX(InputData!$C$144,ML23),0)</f>
        <v>188781.98607243193</v>
      </c>
      <c r="MG23" s="32">
        <f>IF(MF23&lt;0,"Error",IF(MF23&lt;=InputData!$B$170,InputData!$C$170*MF23,IF(MF23&lt;=InputData!$B$171,InputData!$D$170+InputData!$C$171*(MF23-InputData!$B$170),IF(MF23&lt;=InputData!$B$172,InputData!$D$171+InputData!$C$172*(MF23-InputData!$B$171),IF(MF23&lt;=InputData!$B$173,InputData!$D$172+InputData!$C$173*(MF23-InputData!$B$172),IF(MF23&lt;=InputData!$B$174,InputData!$D$173+InputData!$C$174*(MF23-InputData!$B$173),IF(MF23&lt;=InputData!$B$175,InputData!$D$174+InputData!$C$175*(MF23-InputData!$B$174),InputData!$D$175+InputData!$C$176*(MF23-InputData!$B$175))))))))</f>
        <v>46428.805403902537</v>
      </c>
      <c r="MH23" s="32">
        <f>IF(LV23&lt;=InputData!$C$150,InputData!$C$152,IF(LV23&lt;InputData!$C$151,IF(InputData!$C$152-0.25*IF(LV23-InputData!$C$150&lt;=0,0,LV23-InputData!$C$150)&lt;=0,0,InputData!$C$152-0.25*IF(LV23-InputData!$C$150&lt;=0,0,LV23-InputData!$C$150)),0))</f>
        <v>32029.503481892018</v>
      </c>
      <c r="MI23" s="32">
        <f>IF(LV23-MH23&lt;=0,0,IF(LV23-MH23&lt;=InputData!$C$153,InputData!$C$154*(LV23-MH23),InputData!$C$155*(LV23-MH23)-InputData!$D$154))</f>
        <v>42341.645473540375</v>
      </c>
      <c r="MJ23" s="32">
        <f t="shared" si="124"/>
        <v>46428.805403902537</v>
      </c>
      <c r="MK23" s="32">
        <f>IF(LV23&gt;=0,IF(LV23&lt;=InputData!$C$148,InputData!$C$147*LV23,InputData!$C$147*InputData!$C$148)+InputData!$C$149*LV23,0)</f>
        <v>9875.1887980502634</v>
      </c>
      <c r="ML23" s="32">
        <f>IF(ME23&lt;0,0,IF(ME23&lt;=InputData!$B$163,InputData!$C$163*ME23,IF(ME23&lt;=InputData!$B$164,InputData!$D$163+InputData!$C$164*(ME23-InputData!$B$163),IF(ME23&lt;=InputData!$B$165,InputData!$D$164+InputData!$C$165*(ME23-InputData!$B$164),InputData!$D$165+InputData!$C$166*(ME23-InputData!$B$165)))))</f>
        <v>0</v>
      </c>
      <c r="MM23" s="43">
        <f t="shared" si="38"/>
        <v>0.28891328201584654</v>
      </c>
      <c r="MN23" s="32">
        <f t="shared" si="125"/>
        <v>138577.99187047913</v>
      </c>
      <c r="MO23" s="32">
        <f t="shared" si="126"/>
        <v>138577.99187047913</v>
      </c>
      <c r="MP23" s="32">
        <f>MO23/((1+InputData!$C$7)^(IntMed!$B23-IntMed!$B$7))</f>
        <v>86357.223037196367</v>
      </c>
      <c r="MQ23" s="5">
        <f t="shared" si="147"/>
        <v>1055527.4986542042</v>
      </c>
    </row>
    <row r="24" spans="1:355" ht="14.45" x14ac:dyDescent="0.3">
      <c r="A24" s="53">
        <v>2030</v>
      </c>
      <c r="B24" s="51">
        <v>18</v>
      </c>
      <c r="C24" s="4"/>
      <c r="D24" s="3">
        <v>14</v>
      </c>
      <c r="E24" s="4" t="s">
        <v>23</v>
      </c>
      <c r="F24" s="5">
        <f>InputData!$J$22*12</f>
        <v>85420.799999999988</v>
      </c>
      <c r="G24" s="5">
        <f>(InputData!$J$22+InputData!$H$45+InputData!$E$50)*12+InputData!$J$50+InputData!$D$57+InputData!$J$57</f>
        <v>169420.72</v>
      </c>
      <c r="H24" s="5">
        <f>(InputData!$C$33+InputData!$C$40)*12</f>
        <v>21019.199999999997</v>
      </c>
      <c r="I24" s="5">
        <f t="shared" si="39"/>
        <v>190439.91999999998</v>
      </c>
      <c r="J24" s="5">
        <f>G24*((1+InputData!$C$5)/(1+InputData!$C$3))^(IntMed!$B24-IntMed!$B$7)</f>
        <v>143293.65401725791</v>
      </c>
      <c r="K24" s="5">
        <f>H24*((1+InputData!$C$5)/(1+InputData!$C$3))^(IntMed!$B24-IntMed!$B$7)</f>
        <v>17777.742725444368</v>
      </c>
      <c r="L24" s="32">
        <f>IF(J24-InputData!$C$158-InputData!$C$159&gt;=0,J24-InputData!$C$158-InputData!$C$159,0)</f>
        <v>143293.65401725791</v>
      </c>
      <c r="M24" s="32">
        <f>IF(J24-IF(J24&lt;=InputData!$C$146,InputData!$C$145,0)-MAX(InputData!$C$144,S24)&gt;=0,J24-IF(J24&lt;=InputData!$C$146,InputData!$C$145,0)-MAX(InputData!$C$144,S24),0)</f>
        <v>133293.65401725791</v>
      </c>
      <c r="N24" s="32">
        <f>IF(M24&lt;0,"Error",IF(M24&lt;=InputData!$B$170,InputData!$C$170*M24,IF(M24&lt;=InputData!$B$171,InputData!$D$170+InputData!$C$171*(M24-InputData!$B$170),IF(M24&lt;=InputData!$B$172,InputData!$D$171+InputData!$C$172*(M24-InputData!$B$171),IF(M24&lt;=InputData!$B$173,InputData!$D$172+InputData!$C$173*(M24-InputData!$B$172),IF(M24&lt;=InputData!$B$174,InputData!$D$173+InputData!$C$174*(M24-InputData!$B$173),IF(M24&lt;=InputData!$B$175,InputData!$D$174+InputData!$C$175*(M24-InputData!$B$174),InputData!$D$175+InputData!$C$176*(M24-InputData!$B$175))))))))</f>
        <v>30615.473124832217</v>
      </c>
      <c r="O24" s="32">
        <f>IF(J24&lt;=InputData!$C$150,InputData!$C$152,IF(J24&lt;InputData!$C$151,IF(InputData!$C$152-0.25*IF(J24-InputData!$C$150&lt;=0,0,J24-InputData!$C$150)&lt;=0,0,InputData!$C$152-0.25*IF(J24-InputData!$C$150&lt;=0,0,J24-InputData!$C$150)),0))</f>
        <v>44926.586495685522</v>
      </c>
      <c r="P24" s="32">
        <f>IF(J24-O24&lt;=0,0,IF(J24-O24&lt;=InputData!$C$153,InputData!$C$154*(J24-O24),InputData!$C$155*(J24-O24)-InputData!$D$154))</f>
        <v>25575.437555608823</v>
      </c>
      <c r="Q24" s="32">
        <f t="shared" si="40"/>
        <v>30615.473124832217</v>
      </c>
      <c r="R24" s="32">
        <f>IF(J24&gt;=0,IF(J24&lt;=InputData!$C$148,InputData!$C$147*J24,InputData!$C$147*InputData!$C$148)+InputData!$C$149*J24,0)</f>
        <v>9127.1579832502393</v>
      </c>
      <c r="S24" s="32">
        <f>IF(L24&lt;0,0,IF(L24&lt;=InputData!$B$163,InputData!$C$163*L24,IF(L24&lt;=InputData!$B$164,InputData!$D$163+InputData!$C$164*(L24-InputData!$B$163),IF(L24&lt;=InputData!$B$165,InputData!$D$164+InputData!$C$165*(L24-InputData!$B$164),InputData!$D$165+InputData!$C$166*(L24-InputData!$B$165)))))</f>
        <v>0</v>
      </c>
      <c r="T24" s="43">
        <f t="shared" si="41"/>
        <v>0.27735095026117457</v>
      </c>
      <c r="U24" s="43">
        <f t="shared" si="42"/>
        <v>0.24673922193378561</v>
      </c>
      <c r="V24" s="5">
        <f t="shared" si="43"/>
        <v>121328.76563461983</v>
      </c>
      <c r="W24" s="32">
        <f>V24/((1+InputData!$C$7)^(IntMed!$B24-IntMed!$B$7))</f>
        <v>73405.898562990915</v>
      </c>
      <c r="X24" s="5">
        <f t="shared" si="127"/>
        <v>1093061.2692764015</v>
      </c>
      <c r="Y24" s="53"/>
      <c r="Z24" s="3">
        <v>14</v>
      </c>
      <c r="AA24" s="97" t="s">
        <v>263</v>
      </c>
      <c r="AB24" s="5">
        <f t="shared" si="192"/>
        <v>85420.799999999988</v>
      </c>
      <c r="AC24" s="5">
        <f t="shared" si="201"/>
        <v>169420.72</v>
      </c>
      <c r="AD24" s="5">
        <f t="shared" si="193"/>
        <v>21019.199999999997</v>
      </c>
      <c r="AE24" s="5">
        <f t="shared" si="202"/>
        <v>190439.91999999998</v>
      </c>
      <c r="AF24" s="5">
        <f>AC24*((1+InputData!$C$5)/(1+InputData!$C$3))^(IntMed!$B24-IntMed!$B$7)</f>
        <v>143293.65401725791</v>
      </c>
      <c r="AG24" s="5">
        <f>AD24*((1+InputData!$C$5)/(1+InputData!$C$3))^(IntMed!$B24-IntMed!$B$7)</f>
        <v>17777.742725444368</v>
      </c>
      <c r="AH24" s="32">
        <f>IF(AF24-InputData!$C$158-InputData!$C$159&gt;=0,AF24-InputData!$C$158-InputData!$C$159,0)</f>
        <v>143293.65401725791</v>
      </c>
      <c r="AI24" s="32">
        <f>IF(AF24-IF(AF24&lt;=InputData!$C$146,InputData!$C$145,0)-MAX(InputData!$C$144,AO24)&gt;=0,AF24-IF(AF24&lt;=InputData!$C$146,InputData!$C$145,0)-MAX(InputData!$C$144,AO24),0)</f>
        <v>133293.65401725791</v>
      </c>
      <c r="AJ24" s="32">
        <f>IF(AI24&lt;0,"Error",IF(AI24&lt;=InputData!$B$170,InputData!$C$170*AI24,IF(AI24&lt;=InputData!$B$171,InputData!$D$170+InputData!$C$171*(AI24-InputData!$B$170),IF(AI24&lt;=InputData!$B$172,InputData!$D$171+InputData!$C$172*(AI24-InputData!$B$171),IF(AI24&lt;=InputData!$B$173,InputData!$D$172+InputData!$C$173*(AI24-InputData!$B$172),IF(AI24&lt;=InputData!$B$174,InputData!$D$173+InputData!$C$174*(AI24-InputData!$B$173),IF(AI24&lt;=InputData!$B$175,InputData!$D$174+InputData!$C$175*(AI24-InputData!$B$174),InputData!$D$175+InputData!$C$176*(AI24-InputData!$B$175))))))))</f>
        <v>30615.473124832217</v>
      </c>
      <c r="AK24" s="32">
        <f>IF(AF24&lt;=InputData!$C$150,InputData!$C$152,IF(AF24&lt;InputData!$C$151,IF(InputData!$C$152-0.25*IF(AF24-InputData!$C$150&lt;=0,0,AF24-InputData!$C$150)&lt;=0,0,InputData!$C$152-0.25*IF(AF24-InputData!$C$150&lt;=0,0,AF24-InputData!$C$150)),0))</f>
        <v>44926.586495685522</v>
      </c>
      <c r="AL24" s="32">
        <f>IF(AF24-AK24&lt;=0,0,IF(AF24-AK24&lt;=InputData!$C$153,InputData!$C$154*(AF24-AK24),InputData!$C$155*(AF24-AK24)-InputData!$D$154))</f>
        <v>25575.437555608823</v>
      </c>
      <c r="AM24" s="32">
        <f t="shared" si="45"/>
        <v>30615.473124832217</v>
      </c>
      <c r="AN24" s="32">
        <f>IF(AF24&gt;=0,IF(AF24&lt;=InputData!$C$148,InputData!$C$147*AF24,InputData!$C$147*InputData!$C$148)+InputData!$C$149*AF24,0)</f>
        <v>9127.1579832502393</v>
      </c>
      <c r="AO24" s="32">
        <f>IF(AH24&lt;0,0,IF(AH24&lt;=InputData!$B$163,InputData!$C$163*AH24,IF(AH24&lt;=InputData!$B$164,InputData!$D$163+InputData!$C$164*(AH24-InputData!$B$163),IF(AH24&lt;=InputData!$B$165,InputData!$D$164+InputData!$C$165*(AH24-InputData!$B$164),InputData!$D$165+InputData!$C$166*(AH24-InputData!$B$165)))))</f>
        <v>0</v>
      </c>
      <c r="AP24" s="43">
        <f t="shared" si="46"/>
        <v>0.27735095026117457</v>
      </c>
      <c r="AQ24" s="43">
        <f t="shared" si="47"/>
        <v>0.24673922193378561</v>
      </c>
      <c r="AR24" s="5">
        <f t="shared" si="48"/>
        <v>121328.76563461983</v>
      </c>
      <c r="AS24" s="32">
        <f>AR24/((1+InputData!$C$7)^(IntMed!$B24-IntMed!$B$7))</f>
        <v>73405.898562990915</v>
      </c>
      <c r="AT24" s="5">
        <f t="shared" si="128"/>
        <v>1070909.4518685779</v>
      </c>
      <c r="AU24" s="53"/>
      <c r="AV24" s="41" t="s">
        <v>109</v>
      </c>
      <c r="AW24" s="32">
        <f>$AW$14*(1+InputData!$C$3+InputData!$C$4)^(IntMed!$B24-IntMed!$B$14)</f>
        <v>275557.14079969941</v>
      </c>
      <c r="AX24" s="32">
        <v>0</v>
      </c>
      <c r="AY24" s="32">
        <f t="shared" si="50"/>
        <v>275557.14079969941</v>
      </c>
      <c r="AZ24" s="32">
        <f>AZ23*(1+InputData!$C$8)</f>
        <v>16088.773906520961</v>
      </c>
      <c r="BA24" s="32">
        <f>AW24/((1+InputData!$C$3)^(IntMed!$B24-IntMed!$B$7))</f>
        <v>196792.59377902441</v>
      </c>
      <c r="BB24" s="32">
        <f>AX24/((1+InputData!$C$3)^(IntMed!$B24-IntMed!$B$7))</f>
        <v>0</v>
      </c>
      <c r="BC24" s="32" t="s">
        <v>141</v>
      </c>
      <c r="BD24" s="32">
        <v>0</v>
      </c>
      <c r="BE24" s="32">
        <f t="shared" si="174"/>
        <v>3.0559021979570389E-10</v>
      </c>
      <c r="BF24" s="32">
        <f>(BE24)*InputData!$C$6</f>
        <v>1.8977152649313212E-11</v>
      </c>
      <c r="BG24" s="32">
        <f>MIN($BE$14*InputData!$C$6/(1-(1+InputData!$C$6)^(-10)), BE24+BF24)</f>
        <v>3.2456737244501707E-10</v>
      </c>
      <c r="BH24" s="32">
        <f t="shared" si="157"/>
        <v>0</v>
      </c>
      <c r="BI24" s="32">
        <f>BG24/((1+InputData!$C$3)^(IntMed!$B24-IntMed!$B$7))</f>
        <v>2.3179386639784457E-10</v>
      </c>
      <c r="BJ24" s="32">
        <f>IF(BA24-InputData!$C$158-InputData!$C$159&gt;=0,BA24-InputData!$C$158-InputData!$C$159,0)</f>
        <v>196792.59377902441</v>
      </c>
      <c r="BK24" s="32">
        <f>IF(BA24-IF(BA24&lt;=InputData!$C$146,InputData!$C$145,0)-MAX(InputData!$C$144,BQ24)&gt;=0,BA24-IF(BA24&lt;=InputData!$C$146,InputData!$C$145,0)-MAX(InputData!$C$144,BQ24),0)</f>
        <v>190692.59377902441</v>
      </c>
      <c r="BL24" s="32">
        <f>IF(BK24&lt;0,"Error",IF(BK24&lt;=InputData!$B$170,InputData!$C$170*BK24,IF(BK24&lt;=InputData!$B$171,InputData!$D$170+InputData!$C$171*(BK24-InputData!$B$170),IF(BK24&lt;=InputData!$B$172,InputData!$D$171+InputData!$C$172*(BK24-InputData!$B$171),IF(BK24&lt;=InputData!$B$173,InputData!$D$172+InputData!$C$173*(BK24-InputData!$B$172),IF(BK24&lt;=InputData!$B$174,InputData!$D$173+InputData!$C$174*(BK24-InputData!$B$173),IF(BK24&lt;=InputData!$B$175,InputData!$D$174+InputData!$C$175*(BK24-InputData!$B$174),InputData!$D$175+InputData!$C$176*(BK24-InputData!$B$175))))))))</f>
        <v>47059.305947078057</v>
      </c>
      <c r="BM24" s="32">
        <f>IF(BA24&lt;=InputData!$C$150,InputData!$C$152,IF(BA24&lt;InputData!$C$151,IF(InputData!$C$152-0.25*IF(BA24-InputData!$C$150&lt;=0,0,BA24-InputData!$C$150)&lt;=0,0,InputData!$C$152-0.25*IF(BA24-InputData!$C$150&lt;=0,0,BA24-InputData!$C$150)),0))</f>
        <v>31551.851555243898</v>
      </c>
      <c r="BN24" s="32">
        <f>IF(BA24-BM24&lt;=0,0,IF(BA24-BM24&lt;=InputData!$C$153,InputData!$C$154*(BA24-BM24),InputData!$C$155*(BA24-BM24)-InputData!$D$154))</f>
        <v>42962.592978182933</v>
      </c>
      <c r="BO24" s="32">
        <f t="shared" si="51"/>
        <v>47059.305947078057</v>
      </c>
      <c r="BP24" s="32">
        <f>IF(BA24&gt;=0,IF(BA24&lt;=InputData!$C$148,InputData!$C$147*BA24,InputData!$C$147*InputData!$C$148)+InputData!$C$149*BA24,0)</f>
        <v>9902.8926097958538</v>
      </c>
      <c r="BQ24" s="32">
        <f>IF(BJ24&lt;0,0,IF(BJ24&lt;=InputData!$B$163,InputData!$C$163*BJ24,IF(BJ24&lt;=InputData!$B$164,InputData!$D$163+InputData!$C$164*(BJ24-InputData!$B$163),IF(BJ24&lt;=InputData!$B$165,InputData!$D$164+InputData!$C$165*(BJ24-InputData!$B$164),InputData!$D$165+InputData!$C$166*(BJ24-InputData!$B$165)))))</f>
        <v>0</v>
      </c>
      <c r="BR24" s="43">
        <f t="shared" si="52"/>
        <v>0.28945295888947908</v>
      </c>
      <c r="BS24" s="32">
        <f t="shared" si="53"/>
        <v>139830.39522215049</v>
      </c>
      <c r="BT24" s="32">
        <f t="shared" si="54"/>
        <v>139830.39522215025</v>
      </c>
      <c r="BU24" s="32">
        <f>BT24/((1+InputData!$C$7)^(IntMed!$B24-IntMed!$B$7))</f>
        <v>84599.688738375029</v>
      </c>
      <c r="BV24" s="5">
        <f t="shared" si="130"/>
        <v>756455.63936790894</v>
      </c>
      <c r="BW24" s="5"/>
      <c r="BX24" s="32" t="s">
        <v>141</v>
      </c>
      <c r="BY24" s="5">
        <f t="shared" si="175"/>
        <v>187593.72810391057</v>
      </c>
      <c r="BZ24" s="32">
        <f>(BY24)*InputData!$C$6</f>
        <v>11649.570515252846</v>
      </c>
      <c r="CA24" s="32">
        <f>MIN($BY$14*InputData!$C$6/(1-(1+InputData!$C$6)^(-25)), BY24+BZ24)</f>
        <v>19581.069601718285</v>
      </c>
      <c r="CB24" s="32">
        <f t="shared" si="176"/>
        <v>179662.22901744515</v>
      </c>
      <c r="CC24" s="32">
        <f>CA24/((1+InputData!$C$3)^(IntMed!$B24-IntMed!$B$7))</f>
        <v>13984.066842567388</v>
      </c>
      <c r="CD24" s="5">
        <f t="shared" si="58"/>
        <v>125846.32837958309</v>
      </c>
      <c r="CE24" s="32">
        <f>CD24/((1+InputData!$C$7)^(IntMed!$B24-IntMed!$B$7))</f>
        <v>76139.098318829332</v>
      </c>
      <c r="CF24" s="5">
        <f t="shared" si="131"/>
        <v>828684.55019145983</v>
      </c>
      <c r="CG24" s="5"/>
      <c r="CH24" s="32" t="s">
        <v>141</v>
      </c>
      <c r="CI24" s="5">
        <f t="shared" si="177"/>
        <v>34255.014891371</v>
      </c>
      <c r="CJ24" s="32">
        <f>(CI24)*InputData!$C$6</f>
        <v>2127.2364247541391</v>
      </c>
      <c r="CK24" s="32">
        <f t="shared" si="170"/>
        <v>33673.665953283198</v>
      </c>
      <c r="CL24" s="32">
        <f t="shared" si="178"/>
        <v>2708.5853628419427</v>
      </c>
      <c r="CM24" s="32">
        <f>CK24/((1+InputData!$C$3)^(IntMed!$B24-IntMed!$B$7))</f>
        <v>24048.471564784992</v>
      </c>
      <c r="CN24" s="5">
        <f t="shared" si="62"/>
        <v>115781.92365736549</v>
      </c>
      <c r="CO24" s="32">
        <f>CN24/((1+InputData!$C$7)^(IntMed!$B24-IntMed!$B$7))</f>
        <v>70049.967944249904</v>
      </c>
      <c r="CP24" s="5">
        <f t="shared" si="132"/>
        <v>756265.3400506035</v>
      </c>
      <c r="CQ24" s="5"/>
      <c r="CR24" s="32" t="s">
        <v>141</v>
      </c>
      <c r="CS24" s="5">
        <f t="shared" si="179"/>
        <v>168476.97647738256</v>
      </c>
      <c r="CT24" s="32">
        <f>(CS24)*InputData!$C$6</f>
        <v>10462.420239245457</v>
      </c>
      <c r="CU24" s="32">
        <f t="shared" si="171"/>
        <v>25142.397993991799</v>
      </c>
      <c r="CV24" s="32">
        <f t="shared" si="180"/>
        <v>153796.99872263623</v>
      </c>
      <c r="CW24" s="32">
        <f>CU24/((1+InputData!$C$3)^(IntMed!$B24-IntMed!$B$7))</f>
        <v>17955.759377902443</v>
      </c>
      <c r="CX24" s="5">
        <f t="shared" si="66"/>
        <v>121874.63584424804</v>
      </c>
      <c r="CY24" s="32">
        <f>CX24/((1+InputData!$C$7)^(IntMed!$B24-IntMed!$B$7))</f>
        <v>73736.159017112703</v>
      </c>
      <c r="CZ24" s="5">
        <f t="shared" si="133"/>
        <v>817731.0037685649</v>
      </c>
      <c r="DA24" s="5"/>
      <c r="DB24" s="32" t="s">
        <v>141</v>
      </c>
      <c r="DC24" s="5">
        <f t="shared" si="158"/>
        <v>0</v>
      </c>
      <c r="DD24" s="5">
        <f>DC24*InputData!$C$6</f>
        <v>0</v>
      </c>
      <c r="DE24" s="32">
        <f t="shared" si="159"/>
        <v>0</v>
      </c>
      <c r="DF24" s="32">
        <f t="shared" si="160"/>
        <v>0</v>
      </c>
      <c r="DG24" s="32">
        <f>DE24/((1+InputData!$C$3)^(IntMed!$B24-IntMed!$B$7))</f>
        <v>0</v>
      </c>
      <c r="DH24" s="5">
        <f t="shared" si="70"/>
        <v>139830.39522215049</v>
      </c>
      <c r="DI24" s="32">
        <f>DH24/((1+InputData!$C$7)^(IntMed!$B24-IntMed!$B$7))</f>
        <v>84599.688738375175</v>
      </c>
      <c r="DJ24" s="5">
        <f t="shared" si="134"/>
        <v>760388.41094825533</v>
      </c>
      <c r="DK24" s="5"/>
      <c r="DL24" s="32" t="s">
        <v>141</v>
      </c>
      <c r="DM24" s="32">
        <f t="shared" si="181"/>
        <v>29855.471648086892</v>
      </c>
      <c r="DN24" s="5">
        <f>DM24*InputData!$C$6</f>
        <v>1854.024789346196</v>
      </c>
      <c r="DO24" s="32">
        <f t="shared" si="182"/>
        <v>0</v>
      </c>
      <c r="DP24" s="32">
        <f t="shared" si="150"/>
        <v>29148.379963889372</v>
      </c>
      <c r="DQ24" s="32">
        <f t="shared" si="151"/>
        <v>2561.116473543716</v>
      </c>
      <c r="DR24" s="32">
        <f>DP24/((1+InputData!$C$3)^(IntMed!$B24-IntMed!$B$7))</f>
        <v>20816.681726712824</v>
      </c>
      <c r="DS24" s="5">
        <f t="shared" si="74"/>
        <v>119013.71349543767</v>
      </c>
      <c r="DT24" s="32">
        <f>DS24/((1+InputData!$C$7)^(IntMed!$B24-IntMed!$B$7))</f>
        <v>72005.25394579758</v>
      </c>
      <c r="DU24" s="5">
        <f t="shared" si="136"/>
        <v>757506.96127388917</v>
      </c>
      <c r="DV24" s="5"/>
      <c r="DW24" s="32" t="s">
        <v>141</v>
      </c>
      <c r="DX24" s="133">
        <f t="shared" si="161"/>
        <v>142115.68990214617</v>
      </c>
      <c r="DY24" s="5">
        <f>DX24*InputData!$C$6</f>
        <v>8825.3843429232784</v>
      </c>
      <c r="DZ24" s="133">
        <f t="shared" si="162"/>
        <v>0</v>
      </c>
      <c r="EA24" s="32">
        <f t="shared" si="163"/>
        <v>25142.397993991799</v>
      </c>
      <c r="EB24" s="32">
        <f t="shared" si="164"/>
        <v>125798.67625107765</v>
      </c>
      <c r="EC24" s="32">
        <f>EA24/((1+InputData!$C$3)^(IntMed!$B24-IntMed!$B$7))</f>
        <v>17955.759377902443</v>
      </c>
      <c r="ED24" s="5">
        <f t="shared" si="78"/>
        <v>121874.63584424804</v>
      </c>
      <c r="EE24" s="32">
        <f>ED24/((1+InputData!$C$7)^(IntMed!$B24-IntMed!$B$7))</f>
        <v>73736.159017112703</v>
      </c>
      <c r="EF24" s="5">
        <f t="shared" si="138"/>
        <v>808687.96447066683</v>
      </c>
      <c r="EG24" s="32"/>
      <c r="EH24" s="130" t="s">
        <v>141</v>
      </c>
      <c r="EI24" s="32">
        <v>0</v>
      </c>
      <c r="EJ24" s="32">
        <f t="shared" si="190"/>
        <v>174215.48496998829</v>
      </c>
      <c r="EK24" s="32">
        <f>EJ24*InputData!$C$6</f>
        <v>10818.781616636274</v>
      </c>
      <c r="EL24" s="32">
        <f t="shared" si="191"/>
        <v>159891.86859263282</v>
      </c>
      <c r="EM24" s="32">
        <f>EM23*(1+InputData!$C$8)</f>
        <v>16088.773906520961</v>
      </c>
      <c r="EN24" s="32">
        <f t="shared" si="172"/>
        <v>25142.397993991799</v>
      </c>
      <c r="EO24" s="32">
        <f>AW24/((1+InputData!$C$3)^(IntMed!$B24-IntMed!$B$7))</f>
        <v>196792.59377902441</v>
      </c>
      <c r="EP24" s="32">
        <f>AX24/((1+InputData!$C$3)^(IntMed!$B24-IntMed!$B$7))</f>
        <v>0</v>
      </c>
      <c r="EQ24" s="32">
        <v>46797.78</v>
      </c>
      <c r="ER24" s="32">
        <v>8602.67</v>
      </c>
      <c r="ES24" s="32">
        <v>0</v>
      </c>
      <c r="ET24" s="42">
        <f t="shared" si="154"/>
        <v>0.28151694601987093</v>
      </c>
      <c r="EU24" s="32">
        <f t="shared" si="79"/>
        <v>141392.14377902439</v>
      </c>
      <c r="EV24" s="32">
        <f>EN24/((1+InputData!$C$3)^(IntMed!$B24-IntMed!$B$7))</f>
        <v>17955.759377902443</v>
      </c>
      <c r="EW24" s="32">
        <f t="shared" si="80"/>
        <v>123436.38440112195</v>
      </c>
      <c r="EX24" s="32">
        <f>EW24/((1+InputData!$C$7)^(IntMed!$B24-IntMed!$B$7))</f>
        <v>74681.042578295761</v>
      </c>
      <c r="EY24" s="5">
        <f t="shared" si="148"/>
        <v>831525.64998364041</v>
      </c>
      <c r="EZ24" s="79"/>
      <c r="FA24" s="32">
        <f t="shared" ref="FA24:FA36" si="203">FC23</f>
        <v>2.7648638933897018E-10</v>
      </c>
      <c r="FB24" s="32">
        <f>FA24*InputData!$C$6</f>
        <v>1.7169804777950048E-11</v>
      </c>
      <c r="FC24" s="32">
        <f t="shared" ref="FC24:FC36" si="204">FC23+$EI24+FB24-FD24</f>
        <v>0</v>
      </c>
      <c r="FD24" s="53">
        <f>MIN($EJ$14*InputData!$C$6/(1-(1+InputData!$C$6)^(-10)), FA24+FB24)</f>
        <v>2.9365619411692023E-10</v>
      </c>
      <c r="FE24" s="32">
        <f>FD24/((1+InputData!$C$3)^(IntMed!$B24-IntMed!$B$7))</f>
        <v>2.0971826007424032E-10</v>
      </c>
      <c r="FF24" s="5">
        <f t="shared" si="84"/>
        <v>141392.14377902419</v>
      </c>
      <c r="FG24" s="32">
        <f>FF24/((1+InputData!$C$7)^(IntMed!$B24-IntMed!$B$7))</f>
        <v>85544.572299558102</v>
      </c>
      <c r="FH24" s="5">
        <f t="shared" si="140"/>
        <v>767781.98670738924</v>
      </c>
      <c r="FI24" s="79"/>
      <c r="FJ24" s="32">
        <f t="shared" si="185"/>
        <v>189995.32239300627</v>
      </c>
      <c r="FK24" s="32">
        <f>FJ24*InputData!$C$6</f>
        <v>11798.709520605689</v>
      </c>
      <c r="FL24" s="32">
        <f t="shared" si="186"/>
        <v>181962.28343576501</v>
      </c>
      <c r="FM24" s="53">
        <f>MIN($EJ$14*InputData!$C$6/(1-(1+InputData!$C$6)^(-25)), FJ24+FK24)</f>
        <v>19831.748477846937</v>
      </c>
      <c r="FN24" s="32">
        <f>FM24/((1+InputData!$C$3)^(IntMed!$B24-IntMed!$B$7))</f>
        <v>14163.092311099257</v>
      </c>
      <c r="FO24" s="5">
        <f t="shared" si="88"/>
        <v>127229.05146792514</v>
      </c>
      <c r="FP24" s="32">
        <f>FO24/((1+InputData!$C$7)^(IntMed!$B24-IntMed!$B$7))</f>
        <v>76975.668527325543</v>
      </c>
      <c r="FQ24" s="5">
        <f t="shared" si="141"/>
        <v>840935.57950988843</v>
      </c>
      <c r="FR24" s="79"/>
      <c r="FS24" s="32">
        <f t="shared" si="187"/>
        <v>38618.266892036787</v>
      </c>
      <c r="FT24" s="32">
        <f>FS24*InputData!$C$6</f>
        <v>2398.1943739954845</v>
      </c>
      <c r="FU24" s="32">
        <f t="shared" si="188"/>
        <v>6911.7015621012542</v>
      </c>
      <c r="FV24" s="5">
        <f t="shared" si="173"/>
        <v>34104.75970393102</v>
      </c>
      <c r="FW24" s="32">
        <f>FV24/((1+InputData!$C$3)^(IntMed!$B24-IntMed!$B$7))</f>
        <v>24356.34258241026</v>
      </c>
      <c r="FX24" s="5">
        <f t="shared" si="92"/>
        <v>117035.80119661413</v>
      </c>
      <c r="FY24" s="32">
        <f>FX24/((1+InputData!$C$7)^(IntMed!$B24-IntMed!$B$7))</f>
        <v>70808.584476570701</v>
      </c>
      <c r="FZ24" s="5">
        <f t="shared" si="142"/>
        <v>769256.43570598878</v>
      </c>
      <c r="GC24" s="3">
        <f t="shared" si="3"/>
        <v>14</v>
      </c>
      <c r="GD24" s="122" t="str">
        <f t="shared" si="4"/>
        <v>Multi-Year (O5&gt;12 = (BP+BAH+BAS+VSP+BCPSP)*12+ASP+ISP+MSP)</v>
      </c>
      <c r="GE24" s="4"/>
      <c r="GF24" s="4"/>
      <c r="GG24" s="4"/>
      <c r="GH24" s="4"/>
      <c r="GI24" s="5">
        <f t="shared" si="5"/>
        <v>169420.72</v>
      </c>
      <c r="GJ24" s="5">
        <f t="shared" si="6"/>
        <v>21019.199999999997</v>
      </c>
      <c r="GK24" s="5">
        <f t="shared" si="7"/>
        <v>190439.91999999998</v>
      </c>
      <c r="GL24" s="5">
        <f t="shared" si="8"/>
        <v>143293.65401725791</v>
      </c>
      <c r="GM24" s="5">
        <f t="shared" si="9"/>
        <v>17777.742725444368</v>
      </c>
      <c r="GN24" s="32">
        <f>IF(GL24-InputData!$C$158-InputData!$C$159&gt;=0,GL24-InputData!$C$158-InputData!$C$159,0)</f>
        <v>143293.65401725791</v>
      </c>
      <c r="GO24" s="32">
        <f>IF(GL24-IF(GL24&lt;=InputData!$C$146,InputData!$C$145,0)-MAX(InputData!$C$144,GU24)&gt;=0,GL24-IF(GL24&lt;=InputData!$C$146,InputData!$C$145,0)-MAX(InputData!$C$144,GU24),0)</f>
        <v>133293.65401725791</v>
      </c>
      <c r="GP24" s="32">
        <f>IF(GO24&lt;0,"Error",IF(GO24&lt;=InputData!$B$170,InputData!$C$170*GO24,IF(GO24&lt;=InputData!$B$171,InputData!$D$170+InputData!$C$171*(GO24-InputData!$B$170),IF(GO24&lt;=InputData!$B$172,InputData!$D$171+InputData!$C$172*(GO24-InputData!$B$171),IF(GO24&lt;=InputData!$B$173,InputData!$D$172+InputData!$C$173*(GO24-InputData!$B$172),IF(GO24&lt;=InputData!$B$174,InputData!$D$173+InputData!$C$174*(GO24-InputData!$B$173),IF(GO24&lt;=InputData!$B$175,InputData!$D$174+InputData!$C$175*(GO24-InputData!$B$174),InputData!$D$175+InputData!$C$176*(GO24-InputData!$B$175))))))))</f>
        <v>30615.473124832217</v>
      </c>
      <c r="GQ24" s="32">
        <f>IF(GL24&lt;=InputData!$C$150,InputData!$C$152,IF(GL24&lt;InputData!$C$151,IF(InputData!$C$152-0.25*IF(GL24-InputData!$C$150&lt;=0,0,GL24-InputData!$C$150)&lt;=0,0,InputData!$C$152-0.25*IF(GL24-InputData!$C$150&lt;=0,0,GL24-InputData!$C$150)),0))</f>
        <v>44926.586495685522</v>
      </c>
      <c r="GR24" s="32">
        <f>IF(GL24-GQ24&lt;=0,0,IF(GL24-GQ24&lt;=InputData!$C$153,InputData!$C$154*(GL24-GQ24),InputData!$C$155*(GL24-GQ24)-InputData!$D$154))</f>
        <v>25575.437555608823</v>
      </c>
      <c r="GS24" s="32">
        <f t="shared" si="93"/>
        <v>30615.473124832217</v>
      </c>
      <c r="GT24" s="32">
        <f>IF(GL24&gt;=0,IF(GL24&lt;=InputData!$C$148,InputData!$C$147*GL24,InputData!$C$147*InputData!$C$148)+InputData!$C$149*GL24,0)</f>
        <v>9127.1579832502393</v>
      </c>
      <c r="GU24" s="32">
        <f>IF(GN24&lt;0,0,IF(GN24&lt;=InputData!$B$163,InputData!$C$163*GN24,IF(GN24&lt;=InputData!$B$164,InputData!$D$163+InputData!$C$164*(GN24-InputData!$B$163),IF(GN24&lt;=InputData!$B$165,InputData!$D$164+InputData!$C$165*(GN24-InputData!$B$164),InputData!$D$165+InputData!$C$166*(GN24-InputData!$B$165)))))</f>
        <v>0</v>
      </c>
      <c r="GV24" s="43">
        <f t="shared" si="10"/>
        <v>0.27735095026117457</v>
      </c>
      <c r="GW24" s="43">
        <f t="shared" si="11"/>
        <v>0.24673922193378561</v>
      </c>
      <c r="GX24" s="5">
        <f t="shared" si="12"/>
        <v>121328.76563461983</v>
      </c>
      <c r="GY24" s="32">
        <f>GX24/((1+InputData!$C$7)^(IntMed!$B24-IntMed!$B$7))</f>
        <v>73405.898562990915</v>
      </c>
      <c r="GZ24" s="32">
        <f t="shared" si="94"/>
        <v>1093061.2692764015</v>
      </c>
      <c r="HB24" s="3">
        <f t="shared" si="13"/>
        <v>14</v>
      </c>
      <c r="HC24" s="4" t="str">
        <f t="shared" si="195"/>
        <v>Multi-Year (O5&gt;12 = (BP+BAH+BAS+VSP+BCPSP)*12+ASP+ISP+MSP)</v>
      </c>
      <c r="HD24" s="4"/>
      <c r="HE24" s="4"/>
      <c r="HF24" s="4"/>
      <c r="HG24" s="4"/>
      <c r="HH24" s="5">
        <f t="shared" si="196"/>
        <v>169420.72</v>
      </c>
      <c r="HI24" s="5">
        <f t="shared" si="197"/>
        <v>21019.199999999997</v>
      </c>
      <c r="HJ24" s="5">
        <f t="shared" si="198"/>
        <v>190439.91999999998</v>
      </c>
      <c r="HK24" s="5">
        <f t="shared" si="199"/>
        <v>143293.65401725791</v>
      </c>
      <c r="HL24" s="5">
        <f t="shared" si="200"/>
        <v>17777.742725444368</v>
      </c>
      <c r="HM24" s="32">
        <f>IF(HK24-InputData!$C$158-InputData!$C$159&gt;=0,HK24-InputData!$C$158-InputData!$C$159,0)</f>
        <v>143293.65401725791</v>
      </c>
      <c r="HN24" s="32">
        <f>IF(HK24-IF(HK24&lt;=InputData!$C$146,InputData!$C$145,0)-MAX(InputData!$C$144,HT24)&gt;=0,HK24-IF(HK24&lt;=InputData!$C$146,InputData!$C$145,0)-MAX(InputData!$C$144,HT24),0)</f>
        <v>133293.65401725791</v>
      </c>
      <c r="HO24" s="32">
        <f>IF(HN24&lt;0,"Error",IF(HN24&lt;=InputData!$B$170,InputData!$C$170*HN24,IF(HN24&lt;=InputData!$B$171,InputData!$D$170+InputData!$C$171*(HN24-InputData!$B$170),IF(HN24&lt;=InputData!$B$172,InputData!$D$171+InputData!$C$172*(HN24-InputData!$B$171),IF(HN24&lt;=InputData!$B$173,InputData!$D$172+InputData!$C$173*(HN24-InputData!$B$172),IF(HN24&lt;=InputData!$B$174,InputData!$D$173+InputData!$C$174*(HN24-InputData!$B$173),IF(HN24&lt;=InputData!$B$175,InputData!$D$174+InputData!$C$175*(HN24-InputData!$B$174),InputData!$D$175+InputData!$C$176*(HN24-InputData!$B$175))))))))</f>
        <v>30615.473124832217</v>
      </c>
      <c r="HP24" s="32">
        <f>IF(HK24&lt;=InputData!$C$150,InputData!$C$152,IF(HK24&lt;InputData!$C$151,IF(InputData!$C$152-0.25*IF(HK24-InputData!$C$150&lt;=0,0,HK24-InputData!$C$150)&lt;=0,0,InputData!$C$152-0.25*IF(HK24-InputData!$C$150&lt;=0,0,HK24-InputData!$C$150)),0))</f>
        <v>44926.586495685522</v>
      </c>
      <c r="HQ24" s="32">
        <f>IF(HK24-HP24&lt;=0,0,IF(HK24-HP24&lt;=InputData!$C$153,InputData!$C$154*(HK24-HP24),InputData!$C$155*(HK24-HP24)-InputData!$D$154))</f>
        <v>25575.437555608823</v>
      </c>
      <c r="HR24" s="32">
        <f t="shared" si="95"/>
        <v>30615.473124832217</v>
      </c>
      <c r="HS24" s="32">
        <f>IF(HK24&gt;=0,IF(HK24&lt;=InputData!$C$148,InputData!$C$147*HK24,InputData!$C$147*InputData!$C$148)+InputData!$C$149*HK24,0)</f>
        <v>9127.1579832502393</v>
      </c>
      <c r="HT24" s="32">
        <f>IF(HM24&lt;0,0,IF(HM24&lt;=InputData!$B$163,InputData!$C$163*HM24,IF(HM24&lt;=InputData!$B$164,InputData!$D$163+InputData!$C$164*(HM24-InputData!$B$163),IF(HM24&lt;=InputData!$B$165,InputData!$D$164+InputData!$C$165*(HM24-InputData!$B$164),InputData!$D$165+InputData!$C$166*(HM24-InputData!$B$165)))))</f>
        <v>0</v>
      </c>
      <c r="HU24" s="43">
        <f t="shared" si="96"/>
        <v>0.27735095026117457</v>
      </c>
      <c r="HV24" s="43">
        <f t="shared" si="97"/>
        <v>0.24673922193378561</v>
      </c>
      <c r="HW24" s="5">
        <f t="shared" si="98"/>
        <v>121328.76563461983</v>
      </c>
      <c r="HX24" s="32">
        <f>HW24/((1+InputData!$C$7)^(IntMed!$B24-IntMed!$B$7))</f>
        <v>73405.898562990915</v>
      </c>
      <c r="HY24" s="32">
        <f t="shared" si="99"/>
        <v>1070909.4518685779</v>
      </c>
      <c r="IA24" s="41"/>
      <c r="IB24" s="4" t="s">
        <v>109</v>
      </c>
      <c r="IC24" s="32">
        <f>MIN(InputData!$C$13+InputData!$E$13*($B24-$B$21),1)*IntMed!AW24</f>
        <v>248001.42671972947</v>
      </c>
      <c r="ID24" s="32">
        <f>MIN(InputData!$C$13+InputData!$E$13*($B24-$B$21),1)*IntMed!AX24</f>
        <v>0</v>
      </c>
      <c r="IE24" s="32">
        <f>MIN(InputData!$C$13+InputData!$E$13*($B24-$B$21),1)*IntMed!AY24</f>
        <v>248001.42671972947</v>
      </c>
      <c r="IF24" s="32">
        <f>MIN(InputData!$C$13+InputData!$E$13*($B24-$B$21),1)*IntMed!EO24</f>
        <v>177113.33440112197</v>
      </c>
      <c r="IG24" s="32">
        <f>MIN(InputData!$C$13+InputData!$E$13*($B24-$B$21),1)*IntMed!EP24</f>
        <v>0</v>
      </c>
      <c r="IH24" s="32">
        <f>IF(IF24-InputData!$C$158-InputData!$C$159&gt;=0,IF24-InputData!$C$158-InputData!$C$159,0)</f>
        <v>177113.33440112197</v>
      </c>
      <c r="II24" s="32">
        <f>IF(IF24-IF(IF24&lt;=InputData!$C$146,InputData!$C$145,0)-MAX(InputData!$C$144,IO24)&gt;=0,IF24-IF(IF24&lt;=InputData!$C$146,InputData!$C$145,0)-MAX(InputData!$C$144,IO24),0)</f>
        <v>171013.33440112197</v>
      </c>
      <c r="IJ24" s="32">
        <f>IF(II24&lt;0,"Error",IF(II24&lt;=InputData!$B$170,InputData!$C$170*II24,IF(II24&lt;=InputData!$B$171,InputData!$D$170+InputData!$C$171*(II24-InputData!$B$170),IF(II24&lt;=InputData!$B$172,InputData!$D$171+InputData!$C$172*(II24-InputData!$B$171),IF(II24&lt;=InputData!$B$173,InputData!$D$172+InputData!$C$173*(II24-InputData!$B$172),IF(II24&lt;=InputData!$B$174,InputData!$D$173+InputData!$C$174*(II24-InputData!$B$173),IF(II24&lt;=InputData!$B$175,InputData!$D$174+InputData!$C$175*(II24-InputData!$B$174),InputData!$D$175+InputData!$C$176*(II24-InputData!$B$175))))))))</f>
        <v>41176.98363231415</v>
      </c>
      <c r="IK24" s="32">
        <f>IF(IF24&lt;=InputData!$C$150,InputData!$C$152,IF(IF24&lt;InputData!$C$151,IF(InputData!$C$152-0.25*IF(IF24-InputData!$C$150&lt;=0,0,IF24-InputData!$C$150)&lt;=0,0,InputData!$C$152-0.25*IF(IF24-InputData!$C$150&lt;=0,0,IF24-InputData!$C$150)),0))</f>
        <v>36471.666399719506</v>
      </c>
      <c r="IL24" s="32">
        <f>IF(IF24-IK24&lt;=0,0,IF(IF24-IK24&lt;=InputData!$C$153,InputData!$C$154*(IF24-IK24),InputData!$C$155*(IF24-IK24)-InputData!$D$154))</f>
        <v>36566.833680364638</v>
      </c>
      <c r="IM24" s="32">
        <f t="shared" si="100"/>
        <v>41176.98363231415</v>
      </c>
      <c r="IN24" s="32">
        <f>IF(IF24&gt;=0,IF(IF24&lt;=InputData!$C$148,InputData!$C$147*IF24,InputData!$C$147*InputData!$C$148)+InputData!$C$149*IF24,0)</f>
        <v>9617.5433488162689</v>
      </c>
      <c r="IO24" s="32">
        <f>IF(IH24&lt;0,0,IF(IH24&lt;=InputData!$B$163,InputData!$C$163*IH24,IF(IH24&lt;=InputData!$B$164,InputData!$D$163+InputData!$C$164*(IH24-InputData!$B$163),IF(IH24&lt;=InputData!$B$165,InputData!$D$164+InputData!$C$165*(IH24-InputData!$B$164),InputData!$D$165+InputData!$C$166*(IH24-InputData!$B$165)))))</f>
        <v>0</v>
      </c>
      <c r="IP24" s="43">
        <f t="shared" si="101"/>
        <v>0.28679109426110294</v>
      </c>
      <c r="IQ24" s="43">
        <f t="shared" si="102"/>
        <v>0.28679109426110294</v>
      </c>
      <c r="IR24" s="5">
        <f t="shared" si="27"/>
        <v>126318.80741999154</v>
      </c>
      <c r="IS24" s="32">
        <f>IR24/((1+InputData!$C$7)^(IntMed!$B24-IntMed!$B$7))</f>
        <v>76424.955908593402</v>
      </c>
      <c r="IT24" s="5">
        <f t="shared" si="103"/>
        <v>1102051.367919029</v>
      </c>
      <c r="IV24" s="41"/>
      <c r="IW24" s="49" t="s">
        <v>109</v>
      </c>
      <c r="IX24" s="32">
        <f>MIN(InputData!$C$13+InputData!$E$13*($B24-$B$18),1)*IntMed!AW24</f>
        <v>248001.42671972947</v>
      </c>
      <c r="IY24" s="32">
        <f>MIN(InputData!$C$13+InputData!$E$13*($B24-$B$18),1)*IntMed!AX24</f>
        <v>0</v>
      </c>
      <c r="IZ24" s="32">
        <f>MIN(InputData!$C$13+InputData!$E$13*($B24-$B$18),1)*IntMed!AY24</f>
        <v>248001.42671972947</v>
      </c>
      <c r="JA24" s="32">
        <f>MIN(InputData!$C$13+InputData!$E$13*($B24-$B$18),1)*IntMed!EO24</f>
        <v>177113.33440112197</v>
      </c>
      <c r="JB24" s="32">
        <f>MIN(InputData!$C$13+InputData!$E$13*($B24-$B$18),1)*IntMed!EP24</f>
        <v>0</v>
      </c>
      <c r="JC24" s="32">
        <f>IF(JA24-InputData!$C$158-InputData!$C$159&gt;=0,JA24-InputData!$C$158-InputData!$C$159,0)</f>
        <v>177113.33440112197</v>
      </c>
      <c r="JD24" s="32">
        <f>IF(JA24-IF(JA24&lt;=InputData!$C$146,InputData!$C$145,0)-MAX(InputData!$C$144,JJ24)&gt;=0,JA24-IF(JA24&lt;=InputData!$C$146,InputData!$C$145,0)-MAX(InputData!$C$144,JJ24),0)</f>
        <v>171013.33440112197</v>
      </c>
      <c r="JE24" s="32">
        <f>IF(JD24&lt;0,"Error",IF(JD24&lt;=InputData!$B$170,InputData!$C$170*JD24,IF(JD24&lt;=InputData!$B$171,InputData!$D$170+InputData!$C$171*(JD24-InputData!$B$170),IF(JD24&lt;=InputData!$B$172,InputData!$D$171+InputData!$C$172*(JD24-InputData!$B$171),IF(JD24&lt;=InputData!$B$173,InputData!$D$172+InputData!$C$173*(JD24-InputData!$B$172),IF(JD24&lt;=InputData!$B$174,InputData!$D$173+InputData!$C$174*(JD24-InputData!$B$173),IF(JD24&lt;=InputData!$B$175,InputData!$D$174+InputData!$C$175*(JD24-InputData!$B$174),InputData!$D$175+InputData!$C$176*(JD24-InputData!$B$175))))))))</f>
        <v>41176.98363231415</v>
      </c>
      <c r="JF24" s="32">
        <f>IF(JA24&lt;=InputData!$C$150,InputData!$C$152,IF(JA24&lt;InputData!$C$151,IF(InputData!$C$152-0.25*IF(JA24-InputData!$C$150&lt;=0,0,JA24-InputData!$C$150)&lt;=0,0,InputData!$C$152-0.25*IF(JA24-InputData!$C$150&lt;=0,0,JA24-InputData!$C$150)),0))</f>
        <v>36471.666399719506</v>
      </c>
      <c r="JG24" s="32">
        <f>IF(JA24-JF24&lt;=0,0,IF(JA24-JF24&lt;=InputData!$C$153,InputData!$C$154*(JA24-JF24),InputData!$C$155*(JA24-JF24)-InputData!$D$154))</f>
        <v>36566.833680364638</v>
      </c>
      <c r="JH24" s="32">
        <f t="shared" si="104"/>
        <v>41176.98363231415</v>
      </c>
      <c r="JI24" s="32">
        <f>IF(JA24&gt;=0,IF(JA24&lt;=InputData!$C$148,InputData!$C$147*JA24,InputData!$C$147*InputData!$C$148)+InputData!$C$149*JA24,0)</f>
        <v>9617.5433488162689</v>
      </c>
      <c r="JJ24" s="32">
        <f>IF(JC24&lt;0,0,IF(JC24&lt;=InputData!$B$163,InputData!$C$163*JC24,IF(JC24&lt;=InputData!$B$164,InputData!$D$163+InputData!$C$164*(JC24-InputData!$B$163),IF(JC24&lt;=InputData!$B$165,InputData!$D$164+InputData!$C$165*(JC24-InputData!$B$164),InputData!$D$165+InputData!$C$166*(JC24-InputData!$B$165)))))</f>
        <v>0</v>
      </c>
      <c r="JK24" s="42">
        <f t="shared" si="105"/>
        <v>0.28679109426110294</v>
      </c>
      <c r="JL24" s="42">
        <f t="shared" si="106"/>
        <v>0.28679109426110294</v>
      </c>
      <c r="JM24" s="32">
        <f t="shared" si="35"/>
        <v>126318.80741999154</v>
      </c>
      <c r="JN24" s="32">
        <f>JM24/((1+InputData!$C$7)^(IntMed!$B24-IntMed!$B$7))</f>
        <v>76424.955908593402</v>
      </c>
      <c r="JO24" s="32">
        <f t="shared" si="107"/>
        <v>1083403.1064666247</v>
      </c>
      <c r="JQ24" s="41" t="s">
        <v>109</v>
      </c>
      <c r="JR24" s="32">
        <f>$JR$14*(1+InputData!$C$3+InputData!$C$4)^(IntMed!$B24-IntMed!$B$14)</f>
        <v>216123.24768603875</v>
      </c>
      <c r="JS24" s="32">
        <v>0</v>
      </c>
      <c r="JT24" s="32">
        <f t="shared" si="108"/>
        <v>216123.24768603875</v>
      </c>
      <c r="JU24" s="5">
        <f>JR24*(1/(1+InputData!$C$3))^(IntMed!$B24-IntMed!$B$7)</f>
        <v>154347.13237570529</v>
      </c>
      <c r="JV24" s="5">
        <f>JS24*(1/(1+InputData!$C$3))^(IntMed!$B24-IntMed!$B$7)</f>
        <v>0</v>
      </c>
      <c r="JW24" s="32">
        <f>IF(JU24-InputData!$C$158-InputData!$C$159&gt;=0,JU24-InputData!$C$158-InputData!$C$159,0)</f>
        <v>154347.13237570529</v>
      </c>
      <c r="JX24" s="32">
        <f>IF(JU24-IF(JU24&lt;=InputData!$C$146,InputData!$C$145,0)-MAX(InputData!$C$144,KD24)&gt;=0,JU24-IF(JU24&lt;=InputData!$C$146,InputData!$C$145,0)-MAX(InputData!$C$144,KD24),0)</f>
        <v>148247.13237570529</v>
      </c>
      <c r="JY24" s="32">
        <f>IF(JX24&lt;0,"Error",IF(JX24&lt;=InputData!$B$170,InputData!$C$170*JX24,IF(JX24&lt;=InputData!$B$171,InputData!$D$170+InputData!$C$171*(JX24-InputData!$B$170),IF(JX24&lt;=InputData!$B$172,InputData!$D$171+InputData!$C$172*(JX24-InputData!$B$171),IF(JX24&lt;=InputData!$B$173,InputData!$D$172+InputData!$C$173*(JX24-InputData!$B$172),IF(JX24&lt;=InputData!$B$174,InputData!$D$173+InputData!$C$174*(JX24-InputData!$B$173),IF(JX24&lt;=InputData!$B$175,InputData!$D$174+InputData!$C$175*(JX24-InputData!$B$174),InputData!$D$175+InputData!$C$176*(JX24-InputData!$B$175))))))))</f>
        <v>34802.447065197484</v>
      </c>
      <c r="JZ24" s="32">
        <f>IF(JU24&lt;=InputData!$C$150,InputData!$C$152,IF(JU24&lt;InputData!$C$151,IF(InputData!$C$152-0.25*IF(JU24-InputData!$C$150&lt;=0,0,JU24-InputData!$C$150)&lt;=0,0,InputData!$C$152-0.25*IF(JU24-InputData!$C$150&lt;=0,0,JU24-InputData!$C$150)),0))</f>
        <v>42163.216906073678</v>
      </c>
      <c r="KA24" s="32">
        <f>IF(JU24-JZ24&lt;=0,0,IF(JU24-JZ24&lt;=InputData!$C$153,InputData!$C$154*(JU24-JZ24),InputData!$C$155*(JU24-JZ24)-InputData!$D$154))</f>
        <v>29167.81802210422</v>
      </c>
      <c r="KB24" s="32">
        <f t="shared" si="109"/>
        <v>34802.447065197484</v>
      </c>
      <c r="KC24" s="32">
        <f>IF(JU24&gt;=0,IF(JU24&lt;=InputData!$C$148,InputData!$C$147*JU24,InputData!$C$147*InputData!$C$148)+InputData!$C$149*JU24,0)</f>
        <v>9287.4334194477269</v>
      </c>
      <c r="KD24" s="32">
        <f>IF(JW24&lt;0,0,IF(JW24&lt;=InputData!$B$163,InputData!$C$163*JW24,IF(JW24&lt;=InputData!$B$164,InputData!$D$163+InputData!$C$164*(JW24-InputData!$B$163),IF(JW24&lt;=InputData!$B$165,InputData!$D$164+InputData!$C$165*(JW24-InputData!$B$164),InputData!$D$165+InputData!$C$166*(JW24-InputData!$B$165)))))</f>
        <v>0</v>
      </c>
      <c r="KE24" s="43">
        <f t="shared" si="110"/>
        <v>0.28565403066461564</v>
      </c>
      <c r="KF24" s="43">
        <f t="shared" si="111"/>
        <v>0.28565403066461564</v>
      </c>
      <c r="KG24" s="5">
        <f t="shared" si="112"/>
        <v>110257.25189106008</v>
      </c>
      <c r="KH24" s="32">
        <f>KG24/((1+InputData!$C$7)^(IntMed!$B24-IntMed!$B$7))</f>
        <v>66707.45066774085</v>
      </c>
      <c r="KI24" s="5">
        <f t="shared" si="143"/>
        <v>977870.3681825801</v>
      </c>
      <c r="KK24" s="7">
        <v>6</v>
      </c>
      <c r="KL24" t="s">
        <v>377</v>
      </c>
      <c r="KM24">
        <v>39</v>
      </c>
      <c r="KN24" s="41" t="s">
        <v>109</v>
      </c>
      <c r="KO24" s="32">
        <f>MIN(InputData!$C$13+InputData!$E$13*($B24-$B$24),1)*IntMed!AW24</f>
        <v>248001.42671972947</v>
      </c>
      <c r="KP24" s="32">
        <f>MIN(InputData!$C$13+InputData!$E$13*($B24-$B$24),1)*IntMed!AX24</f>
        <v>0</v>
      </c>
      <c r="KQ24" s="5">
        <f t="shared" si="169"/>
        <v>248001.42671972947</v>
      </c>
      <c r="KR24" s="32">
        <f>KR23*(1+InputData!$C$8)</f>
        <v>16088.773906520961</v>
      </c>
      <c r="KS24" s="5">
        <f>KO24*(1/(1+InputData!$C$3))^(IntMed!$B24-IntMed!$B$7)</f>
        <v>177113.33440112183</v>
      </c>
      <c r="KT24" s="5">
        <f>KP24*(1/(1+InputData!$C$3))^(IntMed!$B24-IntMed!$B$7)</f>
        <v>0</v>
      </c>
      <c r="KU24" s="32" t="s">
        <v>386</v>
      </c>
      <c r="KV24" s="32">
        <v>0</v>
      </c>
      <c r="KW24" s="32">
        <v>0</v>
      </c>
      <c r="KX24" s="5">
        <f>KW24*InputData!$C$6</f>
        <v>0</v>
      </c>
      <c r="KY24" s="32">
        <f t="shared" si="166"/>
        <v>0</v>
      </c>
      <c r="KZ24" s="32">
        <v>0</v>
      </c>
      <c r="LA24" s="32">
        <v>0</v>
      </c>
      <c r="LB24" s="32">
        <f>KZ24/((1+InputData!$C$3)^(IntMed!$B24-IntMed!$B$7))</f>
        <v>0</v>
      </c>
      <c r="LC24" s="32">
        <f>IF(KS24-InputData!$C$158-InputData!$C$159&gt;=0,KS24-InputData!$C$158-InputData!$C$159,0)</f>
        <v>177113.33440112183</v>
      </c>
      <c r="LD24" s="32">
        <f>IF(KS24-IF(KS24&lt;=InputData!$C$146,InputData!$C$145,0)-MAX(InputData!$C$144,LJ24)&gt;=0,KS24-IF(KS24&lt;=InputData!$C$146,InputData!$C$145,0)-MAX(InputData!$C$144,LJ24),0)</f>
        <v>171013.33440112183</v>
      </c>
      <c r="LE24" s="32">
        <f>IF(LD24&lt;0,"Error",IF(LD24&lt;=InputData!$B$170,InputData!$C$170*LD24,IF(LD24&lt;=InputData!$B$171,InputData!$D$170+InputData!$C$171*(LD24-InputData!$B$170),IF(LD24&lt;=InputData!$B$172,InputData!$D$171+InputData!$C$172*(LD24-InputData!$B$171),IF(LD24&lt;=InputData!$B$173,InputData!$D$172+InputData!$C$173*(LD24-InputData!$B$172),IF(LD24&lt;=InputData!$B$174,InputData!$D$173+InputData!$C$174*(LD24-InputData!$B$173),IF(LD24&lt;=InputData!$B$175,InputData!$D$174+InputData!$C$175*(LD24-InputData!$B$174),InputData!$D$175+InputData!$C$176*(LD24-InputData!$B$175))))))))</f>
        <v>41176.983632314113</v>
      </c>
      <c r="LF24" s="32">
        <f>IF(KS24&lt;=InputData!$C$150,InputData!$C$152,IF(KS24&lt;InputData!$C$151,IF(InputData!$C$152-0.25*IF(KS24-InputData!$C$150&lt;=0,0,KS24-InputData!$C$150)&lt;=0,0,InputData!$C$152-0.25*IF(KS24-InputData!$C$150&lt;=0,0,KS24-InputData!$C$150)),0))</f>
        <v>36471.666399719543</v>
      </c>
      <c r="LG24" s="32">
        <f>IF(KS24-LF24&lt;=0,0,IF(KS24-LF24&lt;=InputData!$C$153,InputData!$C$154*(KS24-LF24),InputData!$C$155*(KS24-LF24)-InputData!$D$154))</f>
        <v>36566.833680364594</v>
      </c>
      <c r="LH24" s="32">
        <f t="shared" si="118"/>
        <v>41176.983632314113</v>
      </c>
      <c r="LI24" s="32">
        <f>IF(KS24&gt;=0,IF(KS24&lt;=InputData!$C$148,InputData!$C$147*KS24,InputData!$C$147*InputData!$C$148)+InputData!$C$149*KS24,0)</f>
        <v>9617.5433488162671</v>
      </c>
      <c r="LJ24" s="32">
        <f>IF(LC24&lt;0,0,IF(LC24&lt;=InputData!$B$163,InputData!$C$163*LC24,IF(LC24&lt;=InputData!$B$164,InputData!$D$163+InputData!$C$164*(LC24-InputData!$B$163),IF(LC24&lt;=InputData!$B$165,InputData!$D$164+InputData!$C$165*(LC24-InputData!$B$164),InputData!$D$165+InputData!$C$166*(LC24-InputData!$B$165)))))</f>
        <v>0</v>
      </c>
      <c r="LK24" s="43">
        <f t="shared" si="156"/>
        <v>0.28679109426110294</v>
      </c>
      <c r="LL24" s="32">
        <f t="shared" si="119"/>
        <v>126318.80741999144</v>
      </c>
      <c r="LM24" s="5">
        <f t="shared" si="120"/>
        <v>126318.80741999144</v>
      </c>
      <c r="LN24" s="32">
        <f>LM24/((1+InputData!$C$7)^(IntMed!$B24-IntMed!$B$7))</f>
        <v>76424.955908593343</v>
      </c>
      <c r="LO24" s="5">
        <f t="shared" si="145"/>
        <v>749272.26483350236</v>
      </c>
      <c r="LQ24" s="157" t="str">
        <f t="shared" si="37"/>
        <v>Private Practice</v>
      </c>
      <c r="LR24" s="32">
        <f t="shared" si="121"/>
        <v>275557.14079969941</v>
      </c>
      <c r="LS24" s="32">
        <v>0</v>
      </c>
      <c r="LT24" s="32">
        <f t="shared" si="123"/>
        <v>275557.14079969941</v>
      </c>
      <c r="LU24" s="32">
        <f>LU23*(1+InputData!$C$8)</f>
        <v>16088.773906520961</v>
      </c>
      <c r="LV24" s="32">
        <f>LR24/((1+InputData!$C$3)^(IntMed!$B24-IntMed!$B$7))</f>
        <v>196792.59377902441</v>
      </c>
      <c r="LW24" s="32">
        <f>LS24/((1+InputData!$C$3)^(IntMed!$B24-IntMed!$B$7))</f>
        <v>0</v>
      </c>
      <c r="LX24" s="32" t="s">
        <v>141</v>
      </c>
      <c r="LY24" s="32">
        <v>0</v>
      </c>
      <c r="LZ24" s="32">
        <f t="shared" si="189"/>
        <v>0</v>
      </c>
      <c r="MA24" s="32">
        <f>(LZ24)*InputData!$C$6</f>
        <v>0</v>
      </c>
      <c r="MB24" s="32">
        <f>MIN($BE$14*InputData!$C$6/(1-(1+InputData!$C$6)^(-10)), LZ24+MA24)</f>
        <v>0</v>
      </c>
      <c r="MC24" s="32">
        <f t="shared" si="168"/>
        <v>0</v>
      </c>
      <c r="MD24" s="32">
        <f>MB24/((1+InputData!$C$3)^(IntMed!$B24-IntMed!$B$7))</f>
        <v>0</v>
      </c>
      <c r="ME24" s="32">
        <f>IF(LV24-InputData!$C$158-InputData!$C$159&gt;=0,LV24-InputData!$C$158-InputData!$C$159,0)</f>
        <v>196792.59377902441</v>
      </c>
      <c r="MF24" s="32">
        <f>IF(LV24-IF(LV24&lt;=InputData!$C$146,InputData!$C$145,0)-MAX(InputData!$C$144,ML24)&gt;=0,LV24-IF(LV24&lt;=InputData!$C$146,InputData!$C$145,0)-MAX(InputData!$C$144,ML24),0)</f>
        <v>190692.59377902441</v>
      </c>
      <c r="MG24" s="32">
        <f>IF(MF24&lt;0,"Error",IF(MF24&lt;=InputData!$B$170,InputData!$C$170*MF24,IF(MF24&lt;=InputData!$B$171,InputData!$D$170+InputData!$C$171*(MF24-InputData!$B$170),IF(MF24&lt;=InputData!$B$172,InputData!$D$171+InputData!$C$172*(MF24-InputData!$B$171),IF(MF24&lt;=InputData!$B$173,InputData!$D$172+InputData!$C$173*(MF24-InputData!$B$172),IF(MF24&lt;=InputData!$B$174,InputData!$D$173+InputData!$C$174*(MF24-InputData!$B$173),IF(MF24&lt;=InputData!$B$175,InputData!$D$174+InputData!$C$175*(MF24-InputData!$B$174),InputData!$D$175+InputData!$C$176*(MF24-InputData!$B$175))))))))</f>
        <v>47059.305947078057</v>
      </c>
      <c r="MH24" s="32">
        <f>IF(LV24&lt;=InputData!$C$150,InputData!$C$152,IF(LV24&lt;InputData!$C$151,IF(InputData!$C$152-0.25*IF(LV24-InputData!$C$150&lt;=0,0,LV24-InputData!$C$150)&lt;=0,0,InputData!$C$152-0.25*IF(LV24-InputData!$C$150&lt;=0,0,LV24-InputData!$C$150)),0))</f>
        <v>31551.851555243898</v>
      </c>
      <c r="MI24" s="32">
        <f>IF(LV24-MH24&lt;=0,0,IF(LV24-MH24&lt;=InputData!$C$153,InputData!$C$154*(LV24-MH24),InputData!$C$155*(LV24-MH24)-InputData!$D$154))</f>
        <v>42962.592978182933</v>
      </c>
      <c r="MJ24" s="32">
        <f t="shared" si="124"/>
        <v>47059.305947078057</v>
      </c>
      <c r="MK24" s="32">
        <f>IF(LV24&gt;=0,IF(LV24&lt;=InputData!$C$148,InputData!$C$147*LV24,InputData!$C$147*InputData!$C$148)+InputData!$C$149*LV24,0)</f>
        <v>9902.8926097958538</v>
      </c>
      <c r="ML24" s="32">
        <f>IF(ME24&lt;0,0,IF(ME24&lt;=InputData!$B$163,InputData!$C$163*ME24,IF(ME24&lt;=InputData!$B$164,InputData!$D$163+InputData!$C$164*(ME24-InputData!$B$163),IF(ME24&lt;=InputData!$B$165,InputData!$D$164+InputData!$C$165*(ME24-InputData!$B$164),InputData!$D$165+InputData!$C$166*(ME24-InputData!$B$165)))))</f>
        <v>0</v>
      </c>
      <c r="MM24" s="43">
        <f t="shared" si="38"/>
        <v>0.28945295888947908</v>
      </c>
      <c r="MN24" s="32">
        <f t="shared" si="125"/>
        <v>139830.39522215049</v>
      </c>
      <c r="MO24" s="32">
        <f t="shared" si="126"/>
        <v>139830.39522215049</v>
      </c>
      <c r="MP24" s="32">
        <f>MO24/((1+InputData!$C$7)^(IntMed!$B24-IntMed!$B$7))</f>
        <v>84599.688738375175</v>
      </c>
      <c r="MQ24" s="5">
        <f t="shared" si="147"/>
        <v>1140127.1873925794</v>
      </c>
    </row>
    <row r="25" spans="1:355" x14ac:dyDescent="0.25">
      <c r="A25" s="53">
        <v>2031</v>
      </c>
      <c r="B25" s="51">
        <v>19</v>
      </c>
      <c r="C25" s="4"/>
      <c r="D25" s="3">
        <v>15</v>
      </c>
      <c r="E25" s="4" t="s">
        <v>24</v>
      </c>
      <c r="F25" s="5">
        <f>InputData!$K$22*12</f>
        <v>89103.6</v>
      </c>
      <c r="G25" s="5">
        <f>(InputData!$K$22+InputData!$I$45+InputData!$F$50)*12+InputData!$J$50+InputData!$D$57+InputData!$J$57</f>
        <v>173103.52000000002</v>
      </c>
      <c r="H25" s="5">
        <f>(InputData!$C$33+InputData!$C$40)*12</f>
        <v>21019.199999999997</v>
      </c>
      <c r="I25" s="5">
        <f t="shared" si="39"/>
        <v>194122.72000000003</v>
      </c>
      <c r="J25" s="5">
        <f>G25*((1+InputData!$C$5)/(1+InputData!$C$3))^(IntMed!$B25-IntMed!$B$7)</f>
        <v>144973.13669253577</v>
      </c>
      <c r="K25" s="5">
        <f>H25*((1+InputData!$C$5)/(1+InputData!$C$3))^(IntMed!$B25-IntMed!$B$7)</f>
        <v>17603.451130096877</v>
      </c>
      <c r="L25" s="32">
        <f>IF(J25-InputData!$C$158-InputData!$C$159&gt;=0,J25-InputData!$C$158-InputData!$C$159,0)</f>
        <v>144973.13669253577</v>
      </c>
      <c r="M25" s="32">
        <f>IF(J25-IF(J25&lt;=InputData!$C$146,InputData!$C$145,0)-MAX(InputData!$C$144,S25)&gt;=0,J25-IF(J25&lt;=InputData!$C$146,InputData!$C$145,0)-MAX(InputData!$C$144,S25),0)</f>
        <v>134973.13669253577</v>
      </c>
      <c r="N25" s="32">
        <f>IF(M25&lt;0,"Error",IF(M25&lt;=InputData!$B$170,InputData!$C$170*M25,IF(M25&lt;=InputData!$B$171,InputData!$D$170+InputData!$C$171*(M25-InputData!$B$170),IF(M25&lt;=InputData!$B$172,InputData!$D$171+InputData!$C$172*(M25-InputData!$B$171),IF(M25&lt;=InputData!$B$173,InputData!$D$172+InputData!$C$173*(M25-InputData!$B$172),IF(M25&lt;=InputData!$B$174,InputData!$D$173+InputData!$C$174*(M25-InputData!$B$173),IF(M25&lt;=InputData!$B$175,InputData!$D$174+InputData!$C$175*(M25-InputData!$B$174),InputData!$D$175+InputData!$C$176*(M25-InputData!$B$175))))))))</f>
        <v>31085.728273910019</v>
      </c>
      <c r="O25" s="32">
        <f>IF(J25&lt;=InputData!$C$150,InputData!$C$152,IF(J25&lt;InputData!$C$151,IF(InputData!$C$152-0.25*IF(J25-InputData!$C$150&lt;=0,0,J25-InputData!$C$150)&lt;=0,0,InputData!$C$152-0.25*IF(J25-InputData!$C$150&lt;=0,0,J25-InputData!$C$150)),0))</f>
        <v>44506.715826866057</v>
      </c>
      <c r="P25" s="32">
        <f>IF(J25-O25&lt;=0,0,IF(J25-O25&lt;=InputData!$C$153,InputData!$C$154*(J25-O25),InputData!$C$155*(J25-O25)-InputData!$D$154))</f>
        <v>26121.269425074126</v>
      </c>
      <c r="Q25" s="32">
        <f t="shared" si="40"/>
        <v>31085.728273910019</v>
      </c>
      <c r="R25" s="32">
        <f>IF(J25&gt;=0,IF(J25&lt;=InputData!$C$148,InputData!$C$147*J25,InputData!$C$147*InputData!$C$148)+InputData!$C$149*J25,0)</f>
        <v>9151.5104820417691</v>
      </c>
      <c r="S25" s="32">
        <f>IF(L25&lt;0,0,IF(L25&lt;=InputData!$B$163,InputData!$C$163*L25,IF(L25&lt;=InputData!$B$164,InputData!$D$163+InputData!$C$164*(L25-InputData!$B$163),IF(L25&lt;=InputData!$B$165,InputData!$D$164+InputData!$C$165*(L25-InputData!$B$164),InputData!$D$165+InputData!$C$166*(L25-InputData!$B$165)))))</f>
        <v>0</v>
      </c>
      <c r="T25" s="43">
        <f t="shared" si="41"/>
        <v>0.27754961832196795</v>
      </c>
      <c r="U25" s="43">
        <f t="shared" si="42"/>
        <v>0.24749712916751393</v>
      </c>
      <c r="V25" s="5">
        <f t="shared" si="43"/>
        <v>122339.34906668085</v>
      </c>
      <c r="W25" s="32">
        <f>V25/((1+InputData!$C$7)^(IntMed!$B25-IntMed!$B$7))</f>
        <v>71861.473941054443</v>
      </c>
      <c r="X25" s="5">
        <f t="shared" si="127"/>
        <v>1164922.7432174559</v>
      </c>
      <c r="Y25" s="53"/>
      <c r="Z25" s="3">
        <v>15</v>
      </c>
      <c r="AA25" s="97" t="s">
        <v>264</v>
      </c>
      <c r="AB25" s="5">
        <f t="shared" si="192"/>
        <v>89103.6</v>
      </c>
      <c r="AC25" s="5">
        <f t="shared" si="201"/>
        <v>173103.52000000002</v>
      </c>
      <c r="AD25" s="5">
        <f t="shared" si="193"/>
        <v>21019.199999999997</v>
      </c>
      <c r="AE25" s="5">
        <f t="shared" si="202"/>
        <v>194122.72000000003</v>
      </c>
      <c r="AF25" s="5">
        <f>AC25*((1+InputData!$C$5)/(1+InputData!$C$3))^(IntMed!$B25-IntMed!$B$7)</f>
        <v>144973.13669253577</v>
      </c>
      <c r="AG25" s="5">
        <f>AD25*((1+InputData!$C$5)/(1+InputData!$C$3))^(IntMed!$B25-IntMed!$B$7)</f>
        <v>17603.451130096877</v>
      </c>
      <c r="AH25" s="32">
        <f>IF(AF25-InputData!$C$158-InputData!$C$159&gt;=0,AF25-InputData!$C$158-InputData!$C$159,0)</f>
        <v>144973.13669253577</v>
      </c>
      <c r="AI25" s="32">
        <f>IF(AF25-IF(AF25&lt;=InputData!$C$146,InputData!$C$145,0)-MAX(InputData!$C$144,AO25)&gt;=0,AF25-IF(AF25&lt;=InputData!$C$146,InputData!$C$145,0)-MAX(InputData!$C$144,AO25),0)</f>
        <v>134973.13669253577</v>
      </c>
      <c r="AJ25" s="32">
        <f>IF(AI25&lt;0,"Error",IF(AI25&lt;=InputData!$B$170,InputData!$C$170*AI25,IF(AI25&lt;=InputData!$B$171,InputData!$D$170+InputData!$C$171*(AI25-InputData!$B$170),IF(AI25&lt;=InputData!$B$172,InputData!$D$171+InputData!$C$172*(AI25-InputData!$B$171),IF(AI25&lt;=InputData!$B$173,InputData!$D$172+InputData!$C$173*(AI25-InputData!$B$172),IF(AI25&lt;=InputData!$B$174,InputData!$D$173+InputData!$C$174*(AI25-InputData!$B$173),IF(AI25&lt;=InputData!$B$175,InputData!$D$174+InputData!$C$175*(AI25-InputData!$B$174),InputData!$D$175+InputData!$C$176*(AI25-InputData!$B$175))))))))</f>
        <v>31085.728273910019</v>
      </c>
      <c r="AK25" s="32">
        <f>IF(AF25&lt;=InputData!$C$150,InputData!$C$152,IF(AF25&lt;InputData!$C$151,IF(InputData!$C$152-0.25*IF(AF25-InputData!$C$150&lt;=0,0,AF25-InputData!$C$150)&lt;=0,0,InputData!$C$152-0.25*IF(AF25-InputData!$C$150&lt;=0,0,AF25-InputData!$C$150)),0))</f>
        <v>44506.715826866057</v>
      </c>
      <c r="AL25" s="32">
        <f>IF(AF25-AK25&lt;=0,0,IF(AF25-AK25&lt;=InputData!$C$153,InputData!$C$154*(AF25-AK25),InputData!$C$155*(AF25-AK25)-InputData!$D$154))</f>
        <v>26121.269425074126</v>
      </c>
      <c r="AM25" s="32">
        <f t="shared" si="45"/>
        <v>31085.728273910019</v>
      </c>
      <c r="AN25" s="32">
        <f>IF(AF25&gt;=0,IF(AF25&lt;=InputData!$C$148,InputData!$C$147*AF25,InputData!$C$147*InputData!$C$148)+InputData!$C$149*AF25,0)</f>
        <v>9151.5104820417691</v>
      </c>
      <c r="AO25" s="32">
        <f>IF(AH25&lt;0,0,IF(AH25&lt;=InputData!$B$163,InputData!$C$163*AH25,IF(AH25&lt;=InputData!$B$164,InputData!$D$163+InputData!$C$164*(AH25-InputData!$B$163),IF(AH25&lt;=InputData!$B$165,InputData!$D$164+InputData!$C$165*(AH25-InputData!$B$164),InputData!$D$165+InputData!$C$166*(AH25-InputData!$B$165)))))</f>
        <v>0</v>
      </c>
      <c r="AP25" s="43">
        <f t="shared" si="46"/>
        <v>0.27754961832196795</v>
      </c>
      <c r="AQ25" s="43">
        <f t="shared" si="47"/>
        <v>0.24749712916751393</v>
      </c>
      <c r="AR25" s="5">
        <f t="shared" si="48"/>
        <v>122339.34906668085</v>
      </c>
      <c r="AS25" s="32">
        <f>AR25/((1+InputData!$C$7)^(IntMed!$B25-IntMed!$B$7))</f>
        <v>71861.473941054443</v>
      </c>
      <c r="AT25" s="5">
        <f t="shared" si="128"/>
        <v>1142770.9258096323</v>
      </c>
      <c r="AU25" s="53"/>
      <c r="AV25" s="41" t="s">
        <v>109</v>
      </c>
      <c r="AW25" s="32">
        <f>$AW$14*(1+InputData!$C$3+InputData!$C$4)^(IntMed!$B25-IntMed!$B$14)</f>
        <v>283823.85502369038</v>
      </c>
      <c r="AX25" s="32">
        <v>0</v>
      </c>
      <c r="AY25" s="32">
        <f t="shared" si="50"/>
        <v>283823.85502369038</v>
      </c>
      <c r="AZ25" s="32">
        <f>AZ24*(1+InputData!$C$8)</f>
        <v>16410.549384651382</v>
      </c>
      <c r="BA25" s="32">
        <f>AW25/((1+InputData!$C$3)^(IntMed!$B25-IntMed!$B$7))</f>
        <v>198721.93293372073</v>
      </c>
      <c r="BB25" s="32">
        <f>AX25/((1+InputData!$C$3)^(IntMed!$B25-IntMed!$B$7))</f>
        <v>0</v>
      </c>
      <c r="BC25" s="32" t="s">
        <v>141</v>
      </c>
      <c r="BD25" s="32">
        <v>0</v>
      </c>
      <c r="BE25" s="32">
        <f t="shared" si="174"/>
        <v>0</v>
      </c>
      <c r="BF25" s="32">
        <f>(BE25)*InputData!$C$6</f>
        <v>0</v>
      </c>
      <c r="BG25" s="32">
        <f>MIN($BE$14*InputData!$C$6/(1-(1+InputData!$C$6)^(-10)), BE25+BF25)</f>
        <v>0</v>
      </c>
      <c r="BH25" s="32">
        <f t="shared" si="157"/>
        <v>0</v>
      </c>
      <c r="BI25" s="32">
        <f>BG25/((1+InputData!$C$3)^(IntMed!$B25-IntMed!$B$7))</f>
        <v>0</v>
      </c>
      <c r="BJ25" s="32">
        <f>IF(BA25-InputData!$C$158-InputData!$C$159&gt;=0,BA25-InputData!$C$158-InputData!$C$159,0)</f>
        <v>198721.93293372073</v>
      </c>
      <c r="BK25" s="32">
        <f>IF(BA25-IF(BA25&lt;=InputData!$C$146,InputData!$C$145,0)-MAX(InputData!$C$144,BQ25)&gt;=0,BA25-IF(BA25&lt;=InputData!$C$146,InputData!$C$145,0)-MAX(InputData!$C$144,BQ25),0)</f>
        <v>192621.93293372073</v>
      </c>
      <c r="BL25" s="32">
        <f>IF(BK25&lt;0,"Error",IF(BK25&lt;=InputData!$B$170,InputData!$C$170*BK25,IF(BK25&lt;=InputData!$B$171,InputData!$D$170+InputData!$C$171*(BK25-InputData!$B$170),IF(BK25&lt;=InputData!$B$172,InputData!$D$171+InputData!$C$172*(BK25-InputData!$B$171),IF(BK25&lt;=InputData!$B$173,InputData!$D$172+InputData!$C$173*(BK25-InputData!$B$172),IF(BK25&lt;=InputData!$B$174,InputData!$D$173+InputData!$C$174*(BK25-InputData!$B$173),IF(BK25&lt;=InputData!$B$175,InputData!$D$174+InputData!$C$175*(BK25-InputData!$B$174),InputData!$D$175+InputData!$C$176*(BK25-InputData!$B$175))))))))</f>
        <v>47695.987868127842</v>
      </c>
      <c r="BM25" s="32">
        <f>IF(BA25&lt;=InputData!$C$150,InputData!$C$152,IF(BA25&lt;InputData!$C$151,IF(InputData!$C$152-0.25*IF(BA25-InputData!$C$150&lt;=0,0,BA25-InputData!$C$150)&lt;=0,0,InputData!$C$152-0.25*IF(BA25-InputData!$C$150&lt;=0,0,BA25-InputData!$C$150)),0))</f>
        <v>31069.516766569817</v>
      </c>
      <c r="BN25" s="32">
        <f>IF(BA25-BM25&lt;=0,0,IF(BA25-BM25&lt;=InputData!$C$153,InputData!$C$154*(BA25-BM25),InputData!$C$155*(BA25-BM25)-InputData!$D$154))</f>
        <v>43589.628203459244</v>
      </c>
      <c r="BO25" s="32">
        <f t="shared" si="51"/>
        <v>47695.987868127842</v>
      </c>
      <c r="BP25" s="32">
        <f>IF(BA25&gt;=0,IF(BA25&lt;=InputData!$C$148,InputData!$C$147*BA25,InputData!$C$147*InputData!$C$148)+InputData!$C$149*BA25,0)</f>
        <v>9930.8680275389506</v>
      </c>
      <c r="BQ25" s="32">
        <f>IF(BJ25&lt;0,0,IF(BJ25&lt;=InputData!$B$163,InputData!$C$163*BJ25,IF(BJ25&lt;=InputData!$B$164,InputData!$D$163+InputData!$C$164*(BJ25-InputData!$B$163),IF(BJ25&lt;=InputData!$B$165,InputData!$D$164+InputData!$C$165*(BJ25-InputData!$B$164),InputData!$D$165+InputData!$C$166*(BJ25-InputData!$B$165)))))</f>
        <v>0</v>
      </c>
      <c r="BR25" s="43">
        <f t="shared" si="52"/>
        <v>0.28998739618181424</v>
      </c>
      <c r="BS25" s="32">
        <f t="shared" si="53"/>
        <v>141095.07703805395</v>
      </c>
      <c r="BT25" s="32">
        <f t="shared" si="54"/>
        <v>141095.07703805395</v>
      </c>
      <c r="BU25" s="32">
        <f>BT25/((1+InputData!$C$7)^(IntMed!$B25-IntMed!$B$7))</f>
        <v>82878.487413356881</v>
      </c>
      <c r="BV25" s="5">
        <f t="shared" si="130"/>
        <v>839334.12678126583</v>
      </c>
      <c r="BW25" s="5"/>
      <c r="BX25" s="32" t="s">
        <v>141</v>
      </c>
      <c r="BY25" s="5">
        <f t="shared" si="175"/>
        <v>179662.22901744515</v>
      </c>
      <c r="BZ25" s="32">
        <f>(BY25)*InputData!$C$6</f>
        <v>11157.024421983344</v>
      </c>
      <c r="CA25" s="32">
        <f>MIN($BY$14*InputData!$C$6/(1-(1+InputData!$C$6)^(-25)), BY25+BZ25)</f>
        <v>19581.069601718285</v>
      </c>
      <c r="CB25" s="32">
        <f t="shared" si="176"/>
        <v>171238.18383771021</v>
      </c>
      <c r="CC25" s="32">
        <f>CA25/((1+InputData!$C$3)^(IntMed!$B25-IntMed!$B$7))</f>
        <v>13709.869453497442</v>
      </c>
      <c r="CD25" s="5">
        <f t="shared" si="58"/>
        <v>127385.20758455651</v>
      </c>
      <c r="CE25" s="32">
        <f>CD25/((1+InputData!$C$7)^(IntMed!$B25-IntMed!$B$7))</f>
        <v>74825.384025249296</v>
      </c>
      <c r="CF25" s="5">
        <f t="shared" si="131"/>
        <v>903509.93421670911</v>
      </c>
      <c r="CG25" s="5"/>
      <c r="CH25" s="32" t="s">
        <v>141</v>
      </c>
      <c r="CI25" s="5">
        <f t="shared" si="177"/>
        <v>2708.5853628419427</v>
      </c>
      <c r="CJ25" s="32">
        <f>(CI25)*InputData!$C$6</f>
        <v>168.20315103248464</v>
      </c>
      <c r="CK25" s="32">
        <f t="shared" si="170"/>
        <v>2876.7885138744273</v>
      </c>
      <c r="CL25" s="32">
        <f t="shared" si="178"/>
        <v>0</v>
      </c>
      <c r="CM25" s="32">
        <f>CK25/((1+InputData!$C$3)^(IntMed!$B25-IntMed!$B$7))</f>
        <v>2014.2104477826033</v>
      </c>
      <c r="CN25" s="5">
        <f t="shared" si="62"/>
        <v>139080.86659027135</v>
      </c>
      <c r="CO25" s="32">
        <f>CN25/((1+InputData!$C$7)^(IntMed!$B25-IntMed!$B$7))</f>
        <v>81695.351057725013</v>
      </c>
      <c r="CP25" s="5">
        <f t="shared" si="132"/>
        <v>837960.69110832852</v>
      </c>
      <c r="CQ25" s="5"/>
      <c r="CR25" s="32" t="s">
        <v>141</v>
      </c>
      <c r="CS25" s="5">
        <f t="shared" si="179"/>
        <v>153796.99872263623</v>
      </c>
      <c r="CT25" s="32">
        <f>(CS25)*InputData!$C$6</f>
        <v>9550.7936206757095</v>
      </c>
      <c r="CU25" s="32">
        <f t="shared" si="171"/>
        <v>25920.803094671333</v>
      </c>
      <c r="CV25" s="32">
        <f t="shared" si="180"/>
        <v>137426.9892486406</v>
      </c>
      <c r="CW25" s="32">
        <f>CU25/((1+InputData!$C$3)^(IntMed!$B25-IntMed!$B$7))</f>
        <v>18148.693293372075</v>
      </c>
      <c r="CX25" s="5">
        <f t="shared" si="66"/>
        <v>122946.38374468187</v>
      </c>
      <c r="CY25" s="32">
        <f>CX25/((1+InputData!$C$7)^(IntMed!$B25-IntMed!$B$7))</f>
        <v>72218.042837548332</v>
      </c>
      <c r="CZ25" s="5">
        <f t="shared" si="133"/>
        <v>889949.0466061132</v>
      </c>
      <c r="DA25" s="5"/>
      <c r="DB25" s="32" t="s">
        <v>141</v>
      </c>
      <c r="DC25" s="5">
        <f t="shared" si="158"/>
        <v>0</v>
      </c>
      <c r="DD25" s="5">
        <f>DC25*InputData!$C$6</f>
        <v>0</v>
      </c>
      <c r="DE25" s="32">
        <f t="shared" si="159"/>
        <v>0</v>
      </c>
      <c r="DF25" s="32">
        <f t="shared" si="160"/>
        <v>0</v>
      </c>
      <c r="DG25" s="32">
        <f>DE25/((1+InputData!$C$3)^(IntMed!$B25-IntMed!$B$7))</f>
        <v>0</v>
      </c>
      <c r="DH25" s="5">
        <f t="shared" si="70"/>
        <v>141095.07703805395</v>
      </c>
      <c r="DI25" s="32">
        <f>DH25/((1+InputData!$C$7)^(IntMed!$B25-IntMed!$B$7))</f>
        <v>82878.487413356881</v>
      </c>
      <c r="DJ25" s="5">
        <f t="shared" si="134"/>
        <v>843266.89836161223</v>
      </c>
      <c r="DK25" s="5"/>
      <c r="DL25" s="32" t="s">
        <v>141</v>
      </c>
      <c r="DM25" s="32">
        <f t="shared" si="181"/>
        <v>2561.116473543716</v>
      </c>
      <c r="DN25" s="5">
        <f>DM25*InputData!$C$6</f>
        <v>159.04533300706476</v>
      </c>
      <c r="DO25" s="32">
        <f t="shared" si="182"/>
        <v>0</v>
      </c>
      <c r="DP25" s="32">
        <f t="shared" si="150"/>
        <v>2720.161806550781</v>
      </c>
      <c r="DQ25" s="32">
        <f t="shared" si="151"/>
        <v>0</v>
      </c>
      <c r="DR25" s="32">
        <f>DP25/((1+InputData!$C$3)^(IntMed!$B25-IntMed!$B$7))</f>
        <v>1904.5467902799555</v>
      </c>
      <c r="DS25" s="5">
        <f t="shared" si="74"/>
        <v>139190.530247774</v>
      </c>
      <c r="DT25" s="32">
        <f>DS25/((1+InputData!$C$7)^(IntMed!$B25-IntMed!$B$7))</f>
        <v>81759.766898793547</v>
      </c>
      <c r="DU25" s="5">
        <f t="shared" si="136"/>
        <v>839266.72817268269</v>
      </c>
      <c r="DV25" s="5"/>
      <c r="DW25" s="32" t="s">
        <v>141</v>
      </c>
      <c r="DX25" s="133">
        <f t="shared" si="161"/>
        <v>125798.67625107765</v>
      </c>
      <c r="DY25" s="5">
        <f>DX25*InputData!$C$6</f>
        <v>7812.0977951919222</v>
      </c>
      <c r="DZ25" s="133">
        <f t="shared" si="162"/>
        <v>0</v>
      </c>
      <c r="EA25" s="32">
        <f t="shared" si="163"/>
        <v>25920.803094671333</v>
      </c>
      <c r="EB25" s="32">
        <f t="shared" si="164"/>
        <v>107689.97095159822</v>
      </c>
      <c r="EC25" s="32">
        <f>EA25/((1+InputData!$C$3)^(IntMed!$B25-IntMed!$B$7))</f>
        <v>18148.693293372075</v>
      </c>
      <c r="ED25" s="5">
        <f t="shared" si="78"/>
        <v>122946.38374468187</v>
      </c>
      <c r="EE25" s="32">
        <f>ED25/((1+InputData!$C$7)^(IntMed!$B25-IntMed!$B$7))</f>
        <v>72218.042837548332</v>
      </c>
      <c r="EF25" s="5">
        <f t="shared" si="138"/>
        <v>880906.00730821514</v>
      </c>
      <c r="EG25" s="32"/>
      <c r="EH25" s="130" t="s">
        <v>141</v>
      </c>
      <c r="EI25" s="32">
        <v>0</v>
      </c>
      <c r="EJ25" s="32">
        <f t="shared" si="190"/>
        <v>159891.86859263276</v>
      </c>
      <c r="EK25" s="32">
        <f>EJ25*InputData!$C$6</f>
        <v>9929.2850396024951</v>
      </c>
      <c r="EL25" s="32">
        <f t="shared" si="191"/>
        <v>143900.35053756397</v>
      </c>
      <c r="EM25" s="32">
        <f>EM24*(1+InputData!$C$8)</f>
        <v>16410.549384651382</v>
      </c>
      <c r="EN25" s="32">
        <f t="shared" si="172"/>
        <v>25920.803094671333</v>
      </c>
      <c r="EO25" s="32">
        <f>AW25/((1+InputData!$C$3)^(IntMed!$B25-IntMed!$B$7))</f>
        <v>198721.93293372073</v>
      </c>
      <c r="EP25" s="32">
        <f>AX25/((1+InputData!$C$3)^(IntMed!$B25-IntMed!$B$7))</f>
        <v>0</v>
      </c>
      <c r="EQ25" s="32">
        <v>47439.82</v>
      </c>
      <c r="ER25" s="32">
        <v>8630.8799999999992</v>
      </c>
      <c r="ES25" s="32">
        <v>0</v>
      </c>
      <c r="ET25" s="42">
        <f t="shared" si="154"/>
        <v>0.28215657513104569</v>
      </c>
      <c r="EU25" s="32">
        <f t="shared" si="79"/>
        <v>142651.23293372072</v>
      </c>
      <c r="EV25" s="32">
        <f>EN25/((1+InputData!$C$3)^(IntMed!$B25-IntMed!$B$7))</f>
        <v>18148.693293372075</v>
      </c>
      <c r="EW25" s="32">
        <f t="shared" si="80"/>
        <v>124502.53964034864</v>
      </c>
      <c r="EX25" s="32">
        <f>EW25/((1+InputData!$C$7)^(IntMed!$B25-IntMed!$B$7))</f>
        <v>73132.120419273269</v>
      </c>
      <c r="EY25" s="5">
        <f t="shared" si="148"/>
        <v>904657.77040291368</v>
      </c>
      <c r="EZ25" s="79"/>
      <c r="FA25" s="32">
        <f t="shared" si="203"/>
        <v>0</v>
      </c>
      <c r="FB25" s="32">
        <f>FA25*InputData!$C$6</f>
        <v>0</v>
      </c>
      <c r="FC25" s="32">
        <f t="shared" si="204"/>
        <v>0</v>
      </c>
      <c r="FD25" s="53">
        <f>MIN($EJ$14*InputData!$C$6/(1-(1+InputData!$C$6)^(-10)), FA25+FB25)</f>
        <v>0</v>
      </c>
      <c r="FE25" s="32">
        <f>FD25/((1+InputData!$C$3)^(IntMed!$B25-IntMed!$B$7))</f>
        <v>0</v>
      </c>
      <c r="FF25" s="5">
        <f t="shared" si="84"/>
        <v>142651.23293372072</v>
      </c>
      <c r="FG25" s="32">
        <f>FF25/((1+InputData!$C$7)^(IntMed!$B25-IntMed!$B$7))</f>
        <v>83792.564995081833</v>
      </c>
      <c r="FH25" s="5">
        <f t="shared" si="140"/>
        <v>851574.5517024711</v>
      </c>
      <c r="FI25" s="79"/>
      <c r="FJ25" s="32">
        <f t="shared" si="185"/>
        <v>181962.28343576501</v>
      </c>
      <c r="FK25" s="32">
        <f>FJ25*InputData!$C$6</f>
        <v>11299.857801361008</v>
      </c>
      <c r="FL25" s="32">
        <f t="shared" si="186"/>
        <v>173430.39275927909</v>
      </c>
      <c r="FM25" s="53">
        <f>MIN($EJ$14*InputData!$C$6/(1-(1+InputData!$C$6)^(-25)), FJ25+FK25)</f>
        <v>19831.748477846937</v>
      </c>
      <c r="FN25" s="32">
        <f>FM25/((1+InputData!$C$3)^(IntMed!$B25-IntMed!$B$7))</f>
        <v>13885.384618724764</v>
      </c>
      <c r="FO25" s="5">
        <f t="shared" si="88"/>
        <v>128765.84831499595</v>
      </c>
      <c r="FP25" s="32">
        <f>FO25/((1+InputData!$C$7)^(IntMed!$B25-IntMed!$B$7))</f>
        <v>75636.364945364825</v>
      </c>
      <c r="FQ25" s="5">
        <f t="shared" si="141"/>
        <v>916571.94445525319</v>
      </c>
      <c r="FR25" s="79"/>
      <c r="FS25" s="32">
        <f t="shared" si="187"/>
        <v>6911.7015621012542</v>
      </c>
      <c r="FT25" s="32">
        <f>FS25*InputData!$C$6</f>
        <v>429.21666700648791</v>
      </c>
      <c r="FU25" s="32">
        <f t="shared" si="188"/>
        <v>0</v>
      </c>
      <c r="FV25" s="5">
        <f t="shared" si="173"/>
        <v>7340.9182291077423</v>
      </c>
      <c r="FW25" s="32">
        <f>FV25/((1+InputData!$C$3)^(IntMed!$B25-IntMed!$B$7))</f>
        <v>5139.8127189658271</v>
      </c>
      <c r="FX25" s="5">
        <f t="shared" si="92"/>
        <v>137511.42021475488</v>
      </c>
      <c r="FY25" s="32">
        <f>FX25/((1+InputData!$C$7)^(IntMed!$B25-IntMed!$B$7))</f>
        <v>80773.466719803706</v>
      </c>
      <c r="FZ25" s="5">
        <f t="shared" si="142"/>
        <v>850029.90242579253</v>
      </c>
      <c r="GC25" s="3">
        <f t="shared" si="3"/>
        <v>15</v>
      </c>
      <c r="GD25" s="4" t="str">
        <f t="shared" si="4"/>
        <v>Multi-Year (O5&gt;14 = (BP+BAH+BAS+VSP+BCPSP)*12+ASP+ISP+MSP)</v>
      </c>
      <c r="GE25" s="4"/>
      <c r="GF25" s="4"/>
      <c r="GG25" s="4"/>
      <c r="GH25" s="4"/>
      <c r="GI25" s="5">
        <f t="shared" si="5"/>
        <v>173103.52000000002</v>
      </c>
      <c r="GJ25" s="5">
        <f t="shared" si="6"/>
        <v>21019.199999999997</v>
      </c>
      <c r="GK25" s="5">
        <f t="shared" si="7"/>
        <v>194122.72000000003</v>
      </c>
      <c r="GL25" s="5">
        <f t="shared" si="8"/>
        <v>144973.13669253577</v>
      </c>
      <c r="GM25" s="5">
        <f t="shared" si="9"/>
        <v>17603.451130096877</v>
      </c>
      <c r="GN25" s="32">
        <f>IF(GL25-InputData!$C$158-InputData!$C$159&gt;=0,GL25-InputData!$C$158-InputData!$C$159,0)</f>
        <v>144973.13669253577</v>
      </c>
      <c r="GO25" s="32">
        <f>IF(GL25-IF(GL25&lt;=InputData!$C$146,InputData!$C$145,0)-MAX(InputData!$C$144,GU25)&gt;=0,GL25-IF(GL25&lt;=InputData!$C$146,InputData!$C$145,0)-MAX(InputData!$C$144,GU25),0)</f>
        <v>134973.13669253577</v>
      </c>
      <c r="GP25" s="32">
        <f>IF(GO25&lt;0,"Error",IF(GO25&lt;=InputData!$B$170,InputData!$C$170*GO25,IF(GO25&lt;=InputData!$B$171,InputData!$D$170+InputData!$C$171*(GO25-InputData!$B$170),IF(GO25&lt;=InputData!$B$172,InputData!$D$171+InputData!$C$172*(GO25-InputData!$B$171),IF(GO25&lt;=InputData!$B$173,InputData!$D$172+InputData!$C$173*(GO25-InputData!$B$172),IF(GO25&lt;=InputData!$B$174,InputData!$D$173+InputData!$C$174*(GO25-InputData!$B$173),IF(GO25&lt;=InputData!$B$175,InputData!$D$174+InputData!$C$175*(GO25-InputData!$B$174),InputData!$D$175+InputData!$C$176*(GO25-InputData!$B$175))))))))</f>
        <v>31085.728273910019</v>
      </c>
      <c r="GQ25" s="32">
        <f>IF(GL25&lt;=InputData!$C$150,InputData!$C$152,IF(GL25&lt;InputData!$C$151,IF(InputData!$C$152-0.25*IF(GL25-InputData!$C$150&lt;=0,0,GL25-InputData!$C$150)&lt;=0,0,InputData!$C$152-0.25*IF(GL25-InputData!$C$150&lt;=0,0,GL25-InputData!$C$150)),0))</f>
        <v>44506.715826866057</v>
      </c>
      <c r="GR25" s="32">
        <f>IF(GL25-GQ25&lt;=0,0,IF(GL25-GQ25&lt;=InputData!$C$153,InputData!$C$154*(GL25-GQ25),InputData!$C$155*(GL25-GQ25)-InputData!$D$154))</f>
        <v>26121.269425074126</v>
      </c>
      <c r="GS25" s="32">
        <f t="shared" si="93"/>
        <v>31085.728273910019</v>
      </c>
      <c r="GT25" s="32">
        <f>IF(GL25&gt;=0,IF(GL25&lt;=InputData!$C$148,InputData!$C$147*GL25,InputData!$C$147*InputData!$C$148)+InputData!$C$149*GL25,0)</f>
        <v>9151.5104820417691</v>
      </c>
      <c r="GU25" s="32">
        <f>IF(GN25&lt;0,0,IF(GN25&lt;=InputData!$B$163,InputData!$C$163*GN25,IF(GN25&lt;=InputData!$B$164,InputData!$D$163+InputData!$C$164*(GN25-InputData!$B$163),IF(GN25&lt;=InputData!$B$165,InputData!$D$164+InputData!$C$165*(GN25-InputData!$B$164),InputData!$D$165+InputData!$C$166*(GN25-InputData!$B$165)))))</f>
        <v>0</v>
      </c>
      <c r="GV25" s="43">
        <f t="shared" si="10"/>
        <v>0.27754961832196795</v>
      </c>
      <c r="GW25" s="43">
        <f t="shared" si="11"/>
        <v>0.24749712916751393</v>
      </c>
      <c r="GX25" s="5">
        <f t="shared" si="12"/>
        <v>122339.34906668085</v>
      </c>
      <c r="GY25" s="32">
        <f>GX25/((1+InputData!$C$7)^(IntMed!$B25-IntMed!$B$7))</f>
        <v>71861.473941054443</v>
      </c>
      <c r="GZ25" s="32">
        <f t="shared" si="94"/>
        <v>1164922.7432174559</v>
      </c>
      <c r="HB25" s="3">
        <f t="shared" si="13"/>
        <v>15</v>
      </c>
      <c r="HC25" s="4" t="str">
        <f t="shared" si="195"/>
        <v>Multi-Year (O5&gt;14 = (BP+BAH+BAS+VSP+BCPSP)*12+ASP+ISP+MSP)</v>
      </c>
      <c r="HD25" s="4"/>
      <c r="HE25" s="4"/>
      <c r="HF25" s="4"/>
      <c r="HG25" s="4"/>
      <c r="HH25" s="5">
        <f t="shared" si="196"/>
        <v>173103.52000000002</v>
      </c>
      <c r="HI25" s="5">
        <f t="shared" si="197"/>
        <v>21019.199999999997</v>
      </c>
      <c r="HJ25" s="5">
        <f t="shared" si="198"/>
        <v>194122.72000000003</v>
      </c>
      <c r="HK25" s="5">
        <f t="shared" si="199"/>
        <v>144973.13669253577</v>
      </c>
      <c r="HL25" s="5">
        <f t="shared" si="200"/>
        <v>17603.451130096877</v>
      </c>
      <c r="HM25" s="32">
        <f>IF(HK25-InputData!$C$158-InputData!$C$159&gt;=0,HK25-InputData!$C$158-InputData!$C$159,0)</f>
        <v>144973.13669253577</v>
      </c>
      <c r="HN25" s="32">
        <f>IF(HK25-IF(HK25&lt;=InputData!$C$146,InputData!$C$145,0)-MAX(InputData!$C$144,HT25)&gt;=0,HK25-IF(HK25&lt;=InputData!$C$146,InputData!$C$145,0)-MAX(InputData!$C$144,HT25),0)</f>
        <v>134973.13669253577</v>
      </c>
      <c r="HO25" s="32">
        <f>IF(HN25&lt;0,"Error",IF(HN25&lt;=InputData!$B$170,InputData!$C$170*HN25,IF(HN25&lt;=InputData!$B$171,InputData!$D$170+InputData!$C$171*(HN25-InputData!$B$170),IF(HN25&lt;=InputData!$B$172,InputData!$D$171+InputData!$C$172*(HN25-InputData!$B$171),IF(HN25&lt;=InputData!$B$173,InputData!$D$172+InputData!$C$173*(HN25-InputData!$B$172),IF(HN25&lt;=InputData!$B$174,InputData!$D$173+InputData!$C$174*(HN25-InputData!$B$173),IF(HN25&lt;=InputData!$B$175,InputData!$D$174+InputData!$C$175*(HN25-InputData!$B$174),InputData!$D$175+InputData!$C$176*(HN25-InputData!$B$175))))))))</f>
        <v>31085.728273910019</v>
      </c>
      <c r="HP25" s="32">
        <f>IF(HK25&lt;=InputData!$C$150,InputData!$C$152,IF(HK25&lt;InputData!$C$151,IF(InputData!$C$152-0.25*IF(HK25-InputData!$C$150&lt;=0,0,HK25-InputData!$C$150)&lt;=0,0,InputData!$C$152-0.25*IF(HK25-InputData!$C$150&lt;=0,0,HK25-InputData!$C$150)),0))</f>
        <v>44506.715826866057</v>
      </c>
      <c r="HQ25" s="32">
        <f>IF(HK25-HP25&lt;=0,0,IF(HK25-HP25&lt;=InputData!$C$153,InputData!$C$154*(HK25-HP25),InputData!$C$155*(HK25-HP25)-InputData!$D$154))</f>
        <v>26121.269425074126</v>
      </c>
      <c r="HR25" s="32">
        <f t="shared" si="95"/>
        <v>31085.728273910019</v>
      </c>
      <c r="HS25" s="32">
        <f>IF(HK25&gt;=0,IF(HK25&lt;=InputData!$C$148,InputData!$C$147*HK25,InputData!$C$147*InputData!$C$148)+InputData!$C$149*HK25,0)</f>
        <v>9151.5104820417691</v>
      </c>
      <c r="HT25" s="32">
        <f>IF(HM25&lt;0,0,IF(HM25&lt;=InputData!$B$163,InputData!$C$163*HM25,IF(HM25&lt;=InputData!$B$164,InputData!$D$163+InputData!$C$164*(HM25-InputData!$B$163),IF(HM25&lt;=InputData!$B$165,InputData!$D$164+InputData!$C$165*(HM25-InputData!$B$164),InputData!$D$165+InputData!$C$166*(HM25-InputData!$B$165)))))</f>
        <v>0</v>
      </c>
      <c r="HU25" s="43">
        <f t="shared" si="96"/>
        <v>0.27754961832196795</v>
      </c>
      <c r="HV25" s="43">
        <f t="shared" si="97"/>
        <v>0.24749712916751393</v>
      </c>
      <c r="HW25" s="5">
        <f t="shared" si="98"/>
        <v>122339.34906668085</v>
      </c>
      <c r="HX25" s="32">
        <f>HW25/((1+InputData!$C$7)^(IntMed!$B25-IntMed!$B$7))</f>
        <v>71861.473941054443</v>
      </c>
      <c r="HY25" s="32">
        <f t="shared" si="99"/>
        <v>1142770.9258096323</v>
      </c>
      <c r="IA25" s="41"/>
      <c r="IB25" s="4" t="s">
        <v>109</v>
      </c>
      <c r="IC25" s="32">
        <f>MIN(InputData!$C$13+InputData!$E$13*($B25-$B$21),1)*IntMed!AW25</f>
        <v>255441.46952132136</v>
      </c>
      <c r="ID25" s="32">
        <f>MIN(InputData!$C$13+InputData!$E$13*($B25-$B$21),1)*IntMed!AX25</f>
        <v>0</v>
      </c>
      <c r="IE25" s="32">
        <f>MIN(InputData!$C$13+InputData!$E$13*($B25-$B$21),1)*IntMed!AY25</f>
        <v>255441.46952132136</v>
      </c>
      <c r="IF25" s="32">
        <f>MIN(InputData!$C$13+InputData!$E$13*($B25-$B$21),1)*IntMed!EO25</f>
        <v>178849.73964034865</v>
      </c>
      <c r="IG25" s="32">
        <f>MIN(InputData!$C$13+InputData!$E$13*($B25-$B$21),1)*IntMed!EP25</f>
        <v>0</v>
      </c>
      <c r="IH25" s="32">
        <f>IF(IF25-InputData!$C$158-InputData!$C$159&gt;=0,IF25-InputData!$C$158-InputData!$C$159,0)</f>
        <v>178849.73964034865</v>
      </c>
      <c r="II25" s="32">
        <f>IF(IF25-IF(IF25&lt;=InputData!$C$146,InputData!$C$145,0)-MAX(InputData!$C$144,IO25)&gt;=0,IF25-IF(IF25&lt;=InputData!$C$146,InputData!$C$145,0)-MAX(InputData!$C$144,IO25),0)</f>
        <v>172749.73964034865</v>
      </c>
      <c r="IJ25" s="32">
        <f>IF(II25&lt;0,"Error",IF(II25&lt;=InputData!$B$170,InputData!$C$170*II25,IF(II25&lt;=InputData!$B$171,InputData!$D$170+InputData!$C$171*(II25-InputData!$B$170),IF(II25&lt;=InputData!$B$172,InputData!$D$171+InputData!$C$172*(II25-InputData!$B$171),IF(II25&lt;=InputData!$B$173,InputData!$D$172+InputData!$C$173*(II25-InputData!$B$172),IF(II25&lt;=InputData!$B$174,InputData!$D$173+InputData!$C$174*(II25-InputData!$B$173),IF(II25&lt;=InputData!$B$175,InputData!$D$174+InputData!$C$175*(II25-InputData!$B$174),InputData!$D$175+InputData!$C$176*(II25-InputData!$B$175))))))))</f>
        <v>41663.177099297623</v>
      </c>
      <c r="IK25" s="32">
        <f>IF(IF25&lt;=InputData!$C$150,InputData!$C$152,IF(IF25&lt;InputData!$C$151,IF(InputData!$C$152-0.25*IF(IF25-InputData!$C$150&lt;=0,0,IF25-InputData!$C$150)&lt;=0,0,InputData!$C$152-0.25*IF(IF25-InputData!$C$150&lt;=0,0,IF25-InputData!$C$150)),0))</f>
        <v>36037.565089912838</v>
      </c>
      <c r="IL25" s="32">
        <f>IF(IF25-IK25&lt;=0,0,IF(IF25-IK25&lt;=InputData!$C$153,InputData!$C$154*(IF25-IK25),InputData!$C$155*(IF25-IK25)-InputData!$D$154))</f>
        <v>37131.165383113308</v>
      </c>
      <c r="IM25" s="32">
        <f t="shared" si="100"/>
        <v>41663.177099297623</v>
      </c>
      <c r="IN25" s="32">
        <f>IF(IF25&gt;=0,IF(IF25&lt;=InputData!$C$148,InputData!$C$147*IF25,InputData!$C$147*InputData!$C$148)+InputData!$C$149*IF25,0)</f>
        <v>9642.7212247850548</v>
      </c>
      <c r="IO25" s="32">
        <f>IF(IH25&lt;0,0,IF(IH25&lt;=InputData!$B$163,InputData!$C$163*IH25,IF(IH25&lt;=InputData!$B$164,InputData!$D$163+InputData!$C$164*(IH25-InputData!$B$163),IF(IH25&lt;=InputData!$B$165,InputData!$D$164+InputData!$C$165*(IH25-InputData!$B$164),InputData!$D$165+InputData!$C$166*(IH25-InputData!$B$165)))))</f>
        <v>0</v>
      </c>
      <c r="IP25" s="43">
        <f t="shared" si="101"/>
        <v>0.2868659380061408</v>
      </c>
      <c r="IQ25" s="43">
        <f t="shared" si="102"/>
        <v>0.2868659380061408</v>
      </c>
      <c r="IR25" s="5">
        <f t="shared" si="27"/>
        <v>127543.84131626596</v>
      </c>
      <c r="IS25" s="32">
        <f>IR25/((1+InputData!$C$7)^(IntMed!$B25-IntMed!$B$7))</f>
        <v>74918.564623841477</v>
      </c>
      <c r="IT25" s="5">
        <f t="shared" si="103"/>
        <v>1176969.9325428705</v>
      </c>
      <c r="IV25" s="41"/>
      <c r="IW25" s="49" t="s">
        <v>109</v>
      </c>
      <c r="IX25" s="32">
        <f>MIN(InputData!$C$13+InputData!$E$13*($B25-$B$18),1)*IntMed!AW25</f>
        <v>255441.46952132136</v>
      </c>
      <c r="IY25" s="32">
        <f>MIN(InputData!$C$13+InputData!$E$13*($B25-$B$18),1)*IntMed!AX25</f>
        <v>0</v>
      </c>
      <c r="IZ25" s="32">
        <f>MIN(InputData!$C$13+InputData!$E$13*($B25-$B$18),1)*IntMed!AY25</f>
        <v>255441.46952132136</v>
      </c>
      <c r="JA25" s="32">
        <f>MIN(InputData!$C$13+InputData!$E$13*($B25-$B$18),1)*IntMed!EO25</f>
        <v>178849.73964034865</v>
      </c>
      <c r="JB25" s="32">
        <f>MIN(InputData!$C$13+InputData!$E$13*($B25-$B$18),1)*IntMed!EP25</f>
        <v>0</v>
      </c>
      <c r="JC25" s="32">
        <f>IF(JA25-InputData!$C$158-InputData!$C$159&gt;=0,JA25-InputData!$C$158-InputData!$C$159,0)</f>
        <v>178849.73964034865</v>
      </c>
      <c r="JD25" s="32">
        <f>IF(JA25-IF(JA25&lt;=InputData!$C$146,InputData!$C$145,0)-MAX(InputData!$C$144,JJ25)&gt;=0,JA25-IF(JA25&lt;=InputData!$C$146,InputData!$C$145,0)-MAX(InputData!$C$144,JJ25),0)</f>
        <v>172749.73964034865</v>
      </c>
      <c r="JE25" s="32">
        <f>IF(JD25&lt;0,"Error",IF(JD25&lt;=InputData!$B$170,InputData!$C$170*JD25,IF(JD25&lt;=InputData!$B$171,InputData!$D$170+InputData!$C$171*(JD25-InputData!$B$170),IF(JD25&lt;=InputData!$B$172,InputData!$D$171+InputData!$C$172*(JD25-InputData!$B$171),IF(JD25&lt;=InputData!$B$173,InputData!$D$172+InputData!$C$173*(JD25-InputData!$B$172),IF(JD25&lt;=InputData!$B$174,InputData!$D$173+InputData!$C$174*(JD25-InputData!$B$173),IF(JD25&lt;=InputData!$B$175,InputData!$D$174+InputData!$C$175*(JD25-InputData!$B$174),InputData!$D$175+InputData!$C$176*(JD25-InputData!$B$175))))))))</f>
        <v>41663.177099297623</v>
      </c>
      <c r="JF25" s="32">
        <f>IF(JA25&lt;=InputData!$C$150,InputData!$C$152,IF(JA25&lt;InputData!$C$151,IF(InputData!$C$152-0.25*IF(JA25-InputData!$C$150&lt;=0,0,JA25-InputData!$C$150)&lt;=0,0,InputData!$C$152-0.25*IF(JA25-InputData!$C$150&lt;=0,0,JA25-InputData!$C$150)),0))</f>
        <v>36037.565089912838</v>
      </c>
      <c r="JG25" s="32">
        <f>IF(JA25-JF25&lt;=0,0,IF(JA25-JF25&lt;=InputData!$C$153,InputData!$C$154*(JA25-JF25),InputData!$C$155*(JA25-JF25)-InputData!$D$154))</f>
        <v>37131.165383113308</v>
      </c>
      <c r="JH25" s="32">
        <f t="shared" si="104"/>
        <v>41663.177099297623</v>
      </c>
      <c r="JI25" s="32">
        <f>IF(JA25&gt;=0,IF(JA25&lt;=InputData!$C$148,InputData!$C$147*JA25,InputData!$C$147*InputData!$C$148)+InputData!$C$149*JA25,0)</f>
        <v>9642.7212247850548</v>
      </c>
      <c r="JJ25" s="32">
        <f>IF(JC25&lt;0,0,IF(JC25&lt;=InputData!$B$163,InputData!$C$163*JC25,IF(JC25&lt;=InputData!$B$164,InputData!$D$163+InputData!$C$164*(JC25-InputData!$B$163),IF(JC25&lt;=InputData!$B$165,InputData!$D$164+InputData!$C$165*(JC25-InputData!$B$164),InputData!$D$165+InputData!$C$166*(JC25-InputData!$B$165)))))</f>
        <v>0</v>
      </c>
      <c r="JK25" s="42">
        <f t="shared" si="105"/>
        <v>0.2868659380061408</v>
      </c>
      <c r="JL25" s="42">
        <f t="shared" si="106"/>
        <v>0.2868659380061408</v>
      </c>
      <c r="JM25" s="32">
        <f t="shared" si="35"/>
        <v>127543.84131626596</v>
      </c>
      <c r="JN25" s="32">
        <f>JM25/((1+InputData!$C$7)^(IntMed!$B25-IntMed!$B$7))</f>
        <v>74918.564623841477</v>
      </c>
      <c r="JO25" s="32">
        <f t="shared" si="107"/>
        <v>1158321.6710904662</v>
      </c>
      <c r="JQ25" s="41" t="s">
        <v>109</v>
      </c>
      <c r="JR25" s="32">
        <f>$JR$14*(1+InputData!$C$3+InputData!$C$4)^(IntMed!$B25-IntMed!$B$14)</f>
        <v>222606.94511661993</v>
      </c>
      <c r="JS25" s="32">
        <v>0</v>
      </c>
      <c r="JT25" s="32">
        <f t="shared" si="108"/>
        <v>222606.94511661993</v>
      </c>
      <c r="JU25" s="5">
        <f>JR25*(1/(1+InputData!$C$3))^(IntMed!$B25-IntMed!$B$7)</f>
        <v>155860.33955585927</v>
      </c>
      <c r="JV25" s="5">
        <f>JS25*(1/(1+InputData!$C$3))^(IntMed!$B25-IntMed!$B$7)</f>
        <v>0</v>
      </c>
      <c r="JW25" s="32">
        <f>IF(JU25-InputData!$C$158-InputData!$C$159&gt;=0,JU25-InputData!$C$158-InputData!$C$159,0)</f>
        <v>155860.33955585927</v>
      </c>
      <c r="JX25" s="32">
        <f>IF(JU25-IF(JU25&lt;=InputData!$C$146,InputData!$C$145,0)-MAX(InputData!$C$144,KD25)&gt;=0,JU25-IF(JU25&lt;=InputData!$C$146,InputData!$C$145,0)-MAX(InputData!$C$144,KD25),0)</f>
        <v>149760.33955585927</v>
      </c>
      <c r="JY25" s="32">
        <f>IF(JX25&lt;0,"Error",IF(JX25&lt;=InputData!$B$170,InputData!$C$170*JX25,IF(JX25&lt;=InputData!$B$171,InputData!$D$170+InputData!$C$171*(JX25-InputData!$B$170),IF(JX25&lt;=InputData!$B$172,InputData!$D$171+InputData!$C$172*(JX25-InputData!$B$171),IF(JX25&lt;=InputData!$B$173,InputData!$D$172+InputData!$C$173*(JX25-InputData!$B$172),IF(JX25&lt;=InputData!$B$174,InputData!$D$173+InputData!$C$174*(JX25-InputData!$B$173),IF(JX25&lt;=InputData!$B$175,InputData!$D$174+InputData!$C$175*(JX25-InputData!$B$174),InputData!$D$175+InputData!$C$176*(JX25-InputData!$B$175))))))))</f>
        <v>35226.145075640597</v>
      </c>
      <c r="JZ25" s="32">
        <f>IF(JU25&lt;=InputData!$C$150,InputData!$C$152,IF(JU25&lt;InputData!$C$151,IF(InputData!$C$152-0.25*IF(JU25-InputData!$C$150&lt;=0,0,JU25-InputData!$C$150)&lt;=0,0,InputData!$C$152-0.25*IF(JU25-InputData!$C$150&lt;=0,0,JU25-InputData!$C$150)),0))</f>
        <v>41784.915111035181</v>
      </c>
      <c r="KA25" s="32">
        <f>IF(JU25-JZ25&lt;=0,0,IF(JU25-JZ25&lt;=InputData!$C$153,InputData!$C$154*(JU25-JZ25),InputData!$C$155*(JU25-JZ25)-InputData!$D$154))</f>
        <v>29659.610355654266</v>
      </c>
      <c r="KB25" s="32">
        <f t="shared" si="109"/>
        <v>35226.145075640597</v>
      </c>
      <c r="KC25" s="32">
        <f>IF(JU25&gt;=0,IF(JU25&lt;=InputData!$C$148,InputData!$C$147*JU25,InputData!$C$147*InputData!$C$148)+InputData!$C$149*JU25,0)</f>
        <v>9309.3749235599589</v>
      </c>
      <c r="KD25" s="32">
        <f>IF(JW25&lt;0,0,IF(JW25&lt;=InputData!$B$163,InputData!$C$163*JW25,IF(JW25&lt;=InputData!$B$164,InputData!$D$163+InputData!$C$164*(JW25-InputData!$B$163),IF(JW25&lt;=InputData!$B$165,InputData!$D$164+InputData!$C$165*(JW25-InputData!$B$164),InputData!$D$165+InputData!$C$166*(JW25-InputData!$B$165)))))</f>
        <v>0</v>
      </c>
      <c r="KE25" s="43">
        <f t="shared" si="110"/>
        <v>0.28573991386204656</v>
      </c>
      <c r="KF25" s="43">
        <f t="shared" si="111"/>
        <v>0.28573991386204656</v>
      </c>
      <c r="KG25" s="5">
        <f t="shared" si="112"/>
        <v>111324.81955665872</v>
      </c>
      <c r="KH25" s="32">
        <f>KG25/((1+InputData!$C$7)^(IntMed!$B25-IntMed!$B$7))</f>
        <v>65391.598701437033</v>
      </c>
      <c r="KI25" s="5">
        <f t="shared" si="143"/>
        <v>1043261.9668840171</v>
      </c>
      <c r="KK25" s="7">
        <v>6</v>
      </c>
      <c r="KL25" t="s">
        <v>377</v>
      </c>
      <c r="KM25">
        <v>40</v>
      </c>
      <c r="KN25" s="41" t="s">
        <v>109</v>
      </c>
      <c r="KO25" s="32">
        <f>MIN(InputData!$C$13+InputData!$E$13*($B25-$B$24),1)*IntMed!AW25</f>
        <v>255441.46952132136</v>
      </c>
      <c r="KP25" s="32">
        <f>MIN(InputData!$C$13+InputData!$E$13*($B25-$B$24),1)*IntMed!AX25</f>
        <v>0</v>
      </c>
      <c r="KQ25" s="5">
        <f t="shared" si="169"/>
        <v>255441.46952132136</v>
      </c>
      <c r="KR25" s="32">
        <f>KR24*(1+InputData!$C$8)</f>
        <v>16410.549384651382</v>
      </c>
      <c r="KS25" s="5">
        <f>KO25*(1/(1+InputData!$C$3))^(IntMed!$B25-IntMed!$B$7)</f>
        <v>178849.7396403485</v>
      </c>
      <c r="KT25" s="5">
        <f>KP25*(1/(1+InputData!$C$3))^(IntMed!$B25-IntMed!$B$7)</f>
        <v>0</v>
      </c>
      <c r="KU25" s="32" t="s">
        <v>386</v>
      </c>
      <c r="KV25" s="32">
        <v>0</v>
      </c>
      <c r="KW25" s="32">
        <v>0</v>
      </c>
      <c r="KX25" s="5">
        <f>KW25*InputData!$C$6</f>
        <v>0</v>
      </c>
      <c r="KY25" s="32">
        <f t="shared" si="166"/>
        <v>0</v>
      </c>
      <c r="KZ25" s="32">
        <v>0</v>
      </c>
      <c r="LA25" s="32">
        <v>0</v>
      </c>
      <c r="LB25" s="32">
        <f>KZ25/((1+InputData!$C$3)^(IntMed!$B25-IntMed!$B$7))</f>
        <v>0</v>
      </c>
      <c r="LC25" s="32">
        <f>IF(KS25-InputData!$C$158-InputData!$C$159&gt;=0,KS25-InputData!$C$158-InputData!$C$159,0)</f>
        <v>178849.7396403485</v>
      </c>
      <c r="LD25" s="32">
        <f>IF(KS25-IF(KS25&lt;=InputData!$C$146,InputData!$C$145,0)-MAX(InputData!$C$144,LJ25)&gt;=0,KS25-IF(KS25&lt;=InputData!$C$146,InputData!$C$145,0)-MAX(InputData!$C$144,LJ25),0)</f>
        <v>172749.7396403485</v>
      </c>
      <c r="LE25" s="32">
        <f>IF(LD25&lt;0,"Error",IF(LD25&lt;=InputData!$B$170,InputData!$C$170*LD25,IF(LD25&lt;=InputData!$B$171,InputData!$D$170+InputData!$C$171*(LD25-InputData!$B$170),IF(LD25&lt;=InputData!$B$172,InputData!$D$171+InputData!$C$172*(LD25-InputData!$B$171),IF(LD25&lt;=InputData!$B$173,InputData!$D$172+InputData!$C$173*(LD25-InputData!$B$172),IF(LD25&lt;=InputData!$B$174,InputData!$D$173+InputData!$C$174*(LD25-InputData!$B$173),IF(LD25&lt;=InputData!$B$175,InputData!$D$174+InputData!$C$175*(LD25-InputData!$B$174),InputData!$D$175+InputData!$C$176*(LD25-InputData!$B$175))))))))</f>
        <v>41663.17709929758</v>
      </c>
      <c r="LF25" s="32">
        <f>IF(KS25&lt;=InputData!$C$150,InputData!$C$152,IF(KS25&lt;InputData!$C$151,IF(InputData!$C$152-0.25*IF(KS25-InputData!$C$150&lt;=0,0,KS25-InputData!$C$150)&lt;=0,0,InputData!$C$152-0.25*IF(KS25-InputData!$C$150&lt;=0,0,KS25-InputData!$C$150)),0))</f>
        <v>36037.565089912874</v>
      </c>
      <c r="LG25" s="32">
        <f>IF(KS25-LF25&lt;=0,0,IF(KS25-LF25&lt;=InputData!$C$153,InputData!$C$154*(KS25-LF25),InputData!$C$155*(KS25-LF25)-InputData!$D$154))</f>
        <v>37131.165383113264</v>
      </c>
      <c r="LH25" s="32">
        <f t="shared" si="118"/>
        <v>41663.17709929758</v>
      </c>
      <c r="LI25" s="32">
        <f>IF(KS25&gt;=0,IF(KS25&lt;=InputData!$C$148,InputData!$C$147*KS25,InputData!$C$147*InputData!$C$148)+InputData!$C$149*KS25,0)</f>
        <v>9642.721224785053</v>
      </c>
      <c r="LJ25" s="32">
        <f>IF(LC25&lt;0,0,IF(LC25&lt;=InputData!$B$163,InputData!$C$163*LC25,IF(LC25&lt;=InputData!$B$164,InputData!$D$163+InputData!$C$164*(LC25-InputData!$B$163),IF(LC25&lt;=InputData!$B$165,InputData!$D$164+InputData!$C$165*(LC25-InputData!$B$164),InputData!$D$165+InputData!$C$166*(LC25-InputData!$B$165)))))</f>
        <v>0</v>
      </c>
      <c r="LK25" s="43">
        <f t="shared" si="156"/>
        <v>0.2868659380061408</v>
      </c>
      <c r="LL25" s="32">
        <f t="shared" si="119"/>
        <v>127543.84131626587</v>
      </c>
      <c r="LM25" s="5">
        <f t="shared" si="120"/>
        <v>127543.84131626587</v>
      </c>
      <c r="LN25" s="32">
        <f>LM25/((1+InputData!$C$7)^(IntMed!$B25-IntMed!$B$7))</f>
        <v>74918.564623841419</v>
      </c>
      <c r="LO25" s="5">
        <f t="shared" si="145"/>
        <v>824190.82945734379</v>
      </c>
      <c r="LQ25" s="157" t="str">
        <f t="shared" si="37"/>
        <v>Private Practice</v>
      </c>
      <c r="LR25" s="32">
        <f t="shared" si="121"/>
        <v>283823.85502369038</v>
      </c>
      <c r="LS25" s="32">
        <v>0</v>
      </c>
      <c r="LT25" s="32">
        <f t="shared" si="123"/>
        <v>283823.85502369038</v>
      </c>
      <c r="LU25" s="32">
        <f>LU24*(1+InputData!$C$8)</f>
        <v>16410.549384651382</v>
      </c>
      <c r="LV25" s="32">
        <f>LR25/((1+InputData!$C$3)^(IntMed!$B25-IntMed!$B$7))</f>
        <v>198721.93293372073</v>
      </c>
      <c r="LW25" s="32">
        <f>LS25/((1+InputData!$C$3)^(IntMed!$B25-IntMed!$B$7))</f>
        <v>0</v>
      </c>
      <c r="LX25" s="32" t="s">
        <v>141</v>
      </c>
      <c r="LY25" s="32">
        <v>0</v>
      </c>
      <c r="LZ25" s="32">
        <f t="shared" si="189"/>
        <v>0</v>
      </c>
      <c r="MA25" s="32">
        <f>(LZ25)*InputData!$C$6</f>
        <v>0</v>
      </c>
      <c r="MB25" s="32">
        <f>MIN($BE$14*InputData!$C$6/(1-(1+InputData!$C$6)^(-10)), LZ25+MA25)</f>
        <v>0</v>
      </c>
      <c r="MC25" s="32">
        <f t="shared" si="168"/>
        <v>0</v>
      </c>
      <c r="MD25" s="32">
        <f>MB25/((1+InputData!$C$3)^(IntMed!$B25-IntMed!$B$7))</f>
        <v>0</v>
      </c>
      <c r="ME25" s="32">
        <f>IF(LV25-InputData!$C$158-InputData!$C$159&gt;=0,LV25-InputData!$C$158-InputData!$C$159,0)</f>
        <v>198721.93293372073</v>
      </c>
      <c r="MF25" s="32">
        <f>IF(LV25-IF(LV25&lt;=InputData!$C$146,InputData!$C$145,0)-MAX(InputData!$C$144,ML25)&gt;=0,LV25-IF(LV25&lt;=InputData!$C$146,InputData!$C$145,0)-MAX(InputData!$C$144,ML25),0)</f>
        <v>192621.93293372073</v>
      </c>
      <c r="MG25" s="32">
        <f>IF(MF25&lt;0,"Error",IF(MF25&lt;=InputData!$B$170,InputData!$C$170*MF25,IF(MF25&lt;=InputData!$B$171,InputData!$D$170+InputData!$C$171*(MF25-InputData!$B$170),IF(MF25&lt;=InputData!$B$172,InputData!$D$171+InputData!$C$172*(MF25-InputData!$B$171),IF(MF25&lt;=InputData!$B$173,InputData!$D$172+InputData!$C$173*(MF25-InputData!$B$172),IF(MF25&lt;=InputData!$B$174,InputData!$D$173+InputData!$C$174*(MF25-InputData!$B$173),IF(MF25&lt;=InputData!$B$175,InputData!$D$174+InputData!$C$175*(MF25-InputData!$B$174),InputData!$D$175+InputData!$C$176*(MF25-InputData!$B$175))))))))</f>
        <v>47695.987868127842</v>
      </c>
      <c r="MH25" s="32">
        <f>IF(LV25&lt;=InputData!$C$150,InputData!$C$152,IF(LV25&lt;InputData!$C$151,IF(InputData!$C$152-0.25*IF(LV25-InputData!$C$150&lt;=0,0,LV25-InputData!$C$150)&lt;=0,0,InputData!$C$152-0.25*IF(LV25-InputData!$C$150&lt;=0,0,LV25-InputData!$C$150)),0))</f>
        <v>31069.516766569817</v>
      </c>
      <c r="MI25" s="32">
        <f>IF(LV25-MH25&lt;=0,0,IF(LV25-MH25&lt;=InputData!$C$153,InputData!$C$154*(LV25-MH25),InputData!$C$155*(LV25-MH25)-InputData!$D$154))</f>
        <v>43589.628203459244</v>
      </c>
      <c r="MJ25" s="32">
        <f t="shared" si="124"/>
        <v>47695.987868127842</v>
      </c>
      <c r="MK25" s="32">
        <f>IF(LV25&gt;=0,IF(LV25&lt;=InputData!$C$148,InputData!$C$147*LV25,InputData!$C$147*InputData!$C$148)+InputData!$C$149*LV25,0)</f>
        <v>9930.8680275389506</v>
      </c>
      <c r="ML25" s="32">
        <f>IF(ME25&lt;0,0,IF(ME25&lt;=InputData!$B$163,InputData!$C$163*ME25,IF(ME25&lt;=InputData!$B$164,InputData!$D$163+InputData!$C$164*(ME25-InputData!$B$163),IF(ME25&lt;=InputData!$B$165,InputData!$D$164+InputData!$C$165*(ME25-InputData!$B$164),InputData!$D$165+InputData!$C$166*(ME25-InputData!$B$165)))))</f>
        <v>0</v>
      </c>
      <c r="MM25" s="43">
        <f t="shared" si="38"/>
        <v>0.28998739618181424</v>
      </c>
      <c r="MN25" s="32">
        <f t="shared" si="125"/>
        <v>141095.07703805395</v>
      </c>
      <c r="MO25" s="32">
        <f t="shared" si="126"/>
        <v>141095.07703805395</v>
      </c>
      <c r="MP25" s="32">
        <f>MO25/((1+InputData!$C$7)^(IntMed!$B25-IntMed!$B$7))</f>
        <v>82878.487413356881</v>
      </c>
      <c r="MQ25" s="5">
        <f t="shared" si="147"/>
        <v>1223005.6748059362</v>
      </c>
    </row>
    <row r="26" spans="1:355" x14ac:dyDescent="0.25">
      <c r="A26" s="53">
        <v>2032</v>
      </c>
      <c r="B26" s="51">
        <v>20</v>
      </c>
      <c r="C26" s="4"/>
      <c r="D26" s="3">
        <v>16</v>
      </c>
      <c r="E26" s="4" t="s">
        <v>24</v>
      </c>
      <c r="F26" s="5">
        <f>InputData!$K$22*12</f>
        <v>89103.6</v>
      </c>
      <c r="G26" s="5">
        <f>(InputData!$K$22+InputData!$I$45+InputData!$F$50)*12+InputData!$J$50+InputData!$D$57+InputData!$J$57</f>
        <v>173103.52000000002</v>
      </c>
      <c r="H26" s="5">
        <f>(InputData!$C$33+InputData!$C$40)*12</f>
        <v>21019.199999999997</v>
      </c>
      <c r="I26" s="5">
        <f t="shared" si="39"/>
        <v>194122.72000000003</v>
      </c>
      <c r="J26" s="5">
        <f>G26*((1+InputData!$C$5)/(1+InputData!$C$3))^(IntMed!$B26-IntMed!$B$7)</f>
        <v>143551.83143084426</v>
      </c>
      <c r="K26" s="5">
        <f>H26*((1+InputData!$C$5)/(1+InputData!$C$3))^(IntMed!$B26-IntMed!$B$7)</f>
        <v>17430.868275880242</v>
      </c>
      <c r="L26" s="32">
        <f>IF(J26-InputData!$C$158-InputData!$C$159&gt;=0,J26-InputData!$C$158-InputData!$C$159,0)</f>
        <v>143551.83143084426</v>
      </c>
      <c r="M26" s="32">
        <f>IF(J26-IF(J26&lt;=InputData!$C$146,InputData!$C$145,0)-MAX(InputData!$C$144,S26)&gt;=0,J26-IF(J26&lt;=InputData!$C$146,InputData!$C$145,0)-MAX(InputData!$C$144,S26),0)</f>
        <v>133551.83143084426</v>
      </c>
      <c r="N26" s="32">
        <f>IF(M26&lt;0,"Error",IF(M26&lt;=InputData!$B$170,InputData!$C$170*M26,IF(M26&lt;=InputData!$B$171,InputData!$D$170+InputData!$C$171*(M26-InputData!$B$170),IF(M26&lt;=InputData!$B$172,InputData!$D$171+InputData!$C$172*(M26-InputData!$B$171),IF(M26&lt;=InputData!$B$173,InputData!$D$172+InputData!$C$173*(M26-InputData!$B$172),IF(M26&lt;=InputData!$B$174,InputData!$D$173+InputData!$C$174*(M26-InputData!$B$173),IF(M26&lt;=InputData!$B$175,InputData!$D$174+InputData!$C$175*(M26-InputData!$B$174),InputData!$D$175+InputData!$C$176*(M26-InputData!$B$175))))))))</f>
        <v>30687.762800636396</v>
      </c>
      <c r="O26" s="32">
        <f>IF(J26&lt;=InputData!$C$150,InputData!$C$152,IF(J26&lt;InputData!$C$151,IF(InputData!$C$152-0.25*IF(J26-InputData!$C$150&lt;=0,0,J26-InputData!$C$150)&lt;=0,0,InputData!$C$152-0.25*IF(J26-InputData!$C$150&lt;=0,0,J26-InputData!$C$150)),0))</f>
        <v>44862.042142288934</v>
      </c>
      <c r="P26" s="32">
        <f>IF(J26-O26&lt;=0,0,IF(J26-O26&lt;=InputData!$C$153,InputData!$C$154*(J26-O26),InputData!$C$155*(J26-O26)-InputData!$D$154))</f>
        <v>25659.345215024387</v>
      </c>
      <c r="Q26" s="32">
        <f t="shared" si="40"/>
        <v>30687.762800636396</v>
      </c>
      <c r="R26" s="32">
        <f>IF(J26&gt;=0,IF(J26&lt;=InputData!$C$148,InputData!$C$147*J26,InputData!$C$147*InputData!$C$148)+InputData!$C$149*J26,0)</f>
        <v>9130.9015557472412</v>
      </c>
      <c r="S26" s="32">
        <f>IF(L26&lt;0,0,IF(L26&lt;=InputData!$B$163,InputData!$C$163*L26,IF(L26&lt;=InputData!$B$164,InputData!$D$163+InputData!$C$164*(L26-InputData!$B$163),IF(L26&lt;=InputData!$B$165,InputData!$D$164+InputData!$C$165*(L26-InputData!$B$164),InputData!$D$165+InputData!$C$166*(L26-InputData!$B$165)))))</f>
        <v>0</v>
      </c>
      <c r="T26" s="43">
        <f t="shared" si="41"/>
        <v>0.27738179276079933</v>
      </c>
      <c r="U26" s="43">
        <f t="shared" si="42"/>
        <v>0.24734747540527396</v>
      </c>
      <c r="V26" s="5">
        <f t="shared" si="43"/>
        <v>121164.03535034086</v>
      </c>
      <c r="W26" s="32">
        <f>V26/((1+InputData!$C$7)^(IntMed!$B26-IntMed!$B$7))</f>
        <v>69098.156312445513</v>
      </c>
      <c r="X26" s="5">
        <f t="shared" si="127"/>
        <v>1234020.8995299013</v>
      </c>
      <c r="Y26" s="53"/>
      <c r="Z26" s="3">
        <v>16</v>
      </c>
      <c r="AA26" s="97" t="s">
        <v>264</v>
      </c>
      <c r="AB26" s="5">
        <f t="shared" si="192"/>
        <v>89103.6</v>
      </c>
      <c r="AC26" s="5">
        <f t="shared" si="201"/>
        <v>173103.52000000002</v>
      </c>
      <c r="AD26" s="5">
        <f t="shared" si="193"/>
        <v>21019.199999999997</v>
      </c>
      <c r="AE26" s="5">
        <f t="shared" si="202"/>
        <v>194122.72000000003</v>
      </c>
      <c r="AF26" s="5">
        <f>AC26*((1+InputData!$C$5)/(1+InputData!$C$3))^(IntMed!$B26-IntMed!$B$7)</f>
        <v>143551.83143084426</v>
      </c>
      <c r="AG26" s="5">
        <f>AD26*((1+InputData!$C$5)/(1+InputData!$C$3))^(IntMed!$B26-IntMed!$B$7)</f>
        <v>17430.868275880242</v>
      </c>
      <c r="AH26" s="32">
        <f>IF(AF26-InputData!$C$158-InputData!$C$159&gt;=0,AF26-InputData!$C$158-InputData!$C$159,0)</f>
        <v>143551.83143084426</v>
      </c>
      <c r="AI26" s="32">
        <f>IF(AF26-IF(AF26&lt;=InputData!$C$146,InputData!$C$145,0)-MAX(InputData!$C$144,AO26)&gt;=0,AF26-IF(AF26&lt;=InputData!$C$146,InputData!$C$145,0)-MAX(InputData!$C$144,AO26),0)</f>
        <v>133551.83143084426</v>
      </c>
      <c r="AJ26" s="32">
        <f>IF(AI26&lt;0,"Error",IF(AI26&lt;=InputData!$B$170,InputData!$C$170*AI26,IF(AI26&lt;=InputData!$B$171,InputData!$D$170+InputData!$C$171*(AI26-InputData!$B$170),IF(AI26&lt;=InputData!$B$172,InputData!$D$171+InputData!$C$172*(AI26-InputData!$B$171),IF(AI26&lt;=InputData!$B$173,InputData!$D$172+InputData!$C$173*(AI26-InputData!$B$172),IF(AI26&lt;=InputData!$B$174,InputData!$D$173+InputData!$C$174*(AI26-InputData!$B$173),IF(AI26&lt;=InputData!$B$175,InputData!$D$174+InputData!$C$175*(AI26-InputData!$B$174),InputData!$D$175+InputData!$C$176*(AI26-InputData!$B$175))))))))</f>
        <v>30687.762800636396</v>
      </c>
      <c r="AK26" s="32">
        <f>IF(AF26&lt;=InputData!$C$150,InputData!$C$152,IF(AF26&lt;InputData!$C$151,IF(InputData!$C$152-0.25*IF(AF26-InputData!$C$150&lt;=0,0,AF26-InputData!$C$150)&lt;=0,0,InputData!$C$152-0.25*IF(AF26-InputData!$C$150&lt;=0,0,AF26-InputData!$C$150)),0))</f>
        <v>44862.042142288934</v>
      </c>
      <c r="AL26" s="32">
        <f>IF(AF26-AK26&lt;=0,0,IF(AF26-AK26&lt;=InputData!$C$153,InputData!$C$154*(AF26-AK26),InputData!$C$155*(AF26-AK26)-InputData!$D$154))</f>
        <v>25659.345215024387</v>
      </c>
      <c r="AM26" s="32">
        <f t="shared" si="45"/>
        <v>30687.762800636396</v>
      </c>
      <c r="AN26" s="32">
        <f>IF(AF26&gt;=0,IF(AF26&lt;=InputData!$C$148,InputData!$C$147*AF26,InputData!$C$147*InputData!$C$148)+InputData!$C$149*AF26,0)</f>
        <v>9130.9015557472412</v>
      </c>
      <c r="AO26" s="32">
        <f>IF(AH26&lt;0,0,IF(AH26&lt;=InputData!$B$163,InputData!$C$163*AH26,IF(AH26&lt;=InputData!$B$164,InputData!$D$163+InputData!$C$164*(AH26-InputData!$B$163),IF(AH26&lt;=InputData!$B$165,InputData!$D$164+InputData!$C$165*(AH26-InputData!$B$164),InputData!$D$165+InputData!$C$166*(AH26-InputData!$B$165)))))</f>
        <v>0</v>
      </c>
      <c r="AP26" s="43">
        <f t="shared" si="46"/>
        <v>0.27738179276079933</v>
      </c>
      <c r="AQ26" s="43">
        <f t="shared" si="47"/>
        <v>0.24734747540527396</v>
      </c>
      <c r="AR26" s="5">
        <f t="shared" si="48"/>
        <v>121164.03535034086</v>
      </c>
      <c r="AS26" s="32">
        <f>AR26/((1+InputData!$C$7)^(IntMed!$B26-IntMed!$B$7))</f>
        <v>69098.156312445513</v>
      </c>
      <c r="AT26" s="5">
        <f t="shared" si="128"/>
        <v>1211869.0821220777</v>
      </c>
      <c r="AU26" s="53"/>
      <c r="AV26" s="41" t="s">
        <v>109</v>
      </c>
      <c r="AW26" s="32">
        <f>$AW$14*(1+InputData!$C$3+InputData!$C$4)^(IntMed!$B26-IntMed!$B$14)</f>
        <v>292338.57067440107</v>
      </c>
      <c r="AX26" s="32">
        <v>0</v>
      </c>
      <c r="AY26" s="32">
        <f t="shared" si="50"/>
        <v>292338.57067440107</v>
      </c>
      <c r="AZ26" s="32">
        <f>AZ25*(1+InputData!$C$8)</f>
        <v>16738.760372344408</v>
      </c>
      <c r="BA26" s="32">
        <f>AW26/((1+InputData!$C$3)^(IntMed!$B26-IntMed!$B$7))</f>
        <v>200670.18717816897</v>
      </c>
      <c r="BB26" s="32">
        <f>AX26/((1+InputData!$C$3)^(IntMed!$B26-IntMed!$B$7))</f>
        <v>0</v>
      </c>
      <c r="BC26" s="32" t="s">
        <v>141</v>
      </c>
      <c r="BD26" s="32">
        <v>0</v>
      </c>
      <c r="BE26" s="32">
        <f t="shared" si="174"/>
        <v>0</v>
      </c>
      <c r="BF26" s="32">
        <f>(BE26)*InputData!$C$6</f>
        <v>0</v>
      </c>
      <c r="BG26" s="32">
        <f>MIN($BE$14*InputData!$C$6/(1-(1+InputData!$C$6)^(-10)), BE26+BF26)</f>
        <v>0</v>
      </c>
      <c r="BH26" s="32">
        <f t="shared" si="157"/>
        <v>0</v>
      </c>
      <c r="BI26" s="32">
        <f>BG26/((1+InputData!$C$3)^(IntMed!$B26-IntMed!$B$7))</f>
        <v>0</v>
      </c>
      <c r="BJ26" s="32">
        <f>IF(BA26-InputData!$C$158-InputData!$C$159&gt;=0,BA26-InputData!$C$158-InputData!$C$159,0)</f>
        <v>200670.18717816897</v>
      </c>
      <c r="BK26" s="32">
        <f>IF(BA26-IF(BA26&lt;=InputData!$C$146,InputData!$C$145,0)-MAX(InputData!$C$144,BQ26)&gt;=0,BA26-IF(BA26&lt;=InputData!$C$146,InputData!$C$145,0)-MAX(InputData!$C$144,BQ26),0)</f>
        <v>194570.18717816897</v>
      </c>
      <c r="BL26" s="32">
        <f>IF(BK26&lt;0,"Error",IF(BK26&lt;=InputData!$B$170,InputData!$C$170*BK26,IF(BK26&lt;=InputData!$B$171,InputData!$D$170+InputData!$C$171*(BK26-InputData!$B$170),IF(BK26&lt;=InputData!$B$172,InputData!$D$171+InputData!$C$172*(BK26-InputData!$B$171),IF(BK26&lt;=InputData!$B$173,InputData!$D$172+InputData!$C$173*(BK26-InputData!$B$172),IF(BK26&lt;=InputData!$B$174,InputData!$D$173+InputData!$C$174*(BK26-InputData!$B$173),IF(BK26&lt;=InputData!$B$175,InputData!$D$174+InputData!$C$175*(BK26-InputData!$B$174),InputData!$D$175+InputData!$C$176*(BK26-InputData!$B$175))))))))</f>
        <v>48338.911768795762</v>
      </c>
      <c r="BM26" s="32">
        <f>IF(BA26&lt;=InputData!$C$150,InputData!$C$152,IF(BA26&lt;InputData!$C$151,IF(InputData!$C$152-0.25*IF(BA26-InputData!$C$150&lt;=0,0,BA26-InputData!$C$150)&lt;=0,0,InputData!$C$152-0.25*IF(BA26-InputData!$C$150&lt;=0,0,BA26-InputData!$C$150)),0))</f>
        <v>30582.453205457758</v>
      </c>
      <c r="BN26" s="32">
        <f>IF(BA26-BM26&lt;=0,0,IF(BA26-BM26&lt;=InputData!$C$153,InputData!$C$154*(BA26-BM26),InputData!$C$155*(BA26-BM26)-InputData!$D$154))</f>
        <v>44222.810832904914</v>
      </c>
      <c r="BO26" s="32">
        <f t="shared" si="51"/>
        <v>48338.911768795762</v>
      </c>
      <c r="BP26" s="32">
        <f>IF(BA26&gt;=0,IF(BA26&lt;=InputData!$C$148,InputData!$C$147*BA26,InputData!$C$147*InputData!$C$148)+InputData!$C$149*BA26,0)</f>
        <v>9959.1177140834498</v>
      </c>
      <c r="BQ26" s="32">
        <f>IF(BJ26&lt;0,0,IF(BJ26&lt;=InputData!$B$163,InputData!$C$163*BJ26,IF(BJ26&lt;=InputData!$B$164,InputData!$D$163+InputData!$C$164*(BJ26-InputData!$B$163),IF(BJ26&lt;=InputData!$B$165,InputData!$D$164+InputData!$C$165*(BJ26-InputData!$B$164),InputData!$D$165+InputData!$C$166*(BJ26-InputData!$B$165)))))</f>
        <v>0</v>
      </c>
      <c r="BR26" s="43">
        <f t="shared" si="52"/>
        <v>0.29051664476257333</v>
      </c>
      <c r="BS26" s="32">
        <f t="shared" si="53"/>
        <v>142372.15769528976</v>
      </c>
      <c r="BT26" s="32">
        <f t="shared" si="54"/>
        <v>142372.15769528976</v>
      </c>
      <c r="BU26" s="32">
        <f>BT26/((1+InputData!$C$7)^(IntMed!$B26-IntMed!$B$7))</f>
        <v>81192.852140687624</v>
      </c>
      <c r="BV26" s="5">
        <f t="shared" si="130"/>
        <v>920526.97892195347</v>
      </c>
      <c r="BW26" s="5"/>
      <c r="BX26" s="32" t="s">
        <v>141</v>
      </c>
      <c r="BY26" s="5">
        <f t="shared" si="175"/>
        <v>171238.18383771021</v>
      </c>
      <c r="BZ26" s="32">
        <f>(BY26)*InputData!$C$6</f>
        <v>10633.891216321805</v>
      </c>
      <c r="CA26" s="32">
        <f>MIN($BY$14*InputData!$C$6/(1-(1+InputData!$C$6)^(-25)), BY26+BZ26)</f>
        <v>19581.069601718285</v>
      </c>
      <c r="CB26" s="32">
        <f t="shared" si="176"/>
        <v>162291.00545231375</v>
      </c>
      <c r="CC26" s="32">
        <f>CA26/((1+InputData!$C$3)^(IntMed!$B26-IntMed!$B$7))</f>
        <v>13441.048483821021</v>
      </c>
      <c r="CD26" s="5">
        <f t="shared" si="58"/>
        <v>128931.10921146873</v>
      </c>
      <c r="CE26" s="32">
        <f>CD26/((1+InputData!$C$7)^(IntMed!$B26-IntMed!$B$7))</f>
        <v>73527.610004662885</v>
      </c>
      <c r="CF26" s="5">
        <f t="shared" si="131"/>
        <v>977037.54422137199</v>
      </c>
      <c r="CG26" s="5"/>
      <c r="CH26" s="32" t="s">
        <v>141</v>
      </c>
      <c r="CI26" s="5">
        <f t="shared" si="177"/>
        <v>0</v>
      </c>
      <c r="CJ26" s="32">
        <f>(CI26)*InputData!$C$6</f>
        <v>0</v>
      </c>
      <c r="CK26" s="32">
        <f t="shared" si="170"/>
        <v>0</v>
      </c>
      <c r="CL26" s="32">
        <f t="shared" si="178"/>
        <v>0</v>
      </c>
      <c r="CM26" s="32">
        <f>CK26/((1+InputData!$C$3)^(IntMed!$B26-IntMed!$B$7))</f>
        <v>0</v>
      </c>
      <c r="CN26" s="5">
        <f t="shared" si="62"/>
        <v>142372.15769528976</v>
      </c>
      <c r="CO26" s="32">
        <f>CN26/((1+InputData!$C$7)^(IntMed!$B26-IntMed!$B$7))</f>
        <v>81192.852140687624</v>
      </c>
      <c r="CP26" s="5">
        <f t="shared" si="132"/>
        <v>919153.54324901616</v>
      </c>
      <c r="CQ26" s="5"/>
      <c r="CR26" s="32" t="s">
        <v>141</v>
      </c>
      <c r="CS26" s="5">
        <f t="shared" si="179"/>
        <v>137426.9892486406</v>
      </c>
      <c r="CT26" s="32">
        <f>(CS26)*InputData!$C$6</f>
        <v>8534.2160323405824</v>
      </c>
      <c r="CU26" s="32">
        <f t="shared" si="171"/>
        <v>26723.043011588448</v>
      </c>
      <c r="CV26" s="32">
        <f t="shared" si="180"/>
        <v>119238.16226939272</v>
      </c>
      <c r="CW26" s="32">
        <f>CU26/((1+InputData!$C$3)^(IntMed!$B26-IntMed!$B$7))</f>
        <v>18343.5187178169</v>
      </c>
      <c r="CX26" s="5">
        <f t="shared" si="66"/>
        <v>124028.63897747286</v>
      </c>
      <c r="CY26" s="32">
        <f>CX26/((1+InputData!$C$7)^(IntMed!$B26-IntMed!$B$7))</f>
        <v>70731.799733353648</v>
      </c>
      <c r="CZ26" s="5">
        <f t="shared" si="133"/>
        <v>960680.84633946687</v>
      </c>
      <c r="DA26" s="5"/>
      <c r="DB26" s="32" t="s">
        <v>141</v>
      </c>
      <c r="DC26" s="5">
        <f t="shared" si="158"/>
        <v>0</v>
      </c>
      <c r="DD26" s="5">
        <f>DC26*InputData!$C$6</f>
        <v>0</v>
      </c>
      <c r="DE26" s="32">
        <f t="shared" si="159"/>
        <v>0</v>
      </c>
      <c r="DF26" s="32">
        <f t="shared" si="160"/>
        <v>0</v>
      </c>
      <c r="DG26" s="32">
        <f>DE26/((1+InputData!$C$3)^(IntMed!$B26-IntMed!$B$7))</f>
        <v>0</v>
      </c>
      <c r="DH26" s="5">
        <f t="shared" si="70"/>
        <v>142372.15769528976</v>
      </c>
      <c r="DI26" s="32">
        <f>DH26/((1+InputData!$C$7)^(IntMed!$B26-IntMed!$B$7))</f>
        <v>81192.852140687624</v>
      </c>
      <c r="DJ26" s="5">
        <f t="shared" si="134"/>
        <v>924459.75050229987</v>
      </c>
      <c r="DK26" s="5"/>
      <c r="DL26" s="32" t="s">
        <v>141</v>
      </c>
      <c r="DM26" s="32">
        <f t="shared" si="181"/>
        <v>0</v>
      </c>
      <c r="DN26" s="5">
        <f>DM26*InputData!$C$6</f>
        <v>0</v>
      </c>
      <c r="DO26" s="32">
        <f t="shared" si="182"/>
        <v>0</v>
      </c>
      <c r="DP26" s="32">
        <f t="shared" si="150"/>
        <v>0</v>
      </c>
      <c r="DQ26" s="32">
        <f t="shared" si="151"/>
        <v>0</v>
      </c>
      <c r="DR26" s="32">
        <f>DP26/((1+InputData!$C$3)^(IntMed!$B26-IntMed!$B$7))</f>
        <v>0</v>
      </c>
      <c r="DS26" s="5">
        <f t="shared" si="74"/>
        <v>142372.15769528976</v>
      </c>
      <c r="DT26" s="32">
        <f>DS26/((1+InputData!$C$7)^(IntMed!$B26-IntMed!$B$7))</f>
        <v>81192.852140687624</v>
      </c>
      <c r="DU26" s="5">
        <f t="shared" si="136"/>
        <v>920459.58031337033</v>
      </c>
      <c r="DV26" s="5"/>
      <c r="DW26" s="32" t="s">
        <v>141</v>
      </c>
      <c r="DX26" s="133">
        <f t="shared" si="161"/>
        <v>107689.97095159822</v>
      </c>
      <c r="DY26" s="5">
        <f>DX26*InputData!$C$6</f>
        <v>6687.5471960942505</v>
      </c>
      <c r="DZ26" s="133">
        <f t="shared" si="162"/>
        <v>0</v>
      </c>
      <c r="EA26" s="32">
        <f t="shared" si="163"/>
        <v>26723.043011588448</v>
      </c>
      <c r="EB26" s="32">
        <f t="shared" si="164"/>
        <v>87654.475136104025</v>
      </c>
      <c r="EC26" s="32">
        <f>EA26/((1+InputData!$C$3)^(IntMed!$B26-IntMed!$B$7))</f>
        <v>18343.5187178169</v>
      </c>
      <c r="ED26" s="5">
        <f t="shared" si="78"/>
        <v>124028.63897747286</v>
      </c>
      <c r="EE26" s="32">
        <f>ED26/((1+InputData!$C$7)^(IntMed!$B26-IntMed!$B$7))</f>
        <v>70731.799733353648</v>
      </c>
      <c r="EF26" s="5">
        <f t="shared" si="138"/>
        <v>951637.8070415688</v>
      </c>
      <c r="EG26" s="32"/>
      <c r="EH26" s="130" t="s">
        <v>141</v>
      </c>
      <c r="EI26" s="32">
        <v>0</v>
      </c>
      <c r="EJ26" s="32">
        <f t="shared" ref="EJ26" si="205">EJ25-(EN25-EK25)</f>
        <v>143900.35053756391</v>
      </c>
      <c r="EK26" s="32">
        <f>EJ26*InputData!$C$6</f>
        <v>8936.2117683827182</v>
      </c>
      <c r="EL26" s="32">
        <f t="shared" ref="EL26" si="206">EL25+EI26+EK26-EN26</f>
        <v>126113.51929435824</v>
      </c>
      <c r="EM26" s="32">
        <f>EM25*(1+InputData!$C$8)</f>
        <v>16738.760372344408</v>
      </c>
      <c r="EN26" s="32">
        <f t="shared" si="172"/>
        <v>26723.043011588448</v>
      </c>
      <c r="EO26" s="32">
        <f>AW26/((1+InputData!$C$3)^(IntMed!$B26-IntMed!$B$7))</f>
        <v>200670.18717816897</v>
      </c>
      <c r="EP26" s="32">
        <f>AX26/((1+InputData!$C$3)^(IntMed!$B26-IntMed!$B$7))</f>
        <v>0</v>
      </c>
      <c r="EQ26" s="32">
        <v>48088.14</v>
      </c>
      <c r="ER26" s="32">
        <v>8659.3700000000008</v>
      </c>
      <c r="ES26" s="32">
        <v>0</v>
      </c>
      <c r="ET26" s="42">
        <f t="shared" si="154"/>
        <v>0.28278993904368871</v>
      </c>
      <c r="EU26" s="32">
        <f t="shared" si="79"/>
        <v>143922.67717816896</v>
      </c>
      <c r="EV26" s="32">
        <f>EN26/((1+InputData!$C$3)^(IntMed!$B26-IntMed!$B$7))</f>
        <v>18343.5187178169</v>
      </c>
      <c r="EW26" s="32">
        <f t="shared" si="80"/>
        <v>125579.15846035206</v>
      </c>
      <c r="EX26" s="32">
        <f>EW26/((1+InputData!$C$7)^(IntMed!$B26-IntMed!$B$7))</f>
        <v>71616.039328739309</v>
      </c>
      <c r="EY26" s="5">
        <f t="shared" si="148"/>
        <v>976273.80973165296</v>
      </c>
      <c r="EZ26" s="79"/>
      <c r="FA26" s="32">
        <f t="shared" si="203"/>
        <v>0</v>
      </c>
      <c r="FB26" s="32">
        <f>FA26*InputData!$C$6</f>
        <v>0</v>
      </c>
      <c r="FC26" s="32">
        <f t="shared" si="204"/>
        <v>0</v>
      </c>
      <c r="FD26" s="53">
        <f>MIN($EJ$14*InputData!$C$6/(1-(1+InputData!$C$6)^(-10)), FA26+FB26)</f>
        <v>0</v>
      </c>
      <c r="FE26" s="32">
        <f>FD26/((1+InputData!$C$3)^(IntMed!$B26-IntMed!$B$7))</f>
        <v>0</v>
      </c>
      <c r="FF26" s="5">
        <f t="shared" si="84"/>
        <v>143922.67717816896</v>
      </c>
      <c r="FG26" s="32">
        <f>FF26/((1+InputData!$C$7)^(IntMed!$B26-IntMed!$B$7))</f>
        <v>82077.091736073286</v>
      </c>
      <c r="FH26" s="5">
        <f t="shared" si="140"/>
        <v>933651.64343854436</v>
      </c>
      <c r="FI26" s="79"/>
      <c r="FJ26" s="32">
        <f t="shared" si="185"/>
        <v>173430.39275927909</v>
      </c>
      <c r="FK26" s="32">
        <f>FJ26*InputData!$C$6</f>
        <v>10770.027390351232</v>
      </c>
      <c r="FL26" s="32">
        <f t="shared" si="186"/>
        <v>164368.67167178338</v>
      </c>
      <c r="FM26" s="53">
        <f>MIN($EJ$14*InputData!$C$6/(1-(1+InputData!$C$6)^(-25)), FJ26+FK26)</f>
        <v>19831.748477846937</v>
      </c>
      <c r="FN26" s="32">
        <f>FM26/((1+InputData!$C$3)^(IntMed!$B26-IntMed!$B$7))</f>
        <v>13613.122175220356</v>
      </c>
      <c r="FO26" s="5">
        <f t="shared" si="88"/>
        <v>130309.5550029486</v>
      </c>
      <c r="FP26" s="32">
        <f>FO26/((1+InputData!$C$7)^(IntMed!$B26-IntMed!$B$7))</f>
        <v>74313.718378261561</v>
      </c>
      <c r="FQ26" s="5">
        <f t="shared" si="141"/>
        <v>990885.66283351474</v>
      </c>
      <c r="FR26" s="79"/>
      <c r="FS26" s="32">
        <f t="shared" si="187"/>
        <v>0</v>
      </c>
      <c r="FT26" s="32">
        <f>FS26*InputData!$C$6</f>
        <v>0</v>
      </c>
      <c r="FU26" s="32">
        <f t="shared" si="188"/>
        <v>0</v>
      </c>
      <c r="FV26" s="5">
        <f t="shared" si="173"/>
        <v>0</v>
      </c>
      <c r="FW26" s="32">
        <f>FV26/((1+InputData!$C$3)^(IntMed!$B26-IntMed!$B$7))</f>
        <v>0</v>
      </c>
      <c r="FX26" s="5">
        <f t="shared" si="92"/>
        <v>143922.67717816896</v>
      </c>
      <c r="FY26" s="32">
        <f>FX26/((1+InputData!$C$7)^(IntMed!$B26-IntMed!$B$7))</f>
        <v>82077.091736073286</v>
      </c>
      <c r="FZ26" s="5">
        <f t="shared" si="142"/>
        <v>932106.99416186579</v>
      </c>
      <c r="GC26" s="3">
        <f t="shared" si="3"/>
        <v>16</v>
      </c>
      <c r="GD26" s="4" t="str">
        <f t="shared" si="4"/>
        <v>Multi-Year (O5&gt;14 = (BP+BAH+BAS+VSP+BCPSP)*12+ASP+ISP+MSP)</v>
      </c>
      <c r="GE26" s="4"/>
      <c r="GF26" s="4"/>
      <c r="GG26" s="4"/>
      <c r="GH26" s="4"/>
      <c r="GI26" s="5">
        <f t="shared" si="5"/>
        <v>173103.52000000002</v>
      </c>
      <c r="GJ26" s="5">
        <f t="shared" si="6"/>
        <v>21019.199999999997</v>
      </c>
      <c r="GK26" s="5">
        <f t="shared" si="7"/>
        <v>194122.72000000003</v>
      </c>
      <c r="GL26" s="5">
        <f t="shared" si="8"/>
        <v>143551.83143084426</v>
      </c>
      <c r="GM26" s="5">
        <f t="shared" si="9"/>
        <v>17430.868275880242</v>
      </c>
      <c r="GN26" s="32">
        <f>IF(GL26-InputData!$C$158-InputData!$C$159&gt;=0,GL26-InputData!$C$158-InputData!$C$159,0)</f>
        <v>143551.83143084426</v>
      </c>
      <c r="GO26" s="32">
        <f>IF(GL26-IF(GL26&lt;=InputData!$C$146,InputData!$C$145,0)-MAX(InputData!$C$144,GU26)&gt;=0,GL26-IF(GL26&lt;=InputData!$C$146,InputData!$C$145,0)-MAX(InputData!$C$144,GU26),0)</f>
        <v>133551.83143084426</v>
      </c>
      <c r="GP26" s="32">
        <f>IF(GO26&lt;0,"Error",IF(GO26&lt;=InputData!$B$170,InputData!$C$170*GO26,IF(GO26&lt;=InputData!$B$171,InputData!$D$170+InputData!$C$171*(GO26-InputData!$B$170),IF(GO26&lt;=InputData!$B$172,InputData!$D$171+InputData!$C$172*(GO26-InputData!$B$171),IF(GO26&lt;=InputData!$B$173,InputData!$D$172+InputData!$C$173*(GO26-InputData!$B$172),IF(GO26&lt;=InputData!$B$174,InputData!$D$173+InputData!$C$174*(GO26-InputData!$B$173),IF(GO26&lt;=InputData!$B$175,InputData!$D$174+InputData!$C$175*(GO26-InputData!$B$174),InputData!$D$175+InputData!$C$176*(GO26-InputData!$B$175))))))))</f>
        <v>30687.762800636396</v>
      </c>
      <c r="GQ26" s="32">
        <f>IF(GL26&lt;=InputData!$C$150,InputData!$C$152,IF(GL26&lt;InputData!$C$151,IF(InputData!$C$152-0.25*IF(GL26-InputData!$C$150&lt;=0,0,GL26-InputData!$C$150)&lt;=0,0,InputData!$C$152-0.25*IF(GL26-InputData!$C$150&lt;=0,0,GL26-InputData!$C$150)),0))</f>
        <v>44862.042142288934</v>
      </c>
      <c r="GR26" s="32">
        <f>IF(GL26-GQ26&lt;=0,0,IF(GL26-GQ26&lt;=InputData!$C$153,InputData!$C$154*(GL26-GQ26),InputData!$C$155*(GL26-GQ26)-InputData!$D$154))</f>
        <v>25659.345215024387</v>
      </c>
      <c r="GS26" s="32">
        <f t="shared" si="93"/>
        <v>30687.762800636396</v>
      </c>
      <c r="GT26" s="32">
        <f>IF(GL26&gt;=0,IF(GL26&lt;=InputData!$C$148,InputData!$C$147*GL26,InputData!$C$147*InputData!$C$148)+InputData!$C$149*GL26,0)</f>
        <v>9130.9015557472412</v>
      </c>
      <c r="GU26" s="32">
        <f>IF(GN26&lt;0,0,IF(GN26&lt;=InputData!$B$163,InputData!$C$163*GN26,IF(GN26&lt;=InputData!$B$164,InputData!$D$163+InputData!$C$164*(GN26-InputData!$B$163),IF(GN26&lt;=InputData!$B$165,InputData!$D$164+InputData!$C$165*(GN26-InputData!$B$164),InputData!$D$165+InputData!$C$166*(GN26-InputData!$B$165)))))</f>
        <v>0</v>
      </c>
      <c r="GV26" s="43">
        <f t="shared" si="10"/>
        <v>0.27738179276079933</v>
      </c>
      <c r="GW26" s="43">
        <f t="shared" si="11"/>
        <v>0.24734747540527396</v>
      </c>
      <c r="GX26" s="5">
        <f t="shared" si="12"/>
        <v>121164.03535034086</v>
      </c>
      <c r="GY26" s="32">
        <f>GX26/((1+InputData!$C$7)^(IntMed!$B26-IntMed!$B$7))</f>
        <v>69098.156312445513</v>
      </c>
      <c r="GZ26" s="32">
        <f t="shared" si="94"/>
        <v>1234020.8995299013</v>
      </c>
      <c r="HB26" s="3">
        <f t="shared" si="13"/>
        <v>16</v>
      </c>
      <c r="HC26" s="122" t="str">
        <f t="shared" si="195"/>
        <v>Multi-Year (O5&gt;14 = (BP+BAH+BAS+VSP+BCPSP)*12+ASP+ISP+MSP)</v>
      </c>
      <c r="HD26" s="4"/>
      <c r="HE26" s="4"/>
      <c r="HF26" s="4"/>
      <c r="HG26" s="4"/>
      <c r="HH26" s="5">
        <f t="shared" si="196"/>
        <v>173103.52000000002</v>
      </c>
      <c r="HI26" s="5">
        <f t="shared" si="197"/>
        <v>21019.199999999997</v>
      </c>
      <c r="HJ26" s="5">
        <f t="shared" si="198"/>
        <v>194122.72000000003</v>
      </c>
      <c r="HK26" s="5">
        <f t="shared" si="199"/>
        <v>143551.83143084426</v>
      </c>
      <c r="HL26" s="5">
        <f t="shared" si="200"/>
        <v>17430.868275880242</v>
      </c>
      <c r="HM26" s="32">
        <f>IF(HK26-InputData!$C$158-InputData!$C$159&gt;=0,HK26-InputData!$C$158-InputData!$C$159,0)</f>
        <v>143551.83143084426</v>
      </c>
      <c r="HN26" s="32">
        <f>IF(HK26-IF(HK26&lt;=InputData!$C$146,InputData!$C$145,0)-MAX(InputData!$C$144,HT26)&gt;=0,HK26-IF(HK26&lt;=InputData!$C$146,InputData!$C$145,0)-MAX(InputData!$C$144,HT26),0)</f>
        <v>133551.83143084426</v>
      </c>
      <c r="HO26" s="32">
        <f>IF(HN26&lt;0,"Error",IF(HN26&lt;=InputData!$B$170,InputData!$C$170*HN26,IF(HN26&lt;=InputData!$B$171,InputData!$D$170+InputData!$C$171*(HN26-InputData!$B$170),IF(HN26&lt;=InputData!$B$172,InputData!$D$171+InputData!$C$172*(HN26-InputData!$B$171),IF(HN26&lt;=InputData!$B$173,InputData!$D$172+InputData!$C$173*(HN26-InputData!$B$172),IF(HN26&lt;=InputData!$B$174,InputData!$D$173+InputData!$C$174*(HN26-InputData!$B$173),IF(HN26&lt;=InputData!$B$175,InputData!$D$174+InputData!$C$175*(HN26-InputData!$B$174),InputData!$D$175+InputData!$C$176*(HN26-InputData!$B$175))))))))</f>
        <v>30687.762800636396</v>
      </c>
      <c r="HP26" s="32">
        <f>IF(HK26&lt;=InputData!$C$150,InputData!$C$152,IF(HK26&lt;InputData!$C$151,IF(InputData!$C$152-0.25*IF(HK26-InputData!$C$150&lt;=0,0,HK26-InputData!$C$150)&lt;=0,0,InputData!$C$152-0.25*IF(HK26-InputData!$C$150&lt;=0,0,HK26-InputData!$C$150)),0))</f>
        <v>44862.042142288934</v>
      </c>
      <c r="HQ26" s="32">
        <f>IF(HK26-HP26&lt;=0,0,IF(HK26-HP26&lt;=InputData!$C$153,InputData!$C$154*(HK26-HP26),InputData!$C$155*(HK26-HP26)-InputData!$D$154))</f>
        <v>25659.345215024387</v>
      </c>
      <c r="HR26" s="32">
        <f t="shared" si="95"/>
        <v>30687.762800636396</v>
      </c>
      <c r="HS26" s="32">
        <f>IF(HK26&gt;=0,IF(HK26&lt;=InputData!$C$148,InputData!$C$147*HK26,InputData!$C$147*InputData!$C$148)+InputData!$C$149*HK26,0)</f>
        <v>9130.9015557472412</v>
      </c>
      <c r="HT26" s="32">
        <f>IF(HM26&lt;0,0,IF(HM26&lt;=InputData!$B$163,InputData!$C$163*HM26,IF(HM26&lt;=InputData!$B$164,InputData!$D$163+InputData!$C$164*(HM26-InputData!$B$163),IF(HM26&lt;=InputData!$B$165,InputData!$D$164+InputData!$C$165*(HM26-InputData!$B$164),InputData!$D$165+InputData!$C$166*(HM26-InputData!$B$165)))))</f>
        <v>0</v>
      </c>
      <c r="HU26" s="43">
        <f t="shared" si="96"/>
        <v>0.27738179276079933</v>
      </c>
      <c r="HV26" s="43">
        <f t="shared" si="97"/>
        <v>0.24734747540527396</v>
      </c>
      <c r="HW26" s="5">
        <f t="shared" si="98"/>
        <v>121164.03535034086</v>
      </c>
      <c r="HX26" s="32">
        <f>HW26/((1+InputData!$C$7)^(IntMed!$B26-IntMed!$B$7))</f>
        <v>69098.156312445513</v>
      </c>
      <c r="HY26" s="32">
        <f t="shared" si="99"/>
        <v>1211869.0821220777</v>
      </c>
      <c r="IA26" s="41"/>
      <c r="IB26" s="4" t="s">
        <v>109</v>
      </c>
      <c r="IC26" s="32">
        <f>MIN(InputData!$C$13+InputData!$E$13*($B26-$B$21),1)*IntMed!AW26</f>
        <v>263104.71360696096</v>
      </c>
      <c r="ID26" s="32">
        <f>MIN(InputData!$C$13+InputData!$E$13*($B26-$B$21),1)*IntMed!AX26</f>
        <v>0</v>
      </c>
      <c r="IE26" s="32">
        <f>MIN(InputData!$C$13+InputData!$E$13*($B26-$B$21),1)*IntMed!AY26</f>
        <v>263104.71360696096</v>
      </c>
      <c r="IF26" s="32">
        <f>MIN(InputData!$C$13+InputData!$E$13*($B26-$B$21),1)*IntMed!EO26</f>
        <v>180603.16846035208</v>
      </c>
      <c r="IG26" s="32">
        <f>MIN(InputData!$C$13+InputData!$E$13*($B26-$B$21),1)*IntMed!EP26</f>
        <v>0</v>
      </c>
      <c r="IH26" s="32">
        <f>IF(IF26-InputData!$C$158-InputData!$C$159&gt;=0,IF26-InputData!$C$158-InputData!$C$159,0)</f>
        <v>180603.16846035208</v>
      </c>
      <c r="II26" s="32">
        <f>IF(IF26-IF(IF26&lt;=InputData!$C$146,InputData!$C$145,0)-MAX(InputData!$C$144,IO26)&gt;=0,IF26-IF(IF26&lt;=InputData!$C$146,InputData!$C$145,0)-MAX(InputData!$C$144,IO26),0)</f>
        <v>174503.16846035208</v>
      </c>
      <c r="IJ26" s="32">
        <f>IF(II26&lt;0,"Error",IF(II26&lt;=InputData!$B$170,InputData!$C$170*II26,IF(II26&lt;=InputData!$B$171,InputData!$D$170+InputData!$C$171*(II26-InputData!$B$170),IF(II26&lt;=InputData!$B$172,InputData!$D$171+InputData!$C$172*(II26-InputData!$B$171),IF(II26&lt;=InputData!$B$173,InputData!$D$172+InputData!$C$173*(II26-InputData!$B$172),IF(II26&lt;=InputData!$B$174,InputData!$D$173+InputData!$C$174*(II26-InputData!$B$173),IF(II26&lt;=InputData!$B$175,InputData!$D$174+InputData!$C$175*(II26-InputData!$B$174),InputData!$D$175+InputData!$C$176*(II26-InputData!$B$175))))))))</f>
        <v>42154.137168898582</v>
      </c>
      <c r="IK26" s="32">
        <f>IF(IF26&lt;=InputData!$C$150,InputData!$C$152,IF(IF26&lt;InputData!$C$151,IF(InputData!$C$152-0.25*IF(IF26-InputData!$C$150&lt;=0,0,IF26-InputData!$C$150)&lt;=0,0,InputData!$C$152-0.25*IF(IF26-InputData!$C$150&lt;=0,0,IF26-InputData!$C$150)),0))</f>
        <v>35599.207884911979</v>
      </c>
      <c r="IL26" s="32">
        <f>IF(IF26-IK26&lt;=0,0,IF(IF26-IK26&lt;=InputData!$C$153,InputData!$C$154*(IF26-IK26),InputData!$C$155*(IF26-IK26)-InputData!$D$154))</f>
        <v>37701.029749614434</v>
      </c>
      <c r="IM26" s="32">
        <f t="shared" si="100"/>
        <v>42154.137168898582</v>
      </c>
      <c r="IN26" s="32">
        <f>IF(IF26&gt;=0,IF(IF26&lt;=InputData!$C$148,InputData!$C$147*IF26,InputData!$C$147*InputData!$C$148)+InputData!$C$149*IF26,0)</f>
        <v>9668.1459426751044</v>
      </c>
      <c r="IO26" s="32">
        <f>IF(IH26&lt;0,0,IF(IH26&lt;=InputData!$B$163,InputData!$C$163*IH26,IF(IH26&lt;=InputData!$B$164,InputData!$D$163+InputData!$C$164*(IH26-InputData!$B$163),IF(IH26&lt;=InputData!$B$165,InputData!$D$164+InputData!$C$165*(IH26-InputData!$B$164),InputData!$D$165+InputData!$C$166*(IH26-InputData!$B$165)))))</f>
        <v>0</v>
      </c>
      <c r="IP26" s="43">
        <f t="shared" si="101"/>
        <v>0.28694005511287729</v>
      </c>
      <c r="IQ26" s="43">
        <f t="shared" si="102"/>
        <v>0.28694005511287729</v>
      </c>
      <c r="IR26" s="5">
        <f t="shared" si="27"/>
        <v>128780.88534877841</v>
      </c>
      <c r="IS26" s="32">
        <f>IR26/((1+InputData!$C$7)^(IntMed!$B26-IntMed!$B$7))</f>
        <v>73441.939434876884</v>
      </c>
      <c r="IT26" s="5">
        <f t="shared" si="103"/>
        <v>1250411.8719777474</v>
      </c>
      <c r="IV26" s="41"/>
      <c r="IW26" s="49" t="s">
        <v>109</v>
      </c>
      <c r="IX26" s="32">
        <f>MIN(InputData!$C$13+InputData!$E$13*($B26-$B$18),1)*IntMed!AW26</f>
        <v>263104.71360696096</v>
      </c>
      <c r="IY26" s="32">
        <f>MIN(InputData!$C$13+InputData!$E$13*($B26-$B$18),1)*IntMed!AX26</f>
        <v>0</v>
      </c>
      <c r="IZ26" s="32">
        <f>MIN(InputData!$C$13+InputData!$E$13*($B26-$B$18),1)*IntMed!AY26</f>
        <v>263104.71360696096</v>
      </c>
      <c r="JA26" s="32">
        <f>MIN(InputData!$C$13+InputData!$E$13*($B26-$B$18),1)*IntMed!EO26</f>
        <v>180603.16846035208</v>
      </c>
      <c r="JB26" s="32">
        <f>MIN(InputData!$C$13+InputData!$E$13*($B26-$B$18),1)*IntMed!EP26</f>
        <v>0</v>
      </c>
      <c r="JC26" s="32">
        <f>IF(JA26-InputData!$C$158-InputData!$C$159&gt;=0,JA26-InputData!$C$158-InputData!$C$159,0)</f>
        <v>180603.16846035208</v>
      </c>
      <c r="JD26" s="32">
        <f>IF(JA26-IF(JA26&lt;=InputData!$C$146,InputData!$C$145,0)-MAX(InputData!$C$144,JJ26)&gt;=0,JA26-IF(JA26&lt;=InputData!$C$146,InputData!$C$145,0)-MAX(InputData!$C$144,JJ26),0)</f>
        <v>174503.16846035208</v>
      </c>
      <c r="JE26" s="32">
        <f>IF(JD26&lt;0,"Error",IF(JD26&lt;=InputData!$B$170,InputData!$C$170*JD26,IF(JD26&lt;=InputData!$B$171,InputData!$D$170+InputData!$C$171*(JD26-InputData!$B$170),IF(JD26&lt;=InputData!$B$172,InputData!$D$171+InputData!$C$172*(JD26-InputData!$B$171),IF(JD26&lt;=InputData!$B$173,InputData!$D$172+InputData!$C$173*(JD26-InputData!$B$172),IF(JD26&lt;=InputData!$B$174,InputData!$D$173+InputData!$C$174*(JD26-InputData!$B$173),IF(JD26&lt;=InputData!$B$175,InputData!$D$174+InputData!$C$175*(JD26-InputData!$B$174),InputData!$D$175+InputData!$C$176*(JD26-InputData!$B$175))))))))</f>
        <v>42154.137168898582</v>
      </c>
      <c r="JF26" s="32">
        <f>IF(JA26&lt;=InputData!$C$150,InputData!$C$152,IF(JA26&lt;InputData!$C$151,IF(InputData!$C$152-0.25*IF(JA26-InputData!$C$150&lt;=0,0,JA26-InputData!$C$150)&lt;=0,0,InputData!$C$152-0.25*IF(JA26-InputData!$C$150&lt;=0,0,JA26-InputData!$C$150)),0))</f>
        <v>35599.207884911979</v>
      </c>
      <c r="JG26" s="32">
        <f>IF(JA26-JF26&lt;=0,0,IF(JA26-JF26&lt;=InputData!$C$153,InputData!$C$154*(JA26-JF26),InputData!$C$155*(JA26-JF26)-InputData!$D$154))</f>
        <v>37701.029749614434</v>
      </c>
      <c r="JH26" s="32">
        <f t="shared" si="104"/>
        <v>42154.137168898582</v>
      </c>
      <c r="JI26" s="32">
        <f>IF(JA26&gt;=0,IF(JA26&lt;=InputData!$C$148,InputData!$C$147*JA26,InputData!$C$147*InputData!$C$148)+InputData!$C$149*JA26,0)</f>
        <v>9668.1459426751044</v>
      </c>
      <c r="JJ26" s="32">
        <f>IF(JC26&lt;0,0,IF(JC26&lt;=InputData!$B$163,InputData!$C$163*JC26,IF(JC26&lt;=InputData!$B$164,InputData!$D$163+InputData!$C$164*(JC26-InputData!$B$163),IF(JC26&lt;=InputData!$B$165,InputData!$D$164+InputData!$C$165*(JC26-InputData!$B$164),InputData!$D$165+InputData!$C$166*(JC26-InputData!$B$165)))))</f>
        <v>0</v>
      </c>
      <c r="JK26" s="42">
        <f t="shared" si="105"/>
        <v>0.28694005511287729</v>
      </c>
      <c r="JL26" s="42">
        <f t="shared" si="106"/>
        <v>0.28694005511287729</v>
      </c>
      <c r="JM26" s="32">
        <f t="shared" si="35"/>
        <v>128780.88534877841</v>
      </c>
      <c r="JN26" s="32">
        <f>JM26/((1+InputData!$C$7)^(IntMed!$B26-IntMed!$B$7))</f>
        <v>73441.939434876884</v>
      </c>
      <c r="JO26" s="32">
        <f t="shared" si="107"/>
        <v>1231763.6105253431</v>
      </c>
      <c r="JQ26" s="41" t="s">
        <v>109</v>
      </c>
      <c r="JR26" s="32">
        <f>$JR$14*(1+InputData!$C$3+InputData!$C$4)^(IntMed!$B26-IntMed!$B$14)</f>
        <v>229285.15347011847</v>
      </c>
      <c r="JS26" s="32">
        <v>0</v>
      </c>
      <c r="JT26" s="32">
        <f t="shared" si="108"/>
        <v>229285.15347011847</v>
      </c>
      <c r="JU26" s="5">
        <f>JR26*(1/(1+InputData!$C$3))^(IntMed!$B26-IntMed!$B$7)</f>
        <v>157388.38210052453</v>
      </c>
      <c r="JV26" s="5">
        <f>JS26*(1/(1+InputData!$C$3))^(IntMed!$B26-IntMed!$B$7)</f>
        <v>0</v>
      </c>
      <c r="JW26" s="32">
        <f>IF(JU26-InputData!$C$158-InputData!$C$159&gt;=0,JU26-InputData!$C$158-InputData!$C$159,0)</f>
        <v>157388.38210052453</v>
      </c>
      <c r="JX26" s="32">
        <f>IF(JU26-IF(JU26&lt;=InputData!$C$146,InputData!$C$145,0)-MAX(InputData!$C$144,KD26)&gt;=0,JU26-IF(JU26&lt;=InputData!$C$146,InputData!$C$145,0)-MAX(InputData!$C$144,KD26),0)</f>
        <v>151288.38210052453</v>
      </c>
      <c r="JY26" s="32">
        <f>IF(JX26&lt;0,"Error",IF(JX26&lt;=InputData!$B$170,InputData!$C$170*JX26,IF(JX26&lt;=InputData!$B$171,InputData!$D$170+InputData!$C$171*(JX26-InputData!$B$170),IF(JX26&lt;=InputData!$B$172,InputData!$D$171+InputData!$C$172*(JX26-InputData!$B$171),IF(JX26&lt;=InputData!$B$173,InputData!$D$172+InputData!$C$173*(JX26-InputData!$B$172),IF(JX26&lt;=InputData!$B$174,InputData!$D$173+InputData!$C$174*(JX26-InputData!$B$173),IF(JX26&lt;=InputData!$B$175,InputData!$D$174+InputData!$C$175*(JX26-InputData!$B$174),InputData!$D$175+InputData!$C$176*(JX26-InputData!$B$175))))))))</f>
        <v>35653.996988146871</v>
      </c>
      <c r="JZ26" s="32">
        <f>IF(JU26&lt;=InputData!$C$150,InputData!$C$152,IF(JU26&lt;InputData!$C$151,IF(InputData!$C$152-0.25*IF(JU26-InputData!$C$150&lt;=0,0,JU26-InputData!$C$150)&lt;=0,0,InputData!$C$152-0.25*IF(JU26-InputData!$C$150&lt;=0,0,JU26-InputData!$C$150)),0))</f>
        <v>41402.904474868868</v>
      </c>
      <c r="KA26" s="32">
        <f>IF(JU26-JZ26&lt;=0,0,IF(JU26-JZ26&lt;=InputData!$C$153,InputData!$C$154*(JU26-JZ26),InputData!$C$155*(JU26-JZ26)-InputData!$D$154))</f>
        <v>30156.22418267047</v>
      </c>
      <c r="KB26" s="32">
        <f t="shared" si="109"/>
        <v>35653.996988146871</v>
      </c>
      <c r="KC26" s="32">
        <f>IF(JU26&gt;=0,IF(JU26&lt;=InputData!$C$148,InputData!$C$147*JU26,InputData!$C$147*InputData!$C$148)+InputData!$C$149*JU26,0)</f>
        <v>9331.5315404576049</v>
      </c>
      <c r="KD26" s="32">
        <f>IF(JW26&lt;0,0,IF(JW26&lt;=InputData!$B$163,InputData!$C$163*JW26,IF(JW26&lt;=InputData!$B$164,InputData!$D$163+InputData!$C$164*(JW26-InputData!$B$163),IF(JW26&lt;=InputData!$B$165,InputData!$D$164+InputData!$C$165*(JW26-InputData!$B$164),InputData!$D$165+InputData!$C$166*(JW26-InputData!$B$165)))))</f>
        <v>0</v>
      </c>
      <c r="KE26" s="43">
        <f t="shared" si="110"/>
        <v>0.28582496324202672</v>
      </c>
      <c r="KF26" s="43">
        <f t="shared" si="111"/>
        <v>0.28582496324202672</v>
      </c>
      <c r="KG26" s="5">
        <f t="shared" si="112"/>
        <v>112402.85357192004</v>
      </c>
      <c r="KH26" s="32">
        <f>KG26/((1+InputData!$C$7)^(IntMed!$B26-IntMed!$B$7))</f>
        <v>64101.776765852876</v>
      </c>
      <c r="KI26" s="5">
        <f t="shared" si="143"/>
        <v>1107363.7436498699</v>
      </c>
      <c r="KK26" s="7">
        <v>7</v>
      </c>
      <c r="KL26" t="s">
        <v>376</v>
      </c>
      <c r="KM26">
        <v>41</v>
      </c>
      <c r="KN26" s="41" t="s">
        <v>109</v>
      </c>
      <c r="KO26" s="32">
        <f>MIN(InputData!$C$13+InputData!$E$13*($B26-$B$24),1)*IntMed!AW26</f>
        <v>263104.71360696096</v>
      </c>
      <c r="KP26" s="32">
        <f>MIN(InputData!$C$13+InputData!$E$13*($B26-$B$24),1)*IntMed!AX26</f>
        <v>0</v>
      </c>
      <c r="KQ26" s="5">
        <f t="shared" si="169"/>
        <v>263104.71360696096</v>
      </c>
      <c r="KR26" s="32">
        <f>KR25*(1+InputData!$C$8)</f>
        <v>16738.760372344408</v>
      </c>
      <c r="KS26" s="5">
        <f>KO26*(1/(1+InputData!$C$3))^(IntMed!$B26-IntMed!$B$7)</f>
        <v>180603.16846035191</v>
      </c>
      <c r="KT26" s="5">
        <f>KP26*(1/(1+InputData!$C$3))^(IntMed!$B26-IntMed!$B$7)</f>
        <v>0</v>
      </c>
      <c r="KU26" s="32" t="s">
        <v>386</v>
      </c>
      <c r="KV26" s="32">
        <v>0</v>
      </c>
      <c r="KW26" s="32">
        <v>0</v>
      </c>
      <c r="KX26" s="5">
        <f>KW26*InputData!$C$6</f>
        <v>0</v>
      </c>
      <c r="KY26" s="32">
        <f t="shared" si="166"/>
        <v>0</v>
      </c>
      <c r="KZ26" s="32">
        <v>0</v>
      </c>
      <c r="LA26" s="32">
        <v>0</v>
      </c>
      <c r="LB26" s="32">
        <f>KZ26/((1+InputData!$C$3)^(IntMed!$B26-IntMed!$B$7))</f>
        <v>0</v>
      </c>
      <c r="LC26" s="32">
        <f>IF(KS26-InputData!$C$158-InputData!$C$159&gt;=0,KS26-InputData!$C$158-InputData!$C$159,0)</f>
        <v>180603.16846035191</v>
      </c>
      <c r="LD26" s="32">
        <f>IF(KS26-IF(KS26&lt;=InputData!$C$146,InputData!$C$145,0)-MAX(InputData!$C$144,LJ26)&gt;=0,KS26-IF(KS26&lt;=InputData!$C$146,InputData!$C$145,0)-MAX(InputData!$C$144,LJ26),0)</f>
        <v>174503.16846035191</v>
      </c>
      <c r="LE26" s="32">
        <f>IF(LD26&lt;0,"Error",IF(LD26&lt;=InputData!$B$170,InputData!$C$170*LD26,IF(LD26&lt;=InputData!$B$171,InputData!$D$170+InputData!$C$171*(LD26-InputData!$B$170),IF(LD26&lt;=InputData!$B$172,InputData!$D$171+InputData!$C$172*(LD26-InputData!$B$171),IF(LD26&lt;=InputData!$B$173,InputData!$D$172+InputData!$C$173*(LD26-InputData!$B$172),IF(LD26&lt;=InputData!$B$174,InputData!$D$173+InputData!$C$174*(LD26-InputData!$B$173),IF(LD26&lt;=InputData!$B$175,InputData!$D$174+InputData!$C$175*(LD26-InputData!$B$174),InputData!$D$175+InputData!$C$176*(LD26-InputData!$B$175))))))))</f>
        <v>42154.137168898538</v>
      </c>
      <c r="LF26" s="32">
        <f>IF(KS26&lt;=InputData!$C$150,InputData!$C$152,IF(KS26&lt;InputData!$C$151,IF(InputData!$C$152-0.25*IF(KS26-InputData!$C$150&lt;=0,0,KS26-InputData!$C$150)&lt;=0,0,InputData!$C$152-0.25*IF(KS26-InputData!$C$150&lt;=0,0,KS26-InputData!$C$150)),0))</f>
        <v>35599.207884912023</v>
      </c>
      <c r="LG26" s="32">
        <f>IF(KS26-LF26&lt;=0,0,IF(KS26-LF26&lt;=InputData!$C$153,InputData!$C$154*(KS26-LF26),InputData!$C$155*(KS26-LF26)-InputData!$D$154))</f>
        <v>37701.029749614368</v>
      </c>
      <c r="LH26" s="32">
        <f t="shared" si="118"/>
        <v>42154.137168898538</v>
      </c>
      <c r="LI26" s="32">
        <f>IF(KS26&gt;=0,IF(KS26&lt;=InputData!$C$148,InputData!$C$147*KS26,InputData!$C$147*InputData!$C$148)+InputData!$C$149*KS26,0)</f>
        <v>9668.1459426751026</v>
      </c>
      <c r="LJ26" s="32">
        <f>IF(LC26&lt;0,0,IF(LC26&lt;=InputData!$B$163,InputData!$C$163*LC26,IF(LC26&lt;=InputData!$B$164,InputData!$D$163+InputData!$C$164*(LC26-InputData!$B$163),IF(LC26&lt;=InputData!$B$165,InputData!$D$164+InputData!$C$165*(LC26-InputData!$B$164),InputData!$D$165+InputData!$C$166*(LC26-InputData!$B$165)))))</f>
        <v>0</v>
      </c>
      <c r="LK26" s="43">
        <f t="shared" si="156"/>
        <v>0.28694005511287729</v>
      </c>
      <c r="LL26" s="32">
        <f t="shared" si="119"/>
        <v>128780.88534877828</v>
      </c>
      <c r="LM26" s="5">
        <f t="shared" si="120"/>
        <v>128780.88534877828</v>
      </c>
      <c r="LN26" s="32">
        <f>LM26/((1+InputData!$C$7)^(IntMed!$B26-IntMed!$B$7))</f>
        <v>73441.939434876811</v>
      </c>
      <c r="LO26" s="5">
        <f t="shared" si="145"/>
        <v>897632.76889222057</v>
      </c>
      <c r="LQ26" s="157" t="str">
        <f t="shared" si="37"/>
        <v>Private Practice</v>
      </c>
      <c r="LR26" s="32">
        <f t="shared" si="121"/>
        <v>292338.57067440107</v>
      </c>
      <c r="LS26" s="32">
        <v>0</v>
      </c>
      <c r="LT26" s="32">
        <f t="shared" si="123"/>
        <v>292338.57067440107</v>
      </c>
      <c r="LU26" s="32">
        <f>LU25*(1+InputData!$C$8)</f>
        <v>16738.760372344408</v>
      </c>
      <c r="LV26" s="32">
        <f>LR26/((1+InputData!$C$3)^(IntMed!$B26-IntMed!$B$7))</f>
        <v>200670.18717816897</v>
      </c>
      <c r="LW26" s="32">
        <f>LS26/((1+InputData!$C$3)^(IntMed!$B26-IntMed!$B$7))</f>
        <v>0</v>
      </c>
      <c r="LX26" s="32" t="s">
        <v>141</v>
      </c>
      <c r="LY26" s="32">
        <v>0</v>
      </c>
      <c r="LZ26" s="32">
        <f t="shared" si="189"/>
        <v>0</v>
      </c>
      <c r="MA26" s="32">
        <f>(LZ26)*InputData!$C$6</f>
        <v>0</v>
      </c>
      <c r="MB26" s="32">
        <f>MIN($BE$14*InputData!$C$6/(1-(1+InputData!$C$6)^(-10)), LZ26+MA26)</f>
        <v>0</v>
      </c>
      <c r="MC26" s="32">
        <f t="shared" si="168"/>
        <v>0</v>
      </c>
      <c r="MD26" s="32">
        <f>MB26/((1+InputData!$C$3)^(IntMed!$B26-IntMed!$B$7))</f>
        <v>0</v>
      </c>
      <c r="ME26" s="32">
        <f>IF(LV26-InputData!$C$158-InputData!$C$159&gt;=0,LV26-InputData!$C$158-InputData!$C$159,0)</f>
        <v>200670.18717816897</v>
      </c>
      <c r="MF26" s="32">
        <f>IF(LV26-IF(LV26&lt;=InputData!$C$146,InputData!$C$145,0)-MAX(InputData!$C$144,ML26)&gt;=0,LV26-IF(LV26&lt;=InputData!$C$146,InputData!$C$145,0)-MAX(InputData!$C$144,ML26),0)</f>
        <v>194570.18717816897</v>
      </c>
      <c r="MG26" s="32">
        <f>IF(MF26&lt;0,"Error",IF(MF26&lt;=InputData!$B$170,InputData!$C$170*MF26,IF(MF26&lt;=InputData!$B$171,InputData!$D$170+InputData!$C$171*(MF26-InputData!$B$170),IF(MF26&lt;=InputData!$B$172,InputData!$D$171+InputData!$C$172*(MF26-InputData!$B$171),IF(MF26&lt;=InputData!$B$173,InputData!$D$172+InputData!$C$173*(MF26-InputData!$B$172),IF(MF26&lt;=InputData!$B$174,InputData!$D$173+InputData!$C$174*(MF26-InputData!$B$173),IF(MF26&lt;=InputData!$B$175,InputData!$D$174+InputData!$C$175*(MF26-InputData!$B$174),InputData!$D$175+InputData!$C$176*(MF26-InputData!$B$175))))))))</f>
        <v>48338.911768795762</v>
      </c>
      <c r="MH26" s="32">
        <f>IF(LV26&lt;=InputData!$C$150,InputData!$C$152,IF(LV26&lt;InputData!$C$151,IF(InputData!$C$152-0.25*IF(LV26-InputData!$C$150&lt;=0,0,LV26-InputData!$C$150)&lt;=0,0,InputData!$C$152-0.25*IF(LV26-InputData!$C$150&lt;=0,0,LV26-InputData!$C$150)),0))</f>
        <v>30582.453205457758</v>
      </c>
      <c r="MI26" s="32">
        <f>IF(LV26-MH26&lt;=0,0,IF(LV26-MH26&lt;=InputData!$C$153,InputData!$C$154*(LV26-MH26),InputData!$C$155*(LV26-MH26)-InputData!$D$154))</f>
        <v>44222.810832904914</v>
      </c>
      <c r="MJ26" s="32">
        <f t="shared" si="124"/>
        <v>48338.911768795762</v>
      </c>
      <c r="MK26" s="32">
        <f>IF(LV26&gt;=0,IF(LV26&lt;=InputData!$C$148,InputData!$C$147*LV26,InputData!$C$147*InputData!$C$148)+InputData!$C$149*LV26,0)</f>
        <v>9959.1177140834498</v>
      </c>
      <c r="ML26" s="32">
        <f>IF(ME26&lt;0,0,IF(ME26&lt;=InputData!$B$163,InputData!$C$163*ME26,IF(ME26&lt;=InputData!$B$164,InputData!$D$163+InputData!$C$164*(ME26-InputData!$B$163),IF(ME26&lt;=InputData!$B$165,InputData!$D$164+InputData!$C$165*(ME26-InputData!$B$164),InputData!$D$165+InputData!$C$166*(ME26-InputData!$B$165)))))</f>
        <v>0</v>
      </c>
      <c r="MM26" s="43">
        <f t="shared" si="38"/>
        <v>0.29051664476257333</v>
      </c>
      <c r="MN26" s="32">
        <f t="shared" si="125"/>
        <v>142372.15769528976</v>
      </c>
      <c r="MO26" s="32">
        <f t="shared" si="126"/>
        <v>142372.15769528976</v>
      </c>
      <c r="MP26" s="32">
        <f>MO26/((1+InputData!$C$7)^(IntMed!$B26-IntMed!$B$7))</f>
        <v>81192.852140687624</v>
      </c>
      <c r="MQ26" s="5">
        <f t="shared" si="147"/>
        <v>1304198.5269466238</v>
      </c>
    </row>
    <row r="27" spans="1:355" x14ac:dyDescent="0.25">
      <c r="A27" s="53">
        <v>2033</v>
      </c>
      <c r="B27" s="51">
        <v>21</v>
      </c>
      <c r="C27" s="4"/>
      <c r="D27" s="3">
        <v>17</v>
      </c>
      <c r="E27" s="4" t="s">
        <v>178</v>
      </c>
      <c r="F27" s="5">
        <f>InputData!$L$22*12</f>
        <v>94741.200000000012</v>
      </c>
      <c r="G27" s="5">
        <f>(InputData!$L$22+InputData!$I$45+InputData!$F$50)*12+InputData!$J$50+InputData!$D$57+InputData!$J$57</f>
        <v>178741.12</v>
      </c>
      <c r="H27" s="5">
        <f>(InputData!$C$33+InputData!$C$40)*12</f>
        <v>21019.199999999997</v>
      </c>
      <c r="I27" s="5">
        <f t="shared" ref="I27:I36" si="207">G27+H27</f>
        <v>199760.32</v>
      </c>
      <c r="J27" s="5">
        <f>G27*((1+InputData!$C$5)/(1+InputData!$C$3))^(IntMed!$B27-IntMed!$B$7)</f>
        <v>146773.79222401595</v>
      </c>
      <c r="K27" s="5">
        <f>H27*((1+InputData!$C$5)/(1+InputData!$C$3))^(IntMed!$B27-IntMed!$B$7)</f>
        <v>17259.977410430438</v>
      </c>
      <c r="L27" s="32">
        <f>IF(J27-InputData!$C$158-InputData!$C$159&gt;=0,J27-InputData!$C$158-InputData!$C$159,0)</f>
        <v>146773.79222401595</v>
      </c>
      <c r="M27" s="32">
        <f>IF(J27-IF(J27&lt;=InputData!$C$146,InputData!$C$145,0)-MAX(InputData!$C$144,S27)&gt;=0,J27-IF(J27&lt;=InputData!$C$146,InputData!$C$145,0)-MAX(InputData!$C$144,S27),0)</f>
        <v>136773.79222401595</v>
      </c>
      <c r="N27" s="32">
        <f>IF(M27&lt;0,"Error",IF(M27&lt;=InputData!$B$170,InputData!$C$170*M27,IF(M27&lt;=InputData!$B$171,InputData!$D$170+InputData!$C$171*(M27-InputData!$B$170),IF(M27&lt;=InputData!$B$172,InputData!$D$171+InputData!$C$172*(M27-InputData!$B$171),IF(M27&lt;=InputData!$B$173,InputData!$D$172+InputData!$C$173*(M27-InputData!$B$172),IF(M27&lt;=InputData!$B$174,InputData!$D$173+InputData!$C$174*(M27-InputData!$B$173),IF(M27&lt;=InputData!$B$175,InputData!$D$174+InputData!$C$175*(M27-InputData!$B$174),InputData!$D$175+InputData!$C$176*(M27-InputData!$B$175))))))))</f>
        <v>31589.911822724469</v>
      </c>
      <c r="O27" s="32">
        <f>IF(J27&lt;=InputData!$C$150,InputData!$C$152,IF(J27&lt;InputData!$C$151,IF(InputData!$C$152-0.25*IF(J27-InputData!$C$150&lt;=0,0,J27-InputData!$C$150)&lt;=0,0,InputData!$C$152-0.25*IF(J27-InputData!$C$150&lt;=0,0,J27-InputData!$C$150)),0))</f>
        <v>44056.551943996012</v>
      </c>
      <c r="P27" s="32">
        <f>IF(J27-O27&lt;=0,0,IF(J27-O27&lt;=InputData!$C$153,InputData!$C$154*(J27-O27),InputData!$C$155*(J27-O27)-InputData!$D$154))</f>
        <v>26706.482472805183</v>
      </c>
      <c r="Q27" s="32">
        <f t="shared" si="40"/>
        <v>31589.911822724469</v>
      </c>
      <c r="R27" s="32">
        <f>IF(J27&gt;=0,IF(J27&lt;=InputData!$C$148,InputData!$C$147*J27,InputData!$C$147*InputData!$C$148)+InputData!$C$149*J27,0)</f>
        <v>9177.6199872482321</v>
      </c>
      <c r="S27" s="32">
        <f>IF(L27&lt;0,0,IF(L27&lt;=InputData!$B$163,InputData!$C$163*L27,IF(L27&lt;=InputData!$B$164,InputData!$D$163+InputData!$C$164*(L27-InputData!$B$163),IF(L27&lt;=InputData!$B$165,InputData!$D$164+InputData!$C$165*(L27-InputData!$B$164),InputData!$D$165+InputData!$C$166*(L27-InputData!$B$165)))))</f>
        <v>0</v>
      </c>
      <c r="T27" s="43">
        <f t="shared" si="41"/>
        <v>0.27775756960582293</v>
      </c>
      <c r="U27" s="43">
        <f t="shared" si="42"/>
        <v>0.24853133535139885</v>
      </c>
      <c r="V27" s="5">
        <f t="shared" si="43"/>
        <v>123266.23782447368</v>
      </c>
      <c r="W27" s="32">
        <f>V27/((1+InputData!$C$7)^(IntMed!$B27-IntMed!$B$7))</f>
        <v>68249.527193177593</v>
      </c>
      <c r="X27" s="5">
        <f t="shared" ref="X27:X36" si="208">X26+W27</f>
        <v>1302270.4267230788</v>
      </c>
      <c r="Y27" s="53"/>
      <c r="Z27" s="3">
        <v>17</v>
      </c>
      <c r="AA27" s="97" t="s">
        <v>265</v>
      </c>
      <c r="AB27" s="5">
        <f t="shared" si="192"/>
        <v>94741.200000000012</v>
      </c>
      <c r="AC27" s="5">
        <f t="shared" si="201"/>
        <v>178741.12</v>
      </c>
      <c r="AD27" s="5">
        <f t="shared" si="193"/>
        <v>21019.199999999997</v>
      </c>
      <c r="AE27" s="5">
        <f t="shared" ref="AE27:AE36" si="209">AC27+AD27</f>
        <v>199760.32</v>
      </c>
      <c r="AF27" s="5">
        <f>AC27*((1+InputData!$C$5)/(1+InputData!$C$3))^(IntMed!$B27-IntMed!$B$7)</f>
        <v>146773.79222401595</v>
      </c>
      <c r="AG27" s="5">
        <f>AD27*((1+InputData!$C$5)/(1+InputData!$C$3))^(IntMed!$B27-IntMed!$B$7)</f>
        <v>17259.977410430438</v>
      </c>
      <c r="AH27" s="32">
        <f>IF(AF27-InputData!$C$158-InputData!$C$159&gt;=0,AF27-InputData!$C$158-InputData!$C$159,0)</f>
        <v>146773.79222401595</v>
      </c>
      <c r="AI27" s="32">
        <f>IF(AF27-IF(AF27&lt;=InputData!$C$146,InputData!$C$145,0)-MAX(InputData!$C$144,AO27)&gt;=0,AF27-IF(AF27&lt;=InputData!$C$146,InputData!$C$145,0)-MAX(InputData!$C$144,AO27),0)</f>
        <v>136773.79222401595</v>
      </c>
      <c r="AJ27" s="32">
        <f>IF(AI27&lt;0,"Error",IF(AI27&lt;=InputData!$B$170,InputData!$C$170*AI27,IF(AI27&lt;=InputData!$B$171,InputData!$D$170+InputData!$C$171*(AI27-InputData!$B$170),IF(AI27&lt;=InputData!$B$172,InputData!$D$171+InputData!$C$172*(AI27-InputData!$B$171),IF(AI27&lt;=InputData!$B$173,InputData!$D$172+InputData!$C$173*(AI27-InputData!$B$172),IF(AI27&lt;=InputData!$B$174,InputData!$D$173+InputData!$C$174*(AI27-InputData!$B$173),IF(AI27&lt;=InputData!$B$175,InputData!$D$174+InputData!$C$175*(AI27-InputData!$B$174),InputData!$D$175+InputData!$C$176*(AI27-InputData!$B$175))))))))</f>
        <v>31589.911822724469</v>
      </c>
      <c r="AK27" s="32">
        <f>IF(AF27&lt;=InputData!$C$150,InputData!$C$152,IF(AF27&lt;InputData!$C$151,IF(InputData!$C$152-0.25*IF(AF27-InputData!$C$150&lt;=0,0,AF27-InputData!$C$150)&lt;=0,0,InputData!$C$152-0.25*IF(AF27-InputData!$C$150&lt;=0,0,AF27-InputData!$C$150)),0))</f>
        <v>44056.551943996012</v>
      </c>
      <c r="AL27" s="32">
        <f>IF(AF27-AK27&lt;=0,0,IF(AF27-AK27&lt;=InputData!$C$153,InputData!$C$154*(AF27-AK27),InputData!$C$155*(AF27-AK27)-InputData!$D$154))</f>
        <v>26706.482472805183</v>
      </c>
      <c r="AM27" s="32">
        <f t="shared" si="45"/>
        <v>31589.911822724469</v>
      </c>
      <c r="AN27" s="32">
        <f>IF(AF27&gt;=0,IF(AF27&lt;=InputData!$C$148,InputData!$C$147*AF27,InputData!$C$147*InputData!$C$148)+InputData!$C$149*AF27,0)</f>
        <v>9177.6199872482321</v>
      </c>
      <c r="AO27" s="32">
        <f>IF(AH27&lt;0,0,IF(AH27&lt;=InputData!$B$163,InputData!$C$163*AH27,IF(AH27&lt;=InputData!$B$164,InputData!$D$163+InputData!$C$164*(AH27-InputData!$B$163),IF(AH27&lt;=InputData!$B$165,InputData!$D$164+InputData!$C$165*(AH27-InputData!$B$164),InputData!$D$165+InputData!$C$166*(AH27-InputData!$B$165)))))</f>
        <v>0</v>
      </c>
      <c r="AP27" s="43">
        <f t="shared" si="46"/>
        <v>0.27775756960582293</v>
      </c>
      <c r="AQ27" s="43">
        <f t="shared" si="47"/>
        <v>0.24853133535139885</v>
      </c>
      <c r="AR27" s="5">
        <f t="shared" si="48"/>
        <v>123266.23782447368</v>
      </c>
      <c r="AS27" s="32">
        <f>AR27/((1+InputData!$C$7)^(IntMed!$B27-IntMed!$B$7))</f>
        <v>68249.527193177593</v>
      </c>
      <c r="AT27" s="5">
        <f t="shared" ref="AT27:AT36" si="210">AT26+AS27</f>
        <v>1280118.6093152552</v>
      </c>
      <c r="AU27" s="53"/>
      <c r="AV27" s="41" t="s">
        <v>109</v>
      </c>
      <c r="AW27" s="32">
        <f>$AW$14*(1+InputData!$C$3+InputData!$C$4)^(IntMed!$B27-IntMed!$B$14)</f>
        <v>301108.72779463307</v>
      </c>
      <c r="AX27" s="32">
        <v>0</v>
      </c>
      <c r="AY27" s="32">
        <f t="shared" ref="AY27:AY36" si="211">AW27+AX27</f>
        <v>301108.72779463307</v>
      </c>
      <c r="AZ27" s="32">
        <f>AZ26*(1+InputData!$C$8)</f>
        <v>17073.535579791296</v>
      </c>
      <c r="BA27" s="32">
        <f>AW27/((1+InputData!$C$3)^(IntMed!$B27-IntMed!$B$7))</f>
        <v>202637.54195442548</v>
      </c>
      <c r="BB27" s="32">
        <f>AX27/((1+InputData!$C$3)^(IntMed!$B27-IntMed!$B$7))</f>
        <v>0</v>
      </c>
      <c r="BC27" s="32" t="s">
        <v>141</v>
      </c>
      <c r="BD27" s="32">
        <v>0</v>
      </c>
      <c r="BE27" s="32">
        <f t="shared" si="174"/>
        <v>0</v>
      </c>
      <c r="BF27" s="32">
        <f>(BE27)*InputData!$C$6</f>
        <v>0</v>
      </c>
      <c r="BG27" s="32">
        <f>MIN($BE$14*InputData!$C$6/(1-(1+InputData!$C$6)^(-10)), BE27+BF27)</f>
        <v>0</v>
      </c>
      <c r="BH27" s="32">
        <f t="shared" si="157"/>
        <v>0</v>
      </c>
      <c r="BI27" s="32">
        <f>BG27/((1+InputData!$C$3)^(IntMed!$B27-IntMed!$B$7))</f>
        <v>0</v>
      </c>
      <c r="BJ27" s="32">
        <f>IF(BA27-InputData!$C$158-InputData!$C$159&gt;=0,BA27-InputData!$C$158-InputData!$C$159,0)</f>
        <v>202637.54195442548</v>
      </c>
      <c r="BK27" s="32">
        <f>IF(BA27-IF(BA27&lt;=InputData!$C$146,InputData!$C$145,0)-MAX(InputData!$C$144,BQ27)&gt;=0,BA27-IF(BA27&lt;=InputData!$C$146,InputData!$C$145,0)-MAX(InputData!$C$144,BQ27),0)</f>
        <v>196537.54195442548</v>
      </c>
      <c r="BL27" s="32">
        <f>IF(BK27&lt;0,"Error",IF(BK27&lt;=InputData!$B$170,InputData!$C$170*BK27,IF(BK27&lt;=InputData!$B$171,InputData!$D$170+InputData!$C$171*(BK27-InputData!$B$170),IF(BK27&lt;=InputData!$B$172,InputData!$D$171+InputData!$C$172*(BK27-InputData!$B$171),IF(BK27&lt;=InputData!$B$173,InputData!$D$172+InputData!$C$173*(BK27-InputData!$B$172),IF(BK27&lt;=InputData!$B$174,InputData!$D$173+InputData!$C$174*(BK27-InputData!$B$173),IF(BK27&lt;=InputData!$B$175,InputData!$D$174+InputData!$C$175*(BK27-InputData!$B$174),InputData!$D$175+InputData!$C$176*(BK27-InputData!$B$175))))))))</f>
        <v>48988.138844960413</v>
      </c>
      <c r="BM27" s="32">
        <f>IF(BA27&lt;=InputData!$C$150,InputData!$C$152,IF(BA27&lt;InputData!$C$151,IF(InputData!$C$152-0.25*IF(BA27-InputData!$C$150&lt;=0,0,BA27-InputData!$C$150)&lt;=0,0,InputData!$C$152-0.25*IF(BA27-InputData!$C$150&lt;=0,0,BA27-InputData!$C$150)),0))</f>
        <v>30090.614511393629</v>
      </c>
      <c r="BN27" s="32">
        <f>IF(BA27-BM27&lt;=0,0,IF(BA27-BM27&lt;=InputData!$C$153,InputData!$C$154*(BA27-BM27),InputData!$C$155*(BA27-BM27)-InputData!$D$154))</f>
        <v>44862.201135188283</v>
      </c>
      <c r="BO27" s="32">
        <f t="shared" si="51"/>
        <v>48988.138844960413</v>
      </c>
      <c r="BP27" s="32">
        <f>IF(BA27&gt;=0,IF(BA27&lt;=InputData!$C$148,InputData!$C$147*BA27,InputData!$C$147*InputData!$C$148)+InputData!$C$149*BA27,0)</f>
        <v>9987.6443583391701</v>
      </c>
      <c r="BQ27" s="32">
        <f>IF(BJ27&lt;0,0,IF(BJ27&lt;=InputData!$B$163,InputData!$C$163*BJ27,IF(BJ27&lt;=InputData!$B$164,InputData!$D$163+InputData!$C$164*(BJ27-InputData!$B$163),IF(BJ27&lt;=InputData!$B$165,InputData!$D$164+InputData!$C$165*(BJ27-InputData!$B$164),InputData!$D$165+InputData!$C$166*(BJ27-InputData!$B$165)))))</f>
        <v>0</v>
      </c>
      <c r="BR27" s="43">
        <f t="shared" si="52"/>
        <v>0.29104075500759685</v>
      </c>
      <c r="BS27" s="32">
        <f t="shared" si="53"/>
        <v>143661.75875112589</v>
      </c>
      <c r="BT27" s="32">
        <f t="shared" si="54"/>
        <v>143661.75875112589</v>
      </c>
      <c r="BU27" s="32">
        <f>BT27/((1+InputData!$C$7)^(IntMed!$B27-IntMed!$B$7))</f>
        <v>79542.032624264932</v>
      </c>
      <c r="BV27" s="5">
        <f t="shared" si="130"/>
        <v>1000069.0115462184</v>
      </c>
      <c r="BW27" s="5"/>
      <c r="BX27" s="32" t="s">
        <v>141</v>
      </c>
      <c r="BY27" s="5">
        <f t="shared" si="175"/>
        <v>162291.00545231375</v>
      </c>
      <c r="BZ27" s="32">
        <f>(BY27)*InputData!$C$6</f>
        <v>10078.271438588685</v>
      </c>
      <c r="CA27" s="32">
        <f>MIN($BY$14*InputData!$C$6/(1-(1+InputData!$C$6)^(-25)), BY27+BZ27)</f>
        <v>19581.069601718285</v>
      </c>
      <c r="CB27" s="32">
        <f t="shared" si="176"/>
        <v>152788.20728918415</v>
      </c>
      <c r="CC27" s="32">
        <f>CA27/((1+InputData!$C$3)^(IntMed!$B27-IntMed!$B$7))</f>
        <v>13177.498513550019</v>
      </c>
      <c r="CD27" s="5">
        <f t="shared" si="58"/>
        <v>130484.26023757587</v>
      </c>
      <c r="CE27" s="32">
        <f>CD27/((1+InputData!$C$7)^(IntMed!$B27-IntMed!$B$7))</f>
        <v>72245.971196485814</v>
      </c>
      <c r="CF27" s="5">
        <f t="shared" si="131"/>
        <v>1049283.5154178578</v>
      </c>
      <c r="CG27" s="5"/>
      <c r="CH27" s="32" t="s">
        <v>141</v>
      </c>
      <c r="CI27" s="5">
        <f t="shared" si="177"/>
        <v>0</v>
      </c>
      <c r="CJ27" s="32">
        <f>(CI27)*InputData!$C$6</f>
        <v>0</v>
      </c>
      <c r="CK27" s="32">
        <f t="shared" si="170"/>
        <v>0</v>
      </c>
      <c r="CL27" s="32">
        <f t="shared" si="178"/>
        <v>0</v>
      </c>
      <c r="CM27" s="32">
        <f>CK27/((1+InputData!$C$3)^(IntMed!$B27-IntMed!$B$7))</f>
        <v>0</v>
      </c>
      <c r="CN27" s="5">
        <f t="shared" si="62"/>
        <v>143661.75875112589</v>
      </c>
      <c r="CO27" s="32">
        <f>CN27/((1+InputData!$C$7)^(IntMed!$B27-IntMed!$B$7))</f>
        <v>79542.032624264932</v>
      </c>
      <c r="CP27" s="5">
        <f t="shared" si="132"/>
        <v>998695.57587328111</v>
      </c>
      <c r="CQ27" s="5"/>
      <c r="CR27" s="32" t="s">
        <v>141</v>
      </c>
      <c r="CS27" s="5">
        <f t="shared" si="179"/>
        <v>119238.16226939272</v>
      </c>
      <c r="CT27" s="32">
        <f>(CS27)*InputData!$C$6</f>
        <v>7404.6898769292884</v>
      </c>
      <c r="CU27" s="32">
        <f t="shared" si="171"/>
        <v>27549.842442494613</v>
      </c>
      <c r="CV27" s="32">
        <f t="shared" si="180"/>
        <v>99093.009703827396</v>
      </c>
      <c r="CW27" s="32">
        <f>CU27/((1+InputData!$C$3)^(IntMed!$B27-IntMed!$B$7))</f>
        <v>18540.254195442551</v>
      </c>
      <c r="CX27" s="5">
        <f t="shared" si="66"/>
        <v>125121.50455568334</v>
      </c>
      <c r="CY27" s="32">
        <f>CX27/((1+InputData!$C$7)^(IntMed!$B27-IntMed!$B$7))</f>
        <v>69276.74339979692</v>
      </c>
      <c r="CZ27" s="5">
        <f t="shared" si="133"/>
        <v>1029957.5897392638</v>
      </c>
      <c r="DA27" s="5"/>
      <c r="DB27" s="32" t="s">
        <v>141</v>
      </c>
      <c r="DC27" s="5">
        <f t="shared" si="158"/>
        <v>0</v>
      </c>
      <c r="DD27" s="5">
        <f>DC27*InputData!$C$6</f>
        <v>0</v>
      </c>
      <c r="DE27" s="32">
        <f t="shared" si="159"/>
        <v>0</v>
      </c>
      <c r="DF27" s="32">
        <f t="shared" si="160"/>
        <v>0</v>
      </c>
      <c r="DG27" s="32">
        <f>DE27/((1+InputData!$C$3)^(IntMed!$B27-IntMed!$B$7))</f>
        <v>0</v>
      </c>
      <c r="DH27" s="5">
        <f t="shared" si="70"/>
        <v>143661.75875112589</v>
      </c>
      <c r="DI27" s="32">
        <f>DH27/((1+InputData!$C$7)^(IntMed!$B27-IntMed!$B$7))</f>
        <v>79542.032624264932</v>
      </c>
      <c r="DJ27" s="5">
        <f t="shared" si="134"/>
        <v>1004001.7831265648</v>
      </c>
      <c r="DK27" s="5"/>
      <c r="DL27" s="32" t="s">
        <v>141</v>
      </c>
      <c r="DM27" s="32">
        <f>IF(0.15*($AY27-1.5*$AZ27)&lt;=$DD$2,DQ26-DO26,DQ26)</f>
        <v>0</v>
      </c>
      <c r="DN27" s="5">
        <f>DM27*InputData!$C$6</f>
        <v>0</v>
      </c>
      <c r="DO27" s="32">
        <f t="shared" si="182"/>
        <v>0</v>
      </c>
      <c r="DP27" s="32">
        <f t="shared" si="150"/>
        <v>0</v>
      </c>
      <c r="DQ27" s="32">
        <f t="shared" si="151"/>
        <v>0</v>
      </c>
      <c r="DR27" s="32">
        <f>DP27/((1+InputData!$C$3)^(IntMed!$B27-IntMed!$B$7))</f>
        <v>0</v>
      </c>
      <c r="DS27" s="5">
        <f t="shared" si="74"/>
        <v>143661.75875112589</v>
      </c>
      <c r="DT27" s="32">
        <f>DS27/((1+InputData!$C$7)^(IntMed!$B27-IntMed!$B$7))</f>
        <v>79542.032624264932</v>
      </c>
      <c r="DU27" s="5">
        <f t="shared" si="136"/>
        <v>1000001.6129376353</v>
      </c>
      <c r="DV27" s="5"/>
      <c r="DW27" s="32" t="s">
        <v>141</v>
      </c>
      <c r="DX27" s="133">
        <f t="shared" si="161"/>
        <v>87654.475136104025</v>
      </c>
      <c r="DY27" s="5">
        <f>DX27*InputData!$C$6</f>
        <v>5443.3429059520604</v>
      </c>
      <c r="DZ27" s="133">
        <f t="shared" si="162"/>
        <v>0</v>
      </c>
      <c r="EA27" s="32">
        <f t="shared" si="163"/>
        <v>27549.842442494613</v>
      </c>
      <c r="EB27" s="32">
        <f t="shared" si="164"/>
        <v>65547.975599561469</v>
      </c>
      <c r="EC27" s="32">
        <f>EA27/((1+InputData!$C$3)^(IntMed!$B27-IntMed!$B$7))</f>
        <v>18540.254195442551</v>
      </c>
      <c r="ED27" s="5">
        <f t="shared" si="78"/>
        <v>125121.50455568334</v>
      </c>
      <c r="EE27" s="32">
        <f>ED27/((1+InputData!$C$7)^(IntMed!$B27-IntMed!$B$7))</f>
        <v>69276.74339979692</v>
      </c>
      <c r="EF27" s="5">
        <f t="shared" si="138"/>
        <v>1020914.5504413657</v>
      </c>
      <c r="EG27" s="32"/>
      <c r="EH27" s="130" t="s">
        <v>141</v>
      </c>
      <c r="EI27" s="32">
        <v>0</v>
      </c>
      <c r="EJ27" s="32">
        <f t="shared" ref="EJ27:EJ36" si="212">EJ26-(EN26-EK26)</f>
        <v>126113.51929435818</v>
      </c>
      <c r="EK27" s="32">
        <f>EJ27*InputData!$C$6</f>
        <v>7831.6495481796428</v>
      </c>
      <c r="EL27" s="32">
        <f t="shared" ref="EL27:EL36" si="213">EL26+EI27+EK27-EN27</f>
        <v>106395.32640004327</v>
      </c>
      <c r="EM27" s="32">
        <f>EM26*(1+InputData!$C$8)</f>
        <v>17073.535579791296</v>
      </c>
      <c r="EN27" s="32">
        <f t="shared" si="172"/>
        <v>27549.842442494613</v>
      </c>
      <c r="EO27" s="32">
        <f>AW27/((1+InputData!$C$3)^(IntMed!$B27-IntMed!$B$7))</f>
        <v>202637.54195442548</v>
      </c>
      <c r="EP27" s="32">
        <f>AX27/((1+InputData!$C$3)^(IntMed!$B27-IntMed!$B$7))</f>
        <v>0</v>
      </c>
      <c r="EQ27" s="32">
        <v>48742.83</v>
      </c>
      <c r="ER27" s="32">
        <v>8688.1350000000002</v>
      </c>
      <c r="ES27" s="32">
        <v>0</v>
      </c>
      <c r="ET27" s="42">
        <f t="shared" ref="ET27:ET36" si="214">(EQ27+ER27+ES27)/(EO27+EP27)</f>
        <v>0.28341720120606578</v>
      </c>
      <c r="EU27" s="32">
        <f t="shared" ref="EU27:EU36" si="215">EO27+EP27-EQ27-ER27-ES27</f>
        <v>145206.57695442549</v>
      </c>
      <c r="EV27" s="32">
        <f>EN27/((1+InputData!$C$3)^(IntMed!$B27-IntMed!$B$7))</f>
        <v>18540.254195442551</v>
      </c>
      <c r="EW27" s="32">
        <f t="shared" ref="EW27:EW36" si="216">EU27-EV27</f>
        <v>126666.32275898293</v>
      </c>
      <c r="EX27" s="32">
        <f>EW27/((1+InputData!$C$7)^(IntMed!$B27-IntMed!$B$7))</f>
        <v>70132.071783589607</v>
      </c>
      <c r="EY27" s="5">
        <f t="shared" ref="EY27:EY36" si="217">EY26+EX27</f>
        <v>1046405.8815152426</v>
      </c>
      <c r="EZ27" s="79"/>
      <c r="FA27" s="32">
        <f t="shared" si="203"/>
        <v>0</v>
      </c>
      <c r="FB27" s="32">
        <f>FA27*InputData!$C$6</f>
        <v>0</v>
      </c>
      <c r="FC27" s="32">
        <f t="shared" si="204"/>
        <v>0</v>
      </c>
      <c r="FD27" s="53">
        <f>MIN($EJ$14*InputData!$C$6/(1-(1+InputData!$C$6)^(-10)), FA27+FB27)</f>
        <v>0</v>
      </c>
      <c r="FE27" s="32">
        <f>FD27/((1+InputData!$C$3)^(IntMed!$B27-IntMed!$B$7))</f>
        <v>0</v>
      </c>
      <c r="FF27" s="5">
        <f t="shared" si="84"/>
        <v>145206.57695442549</v>
      </c>
      <c r="FG27" s="32">
        <f>FF27/((1+InputData!$C$7)^(IntMed!$B27-IntMed!$B$7))</f>
        <v>80397.361008057618</v>
      </c>
      <c r="FH27" s="5">
        <f t="shared" si="140"/>
        <v>1014049.004446602</v>
      </c>
      <c r="FI27" s="79"/>
      <c r="FJ27" s="32">
        <f t="shared" si="185"/>
        <v>164368.67167178338</v>
      </c>
      <c r="FK27" s="32">
        <f>FJ27*InputData!$C$6</f>
        <v>10207.294510817748</v>
      </c>
      <c r="FL27" s="32">
        <f t="shared" si="186"/>
        <v>154744.21770475418</v>
      </c>
      <c r="FM27" s="53">
        <f>MIN($EJ$14*InputData!$C$6/(1-(1+InputData!$C$6)^(-25)), FJ27+FK27)</f>
        <v>19831.748477846937</v>
      </c>
      <c r="FN27" s="32">
        <f>FM27/((1+InputData!$C$3)^(IntMed!$B27-IntMed!$B$7))</f>
        <v>13346.198211000348</v>
      </c>
      <c r="FO27" s="5">
        <f t="shared" si="88"/>
        <v>131860.37874342513</v>
      </c>
      <c r="FP27" s="32">
        <f>FO27/((1+InputData!$C$7)^(IntMed!$B27-IntMed!$B$7))</f>
        <v>73007.894648061672</v>
      </c>
      <c r="FQ27" s="5">
        <f t="shared" si="141"/>
        <v>1063893.5574815765</v>
      </c>
      <c r="FR27" s="79"/>
      <c r="FS27" s="32">
        <f t="shared" si="187"/>
        <v>0</v>
      </c>
      <c r="FT27" s="32">
        <f>FS27*InputData!$C$6</f>
        <v>0</v>
      </c>
      <c r="FU27" s="32">
        <f t="shared" si="188"/>
        <v>0</v>
      </c>
      <c r="FV27" s="5">
        <f t="shared" si="173"/>
        <v>0</v>
      </c>
      <c r="FW27" s="32">
        <f>FV27/((1+InputData!$C$3)^(IntMed!$B27-IntMed!$B$7))</f>
        <v>0</v>
      </c>
      <c r="FX27" s="5">
        <f t="shared" si="92"/>
        <v>145206.57695442549</v>
      </c>
      <c r="FY27" s="32">
        <f>FX27/((1+InputData!$C$7)^(IntMed!$B27-IntMed!$B$7))</f>
        <v>80397.361008057618</v>
      </c>
      <c r="FZ27" s="5">
        <f t="shared" si="142"/>
        <v>1012504.3551699234</v>
      </c>
      <c r="GC27" s="3">
        <f t="shared" si="3"/>
        <v>17</v>
      </c>
      <c r="GD27" s="4" t="str">
        <f t="shared" si="4"/>
        <v>Multi-Year (O5&gt;16 = (BP+BAH+BAS+VSP+BCPSP)*12+ASP+ISP+MSP)</v>
      </c>
      <c r="GE27" s="4"/>
      <c r="GF27" s="4"/>
      <c r="GG27" s="4"/>
      <c r="GH27" s="4"/>
      <c r="GI27" s="5">
        <f t="shared" si="5"/>
        <v>178741.12</v>
      </c>
      <c r="GJ27" s="5">
        <f t="shared" si="6"/>
        <v>21019.199999999997</v>
      </c>
      <c r="GK27" s="5">
        <f t="shared" si="7"/>
        <v>199760.32</v>
      </c>
      <c r="GL27" s="5">
        <f t="shared" si="8"/>
        <v>146773.79222401595</v>
      </c>
      <c r="GM27" s="5">
        <f t="shared" si="9"/>
        <v>17259.977410430438</v>
      </c>
      <c r="GN27" s="32">
        <f>IF(GL27-InputData!$C$158-InputData!$C$159&gt;=0,GL27-InputData!$C$158-InputData!$C$159,0)</f>
        <v>146773.79222401595</v>
      </c>
      <c r="GO27" s="32">
        <f>IF(GL27-IF(GL27&lt;=InputData!$C$146,InputData!$C$145,0)-MAX(InputData!$C$144,GU27)&gt;=0,GL27-IF(GL27&lt;=InputData!$C$146,InputData!$C$145,0)-MAX(InputData!$C$144,GU27),0)</f>
        <v>136773.79222401595</v>
      </c>
      <c r="GP27" s="32">
        <f>IF(GO27&lt;0,"Error",IF(GO27&lt;=InputData!$B$170,InputData!$C$170*GO27,IF(GO27&lt;=InputData!$B$171,InputData!$D$170+InputData!$C$171*(GO27-InputData!$B$170),IF(GO27&lt;=InputData!$B$172,InputData!$D$171+InputData!$C$172*(GO27-InputData!$B$171),IF(GO27&lt;=InputData!$B$173,InputData!$D$172+InputData!$C$173*(GO27-InputData!$B$172),IF(GO27&lt;=InputData!$B$174,InputData!$D$173+InputData!$C$174*(GO27-InputData!$B$173),IF(GO27&lt;=InputData!$B$175,InputData!$D$174+InputData!$C$175*(GO27-InputData!$B$174),InputData!$D$175+InputData!$C$176*(GO27-InputData!$B$175))))))))</f>
        <v>31589.911822724469</v>
      </c>
      <c r="GQ27" s="32">
        <f>IF(GL27&lt;=InputData!$C$150,InputData!$C$152,IF(GL27&lt;InputData!$C$151,IF(InputData!$C$152-0.25*IF(GL27-InputData!$C$150&lt;=0,0,GL27-InputData!$C$150)&lt;=0,0,InputData!$C$152-0.25*IF(GL27-InputData!$C$150&lt;=0,0,GL27-InputData!$C$150)),0))</f>
        <v>44056.551943996012</v>
      </c>
      <c r="GR27" s="32">
        <f>IF(GL27-GQ27&lt;=0,0,IF(GL27-GQ27&lt;=InputData!$C$153,InputData!$C$154*(GL27-GQ27),InputData!$C$155*(GL27-GQ27)-InputData!$D$154))</f>
        <v>26706.482472805183</v>
      </c>
      <c r="GS27" s="32">
        <f t="shared" si="93"/>
        <v>31589.911822724469</v>
      </c>
      <c r="GT27" s="32">
        <f>IF(GL27&gt;=0,IF(GL27&lt;=InputData!$C$148,InputData!$C$147*GL27,InputData!$C$147*InputData!$C$148)+InputData!$C$149*GL27,0)</f>
        <v>9177.6199872482321</v>
      </c>
      <c r="GU27" s="32">
        <f>IF(GN27&lt;0,0,IF(GN27&lt;=InputData!$B$163,InputData!$C$163*GN27,IF(GN27&lt;=InputData!$B$164,InputData!$D$163+InputData!$C$164*(GN27-InputData!$B$163),IF(GN27&lt;=InputData!$B$165,InputData!$D$164+InputData!$C$165*(GN27-InputData!$B$164),InputData!$D$165+InputData!$C$166*(GN27-InputData!$B$165)))))</f>
        <v>0</v>
      </c>
      <c r="GV27" s="43">
        <f t="shared" si="10"/>
        <v>0.27775756960582293</v>
      </c>
      <c r="GW27" s="43">
        <f t="shared" si="11"/>
        <v>0.24853133535139885</v>
      </c>
      <c r="GX27" s="5">
        <f t="shared" si="12"/>
        <v>123266.23782447368</v>
      </c>
      <c r="GY27" s="32">
        <f>GX27/((1+InputData!$C$7)^(IntMed!$B27-IntMed!$B$7))</f>
        <v>68249.527193177593</v>
      </c>
      <c r="GZ27" s="32">
        <f t="shared" si="94"/>
        <v>1302270.4267230788</v>
      </c>
      <c r="HB27" s="3">
        <f t="shared" si="13"/>
        <v>17</v>
      </c>
      <c r="HC27" s="122" t="str">
        <f t="shared" si="195"/>
        <v>Multi-Year (O5&gt;16 = (BP+BAH+BAS+VSP+BCPSP)*12+ASP+ISP+MSP)</v>
      </c>
      <c r="HD27" s="4"/>
      <c r="HE27" s="4"/>
      <c r="HF27" s="4"/>
      <c r="HG27" s="4"/>
      <c r="HH27" s="5">
        <f t="shared" si="196"/>
        <v>178741.12</v>
      </c>
      <c r="HI27" s="5">
        <f t="shared" si="197"/>
        <v>21019.199999999997</v>
      </c>
      <c r="HJ27" s="5">
        <f t="shared" si="198"/>
        <v>199760.32</v>
      </c>
      <c r="HK27" s="5">
        <f t="shared" si="199"/>
        <v>146773.79222401595</v>
      </c>
      <c r="HL27" s="5">
        <f t="shared" si="200"/>
        <v>17259.977410430438</v>
      </c>
      <c r="HM27" s="32">
        <f>IF(HK27-InputData!$C$158-InputData!$C$159&gt;=0,HK27-InputData!$C$158-InputData!$C$159,0)</f>
        <v>146773.79222401595</v>
      </c>
      <c r="HN27" s="32">
        <f>IF(HK27-IF(HK27&lt;=InputData!$C$146,InputData!$C$145,0)-MAX(InputData!$C$144,HT27)&gt;=0,HK27-IF(HK27&lt;=InputData!$C$146,InputData!$C$145,0)-MAX(InputData!$C$144,HT27),0)</f>
        <v>136773.79222401595</v>
      </c>
      <c r="HO27" s="32">
        <f>IF(HN27&lt;0,"Error",IF(HN27&lt;=InputData!$B$170,InputData!$C$170*HN27,IF(HN27&lt;=InputData!$B$171,InputData!$D$170+InputData!$C$171*(HN27-InputData!$B$170),IF(HN27&lt;=InputData!$B$172,InputData!$D$171+InputData!$C$172*(HN27-InputData!$B$171),IF(HN27&lt;=InputData!$B$173,InputData!$D$172+InputData!$C$173*(HN27-InputData!$B$172),IF(HN27&lt;=InputData!$B$174,InputData!$D$173+InputData!$C$174*(HN27-InputData!$B$173),IF(HN27&lt;=InputData!$B$175,InputData!$D$174+InputData!$C$175*(HN27-InputData!$B$174),InputData!$D$175+InputData!$C$176*(HN27-InputData!$B$175))))))))</f>
        <v>31589.911822724469</v>
      </c>
      <c r="HP27" s="32">
        <f>IF(HK27&lt;=InputData!$C$150,InputData!$C$152,IF(HK27&lt;InputData!$C$151,IF(InputData!$C$152-0.25*IF(HK27-InputData!$C$150&lt;=0,0,HK27-InputData!$C$150)&lt;=0,0,InputData!$C$152-0.25*IF(HK27-InputData!$C$150&lt;=0,0,HK27-InputData!$C$150)),0))</f>
        <v>44056.551943996012</v>
      </c>
      <c r="HQ27" s="32">
        <f>IF(HK27-HP27&lt;=0,0,IF(HK27-HP27&lt;=InputData!$C$153,InputData!$C$154*(HK27-HP27),InputData!$C$155*(HK27-HP27)-InputData!$D$154))</f>
        <v>26706.482472805183</v>
      </c>
      <c r="HR27" s="32">
        <f t="shared" si="95"/>
        <v>31589.911822724469</v>
      </c>
      <c r="HS27" s="32">
        <f>IF(HK27&gt;=0,IF(HK27&lt;=InputData!$C$148,InputData!$C$147*HK27,InputData!$C$147*InputData!$C$148)+InputData!$C$149*HK27,0)</f>
        <v>9177.6199872482321</v>
      </c>
      <c r="HT27" s="32">
        <f>IF(HM27&lt;0,0,IF(HM27&lt;=InputData!$B$163,InputData!$C$163*HM27,IF(HM27&lt;=InputData!$B$164,InputData!$D$163+InputData!$C$164*(HM27-InputData!$B$163),IF(HM27&lt;=InputData!$B$165,InputData!$D$164+InputData!$C$165*(HM27-InputData!$B$164),InputData!$D$165+InputData!$C$166*(HM27-InputData!$B$165)))))</f>
        <v>0</v>
      </c>
      <c r="HU27" s="43">
        <f t="shared" si="96"/>
        <v>0.27775756960582293</v>
      </c>
      <c r="HV27" s="43">
        <f t="shared" si="97"/>
        <v>0.24853133535139885</v>
      </c>
      <c r="HW27" s="5">
        <f t="shared" si="98"/>
        <v>123266.23782447368</v>
      </c>
      <c r="HX27" s="32">
        <f>HW27/((1+InputData!$C$7)^(IntMed!$B27-IntMed!$B$7))</f>
        <v>68249.527193177593</v>
      </c>
      <c r="HY27" s="32">
        <f t="shared" si="99"/>
        <v>1280118.6093152552</v>
      </c>
      <c r="IA27" s="41"/>
      <c r="IB27" s="4" t="s">
        <v>109</v>
      </c>
      <c r="IC27" s="32">
        <f>MIN(InputData!$C$13+InputData!$E$13*($B27-$B$21),1)*IntMed!AW27</f>
        <v>270997.85501516977</v>
      </c>
      <c r="ID27" s="32">
        <f>MIN(InputData!$C$13+InputData!$E$13*($B27-$B$21),1)*IntMed!AX27</f>
        <v>0</v>
      </c>
      <c r="IE27" s="32">
        <f>MIN(InputData!$C$13+InputData!$E$13*($B27-$B$21),1)*IntMed!AY27</f>
        <v>270997.85501516977</v>
      </c>
      <c r="IF27" s="32">
        <f>MIN(InputData!$C$13+InputData!$E$13*($B27-$B$21),1)*IntMed!EO27</f>
        <v>182373.78775898294</v>
      </c>
      <c r="IG27" s="32">
        <f>MIN(InputData!$C$13+InputData!$E$13*($B27-$B$21),1)*IntMed!EP27</f>
        <v>0</v>
      </c>
      <c r="IH27" s="32">
        <f>IF(IF27-InputData!$C$158-InputData!$C$159&gt;=0,IF27-InputData!$C$158-InputData!$C$159,0)</f>
        <v>182373.78775898294</v>
      </c>
      <c r="II27" s="32">
        <f>IF(IF27-IF(IF27&lt;=InputData!$C$146,InputData!$C$145,0)-MAX(InputData!$C$144,IO27)&gt;=0,IF27-IF(IF27&lt;=InputData!$C$146,InputData!$C$145,0)-MAX(InputData!$C$144,IO27),0)</f>
        <v>176273.78775898294</v>
      </c>
      <c r="IJ27" s="32">
        <f>IF(II27&lt;0,"Error",IF(II27&lt;=InputData!$B$170,InputData!$C$170*II27,IF(II27&lt;=InputData!$B$171,InputData!$D$170+InputData!$C$171*(II27-InputData!$B$170),IF(II27&lt;=InputData!$B$172,InputData!$D$171+InputData!$C$172*(II27-InputData!$B$171),IF(II27&lt;=InputData!$B$173,InputData!$D$172+InputData!$C$173*(II27-InputData!$B$172),IF(II27&lt;=InputData!$B$174,InputData!$D$173+InputData!$C$174*(II27-InputData!$B$173),IF(II27&lt;=InputData!$B$175,InputData!$D$174+InputData!$C$175*(II27-InputData!$B$174),InputData!$D$175+InputData!$C$176*(II27-InputData!$B$175))))))))</f>
        <v>42649.910572515226</v>
      </c>
      <c r="IK27" s="32">
        <f>IF(IF27&lt;=InputData!$C$150,InputData!$C$152,IF(IF27&lt;InputData!$C$151,IF(InputData!$C$152-0.25*IF(IF27-InputData!$C$150&lt;=0,0,IF27-InputData!$C$150)&lt;=0,0,InputData!$C$152-0.25*IF(IF27-InputData!$C$150&lt;=0,0,IF27-InputData!$C$150)),0))</f>
        <v>35156.553060254264</v>
      </c>
      <c r="IL27" s="32">
        <f>IF(IF27-IK27&lt;=0,0,IF(IF27-IK27&lt;=InputData!$C$153,InputData!$C$154*(IF27-IK27),InputData!$C$155*(IF27-IK27)-InputData!$D$154))</f>
        <v>38276.48102166946</v>
      </c>
      <c r="IM27" s="32">
        <f t="shared" si="100"/>
        <v>42649.910572515226</v>
      </c>
      <c r="IN27" s="32">
        <f>IF(IF27&gt;=0,IF(IF27&lt;=InputData!$C$148,InputData!$C$147*IF27,InputData!$C$147*InputData!$C$148)+InputData!$C$149*IF27,0)</f>
        <v>9693.8199225052522</v>
      </c>
      <c r="IO27" s="32">
        <f>IF(IH27&lt;0,0,IF(IH27&lt;=InputData!$B$163,InputData!$C$163*IH27,IF(IH27&lt;=InputData!$B$164,InputData!$D$163+InputData!$C$164*(IH27-InputData!$B$163),IF(IH27&lt;=InputData!$B$165,InputData!$D$164+InputData!$C$165*(IH27-InputData!$B$164),InputData!$D$165+InputData!$C$166*(IH27-InputData!$B$165)))))</f>
        <v>0</v>
      </c>
      <c r="IP27" s="43">
        <f t="shared" si="101"/>
        <v>0.28701345263605327</v>
      </c>
      <c r="IQ27" s="43">
        <f t="shared" si="102"/>
        <v>0.28701345263605327</v>
      </c>
      <c r="IR27" s="5">
        <f t="shared" si="27"/>
        <v>130030.05726396247</v>
      </c>
      <c r="IS27" s="32">
        <f>IR27/((1+InputData!$C$7)^(IntMed!$B27-IntMed!$B$7))</f>
        <v>71994.490022516751</v>
      </c>
      <c r="IT27" s="5">
        <f t="shared" si="103"/>
        <v>1322406.3620002642</v>
      </c>
      <c r="IV27" s="41"/>
      <c r="IW27" s="49" t="s">
        <v>109</v>
      </c>
      <c r="IX27" s="32">
        <f>MIN(InputData!$C$13+InputData!$E$13*($B27-$B$18),1)*IntMed!AW27</f>
        <v>270997.85501516977</v>
      </c>
      <c r="IY27" s="32">
        <f>MIN(InputData!$C$13+InputData!$E$13*($B27-$B$18),1)*IntMed!AX27</f>
        <v>0</v>
      </c>
      <c r="IZ27" s="32">
        <f>MIN(InputData!$C$13+InputData!$E$13*($B27-$B$18),1)*IntMed!AY27</f>
        <v>270997.85501516977</v>
      </c>
      <c r="JA27" s="32">
        <f>MIN(InputData!$C$13+InputData!$E$13*($B27-$B$18),1)*IntMed!EO27</f>
        <v>182373.78775898294</v>
      </c>
      <c r="JB27" s="32">
        <f>MIN(InputData!$C$13+InputData!$E$13*($B27-$B$18),1)*IntMed!EP27</f>
        <v>0</v>
      </c>
      <c r="JC27" s="32">
        <f>IF(JA27-InputData!$C$158-InputData!$C$159&gt;=0,JA27-InputData!$C$158-InputData!$C$159,0)</f>
        <v>182373.78775898294</v>
      </c>
      <c r="JD27" s="32">
        <f>IF(JA27-IF(JA27&lt;=InputData!$C$146,InputData!$C$145,0)-MAX(InputData!$C$144,JJ27)&gt;=0,JA27-IF(JA27&lt;=InputData!$C$146,InputData!$C$145,0)-MAX(InputData!$C$144,JJ27),0)</f>
        <v>176273.78775898294</v>
      </c>
      <c r="JE27" s="32">
        <f>IF(JD27&lt;0,"Error",IF(JD27&lt;=InputData!$B$170,InputData!$C$170*JD27,IF(JD27&lt;=InputData!$B$171,InputData!$D$170+InputData!$C$171*(JD27-InputData!$B$170),IF(JD27&lt;=InputData!$B$172,InputData!$D$171+InputData!$C$172*(JD27-InputData!$B$171),IF(JD27&lt;=InputData!$B$173,InputData!$D$172+InputData!$C$173*(JD27-InputData!$B$172),IF(JD27&lt;=InputData!$B$174,InputData!$D$173+InputData!$C$174*(JD27-InputData!$B$173),IF(JD27&lt;=InputData!$B$175,InputData!$D$174+InputData!$C$175*(JD27-InputData!$B$174),InputData!$D$175+InputData!$C$176*(JD27-InputData!$B$175))))))))</f>
        <v>42649.910572515226</v>
      </c>
      <c r="JF27" s="32">
        <f>IF(JA27&lt;=InputData!$C$150,InputData!$C$152,IF(JA27&lt;InputData!$C$151,IF(InputData!$C$152-0.25*IF(JA27-InputData!$C$150&lt;=0,0,JA27-InputData!$C$150)&lt;=0,0,InputData!$C$152-0.25*IF(JA27-InputData!$C$150&lt;=0,0,JA27-InputData!$C$150)),0))</f>
        <v>35156.553060254264</v>
      </c>
      <c r="JG27" s="32">
        <f>IF(JA27-JF27&lt;=0,0,IF(JA27-JF27&lt;=InputData!$C$153,InputData!$C$154*(JA27-JF27),InputData!$C$155*(JA27-JF27)-InputData!$D$154))</f>
        <v>38276.48102166946</v>
      </c>
      <c r="JH27" s="32">
        <f t="shared" si="104"/>
        <v>42649.910572515226</v>
      </c>
      <c r="JI27" s="32">
        <f>IF(JA27&gt;=0,IF(JA27&lt;=InputData!$C$148,InputData!$C$147*JA27,InputData!$C$147*InputData!$C$148)+InputData!$C$149*JA27,0)</f>
        <v>9693.8199225052522</v>
      </c>
      <c r="JJ27" s="32">
        <f>IF(JC27&lt;0,0,IF(JC27&lt;=InputData!$B$163,InputData!$C$163*JC27,IF(JC27&lt;=InputData!$B$164,InputData!$D$163+InputData!$C$164*(JC27-InputData!$B$163),IF(JC27&lt;=InputData!$B$165,InputData!$D$164+InputData!$C$165*(JC27-InputData!$B$164),InputData!$D$165+InputData!$C$166*(JC27-InputData!$B$165)))))</f>
        <v>0</v>
      </c>
      <c r="JK27" s="42">
        <f t="shared" si="105"/>
        <v>0.28701345263605327</v>
      </c>
      <c r="JL27" s="42">
        <f t="shared" si="106"/>
        <v>0.28701345263605327</v>
      </c>
      <c r="JM27" s="32">
        <f t="shared" si="35"/>
        <v>130030.05726396247</v>
      </c>
      <c r="JN27" s="32">
        <f>JM27/((1+InputData!$C$7)^(IntMed!$B27-IntMed!$B$7))</f>
        <v>71994.490022516751</v>
      </c>
      <c r="JO27" s="32">
        <f t="shared" si="107"/>
        <v>1303758.1005478599</v>
      </c>
      <c r="JQ27" s="41" t="s">
        <v>109</v>
      </c>
      <c r="JR27" s="32">
        <f>$JR$14*(1+InputData!$C$3+InputData!$C$4)^(IntMed!$B27-IntMed!$B$14)</f>
        <v>236163.70807422203</v>
      </c>
      <c r="JS27" s="32">
        <v>0</v>
      </c>
      <c r="JT27" s="32">
        <f t="shared" si="108"/>
        <v>236163.70807422203</v>
      </c>
      <c r="JU27" s="5">
        <f>JR27*(1/(1+InputData!$C$3))^(IntMed!$B27-IntMed!$B$7)</f>
        <v>158931.40545445122</v>
      </c>
      <c r="JV27" s="5">
        <f>JS27*(1/(1+InputData!$C$3))^(IntMed!$B27-IntMed!$B$7)</f>
        <v>0</v>
      </c>
      <c r="JW27" s="32">
        <f>IF(JU27-InputData!$C$158-InputData!$C$159&gt;=0,JU27-InputData!$C$158-InputData!$C$159,0)</f>
        <v>158931.40545445122</v>
      </c>
      <c r="JX27" s="32">
        <f>IF(JU27-IF(JU27&lt;=InputData!$C$146,InputData!$C$145,0)-MAX(InputData!$C$144,KD27)&gt;=0,JU27-IF(JU27&lt;=InputData!$C$146,InputData!$C$145,0)-MAX(InputData!$C$144,KD27),0)</f>
        <v>152831.40545445122</v>
      </c>
      <c r="JY27" s="32">
        <f>IF(JX27&lt;0,"Error",IF(JX27&lt;=InputData!$B$170,InputData!$C$170*JX27,IF(JX27&lt;=InputData!$B$171,InputData!$D$170+InputData!$C$171*(JX27-InputData!$B$170),IF(JX27&lt;=InputData!$B$172,InputData!$D$171+InputData!$C$172*(JX27-InputData!$B$171),IF(JX27&lt;=InputData!$B$173,InputData!$D$172+InputData!$C$173*(JX27-InputData!$B$172),IF(JX27&lt;=InputData!$B$174,InputData!$D$173+InputData!$C$174*(JX27-InputData!$B$173),IF(JX27&lt;=InputData!$B$175,InputData!$D$174+InputData!$C$175*(JX27-InputData!$B$174),InputData!$D$175+InputData!$C$176*(JX27-InputData!$B$175))))))))</f>
        <v>36086.043527246344</v>
      </c>
      <c r="JZ27" s="32">
        <f>IF(JU27&lt;=InputData!$C$150,InputData!$C$152,IF(JU27&lt;InputData!$C$151,IF(InputData!$C$152-0.25*IF(JU27-InputData!$C$150&lt;=0,0,JU27-InputData!$C$150)&lt;=0,0,InputData!$C$152-0.25*IF(JU27-InputData!$C$150&lt;=0,0,JU27-InputData!$C$150)),0))</f>
        <v>41017.148636387195</v>
      </c>
      <c r="KA27" s="32">
        <f>IF(JU27-JZ27&lt;=0,0,IF(JU27-JZ27&lt;=InputData!$C$153,InputData!$C$154*(JU27-JZ27),InputData!$C$155*(JU27-JZ27)-InputData!$D$154))</f>
        <v>30657.706772696645</v>
      </c>
      <c r="KB27" s="32">
        <f t="shared" si="109"/>
        <v>36086.043527246344</v>
      </c>
      <c r="KC27" s="32">
        <f>IF(JU27&gt;=0,IF(JU27&lt;=InputData!$C$148,InputData!$C$147*JU27,InputData!$C$147*InputData!$C$148)+InputData!$C$149*JU27,0)</f>
        <v>9353.9053790895414</v>
      </c>
      <c r="KD27" s="32">
        <f>IF(JW27&lt;0,0,IF(JW27&lt;=InputData!$B$163,InputData!$C$163*JW27,IF(JW27&lt;=InputData!$B$164,InputData!$D$163+InputData!$C$164*(JW27-InputData!$B$163),IF(JW27&lt;=InputData!$B$165,InputData!$D$164+InputData!$C$165*(JW27-InputData!$B$164),InputData!$D$165+InputData!$C$166*(JW27-InputData!$B$165)))))</f>
        <v>0</v>
      </c>
      <c r="KE27" s="43">
        <f t="shared" si="110"/>
        <v>0.2859091868998711</v>
      </c>
      <c r="KF27" s="43">
        <f t="shared" si="111"/>
        <v>0.2859091868998711</v>
      </c>
      <c r="KG27" s="5">
        <f t="shared" si="112"/>
        <v>113491.45654811534</v>
      </c>
      <c r="KH27" s="32">
        <f>KG27/((1+InputData!$C$7)^(IntMed!$B27-IntMed!$B$7))</f>
        <v>62837.467797983423</v>
      </c>
      <c r="KI27" s="5">
        <f t="shared" si="143"/>
        <v>1170201.2114478534</v>
      </c>
      <c r="KK27" s="7">
        <v>7</v>
      </c>
      <c r="KL27" t="s">
        <v>376</v>
      </c>
      <c r="KM27">
        <v>42</v>
      </c>
      <c r="KN27" s="41" t="s">
        <v>109</v>
      </c>
      <c r="KO27" s="32">
        <f>MIN(InputData!$C$13+InputData!$E$13*($B27-$B$24),1)*IntMed!AW27</f>
        <v>270997.85501516977</v>
      </c>
      <c r="KP27" s="32">
        <f>MIN(InputData!$C$13+InputData!$E$13*($B27-$B$24),1)*IntMed!AX27</f>
        <v>0</v>
      </c>
      <c r="KQ27" s="5">
        <f t="shared" si="169"/>
        <v>270997.85501516977</v>
      </c>
      <c r="KR27" s="32">
        <f>KR26*(1+InputData!$C$8)</f>
        <v>17073.535579791296</v>
      </c>
      <c r="KS27" s="5">
        <f>KO27*(1/(1+InputData!$C$3))^(IntMed!$B27-IntMed!$B$7)</f>
        <v>182373.7877589828</v>
      </c>
      <c r="KT27" s="5">
        <f>KP27*(1/(1+InputData!$C$3))^(IntMed!$B27-IntMed!$B$7)</f>
        <v>0</v>
      </c>
      <c r="KU27" s="32" t="s">
        <v>386</v>
      </c>
      <c r="KV27" s="32">
        <v>0</v>
      </c>
      <c r="KW27" s="32">
        <v>0</v>
      </c>
      <c r="KX27" s="5">
        <f>KW27*InputData!$C$6</f>
        <v>0</v>
      </c>
      <c r="KY27" s="32">
        <f t="shared" si="166"/>
        <v>0</v>
      </c>
      <c r="KZ27" s="32">
        <v>0</v>
      </c>
      <c r="LA27" s="32">
        <v>0</v>
      </c>
      <c r="LB27" s="32">
        <f>KZ27/((1+InputData!$C$3)^(IntMed!$B27-IntMed!$B$7))</f>
        <v>0</v>
      </c>
      <c r="LC27" s="32">
        <f>IF(KS27-InputData!$C$158-InputData!$C$159&gt;=0,KS27-InputData!$C$158-InputData!$C$159,0)</f>
        <v>182373.7877589828</v>
      </c>
      <c r="LD27" s="32">
        <f>IF(KS27-IF(KS27&lt;=InputData!$C$146,InputData!$C$145,0)-MAX(InputData!$C$144,LJ27)&gt;=0,KS27-IF(KS27&lt;=InputData!$C$146,InputData!$C$145,0)-MAX(InputData!$C$144,LJ27),0)</f>
        <v>176273.7877589828</v>
      </c>
      <c r="LE27" s="32">
        <f>IF(LD27&lt;0,"Error",IF(LD27&lt;=InputData!$B$170,InputData!$C$170*LD27,IF(LD27&lt;=InputData!$B$171,InputData!$D$170+InputData!$C$171*(LD27-InputData!$B$170),IF(LD27&lt;=InputData!$B$172,InputData!$D$171+InputData!$C$172*(LD27-InputData!$B$171),IF(LD27&lt;=InputData!$B$173,InputData!$D$172+InputData!$C$173*(LD27-InputData!$B$172),IF(LD27&lt;=InputData!$B$174,InputData!$D$173+InputData!$C$174*(LD27-InputData!$B$173),IF(LD27&lt;=InputData!$B$175,InputData!$D$174+InputData!$C$175*(LD27-InputData!$B$174),InputData!$D$175+InputData!$C$176*(LD27-InputData!$B$175))))))))</f>
        <v>42649.910572515189</v>
      </c>
      <c r="LF27" s="32">
        <f>IF(KS27&lt;=InputData!$C$150,InputData!$C$152,IF(KS27&lt;InputData!$C$151,IF(InputData!$C$152-0.25*IF(KS27-InputData!$C$150&lt;=0,0,KS27-InputData!$C$150)&lt;=0,0,InputData!$C$152-0.25*IF(KS27-InputData!$C$150&lt;=0,0,KS27-InputData!$C$150)),0))</f>
        <v>35156.5530602543</v>
      </c>
      <c r="LG27" s="32">
        <f>IF(KS27-LF27&lt;=0,0,IF(KS27-LF27&lt;=InputData!$C$153,InputData!$C$154*(KS27-LF27),InputData!$C$155*(KS27-LF27)-InputData!$D$154))</f>
        <v>38276.48102166941</v>
      </c>
      <c r="LH27" s="32">
        <f t="shared" si="118"/>
        <v>42649.910572515189</v>
      </c>
      <c r="LI27" s="32">
        <f>IF(KS27&gt;=0,IF(KS27&lt;=InputData!$C$148,InputData!$C$147*KS27,InputData!$C$147*InputData!$C$148)+InputData!$C$149*KS27,0)</f>
        <v>9693.8199225052504</v>
      </c>
      <c r="LJ27" s="32">
        <f>IF(LC27&lt;0,0,IF(LC27&lt;=InputData!$B$163,InputData!$C$163*LC27,IF(LC27&lt;=InputData!$B$164,InputData!$D$163+InputData!$C$164*(LC27-InputData!$B$163),IF(LC27&lt;=InputData!$B$165,InputData!$D$164+InputData!$C$165*(LC27-InputData!$B$164),InputData!$D$165+InputData!$C$166*(LC27-InputData!$B$165)))))</f>
        <v>0</v>
      </c>
      <c r="LK27" s="43">
        <f t="shared" si="156"/>
        <v>0.28701345263605327</v>
      </c>
      <c r="LL27" s="32">
        <f t="shared" si="119"/>
        <v>130030.05726396236</v>
      </c>
      <c r="LM27" s="5">
        <f t="shared" si="120"/>
        <v>130030.05726396236</v>
      </c>
      <c r="LN27" s="32">
        <f>LM27/((1+InputData!$C$7)^(IntMed!$B27-IntMed!$B$7))</f>
        <v>71994.490022516678</v>
      </c>
      <c r="LO27" s="5">
        <f t="shared" si="145"/>
        <v>969627.25891473726</v>
      </c>
      <c r="LQ27" s="157" t="str">
        <f t="shared" si="37"/>
        <v>Private Practice</v>
      </c>
      <c r="LR27" s="32">
        <f t="shared" si="121"/>
        <v>301108.72779463307</v>
      </c>
      <c r="LS27" s="32">
        <v>0</v>
      </c>
      <c r="LT27" s="32">
        <f t="shared" si="123"/>
        <v>301108.72779463307</v>
      </c>
      <c r="LU27" s="32">
        <f>LU26*(1+InputData!$C$8)</f>
        <v>17073.535579791296</v>
      </c>
      <c r="LV27" s="32">
        <f>LR27/((1+InputData!$C$3)^(IntMed!$B27-IntMed!$B$7))</f>
        <v>202637.54195442548</v>
      </c>
      <c r="LW27" s="32">
        <f>LS27/((1+InputData!$C$3)^(IntMed!$B27-IntMed!$B$7))</f>
        <v>0</v>
      </c>
      <c r="LX27" s="32" t="s">
        <v>141</v>
      </c>
      <c r="LY27" s="32">
        <v>0</v>
      </c>
      <c r="LZ27" s="32">
        <f t="shared" si="189"/>
        <v>0</v>
      </c>
      <c r="MA27" s="32">
        <f>(LZ27)*InputData!$C$6</f>
        <v>0</v>
      </c>
      <c r="MB27" s="32">
        <f>MIN($BE$14*InputData!$C$6/(1-(1+InputData!$C$6)^(-10)), LZ27+MA27)</f>
        <v>0</v>
      </c>
      <c r="MC27" s="32">
        <f t="shared" si="168"/>
        <v>0</v>
      </c>
      <c r="MD27" s="32">
        <f>MB27/((1+InputData!$C$3)^(IntMed!$B27-IntMed!$B$7))</f>
        <v>0</v>
      </c>
      <c r="ME27" s="32">
        <f>IF(LV27-InputData!$C$158-InputData!$C$159&gt;=0,LV27-InputData!$C$158-InputData!$C$159,0)</f>
        <v>202637.54195442548</v>
      </c>
      <c r="MF27" s="32">
        <f>IF(LV27-IF(LV27&lt;=InputData!$C$146,InputData!$C$145,0)-MAX(InputData!$C$144,ML27)&gt;=0,LV27-IF(LV27&lt;=InputData!$C$146,InputData!$C$145,0)-MAX(InputData!$C$144,ML27),0)</f>
        <v>196537.54195442548</v>
      </c>
      <c r="MG27" s="32">
        <f>IF(MF27&lt;0,"Error",IF(MF27&lt;=InputData!$B$170,InputData!$C$170*MF27,IF(MF27&lt;=InputData!$B$171,InputData!$D$170+InputData!$C$171*(MF27-InputData!$B$170),IF(MF27&lt;=InputData!$B$172,InputData!$D$171+InputData!$C$172*(MF27-InputData!$B$171),IF(MF27&lt;=InputData!$B$173,InputData!$D$172+InputData!$C$173*(MF27-InputData!$B$172),IF(MF27&lt;=InputData!$B$174,InputData!$D$173+InputData!$C$174*(MF27-InputData!$B$173),IF(MF27&lt;=InputData!$B$175,InputData!$D$174+InputData!$C$175*(MF27-InputData!$B$174),InputData!$D$175+InputData!$C$176*(MF27-InputData!$B$175))))))))</f>
        <v>48988.138844960413</v>
      </c>
      <c r="MH27" s="32">
        <f>IF(LV27&lt;=InputData!$C$150,InputData!$C$152,IF(LV27&lt;InputData!$C$151,IF(InputData!$C$152-0.25*IF(LV27-InputData!$C$150&lt;=0,0,LV27-InputData!$C$150)&lt;=0,0,InputData!$C$152-0.25*IF(LV27-InputData!$C$150&lt;=0,0,LV27-InputData!$C$150)),0))</f>
        <v>30090.614511393629</v>
      </c>
      <c r="MI27" s="32">
        <f>IF(LV27-MH27&lt;=0,0,IF(LV27-MH27&lt;=InputData!$C$153,InputData!$C$154*(LV27-MH27),InputData!$C$155*(LV27-MH27)-InputData!$D$154))</f>
        <v>44862.201135188283</v>
      </c>
      <c r="MJ27" s="32">
        <f t="shared" si="124"/>
        <v>48988.138844960413</v>
      </c>
      <c r="MK27" s="32">
        <f>IF(LV27&gt;=0,IF(LV27&lt;=InputData!$C$148,InputData!$C$147*LV27,InputData!$C$147*InputData!$C$148)+InputData!$C$149*LV27,0)</f>
        <v>9987.6443583391701</v>
      </c>
      <c r="ML27" s="32">
        <f>IF(ME27&lt;0,0,IF(ME27&lt;=InputData!$B$163,InputData!$C$163*ME27,IF(ME27&lt;=InputData!$B$164,InputData!$D$163+InputData!$C$164*(ME27-InputData!$B$163),IF(ME27&lt;=InputData!$B$165,InputData!$D$164+InputData!$C$165*(ME27-InputData!$B$164),InputData!$D$165+InputData!$C$166*(ME27-InputData!$B$165)))))</f>
        <v>0</v>
      </c>
      <c r="MM27" s="43">
        <f t="shared" si="38"/>
        <v>0.29104075500759685</v>
      </c>
      <c r="MN27" s="32">
        <f t="shared" si="125"/>
        <v>143661.75875112589</v>
      </c>
      <c r="MO27" s="32">
        <f t="shared" si="126"/>
        <v>143661.75875112589</v>
      </c>
      <c r="MP27" s="32">
        <f>MO27/((1+InputData!$C$7)^(IntMed!$B27-IntMed!$B$7))</f>
        <v>79542.032624264932</v>
      </c>
      <c r="MQ27" s="5">
        <f t="shared" si="147"/>
        <v>1383740.5595708888</v>
      </c>
    </row>
    <row r="28" spans="1:355" x14ac:dyDescent="0.25">
      <c r="A28" s="53">
        <v>2034</v>
      </c>
      <c r="B28" s="51">
        <v>22</v>
      </c>
      <c r="C28" s="4"/>
      <c r="D28" s="3">
        <v>18</v>
      </c>
      <c r="E28" s="4" t="s">
        <v>178</v>
      </c>
      <c r="F28" s="5">
        <f>InputData!$L$22*12</f>
        <v>94741.200000000012</v>
      </c>
      <c r="G28" s="5">
        <f>(InputData!$L$22+InputData!$I$45+InputData!$F$50)*12+InputData!$J$50+InputData!$D$57+InputData!$J$57</f>
        <v>178741.12</v>
      </c>
      <c r="H28" s="5">
        <f>(InputData!$C$33+InputData!$C$40)*12</f>
        <v>21019.199999999997</v>
      </c>
      <c r="I28" s="5">
        <f t="shared" si="207"/>
        <v>199760.32</v>
      </c>
      <c r="J28" s="5">
        <f>G28*((1+InputData!$C$5)/(1+InputData!$C$3))^(IntMed!$B28-IntMed!$B$7)</f>
        <v>145334.83347672169</v>
      </c>
      <c r="K28" s="5">
        <f>H28*((1+InputData!$C$5)/(1+InputData!$C$3))^(IntMed!$B28-IntMed!$B$7)</f>
        <v>17090.761945622296</v>
      </c>
      <c r="L28" s="32">
        <f>IF(J28-InputData!$C$158-InputData!$C$159&gt;=0,J28-InputData!$C$158-InputData!$C$159,0)</f>
        <v>145334.83347672169</v>
      </c>
      <c r="M28" s="32">
        <f>IF(J28-IF(J28&lt;=InputData!$C$146,InputData!$C$145,0)-MAX(InputData!$C$144,S28)&gt;=0,J28-IF(J28&lt;=InputData!$C$146,InputData!$C$145,0)-MAX(InputData!$C$144,S28),0)</f>
        <v>135334.83347672169</v>
      </c>
      <c r="N28" s="32">
        <f>IF(M28&lt;0,"Error",IF(M28&lt;=InputData!$B$170,InputData!$C$170*M28,IF(M28&lt;=InputData!$B$171,InputData!$D$170+InputData!$C$171*(M28-InputData!$B$170),IF(M28&lt;=InputData!$B$172,InputData!$D$171+InputData!$C$172*(M28-InputData!$B$171),IF(M28&lt;=InputData!$B$173,InputData!$D$172+InputData!$C$173*(M28-InputData!$B$172),IF(M28&lt;=InputData!$B$174,InputData!$D$173+InputData!$C$174*(M28-InputData!$B$173),IF(M28&lt;=InputData!$B$175,InputData!$D$174+InputData!$C$175*(M28-InputData!$B$174),InputData!$D$175+InputData!$C$176*(M28-InputData!$B$175))))))))</f>
        <v>31187.003373482075</v>
      </c>
      <c r="O28" s="32">
        <f>IF(J28&lt;=InputData!$C$150,InputData!$C$152,IF(J28&lt;InputData!$C$151,IF(InputData!$C$152-0.25*IF(J28-InputData!$C$150&lt;=0,0,J28-InputData!$C$150)&lt;=0,0,InputData!$C$152-0.25*IF(J28-InputData!$C$150&lt;=0,0,J28-InputData!$C$150)),0))</f>
        <v>44416.291630819578</v>
      </c>
      <c r="P28" s="32">
        <f>IF(J28-O28&lt;=0,0,IF(J28-O28&lt;=InputData!$C$153,InputData!$C$154*(J28-O28),InputData!$C$155*(J28-O28)-InputData!$D$154))</f>
        <v>26238.820879934548</v>
      </c>
      <c r="Q28" s="32">
        <f t="shared" si="40"/>
        <v>31187.003373482075</v>
      </c>
      <c r="R28" s="32">
        <f>IF(J28&gt;=0,IF(J28&lt;=InputData!$C$148,InputData!$C$147*J28,InputData!$C$147*InputData!$C$148)+InputData!$C$149*J28,0)</f>
        <v>9156.7550854124638</v>
      </c>
      <c r="S28" s="32">
        <f>IF(L28&lt;0,0,IF(L28&lt;=InputData!$B$163,InputData!$C$163*L28,IF(L28&lt;=InputData!$B$164,InputData!$D$163+InputData!$C$164*(L28-InputData!$B$163),IF(L28&lt;=InputData!$B$165,InputData!$D$164+InputData!$C$165*(L28-InputData!$B$164),InputData!$D$165+InputData!$C$166*(L28-InputData!$B$165)))))</f>
        <v>0</v>
      </c>
      <c r="T28" s="43">
        <f t="shared" si="41"/>
        <v>0.27759180296825681</v>
      </c>
      <c r="U28" s="43">
        <f t="shared" si="42"/>
        <v>0.24838301102724275</v>
      </c>
      <c r="V28" s="5">
        <f t="shared" si="43"/>
        <v>122081.83696344943</v>
      </c>
      <c r="W28" s="32">
        <f>V28/((1+InputData!$C$7)^(IntMed!$B28-IntMed!$B$7))</f>
        <v>65625.003061350537</v>
      </c>
      <c r="X28" s="5">
        <f t="shared" si="208"/>
        <v>1367895.4297844293</v>
      </c>
      <c r="Y28" s="53"/>
      <c r="Z28" s="3">
        <v>18</v>
      </c>
      <c r="AA28" s="97" t="s">
        <v>265</v>
      </c>
      <c r="AB28" s="5">
        <f t="shared" si="192"/>
        <v>94741.200000000012</v>
      </c>
      <c r="AC28" s="5">
        <f t="shared" si="201"/>
        <v>178741.12</v>
      </c>
      <c r="AD28" s="5">
        <f t="shared" si="193"/>
        <v>21019.199999999997</v>
      </c>
      <c r="AE28" s="5">
        <f t="shared" si="209"/>
        <v>199760.32</v>
      </c>
      <c r="AF28" s="5">
        <f>AC28*((1+InputData!$C$5)/(1+InputData!$C$3))^(IntMed!$B28-IntMed!$B$7)</f>
        <v>145334.83347672169</v>
      </c>
      <c r="AG28" s="5">
        <f>AD28*((1+InputData!$C$5)/(1+InputData!$C$3))^(IntMed!$B28-IntMed!$B$7)</f>
        <v>17090.761945622296</v>
      </c>
      <c r="AH28" s="32">
        <f>IF(AF28-InputData!$C$158-InputData!$C$159&gt;=0,AF28-InputData!$C$158-InputData!$C$159,0)</f>
        <v>145334.83347672169</v>
      </c>
      <c r="AI28" s="32">
        <f>IF(AF28-IF(AF28&lt;=InputData!$C$146,InputData!$C$145,0)-MAX(InputData!$C$144,AO28)&gt;=0,AF28-IF(AF28&lt;=InputData!$C$146,InputData!$C$145,0)-MAX(InputData!$C$144,AO28),0)</f>
        <v>135334.83347672169</v>
      </c>
      <c r="AJ28" s="32">
        <f>IF(AI28&lt;0,"Error",IF(AI28&lt;=InputData!$B$170,InputData!$C$170*AI28,IF(AI28&lt;=InputData!$B$171,InputData!$D$170+InputData!$C$171*(AI28-InputData!$B$170),IF(AI28&lt;=InputData!$B$172,InputData!$D$171+InputData!$C$172*(AI28-InputData!$B$171),IF(AI28&lt;=InputData!$B$173,InputData!$D$172+InputData!$C$173*(AI28-InputData!$B$172),IF(AI28&lt;=InputData!$B$174,InputData!$D$173+InputData!$C$174*(AI28-InputData!$B$173),IF(AI28&lt;=InputData!$B$175,InputData!$D$174+InputData!$C$175*(AI28-InputData!$B$174),InputData!$D$175+InputData!$C$176*(AI28-InputData!$B$175))))))))</f>
        <v>31187.003373482075</v>
      </c>
      <c r="AK28" s="32">
        <f>IF(AF28&lt;=InputData!$C$150,InputData!$C$152,IF(AF28&lt;InputData!$C$151,IF(InputData!$C$152-0.25*IF(AF28-InputData!$C$150&lt;=0,0,AF28-InputData!$C$150)&lt;=0,0,InputData!$C$152-0.25*IF(AF28-InputData!$C$150&lt;=0,0,AF28-InputData!$C$150)),0))</f>
        <v>44416.291630819578</v>
      </c>
      <c r="AL28" s="32">
        <f>IF(AF28-AK28&lt;=0,0,IF(AF28-AK28&lt;=InputData!$C$153,InputData!$C$154*(AF28-AK28),InputData!$C$155*(AF28-AK28)-InputData!$D$154))</f>
        <v>26238.820879934548</v>
      </c>
      <c r="AM28" s="32">
        <f t="shared" si="45"/>
        <v>31187.003373482075</v>
      </c>
      <c r="AN28" s="32">
        <f>IF(AF28&gt;=0,IF(AF28&lt;=InputData!$C$148,InputData!$C$147*AF28,InputData!$C$147*InputData!$C$148)+InputData!$C$149*AF28,0)</f>
        <v>9156.7550854124638</v>
      </c>
      <c r="AO28" s="32">
        <f>IF(AH28&lt;0,0,IF(AH28&lt;=InputData!$B$163,InputData!$C$163*AH28,IF(AH28&lt;=InputData!$B$164,InputData!$D$163+InputData!$C$164*(AH28-InputData!$B$163),IF(AH28&lt;=InputData!$B$165,InputData!$D$164+InputData!$C$165*(AH28-InputData!$B$164),InputData!$D$165+InputData!$C$166*(AH28-InputData!$B$165)))))</f>
        <v>0</v>
      </c>
      <c r="AP28" s="43">
        <f t="shared" si="46"/>
        <v>0.27759180296825681</v>
      </c>
      <c r="AQ28" s="43">
        <f t="shared" si="47"/>
        <v>0.24838301102724275</v>
      </c>
      <c r="AR28" s="5">
        <f t="shared" si="48"/>
        <v>122081.83696344943</v>
      </c>
      <c r="AS28" s="32">
        <f>AR28/((1+InputData!$C$7)^(IntMed!$B28-IntMed!$B$7))</f>
        <v>65625.003061350537</v>
      </c>
      <c r="AT28" s="5">
        <f t="shared" si="210"/>
        <v>1345743.6123766056</v>
      </c>
      <c r="AU28" s="53"/>
      <c r="AV28" s="41" t="s">
        <v>109</v>
      </c>
      <c r="AW28" s="32">
        <f>$AW$14*(1+InputData!$C$3+InputData!$C$4)^(IntMed!$B28-IntMed!$B$14)</f>
        <v>310141.98962847207</v>
      </c>
      <c r="AX28" s="32">
        <v>0</v>
      </c>
      <c r="AY28" s="32">
        <f t="shared" si="211"/>
        <v>310141.98962847207</v>
      </c>
      <c r="AZ28" s="32">
        <f>AZ27*(1+InputData!$C$8)</f>
        <v>17415.006291387122</v>
      </c>
      <c r="BA28" s="32">
        <f>AW28/((1+InputData!$C$3)^(IntMed!$B28-IntMed!$B$7))</f>
        <v>204624.18452260617</v>
      </c>
      <c r="BB28" s="32">
        <f>AX28/((1+InputData!$C$3)^(IntMed!$B28-IntMed!$B$7))</f>
        <v>0</v>
      </c>
      <c r="BC28" s="32" t="s">
        <v>141</v>
      </c>
      <c r="BD28" s="32">
        <v>0</v>
      </c>
      <c r="BE28" s="32">
        <f t="shared" si="174"/>
        <v>0</v>
      </c>
      <c r="BF28" s="32">
        <f>(BE28)*InputData!$C$6</f>
        <v>0</v>
      </c>
      <c r="BG28" s="32">
        <f>MIN($BE$14*InputData!$C$6/(1-(1+InputData!$C$6)^(-10)), BE28+BF28)</f>
        <v>0</v>
      </c>
      <c r="BH28" s="32">
        <f t="shared" si="157"/>
        <v>0</v>
      </c>
      <c r="BI28" s="32">
        <f>BG28/((1+InputData!$C$3)^(IntMed!$B28-IntMed!$B$7))</f>
        <v>0</v>
      </c>
      <c r="BJ28" s="32">
        <f>IF(BA28-InputData!$C$158-InputData!$C$159&gt;=0,BA28-InputData!$C$158-InputData!$C$159,0)</f>
        <v>204624.18452260617</v>
      </c>
      <c r="BK28" s="32">
        <f>IF(BA28-IF(BA28&lt;=InputData!$C$146,InputData!$C$145,0)-MAX(InputData!$C$144,BQ28)&gt;=0,BA28-IF(BA28&lt;=InputData!$C$146,InputData!$C$145,0)-MAX(InputData!$C$144,BQ28),0)</f>
        <v>198524.18452260617</v>
      </c>
      <c r="BL28" s="32">
        <f>IF(BK28&lt;0,"Error",IF(BK28&lt;=InputData!$B$170,InputData!$C$170*BK28,IF(BK28&lt;=InputData!$B$171,InputData!$D$170+InputData!$C$171*(BK28-InputData!$B$170),IF(BK28&lt;=InputData!$B$172,InputData!$D$171+InputData!$C$172*(BK28-InputData!$B$171),IF(BK28&lt;=InputData!$B$173,InputData!$D$172+InputData!$C$173*(BK28-InputData!$B$172),IF(BK28&lt;=InputData!$B$174,InputData!$D$173+InputData!$C$174*(BK28-InputData!$B$173),IF(BK28&lt;=InputData!$B$175,InputData!$D$174+InputData!$C$175*(BK28-InputData!$B$174),InputData!$D$175+InputData!$C$176*(BK28-InputData!$B$175))))))))</f>
        <v>49643.730892460037</v>
      </c>
      <c r="BM28" s="32">
        <f>IF(BA28&lt;=InputData!$C$150,InputData!$C$152,IF(BA28&lt;InputData!$C$151,IF(InputData!$C$152-0.25*IF(BA28-InputData!$C$150&lt;=0,0,BA28-InputData!$C$150)&lt;=0,0,InputData!$C$152-0.25*IF(BA28-InputData!$C$150&lt;=0,0,BA28-InputData!$C$150)),0))</f>
        <v>29593.953869348457</v>
      </c>
      <c r="BN28" s="32">
        <f>IF(BA28-BM28&lt;=0,0,IF(BA28-BM28&lt;=InputData!$C$153,InputData!$C$154*(BA28-BM28),InputData!$C$155*(BA28-BM28)-InputData!$D$154))</f>
        <v>45507.859969847006</v>
      </c>
      <c r="BO28" s="32">
        <f t="shared" si="51"/>
        <v>49643.730892460037</v>
      </c>
      <c r="BP28" s="32">
        <f>IF(BA28&gt;=0,IF(BA28&lt;=InputData!$C$148,InputData!$C$147*BA28,InputData!$C$147*InputData!$C$148)+InputData!$C$149*BA28,0)</f>
        <v>10016.450675577789</v>
      </c>
      <c r="BQ28" s="32">
        <f>IF(BJ28&lt;0,0,IF(BJ28&lt;=InputData!$B$163,InputData!$C$163*BJ28,IF(BJ28&lt;=InputData!$B$164,InputData!$D$163+InputData!$C$164*(BJ28-InputData!$B$163),IF(BJ28&lt;=InputData!$B$165,InputData!$D$164+InputData!$C$165*(BJ28-InputData!$B$164),InputData!$D$165+InputData!$C$166*(BJ28-InputData!$B$165)))))</f>
        <v>0</v>
      </c>
      <c r="BR28" s="43">
        <f t="shared" si="52"/>
        <v>0.29155977680363965</v>
      </c>
      <c r="BS28" s="32">
        <f t="shared" si="53"/>
        <v>144964.00295456834</v>
      </c>
      <c r="BT28" s="32">
        <f t="shared" si="54"/>
        <v>144964.00295456834</v>
      </c>
      <c r="BU28" s="32">
        <f>BT28/((1+InputData!$C$7)^(IntMed!$B28-IntMed!$B$7))</f>
        <v>77925.294821107498</v>
      </c>
      <c r="BV28" s="5">
        <f t="shared" si="130"/>
        <v>1077994.3063673258</v>
      </c>
      <c r="BW28" s="5"/>
      <c r="BX28" s="32" t="s">
        <v>141</v>
      </c>
      <c r="BY28" s="5">
        <f t="shared" si="175"/>
        <v>152788.20728918415</v>
      </c>
      <c r="BZ28" s="32">
        <f>(BY28)*InputData!$C$6</f>
        <v>9488.1476726583369</v>
      </c>
      <c r="CA28" s="32">
        <f>MIN($BY$14*InputData!$C$6/(1-(1+InputData!$C$6)^(-25)), BY28+BZ28)</f>
        <v>19581.069601718285</v>
      </c>
      <c r="CB28" s="32">
        <f t="shared" si="176"/>
        <v>142695.28536012422</v>
      </c>
      <c r="CC28" s="32">
        <f>CA28/((1+InputData!$C$3)^(IntMed!$B28-IntMed!$B$7))</f>
        <v>12919.116189754923</v>
      </c>
      <c r="CD28" s="5">
        <f t="shared" si="58"/>
        <v>132044.88676481342</v>
      </c>
      <c r="CE28" s="32">
        <f>CD28/((1+InputData!$C$7)^(IntMed!$B28-IntMed!$B$7))</f>
        <v>70980.633267919693</v>
      </c>
      <c r="CF28" s="5">
        <f t="shared" si="131"/>
        <v>1120264.1486857776</v>
      </c>
      <c r="CG28" s="5"/>
      <c r="CH28" s="32" t="s">
        <v>141</v>
      </c>
      <c r="CI28" s="5">
        <f t="shared" si="177"/>
        <v>0</v>
      </c>
      <c r="CJ28" s="32">
        <f>(CI28)*InputData!$C$6</f>
        <v>0</v>
      </c>
      <c r="CK28" s="32">
        <f t="shared" si="170"/>
        <v>0</v>
      </c>
      <c r="CL28" s="32">
        <f t="shared" si="178"/>
        <v>0</v>
      </c>
      <c r="CM28" s="32">
        <f>CK28/((1+InputData!$C$3)^(IntMed!$B28-IntMed!$B$7))</f>
        <v>0</v>
      </c>
      <c r="CN28" s="5">
        <f t="shared" si="62"/>
        <v>144964.00295456834</v>
      </c>
      <c r="CO28" s="32">
        <f>CN28/((1+InputData!$C$7)^(IntMed!$B28-IntMed!$B$7))</f>
        <v>77925.294821107498</v>
      </c>
      <c r="CP28" s="5">
        <f t="shared" si="132"/>
        <v>1076620.8706943886</v>
      </c>
      <c r="CQ28" s="5"/>
      <c r="CR28" s="32" t="s">
        <v>141</v>
      </c>
      <c r="CS28" s="5">
        <f t="shared" si="179"/>
        <v>99093.009703827396</v>
      </c>
      <c r="CT28" s="32">
        <f>(CS28)*InputData!$C$6</f>
        <v>6153.6759026076816</v>
      </c>
      <c r="CU28" s="32">
        <f t="shared" si="171"/>
        <v>28401.948019139138</v>
      </c>
      <c r="CV28" s="32">
        <f t="shared" si="180"/>
        <v>76844.737587295938</v>
      </c>
      <c r="CW28" s="32">
        <f>CU28/((1+InputData!$C$3)^(IntMed!$B28-IntMed!$B$7))</f>
        <v>18738.918452260616</v>
      </c>
      <c r="CX28" s="5">
        <f t="shared" si="66"/>
        <v>126225.08450230773</v>
      </c>
      <c r="CY28" s="32">
        <f>CX28/((1+InputData!$C$7)^(IntMed!$B28-IntMed!$B$7))</f>
        <v>67852.202775775833</v>
      </c>
      <c r="CZ28" s="5">
        <f t="shared" si="133"/>
        <v>1097809.7925150397</v>
      </c>
      <c r="DA28" s="5"/>
      <c r="DB28" s="32" t="s">
        <v>141</v>
      </c>
      <c r="DC28" s="5">
        <f t="shared" si="158"/>
        <v>0</v>
      </c>
      <c r="DD28" s="5">
        <f>DC28*InputData!$C$6</f>
        <v>0</v>
      </c>
      <c r="DE28" s="32">
        <f t="shared" si="159"/>
        <v>0</v>
      </c>
      <c r="DF28" s="32">
        <f t="shared" si="160"/>
        <v>0</v>
      </c>
      <c r="DG28" s="32">
        <f>DE28/((1+InputData!$C$3)^(IntMed!$B28-IntMed!$B$7))</f>
        <v>0</v>
      </c>
      <c r="DH28" s="5">
        <f t="shared" si="70"/>
        <v>144964.00295456834</v>
      </c>
      <c r="DI28" s="32">
        <f>DH28/((1+InputData!$C$7)^(IntMed!$B28-IntMed!$B$7))</f>
        <v>77925.294821107498</v>
      </c>
      <c r="DJ28" s="5">
        <f t="shared" si="134"/>
        <v>1081927.0779476722</v>
      </c>
      <c r="DK28" s="5"/>
      <c r="DL28" s="32" t="s">
        <v>141</v>
      </c>
      <c r="DM28" s="32">
        <f t="shared" si="181"/>
        <v>0</v>
      </c>
      <c r="DN28" s="5">
        <f>DM28*InputData!$C$6</f>
        <v>0</v>
      </c>
      <c r="DO28" s="32">
        <f t="shared" si="182"/>
        <v>0</v>
      </c>
      <c r="DP28" s="32">
        <f t="shared" si="150"/>
        <v>0</v>
      </c>
      <c r="DQ28" s="32">
        <f t="shared" si="151"/>
        <v>0</v>
      </c>
      <c r="DR28" s="32">
        <f>DP28/((1+InputData!$C$3)^(IntMed!$B28-IntMed!$B$7))</f>
        <v>0</v>
      </c>
      <c r="DS28" s="5">
        <f t="shared" si="74"/>
        <v>144964.00295456834</v>
      </c>
      <c r="DT28" s="32">
        <f>DS28/((1+InputData!$C$7)^(IntMed!$B28-IntMed!$B$7))</f>
        <v>77925.294821107498</v>
      </c>
      <c r="DU28" s="5">
        <f t="shared" si="136"/>
        <v>1077926.9077587428</v>
      </c>
      <c r="DV28" s="5"/>
      <c r="DW28" s="32" t="s">
        <v>141</v>
      </c>
      <c r="DX28" s="133">
        <f t="shared" si="161"/>
        <v>65547.975599561469</v>
      </c>
      <c r="DY28" s="5">
        <f>DX28*InputData!$C$6</f>
        <v>4070.5292847327673</v>
      </c>
      <c r="DZ28" s="133">
        <f t="shared" si="162"/>
        <v>0</v>
      </c>
      <c r="EA28" s="32">
        <f t="shared" si="163"/>
        <v>28401.948019139138</v>
      </c>
      <c r="EB28" s="32">
        <f t="shared" si="164"/>
        <v>41216.5568651551</v>
      </c>
      <c r="EC28" s="32">
        <f>EA28/((1+InputData!$C$3)^(IntMed!$B28-IntMed!$B$7))</f>
        <v>18738.918452260616</v>
      </c>
      <c r="ED28" s="5">
        <f t="shared" si="78"/>
        <v>126225.08450230773</v>
      </c>
      <c r="EE28" s="32">
        <f>ED28/((1+InputData!$C$7)^(IntMed!$B28-IntMed!$B$7))</f>
        <v>67852.202775775833</v>
      </c>
      <c r="EF28" s="5">
        <f t="shared" si="138"/>
        <v>1088766.7532171416</v>
      </c>
      <c r="EG28" s="32"/>
      <c r="EH28" s="130" t="s">
        <v>141</v>
      </c>
      <c r="EI28" s="32">
        <v>0</v>
      </c>
      <c r="EJ28" s="32">
        <f t="shared" si="212"/>
        <v>106395.32640004321</v>
      </c>
      <c r="EK28" s="32">
        <f>EJ28*InputData!$C$6</f>
        <v>6607.1497694426835</v>
      </c>
      <c r="EL28" s="32">
        <f t="shared" si="213"/>
        <v>84600.528150346814</v>
      </c>
      <c r="EM28" s="32">
        <f>EM27*(1+InputData!$C$8)</f>
        <v>17415.006291387122</v>
      </c>
      <c r="EN28" s="32">
        <f t="shared" si="172"/>
        <v>28401.948019139138</v>
      </c>
      <c r="EO28" s="32">
        <f>AW28/((1+InputData!$C$3)^(IntMed!$B28-IntMed!$B$7))</f>
        <v>204624.18452260617</v>
      </c>
      <c r="EP28" s="32">
        <f>AX28/((1+InputData!$C$3)^(IntMed!$B28-IntMed!$B$7))</f>
        <v>0</v>
      </c>
      <c r="EQ28" s="32">
        <v>49403.93</v>
      </c>
      <c r="ER28" s="32">
        <v>8717.1849999999995</v>
      </c>
      <c r="ES28" s="32">
        <v>0</v>
      </c>
      <c r="ET28" s="42">
        <f t="shared" si="214"/>
        <v>0.2840383463743455</v>
      </c>
      <c r="EU28" s="32">
        <f t="shared" si="215"/>
        <v>146503.06952260618</v>
      </c>
      <c r="EV28" s="32">
        <f>EN28/((1+InputData!$C$3)^(IntMed!$B28-IntMed!$B$7))</f>
        <v>18738.918452260616</v>
      </c>
      <c r="EW28" s="32">
        <f t="shared" si="216"/>
        <v>127764.15107034557</v>
      </c>
      <c r="EX28" s="32">
        <f>EW28/((1+InputData!$C$7)^(IntMed!$B28-IntMed!$B$7))</f>
        <v>68679.52689500041</v>
      </c>
      <c r="EY28" s="5">
        <f t="shared" si="217"/>
        <v>1115085.408410243</v>
      </c>
      <c r="EZ28" s="79"/>
      <c r="FA28" s="32">
        <f t="shared" si="203"/>
        <v>0</v>
      </c>
      <c r="FB28" s="32">
        <f>FA28*InputData!$C$6</f>
        <v>0</v>
      </c>
      <c r="FC28" s="32">
        <f t="shared" si="204"/>
        <v>0</v>
      </c>
      <c r="FD28" s="53">
        <f>MIN($EJ$14*InputData!$C$6/(1-(1+InputData!$C$6)^(-10)), FA28+FB28)</f>
        <v>0</v>
      </c>
      <c r="FE28" s="32">
        <f>FD28/((1+InputData!$C$3)^(IntMed!$B28-IntMed!$B$7))</f>
        <v>0</v>
      </c>
      <c r="FF28" s="5">
        <f t="shared" si="84"/>
        <v>146503.06952260618</v>
      </c>
      <c r="FG28" s="32">
        <f>FF28/((1+InputData!$C$7)^(IntMed!$B28-IntMed!$B$7))</f>
        <v>78752.61894033209</v>
      </c>
      <c r="FH28" s="5">
        <f t="shared" si="140"/>
        <v>1092801.6233869339</v>
      </c>
      <c r="FI28" s="79"/>
      <c r="FJ28" s="32">
        <f t="shared" si="185"/>
        <v>154744.21770475418</v>
      </c>
      <c r="FK28" s="32">
        <f>FJ28*InputData!$C$6</f>
        <v>9609.6159194652355</v>
      </c>
      <c r="FL28" s="32">
        <f t="shared" si="186"/>
        <v>144522.08514637247</v>
      </c>
      <c r="FM28" s="53">
        <f>MIN($EJ$14*InputData!$C$6/(1-(1+InputData!$C$6)^(-25)), FJ28+FK28)</f>
        <v>19831.748477846937</v>
      </c>
      <c r="FN28" s="32">
        <f>FM28/((1+InputData!$C$3)^(IntMed!$B28-IntMed!$B$7))</f>
        <v>13084.508050000342</v>
      </c>
      <c r="FO28" s="5">
        <f t="shared" si="88"/>
        <v>133418.56147260583</v>
      </c>
      <c r="FP28" s="32">
        <f>FO28/((1+InputData!$C$7)^(IntMed!$B28-IntMed!$B$7))</f>
        <v>71719.051112428089</v>
      </c>
      <c r="FQ28" s="5">
        <f t="shared" si="141"/>
        <v>1135612.6085940045</v>
      </c>
      <c r="FR28" s="79"/>
      <c r="FS28" s="32">
        <f t="shared" si="187"/>
        <v>0</v>
      </c>
      <c r="FT28" s="32">
        <f>FS28*InputData!$C$6</f>
        <v>0</v>
      </c>
      <c r="FU28" s="32">
        <f t="shared" si="188"/>
        <v>0</v>
      </c>
      <c r="FV28" s="5">
        <f t="shared" si="173"/>
        <v>0</v>
      </c>
      <c r="FW28" s="32">
        <f>FV28/((1+InputData!$C$3)^(IntMed!$B28-IntMed!$B$7))</f>
        <v>0</v>
      </c>
      <c r="FX28" s="5">
        <f t="shared" si="92"/>
        <v>146503.06952260618</v>
      </c>
      <c r="FY28" s="32">
        <f>FX28/((1+InputData!$C$7)^(IntMed!$B28-IntMed!$B$7))</f>
        <v>78752.61894033209</v>
      </c>
      <c r="FZ28" s="5">
        <f t="shared" si="142"/>
        <v>1091256.9741102555</v>
      </c>
      <c r="GC28" s="3">
        <f t="shared" si="3"/>
        <v>18</v>
      </c>
      <c r="GD28" s="4" t="str">
        <f t="shared" si="4"/>
        <v>Multi-Year (O5&gt;16 = (BP+BAH+BAS+VSP+BCPSP)*12+ASP+ISP+MSP)</v>
      </c>
      <c r="GE28" s="46"/>
      <c r="GF28" s="46"/>
      <c r="GG28" s="46"/>
      <c r="GH28" s="46"/>
      <c r="GI28" s="5">
        <f t="shared" si="5"/>
        <v>178741.12</v>
      </c>
      <c r="GJ28" s="5">
        <f t="shared" si="6"/>
        <v>21019.199999999997</v>
      </c>
      <c r="GK28" s="5">
        <f t="shared" si="7"/>
        <v>199760.32</v>
      </c>
      <c r="GL28" s="5">
        <f t="shared" si="8"/>
        <v>145334.83347672169</v>
      </c>
      <c r="GM28" s="5">
        <f t="shared" si="9"/>
        <v>17090.761945622296</v>
      </c>
      <c r="GN28" s="32">
        <f>IF(GL28-InputData!$C$158-InputData!$C$159&gt;=0,GL28-InputData!$C$158-InputData!$C$159,0)</f>
        <v>145334.83347672169</v>
      </c>
      <c r="GO28" s="32">
        <f>IF(GL28-IF(GL28&lt;=InputData!$C$146,InputData!$C$145,0)-MAX(InputData!$C$144,GU28)&gt;=0,GL28-IF(GL28&lt;=InputData!$C$146,InputData!$C$145,0)-MAX(InputData!$C$144,GU28),0)</f>
        <v>135334.83347672169</v>
      </c>
      <c r="GP28" s="32">
        <f>IF(GO28&lt;0,"Error",IF(GO28&lt;=InputData!$B$170,InputData!$C$170*GO28,IF(GO28&lt;=InputData!$B$171,InputData!$D$170+InputData!$C$171*(GO28-InputData!$B$170),IF(GO28&lt;=InputData!$B$172,InputData!$D$171+InputData!$C$172*(GO28-InputData!$B$171),IF(GO28&lt;=InputData!$B$173,InputData!$D$172+InputData!$C$173*(GO28-InputData!$B$172),IF(GO28&lt;=InputData!$B$174,InputData!$D$173+InputData!$C$174*(GO28-InputData!$B$173),IF(GO28&lt;=InputData!$B$175,InputData!$D$174+InputData!$C$175*(GO28-InputData!$B$174),InputData!$D$175+InputData!$C$176*(GO28-InputData!$B$175))))))))</f>
        <v>31187.003373482075</v>
      </c>
      <c r="GQ28" s="32">
        <f>IF(GL28&lt;=InputData!$C$150,InputData!$C$152,IF(GL28&lt;InputData!$C$151,IF(InputData!$C$152-0.25*IF(GL28-InputData!$C$150&lt;=0,0,GL28-InputData!$C$150)&lt;=0,0,InputData!$C$152-0.25*IF(GL28-InputData!$C$150&lt;=0,0,GL28-InputData!$C$150)),0))</f>
        <v>44416.291630819578</v>
      </c>
      <c r="GR28" s="32">
        <f>IF(GL28-GQ28&lt;=0,0,IF(GL28-GQ28&lt;=InputData!$C$153,InputData!$C$154*(GL28-GQ28),InputData!$C$155*(GL28-GQ28)-InputData!$D$154))</f>
        <v>26238.820879934548</v>
      </c>
      <c r="GS28" s="32">
        <f t="shared" si="93"/>
        <v>31187.003373482075</v>
      </c>
      <c r="GT28" s="32">
        <f>IF(GL28&gt;=0,IF(GL28&lt;=InputData!$C$148,InputData!$C$147*GL28,InputData!$C$147*InputData!$C$148)+InputData!$C$149*GL28,0)</f>
        <v>9156.7550854124638</v>
      </c>
      <c r="GU28" s="32">
        <f>IF(GN28&lt;0,0,IF(GN28&lt;=InputData!$B$163,InputData!$C$163*GN28,IF(GN28&lt;=InputData!$B$164,InputData!$D$163+InputData!$C$164*(GN28-InputData!$B$163),IF(GN28&lt;=InputData!$B$165,InputData!$D$164+InputData!$C$165*(GN28-InputData!$B$164),InputData!$D$165+InputData!$C$166*(GN28-InputData!$B$165)))))</f>
        <v>0</v>
      </c>
      <c r="GV28" s="43">
        <f t="shared" si="10"/>
        <v>0.27759180296825681</v>
      </c>
      <c r="GW28" s="43">
        <f t="shared" si="11"/>
        <v>0.24838301102724275</v>
      </c>
      <c r="GX28" s="5">
        <f t="shared" si="12"/>
        <v>122081.83696344943</v>
      </c>
      <c r="GY28" s="32">
        <f>GX28/((1+InputData!$C$7)^(IntMed!$B28-IntMed!$B$7))</f>
        <v>65625.003061350537</v>
      </c>
      <c r="GZ28" s="32">
        <f t="shared" si="94"/>
        <v>1367895.4297844293</v>
      </c>
      <c r="HB28" s="3">
        <f t="shared" si="13"/>
        <v>18</v>
      </c>
      <c r="HC28" s="122" t="str">
        <f t="shared" si="195"/>
        <v>Multi-Year (O5&gt;16 = (BP+BAH+BAS+VSP+BCPSP)*12+ASP+ISP+MSP)</v>
      </c>
      <c r="HD28" s="4"/>
      <c r="HE28" s="4"/>
      <c r="HF28" s="4"/>
      <c r="HG28" s="4"/>
      <c r="HH28" s="5">
        <f t="shared" si="196"/>
        <v>178741.12</v>
      </c>
      <c r="HI28" s="5">
        <f t="shared" si="197"/>
        <v>21019.199999999997</v>
      </c>
      <c r="HJ28" s="5">
        <f t="shared" si="198"/>
        <v>199760.32</v>
      </c>
      <c r="HK28" s="5">
        <f t="shared" si="199"/>
        <v>145334.83347672169</v>
      </c>
      <c r="HL28" s="5">
        <f t="shared" si="200"/>
        <v>17090.761945622296</v>
      </c>
      <c r="HM28" s="32">
        <f>IF(HK28-InputData!$C$158-InputData!$C$159&gt;=0,HK28-InputData!$C$158-InputData!$C$159,0)</f>
        <v>145334.83347672169</v>
      </c>
      <c r="HN28" s="32">
        <f>IF(HK28-IF(HK28&lt;=InputData!$C$146,InputData!$C$145,0)-MAX(InputData!$C$144,HT28)&gt;=0,HK28-IF(HK28&lt;=InputData!$C$146,InputData!$C$145,0)-MAX(InputData!$C$144,HT28),0)</f>
        <v>135334.83347672169</v>
      </c>
      <c r="HO28" s="32">
        <f>IF(HN28&lt;0,"Error",IF(HN28&lt;=InputData!$B$170,InputData!$C$170*HN28,IF(HN28&lt;=InputData!$B$171,InputData!$D$170+InputData!$C$171*(HN28-InputData!$B$170),IF(HN28&lt;=InputData!$B$172,InputData!$D$171+InputData!$C$172*(HN28-InputData!$B$171),IF(HN28&lt;=InputData!$B$173,InputData!$D$172+InputData!$C$173*(HN28-InputData!$B$172),IF(HN28&lt;=InputData!$B$174,InputData!$D$173+InputData!$C$174*(HN28-InputData!$B$173),IF(HN28&lt;=InputData!$B$175,InputData!$D$174+InputData!$C$175*(HN28-InputData!$B$174),InputData!$D$175+InputData!$C$176*(HN28-InputData!$B$175))))))))</f>
        <v>31187.003373482075</v>
      </c>
      <c r="HP28" s="32">
        <f>IF(HK28&lt;=InputData!$C$150,InputData!$C$152,IF(HK28&lt;InputData!$C$151,IF(InputData!$C$152-0.25*IF(HK28-InputData!$C$150&lt;=0,0,HK28-InputData!$C$150)&lt;=0,0,InputData!$C$152-0.25*IF(HK28-InputData!$C$150&lt;=0,0,HK28-InputData!$C$150)),0))</f>
        <v>44416.291630819578</v>
      </c>
      <c r="HQ28" s="32">
        <f>IF(HK28-HP28&lt;=0,0,IF(HK28-HP28&lt;=InputData!$C$153,InputData!$C$154*(HK28-HP28),InputData!$C$155*(HK28-HP28)-InputData!$D$154))</f>
        <v>26238.820879934548</v>
      </c>
      <c r="HR28" s="32">
        <f t="shared" si="95"/>
        <v>31187.003373482075</v>
      </c>
      <c r="HS28" s="32">
        <f>IF(HK28&gt;=0,IF(HK28&lt;=InputData!$C$148,InputData!$C$147*HK28,InputData!$C$147*InputData!$C$148)+InputData!$C$149*HK28,0)</f>
        <v>9156.7550854124638</v>
      </c>
      <c r="HT28" s="32">
        <f>IF(HM28&lt;0,0,IF(HM28&lt;=InputData!$B$163,InputData!$C$163*HM28,IF(HM28&lt;=InputData!$B$164,InputData!$D$163+InputData!$C$164*(HM28-InputData!$B$163),IF(HM28&lt;=InputData!$B$165,InputData!$D$164+InputData!$C$165*(HM28-InputData!$B$164),InputData!$D$165+InputData!$C$166*(HM28-InputData!$B$165)))))</f>
        <v>0</v>
      </c>
      <c r="HU28" s="43">
        <f t="shared" si="96"/>
        <v>0.27759180296825681</v>
      </c>
      <c r="HV28" s="43">
        <f t="shared" si="97"/>
        <v>0.24838301102724275</v>
      </c>
      <c r="HW28" s="5">
        <f t="shared" si="98"/>
        <v>122081.83696344943</v>
      </c>
      <c r="HX28" s="32">
        <f>HW28/((1+InputData!$C$7)^(IntMed!$B28-IntMed!$B$7))</f>
        <v>65625.003061350537</v>
      </c>
      <c r="HY28" s="32">
        <f t="shared" si="99"/>
        <v>1345743.6123766056</v>
      </c>
      <c r="IA28" s="41"/>
      <c r="IB28" s="4" t="s">
        <v>109</v>
      </c>
      <c r="IC28" s="32">
        <f>MIN(InputData!$C$13+InputData!$E$13*($B28-$B$21),1)*IntMed!AW28</f>
        <v>279127.7906656249</v>
      </c>
      <c r="ID28" s="32">
        <f>MIN(InputData!$C$13+InputData!$E$13*($B28-$B$21),1)*IntMed!AX28</f>
        <v>0</v>
      </c>
      <c r="IE28" s="32">
        <f>MIN(InputData!$C$13+InputData!$E$13*($B28-$B$21),1)*IntMed!AY28</f>
        <v>279127.7906656249</v>
      </c>
      <c r="IF28" s="32">
        <f>MIN(InputData!$C$13+InputData!$E$13*($B28-$B$21),1)*IntMed!EO28</f>
        <v>184161.76607034556</v>
      </c>
      <c r="IG28" s="32">
        <f>MIN(InputData!$C$13+InputData!$E$13*($B28-$B$21),1)*IntMed!EP28</f>
        <v>0</v>
      </c>
      <c r="IH28" s="32">
        <f>IF(IF28-InputData!$C$158-InputData!$C$159&gt;=0,IF28-InputData!$C$158-InputData!$C$159,0)</f>
        <v>184161.76607034556</v>
      </c>
      <c r="II28" s="32">
        <f>IF(IF28-IF(IF28&lt;=InputData!$C$146,InputData!$C$145,0)-MAX(InputData!$C$144,IO28)&gt;=0,IF28-IF(IF28&lt;=InputData!$C$146,InputData!$C$145,0)-MAX(InputData!$C$144,IO28),0)</f>
        <v>178061.76607034556</v>
      </c>
      <c r="IJ28" s="32">
        <f>IF(II28&lt;0,"Error",IF(II28&lt;=InputData!$B$170,InputData!$C$170*II28,IF(II28&lt;=InputData!$B$171,InputData!$D$170+InputData!$C$171*(II28-InputData!$B$170),IF(II28&lt;=InputData!$B$172,InputData!$D$171+InputData!$C$172*(II28-InputData!$B$171),IF(II28&lt;=InputData!$B$173,InputData!$D$172+InputData!$C$173*(II28-InputData!$B$172),IF(II28&lt;=InputData!$B$174,InputData!$D$173+InputData!$C$174*(II28-InputData!$B$173),IF(II28&lt;=InputData!$B$175,InputData!$D$174+InputData!$C$175*(II28-InputData!$B$174),InputData!$D$175+InputData!$C$176*(II28-InputData!$B$175))))))))</f>
        <v>43150.544499696756</v>
      </c>
      <c r="IK28" s="32">
        <f>IF(IF28&lt;=InputData!$C$150,InputData!$C$152,IF(IF28&lt;InputData!$C$151,IF(InputData!$C$152-0.25*IF(IF28-InputData!$C$150&lt;=0,0,IF28-InputData!$C$150)&lt;=0,0,InputData!$C$152-0.25*IF(IF28-InputData!$C$150&lt;=0,0,IF28-InputData!$C$150)),0))</f>
        <v>34709.558482413609</v>
      </c>
      <c r="IL28" s="32">
        <f>IF(IF28-IK28&lt;=0,0,IF(IF28-IK28&lt;=InputData!$C$153,InputData!$C$154*(IF28-IK28),InputData!$C$155*(IF28-IK28)-InputData!$D$154))</f>
        <v>38857.573972862308</v>
      </c>
      <c r="IM28" s="32">
        <f t="shared" si="100"/>
        <v>43150.544499696756</v>
      </c>
      <c r="IN28" s="32">
        <f>IF(IF28&gt;=0,IF(IF28&lt;=InputData!$C$148,InputData!$C$147*IF28,InputData!$C$147*InputData!$C$148)+InputData!$C$149*IF28,0)</f>
        <v>9719.74560802001</v>
      </c>
      <c r="IO28" s="32">
        <f>IF(IH28&lt;0,0,IF(IH28&lt;=InputData!$B$163,InputData!$C$163*IH28,IF(IH28&lt;=InputData!$B$164,InputData!$D$163+InputData!$C$164*(IH28-InputData!$B$163),IF(IH28&lt;=InputData!$B$165,InputData!$D$164+InputData!$C$165*(IH28-InputData!$B$164),InputData!$D$165+InputData!$C$166*(IH28-InputData!$B$165)))))</f>
        <v>0</v>
      </c>
      <c r="IP28" s="43">
        <f t="shared" si="101"/>
        <v>0.28708613756191675</v>
      </c>
      <c r="IQ28" s="43">
        <f t="shared" si="102"/>
        <v>0.28708613756191675</v>
      </c>
      <c r="IR28" s="5">
        <f t="shared" si="27"/>
        <v>131291.47596262879</v>
      </c>
      <c r="IS28" s="32">
        <f>IR28/((1+InputData!$C$7)^(IntMed!$B28-IntMed!$B$7))</f>
        <v>70575.637836743277</v>
      </c>
      <c r="IT28" s="5">
        <f t="shared" si="103"/>
        <v>1392981.9998370076</v>
      </c>
      <c r="IV28" s="41"/>
      <c r="IW28" s="49" t="s">
        <v>109</v>
      </c>
      <c r="IX28" s="32">
        <f>MIN(InputData!$C$13+InputData!$E$13*($B28-$B$18),1)*IntMed!AW28</f>
        <v>279127.7906656249</v>
      </c>
      <c r="IY28" s="32">
        <f>MIN(InputData!$C$13+InputData!$E$13*($B28-$B$18),1)*IntMed!AX28</f>
        <v>0</v>
      </c>
      <c r="IZ28" s="32">
        <f>MIN(InputData!$C$13+InputData!$E$13*($B28-$B$18),1)*IntMed!AY28</f>
        <v>279127.7906656249</v>
      </c>
      <c r="JA28" s="32">
        <f>MIN(InputData!$C$13+InputData!$E$13*($B28-$B$18),1)*IntMed!EO28</f>
        <v>184161.76607034556</v>
      </c>
      <c r="JB28" s="32">
        <f>MIN(InputData!$C$13+InputData!$E$13*($B28-$B$18),1)*IntMed!EP28</f>
        <v>0</v>
      </c>
      <c r="JC28" s="32">
        <f>IF(JA28-InputData!$C$158-InputData!$C$159&gt;=0,JA28-InputData!$C$158-InputData!$C$159,0)</f>
        <v>184161.76607034556</v>
      </c>
      <c r="JD28" s="32">
        <f>IF(JA28-IF(JA28&lt;=InputData!$C$146,InputData!$C$145,0)-MAX(InputData!$C$144,JJ28)&gt;=0,JA28-IF(JA28&lt;=InputData!$C$146,InputData!$C$145,0)-MAX(InputData!$C$144,JJ28),0)</f>
        <v>178061.76607034556</v>
      </c>
      <c r="JE28" s="32">
        <f>IF(JD28&lt;0,"Error",IF(JD28&lt;=InputData!$B$170,InputData!$C$170*JD28,IF(JD28&lt;=InputData!$B$171,InputData!$D$170+InputData!$C$171*(JD28-InputData!$B$170),IF(JD28&lt;=InputData!$B$172,InputData!$D$171+InputData!$C$172*(JD28-InputData!$B$171),IF(JD28&lt;=InputData!$B$173,InputData!$D$172+InputData!$C$173*(JD28-InputData!$B$172),IF(JD28&lt;=InputData!$B$174,InputData!$D$173+InputData!$C$174*(JD28-InputData!$B$173),IF(JD28&lt;=InputData!$B$175,InputData!$D$174+InputData!$C$175*(JD28-InputData!$B$174),InputData!$D$175+InputData!$C$176*(JD28-InputData!$B$175))))))))</f>
        <v>43150.544499696756</v>
      </c>
      <c r="JF28" s="32">
        <f>IF(JA28&lt;=InputData!$C$150,InputData!$C$152,IF(JA28&lt;InputData!$C$151,IF(InputData!$C$152-0.25*IF(JA28-InputData!$C$150&lt;=0,0,JA28-InputData!$C$150)&lt;=0,0,InputData!$C$152-0.25*IF(JA28-InputData!$C$150&lt;=0,0,JA28-InputData!$C$150)),0))</f>
        <v>34709.558482413609</v>
      </c>
      <c r="JG28" s="32">
        <f>IF(JA28-JF28&lt;=0,0,IF(JA28-JF28&lt;=InputData!$C$153,InputData!$C$154*(JA28-JF28),InputData!$C$155*(JA28-JF28)-InputData!$D$154))</f>
        <v>38857.573972862308</v>
      </c>
      <c r="JH28" s="32">
        <f t="shared" si="104"/>
        <v>43150.544499696756</v>
      </c>
      <c r="JI28" s="32">
        <f>IF(JA28&gt;=0,IF(JA28&lt;=InputData!$C$148,InputData!$C$147*JA28,InputData!$C$147*InputData!$C$148)+InputData!$C$149*JA28,0)</f>
        <v>9719.74560802001</v>
      </c>
      <c r="JJ28" s="32">
        <f>IF(JC28&lt;0,0,IF(JC28&lt;=InputData!$B$163,InputData!$C$163*JC28,IF(JC28&lt;=InputData!$B$164,InputData!$D$163+InputData!$C$164*(JC28-InputData!$B$163),IF(JC28&lt;=InputData!$B$165,InputData!$D$164+InputData!$C$165*(JC28-InputData!$B$164),InputData!$D$165+InputData!$C$166*(JC28-InputData!$B$165)))))</f>
        <v>0</v>
      </c>
      <c r="JK28" s="42">
        <f t="shared" si="105"/>
        <v>0.28708613756191675</v>
      </c>
      <c r="JL28" s="42">
        <f t="shared" si="106"/>
        <v>0.28708613756191675</v>
      </c>
      <c r="JM28" s="32">
        <f t="shared" si="35"/>
        <v>131291.47596262879</v>
      </c>
      <c r="JN28" s="32">
        <f>JM28/((1+InputData!$C$7)^(IntMed!$B28-IntMed!$B$7))</f>
        <v>70575.637836743277</v>
      </c>
      <c r="JO28" s="32">
        <f t="shared" si="107"/>
        <v>1374333.7383846033</v>
      </c>
      <c r="JQ28" s="41" t="s">
        <v>109</v>
      </c>
      <c r="JR28" s="32">
        <f>$JR$14*(1+InputData!$C$3+InputData!$C$4)^(IntMed!$B28-IntMed!$B$14)</f>
        <v>243248.61931644872</v>
      </c>
      <c r="JS28" s="32">
        <v>0</v>
      </c>
      <c r="JT28" s="32">
        <f t="shared" si="108"/>
        <v>243248.61931644872</v>
      </c>
      <c r="JU28" s="5">
        <f>JR28*(1/(1+InputData!$C$3))^(IntMed!$B28-IntMed!$B$7)</f>
        <v>160489.55648831843</v>
      </c>
      <c r="JV28" s="5">
        <f>JS28*(1/(1+InputData!$C$3))^(IntMed!$B28-IntMed!$B$7)</f>
        <v>0</v>
      </c>
      <c r="JW28" s="32">
        <f>IF(JU28-InputData!$C$158-InputData!$C$159&gt;=0,JU28-InputData!$C$158-InputData!$C$159,0)</f>
        <v>160489.55648831843</v>
      </c>
      <c r="JX28" s="32">
        <f>IF(JU28-IF(JU28&lt;=InputData!$C$146,InputData!$C$145,0)-MAX(InputData!$C$144,KD28)&gt;=0,JU28-IF(JU28&lt;=InputData!$C$146,InputData!$C$145,0)-MAX(InputData!$C$144,KD28),0)</f>
        <v>154389.55648831843</v>
      </c>
      <c r="JY28" s="32">
        <f>IF(JX28&lt;0,"Error",IF(JX28&lt;=InputData!$B$170,InputData!$C$170*JX28,IF(JX28&lt;=InputData!$B$171,InputData!$D$170+InputData!$C$171*(JX28-InputData!$B$170),IF(JX28&lt;=InputData!$B$172,InputData!$D$171+InputData!$C$172*(JX28-InputData!$B$171),IF(JX28&lt;=InputData!$B$173,InputData!$D$172+InputData!$C$173*(JX28-InputData!$B$172),IF(JX28&lt;=InputData!$B$174,InputData!$D$173+InputData!$C$174*(JX28-InputData!$B$173),IF(JX28&lt;=InputData!$B$175,InputData!$D$174+InputData!$C$175*(JX28-InputData!$B$174),InputData!$D$175+InputData!$C$176*(JX28-InputData!$B$175))))))))</f>
        <v>36522.325816729164</v>
      </c>
      <c r="JZ28" s="32">
        <f>IF(JU28&lt;=InputData!$C$150,InputData!$C$152,IF(JU28&lt;InputData!$C$151,IF(InputData!$C$152-0.25*IF(JU28-InputData!$C$150&lt;=0,0,JU28-InputData!$C$150)&lt;=0,0,InputData!$C$152-0.25*IF(JU28-InputData!$C$150&lt;=0,0,JU28-InputData!$C$150)),0))</f>
        <v>40627.610877920393</v>
      </c>
      <c r="KA28" s="32">
        <f>IF(JU28-JZ28&lt;=0,0,IF(JU28-JZ28&lt;=InputData!$C$153,InputData!$C$154*(JU28-JZ28),InputData!$C$155*(JU28-JZ28)-InputData!$D$154))</f>
        <v>31164.10585870349</v>
      </c>
      <c r="KB28" s="32">
        <f t="shared" si="109"/>
        <v>36522.325816729164</v>
      </c>
      <c r="KC28" s="32">
        <f>IF(JU28&gt;=0,IF(JU28&lt;=InputData!$C$148,InputData!$C$147*JU28,InputData!$C$147*InputData!$C$148)+InputData!$C$149*JU28,0)</f>
        <v>9376.498569080617</v>
      </c>
      <c r="KD28" s="32">
        <f>IF(JW28&lt;0,0,IF(JW28&lt;=InputData!$B$163,InputData!$C$163*JW28,IF(JW28&lt;=InputData!$B$164,InputData!$D$163+InputData!$C$164*(JW28-InputData!$B$163),IF(JW28&lt;=InputData!$B$165,InputData!$D$164+InputData!$C$165*(JW28-InputData!$B$164),InputData!$D$165+InputData!$C$166*(JW28-InputData!$B$165)))))</f>
        <v>0</v>
      </c>
      <c r="KE28" s="43">
        <f t="shared" si="110"/>
        <v>0.28599259285229955</v>
      </c>
      <c r="KF28" s="43">
        <f t="shared" si="111"/>
        <v>0.28599259285229955</v>
      </c>
      <c r="KG28" s="5">
        <f t="shared" si="112"/>
        <v>114590.73210250864</v>
      </c>
      <c r="KH28" s="32">
        <f>KG28/((1+InputData!$C$7)^(IntMed!$B28-IntMed!$B$7))</f>
        <v>61598.165067592956</v>
      </c>
      <c r="KI28" s="5">
        <f t="shared" si="143"/>
        <v>1231799.3765154462</v>
      </c>
      <c r="KK28" s="7">
        <v>8</v>
      </c>
      <c r="KL28" t="s">
        <v>379</v>
      </c>
      <c r="KM28">
        <v>43</v>
      </c>
      <c r="KN28" s="41" t="s">
        <v>109</v>
      </c>
      <c r="KO28" s="32">
        <f>MIN(InputData!$C$13+InputData!$E$13*($B28-$B$24),1)*IntMed!AW28</f>
        <v>279127.7906656249</v>
      </c>
      <c r="KP28" s="32">
        <f>MIN(InputData!$C$13+InputData!$E$13*($B28-$B$24),1)*IntMed!AX28</f>
        <v>0</v>
      </c>
      <c r="KQ28" s="5">
        <f t="shared" si="169"/>
        <v>279127.7906656249</v>
      </c>
      <c r="KR28" s="32">
        <f>KR27*(1+InputData!$C$8)</f>
        <v>17415.006291387122</v>
      </c>
      <c r="KS28" s="5">
        <f>KO28*(1/(1+InputData!$C$3))^(IntMed!$B28-IntMed!$B$7)</f>
        <v>184161.76607034539</v>
      </c>
      <c r="KT28" s="5">
        <f>KP28*(1/(1+InputData!$C$3))^(IntMed!$B28-IntMed!$B$7)</f>
        <v>0</v>
      </c>
      <c r="KU28" s="32" t="s">
        <v>386</v>
      </c>
      <c r="KV28" s="32">
        <v>0</v>
      </c>
      <c r="KW28" s="32">
        <v>0</v>
      </c>
      <c r="KX28" s="5">
        <f>KW28*InputData!$C$6</f>
        <v>0</v>
      </c>
      <c r="KY28" s="32">
        <f t="shared" si="166"/>
        <v>0</v>
      </c>
      <c r="KZ28" s="32">
        <v>0</v>
      </c>
      <c r="LA28" s="32">
        <v>0</v>
      </c>
      <c r="LB28" s="32">
        <f>KZ28/((1+InputData!$C$3)^(IntMed!$B28-IntMed!$B$7))</f>
        <v>0</v>
      </c>
      <c r="LC28" s="32">
        <f>IF(KS28-InputData!$C$158-InputData!$C$159&gt;=0,KS28-InputData!$C$158-InputData!$C$159,0)</f>
        <v>184161.76607034539</v>
      </c>
      <c r="LD28" s="32">
        <f>IF(KS28-IF(KS28&lt;=InputData!$C$146,InputData!$C$145,0)-MAX(InputData!$C$144,LJ28)&gt;=0,KS28-IF(KS28&lt;=InputData!$C$146,InputData!$C$145,0)-MAX(InputData!$C$144,LJ28),0)</f>
        <v>178061.76607034539</v>
      </c>
      <c r="LE28" s="32">
        <f>IF(LD28&lt;0,"Error",IF(LD28&lt;=InputData!$B$170,InputData!$C$170*LD28,IF(LD28&lt;=InputData!$B$171,InputData!$D$170+InputData!$C$171*(LD28-InputData!$B$170),IF(LD28&lt;=InputData!$B$172,InputData!$D$171+InputData!$C$172*(LD28-InputData!$B$171),IF(LD28&lt;=InputData!$B$173,InputData!$D$172+InputData!$C$173*(LD28-InputData!$B$172),IF(LD28&lt;=InputData!$B$174,InputData!$D$173+InputData!$C$174*(LD28-InputData!$B$173),IF(LD28&lt;=InputData!$B$175,InputData!$D$174+InputData!$C$175*(LD28-InputData!$B$174),InputData!$D$175+InputData!$C$176*(LD28-InputData!$B$175))))))))</f>
        <v>43150.544499696713</v>
      </c>
      <c r="LF28" s="32">
        <f>IF(KS28&lt;=InputData!$C$150,InputData!$C$152,IF(KS28&lt;InputData!$C$151,IF(InputData!$C$152-0.25*IF(KS28-InputData!$C$150&lt;=0,0,KS28-InputData!$C$150)&lt;=0,0,InputData!$C$152-0.25*IF(KS28-InputData!$C$150&lt;=0,0,KS28-InputData!$C$150)),0))</f>
        <v>34709.558482413653</v>
      </c>
      <c r="LG28" s="32">
        <f>IF(KS28-LF28&lt;=0,0,IF(KS28-LF28&lt;=InputData!$C$153,InputData!$C$154*(KS28-LF28),InputData!$C$155*(KS28-LF28)-InputData!$D$154))</f>
        <v>38857.573972862258</v>
      </c>
      <c r="LH28" s="32">
        <f t="shared" si="118"/>
        <v>43150.544499696713</v>
      </c>
      <c r="LI28" s="32">
        <f>IF(KS28&gt;=0,IF(KS28&lt;=InputData!$C$148,InputData!$C$147*KS28,InputData!$C$147*InputData!$C$148)+InputData!$C$149*KS28,0)</f>
        <v>9719.7456080200081</v>
      </c>
      <c r="LJ28" s="32">
        <f>IF(LC28&lt;0,0,IF(LC28&lt;=InputData!$B$163,InputData!$C$163*LC28,IF(LC28&lt;=InputData!$B$164,InputData!$D$163+InputData!$C$164*(LC28-InputData!$B$163),IF(LC28&lt;=InputData!$B$165,InputData!$D$164+InputData!$C$165*(LC28-InputData!$B$164),InputData!$D$165+InputData!$C$166*(LC28-InputData!$B$165)))))</f>
        <v>0</v>
      </c>
      <c r="LK28" s="43">
        <f t="shared" si="156"/>
        <v>0.28708613756191681</v>
      </c>
      <c r="LL28" s="32">
        <f t="shared" si="119"/>
        <v>131291.47596262867</v>
      </c>
      <c r="LM28" s="5">
        <f t="shared" si="120"/>
        <v>131291.47596262867</v>
      </c>
      <c r="LN28" s="32">
        <f>LM28/((1+InputData!$C$7)^(IntMed!$B28-IntMed!$B$7))</f>
        <v>70575.637836743204</v>
      </c>
      <c r="LO28" s="5">
        <f t="shared" si="145"/>
        <v>1040202.8967514804</v>
      </c>
      <c r="LQ28" s="157" t="str">
        <f t="shared" si="37"/>
        <v>Private Practice</v>
      </c>
      <c r="LR28" s="32">
        <f t="shared" si="121"/>
        <v>310141.98962847207</v>
      </c>
      <c r="LS28" s="32">
        <v>0</v>
      </c>
      <c r="LT28" s="32">
        <f t="shared" si="123"/>
        <v>310141.98962847207</v>
      </c>
      <c r="LU28" s="32">
        <f>LU27*(1+InputData!$C$8)</f>
        <v>17415.006291387122</v>
      </c>
      <c r="LV28" s="32">
        <f>LR28/((1+InputData!$C$3)^(IntMed!$B28-IntMed!$B$7))</f>
        <v>204624.18452260617</v>
      </c>
      <c r="LW28" s="32">
        <f>LS28/((1+InputData!$C$3)^(IntMed!$B28-IntMed!$B$7))</f>
        <v>0</v>
      </c>
      <c r="LX28" s="32" t="s">
        <v>141</v>
      </c>
      <c r="LY28" s="32">
        <v>0</v>
      </c>
      <c r="LZ28" s="32">
        <f t="shared" si="189"/>
        <v>0</v>
      </c>
      <c r="MA28" s="32">
        <f>(LZ28)*InputData!$C$6</f>
        <v>0</v>
      </c>
      <c r="MB28" s="32">
        <f>MIN($BE$14*InputData!$C$6/(1-(1+InputData!$C$6)^(-10)), LZ28+MA28)</f>
        <v>0</v>
      </c>
      <c r="MC28" s="32">
        <f t="shared" si="168"/>
        <v>0</v>
      </c>
      <c r="MD28" s="32">
        <f>MB28/((1+InputData!$C$3)^(IntMed!$B28-IntMed!$B$7))</f>
        <v>0</v>
      </c>
      <c r="ME28" s="32">
        <f>IF(LV28-InputData!$C$158-InputData!$C$159&gt;=0,LV28-InputData!$C$158-InputData!$C$159,0)</f>
        <v>204624.18452260617</v>
      </c>
      <c r="MF28" s="32">
        <f>IF(LV28-IF(LV28&lt;=InputData!$C$146,InputData!$C$145,0)-MAX(InputData!$C$144,ML28)&gt;=0,LV28-IF(LV28&lt;=InputData!$C$146,InputData!$C$145,0)-MAX(InputData!$C$144,ML28),0)</f>
        <v>198524.18452260617</v>
      </c>
      <c r="MG28" s="32">
        <f>IF(MF28&lt;0,"Error",IF(MF28&lt;=InputData!$B$170,InputData!$C$170*MF28,IF(MF28&lt;=InputData!$B$171,InputData!$D$170+InputData!$C$171*(MF28-InputData!$B$170),IF(MF28&lt;=InputData!$B$172,InputData!$D$171+InputData!$C$172*(MF28-InputData!$B$171),IF(MF28&lt;=InputData!$B$173,InputData!$D$172+InputData!$C$173*(MF28-InputData!$B$172),IF(MF28&lt;=InputData!$B$174,InputData!$D$173+InputData!$C$174*(MF28-InputData!$B$173),IF(MF28&lt;=InputData!$B$175,InputData!$D$174+InputData!$C$175*(MF28-InputData!$B$174),InputData!$D$175+InputData!$C$176*(MF28-InputData!$B$175))))))))</f>
        <v>49643.730892460037</v>
      </c>
      <c r="MH28" s="32">
        <f>IF(LV28&lt;=InputData!$C$150,InputData!$C$152,IF(LV28&lt;InputData!$C$151,IF(InputData!$C$152-0.25*IF(LV28-InputData!$C$150&lt;=0,0,LV28-InputData!$C$150)&lt;=0,0,InputData!$C$152-0.25*IF(LV28-InputData!$C$150&lt;=0,0,LV28-InputData!$C$150)),0))</f>
        <v>29593.953869348457</v>
      </c>
      <c r="MI28" s="32">
        <f>IF(LV28-MH28&lt;=0,0,IF(LV28-MH28&lt;=InputData!$C$153,InputData!$C$154*(LV28-MH28),InputData!$C$155*(LV28-MH28)-InputData!$D$154))</f>
        <v>45507.859969847006</v>
      </c>
      <c r="MJ28" s="32">
        <f t="shared" si="124"/>
        <v>49643.730892460037</v>
      </c>
      <c r="MK28" s="32">
        <f>IF(LV28&gt;=0,IF(LV28&lt;=InputData!$C$148,InputData!$C$147*LV28,InputData!$C$147*InputData!$C$148)+InputData!$C$149*LV28,0)</f>
        <v>10016.450675577789</v>
      </c>
      <c r="ML28" s="32">
        <f>IF(ME28&lt;0,0,IF(ME28&lt;=InputData!$B$163,InputData!$C$163*ME28,IF(ME28&lt;=InputData!$B$164,InputData!$D$163+InputData!$C$164*(ME28-InputData!$B$163),IF(ME28&lt;=InputData!$B$165,InputData!$D$164+InputData!$C$165*(ME28-InputData!$B$164),InputData!$D$165+InputData!$C$166*(ME28-InputData!$B$165)))))</f>
        <v>0</v>
      </c>
      <c r="MM28" s="43">
        <f t="shared" si="38"/>
        <v>0.29155977680363965</v>
      </c>
      <c r="MN28" s="32">
        <f t="shared" si="125"/>
        <v>144964.00295456834</v>
      </c>
      <c r="MO28" s="32">
        <f t="shared" si="126"/>
        <v>144964.00295456834</v>
      </c>
      <c r="MP28" s="32">
        <f>MO28/((1+InputData!$C$7)^(IntMed!$B28-IntMed!$B$7))</f>
        <v>77925.294821107498</v>
      </c>
      <c r="MQ28" s="5">
        <f t="shared" si="147"/>
        <v>1461665.8543919963</v>
      </c>
    </row>
    <row r="29" spans="1:355" x14ac:dyDescent="0.25">
      <c r="A29" s="53">
        <v>2035</v>
      </c>
      <c r="B29" s="51">
        <v>23</v>
      </c>
      <c r="C29" s="4"/>
      <c r="D29" s="3">
        <v>19</v>
      </c>
      <c r="E29" s="4" t="s">
        <v>179</v>
      </c>
      <c r="F29" s="5">
        <f>InputData!$M$21*12</f>
        <v>109072.79999999999</v>
      </c>
      <c r="G29" s="5">
        <f>(InputData!$M$21+InputData!$J$45+InputData!$G$50)*12+InputData!$J$50+InputData!$D$57+InputData!$J$57</f>
        <v>193064.8</v>
      </c>
      <c r="H29" s="5">
        <f>(InputData!$C$32+InputData!$C$40)*12</f>
        <v>21631.199999999997</v>
      </c>
      <c r="I29" s="5">
        <f t="shared" si="207"/>
        <v>214696</v>
      </c>
      <c r="J29" s="5">
        <f>G29*((1+InputData!$C$5)/(1+InputData!$C$3))^(IntMed!$B29-IntMed!$B$7)</f>
        <v>155442.4182040086</v>
      </c>
      <c r="K29" s="5">
        <f>H29*((1+InputData!$C$5)/(1+InputData!$C$3))^(IntMed!$B29-IntMed!$B$7)</f>
        <v>17415.945509769521</v>
      </c>
      <c r="L29" s="32">
        <f>IF(J29-InputData!$C$158-InputData!$C$159&gt;=0,J29-InputData!$C$158-InputData!$C$159,0)</f>
        <v>155442.4182040086</v>
      </c>
      <c r="M29" s="32">
        <f>IF(J29-IF(J29&lt;=InputData!$C$146,InputData!$C$145,0)-MAX(InputData!$C$144,S29)&gt;=0,J29-IF(J29&lt;=InputData!$C$146,InputData!$C$145,0)-MAX(InputData!$C$144,S29),0)</f>
        <v>149342.4182040086</v>
      </c>
      <c r="N29" s="32">
        <f>IF(M29&lt;0,"Error",IF(M29&lt;=InputData!$B$170,InputData!$C$170*M29,IF(M29&lt;=InputData!$B$171,InputData!$D$170+InputData!$C$171*(M29-InputData!$B$170),IF(M29&lt;=InputData!$B$172,InputData!$D$171+InputData!$C$172*(M29-InputData!$B$171),IF(M29&lt;=InputData!$B$173,InputData!$D$172+InputData!$C$173*(M29-InputData!$B$172),IF(M29&lt;=InputData!$B$174,InputData!$D$173+InputData!$C$174*(M29-InputData!$B$173),IF(M29&lt;=InputData!$B$175,InputData!$D$174+InputData!$C$175*(M29-InputData!$B$174),InputData!$D$175+InputData!$C$176*(M29-InputData!$B$175))))))))</f>
        <v>35109.127097122415</v>
      </c>
      <c r="O29" s="32">
        <f>IF(J29&lt;=InputData!$C$150,InputData!$C$152,IF(J29&lt;InputData!$C$151,IF(InputData!$C$152-0.25*IF(J29-InputData!$C$150&lt;=0,0,J29-InputData!$C$150)&lt;=0,0,InputData!$C$152-0.25*IF(J29-InputData!$C$150&lt;=0,0,J29-InputData!$C$150)),0))</f>
        <v>41889.39544899785</v>
      </c>
      <c r="P29" s="32">
        <f>IF(J29-O29&lt;=0,0,IF(J29-O29&lt;=InputData!$C$153,InputData!$C$154*(J29-O29),InputData!$C$155*(J29-O29)-InputData!$D$154))</f>
        <v>29523.785916302797</v>
      </c>
      <c r="Q29" s="32">
        <f t="shared" si="40"/>
        <v>35109.127097122415</v>
      </c>
      <c r="R29" s="32">
        <f>IF(J29&gt;=0,IF(J29&lt;=InputData!$C$148,InputData!$C$147*J29,InputData!$C$147*InputData!$C$148)+InputData!$C$149*J29,0)</f>
        <v>9303.3150639581254</v>
      </c>
      <c r="S29" s="32">
        <f>IF(L29&lt;0,0,IF(L29&lt;=InputData!$B$163,InputData!$C$163*L29,IF(L29&lt;=InputData!$B$164,InputData!$D$163+InputData!$C$164*(L29-InputData!$B$163),IF(L29&lt;=InputData!$B$165,InputData!$D$164+InputData!$C$165*(L29-InputData!$B$164),InputData!$D$165+InputData!$C$166*(L29-InputData!$B$165)))))</f>
        <v>0</v>
      </c>
      <c r="T29" s="43">
        <f t="shared" si="41"/>
        <v>0.28571636155834856</v>
      </c>
      <c r="U29" s="43">
        <f t="shared" si="42"/>
        <v>0.25692966893183972</v>
      </c>
      <c r="V29" s="5">
        <f t="shared" si="43"/>
        <v>128445.92155269759</v>
      </c>
      <c r="W29" s="32">
        <f>V29/((1+InputData!$C$7)^(IntMed!$B29-IntMed!$B$7))</f>
        <v>67034.963227305736</v>
      </c>
      <c r="X29" s="5">
        <f t="shared" si="208"/>
        <v>1434930.3930117351</v>
      </c>
      <c r="Y29" s="53"/>
      <c r="Z29" s="3">
        <v>19</v>
      </c>
      <c r="AA29" s="97" t="s">
        <v>266</v>
      </c>
      <c r="AB29" s="5">
        <f t="shared" si="192"/>
        <v>109072.79999999999</v>
      </c>
      <c r="AC29" s="5">
        <f t="shared" si="201"/>
        <v>193064.8</v>
      </c>
      <c r="AD29" s="5">
        <f t="shared" si="193"/>
        <v>21631.199999999997</v>
      </c>
      <c r="AE29" s="5">
        <f t="shared" si="209"/>
        <v>214696</v>
      </c>
      <c r="AF29" s="5">
        <f>AC29*((1+InputData!$C$5)/(1+InputData!$C$3))^(IntMed!$B29-IntMed!$B$7)</f>
        <v>155442.4182040086</v>
      </c>
      <c r="AG29" s="5">
        <f>AD29*((1+InputData!$C$5)/(1+InputData!$C$3))^(IntMed!$B29-IntMed!$B$7)</f>
        <v>17415.945509769521</v>
      </c>
      <c r="AH29" s="32">
        <f>IF(AF29-InputData!$C$158-InputData!$C$159&gt;=0,AF29-InputData!$C$158-InputData!$C$159,0)</f>
        <v>155442.4182040086</v>
      </c>
      <c r="AI29" s="32">
        <f>IF(AF29-IF(AF29&lt;=InputData!$C$146,InputData!$C$145,0)-MAX(InputData!$C$144,AO29)&gt;=0,AF29-IF(AF29&lt;=InputData!$C$146,InputData!$C$145,0)-MAX(InputData!$C$144,AO29),0)</f>
        <v>149342.4182040086</v>
      </c>
      <c r="AJ29" s="32">
        <f>IF(AI29&lt;0,"Error",IF(AI29&lt;=InputData!$B$170,InputData!$C$170*AI29,IF(AI29&lt;=InputData!$B$171,InputData!$D$170+InputData!$C$171*(AI29-InputData!$B$170),IF(AI29&lt;=InputData!$B$172,InputData!$D$171+InputData!$C$172*(AI29-InputData!$B$171),IF(AI29&lt;=InputData!$B$173,InputData!$D$172+InputData!$C$173*(AI29-InputData!$B$172),IF(AI29&lt;=InputData!$B$174,InputData!$D$173+InputData!$C$174*(AI29-InputData!$B$173),IF(AI29&lt;=InputData!$B$175,InputData!$D$174+InputData!$C$175*(AI29-InputData!$B$174),InputData!$D$175+InputData!$C$176*(AI29-InputData!$B$175))))))))</f>
        <v>35109.127097122415</v>
      </c>
      <c r="AK29" s="32">
        <f>IF(AF29&lt;=InputData!$C$150,InputData!$C$152,IF(AF29&lt;InputData!$C$151,IF(InputData!$C$152-0.25*IF(AF29-InputData!$C$150&lt;=0,0,AF29-InputData!$C$150)&lt;=0,0,InputData!$C$152-0.25*IF(AF29-InputData!$C$150&lt;=0,0,AF29-InputData!$C$150)),0))</f>
        <v>41889.39544899785</v>
      </c>
      <c r="AL29" s="32">
        <f>IF(AF29-AK29&lt;=0,0,IF(AF29-AK29&lt;=InputData!$C$153,InputData!$C$154*(AF29-AK29),InputData!$C$155*(AF29-AK29)-InputData!$D$154))</f>
        <v>29523.785916302797</v>
      </c>
      <c r="AM29" s="32">
        <f t="shared" si="45"/>
        <v>35109.127097122415</v>
      </c>
      <c r="AN29" s="32">
        <f>IF(AF29&gt;=0,IF(AF29&lt;=InputData!$C$148,InputData!$C$147*AF29,InputData!$C$147*InputData!$C$148)+InputData!$C$149*AF29,0)</f>
        <v>9303.3150639581254</v>
      </c>
      <c r="AO29" s="32">
        <f>IF(AH29&lt;0,0,IF(AH29&lt;=InputData!$B$163,InputData!$C$163*AH29,IF(AH29&lt;=InputData!$B$164,InputData!$D$163+InputData!$C$164*(AH29-InputData!$B$163),IF(AH29&lt;=InputData!$B$165,InputData!$D$164+InputData!$C$165*(AH29-InputData!$B$164),InputData!$D$165+InputData!$C$166*(AH29-InputData!$B$165)))))</f>
        <v>0</v>
      </c>
      <c r="AP29" s="43">
        <f t="shared" si="46"/>
        <v>0.28571636155834856</v>
      </c>
      <c r="AQ29" s="43">
        <f t="shared" si="47"/>
        <v>0.25692966893183972</v>
      </c>
      <c r="AR29" s="5">
        <f t="shared" si="48"/>
        <v>128445.92155269759</v>
      </c>
      <c r="AS29" s="32">
        <f>AR29/((1+InputData!$C$7)^(IntMed!$B29-IntMed!$B$7))</f>
        <v>67034.963227305736</v>
      </c>
      <c r="AT29" s="5">
        <f t="shared" si="210"/>
        <v>1412778.5756039114</v>
      </c>
      <c r="AU29" s="53"/>
      <c r="AV29" s="41" t="s">
        <v>109</v>
      </c>
      <c r="AW29" s="32">
        <f>$AW$14*(1+InputData!$C$3+InputData!$C$4)^(IntMed!$B29-IntMed!$B$14)</f>
        <v>319446.24931732629</v>
      </c>
      <c r="AX29" s="32">
        <v>0</v>
      </c>
      <c r="AY29" s="32">
        <f t="shared" si="211"/>
        <v>319446.24931732629</v>
      </c>
      <c r="AZ29" s="32">
        <f>AZ28*(1+InputData!$C$8)</f>
        <v>17763.306417214866</v>
      </c>
      <c r="BA29" s="32">
        <f>AW29/((1+InputData!$C$3)^(IntMed!$B29-IntMed!$B$7))</f>
        <v>206630.30397871017</v>
      </c>
      <c r="BB29" s="32">
        <f>AX29/((1+InputData!$C$3)^(IntMed!$B29-IntMed!$B$7))</f>
        <v>0</v>
      </c>
      <c r="BC29" s="32" t="s">
        <v>141</v>
      </c>
      <c r="BD29" s="32">
        <v>0</v>
      </c>
      <c r="BE29" s="32">
        <f t="shared" si="174"/>
        <v>0</v>
      </c>
      <c r="BF29" s="32">
        <f>(BE29)*InputData!$C$6</f>
        <v>0</v>
      </c>
      <c r="BG29" s="32">
        <f>MIN($BE$14*InputData!$C$6/(1-(1+InputData!$C$6)^(-10)), BE29+BF29)</f>
        <v>0</v>
      </c>
      <c r="BH29" s="32">
        <f t="shared" si="157"/>
        <v>0</v>
      </c>
      <c r="BI29" s="32">
        <f>BG29/((1+InputData!$C$3)^(IntMed!$B29-IntMed!$B$7))</f>
        <v>0</v>
      </c>
      <c r="BJ29" s="32">
        <f>IF(BA29-InputData!$C$158-InputData!$C$159&gt;=0,BA29-InputData!$C$158-InputData!$C$159,0)</f>
        <v>206630.30397871017</v>
      </c>
      <c r="BK29" s="32">
        <f>IF(BA29-IF(BA29&lt;=InputData!$C$146,InputData!$C$145,0)-MAX(InputData!$C$144,BQ29)&gt;=0,BA29-IF(BA29&lt;=InputData!$C$146,InputData!$C$145,0)-MAX(InputData!$C$144,BQ29),0)</f>
        <v>200530.30397871017</v>
      </c>
      <c r="BL29" s="32">
        <f>IF(BK29&lt;0,"Error",IF(BK29&lt;=InputData!$B$170,InputData!$C$170*BK29,IF(BK29&lt;=InputData!$B$171,InputData!$D$170+InputData!$C$171*(BK29-InputData!$B$170),IF(BK29&lt;=InputData!$B$172,InputData!$D$171+InputData!$C$172*(BK29-InputData!$B$171),IF(BK29&lt;=InputData!$B$173,InputData!$D$172+InputData!$C$173*(BK29-InputData!$B$172),IF(BK29&lt;=InputData!$B$174,InputData!$D$173+InputData!$C$174*(BK29-InputData!$B$173),IF(BK29&lt;=InputData!$B$175,InputData!$D$174+InputData!$C$175*(BK29-InputData!$B$174),InputData!$D$175+InputData!$C$176*(BK29-InputData!$B$175))))))))</f>
        <v>50305.750312974356</v>
      </c>
      <c r="BM29" s="32">
        <f>IF(BA29&lt;=InputData!$C$150,InputData!$C$152,IF(BA29&lt;InputData!$C$151,IF(InputData!$C$152-0.25*IF(BA29-InputData!$C$150&lt;=0,0,BA29-InputData!$C$150)&lt;=0,0,InputData!$C$152-0.25*IF(BA29-InputData!$C$150&lt;=0,0,BA29-InputData!$C$150)),0))</f>
        <v>29092.424005322457</v>
      </c>
      <c r="BN29" s="32">
        <f>IF(BA29-BM29&lt;=0,0,IF(BA29-BM29&lt;=InputData!$C$153,InputData!$C$154*(BA29-BM29),InputData!$C$155*(BA29-BM29)-InputData!$D$154))</f>
        <v>46159.848793080811</v>
      </c>
      <c r="BO29" s="32">
        <f t="shared" si="51"/>
        <v>50305.750312974356</v>
      </c>
      <c r="BP29" s="32">
        <f>IF(BA29&gt;=0,IF(BA29&lt;=InputData!$C$148,InputData!$C$147*BA29,InputData!$C$147*InputData!$C$148)+InputData!$C$149*BA29,0)</f>
        <v>10045.539407691296</v>
      </c>
      <c r="BQ29" s="32">
        <f>IF(BJ29&lt;0,0,IF(BJ29&lt;=InputData!$B$163,InputData!$C$163*BJ29,IF(BJ29&lt;=InputData!$B$164,InputData!$D$163+InputData!$C$164*(BJ29-InputData!$B$163),IF(BJ29&lt;=InputData!$B$165,InputData!$D$164+InputData!$C$165*(BJ29-InputData!$B$164),InputData!$D$165+InputData!$C$166*(BJ29-InputData!$B$165)))))</f>
        <v>0</v>
      </c>
      <c r="BR29" s="43">
        <f t="shared" si="52"/>
        <v>0.29207375955311882</v>
      </c>
      <c r="BS29" s="32">
        <f t="shared" si="53"/>
        <v>146279.01425804454</v>
      </c>
      <c r="BT29" s="32">
        <f t="shared" si="54"/>
        <v>146279.01425804454</v>
      </c>
      <c r="BU29" s="32">
        <f>BT29/((1+InputData!$C$7)^(IntMed!$B29-IntMed!$B$7))</f>
        <v>76341.920577770245</v>
      </c>
      <c r="BV29" s="5">
        <f t="shared" si="130"/>
        <v>1154336.2269450962</v>
      </c>
      <c r="BW29" s="5"/>
      <c r="BX29" s="32" t="s">
        <v>141</v>
      </c>
      <c r="BY29" s="5">
        <f t="shared" si="175"/>
        <v>142695.28536012422</v>
      </c>
      <c r="BZ29" s="32">
        <f>(BY29)*InputData!$C$6</f>
        <v>8861.3772208637147</v>
      </c>
      <c r="CA29" s="32">
        <f>MIN($BY$14*InputData!$C$6/(1-(1+InputData!$C$6)^(-25)), BY29+BZ29)</f>
        <v>19581.069601718285</v>
      </c>
      <c r="CB29" s="32">
        <f t="shared" si="176"/>
        <v>131975.59297926966</v>
      </c>
      <c r="CC29" s="32">
        <f>CA29/((1+InputData!$C$3)^(IntMed!$B29-IntMed!$B$7))</f>
        <v>12665.800186034237</v>
      </c>
      <c r="CD29" s="5">
        <f t="shared" si="58"/>
        <v>133613.21407201031</v>
      </c>
      <c r="CE29" s="32">
        <f>CD29/((1+InputData!$C$7)^(IntMed!$B29-IntMed!$B$7))</f>
        <v>69731.734443001726</v>
      </c>
      <c r="CF29" s="5">
        <f t="shared" si="131"/>
        <v>1189995.8831287792</v>
      </c>
      <c r="CG29" s="5"/>
      <c r="CH29" s="32" t="s">
        <v>141</v>
      </c>
      <c r="CI29" s="5">
        <f t="shared" si="177"/>
        <v>0</v>
      </c>
      <c r="CJ29" s="32">
        <f>(CI29)*InputData!$C$6</f>
        <v>0</v>
      </c>
      <c r="CK29" s="32">
        <f t="shared" si="170"/>
        <v>0</v>
      </c>
      <c r="CL29" s="32">
        <f t="shared" si="178"/>
        <v>0</v>
      </c>
      <c r="CM29" s="32">
        <f>CK29/((1+InputData!$C$3)^(IntMed!$B29-IntMed!$B$7))</f>
        <v>0</v>
      </c>
      <c r="CN29" s="5">
        <f t="shared" si="62"/>
        <v>146279.01425804454</v>
      </c>
      <c r="CO29" s="32">
        <f>CN29/((1+InputData!$C$7)^(IntMed!$B29-IntMed!$B$7))</f>
        <v>76341.920577770245</v>
      </c>
      <c r="CP29" s="5">
        <f t="shared" si="132"/>
        <v>1152962.791272159</v>
      </c>
      <c r="CQ29" s="5"/>
      <c r="CR29" s="32" t="s">
        <v>141</v>
      </c>
      <c r="CS29" s="5">
        <f t="shared" si="179"/>
        <v>76844.737587295938</v>
      </c>
      <c r="CT29" s="32">
        <f>(CS29)*InputData!$C$6</f>
        <v>4772.0582041710777</v>
      </c>
      <c r="CU29" s="32">
        <f t="shared" si="171"/>
        <v>29280.128969150399</v>
      </c>
      <c r="CV29" s="32">
        <f t="shared" si="180"/>
        <v>52336.666822316613</v>
      </c>
      <c r="CW29" s="32">
        <f>CU29/((1+InputData!$C$3)^(IntMed!$B29-IntMed!$B$7))</f>
        <v>18939.530397871014</v>
      </c>
      <c r="CX29" s="5">
        <f t="shared" si="66"/>
        <v>127339.48386017352</v>
      </c>
      <c r="CY29" s="32">
        <f>CX29/((1+InputData!$C$7)^(IntMed!$B29-IntMed!$B$7))</f>
        <v>66457.521692883602</v>
      </c>
      <c r="CZ29" s="5">
        <f t="shared" si="133"/>
        <v>1164267.3142079234</v>
      </c>
      <c r="DA29" s="5"/>
      <c r="DB29" s="32" t="s">
        <v>141</v>
      </c>
      <c r="DC29" s="5">
        <f t="shared" si="158"/>
        <v>0</v>
      </c>
      <c r="DD29" s="5">
        <f>DC29*InputData!$C$6</f>
        <v>0</v>
      </c>
      <c r="DE29" s="32">
        <f t="shared" si="159"/>
        <v>0</v>
      </c>
      <c r="DF29" s="32">
        <f t="shared" si="160"/>
        <v>0</v>
      </c>
      <c r="DG29" s="32">
        <f>DE29/((1+InputData!$C$3)^(IntMed!$B29-IntMed!$B$7))</f>
        <v>0</v>
      </c>
      <c r="DH29" s="5">
        <f t="shared" si="70"/>
        <v>146279.01425804454</v>
      </c>
      <c r="DI29" s="32">
        <f>DH29/((1+InputData!$C$7)^(IntMed!$B29-IntMed!$B$7))</f>
        <v>76341.920577770245</v>
      </c>
      <c r="DJ29" s="5">
        <f t="shared" si="134"/>
        <v>1158268.9985254426</v>
      </c>
      <c r="DK29" s="5"/>
      <c r="DL29" s="32" t="s">
        <v>141</v>
      </c>
      <c r="DM29" s="32">
        <f t="shared" si="181"/>
        <v>0</v>
      </c>
      <c r="DN29" s="5">
        <f>DM29*InputData!$C$6</f>
        <v>0</v>
      </c>
      <c r="DO29" s="32">
        <f t="shared" si="182"/>
        <v>0</v>
      </c>
      <c r="DP29" s="32">
        <f t="shared" si="150"/>
        <v>0</v>
      </c>
      <c r="DQ29" s="32">
        <f t="shared" si="151"/>
        <v>0</v>
      </c>
      <c r="DR29" s="32">
        <f>DP29/((1+InputData!$C$3)^(IntMed!$B29-IntMed!$B$7))</f>
        <v>0</v>
      </c>
      <c r="DS29" s="5">
        <f t="shared" si="74"/>
        <v>146279.01425804454</v>
      </c>
      <c r="DT29" s="32">
        <f>DS29/((1+InputData!$C$7)^(IntMed!$B29-IntMed!$B$7))</f>
        <v>76341.920577770245</v>
      </c>
      <c r="DU29" s="5">
        <f t="shared" si="136"/>
        <v>1154268.8283365131</v>
      </c>
      <c r="DV29" s="5"/>
      <c r="DW29" s="32" t="s">
        <v>141</v>
      </c>
      <c r="DX29" s="133">
        <f t="shared" si="161"/>
        <v>41216.5568651551</v>
      </c>
      <c r="DY29" s="5">
        <f>DX29*InputData!$C$6</f>
        <v>2559.5481813261317</v>
      </c>
      <c r="DZ29" s="133">
        <f t="shared" si="162"/>
        <v>0</v>
      </c>
      <c r="EA29" s="32">
        <f t="shared" si="163"/>
        <v>29148.379963889372</v>
      </c>
      <c r="EB29" s="32">
        <f t="shared" si="164"/>
        <v>14627.725082591856</v>
      </c>
      <c r="EC29" s="32">
        <f>EA29/((1+InputData!$C$3)^(IntMed!$B29-IntMed!$B$7))</f>
        <v>18854.309998307221</v>
      </c>
      <c r="ED29" s="5">
        <f t="shared" si="78"/>
        <v>127424.70425973732</v>
      </c>
      <c r="EE29" s="32">
        <f>ED29/((1+InputData!$C$7)^(IntMed!$B29-IntMed!$B$7))</f>
        <v>66501.997580338153</v>
      </c>
      <c r="EF29" s="5">
        <f t="shared" si="138"/>
        <v>1155268.7507974799</v>
      </c>
      <c r="EG29" s="32"/>
      <c r="EH29" s="130" t="s">
        <v>141</v>
      </c>
      <c r="EI29" s="32">
        <v>0</v>
      </c>
      <c r="EJ29" s="32">
        <f t="shared" si="212"/>
        <v>84600.528150346756</v>
      </c>
      <c r="EK29" s="32">
        <f>EJ29*InputData!$C$6</f>
        <v>5253.6927981365334</v>
      </c>
      <c r="EL29" s="32">
        <f t="shared" si="213"/>
        <v>60574.091979332945</v>
      </c>
      <c r="EM29" s="32">
        <f>EM28*(1+InputData!$C$8)</f>
        <v>17763.306417214866</v>
      </c>
      <c r="EN29" s="32">
        <f t="shared" si="172"/>
        <v>29280.128969150399</v>
      </c>
      <c r="EO29" s="32">
        <f>AW29/((1+InputData!$C$3)^(IntMed!$B29-IntMed!$B$7))</f>
        <v>206630.30397871017</v>
      </c>
      <c r="EP29" s="32">
        <f>AX29/((1+InputData!$C$3)^(IntMed!$B29-IntMed!$B$7))</f>
        <v>0</v>
      </c>
      <c r="EQ29" s="32">
        <v>50071.51</v>
      </c>
      <c r="ER29" s="32">
        <v>8746.5149999999994</v>
      </c>
      <c r="ES29" s="32">
        <v>0</v>
      </c>
      <c r="ET29" s="42">
        <f t="shared" si="214"/>
        <v>0.28465343111560354</v>
      </c>
      <c r="EU29" s="32">
        <f t="shared" si="215"/>
        <v>147812.27897871018</v>
      </c>
      <c r="EV29" s="32">
        <f>EN29/((1+InputData!$C$3)^(IntMed!$B29-IntMed!$B$7))</f>
        <v>18939.530397871014</v>
      </c>
      <c r="EW29" s="32">
        <f t="shared" si="216"/>
        <v>128872.74858083916</v>
      </c>
      <c r="EX29" s="32">
        <f>EW29/((1+InputData!$C$7)^(IntMed!$B29-IntMed!$B$7))</f>
        <v>67257.721052466833</v>
      </c>
      <c r="EY29" s="5">
        <f t="shared" si="217"/>
        <v>1182343.1294627099</v>
      </c>
      <c r="EZ29" s="79"/>
      <c r="FA29" s="32">
        <f t="shared" si="203"/>
        <v>0</v>
      </c>
      <c r="FB29" s="32">
        <f>FA29*InputData!$C$6</f>
        <v>0</v>
      </c>
      <c r="FC29" s="32">
        <f t="shared" si="204"/>
        <v>0</v>
      </c>
      <c r="FD29" s="53">
        <f>MIN($EJ$14*InputData!$C$6/(1-(1+InputData!$C$6)^(-10)), FA29+FB29)</f>
        <v>0</v>
      </c>
      <c r="FE29" s="32">
        <f>FD29/((1+InputData!$C$3)^(IntMed!$B29-IntMed!$B$7))</f>
        <v>0</v>
      </c>
      <c r="FF29" s="5">
        <f t="shared" si="84"/>
        <v>147812.27897871018</v>
      </c>
      <c r="FG29" s="32">
        <f>FF29/((1+InputData!$C$7)^(IntMed!$B29-IntMed!$B$7))</f>
        <v>77142.119937353476</v>
      </c>
      <c r="FH29" s="5">
        <f t="shared" si="140"/>
        <v>1169943.7433242875</v>
      </c>
      <c r="FI29" s="79"/>
      <c r="FJ29" s="32">
        <f t="shared" si="185"/>
        <v>144522.08514637247</v>
      </c>
      <c r="FK29" s="32">
        <f>FJ29*InputData!$C$6</f>
        <v>8974.8214875897302</v>
      </c>
      <c r="FL29" s="32">
        <f t="shared" si="186"/>
        <v>133665.15815611527</v>
      </c>
      <c r="FM29" s="53">
        <f>MIN($EJ$14*InputData!$C$6/(1-(1+InputData!$C$6)^(-25)), FJ29+FK29)</f>
        <v>19831.748477846937</v>
      </c>
      <c r="FN29" s="32">
        <f>FM29/((1+InputData!$C$3)^(IntMed!$B29-IntMed!$B$7))</f>
        <v>12827.949068627786</v>
      </c>
      <c r="FO29" s="5">
        <f t="shared" si="88"/>
        <v>134984.32991008239</v>
      </c>
      <c r="FP29" s="32">
        <f>FO29/((1+InputData!$C$7)^(IntMed!$B29-IntMed!$B$7))</f>
        <v>70447.309516732887</v>
      </c>
      <c r="FQ29" s="5">
        <f t="shared" si="141"/>
        <v>1206059.9181107373</v>
      </c>
      <c r="FR29" s="79"/>
      <c r="FS29" s="32">
        <f t="shared" si="187"/>
        <v>0</v>
      </c>
      <c r="FT29" s="32">
        <f>FS29*InputData!$C$6</f>
        <v>0</v>
      </c>
      <c r="FU29" s="32">
        <f t="shared" si="188"/>
        <v>0</v>
      </c>
      <c r="FV29" s="5">
        <f t="shared" si="173"/>
        <v>0</v>
      </c>
      <c r="FW29" s="32">
        <f>FV29/((1+InputData!$C$3)^(IntMed!$B29-IntMed!$B$7))</f>
        <v>0</v>
      </c>
      <c r="FX29" s="5">
        <f t="shared" si="92"/>
        <v>147812.27897871018</v>
      </c>
      <c r="FY29" s="32">
        <f>FX29/((1+InputData!$C$7)^(IntMed!$B29-IntMed!$B$7))</f>
        <v>77142.119937353476</v>
      </c>
      <c r="FZ29" s="5">
        <f t="shared" si="142"/>
        <v>1168399.094047609</v>
      </c>
      <c r="GC29" s="124">
        <f t="shared" si="3"/>
        <v>19</v>
      </c>
      <c r="GD29" s="122" t="str">
        <f t="shared" si="4"/>
        <v>Multi-Year (O6&gt;18= (BP+BAH+BAS+VSP+BCPSP)*12+ASP+ISP+MSP)</v>
      </c>
      <c r="GE29" s="120">
        <f>($G29+$H29-(InputData!$J$57-InputData!$H$57))*((1+InputData!$C$5)/((1+InputData!$C$3)*(1+InputData!$C$7)))^(IntMed!$B29-IntMed!$B$7)</f>
        <v>80969.265669577406</v>
      </c>
      <c r="GF29" s="120">
        <f>($G29+$H29-(InputData!$J$57-InputData!$I$57))*((1+InputData!$C$5)/((1+InputData!$C$3)*(1+InputData!$C$7)))^(IntMed!$B29-IntMed!$B$7)</f>
        <v>85171.182972976399</v>
      </c>
      <c r="GG29" s="120">
        <f>($G29+$H29)*((1+InputData!$C$5)/((1+InputData!$C$3)*(1+InputData!$C$7)))^(IntMed!$B29-IntMed!$B$7)</f>
        <v>90213.483737055198</v>
      </c>
      <c r="GH29" s="120">
        <f>($G29+$H29)*((1+InputData!$C$5)/((1+InputData!$C$3)*(1+InputData!$C$7)))^(IntMed!$B29-IntMed!$B$7)</f>
        <v>90213.483737055198</v>
      </c>
      <c r="GI29" s="5">
        <f t="shared" si="5"/>
        <v>193064.8</v>
      </c>
      <c r="GJ29" s="5">
        <f t="shared" si="6"/>
        <v>21631.199999999997</v>
      </c>
      <c r="GK29" s="5">
        <f t="shared" si="7"/>
        <v>214696</v>
      </c>
      <c r="GL29" s="5">
        <f t="shared" si="8"/>
        <v>155442.4182040086</v>
      </c>
      <c r="GM29" s="5">
        <f t="shared" si="9"/>
        <v>17415.945509769521</v>
      </c>
      <c r="GN29" s="32">
        <f>IF(GL29-InputData!$C$158-InputData!$C$159&gt;=0,GL29-InputData!$C$158-InputData!$C$159,0)</f>
        <v>155442.4182040086</v>
      </c>
      <c r="GO29" s="32">
        <f>IF(GL29-IF(GL29&lt;=InputData!$C$146,InputData!$C$145,0)-MAX(InputData!$C$144,GU29)&gt;=0,GL29-IF(GL29&lt;=InputData!$C$146,InputData!$C$145,0)-MAX(InputData!$C$144,GU29),0)</f>
        <v>149342.4182040086</v>
      </c>
      <c r="GP29" s="32">
        <f>IF(GO29&lt;0,"Error",IF(GO29&lt;=InputData!$B$170,InputData!$C$170*GO29,IF(GO29&lt;=InputData!$B$171,InputData!$D$170+InputData!$C$171*(GO29-InputData!$B$170),IF(GO29&lt;=InputData!$B$172,InputData!$D$171+InputData!$C$172*(GO29-InputData!$B$171),IF(GO29&lt;=InputData!$B$173,InputData!$D$172+InputData!$C$173*(GO29-InputData!$B$172),IF(GO29&lt;=InputData!$B$174,InputData!$D$173+InputData!$C$174*(GO29-InputData!$B$173),IF(GO29&lt;=InputData!$B$175,InputData!$D$174+InputData!$C$175*(GO29-InputData!$B$174),InputData!$D$175+InputData!$C$176*(GO29-InputData!$B$175))))))))</f>
        <v>35109.127097122415</v>
      </c>
      <c r="GQ29" s="32">
        <f>IF(GL29&lt;=InputData!$C$150,InputData!$C$152,IF(GL29&lt;InputData!$C$151,IF(InputData!$C$152-0.25*IF(GL29-InputData!$C$150&lt;=0,0,GL29-InputData!$C$150)&lt;=0,0,InputData!$C$152-0.25*IF(GL29-InputData!$C$150&lt;=0,0,GL29-InputData!$C$150)),0))</f>
        <v>41889.39544899785</v>
      </c>
      <c r="GR29" s="32">
        <f>IF(GL29-GQ29&lt;=0,0,IF(GL29-GQ29&lt;=InputData!$C$153,InputData!$C$154*(GL29-GQ29),InputData!$C$155*(GL29-GQ29)-InputData!$D$154))</f>
        <v>29523.785916302797</v>
      </c>
      <c r="GS29" s="32">
        <f t="shared" si="93"/>
        <v>35109.127097122415</v>
      </c>
      <c r="GT29" s="32">
        <f>IF(GL29&gt;=0,IF(GL29&lt;=InputData!$C$148,InputData!$C$147*GL29,InputData!$C$147*InputData!$C$148)+InputData!$C$149*GL29,0)</f>
        <v>9303.3150639581254</v>
      </c>
      <c r="GU29" s="32">
        <f>IF(GN29&lt;0,0,IF(GN29&lt;=InputData!$B$163,InputData!$C$163*GN29,IF(GN29&lt;=InputData!$B$164,InputData!$D$163+InputData!$C$164*(GN29-InputData!$B$163),IF(GN29&lt;=InputData!$B$165,InputData!$D$164+InputData!$C$165*(GN29-InputData!$B$164),InputData!$D$165+InputData!$C$166*(GN29-InputData!$B$165)))))</f>
        <v>0</v>
      </c>
      <c r="GV29" s="43">
        <f t="shared" si="10"/>
        <v>0.28571636155834856</v>
      </c>
      <c r="GW29" s="43">
        <f t="shared" si="11"/>
        <v>0.25692966893183972</v>
      </c>
      <c r="GX29" s="5">
        <f t="shared" si="12"/>
        <v>128445.92155269759</v>
      </c>
      <c r="GY29" s="32">
        <f>GX29/((1+InputData!$C$7)^(IntMed!$B29-IntMed!$B$7))</f>
        <v>67034.963227305736</v>
      </c>
      <c r="GZ29" s="32">
        <f t="shared" si="94"/>
        <v>1434930.3930117351</v>
      </c>
      <c r="HB29" s="3">
        <f t="shared" si="13"/>
        <v>19</v>
      </c>
      <c r="HC29" s="122" t="str">
        <f t="shared" si="195"/>
        <v>Multi-Year (O6&gt;18= (BP+BAH+BAS+VSP+BCPSP)*12+ASP+ISP+MSP)</v>
      </c>
      <c r="HD29" s="46"/>
      <c r="HE29" s="46"/>
      <c r="HF29" s="46"/>
      <c r="HG29" s="46"/>
      <c r="HH29" s="5">
        <f t="shared" si="196"/>
        <v>193064.8</v>
      </c>
      <c r="HI29" s="5">
        <f t="shared" si="197"/>
        <v>21631.199999999997</v>
      </c>
      <c r="HJ29" s="5">
        <f t="shared" si="198"/>
        <v>214696</v>
      </c>
      <c r="HK29" s="5">
        <f t="shared" si="199"/>
        <v>155442.4182040086</v>
      </c>
      <c r="HL29" s="5">
        <f t="shared" si="200"/>
        <v>17415.945509769521</v>
      </c>
      <c r="HM29" s="32">
        <f>IF(HK29-InputData!$C$158-InputData!$C$159&gt;=0,HK29-InputData!$C$158-InputData!$C$159,0)</f>
        <v>155442.4182040086</v>
      </c>
      <c r="HN29" s="32">
        <f>IF(HK29-IF(HK29&lt;=InputData!$C$146,InputData!$C$145,0)-MAX(InputData!$C$144,HT29)&gt;=0,HK29-IF(HK29&lt;=InputData!$C$146,InputData!$C$145,0)-MAX(InputData!$C$144,HT29),0)</f>
        <v>149342.4182040086</v>
      </c>
      <c r="HO29" s="32">
        <f>IF(HN29&lt;0,"Error",IF(HN29&lt;=InputData!$B$170,InputData!$C$170*HN29,IF(HN29&lt;=InputData!$B$171,InputData!$D$170+InputData!$C$171*(HN29-InputData!$B$170),IF(HN29&lt;=InputData!$B$172,InputData!$D$171+InputData!$C$172*(HN29-InputData!$B$171),IF(HN29&lt;=InputData!$B$173,InputData!$D$172+InputData!$C$173*(HN29-InputData!$B$172),IF(HN29&lt;=InputData!$B$174,InputData!$D$173+InputData!$C$174*(HN29-InputData!$B$173),IF(HN29&lt;=InputData!$B$175,InputData!$D$174+InputData!$C$175*(HN29-InputData!$B$174),InputData!$D$175+InputData!$C$176*(HN29-InputData!$B$175))))))))</f>
        <v>35109.127097122415</v>
      </c>
      <c r="HP29" s="32">
        <f>IF(HK29&lt;=InputData!$C$150,InputData!$C$152,IF(HK29&lt;InputData!$C$151,IF(InputData!$C$152-0.25*IF(HK29-InputData!$C$150&lt;=0,0,HK29-InputData!$C$150)&lt;=0,0,InputData!$C$152-0.25*IF(HK29-InputData!$C$150&lt;=0,0,HK29-InputData!$C$150)),0))</f>
        <v>41889.39544899785</v>
      </c>
      <c r="HQ29" s="32">
        <f>IF(HK29-HP29&lt;=0,0,IF(HK29-HP29&lt;=InputData!$C$153,InputData!$C$154*(HK29-HP29),InputData!$C$155*(HK29-HP29)-InputData!$D$154))</f>
        <v>29523.785916302797</v>
      </c>
      <c r="HR29" s="32">
        <f t="shared" si="95"/>
        <v>35109.127097122415</v>
      </c>
      <c r="HS29" s="32">
        <f>IF(HK29&gt;=0,IF(HK29&lt;=InputData!$C$148,InputData!$C$147*HK29,InputData!$C$147*InputData!$C$148)+InputData!$C$149*HK29,0)</f>
        <v>9303.3150639581254</v>
      </c>
      <c r="HT29" s="32">
        <f>IF(HM29&lt;0,0,IF(HM29&lt;=InputData!$B$163,InputData!$C$163*HM29,IF(HM29&lt;=InputData!$B$164,InputData!$D$163+InputData!$C$164*(HM29-InputData!$B$163),IF(HM29&lt;=InputData!$B$165,InputData!$D$164+InputData!$C$165*(HM29-InputData!$B$164),InputData!$D$165+InputData!$C$166*(HM29-InputData!$B$165)))))</f>
        <v>0</v>
      </c>
      <c r="HU29" s="43">
        <f t="shared" si="96"/>
        <v>0.28571636155834856</v>
      </c>
      <c r="HV29" s="43">
        <f t="shared" si="97"/>
        <v>0.25692966893183972</v>
      </c>
      <c r="HW29" s="5">
        <f t="shared" si="98"/>
        <v>128445.92155269759</v>
      </c>
      <c r="HX29" s="32">
        <f>HW29/((1+InputData!$C$7)^(IntMed!$B29-IntMed!$B$7))</f>
        <v>67034.963227305736</v>
      </c>
      <c r="HY29" s="32">
        <f t="shared" si="99"/>
        <v>1412778.5756039114</v>
      </c>
      <c r="IA29" s="41"/>
      <c r="IB29" s="4" t="s">
        <v>109</v>
      </c>
      <c r="IC29" s="32">
        <f>MIN(InputData!$C$13+InputData!$E$13*($B29-$B$21),1)*IntMed!AW29</f>
        <v>287501.62438559369</v>
      </c>
      <c r="ID29" s="32">
        <f>MIN(InputData!$C$13+InputData!$E$13*($B29-$B$21),1)*IntMed!AX29</f>
        <v>0</v>
      </c>
      <c r="IE29" s="32">
        <f>MIN(InputData!$C$13+InputData!$E$13*($B29-$B$21),1)*IntMed!AY29</f>
        <v>287501.62438559369</v>
      </c>
      <c r="IF29" s="32">
        <f>MIN(InputData!$C$13+InputData!$E$13*($B29-$B$21),1)*IntMed!EO29</f>
        <v>185967.27358083916</v>
      </c>
      <c r="IG29" s="32">
        <f>MIN(InputData!$C$13+InputData!$E$13*($B29-$B$21),1)*IntMed!EP29</f>
        <v>0</v>
      </c>
      <c r="IH29" s="32">
        <f>IF(IF29-InputData!$C$158-InputData!$C$159&gt;=0,IF29-InputData!$C$158-InputData!$C$159,0)</f>
        <v>185967.27358083916</v>
      </c>
      <c r="II29" s="32">
        <f>IF(IF29-IF(IF29&lt;=InputData!$C$146,InputData!$C$145,0)-MAX(InputData!$C$144,IO29)&gt;=0,IF29-IF(IF29&lt;=InputData!$C$146,InputData!$C$145,0)-MAX(InputData!$C$144,IO29),0)</f>
        <v>179867.27358083916</v>
      </c>
      <c r="IJ29" s="32">
        <f>IF(II29&lt;0,"Error",IF(II29&lt;=InputData!$B$170,InputData!$C$170*II29,IF(II29&lt;=InputData!$B$171,InputData!$D$170+InputData!$C$171*(II29-InputData!$B$170),IF(II29&lt;=InputData!$B$172,InputData!$D$171+InputData!$C$172*(II29-InputData!$B$171),IF(II29&lt;=InputData!$B$173,InputData!$D$172+InputData!$C$173*(II29-InputData!$B$172),IF(II29&lt;=InputData!$B$174,InputData!$D$173+InputData!$C$174*(II29-InputData!$B$173),IF(II29&lt;=InputData!$B$175,InputData!$D$174+InputData!$C$175*(II29-InputData!$B$174),InputData!$D$175+InputData!$C$176*(II29-InputData!$B$175))))))))</f>
        <v>43656.086602634969</v>
      </c>
      <c r="IK29" s="32">
        <f>IF(IF29&lt;=InputData!$C$150,InputData!$C$152,IF(IF29&lt;InputData!$C$151,IF(InputData!$C$152-0.25*IF(IF29-InputData!$C$150&lt;=0,0,IF29-InputData!$C$150)&lt;=0,0,InputData!$C$152-0.25*IF(IF29-InputData!$C$150&lt;=0,0,IF29-InputData!$C$150)),0))</f>
        <v>34258.18160479021</v>
      </c>
      <c r="IL29" s="32">
        <f>IF(IF29-IK29&lt;=0,0,IF(IF29-IK29&lt;=InputData!$C$153,InputData!$C$154*(IF29-IK29),InputData!$C$155*(IF29-IK29)-InputData!$D$154))</f>
        <v>39444.36391377273</v>
      </c>
      <c r="IM29" s="32">
        <f t="shared" si="100"/>
        <v>43656.086602634969</v>
      </c>
      <c r="IN29" s="32">
        <f>IF(IF29&gt;=0,IF(IF29&lt;=InputData!$C$148,InputData!$C$147*IF29,InputData!$C$147*InputData!$C$148)+InputData!$C$149*IF29,0)</f>
        <v>9745.9254669221682</v>
      </c>
      <c r="IO29" s="32">
        <f>IF(IH29&lt;0,0,IF(IH29&lt;=InputData!$B$163,InputData!$C$163*IH29,IF(IH29&lt;=InputData!$B$164,InputData!$D$163+InputData!$C$164*(IH29-InputData!$B$163),IF(IH29&lt;=InputData!$B$165,InputData!$D$164+InputData!$C$165*(IH29-InputData!$B$164),InputData!$D$165+InputData!$C$166*(IH29-InputData!$B$165)))))</f>
        <v>0</v>
      </c>
      <c r="IP29" s="43">
        <f t="shared" si="101"/>
        <v>0.28715811680888853</v>
      </c>
      <c r="IQ29" s="43">
        <f t="shared" si="102"/>
        <v>0.28715811680888853</v>
      </c>
      <c r="IR29" s="5">
        <f t="shared" si="27"/>
        <v>132565.26151128201</v>
      </c>
      <c r="IS29" s="32">
        <f>IR29/((1+InputData!$C$7)^(IntMed!$B29-IntMed!$B$7))</f>
        <v>69184.815860276925</v>
      </c>
      <c r="IT29" s="5">
        <f t="shared" si="103"/>
        <v>1462166.8156972844</v>
      </c>
      <c r="IV29" s="41"/>
      <c r="IW29" s="49" t="s">
        <v>109</v>
      </c>
      <c r="IX29" s="32">
        <f>MIN(InputData!$C$13+InputData!$E$13*($B29-$B$18),1)*IntMed!AW29</f>
        <v>287501.62438559369</v>
      </c>
      <c r="IY29" s="32">
        <f>MIN(InputData!$C$13+InputData!$E$13*($B29-$B$18),1)*IntMed!AX29</f>
        <v>0</v>
      </c>
      <c r="IZ29" s="32">
        <f>MIN(InputData!$C$13+InputData!$E$13*($B29-$B$18),1)*IntMed!AY29</f>
        <v>287501.62438559369</v>
      </c>
      <c r="JA29" s="32">
        <f>MIN(InputData!$C$13+InputData!$E$13*($B29-$B$18),1)*IntMed!EO29</f>
        <v>185967.27358083916</v>
      </c>
      <c r="JB29" s="32">
        <f>MIN(InputData!$C$13+InputData!$E$13*($B29-$B$18),1)*IntMed!EP29</f>
        <v>0</v>
      </c>
      <c r="JC29" s="32">
        <f>IF(JA29-InputData!$C$158-InputData!$C$159&gt;=0,JA29-InputData!$C$158-InputData!$C$159,0)</f>
        <v>185967.27358083916</v>
      </c>
      <c r="JD29" s="32">
        <f>IF(JA29-IF(JA29&lt;=InputData!$C$146,InputData!$C$145,0)-MAX(InputData!$C$144,JJ29)&gt;=0,JA29-IF(JA29&lt;=InputData!$C$146,InputData!$C$145,0)-MAX(InputData!$C$144,JJ29),0)</f>
        <v>179867.27358083916</v>
      </c>
      <c r="JE29" s="32">
        <f>IF(JD29&lt;0,"Error",IF(JD29&lt;=InputData!$B$170,InputData!$C$170*JD29,IF(JD29&lt;=InputData!$B$171,InputData!$D$170+InputData!$C$171*(JD29-InputData!$B$170),IF(JD29&lt;=InputData!$B$172,InputData!$D$171+InputData!$C$172*(JD29-InputData!$B$171),IF(JD29&lt;=InputData!$B$173,InputData!$D$172+InputData!$C$173*(JD29-InputData!$B$172),IF(JD29&lt;=InputData!$B$174,InputData!$D$173+InputData!$C$174*(JD29-InputData!$B$173),IF(JD29&lt;=InputData!$B$175,InputData!$D$174+InputData!$C$175*(JD29-InputData!$B$174),InputData!$D$175+InputData!$C$176*(JD29-InputData!$B$175))))))))</f>
        <v>43656.086602634969</v>
      </c>
      <c r="JF29" s="32">
        <f>IF(JA29&lt;=InputData!$C$150,InputData!$C$152,IF(JA29&lt;InputData!$C$151,IF(InputData!$C$152-0.25*IF(JA29-InputData!$C$150&lt;=0,0,JA29-InputData!$C$150)&lt;=0,0,InputData!$C$152-0.25*IF(JA29-InputData!$C$150&lt;=0,0,JA29-InputData!$C$150)),0))</f>
        <v>34258.18160479021</v>
      </c>
      <c r="JG29" s="32">
        <f>IF(JA29-JF29&lt;=0,0,IF(JA29-JF29&lt;=InputData!$C$153,InputData!$C$154*(JA29-JF29),InputData!$C$155*(JA29-JF29)-InputData!$D$154))</f>
        <v>39444.36391377273</v>
      </c>
      <c r="JH29" s="32">
        <f t="shared" si="104"/>
        <v>43656.086602634969</v>
      </c>
      <c r="JI29" s="32">
        <f>IF(JA29&gt;=0,IF(JA29&lt;=InputData!$C$148,InputData!$C$147*JA29,InputData!$C$147*InputData!$C$148)+InputData!$C$149*JA29,0)</f>
        <v>9745.9254669221682</v>
      </c>
      <c r="JJ29" s="32">
        <f>IF(JC29&lt;0,0,IF(JC29&lt;=InputData!$B$163,InputData!$C$163*JC29,IF(JC29&lt;=InputData!$B$164,InputData!$D$163+InputData!$C$164*(JC29-InputData!$B$163),IF(JC29&lt;=InputData!$B$165,InputData!$D$164+InputData!$C$165*(JC29-InputData!$B$164),InputData!$D$165+InputData!$C$166*(JC29-InputData!$B$165)))))</f>
        <v>0</v>
      </c>
      <c r="JK29" s="42">
        <f t="shared" si="105"/>
        <v>0.28715811680888853</v>
      </c>
      <c r="JL29" s="42">
        <f t="shared" si="106"/>
        <v>0.28715811680888853</v>
      </c>
      <c r="JM29" s="32">
        <f t="shared" si="35"/>
        <v>132565.26151128201</v>
      </c>
      <c r="JN29" s="32">
        <f>JM29/((1+InputData!$C$7)^(IntMed!$B29-IntMed!$B$7))</f>
        <v>69184.815860276925</v>
      </c>
      <c r="JO29" s="32">
        <f t="shared" si="107"/>
        <v>1443518.5542448801</v>
      </c>
      <c r="JQ29" s="41" t="s">
        <v>109</v>
      </c>
      <c r="JR29" s="32">
        <f>$JR$14*(1+InputData!$C$3+InputData!$C$4)^(IntMed!$B29-IntMed!$B$14)</f>
        <v>250546.0778959422</v>
      </c>
      <c r="JS29" s="32">
        <v>0</v>
      </c>
      <c r="JT29" s="32">
        <f t="shared" si="108"/>
        <v>250546.0778959422</v>
      </c>
      <c r="JU29" s="5">
        <f>JR29*(1/(1+InputData!$C$3))^(IntMed!$B29-IntMed!$B$7)</f>
        <v>162062.98351271372</v>
      </c>
      <c r="JV29" s="5">
        <f>JS29*(1/(1+InputData!$C$3))^(IntMed!$B29-IntMed!$B$7)</f>
        <v>0</v>
      </c>
      <c r="JW29" s="32">
        <f>IF(JU29-InputData!$C$158-InputData!$C$159&gt;=0,JU29-InputData!$C$158-InputData!$C$159,0)</f>
        <v>162062.98351271372</v>
      </c>
      <c r="JX29" s="32">
        <f>IF(JU29-IF(JU29&lt;=InputData!$C$146,InputData!$C$145,0)-MAX(InputData!$C$144,KD29)&gt;=0,JU29-IF(JU29&lt;=InputData!$C$146,InputData!$C$145,0)-MAX(InputData!$C$144,KD29),0)</f>
        <v>155962.98351271372</v>
      </c>
      <c r="JY29" s="32">
        <f>IF(JX29&lt;0,"Error",IF(JX29&lt;=InputData!$B$170,InputData!$C$170*JX29,IF(JX29&lt;=InputData!$B$171,InputData!$D$170+InputData!$C$171*(JX29-InputData!$B$170),IF(JX29&lt;=InputData!$B$172,InputData!$D$171+InputData!$C$172*(JX29-InputData!$B$171),IF(JX29&lt;=InputData!$B$173,InputData!$D$172+InputData!$C$173*(JX29-InputData!$B$172),IF(JX29&lt;=InputData!$B$174,InputData!$D$173+InputData!$C$174*(JX29-InputData!$B$173),IF(JX29&lt;=InputData!$B$175,InputData!$D$174+InputData!$C$175*(JX29-InputData!$B$174),InputData!$D$175+InputData!$C$176*(JX29-InputData!$B$175))))))))</f>
        <v>36962.885383559842</v>
      </c>
      <c r="JZ29" s="32">
        <f>IF(JU29&lt;=InputData!$C$150,InputData!$C$152,IF(JU29&lt;InputData!$C$151,IF(InputData!$C$152-0.25*IF(JU29-InputData!$C$150&lt;=0,0,JU29-InputData!$C$150)&lt;=0,0,InputData!$C$152-0.25*IF(JU29-InputData!$C$150&lt;=0,0,JU29-InputData!$C$150)),0))</f>
        <v>40234.25412182157</v>
      </c>
      <c r="KA29" s="32">
        <f>IF(JU29-JZ29&lt;=0,0,IF(JU29-JZ29&lt;=InputData!$C$153,InputData!$C$154*(JU29-JZ29),InputData!$C$155*(JU29-JZ29)-InputData!$D$154))</f>
        <v>31675.469641631957</v>
      </c>
      <c r="KB29" s="32">
        <f t="shared" si="109"/>
        <v>36962.885383559842</v>
      </c>
      <c r="KC29" s="32">
        <f>IF(JU29&gt;=0,IF(JU29&lt;=InputData!$C$148,InputData!$C$147*JU29,InputData!$C$147*InputData!$C$148)+InputData!$C$149*JU29,0)</f>
        <v>9399.3132609343484</v>
      </c>
      <c r="KD29" s="32">
        <f>IF(JW29&lt;0,0,IF(JW29&lt;=InputData!$B$163,InputData!$C$163*JW29,IF(JW29&lt;=InputData!$B$164,InputData!$D$163+InputData!$C$164*(JW29-InputData!$B$163),IF(JW29&lt;=InputData!$B$165,InputData!$D$164+InputData!$C$165*(JW29-InputData!$B$164),InputData!$D$165+InputData!$C$166*(JW29-InputData!$B$165)))))</f>
        <v>0</v>
      </c>
      <c r="KE29" s="43">
        <f t="shared" si="110"/>
        <v>0.28607518903819951</v>
      </c>
      <c r="KF29" s="43">
        <f t="shared" si="111"/>
        <v>0.28607518903819951</v>
      </c>
      <c r="KG29" s="5">
        <f t="shared" si="112"/>
        <v>115700.78486821953</v>
      </c>
      <c r="KH29" s="32">
        <f>KG29/((1+InputData!$C$7)^(IntMed!$B29-IntMed!$B$7))</f>
        <v>60383.371968953099</v>
      </c>
      <c r="KI29" s="5">
        <f t="shared" si="143"/>
        <v>1292182.7484843994</v>
      </c>
      <c r="KK29" s="7">
        <v>8</v>
      </c>
      <c r="KL29" t="s">
        <v>379</v>
      </c>
      <c r="KM29">
        <v>44</v>
      </c>
      <c r="KN29" s="41" t="s">
        <v>109</v>
      </c>
      <c r="KO29" s="32">
        <f>MIN(InputData!$C$13+InputData!$E$13*($B29-$B$24),1)*IntMed!AW29</f>
        <v>287501.62438559369</v>
      </c>
      <c r="KP29" s="32">
        <f>MIN(InputData!$C$13+InputData!$E$13*($B29-$B$24),1)*IntMed!AX29</f>
        <v>0</v>
      </c>
      <c r="KQ29" s="5">
        <f t="shared" si="169"/>
        <v>287501.62438559369</v>
      </c>
      <c r="KR29" s="32">
        <f>KR28*(1+InputData!$C$8)</f>
        <v>17763.306417214866</v>
      </c>
      <c r="KS29" s="5">
        <f>KO29*(1/(1+InputData!$C$3))^(IntMed!$B29-IntMed!$B$7)</f>
        <v>185967.27358083898</v>
      </c>
      <c r="KT29" s="5">
        <f>KP29*(1/(1+InputData!$C$3))^(IntMed!$B29-IntMed!$B$7)</f>
        <v>0</v>
      </c>
      <c r="KU29" s="32" t="s">
        <v>386</v>
      </c>
      <c r="KV29" s="32">
        <v>0</v>
      </c>
      <c r="KW29" s="32">
        <v>0</v>
      </c>
      <c r="KX29" s="5">
        <f>KW29*InputData!$C$6</f>
        <v>0</v>
      </c>
      <c r="KY29" s="32">
        <f t="shared" si="166"/>
        <v>0</v>
      </c>
      <c r="KZ29" s="32">
        <v>0</v>
      </c>
      <c r="LA29" s="32">
        <v>0</v>
      </c>
      <c r="LB29" s="32">
        <f>KZ29/((1+InputData!$C$3)^(IntMed!$B29-IntMed!$B$7))</f>
        <v>0</v>
      </c>
      <c r="LC29" s="32">
        <f>IF(KS29-InputData!$C$158-InputData!$C$159&gt;=0,KS29-InputData!$C$158-InputData!$C$159,0)</f>
        <v>185967.27358083898</v>
      </c>
      <c r="LD29" s="32">
        <f>IF(KS29-IF(KS29&lt;=InputData!$C$146,InputData!$C$145,0)-MAX(InputData!$C$144,LJ29)&gt;=0,KS29-IF(KS29&lt;=InputData!$C$146,InputData!$C$145,0)-MAX(InputData!$C$144,LJ29),0)</f>
        <v>179867.27358083898</v>
      </c>
      <c r="LE29" s="32">
        <f>IF(LD29&lt;0,"Error",IF(LD29&lt;=InputData!$B$170,InputData!$C$170*LD29,IF(LD29&lt;=InputData!$B$171,InputData!$D$170+InputData!$C$171*(LD29-InputData!$B$170),IF(LD29&lt;=InputData!$B$172,InputData!$D$171+InputData!$C$172*(LD29-InputData!$B$171),IF(LD29&lt;=InputData!$B$173,InputData!$D$172+InputData!$C$173*(LD29-InputData!$B$172),IF(LD29&lt;=InputData!$B$174,InputData!$D$173+InputData!$C$174*(LD29-InputData!$B$173),IF(LD29&lt;=InputData!$B$175,InputData!$D$174+InputData!$C$175*(LD29-InputData!$B$174),InputData!$D$175+InputData!$C$176*(LD29-InputData!$B$175))))))))</f>
        <v>43656.086602634918</v>
      </c>
      <c r="LF29" s="32">
        <f>IF(KS29&lt;=InputData!$C$150,InputData!$C$152,IF(KS29&lt;InputData!$C$151,IF(InputData!$C$152-0.25*IF(KS29-InputData!$C$150&lt;=0,0,KS29-InputData!$C$150)&lt;=0,0,InputData!$C$152-0.25*IF(KS29-InputData!$C$150&lt;=0,0,KS29-InputData!$C$150)),0))</f>
        <v>34258.181604790254</v>
      </c>
      <c r="LG29" s="32">
        <f>IF(KS29-LF29&lt;=0,0,IF(KS29-LF29&lt;=InputData!$C$153,InputData!$C$154*(KS29-LF29),InputData!$C$155*(KS29-LF29)-InputData!$D$154))</f>
        <v>39444.363913772664</v>
      </c>
      <c r="LH29" s="32">
        <f t="shared" si="118"/>
        <v>43656.086602634918</v>
      </c>
      <c r="LI29" s="32">
        <f>IF(KS29&gt;=0,IF(KS29&lt;=InputData!$C$148,InputData!$C$147*KS29,InputData!$C$147*InputData!$C$148)+InputData!$C$149*KS29,0)</f>
        <v>9745.9254669221646</v>
      </c>
      <c r="LJ29" s="32">
        <f>IF(LC29&lt;0,0,IF(LC29&lt;=InputData!$B$163,InputData!$C$163*LC29,IF(LC29&lt;=InputData!$B$164,InputData!$D$163+InputData!$C$164*(LC29-InputData!$B$163),IF(LC29&lt;=InputData!$B$165,InputData!$D$164+InputData!$C$165*(LC29-InputData!$B$164),InputData!$D$165+InputData!$C$166*(LC29-InputData!$B$165)))))</f>
        <v>0</v>
      </c>
      <c r="LK29" s="43">
        <f t="shared" si="156"/>
        <v>0.28715811680888848</v>
      </c>
      <c r="LL29" s="32">
        <f t="shared" si="119"/>
        <v>132565.26151128189</v>
      </c>
      <c r="LM29" s="5">
        <f t="shared" si="120"/>
        <v>132565.26151128189</v>
      </c>
      <c r="LN29" s="32">
        <f>LM29/((1+InputData!$C$7)^(IntMed!$B29-IntMed!$B$7))</f>
        <v>69184.815860276867</v>
      </c>
      <c r="LO29" s="5">
        <f t="shared" si="145"/>
        <v>1109387.7126117572</v>
      </c>
      <c r="LQ29" s="157" t="str">
        <f t="shared" si="37"/>
        <v>Private Practice</v>
      </c>
      <c r="LR29" s="32">
        <f t="shared" si="121"/>
        <v>319446.24931732629</v>
      </c>
      <c r="LS29" s="32">
        <v>0</v>
      </c>
      <c r="LT29" s="32">
        <f t="shared" si="123"/>
        <v>319446.24931732629</v>
      </c>
      <c r="LU29" s="32">
        <f>LU28*(1+InputData!$C$8)</f>
        <v>17763.306417214866</v>
      </c>
      <c r="LV29" s="32">
        <f>LR29/((1+InputData!$C$3)^(IntMed!$B29-IntMed!$B$7))</f>
        <v>206630.30397871017</v>
      </c>
      <c r="LW29" s="32">
        <f>LS29/((1+InputData!$C$3)^(IntMed!$B29-IntMed!$B$7))</f>
        <v>0</v>
      </c>
      <c r="LX29" s="32" t="s">
        <v>141</v>
      </c>
      <c r="LY29" s="32">
        <v>0</v>
      </c>
      <c r="LZ29" s="32">
        <f t="shared" si="189"/>
        <v>0</v>
      </c>
      <c r="MA29" s="32">
        <f>(LZ29)*InputData!$C$6</f>
        <v>0</v>
      </c>
      <c r="MB29" s="32">
        <f>MIN($BE$14*InputData!$C$6/(1-(1+InputData!$C$6)^(-10)), LZ29+MA29)</f>
        <v>0</v>
      </c>
      <c r="MC29" s="32">
        <f t="shared" si="168"/>
        <v>0</v>
      </c>
      <c r="MD29" s="32">
        <f>MB29/((1+InputData!$C$3)^(IntMed!$B29-IntMed!$B$7))</f>
        <v>0</v>
      </c>
      <c r="ME29" s="32">
        <f>IF(LV29-InputData!$C$158-InputData!$C$159&gt;=0,LV29-InputData!$C$158-InputData!$C$159,0)</f>
        <v>206630.30397871017</v>
      </c>
      <c r="MF29" s="32">
        <f>IF(LV29-IF(LV29&lt;=InputData!$C$146,InputData!$C$145,0)-MAX(InputData!$C$144,ML29)&gt;=0,LV29-IF(LV29&lt;=InputData!$C$146,InputData!$C$145,0)-MAX(InputData!$C$144,ML29),0)</f>
        <v>200530.30397871017</v>
      </c>
      <c r="MG29" s="32">
        <f>IF(MF29&lt;0,"Error",IF(MF29&lt;=InputData!$B$170,InputData!$C$170*MF29,IF(MF29&lt;=InputData!$B$171,InputData!$D$170+InputData!$C$171*(MF29-InputData!$B$170),IF(MF29&lt;=InputData!$B$172,InputData!$D$171+InputData!$C$172*(MF29-InputData!$B$171),IF(MF29&lt;=InputData!$B$173,InputData!$D$172+InputData!$C$173*(MF29-InputData!$B$172),IF(MF29&lt;=InputData!$B$174,InputData!$D$173+InputData!$C$174*(MF29-InputData!$B$173),IF(MF29&lt;=InputData!$B$175,InputData!$D$174+InputData!$C$175*(MF29-InputData!$B$174),InputData!$D$175+InputData!$C$176*(MF29-InputData!$B$175))))))))</f>
        <v>50305.750312974356</v>
      </c>
      <c r="MH29" s="32">
        <f>IF(LV29&lt;=InputData!$C$150,InputData!$C$152,IF(LV29&lt;InputData!$C$151,IF(InputData!$C$152-0.25*IF(LV29-InputData!$C$150&lt;=0,0,LV29-InputData!$C$150)&lt;=0,0,InputData!$C$152-0.25*IF(LV29-InputData!$C$150&lt;=0,0,LV29-InputData!$C$150)),0))</f>
        <v>29092.424005322457</v>
      </c>
      <c r="MI29" s="32">
        <f>IF(LV29-MH29&lt;=0,0,IF(LV29-MH29&lt;=InputData!$C$153,InputData!$C$154*(LV29-MH29),InputData!$C$155*(LV29-MH29)-InputData!$D$154))</f>
        <v>46159.848793080811</v>
      </c>
      <c r="MJ29" s="32">
        <f t="shared" si="124"/>
        <v>50305.750312974356</v>
      </c>
      <c r="MK29" s="32">
        <f>IF(LV29&gt;=0,IF(LV29&lt;=InputData!$C$148,InputData!$C$147*LV29,InputData!$C$147*InputData!$C$148)+InputData!$C$149*LV29,0)</f>
        <v>10045.539407691296</v>
      </c>
      <c r="ML29" s="32">
        <f>IF(ME29&lt;0,0,IF(ME29&lt;=InputData!$B$163,InputData!$C$163*ME29,IF(ME29&lt;=InputData!$B$164,InputData!$D$163+InputData!$C$164*(ME29-InputData!$B$163),IF(ME29&lt;=InputData!$B$165,InputData!$D$164+InputData!$C$165*(ME29-InputData!$B$164),InputData!$D$165+InputData!$C$166*(ME29-InputData!$B$165)))))</f>
        <v>0</v>
      </c>
      <c r="MM29" s="43">
        <f t="shared" si="38"/>
        <v>0.29207375955311882</v>
      </c>
      <c r="MN29" s="32">
        <f t="shared" si="125"/>
        <v>146279.01425804454</v>
      </c>
      <c r="MO29" s="32">
        <f t="shared" si="126"/>
        <v>146279.01425804454</v>
      </c>
      <c r="MP29" s="32">
        <f>MO29/((1+InputData!$C$7)^(IntMed!$B29-IntMed!$B$7))</f>
        <v>76341.920577770245</v>
      </c>
      <c r="MQ29" s="5">
        <f t="shared" si="147"/>
        <v>1538007.7749697666</v>
      </c>
    </row>
    <row r="30" spans="1:355" x14ac:dyDescent="0.25">
      <c r="A30" s="53">
        <v>2036</v>
      </c>
      <c r="B30" s="51">
        <v>24</v>
      </c>
      <c r="C30" s="4"/>
      <c r="D30" s="45">
        <v>20</v>
      </c>
      <c r="E30" s="4" t="s">
        <v>179</v>
      </c>
      <c r="F30" s="5">
        <f>InputData!$M$21*12</f>
        <v>109072.79999999999</v>
      </c>
      <c r="G30" s="5">
        <f>(InputData!$M$21+InputData!$J$45+InputData!$G$50)*12+InputData!$J$50+InputData!$D$57+InputData!$J$57</f>
        <v>193064.8</v>
      </c>
      <c r="H30" s="5">
        <f>(InputData!$C$32+InputData!$C$40)*12</f>
        <v>21631.199999999997</v>
      </c>
      <c r="I30" s="5">
        <f t="shared" si="207"/>
        <v>214696</v>
      </c>
      <c r="J30" s="5">
        <f>G30*((1+InputData!$C$5)/(1+InputData!$C$3))^(IntMed!$B30-IntMed!$B$7)</f>
        <v>153918.47292749872</v>
      </c>
      <c r="K30" s="5">
        <f>H30*((1+InputData!$C$5)/(1+InputData!$C$3))^(IntMed!$B30-IntMed!$B$7)</f>
        <v>17245.200945948251</v>
      </c>
      <c r="L30" s="32">
        <f>IF(J30-InputData!$C$158-InputData!$C$159&gt;=0,J30-InputData!$C$158-InputData!$C$159,0)</f>
        <v>153918.47292749872</v>
      </c>
      <c r="M30" s="32">
        <f>IF(J30-IF(J30&lt;=InputData!$C$146,InputData!$C$145,0)-MAX(InputData!$C$144,S30)&gt;=0,J30-IF(J30&lt;=InputData!$C$146,InputData!$C$145,0)-MAX(InputData!$C$144,S30),0)</f>
        <v>147818.47292749872</v>
      </c>
      <c r="N30" s="32">
        <f>IF(M30&lt;0,"Error",IF(M30&lt;=InputData!$B$170,InputData!$C$170*M30,IF(M30&lt;=InputData!$B$171,InputData!$D$170+InputData!$C$171*(M30-InputData!$B$170),IF(M30&lt;=InputData!$B$172,InputData!$D$171+InputData!$C$172*(M30-InputData!$B$171),IF(M30&lt;=InputData!$B$173,InputData!$D$172+InputData!$C$173*(M30-InputData!$B$172),IF(M30&lt;=InputData!$B$174,InputData!$D$173+InputData!$C$174*(M30-InputData!$B$173),IF(M30&lt;=InputData!$B$175,InputData!$D$174+InputData!$C$175*(M30-InputData!$B$174),InputData!$D$175+InputData!$C$176*(M30-InputData!$B$175))))))))</f>
        <v>34682.422419699644</v>
      </c>
      <c r="O30" s="32">
        <f>IF(J30&lt;=InputData!$C$150,InputData!$C$152,IF(J30&lt;InputData!$C$151,IF(InputData!$C$152-0.25*IF(J30-InputData!$C$150&lt;=0,0,J30-InputData!$C$150)&lt;=0,0,InputData!$C$152-0.25*IF(J30-InputData!$C$150&lt;=0,0,J30-InputData!$C$150)),0))</f>
        <v>42270.38176812532</v>
      </c>
      <c r="P30" s="32">
        <f>IF(J30-O30&lt;=0,0,IF(J30-O30&lt;=InputData!$C$153,InputData!$C$154*(J30-O30),InputData!$C$155*(J30-O30)-InputData!$D$154))</f>
        <v>29028.503701437086</v>
      </c>
      <c r="Q30" s="32">
        <f t="shared" si="40"/>
        <v>34682.422419699644</v>
      </c>
      <c r="R30" s="32">
        <f>IF(J30&gt;=0,IF(J30&lt;=InputData!$C$148,InputData!$C$147*J30,InputData!$C$147*InputData!$C$148)+InputData!$C$149*J30,0)</f>
        <v>9281.2178574487316</v>
      </c>
      <c r="S30" s="32">
        <f>IF(L30&lt;0,0,IF(L30&lt;=InputData!$B$163,InputData!$C$163*L30,IF(L30&lt;=InputData!$B$164,InputData!$D$163+InputData!$C$164*(L30-InputData!$B$163),IF(L30&lt;=InputData!$B$165,InputData!$D$164+InputData!$C$165*(L30-InputData!$B$164),InputData!$D$165+InputData!$C$166*(L30-InputData!$B$165)))))</f>
        <v>0</v>
      </c>
      <c r="T30" s="43">
        <f t="shared" si="41"/>
        <v>0.28562939484110444</v>
      </c>
      <c r="U30" s="43">
        <f t="shared" si="42"/>
        <v>0.25685146434548789</v>
      </c>
      <c r="V30" s="5">
        <f t="shared" si="43"/>
        <v>127200.0335962986</v>
      </c>
      <c r="W30" s="32">
        <f>V30/((1+InputData!$C$7)^(IntMed!$B30-IntMed!$B$7))</f>
        <v>64451.207423224441</v>
      </c>
      <c r="X30" s="5">
        <f t="shared" si="208"/>
        <v>1499381.6004349594</v>
      </c>
      <c r="Y30" s="53"/>
      <c r="Z30" s="45">
        <v>20</v>
      </c>
      <c r="AA30" s="97" t="s">
        <v>266</v>
      </c>
      <c r="AB30" s="5">
        <f t="shared" si="192"/>
        <v>109072.79999999999</v>
      </c>
      <c r="AC30" s="5">
        <f t="shared" si="201"/>
        <v>193064.8</v>
      </c>
      <c r="AD30" s="5">
        <f t="shared" si="193"/>
        <v>21631.199999999997</v>
      </c>
      <c r="AE30" s="5">
        <f t="shared" si="209"/>
        <v>214696</v>
      </c>
      <c r="AF30" s="5">
        <f>AC30*((1+InputData!$C$5)/(1+InputData!$C$3))^(IntMed!$B30-IntMed!$B$7)</f>
        <v>153918.47292749872</v>
      </c>
      <c r="AG30" s="5">
        <f>AD30*((1+InputData!$C$5)/(1+InputData!$C$3))^(IntMed!$B30-IntMed!$B$7)</f>
        <v>17245.200945948251</v>
      </c>
      <c r="AH30" s="32">
        <f>IF(AF30-InputData!$C$158-InputData!$C$159&gt;=0,AF30-InputData!$C$158-InputData!$C$159,0)</f>
        <v>153918.47292749872</v>
      </c>
      <c r="AI30" s="32">
        <f>IF(AF30-IF(AF30&lt;=InputData!$C$146,InputData!$C$145,0)-MAX(InputData!$C$144,AO30)&gt;=0,AF30-IF(AF30&lt;=InputData!$C$146,InputData!$C$145,0)-MAX(InputData!$C$144,AO30),0)</f>
        <v>147818.47292749872</v>
      </c>
      <c r="AJ30" s="32">
        <f>IF(AI30&lt;0,"Error",IF(AI30&lt;=InputData!$B$170,InputData!$C$170*AI30,IF(AI30&lt;=InputData!$B$171,InputData!$D$170+InputData!$C$171*(AI30-InputData!$B$170),IF(AI30&lt;=InputData!$B$172,InputData!$D$171+InputData!$C$172*(AI30-InputData!$B$171),IF(AI30&lt;=InputData!$B$173,InputData!$D$172+InputData!$C$173*(AI30-InputData!$B$172),IF(AI30&lt;=InputData!$B$174,InputData!$D$173+InputData!$C$174*(AI30-InputData!$B$173),IF(AI30&lt;=InputData!$B$175,InputData!$D$174+InputData!$C$175*(AI30-InputData!$B$174),InputData!$D$175+InputData!$C$176*(AI30-InputData!$B$175))))))))</f>
        <v>34682.422419699644</v>
      </c>
      <c r="AK30" s="32">
        <f>IF(AF30&lt;=InputData!$C$150,InputData!$C$152,IF(AF30&lt;InputData!$C$151,IF(InputData!$C$152-0.25*IF(AF30-InputData!$C$150&lt;=0,0,AF30-InputData!$C$150)&lt;=0,0,InputData!$C$152-0.25*IF(AF30-InputData!$C$150&lt;=0,0,AF30-InputData!$C$150)),0))</f>
        <v>42270.38176812532</v>
      </c>
      <c r="AL30" s="32">
        <f>IF(AF30-AK30&lt;=0,0,IF(AF30-AK30&lt;=InputData!$C$153,InputData!$C$154*(AF30-AK30),InputData!$C$155*(AF30-AK30)-InputData!$D$154))</f>
        <v>29028.503701437086</v>
      </c>
      <c r="AM30" s="32">
        <f t="shared" si="45"/>
        <v>34682.422419699644</v>
      </c>
      <c r="AN30" s="32">
        <f>IF(AF30&gt;=0,IF(AF30&lt;=InputData!$C$148,InputData!$C$147*AF30,InputData!$C$147*InputData!$C$148)+InputData!$C$149*AF30,0)</f>
        <v>9281.2178574487316</v>
      </c>
      <c r="AO30" s="32">
        <f>IF(AH30&lt;0,0,IF(AH30&lt;=InputData!$B$163,InputData!$C$163*AH30,IF(AH30&lt;=InputData!$B$164,InputData!$D$163+InputData!$C$164*(AH30-InputData!$B$163),IF(AH30&lt;=InputData!$B$165,InputData!$D$164+InputData!$C$165*(AH30-InputData!$B$164),InputData!$D$165+InputData!$C$166*(AH30-InputData!$B$165)))))</f>
        <v>0</v>
      </c>
      <c r="AP30" s="43">
        <f t="shared" si="46"/>
        <v>0.28562939484110444</v>
      </c>
      <c r="AQ30" s="43">
        <f t="shared" si="47"/>
        <v>0.25685146434548789</v>
      </c>
      <c r="AR30" s="5">
        <f t="shared" si="48"/>
        <v>127200.0335962986</v>
      </c>
      <c r="AS30" s="32">
        <f>AR30/((1+InputData!$C$7)^(IntMed!$B30-IntMed!$B$7))</f>
        <v>64451.207423224441</v>
      </c>
      <c r="AT30" s="5">
        <f t="shared" si="210"/>
        <v>1477229.7830271358</v>
      </c>
      <c r="AU30" s="53"/>
      <c r="AV30" s="41" t="s">
        <v>109</v>
      </c>
      <c r="AW30" s="32">
        <f>$AW$14*(1+InputData!$C$3+InputData!$C$4)^(IntMed!$B30-IntMed!$B$14)</f>
        <v>329029.636796846</v>
      </c>
      <c r="AX30" s="32">
        <v>0</v>
      </c>
      <c r="AY30" s="32">
        <f t="shared" si="211"/>
        <v>329029.636796846</v>
      </c>
      <c r="AZ30" s="32">
        <f>AZ29*(1+InputData!$C$8)</f>
        <v>18118.572545559164</v>
      </c>
      <c r="BA30" s="32">
        <f>AW30/((1+InputData!$C$3)^(IntMed!$B30-IntMed!$B$7))</f>
        <v>208656.09127261909</v>
      </c>
      <c r="BB30" s="32">
        <f>AX30/((1+InputData!$C$3)^(IntMed!$B30-IntMed!$B$7))</f>
        <v>0</v>
      </c>
      <c r="BC30" s="32" t="s">
        <v>141</v>
      </c>
      <c r="BD30" s="32">
        <v>0</v>
      </c>
      <c r="BE30" s="32">
        <f t="shared" si="174"/>
        <v>0</v>
      </c>
      <c r="BF30" s="32">
        <f>(BE30)*InputData!$C$6</f>
        <v>0</v>
      </c>
      <c r="BG30" s="32">
        <f>MIN($BE$14*InputData!$C$6/(1-(1+InputData!$C$6)^(-10)), BE30+BF30)</f>
        <v>0</v>
      </c>
      <c r="BH30" s="32">
        <f t="shared" si="157"/>
        <v>0</v>
      </c>
      <c r="BI30" s="32">
        <f>BG30/((1+InputData!$C$3)^(IntMed!$B30-IntMed!$B$7))</f>
        <v>0</v>
      </c>
      <c r="BJ30" s="32">
        <f>IF(BA30-InputData!$C$158-InputData!$C$159&gt;=0,BA30-InputData!$C$158-InputData!$C$159,0)</f>
        <v>208656.09127261909</v>
      </c>
      <c r="BK30" s="32">
        <f>IF(BA30-IF(BA30&lt;=InputData!$C$146,InputData!$C$145,0)-MAX(InputData!$C$144,BQ30)&gt;=0,BA30-IF(BA30&lt;=InputData!$C$146,InputData!$C$145,0)-MAX(InputData!$C$144,BQ30),0)</f>
        <v>202556.09127261909</v>
      </c>
      <c r="BL30" s="32">
        <f>IF(BK30&lt;0,"Error",IF(BK30&lt;=InputData!$B$170,InputData!$C$170*BK30,IF(BK30&lt;=InputData!$B$171,InputData!$D$170+InputData!$C$171*(BK30-InputData!$B$170),IF(BK30&lt;=InputData!$B$172,InputData!$D$171+InputData!$C$172*(BK30-InputData!$B$171),IF(BK30&lt;=InputData!$B$173,InputData!$D$172+InputData!$C$173*(BK30-InputData!$B$172),IF(BK30&lt;=InputData!$B$174,InputData!$D$173+InputData!$C$174*(BK30-InputData!$B$173),IF(BK30&lt;=InputData!$B$175,InputData!$D$174+InputData!$C$175*(BK30-InputData!$B$174),InputData!$D$175+InputData!$C$176*(BK30-InputData!$B$175))))))))</f>
        <v>50974.260119964296</v>
      </c>
      <c r="BM30" s="32">
        <f>IF(BA30&lt;=InputData!$C$150,InputData!$C$152,IF(BA30&lt;InputData!$C$151,IF(InputData!$C$152-0.25*IF(BA30-InputData!$C$150&lt;=0,0,BA30-InputData!$C$150)&lt;=0,0,InputData!$C$152-0.25*IF(BA30-InputData!$C$150&lt;=0,0,BA30-InputData!$C$150)),0))</f>
        <v>28585.977181845228</v>
      </c>
      <c r="BN30" s="32">
        <f>IF(BA30-BM30&lt;=0,0,IF(BA30-BM30&lt;=InputData!$C$153,InputData!$C$154*(BA30-BM30),InputData!$C$155*(BA30-BM30)-InputData!$D$154))</f>
        <v>46829.631945416688</v>
      </c>
      <c r="BO30" s="32">
        <f t="shared" si="51"/>
        <v>50974.260119964296</v>
      </c>
      <c r="BP30" s="32">
        <f>IF(BA30&gt;=0,IF(BA30&lt;=InputData!$C$148,InputData!$C$147*BA30,InputData!$C$147*InputData!$C$148)+InputData!$C$149*BA30,0)</f>
        <v>10074.913323452976</v>
      </c>
      <c r="BQ30" s="32">
        <f>IF(BJ30&lt;0,0,IF(BJ30&lt;=InputData!$B$163,InputData!$C$163*BJ30,IF(BJ30&lt;=InputData!$B$164,InputData!$D$163+InputData!$C$164*(BJ30-InputData!$B$163),IF(BJ30&lt;=InputData!$B$165,InputData!$D$164+InputData!$C$165*(BJ30-InputData!$B$164),InputData!$D$165+InputData!$C$166*(BJ30-InputData!$B$165)))))</f>
        <v>0</v>
      </c>
      <c r="BR30" s="43">
        <f t="shared" si="52"/>
        <v>0.29258275217881669</v>
      </c>
      <c r="BS30" s="32">
        <f t="shared" si="53"/>
        <v>147606.91782920182</v>
      </c>
      <c r="BT30" s="32">
        <f t="shared" si="54"/>
        <v>147606.91782920182</v>
      </c>
      <c r="BU30" s="32">
        <f>BT30/((1+InputData!$C$7)^(IntMed!$B30-IntMed!$B$7))</f>
        <v>74791.207275196532</v>
      </c>
      <c r="BV30" s="5">
        <f t="shared" si="130"/>
        <v>1229127.4342202926</v>
      </c>
      <c r="BW30" s="5"/>
      <c r="BX30" s="32" t="s">
        <v>141</v>
      </c>
      <c r="BY30" s="5">
        <f t="shared" si="175"/>
        <v>131975.59297926966</v>
      </c>
      <c r="BZ30" s="32">
        <f>(BY30)*InputData!$C$6</f>
        <v>8195.6843240126454</v>
      </c>
      <c r="CA30" s="32">
        <f>MIN($BY$14*InputData!$C$6/(1-(1+InputData!$C$6)^(-25)), BY30+BZ30)</f>
        <v>19581.069601718285</v>
      </c>
      <c r="CB30" s="32">
        <f t="shared" si="176"/>
        <v>120590.20770156401</v>
      </c>
      <c r="CC30" s="32">
        <f>CA30/((1+InputData!$C$3)^(IntMed!$B30-IntMed!$B$7))</f>
        <v>12417.451162778665</v>
      </c>
      <c r="CD30" s="5">
        <f t="shared" si="58"/>
        <v>135189.46666642316</v>
      </c>
      <c r="CE30" s="32">
        <f>CD30/((1+InputData!$C$7)^(IntMed!$B30-IntMed!$B$7))</f>
        <v>68499.387234487876</v>
      </c>
      <c r="CF30" s="5">
        <f t="shared" si="131"/>
        <v>1258495.270363267</v>
      </c>
      <c r="CG30" s="5"/>
      <c r="CH30" s="32" t="s">
        <v>141</v>
      </c>
      <c r="CI30" s="5">
        <f t="shared" si="177"/>
        <v>0</v>
      </c>
      <c r="CJ30" s="32">
        <f>(CI30)*InputData!$C$6</f>
        <v>0</v>
      </c>
      <c r="CK30" s="32">
        <f t="shared" si="170"/>
        <v>0</v>
      </c>
      <c r="CL30" s="32">
        <f t="shared" si="178"/>
        <v>0</v>
      </c>
      <c r="CM30" s="32">
        <f>CK30/((1+InputData!$C$3)^(IntMed!$B30-IntMed!$B$7))</f>
        <v>0</v>
      </c>
      <c r="CN30" s="5">
        <f t="shared" si="62"/>
        <v>147606.91782920182</v>
      </c>
      <c r="CO30" s="32">
        <f>CN30/((1+InputData!$C$7)^(IntMed!$B30-IntMed!$B$7))</f>
        <v>74791.207275196532</v>
      </c>
      <c r="CP30" s="5">
        <f t="shared" si="132"/>
        <v>1227753.9985473554</v>
      </c>
      <c r="CQ30" s="5"/>
      <c r="CR30" s="32" t="s">
        <v>141</v>
      </c>
      <c r="CS30" s="5">
        <f t="shared" si="179"/>
        <v>52336.666822316613</v>
      </c>
      <c r="CT30" s="32">
        <f>(CS30)*InputData!$C$6</f>
        <v>3250.1070096658618</v>
      </c>
      <c r="CU30" s="32">
        <f t="shared" si="171"/>
        <v>30185.177797850723</v>
      </c>
      <c r="CV30" s="32">
        <f t="shared" si="180"/>
        <v>25401.596034131748</v>
      </c>
      <c r="CW30" s="32">
        <f>CU30/((1+InputData!$C$3)^(IntMed!$B30-IntMed!$B$7))</f>
        <v>19142.109127261905</v>
      </c>
      <c r="CX30" s="5">
        <f t="shared" si="66"/>
        <v>128464.80870193991</v>
      </c>
      <c r="CY30" s="32">
        <f>CX30/((1+InputData!$C$7)^(IntMed!$B30-IntMed!$B$7))</f>
        <v>65092.058532872186</v>
      </c>
      <c r="CZ30" s="5">
        <f t="shared" si="133"/>
        <v>1229359.3727407956</v>
      </c>
      <c r="DA30" s="5"/>
      <c r="DB30" s="32" t="s">
        <v>141</v>
      </c>
      <c r="DC30" s="5">
        <f t="shared" si="158"/>
        <v>0</v>
      </c>
      <c r="DD30" s="5">
        <f>DC30*InputData!$C$6</f>
        <v>0</v>
      </c>
      <c r="DE30" s="32">
        <f t="shared" si="159"/>
        <v>0</v>
      </c>
      <c r="DF30" s="32">
        <f t="shared" si="160"/>
        <v>0</v>
      </c>
      <c r="DG30" s="32">
        <f>DE30/((1+InputData!$C$3)^(IntMed!$B30-IntMed!$B$7))</f>
        <v>0</v>
      </c>
      <c r="DH30" s="5">
        <f t="shared" si="70"/>
        <v>147606.91782920182</v>
      </c>
      <c r="DI30" s="32">
        <f>DH30/((1+InputData!$C$7)^(IntMed!$B30-IntMed!$B$7))</f>
        <v>74791.207275196532</v>
      </c>
      <c r="DJ30" s="5">
        <f t="shared" si="134"/>
        <v>1233060.205800639</v>
      </c>
      <c r="DK30" s="5"/>
      <c r="DL30" s="32" t="s">
        <v>141</v>
      </c>
      <c r="DM30" s="32">
        <f t="shared" si="181"/>
        <v>0</v>
      </c>
      <c r="DN30" s="5">
        <f>DM30*InputData!$C$6</f>
        <v>0</v>
      </c>
      <c r="DO30" s="32">
        <f t="shared" si="182"/>
        <v>0</v>
      </c>
      <c r="DP30" s="32">
        <f t="shared" si="150"/>
        <v>0</v>
      </c>
      <c r="DQ30" s="32">
        <f t="shared" si="151"/>
        <v>0</v>
      </c>
      <c r="DR30" s="32">
        <f>DP30/((1+InputData!$C$3)^(IntMed!$B30-IntMed!$B$7))</f>
        <v>0</v>
      </c>
      <c r="DS30" s="5">
        <f t="shared" si="74"/>
        <v>147606.91782920182</v>
      </c>
      <c r="DT30" s="32">
        <f>DS30/((1+InputData!$C$7)^(IntMed!$B30-IntMed!$B$7))</f>
        <v>74791.207275196532</v>
      </c>
      <c r="DU30" s="5">
        <f t="shared" si="136"/>
        <v>1229060.0356117096</v>
      </c>
      <c r="DV30" s="5"/>
      <c r="DW30" s="32" t="s">
        <v>141</v>
      </c>
      <c r="DX30" s="133">
        <f t="shared" si="161"/>
        <v>14627.725082591856</v>
      </c>
      <c r="DY30" s="5">
        <f>DX30*InputData!$C$6</f>
        <v>908.38172762895431</v>
      </c>
      <c r="DZ30" s="133">
        <f t="shared" si="162"/>
        <v>0</v>
      </c>
      <c r="EA30" s="32">
        <f t="shared" si="163"/>
        <v>15536.10681022081</v>
      </c>
      <c r="EB30" s="32">
        <f t="shared" si="164"/>
        <v>0</v>
      </c>
      <c r="EC30" s="32">
        <f>EA30/((1+InputData!$C$3)^(IntMed!$B30-IntMed!$B$7))</f>
        <v>9852.3140716838498</v>
      </c>
      <c r="ED30" s="5">
        <f t="shared" si="78"/>
        <v>137754.60375751797</v>
      </c>
      <c r="EE30" s="32">
        <f>ED30/((1+InputData!$C$7)^(IntMed!$B30-IntMed!$B$7))</f>
        <v>69799.121032136565</v>
      </c>
      <c r="EF30" s="5">
        <f t="shared" si="138"/>
        <v>1225067.8718296164</v>
      </c>
      <c r="EG30" s="32"/>
      <c r="EH30" s="130" t="s">
        <v>141</v>
      </c>
      <c r="EI30" s="32">
        <v>0</v>
      </c>
      <c r="EJ30" s="32">
        <f t="shared" si="212"/>
        <v>60574.091979332894</v>
      </c>
      <c r="EK30" s="32">
        <f>EJ30*InputData!$C$6</f>
        <v>3761.651111916573</v>
      </c>
      <c r="EL30" s="32">
        <f t="shared" si="213"/>
        <v>34150.565293398795</v>
      </c>
      <c r="EM30" s="32">
        <f>EM29*(1+InputData!$C$8)</f>
        <v>18118.572545559164</v>
      </c>
      <c r="EN30" s="32">
        <f t="shared" si="172"/>
        <v>30185.177797850723</v>
      </c>
      <c r="EO30" s="32">
        <f>AW30/((1+InputData!$C$3)^(IntMed!$B30-IntMed!$B$7))</f>
        <v>208656.09127261909</v>
      </c>
      <c r="EP30" s="32">
        <f>AX30/((1+InputData!$C$3)^(IntMed!$B30-IntMed!$B$7))</f>
        <v>0</v>
      </c>
      <c r="EQ30" s="32">
        <v>50745.64</v>
      </c>
      <c r="ER30" s="32">
        <v>8776.14</v>
      </c>
      <c r="ES30" s="32">
        <v>0</v>
      </c>
      <c r="ET30" s="42">
        <f t="shared" si="214"/>
        <v>0.28526260430246425</v>
      </c>
      <c r="EU30" s="32">
        <f t="shared" si="215"/>
        <v>149134.31127261906</v>
      </c>
      <c r="EV30" s="32">
        <f>EN30/((1+InputData!$C$3)^(IntMed!$B30-IntMed!$B$7))</f>
        <v>19142.109127261905</v>
      </c>
      <c r="EW30" s="32">
        <f t="shared" si="216"/>
        <v>129992.20214535715</v>
      </c>
      <c r="EX30" s="32">
        <f>EW30/((1+InputData!$C$7)^(IntMed!$B30-IntMed!$B$7))</f>
        <v>65865.976187257314</v>
      </c>
      <c r="EY30" s="5">
        <f t="shared" si="217"/>
        <v>1248209.1056499672</v>
      </c>
      <c r="EZ30" s="79"/>
      <c r="FA30" s="32">
        <f t="shared" si="203"/>
        <v>0</v>
      </c>
      <c r="FB30" s="32">
        <f>FA30*InputData!$C$6</f>
        <v>0</v>
      </c>
      <c r="FC30" s="32">
        <f t="shared" si="204"/>
        <v>0</v>
      </c>
      <c r="FD30" s="53">
        <f>MIN($EJ$14*InputData!$C$6/(1-(1+InputData!$C$6)^(-10)), FA30+FB30)</f>
        <v>0</v>
      </c>
      <c r="FE30" s="32">
        <f>FD30/((1+InputData!$C$3)^(IntMed!$B30-IntMed!$B$7))</f>
        <v>0</v>
      </c>
      <c r="FF30" s="5">
        <f t="shared" si="84"/>
        <v>149134.31127261906</v>
      </c>
      <c r="FG30" s="32">
        <f>FF30/((1+InputData!$C$7)^(IntMed!$B30-IntMed!$B$7))</f>
        <v>75565.124929581667</v>
      </c>
      <c r="FH30" s="5">
        <f t="shared" si="140"/>
        <v>1245508.8682538692</v>
      </c>
      <c r="FI30" s="79"/>
      <c r="FJ30" s="32">
        <f t="shared" si="185"/>
        <v>133665.15815611527</v>
      </c>
      <c r="FK30" s="32">
        <f>FJ30*InputData!$C$6</f>
        <v>8300.606321494759</v>
      </c>
      <c r="FL30" s="32">
        <f t="shared" si="186"/>
        <v>122134.0159997631</v>
      </c>
      <c r="FM30" s="53">
        <f>MIN($EJ$14*InputData!$C$6/(1-(1+InputData!$C$6)^(-25)), FJ30+FK30)</f>
        <v>19831.748477846937</v>
      </c>
      <c r="FN30" s="32">
        <f>FM30/((1+InputData!$C$3)^(IntMed!$B30-IntMed!$B$7))</f>
        <v>12576.420655517439</v>
      </c>
      <c r="FO30" s="5">
        <f t="shared" si="88"/>
        <v>136557.89061710163</v>
      </c>
      <c r="FP30" s="32">
        <f>FO30/((1+InputData!$C$7)^(IntMed!$B30-IntMed!$B$7))</f>
        <v>69192.756358650222</v>
      </c>
      <c r="FQ30" s="5">
        <f t="shared" si="141"/>
        <v>1275252.6744693876</v>
      </c>
      <c r="FR30" s="79"/>
      <c r="FS30" s="32">
        <f t="shared" si="187"/>
        <v>0</v>
      </c>
      <c r="FT30" s="32">
        <f>FS30*InputData!$C$6</f>
        <v>0</v>
      </c>
      <c r="FU30" s="32">
        <f t="shared" si="188"/>
        <v>0</v>
      </c>
      <c r="FV30" s="5">
        <f t="shared" si="173"/>
        <v>0</v>
      </c>
      <c r="FW30" s="32">
        <f>FV30/((1+InputData!$C$3)^(IntMed!$B30-IntMed!$B$7))</f>
        <v>0</v>
      </c>
      <c r="FX30" s="5">
        <f t="shared" si="92"/>
        <v>149134.31127261906</v>
      </c>
      <c r="FY30" s="32">
        <f>FX30/((1+InputData!$C$7)^(IntMed!$B30-IntMed!$B$7))</f>
        <v>75565.124929581667</v>
      </c>
      <c r="FZ30" s="5">
        <f t="shared" si="142"/>
        <v>1243964.2189771908</v>
      </c>
      <c r="GC30" s="45">
        <f t="shared" si="3"/>
        <v>20</v>
      </c>
      <c r="GD30" s="123" t="str">
        <f t="shared" si="4"/>
        <v>Multi-Year (O6&gt;18= (BP+BAH+BAS+VSP+BCPSP)*12+ASP+ISP+MSP)</v>
      </c>
      <c r="GE30" s="120">
        <f>($G30+$H30-(InputData!$J$57-InputData!$H$57))*((1+InputData!$C$5)/((1+InputData!$C$3)*(1+InputData!$C$7)))^(IntMed!$B30-IntMed!$B$7)</f>
        <v>77840.24207716847</v>
      </c>
      <c r="GF30" s="120">
        <f>($G30+$H30-(InputData!$J$57-InputData!$I$57))*((1+InputData!$C$5)/((1+InputData!$C$3)*(1+InputData!$C$7)))^(IntMed!$B30-IntMed!$B$7)</f>
        <v>81879.778034176838</v>
      </c>
      <c r="GG30" s="120">
        <f>($G30+$H30)*((1+InputData!$C$5)/((1+InputData!$C$3)*(1+InputData!$C$7)))^(IntMed!$B30-IntMed!$B$7)</f>
        <v>86727.221182586873</v>
      </c>
      <c r="GH30" s="120">
        <f>($G30+$H30)*((1+InputData!$C$5)/((1+InputData!$C$3)*(1+InputData!$C$7)))^(IntMed!$B30-IntMed!$B$7)</f>
        <v>86727.221182586873</v>
      </c>
      <c r="GI30" s="5">
        <f t="shared" si="5"/>
        <v>193064.8</v>
      </c>
      <c r="GJ30" s="5">
        <f t="shared" si="6"/>
        <v>21631.199999999997</v>
      </c>
      <c r="GK30" s="5">
        <f t="shared" si="7"/>
        <v>214696</v>
      </c>
      <c r="GL30" s="5">
        <f t="shared" si="8"/>
        <v>153918.47292749872</v>
      </c>
      <c r="GM30" s="5">
        <f t="shared" si="9"/>
        <v>17245.200945948251</v>
      </c>
      <c r="GN30" s="32">
        <f>IF(GL30-InputData!$C$158-InputData!$C$159&gt;=0,GL30-InputData!$C$158-InputData!$C$159,0)</f>
        <v>153918.47292749872</v>
      </c>
      <c r="GO30" s="32">
        <f>IF(GL30-IF(GL30&lt;=InputData!$C$146,InputData!$C$145,0)-MAX(InputData!$C$144,GU30)&gt;=0,GL30-IF(GL30&lt;=InputData!$C$146,InputData!$C$145,0)-MAX(InputData!$C$144,GU30),0)</f>
        <v>147818.47292749872</v>
      </c>
      <c r="GP30" s="32">
        <f>IF(GO30&lt;0,"Error",IF(GO30&lt;=InputData!$B$170,InputData!$C$170*GO30,IF(GO30&lt;=InputData!$B$171,InputData!$D$170+InputData!$C$171*(GO30-InputData!$B$170),IF(GO30&lt;=InputData!$B$172,InputData!$D$171+InputData!$C$172*(GO30-InputData!$B$171),IF(GO30&lt;=InputData!$B$173,InputData!$D$172+InputData!$C$173*(GO30-InputData!$B$172),IF(GO30&lt;=InputData!$B$174,InputData!$D$173+InputData!$C$174*(GO30-InputData!$B$173),IF(GO30&lt;=InputData!$B$175,InputData!$D$174+InputData!$C$175*(GO30-InputData!$B$174),InputData!$D$175+InputData!$C$176*(GO30-InputData!$B$175))))))))</f>
        <v>34682.422419699644</v>
      </c>
      <c r="GQ30" s="32">
        <f>IF(GL30&lt;=InputData!$C$150,InputData!$C$152,IF(GL30&lt;InputData!$C$151,IF(InputData!$C$152-0.25*IF(GL30-InputData!$C$150&lt;=0,0,GL30-InputData!$C$150)&lt;=0,0,InputData!$C$152-0.25*IF(GL30-InputData!$C$150&lt;=0,0,GL30-InputData!$C$150)),0))</f>
        <v>42270.38176812532</v>
      </c>
      <c r="GR30" s="32">
        <f>IF(GL30-GQ30&lt;=0,0,IF(GL30-GQ30&lt;=InputData!$C$153,InputData!$C$154*(GL30-GQ30),InputData!$C$155*(GL30-GQ30)-InputData!$D$154))</f>
        <v>29028.503701437086</v>
      </c>
      <c r="GS30" s="32">
        <f t="shared" si="93"/>
        <v>34682.422419699644</v>
      </c>
      <c r="GT30" s="32">
        <f>IF(GL30&gt;=0,IF(GL30&lt;=InputData!$C$148,InputData!$C$147*GL30,InputData!$C$147*InputData!$C$148)+InputData!$C$149*GL30,0)</f>
        <v>9281.2178574487316</v>
      </c>
      <c r="GU30" s="32">
        <f>IF(GN30&lt;0,0,IF(GN30&lt;=InputData!$B$163,InputData!$C$163*GN30,IF(GN30&lt;=InputData!$B$164,InputData!$D$163+InputData!$C$164*(GN30-InputData!$B$163),IF(GN30&lt;=InputData!$B$165,InputData!$D$164+InputData!$C$165*(GN30-InputData!$B$164),InputData!$D$165+InputData!$C$166*(GN30-InputData!$B$165)))))</f>
        <v>0</v>
      </c>
      <c r="GV30" s="43">
        <f t="shared" si="10"/>
        <v>0.28562939484110444</v>
      </c>
      <c r="GW30" s="43">
        <f t="shared" si="11"/>
        <v>0.25685146434548789</v>
      </c>
      <c r="GX30" s="5">
        <f t="shared" si="12"/>
        <v>127200.0335962986</v>
      </c>
      <c r="GY30" s="32">
        <f>GX30/((1+InputData!$C$7)^(IntMed!$B30-IntMed!$B$7))</f>
        <v>64451.207423224441</v>
      </c>
      <c r="GZ30" s="32">
        <f t="shared" si="94"/>
        <v>1499381.6004349594</v>
      </c>
      <c r="HB30" s="45">
        <f t="shared" si="13"/>
        <v>20</v>
      </c>
      <c r="HC30" s="46" t="str">
        <f t="shared" si="195"/>
        <v>Multi-Year (O6&gt;18= (BP+BAH+BAS+VSP+BCPSP)*12+ASP+ISP+MSP)</v>
      </c>
      <c r="HD30" s="120">
        <f>($AC30+$AD30-InputData!$J$57)*((1+InputData!$C$5)/((1+InputData!$C$3)*(1+InputData!$C$7)))^(IntMed!$B30-IntMed!$B$7)</f>
        <v>72588.845333057587</v>
      </c>
      <c r="HE30" s="120">
        <f>($AC30+$AD30-(InputData!$J$57-InputData!$H$57))*((1+InputData!$C$5)/((1+InputData!$C$3)*(1+InputData!$C$7)))^(IntMed!$B30-IntMed!$B$7)</f>
        <v>77840.24207716847</v>
      </c>
      <c r="HF30" s="120">
        <f>($AC30+$AD30-(InputData!$J$57-InputData!$I$57))*((1+InputData!$C$5)/((1+InputData!$C$3)*(1+InputData!$C$7)))^(IntMed!$B30-IntMed!$B$7)</f>
        <v>81879.778034176838</v>
      </c>
      <c r="HG30" s="120">
        <f>($AC30+$AD30-(InputData!$J$57-InputData!$J$57))*((1+InputData!$C$5)/((1+InputData!$C$3)*(1+InputData!$C$7)))^(IntMed!$B30-IntMed!$B$7)</f>
        <v>86727.221182586873</v>
      </c>
      <c r="HH30" s="5">
        <f t="shared" si="196"/>
        <v>193064.8</v>
      </c>
      <c r="HI30" s="5">
        <f t="shared" si="197"/>
        <v>21631.199999999997</v>
      </c>
      <c r="HJ30" s="5">
        <f t="shared" si="198"/>
        <v>214696</v>
      </c>
      <c r="HK30" s="5">
        <f t="shared" si="199"/>
        <v>153918.47292749872</v>
      </c>
      <c r="HL30" s="5">
        <f t="shared" si="200"/>
        <v>17245.200945948251</v>
      </c>
      <c r="HM30" s="32">
        <f>IF(HK30-InputData!$C$158-InputData!$C$159&gt;=0,HK30-InputData!$C$158-InputData!$C$159,0)</f>
        <v>153918.47292749872</v>
      </c>
      <c r="HN30" s="32">
        <f>IF(HK30-IF(HK30&lt;=InputData!$C$146,InputData!$C$145,0)-MAX(InputData!$C$144,HT30)&gt;=0,HK30-IF(HK30&lt;=InputData!$C$146,InputData!$C$145,0)-MAX(InputData!$C$144,HT30),0)</f>
        <v>147818.47292749872</v>
      </c>
      <c r="HO30" s="32">
        <f>IF(HN30&lt;0,"Error",IF(HN30&lt;=InputData!$B$170,InputData!$C$170*HN30,IF(HN30&lt;=InputData!$B$171,InputData!$D$170+InputData!$C$171*(HN30-InputData!$B$170),IF(HN30&lt;=InputData!$B$172,InputData!$D$171+InputData!$C$172*(HN30-InputData!$B$171),IF(HN30&lt;=InputData!$B$173,InputData!$D$172+InputData!$C$173*(HN30-InputData!$B$172),IF(HN30&lt;=InputData!$B$174,InputData!$D$173+InputData!$C$174*(HN30-InputData!$B$173),IF(HN30&lt;=InputData!$B$175,InputData!$D$174+InputData!$C$175*(HN30-InputData!$B$174),InputData!$D$175+InputData!$C$176*(HN30-InputData!$B$175))))))))</f>
        <v>34682.422419699644</v>
      </c>
      <c r="HP30" s="32">
        <f>IF(HK30&lt;=InputData!$C$150,InputData!$C$152,IF(HK30&lt;InputData!$C$151,IF(InputData!$C$152-0.25*IF(HK30-InputData!$C$150&lt;=0,0,HK30-InputData!$C$150)&lt;=0,0,InputData!$C$152-0.25*IF(HK30-InputData!$C$150&lt;=0,0,HK30-InputData!$C$150)),0))</f>
        <v>42270.38176812532</v>
      </c>
      <c r="HQ30" s="32">
        <f>IF(HK30-HP30&lt;=0,0,IF(HK30-HP30&lt;=InputData!$C$153,InputData!$C$154*(HK30-HP30),InputData!$C$155*(HK30-HP30)-InputData!$D$154))</f>
        <v>29028.503701437086</v>
      </c>
      <c r="HR30" s="32">
        <f t="shared" si="95"/>
        <v>34682.422419699644</v>
      </c>
      <c r="HS30" s="32">
        <f>IF(HK30&gt;=0,IF(HK30&lt;=InputData!$C$148,InputData!$C$147*HK30,InputData!$C$147*InputData!$C$148)+InputData!$C$149*HK30,0)</f>
        <v>9281.2178574487316</v>
      </c>
      <c r="HT30" s="32">
        <f>IF(HM30&lt;0,0,IF(HM30&lt;=InputData!$B$163,InputData!$C$163*HM30,IF(HM30&lt;=InputData!$B$164,InputData!$D$163+InputData!$C$164*(HM30-InputData!$B$163),IF(HM30&lt;=InputData!$B$165,InputData!$D$164+InputData!$C$165*(HM30-InputData!$B$164),InputData!$D$165+InputData!$C$166*(HM30-InputData!$B$165)))))</f>
        <v>0</v>
      </c>
      <c r="HU30" s="43">
        <f t="shared" si="96"/>
        <v>0.28562939484110444</v>
      </c>
      <c r="HV30" s="43">
        <f t="shared" si="97"/>
        <v>0.25685146434548789</v>
      </c>
      <c r="HW30" s="5">
        <f t="shared" si="98"/>
        <v>127200.0335962986</v>
      </c>
      <c r="HX30" s="32">
        <f>HW30/((1+InputData!$C$7)^(IntMed!$B30-IntMed!$B$7))</f>
        <v>64451.207423224441</v>
      </c>
      <c r="HY30" s="32">
        <f t="shared" si="99"/>
        <v>1477229.7830271358</v>
      </c>
      <c r="IA30" s="41"/>
      <c r="IB30" s="4" t="s">
        <v>109</v>
      </c>
      <c r="IC30" s="32">
        <f>MIN(InputData!$C$13+InputData!$E$13*($B30-$B$21),1)*IntMed!AW30</f>
        <v>296126.67311716138</v>
      </c>
      <c r="ID30" s="32">
        <f>MIN(InputData!$C$13+InputData!$E$13*($B30-$B$21),1)*IntMed!AX30</f>
        <v>0</v>
      </c>
      <c r="IE30" s="32">
        <f>MIN(InputData!$C$13+InputData!$E$13*($B30-$B$21),1)*IntMed!AY30</f>
        <v>296126.67311716138</v>
      </c>
      <c r="IF30" s="32">
        <f>MIN(InputData!$C$13+InputData!$E$13*($B30-$B$21),1)*IntMed!EO30</f>
        <v>187790.48214535718</v>
      </c>
      <c r="IG30" s="32">
        <f>MIN(InputData!$C$13+InputData!$E$13*($B30-$B$21),1)*IntMed!EP30</f>
        <v>0</v>
      </c>
      <c r="IH30" s="32">
        <f>IF(IF30-InputData!$C$158-InputData!$C$159&gt;=0,IF30-InputData!$C$158-InputData!$C$159,0)</f>
        <v>187790.48214535718</v>
      </c>
      <c r="II30" s="32">
        <f>IF(IF30-IF(IF30&lt;=InputData!$C$146,InputData!$C$145,0)-MAX(InputData!$C$144,IO30)&gt;=0,IF30-IF(IF30&lt;=InputData!$C$146,InputData!$C$145,0)-MAX(InputData!$C$144,IO30),0)</f>
        <v>181690.48214535718</v>
      </c>
      <c r="IJ30" s="32">
        <f>IF(II30&lt;0,"Error",IF(II30&lt;=InputData!$B$170,InputData!$C$170*II30,IF(II30&lt;=InputData!$B$171,InputData!$D$170+InputData!$C$171*(II30-InputData!$B$170),IF(II30&lt;=InputData!$B$172,InputData!$D$171+InputData!$C$172*(II30-InputData!$B$171),IF(II30&lt;=InputData!$B$173,InputData!$D$172+InputData!$C$173*(II30-InputData!$B$172),IF(II30&lt;=InputData!$B$174,InputData!$D$173+InputData!$C$174*(II30-InputData!$B$173),IF(II30&lt;=InputData!$B$175,InputData!$D$174+InputData!$C$175*(II30-InputData!$B$174),InputData!$D$175+InputData!$C$176*(II30-InputData!$B$175))))))))</f>
        <v>44166.585000700012</v>
      </c>
      <c r="IK30" s="32">
        <f>IF(IF30&lt;=InputData!$C$150,InputData!$C$152,IF(IF30&lt;InputData!$C$151,IF(InputData!$C$152-0.25*IF(IF30-InputData!$C$150&lt;=0,0,IF30-InputData!$C$150)&lt;=0,0,InputData!$C$152-0.25*IF(IF30-InputData!$C$150&lt;=0,0,IF30-InputData!$C$150)),0))</f>
        <v>33802.379463660705</v>
      </c>
      <c r="IL30" s="32">
        <f>IF(IF30-IK30&lt;=0,0,IF(IF30-IK30&lt;=InputData!$C$153,InputData!$C$154*(IF30-IK30),InputData!$C$155*(IF30-IK30)-InputData!$D$154))</f>
        <v>40036.906697241087</v>
      </c>
      <c r="IM30" s="32">
        <f t="shared" si="100"/>
        <v>44166.585000700012</v>
      </c>
      <c r="IN30" s="32">
        <f>IF(IF30&gt;=0,IF(IF30&lt;=InputData!$C$148,InputData!$C$147*IF30,InputData!$C$147*InputData!$C$148)+InputData!$C$149*IF30,0)</f>
        <v>9772.3619911076785</v>
      </c>
      <c r="IO30" s="32">
        <f>IF(IH30&lt;0,0,IF(IH30&lt;=InputData!$B$163,InputData!$C$163*IH30,IF(IH30&lt;=InputData!$B$164,InputData!$D$163+InputData!$C$164*(IH30-InputData!$B$163),IF(IH30&lt;=InputData!$B$165,InputData!$D$164+InputData!$C$165*(IH30-InputData!$B$164),InputData!$D$165+InputData!$C$166*(IH30-InputData!$B$165)))))</f>
        <v>0</v>
      </c>
      <c r="IP30" s="43">
        <f t="shared" si="101"/>
        <v>0.28722939722821966</v>
      </c>
      <c r="IQ30" s="43">
        <f t="shared" si="102"/>
        <v>0.28722939722821966</v>
      </c>
      <c r="IR30" s="5">
        <f t="shared" si="27"/>
        <v>133851.53515354948</v>
      </c>
      <c r="IS30" s="32">
        <f>IR30/((1+InputData!$C$7)^(IntMed!$B30-IntMed!$B$7))</f>
        <v>67821.468376950725</v>
      </c>
      <c r="IT30" s="5">
        <f t="shared" si="103"/>
        <v>1529988.2840742352</v>
      </c>
      <c r="IV30" s="41"/>
      <c r="IW30" s="49" t="s">
        <v>109</v>
      </c>
      <c r="IX30" s="32">
        <f>MIN(InputData!$C$13+InputData!$E$13*($B30-$B$18),1)*IntMed!AW30</f>
        <v>296126.67311716138</v>
      </c>
      <c r="IY30" s="32">
        <f>MIN(InputData!$C$13+InputData!$E$13*($B30-$B$18),1)*IntMed!AX30</f>
        <v>0</v>
      </c>
      <c r="IZ30" s="32">
        <f>MIN(InputData!$C$13+InputData!$E$13*($B30-$B$18),1)*IntMed!AY30</f>
        <v>296126.67311716138</v>
      </c>
      <c r="JA30" s="32">
        <f>MIN(InputData!$C$13+InputData!$E$13*($B30-$B$18),1)*IntMed!EO30</f>
        <v>187790.48214535718</v>
      </c>
      <c r="JB30" s="32">
        <f>MIN(InputData!$C$13+InputData!$E$13*($B30-$B$18),1)*IntMed!EP30</f>
        <v>0</v>
      </c>
      <c r="JC30" s="32">
        <f>IF(JA30-InputData!$C$158-InputData!$C$159&gt;=0,JA30-InputData!$C$158-InputData!$C$159,0)</f>
        <v>187790.48214535718</v>
      </c>
      <c r="JD30" s="32">
        <f>IF(JA30-IF(JA30&lt;=InputData!$C$146,InputData!$C$145,0)-MAX(InputData!$C$144,JJ30)&gt;=0,JA30-IF(JA30&lt;=InputData!$C$146,InputData!$C$145,0)-MAX(InputData!$C$144,JJ30),0)</f>
        <v>181690.48214535718</v>
      </c>
      <c r="JE30" s="32">
        <f>IF(JD30&lt;0,"Error",IF(JD30&lt;=InputData!$B$170,InputData!$C$170*JD30,IF(JD30&lt;=InputData!$B$171,InputData!$D$170+InputData!$C$171*(JD30-InputData!$B$170),IF(JD30&lt;=InputData!$B$172,InputData!$D$171+InputData!$C$172*(JD30-InputData!$B$171),IF(JD30&lt;=InputData!$B$173,InputData!$D$172+InputData!$C$173*(JD30-InputData!$B$172),IF(JD30&lt;=InputData!$B$174,InputData!$D$173+InputData!$C$174*(JD30-InputData!$B$173),IF(JD30&lt;=InputData!$B$175,InputData!$D$174+InputData!$C$175*(JD30-InputData!$B$174),InputData!$D$175+InputData!$C$176*(JD30-InputData!$B$175))))))))</f>
        <v>44166.585000700012</v>
      </c>
      <c r="JF30" s="32">
        <f>IF(JA30&lt;=InputData!$C$150,InputData!$C$152,IF(JA30&lt;InputData!$C$151,IF(InputData!$C$152-0.25*IF(JA30-InputData!$C$150&lt;=0,0,JA30-InputData!$C$150)&lt;=0,0,InputData!$C$152-0.25*IF(JA30-InputData!$C$150&lt;=0,0,JA30-InputData!$C$150)),0))</f>
        <v>33802.379463660705</v>
      </c>
      <c r="JG30" s="32">
        <f>IF(JA30-JF30&lt;=0,0,IF(JA30-JF30&lt;=InputData!$C$153,InputData!$C$154*(JA30-JF30),InputData!$C$155*(JA30-JF30)-InputData!$D$154))</f>
        <v>40036.906697241087</v>
      </c>
      <c r="JH30" s="32">
        <f t="shared" si="104"/>
        <v>44166.585000700012</v>
      </c>
      <c r="JI30" s="32">
        <f>IF(JA30&gt;=0,IF(JA30&lt;=InputData!$C$148,InputData!$C$147*JA30,InputData!$C$147*InputData!$C$148)+InputData!$C$149*JA30,0)</f>
        <v>9772.3619911076785</v>
      </c>
      <c r="JJ30" s="32">
        <f>IF(JC30&lt;0,0,IF(JC30&lt;=InputData!$B$163,InputData!$C$163*JC30,IF(JC30&lt;=InputData!$B$164,InputData!$D$163+InputData!$C$164*(JC30-InputData!$B$163),IF(JC30&lt;=InputData!$B$165,InputData!$D$164+InputData!$C$165*(JC30-InputData!$B$164),InputData!$D$165+InputData!$C$166*(JC30-InputData!$B$165)))))</f>
        <v>0</v>
      </c>
      <c r="JK30" s="42">
        <f t="shared" si="105"/>
        <v>0.28722939722821966</v>
      </c>
      <c r="JL30" s="42">
        <f t="shared" si="106"/>
        <v>0.28722939722821966</v>
      </c>
      <c r="JM30" s="32">
        <f t="shared" si="35"/>
        <v>133851.53515354948</v>
      </c>
      <c r="JN30" s="32">
        <f>JM30/((1+InputData!$C$7)^(IntMed!$B30-IntMed!$B$7))</f>
        <v>67821.468376950725</v>
      </c>
      <c r="JO30" s="32">
        <f t="shared" si="107"/>
        <v>1511340.0226218309</v>
      </c>
      <c r="JP30" s="24"/>
      <c r="JQ30" s="41" t="s">
        <v>109</v>
      </c>
      <c r="JR30" s="32">
        <f>$JR$14*(1+InputData!$C$3+InputData!$C$4)^(IntMed!$B30-IntMed!$B$14)</f>
        <v>258062.46023282042</v>
      </c>
      <c r="JS30" s="32">
        <v>0</v>
      </c>
      <c r="JT30" s="32">
        <f t="shared" si="108"/>
        <v>258062.46023282042</v>
      </c>
      <c r="JU30" s="5">
        <f>JR30*(1/(1+InputData!$C$3))^(IntMed!$B30-IntMed!$B$7)</f>
        <v>163651.83629225005</v>
      </c>
      <c r="JV30" s="5">
        <f>JS30*(1/(1+InputData!$C$3))^(IntMed!$B30-IntMed!$B$7)</f>
        <v>0</v>
      </c>
      <c r="JW30" s="32">
        <f>IF(JU30-InputData!$C$158-InputData!$C$159&gt;=0,JU30-InputData!$C$158-InputData!$C$159,0)</f>
        <v>163651.83629225005</v>
      </c>
      <c r="JX30" s="32">
        <f>IF(JU30-IF(JU30&lt;=InputData!$C$146,InputData!$C$145,0)-MAX(InputData!$C$144,KD30)&gt;=0,JU30-IF(JU30&lt;=InputData!$C$146,InputData!$C$145,0)-MAX(InputData!$C$144,KD30),0)</f>
        <v>157551.83629225005</v>
      </c>
      <c r="JY30" s="32">
        <f>IF(JX30&lt;0,"Error",IF(JX30&lt;=InputData!$B$170,InputData!$C$170*JX30,IF(JX30&lt;=InputData!$B$171,InputData!$D$170+InputData!$C$171*(JX30-InputData!$B$170),IF(JX30&lt;=InputData!$B$172,InputData!$D$171+InputData!$C$172*(JX30-InputData!$B$171),IF(JX30&lt;=InputData!$B$173,InputData!$D$172+InputData!$C$173*(JX30-InputData!$B$172),IF(JX30&lt;=InputData!$B$174,InputData!$D$173+InputData!$C$174*(JX30-InputData!$B$173),IF(JX30&lt;=InputData!$B$175,InputData!$D$174+InputData!$C$175*(JX30-InputData!$B$174),InputData!$D$175+InputData!$C$176*(JX30-InputData!$B$175))))))))</f>
        <v>37407.764161830011</v>
      </c>
      <c r="JZ30" s="32">
        <f>IF(JU30&lt;=InputData!$C$150,InputData!$C$152,IF(JU30&lt;InputData!$C$151,IF(InputData!$C$152-0.25*IF(JU30-InputData!$C$150&lt;=0,0,JU30-InputData!$C$150)&lt;=0,0,InputData!$C$152-0.25*IF(JU30-InputData!$C$150&lt;=0,0,JU30-InputData!$C$150)),0))</f>
        <v>39837.040926937487</v>
      </c>
      <c r="KA30" s="32">
        <f>IF(JU30-JZ30&lt;=0,0,IF(JU30-JZ30&lt;=InputData!$C$153,InputData!$C$154*(JU30-JZ30),InputData!$C$155*(JU30-JZ30)-InputData!$D$154))</f>
        <v>32191.846794981269</v>
      </c>
      <c r="KB30" s="32">
        <f t="shared" si="109"/>
        <v>37407.764161830011</v>
      </c>
      <c r="KC30" s="32">
        <f>IF(JU30&gt;=0,IF(JU30&lt;=InputData!$C$148,InputData!$C$147*JU30,InputData!$C$147*InputData!$C$148)+InputData!$C$149*JU30,0)</f>
        <v>9422.3516262376252</v>
      </c>
      <c r="KD30" s="32">
        <f>IF(JW30&lt;0,0,IF(JW30&lt;=InputData!$B$163,InputData!$C$163*JW30,IF(JW30&lt;=InputData!$B$164,InputData!$D$163+InputData!$C$164*(JW30-InputData!$B$163),IF(JW30&lt;=InputData!$B$165,InputData!$D$164+InputData!$C$165*(JW30-InputData!$B$164),InputData!$D$165+InputData!$C$166*(JW30-InputData!$B$165)))))</f>
        <v>0</v>
      </c>
      <c r="KE30" s="43">
        <f t="shared" si="110"/>
        <v>0.286156983319382</v>
      </c>
      <c r="KF30" s="43">
        <f t="shared" si="111"/>
        <v>0.286156983319382</v>
      </c>
      <c r="KG30" s="5">
        <f t="shared" si="112"/>
        <v>116821.72050418242</v>
      </c>
      <c r="KH30" s="32">
        <f>KG30/((1+InputData!$C$7)^(IntMed!$B30-IntMed!$B$7))</f>
        <v>59192.601816829301</v>
      </c>
      <c r="KI30" s="5">
        <f t="shared" si="143"/>
        <v>1351375.3503012287</v>
      </c>
      <c r="KK30" s="7">
        <v>9</v>
      </c>
      <c r="KL30" t="s">
        <v>380</v>
      </c>
      <c r="KM30">
        <v>45</v>
      </c>
      <c r="KN30" s="41" t="s">
        <v>109</v>
      </c>
      <c r="KO30" s="32">
        <f>MIN(InputData!$C$13+InputData!$E$13*($B30-$B$24),1)*IntMed!AW30</f>
        <v>296126.67311716138</v>
      </c>
      <c r="KP30" s="32">
        <f>MIN(InputData!$C$13+InputData!$E$13*($B30-$B$24),1)*IntMed!AX30</f>
        <v>0</v>
      </c>
      <c r="KQ30" s="5">
        <f t="shared" si="169"/>
        <v>296126.67311716138</v>
      </c>
      <c r="KR30" s="32">
        <f>KR29*(1+InputData!$C$8)</f>
        <v>18118.572545559164</v>
      </c>
      <c r="KS30" s="5">
        <f>KO30*(1/(1+InputData!$C$3))^(IntMed!$B30-IntMed!$B$7)</f>
        <v>187790.48214535692</v>
      </c>
      <c r="KT30" s="5">
        <f>KP30*(1/(1+InputData!$C$3))^(IntMed!$B30-IntMed!$B$7)</f>
        <v>0</v>
      </c>
      <c r="KU30" s="32" t="s">
        <v>386</v>
      </c>
      <c r="KV30" s="32">
        <v>0</v>
      </c>
      <c r="KW30" s="32">
        <v>0</v>
      </c>
      <c r="KX30" s="5">
        <f>KW30*InputData!$C$6</f>
        <v>0</v>
      </c>
      <c r="KY30" s="32">
        <f t="shared" si="166"/>
        <v>0</v>
      </c>
      <c r="KZ30" s="32">
        <v>0</v>
      </c>
      <c r="LA30" s="32">
        <v>0</v>
      </c>
      <c r="LB30" s="32">
        <f>KZ30/((1+InputData!$C$3)^(IntMed!$B30-IntMed!$B$7))</f>
        <v>0</v>
      </c>
      <c r="LC30" s="32">
        <f>IF(KS30-InputData!$C$158-InputData!$C$159&gt;=0,KS30-InputData!$C$158-InputData!$C$159,0)</f>
        <v>187790.48214535692</v>
      </c>
      <c r="LD30" s="32">
        <f>IF(KS30-IF(KS30&lt;=InputData!$C$146,InputData!$C$145,0)-MAX(InputData!$C$144,LJ30)&gt;=0,KS30-IF(KS30&lt;=InputData!$C$146,InputData!$C$145,0)-MAX(InputData!$C$144,LJ30),0)</f>
        <v>181690.48214535692</v>
      </c>
      <c r="LE30" s="32">
        <f>IF(LD30&lt;0,"Error",IF(LD30&lt;=InputData!$B$170,InputData!$C$170*LD30,IF(LD30&lt;=InputData!$B$171,InputData!$D$170+InputData!$C$171*(LD30-InputData!$B$170),IF(LD30&lt;=InputData!$B$172,InputData!$D$171+InputData!$C$172*(LD30-InputData!$B$171),IF(LD30&lt;=InputData!$B$173,InputData!$D$172+InputData!$C$173*(LD30-InputData!$B$172),IF(LD30&lt;=InputData!$B$174,InputData!$D$173+InputData!$C$174*(LD30-InputData!$B$173),IF(LD30&lt;=InputData!$B$175,InputData!$D$174+InputData!$C$175*(LD30-InputData!$B$174),InputData!$D$175+InputData!$C$176*(LD30-InputData!$B$175))))))))</f>
        <v>44166.585000699939</v>
      </c>
      <c r="LF30" s="32">
        <f>IF(KS30&lt;=InputData!$C$150,InputData!$C$152,IF(KS30&lt;InputData!$C$151,IF(InputData!$C$152-0.25*IF(KS30-InputData!$C$150&lt;=0,0,KS30-InputData!$C$150)&lt;=0,0,InputData!$C$152-0.25*IF(KS30-InputData!$C$150&lt;=0,0,KS30-InputData!$C$150)),0))</f>
        <v>33802.379463660771</v>
      </c>
      <c r="LG30" s="32">
        <f>IF(KS30-LF30&lt;=0,0,IF(KS30-LF30&lt;=InputData!$C$153,InputData!$C$154*(KS30-LF30),InputData!$C$155*(KS30-LF30)-InputData!$D$154))</f>
        <v>40036.906697241</v>
      </c>
      <c r="LH30" s="32">
        <f t="shared" si="118"/>
        <v>44166.585000699939</v>
      </c>
      <c r="LI30" s="32">
        <f>IF(KS30&gt;=0,IF(KS30&lt;=InputData!$C$148,InputData!$C$147*KS30,InputData!$C$147*InputData!$C$148)+InputData!$C$149*KS30,0)</f>
        <v>9772.3619911076748</v>
      </c>
      <c r="LJ30" s="32">
        <f>IF(LC30&lt;0,0,IF(LC30&lt;=InputData!$B$163,InputData!$C$163*LC30,IF(LC30&lt;=InputData!$B$164,InputData!$D$163+InputData!$C$164*(LC30-InputData!$B$163),IF(LC30&lt;=InputData!$B$165,InputData!$D$164+InputData!$C$165*(LC30-InputData!$B$164),InputData!$D$165+InputData!$C$166*(LC30-InputData!$B$165)))))</f>
        <v>0</v>
      </c>
      <c r="LK30" s="43">
        <f t="shared" si="156"/>
        <v>0.28722939722821966</v>
      </c>
      <c r="LL30" s="32">
        <f t="shared" si="119"/>
        <v>133851.53515354931</v>
      </c>
      <c r="LM30" s="5">
        <f t="shared" si="120"/>
        <v>133851.53515354931</v>
      </c>
      <c r="LN30" s="32">
        <f>LM30/((1+InputData!$C$7)^(IntMed!$B30-IntMed!$B$7))</f>
        <v>67821.468376950637</v>
      </c>
      <c r="LO30" s="5">
        <f t="shared" si="145"/>
        <v>1177209.1809887078</v>
      </c>
      <c r="LQ30" s="157" t="str">
        <f t="shared" si="37"/>
        <v>Private Practice</v>
      </c>
      <c r="LR30" s="32">
        <f t="shared" si="121"/>
        <v>329029.636796846</v>
      </c>
      <c r="LS30" s="32">
        <v>0</v>
      </c>
      <c r="LT30" s="32">
        <f t="shared" si="123"/>
        <v>329029.636796846</v>
      </c>
      <c r="LU30" s="32">
        <f>LU29*(1+InputData!$C$8)</f>
        <v>18118.572545559164</v>
      </c>
      <c r="LV30" s="32">
        <f>LR30/((1+InputData!$C$3)^(IntMed!$B30-IntMed!$B$7))</f>
        <v>208656.09127261909</v>
      </c>
      <c r="LW30" s="32">
        <f>LS30/((1+InputData!$C$3)^(IntMed!$B30-IntMed!$B$7))</f>
        <v>0</v>
      </c>
      <c r="LX30" s="32" t="s">
        <v>141</v>
      </c>
      <c r="LY30" s="32">
        <v>0</v>
      </c>
      <c r="LZ30" s="32">
        <f t="shared" si="189"/>
        <v>0</v>
      </c>
      <c r="MA30" s="32">
        <f>(LZ30)*InputData!$C$6</f>
        <v>0</v>
      </c>
      <c r="MB30" s="32">
        <f>MIN($BE$14*InputData!$C$6/(1-(1+InputData!$C$6)^(-10)), LZ30+MA30)</f>
        <v>0</v>
      </c>
      <c r="MC30" s="32">
        <f t="shared" si="168"/>
        <v>0</v>
      </c>
      <c r="MD30" s="32">
        <f>MB30/((1+InputData!$C$3)^(IntMed!$B30-IntMed!$B$7))</f>
        <v>0</v>
      </c>
      <c r="ME30" s="32">
        <f>IF(LV30-InputData!$C$158-InputData!$C$159&gt;=0,LV30-InputData!$C$158-InputData!$C$159,0)</f>
        <v>208656.09127261909</v>
      </c>
      <c r="MF30" s="32">
        <f>IF(LV30-IF(LV30&lt;=InputData!$C$146,InputData!$C$145,0)-MAX(InputData!$C$144,ML30)&gt;=0,LV30-IF(LV30&lt;=InputData!$C$146,InputData!$C$145,0)-MAX(InputData!$C$144,ML30),0)</f>
        <v>202556.09127261909</v>
      </c>
      <c r="MG30" s="32">
        <f>IF(MF30&lt;0,"Error",IF(MF30&lt;=InputData!$B$170,InputData!$C$170*MF30,IF(MF30&lt;=InputData!$B$171,InputData!$D$170+InputData!$C$171*(MF30-InputData!$B$170),IF(MF30&lt;=InputData!$B$172,InputData!$D$171+InputData!$C$172*(MF30-InputData!$B$171),IF(MF30&lt;=InputData!$B$173,InputData!$D$172+InputData!$C$173*(MF30-InputData!$B$172),IF(MF30&lt;=InputData!$B$174,InputData!$D$173+InputData!$C$174*(MF30-InputData!$B$173),IF(MF30&lt;=InputData!$B$175,InputData!$D$174+InputData!$C$175*(MF30-InputData!$B$174),InputData!$D$175+InputData!$C$176*(MF30-InputData!$B$175))))))))</f>
        <v>50974.260119964296</v>
      </c>
      <c r="MH30" s="32">
        <f>IF(LV30&lt;=InputData!$C$150,InputData!$C$152,IF(LV30&lt;InputData!$C$151,IF(InputData!$C$152-0.25*IF(LV30-InputData!$C$150&lt;=0,0,LV30-InputData!$C$150)&lt;=0,0,InputData!$C$152-0.25*IF(LV30-InputData!$C$150&lt;=0,0,LV30-InputData!$C$150)),0))</f>
        <v>28585.977181845228</v>
      </c>
      <c r="MI30" s="32">
        <f>IF(LV30-MH30&lt;=0,0,IF(LV30-MH30&lt;=InputData!$C$153,InputData!$C$154*(LV30-MH30),InputData!$C$155*(LV30-MH30)-InputData!$D$154))</f>
        <v>46829.631945416688</v>
      </c>
      <c r="MJ30" s="32">
        <f t="shared" si="124"/>
        <v>50974.260119964296</v>
      </c>
      <c r="MK30" s="32">
        <f>IF(LV30&gt;=0,IF(LV30&lt;=InputData!$C$148,InputData!$C$147*LV30,InputData!$C$147*InputData!$C$148)+InputData!$C$149*LV30,0)</f>
        <v>10074.913323452976</v>
      </c>
      <c r="ML30" s="32">
        <f>IF(ME30&lt;0,0,IF(ME30&lt;=InputData!$B$163,InputData!$C$163*ME30,IF(ME30&lt;=InputData!$B$164,InputData!$D$163+InputData!$C$164*(ME30-InputData!$B$163),IF(ME30&lt;=InputData!$B$165,InputData!$D$164+InputData!$C$165*(ME30-InputData!$B$164),InputData!$D$165+InputData!$C$166*(ME30-InputData!$B$165)))))</f>
        <v>0</v>
      </c>
      <c r="MM30" s="43">
        <f t="shared" si="38"/>
        <v>0.29258275217881669</v>
      </c>
      <c r="MN30" s="32">
        <f t="shared" si="125"/>
        <v>147606.91782920182</v>
      </c>
      <c r="MO30" s="32">
        <f t="shared" si="126"/>
        <v>147606.91782920182</v>
      </c>
      <c r="MP30" s="32">
        <f>MO30/((1+InputData!$C$7)^(IntMed!$B30-IntMed!$B$7))</f>
        <v>74791.207275196532</v>
      </c>
      <c r="MQ30" s="5">
        <f t="shared" si="147"/>
        <v>1612798.9822449631</v>
      </c>
    </row>
    <row r="31" spans="1:355" x14ac:dyDescent="0.25">
      <c r="A31" s="53">
        <v>2037</v>
      </c>
      <c r="B31" s="51">
        <v>25</v>
      </c>
      <c r="C31" s="4"/>
      <c r="D31" s="45">
        <v>25</v>
      </c>
      <c r="E31" s="4" t="s">
        <v>181</v>
      </c>
      <c r="F31" s="5">
        <f>InputData!$P$21*12</f>
        <v>120412.79999999999</v>
      </c>
      <c r="G31" s="5">
        <f>(InputData!$P$21+InputData!$K$45+InputData!$G$50)*12+InputData!$J$50+InputData!$D$57+InputData!$J$57</f>
        <v>203412.76</v>
      </c>
      <c r="H31" s="5">
        <f>(InputData!$C$32+InputData!$C$40)*12</f>
        <v>21631.199999999997</v>
      </c>
      <c r="I31" s="5">
        <f t="shared" si="207"/>
        <v>225043.96000000002</v>
      </c>
      <c r="J31" s="5">
        <f>G31*((1+InputData!$C$5)/(1+InputData!$C$3))^(IntMed!$B31-IntMed!$B$7)</f>
        <v>160578.36848144027</v>
      </c>
      <c r="K31" s="5">
        <f>H31*((1+InputData!$C$5)/(1+InputData!$C$3))^(IntMed!$B31-IntMed!$B$7)</f>
        <v>17076.130348438957</v>
      </c>
      <c r="L31" s="32">
        <f>IF(J31-InputData!$C$158-InputData!$C$159&gt;=0,J31-InputData!$C$158-InputData!$C$159,0)</f>
        <v>160578.36848144027</v>
      </c>
      <c r="M31" s="32">
        <f>IF(J31-IF(J31&lt;=InputData!$C$146,InputData!$C$145,0)-MAX(InputData!$C$144,S31)&gt;=0,J31-IF(J31&lt;=InputData!$C$146,InputData!$C$145,0)-MAX(InputData!$C$144,S31),0)</f>
        <v>154478.36848144027</v>
      </c>
      <c r="N31" s="32">
        <f>IF(M31&lt;0,"Error",IF(M31&lt;=InputData!$B$170,InputData!$C$170*M31,IF(M31&lt;=InputData!$B$171,InputData!$D$170+InputData!$C$171*(M31-InputData!$B$170),IF(M31&lt;=InputData!$B$172,InputData!$D$171+InputData!$C$172*(M31-InputData!$B$171),IF(M31&lt;=InputData!$B$173,InputData!$D$172+InputData!$C$173*(M31-InputData!$B$172),IF(M31&lt;=InputData!$B$174,InputData!$D$173+InputData!$C$174*(M31-InputData!$B$173),IF(M31&lt;=InputData!$B$175,InputData!$D$174+InputData!$C$175*(M31-InputData!$B$174),InputData!$D$175+InputData!$C$176*(M31-InputData!$B$175))))))))</f>
        <v>36547.19317480328</v>
      </c>
      <c r="O31" s="32">
        <f>IF(J31&lt;=InputData!$C$150,InputData!$C$152,IF(J31&lt;InputData!$C$151,IF(InputData!$C$152-0.25*IF(J31-InputData!$C$150&lt;=0,0,J31-InputData!$C$150)&lt;=0,0,InputData!$C$152-0.25*IF(J31-InputData!$C$150&lt;=0,0,J31-InputData!$C$150)),0))</f>
        <v>40605.407879639934</v>
      </c>
      <c r="P31" s="32">
        <f>IF(J31-O31&lt;=0,0,IF(J31-O31&lt;=InputData!$C$153,InputData!$C$154*(J31-O31),InputData!$C$155*(J31-O31)-InputData!$D$154))</f>
        <v>31192.969756468086</v>
      </c>
      <c r="Q31" s="32">
        <f t="shared" si="40"/>
        <v>36547.19317480328</v>
      </c>
      <c r="R31" s="32">
        <f>IF(J31&gt;=0,IF(J31&lt;=InputData!$C$148,InputData!$C$147*J31,InputData!$C$147*InputData!$C$148)+InputData!$C$149*J31,0)</f>
        <v>9377.786342980884</v>
      </c>
      <c r="S31" s="32">
        <f>IF(L31&lt;0,0,IF(L31&lt;=InputData!$B$163,InputData!$C$163*L31,IF(L31&lt;=InputData!$B$164,InputData!$D$163+InputData!$C$164*(L31-InputData!$B$163),IF(L31&lt;=InputData!$B$165,InputData!$D$164+InputData!$C$165*(L31-InputData!$B$164),InputData!$D$165+InputData!$C$166*(L31-InputData!$B$165)))))</f>
        <v>0</v>
      </c>
      <c r="T31" s="43">
        <f t="shared" si="41"/>
        <v>0.28599729809244012</v>
      </c>
      <c r="U31" s="43">
        <f t="shared" si="42"/>
        <v>0.25850727012413927</v>
      </c>
      <c r="V31" s="5">
        <f t="shared" si="43"/>
        <v>131729.51931209504</v>
      </c>
      <c r="W31" s="32">
        <f>V31/((1+InputData!$C$7)^(IntMed!$B31-IntMed!$B$7))</f>
        <v>64802.194621406481</v>
      </c>
      <c r="X31" s="5">
        <f t="shared" si="208"/>
        <v>1564183.7950563659</v>
      </c>
      <c r="Y31" s="53"/>
      <c r="Z31" s="45">
        <v>21.5</v>
      </c>
      <c r="AA31" s="97" t="s">
        <v>267</v>
      </c>
      <c r="AB31" s="5">
        <f>InputData!$N$21*12</f>
        <v>114357.59999999999</v>
      </c>
      <c r="AC31" s="32">
        <f>(InputData!$N$21+InputData!$J$45+InputData!$G$50)*12+InputData!$J$50+InputData!$D$57+InputData!$J$57</f>
        <v>198349.59999999998</v>
      </c>
      <c r="AD31" s="5">
        <f t="shared" si="193"/>
        <v>21631.199999999997</v>
      </c>
      <c r="AE31" s="5">
        <f t="shared" si="209"/>
        <v>219980.79999999999</v>
      </c>
      <c r="AF31" s="5">
        <f>AC31*((1+InputData!$C$5)/(1+InputData!$C$3))^(IntMed!$B31-IntMed!$B$7)</f>
        <v>156581.40205632269</v>
      </c>
      <c r="AG31" s="5">
        <f>AD31*((1+InputData!$C$5)/(1+InputData!$C$3))^(IntMed!$B31-IntMed!$B$7)</f>
        <v>17076.130348438957</v>
      </c>
      <c r="AH31" s="32">
        <f>IF(AF31-InputData!$C$158-InputData!$C$159&gt;=0,AF31-InputData!$C$158-InputData!$C$159,0)</f>
        <v>156581.40205632269</v>
      </c>
      <c r="AI31" s="32">
        <f>IF(AF31-IF(AF31&lt;=InputData!$C$146,InputData!$C$145,0)-MAX(InputData!$C$144,AO31)&gt;=0,AF31-IF(AF31&lt;=InputData!$C$146,InputData!$C$145,0)-MAX(InputData!$C$144,AO31),0)</f>
        <v>150481.40205632269</v>
      </c>
      <c r="AJ31" s="32">
        <f>IF(AI31&lt;0,"Error",IF(AI31&lt;=InputData!$B$170,InputData!$C$170*AI31,IF(AI31&lt;=InputData!$B$171,InputData!$D$170+InputData!$C$171*(AI31-InputData!$B$170),IF(AI31&lt;=InputData!$B$172,InputData!$D$171+InputData!$C$172*(AI31-InputData!$B$171),IF(AI31&lt;=InputData!$B$173,InputData!$D$172+InputData!$C$173*(AI31-InputData!$B$172),IF(AI31&lt;=InputData!$B$174,InputData!$D$173+InputData!$C$174*(AI31-InputData!$B$173),IF(AI31&lt;=InputData!$B$175,InputData!$D$174+InputData!$C$175*(AI31-InputData!$B$174),InputData!$D$175+InputData!$C$176*(AI31-InputData!$B$175))))))))</f>
        <v>35428.042575770356</v>
      </c>
      <c r="AK31" s="32">
        <f>IF(AF31&lt;=InputData!$C$150,InputData!$C$152,IF(AF31&lt;InputData!$C$151,IF(InputData!$C$152-0.25*IF(AF31-InputData!$C$150&lt;=0,0,AF31-InputData!$C$150)&lt;=0,0,InputData!$C$152-0.25*IF(AF31-InputData!$C$150&lt;=0,0,AF31-InputData!$C$150)),0))</f>
        <v>41604.649485919326</v>
      </c>
      <c r="AL31" s="32">
        <f>IF(AF31-AK31&lt;=0,0,IF(AF31-AK31&lt;=InputData!$C$153,InputData!$C$154*(AF31-AK31),InputData!$C$155*(AF31-AK31)-InputData!$D$154))</f>
        <v>29893.955668304876</v>
      </c>
      <c r="AM31" s="32">
        <f t="shared" si="45"/>
        <v>35428.042575770356</v>
      </c>
      <c r="AN31" s="32">
        <f>IF(AF31&gt;=0,IF(AF31&lt;=InputData!$C$148,InputData!$C$147*AF31,InputData!$C$147*InputData!$C$148)+InputData!$C$149*AF31,0)</f>
        <v>9319.8303298166793</v>
      </c>
      <c r="AO31" s="32">
        <f>IF(AH31&lt;0,0,IF(AH31&lt;=InputData!$B$163,InputData!$C$163*AH31,IF(AH31&lt;=InputData!$B$164,InputData!$D$163+InputData!$C$164*(AH31-InputData!$B$163),IF(AH31&lt;=InputData!$B$165,InputData!$D$164+InputData!$C$165*(AH31-InputData!$B$164),InputData!$D$165+InputData!$C$166*(AH31-InputData!$B$165)))))</f>
        <v>0</v>
      </c>
      <c r="AP31" s="43">
        <f t="shared" si="46"/>
        <v>0.28578025434649718</v>
      </c>
      <c r="AQ31" s="43">
        <f t="shared" si="47"/>
        <v>0.25767884805185715</v>
      </c>
      <c r="AR31" s="5">
        <f t="shared" si="48"/>
        <v>128909.65949917462</v>
      </c>
      <c r="AS31" s="32">
        <f>AR31/((1+InputData!$C$7)^(IntMed!$B31-IntMed!$B$7))</f>
        <v>63415.010447682907</v>
      </c>
      <c r="AT31" s="5">
        <f t="shared" si="210"/>
        <v>1540644.7934748186</v>
      </c>
      <c r="AU31" s="53"/>
      <c r="AV31" s="41" t="s">
        <v>109</v>
      </c>
      <c r="AW31" s="32">
        <f>$AW$14*(1+InputData!$C$3+InputData!$C$4)^(IntMed!$B31-IntMed!$B$14)</f>
        <v>338900.52590075141</v>
      </c>
      <c r="AX31" s="32">
        <v>0</v>
      </c>
      <c r="AY31" s="32">
        <f t="shared" si="211"/>
        <v>338900.52590075141</v>
      </c>
      <c r="AZ31" s="32">
        <f>AZ30*(1+InputData!$C$8)</f>
        <v>18480.943996470349</v>
      </c>
      <c r="BA31" s="32">
        <f>AW31/((1+InputData!$C$3)^(IntMed!$B31-IntMed!$B$7))</f>
        <v>210701.73922627221</v>
      </c>
      <c r="BB31" s="32">
        <f>AX31/((1+InputData!$C$3)^(IntMed!$B31-IntMed!$B$7))</f>
        <v>0</v>
      </c>
      <c r="BC31" s="32" t="s">
        <v>141</v>
      </c>
      <c r="BD31" s="32">
        <v>0</v>
      </c>
      <c r="BE31" s="32">
        <f t="shared" si="174"/>
        <v>0</v>
      </c>
      <c r="BF31" s="32">
        <f>(BE31)*InputData!$C$6</f>
        <v>0</v>
      </c>
      <c r="BG31" s="32">
        <f>MIN($BE$14*InputData!$C$6/(1-(1+InputData!$C$6)^(-10)), BE31+BF31)</f>
        <v>0</v>
      </c>
      <c r="BH31" s="32">
        <f t="shared" si="157"/>
        <v>0</v>
      </c>
      <c r="BI31" s="32">
        <f>BG31/((1+InputData!$C$3)^(IntMed!$B31-IntMed!$B$7))</f>
        <v>0</v>
      </c>
      <c r="BJ31" s="32">
        <f>IF(BA31-InputData!$C$158-InputData!$C$159&gt;=0,BA31-InputData!$C$158-InputData!$C$159,0)</f>
        <v>210701.73922627221</v>
      </c>
      <c r="BK31" s="32">
        <f>IF(BA31-IF(BA31&lt;=InputData!$C$146,InputData!$C$145,0)-MAX(InputData!$C$144,BQ31)&gt;=0,BA31-IF(BA31&lt;=InputData!$C$146,InputData!$C$145,0)-MAX(InputData!$C$144,BQ31),0)</f>
        <v>204601.73922627221</v>
      </c>
      <c r="BL31" s="32">
        <f>IF(BK31&lt;0,"Error",IF(BK31&lt;=InputData!$B$170,InputData!$C$170*BK31,IF(BK31&lt;=InputData!$B$171,InputData!$D$170+InputData!$C$171*(BK31-InputData!$B$170),IF(BK31&lt;=InputData!$B$172,InputData!$D$171+InputData!$C$172*(BK31-InputData!$B$171),IF(BK31&lt;=InputData!$B$173,InputData!$D$172+InputData!$C$173*(BK31-InputData!$B$172),IF(BK31&lt;=InputData!$B$174,InputData!$D$173+InputData!$C$174*(BK31-InputData!$B$173),IF(BK31&lt;=InputData!$B$175,InputData!$D$174+InputData!$C$175*(BK31-InputData!$B$174),InputData!$D$175+InputData!$C$176*(BK31-InputData!$B$175))))))))</f>
        <v>51649.323944669828</v>
      </c>
      <c r="BM31" s="32">
        <f>IF(BA31&lt;=InputData!$C$150,InputData!$C$152,IF(BA31&lt;InputData!$C$151,IF(InputData!$C$152-0.25*IF(BA31-InputData!$C$150&lt;=0,0,BA31-InputData!$C$150)&lt;=0,0,InputData!$C$152-0.25*IF(BA31-InputData!$C$150&lt;=0,0,BA31-InputData!$C$150)),0))</f>
        <v>28074.565193431947</v>
      </c>
      <c r="BN31" s="32">
        <f>IF(BA31-BM31&lt;=0,0,IF(BA31-BM31&lt;=InputData!$C$153,InputData!$C$154*(BA31-BM31),InputData!$C$155*(BA31-BM31)-InputData!$D$154))</f>
        <v>47545.608729195279</v>
      </c>
      <c r="BO31" s="32">
        <f t="shared" si="51"/>
        <v>51649.323944669828</v>
      </c>
      <c r="BP31" s="32">
        <f>IF(BA31&gt;=0,IF(BA31&lt;=InputData!$C$148,InputData!$C$147*BA31,InputData!$C$147*InputData!$C$148)+InputData!$C$149*BA31,0)</f>
        <v>10104.575218780947</v>
      </c>
      <c r="BQ31" s="32">
        <f>IF(BJ31&lt;0,0,IF(BJ31&lt;=InputData!$B$163,InputData!$C$163*BJ31,IF(BJ31&lt;=InputData!$B$164,InputData!$D$163+InputData!$C$164*(BJ31-InputData!$B$163),IF(BJ31&lt;=InputData!$B$165,InputData!$D$164+InputData!$C$165*(BJ31-InputData!$B$164),InputData!$D$165+InputData!$C$166*(BJ31-InputData!$B$165)))))</f>
        <v>0</v>
      </c>
      <c r="BR31" s="43">
        <f t="shared" si="52"/>
        <v>0.29308680312853697</v>
      </c>
      <c r="BS31" s="32">
        <f t="shared" si="53"/>
        <v>148947.84006282143</v>
      </c>
      <c r="BT31" s="32">
        <f t="shared" si="54"/>
        <v>148947.84006282143</v>
      </c>
      <c r="BU31" s="32">
        <f>BT31/((1+InputData!$C$7)^(IntMed!$B31-IntMed!$B$7))</f>
        <v>73272.467481803425</v>
      </c>
      <c r="BV31" s="5">
        <f t="shared" si="130"/>
        <v>1302399.901702096</v>
      </c>
      <c r="BW31" s="5"/>
      <c r="BX31" s="32" t="s">
        <v>141</v>
      </c>
      <c r="BY31" s="5">
        <f t="shared" si="175"/>
        <v>120590.20770156401</v>
      </c>
      <c r="BZ31" s="32">
        <f>(BY31)*InputData!$C$6</f>
        <v>7488.651898267125</v>
      </c>
      <c r="CA31" s="32">
        <f>MIN($BY$14*InputData!$C$6/(1-(1+InputData!$C$6)^(-25)), BY31+BZ31)</f>
        <v>19581.069601718285</v>
      </c>
      <c r="CB31" s="32">
        <f t="shared" si="176"/>
        <v>108497.78999811286</v>
      </c>
      <c r="CC31" s="32">
        <f>CA31/((1+InputData!$C$3)^(IntMed!$B31-IntMed!$B$7))</f>
        <v>12173.971728214377</v>
      </c>
      <c r="CD31" s="5">
        <f t="shared" si="58"/>
        <v>136773.86833460705</v>
      </c>
      <c r="CE31" s="32">
        <f>CD31/((1+InputData!$C$7)^(IntMed!$B31-IntMed!$B$7))</f>
        <v>67283.680083451356</v>
      </c>
      <c r="CF31" s="5">
        <f t="shared" si="131"/>
        <v>1325778.9504467184</v>
      </c>
      <c r="CG31" s="5"/>
      <c r="CH31" s="32" t="s">
        <v>141</v>
      </c>
      <c r="CI31" s="5">
        <f t="shared" si="177"/>
        <v>0</v>
      </c>
      <c r="CJ31" s="32">
        <f>(CI31)*InputData!$C$6</f>
        <v>0</v>
      </c>
      <c r="CK31" s="32">
        <f t="shared" si="170"/>
        <v>0</v>
      </c>
      <c r="CL31" s="32">
        <f t="shared" si="178"/>
        <v>0</v>
      </c>
      <c r="CM31" s="32">
        <f>CK31/((1+InputData!$C$3)^(IntMed!$B31-IntMed!$B$7))</f>
        <v>0</v>
      </c>
      <c r="CN31" s="5">
        <f t="shared" si="62"/>
        <v>148947.84006282143</v>
      </c>
      <c r="CO31" s="32">
        <f>CN31/((1+InputData!$C$7)^(IntMed!$B31-IntMed!$B$7))</f>
        <v>73272.467481803425</v>
      </c>
      <c r="CP31" s="5">
        <f t="shared" si="132"/>
        <v>1301026.4660291588</v>
      </c>
      <c r="CQ31" s="5"/>
      <c r="CR31" s="32" t="s">
        <v>141</v>
      </c>
      <c r="CS31" s="5">
        <f t="shared" si="179"/>
        <v>25401.596034131748</v>
      </c>
      <c r="CT31" s="32">
        <f>(CS31)*InputData!$C$6</f>
        <v>1577.4391137195817</v>
      </c>
      <c r="CU31" s="32">
        <f t="shared" si="171"/>
        <v>26979.035147851329</v>
      </c>
      <c r="CV31" s="32">
        <f t="shared" si="180"/>
        <v>0</v>
      </c>
      <c r="CW31" s="32">
        <f>CU31/((1+InputData!$C$3)^(IntMed!$B31-IntMed!$B$7))</f>
        <v>16773.445875276524</v>
      </c>
      <c r="CX31" s="5">
        <f t="shared" si="66"/>
        <v>132174.39418754491</v>
      </c>
      <c r="CY31" s="32">
        <f>CX31/((1+InputData!$C$7)^(IntMed!$B31-IntMed!$B$7))</f>
        <v>65021.043581090104</v>
      </c>
      <c r="CZ31" s="5">
        <f t="shared" si="133"/>
        <v>1294380.4163218858</v>
      </c>
      <c r="DA31" s="5"/>
      <c r="DB31" s="32" t="s">
        <v>141</v>
      </c>
      <c r="DC31" s="5">
        <f t="shared" si="158"/>
        <v>0</v>
      </c>
      <c r="DD31" s="5">
        <f>DC31*InputData!$C$6</f>
        <v>0</v>
      </c>
      <c r="DE31" s="32">
        <f t="shared" si="159"/>
        <v>0</v>
      </c>
      <c r="DF31" s="32">
        <f t="shared" si="160"/>
        <v>0</v>
      </c>
      <c r="DG31" s="32">
        <f>DE31/((1+InputData!$C$3)^(IntMed!$B31-IntMed!$B$7))</f>
        <v>0</v>
      </c>
      <c r="DH31" s="5">
        <f t="shared" si="70"/>
        <v>148947.84006282143</v>
      </c>
      <c r="DI31" s="32">
        <f>DH31/((1+InputData!$C$7)^(IntMed!$B31-IntMed!$B$7))</f>
        <v>73272.467481803425</v>
      </c>
      <c r="DJ31" s="5">
        <f t="shared" si="134"/>
        <v>1306332.6732824424</v>
      </c>
      <c r="DK31" s="5"/>
      <c r="DL31" s="32" t="s">
        <v>141</v>
      </c>
      <c r="DM31" s="32">
        <f t="shared" si="181"/>
        <v>0</v>
      </c>
      <c r="DN31" s="5">
        <f>DM31*InputData!$C$6</f>
        <v>0</v>
      </c>
      <c r="DO31" s="32">
        <f t="shared" si="182"/>
        <v>0</v>
      </c>
      <c r="DP31" s="32">
        <f t="shared" si="150"/>
        <v>0</v>
      </c>
      <c r="DQ31" s="32">
        <f t="shared" si="151"/>
        <v>0</v>
      </c>
      <c r="DR31" s="32">
        <f>DP31/((1+InputData!$C$3)^(IntMed!$B31-IntMed!$B$7))</f>
        <v>0</v>
      </c>
      <c r="DS31" s="5">
        <f t="shared" si="74"/>
        <v>148947.84006282143</v>
      </c>
      <c r="DT31" s="32">
        <f>DS31/((1+InputData!$C$7)^(IntMed!$B31-IntMed!$B$7))</f>
        <v>73272.467481803425</v>
      </c>
      <c r="DU31" s="5">
        <f t="shared" si="136"/>
        <v>1302332.503093513</v>
      </c>
      <c r="DV31" s="5"/>
      <c r="DW31" s="32" t="s">
        <v>141</v>
      </c>
      <c r="DX31" s="133">
        <f t="shared" si="161"/>
        <v>0</v>
      </c>
      <c r="DY31" s="5">
        <f>DX31*InputData!$C$6</f>
        <v>0</v>
      </c>
      <c r="DZ31" s="133">
        <f t="shared" si="162"/>
        <v>0</v>
      </c>
      <c r="EA31" s="32">
        <f t="shared" si="163"/>
        <v>0</v>
      </c>
      <c r="EB31" s="32">
        <f t="shared" si="164"/>
        <v>0</v>
      </c>
      <c r="EC31" s="32">
        <f>EA31/((1+InputData!$C$3)^(IntMed!$B31-IntMed!$B$7))</f>
        <v>0</v>
      </c>
      <c r="ED31" s="5">
        <f t="shared" si="78"/>
        <v>148947.84006282143</v>
      </c>
      <c r="EE31" s="32">
        <f>ED31/((1+InputData!$C$7)^(IntMed!$B31-IntMed!$B$7))</f>
        <v>73272.467481803425</v>
      </c>
      <c r="EF31" s="5">
        <f t="shared" si="138"/>
        <v>1298340.3393114198</v>
      </c>
      <c r="EG31" s="32"/>
      <c r="EH31" s="130" t="s">
        <v>141</v>
      </c>
      <c r="EI31" s="32">
        <v>0</v>
      </c>
      <c r="EJ31" s="32">
        <f t="shared" si="212"/>
        <v>34150.565293398744</v>
      </c>
      <c r="EK31" s="32">
        <f>EJ31*InputData!$C$6</f>
        <v>2120.7501047200622</v>
      </c>
      <c r="EL31" s="32">
        <f t="shared" si="213"/>
        <v>5153.4044075142665</v>
      </c>
      <c r="EM31" s="32">
        <f>EM30*(1+InputData!$C$8)</f>
        <v>18480.943996470349</v>
      </c>
      <c r="EN31" s="32">
        <f t="shared" si="172"/>
        <v>31117.910990604592</v>
      </c>
      <c r="EO31" s="32">
        <f>AW31/((1+InputData!$C$3)^(IntMed!$B31-IntMed!$B$7))</f>
        <v>210701.73922627221</v>
      </c>
      <c r="EP31" s="32">
        <f>AX31/((1+InputData!$C$3)^(IntMed!$B31-IntMed!$B$7))</f>
        <v>0</v>
      </c>
      <c r="EQ31" s="32">
        <v>51426.37</v>
      </c>
      <c r="ER31" s="32">
        <v>8806.0499999999993</v>
      </c>
      <c r="ES31" s="32">
        <v>0</v>
      </c>
      <c r="ET31" s="42">
        <f t="shared" si="214"/>
        <v>0.28586579408970381</v>
      </c>
      <c r="EU31" s="32">
        <f t="shared" si="215"/>
        <v>150469.31922627223</v>
      </c>
      <c r="EV31" s="32">
        <f>EN31/((1+InputData!$C$3)^(IntMed!$B31-IntMed!$B$7))</f>
        <v>19346.673922627222</v>
      </c>
      <c r="EW31" s="32">
        <f t="shared" si="216"/>
        <v>131122.645303645</v>
      </c>
      <c r="EX31" s="32">
        <f>EW31/((1+InputData!$C$7)^(IntMed!$B31-IntMed!$B$7))</f>
        <v>64503.652822942313</v>
      </c>
      <c r="EY31" s="5">
        <f t="shared" si="217"/>
        <v>1312712.7584729095</v>
      </c>
      <c r="EZ31" s="79"/>
      <c r="FA31" s="32">
        <f t="shared" si="203"/>
        <v>0</v>
      </c>
      <c r="FB31" s="32">
        <f>FA31*InputData!$C$6</f>
        <v>0</v>
      </c>
      <c r="FC31" s="32">
        <f t="shared" si="204"/>
        <v>0</v>
      </c>
      <c r="FD31" s="53">
        <f>MIN($EJ$14*InputData!$C$6/(1-(1+InputData!$C$6)^(-10)), FA31+FB31)</f>
        <v>0</v>
      </c>
      <c r="FE31" s="32">
        <f>FD31/((1+InputData!$C$3)^(IntMed!$B31-IntMed!$B$7))</f>
        <v>0</v>
      </c>
      <c r="FF31" s="5">
        <f t="shared" si="84"/>
        <v>150469.31922627223</v>
      </c>
      <c r="FG31" s="32">
        <f>FF31/((1+InputData!$C$7)^(IntMed!$B31-IntMed!$B$7))</f>
        <v>74020.934411442489</v>
      </c>
      <c r="FH31" s="5">
        <f t="shared" si="140"/>
        <v>1319529.8026653118</v>
      </c>
      <c r="FI31" s="79"/>
      <c r="FJ31" s="32">
        <f t="shared" si="185"/>
        <v>122134.0159997631</v>
      </c>
      <c r="FK31" s="32">
        <f>FJ31*InputData!$C$6</f>
        <v>7584.5223935852891</v>
      </c>
      <c r="FL31" s="32">
        <f t="shared" si="186"/>
        <v>109886.78991550145</v>
      </c>
      <c r="FM31" s="53">
        <f>MIN($EJ$14*InputData!$C$6/(1-(1+InputData!$C$6)^(-25)), FJ31+FK31)</f>
        <v>19831.748477846937</v>
      </c>
      <c r="FN31" s="32">
        <f>FM31/((1+InputData!$C$3)^(IntMed!$B31-IntMed!$B$7))</f>
        <v>12329.82417207592</v>
      </c>
      <c r="FO31" s="5">
        <f t="shared" si="88"/>
        <v>138139.4950541963</v>
      </c>
      <c r="FP31" s="32">
        <f>FO31/((1+InputData!$C$7)^(IntMed!$B31-IntMed!$B$7))</f>
        <v>67955.477938063967</v>
      </c>
      <c r="FQ31" s="5">
        <f t="shared" si="141"/>
        <v>1343208.1524074515</v>
      </c>
      <c r="FR31" s="79"/>
      <c r="FS31" s="32">
        <f t="shared" si="187"/>
        <v>0</v>
      </c>
      <c r="FT31" s="32">
        <f>FS31*InputData!$C$6</f>
        <v>0</v>
      </c>
      <c r="FU31" s="32">
        <f t="shared" si="188"/>
        <v>0</v>
      </c>
      <c r="FV31" s="5">
        <f t="shared" si="173"/>
        <v>0</v>
      </c>
      <c r="FW31" s="32">
        <f>FV31/((1+InputData!$C$3)^(IntMed!$B31-IntMed!$B$7))</f>
        <v>0</v>
      </c>
      <c r="FX31" s="5">
        <f t="shared" si="92"/>
        <v>150469.31922627223</v>
      </c>
      <c r="FY31" s="32">
        <f>FX31/((1+InputData!$C$7)^(IntMed!$B31-IntMed!$B$7))</f>
        <v>74020.934411442489</v>
      </c>
      <c r="FZ31" s="5">
        <f t="shared" si="142"/>
        <v>1317985.1533886334</v>
      </c>
      <c r="GC31" s="124">
        <v>21</v>
      </c>
      <c r="GD31" s="122" t="str">
        <f>E31</f>
        <v>Multi-Year (O6&gt;24 = (BP+BAH+BAS+VSP+BCPSP)*12+ASP+ISP+MSP)</v>
      </c>
      <c r="GE31" s="5">
        <f>MIN(InputData!$C$13+InputData!$E$13*($B31-$B$31),1)*$AW31/(((1+InputData!$C$3)*(1+InputData!$C$7))^(IntMed!$B31-IntMed!$B$7))</f>
        <v>93286.164447731819</v>
      </c>
      <c r="GF31" s="120">
        <f>($G31+$H31-(InputData!$J$57-InputData!$I$57))*((1+InputData!$C$5)/((1+InputData!$C$3)*(1+InputData!$C$7)))^(IntMed!$B31-IntMed!$B$7)</f>
        <v>82734.125662658218</v>
      </c>
      <c r="GG31" s="120">
        <f>($G31+$H31)*((1+InputData!$C$5)/((1+InputData!$C$3)*(1+InputData!$C$7)))^(IntMed!$B31-IntMed!$B$7)</f>
        <v>87394.241386905444</v>
      </c>
      <c r="GH31" s="120">
        <f>($G31+$H31)*((1+InputData!$C$5)/((1+InputData!$C$3)*(1+InputData!$C$7)))^(IntMed!$B31-IntMed!$B$7)</f>
        <v>87394.241386905444</v>
      </c>
      <c r="GI31" s="5"/>
      <c r="GJ31" s="5">
        <f>H31</f>
        <v>21631.199999999997</v>
      </c>
      <c r="GK31" s="5"/>
      <c r="GL31" s="5">
        <f>J31</f>
        <v>160578.36848144027</v>
      </c>
      <c r="GM31" s="5">
        <v>0</v>
      </c>
      <c r="GN31" s="32">
        <f>IF(GL31-InputData!$C$158-InputData!$C$159&gt;=0,GL31-InputData!$C$158-InputData!$C$159,0)</f>
        <v>160578.36848144027</v>
      </c>
      <c r="GO31" s="32">
        <f>IF(GL31-IF(GL31&lt;=InputData!$C$146,InputData!$C$145,0)-MAX(InputData!$C$144,GU31)&gt;=0,GL31-IF(GL31&lt;=InputData!$C$146,InputData!$C$145,0)-MAX(InputData!$C$144,GU31),0)</f>
        <v>154478.36848144027</v>
      </c>
      <c r="GP31" s="32">
        <f>IF(GO31&lt;0,"Error",IF(GO31&lt;=InputData!$B$170,InputData!$C$170*GO31,IF(GO31&lt;=InputData!$B$171,InputData!$D$170+InputData!$C$171*(GO31-InputData!$B$170),IF(GO31&lt;=InputData!$B$172,InputData!$D$171+InputData!$C$172*(GO31-InputData!$B$171),IF(GO31&lt;=InputData!$B$173,InputData!$D$172+InputData!$C$173*(GO31-InputData!$B$172),IF(GO31&lt;=InputData!$B$174,InputData!$D$173+InputData!$C$174*(GO31-InputData!$B$173),IF(GO31&lt;=InputData!$B$175,InputData!$D$174+InputData!$C$175*(GO31-InputData!$B$174),InputData!$D$175+InputData!$C$176*(GO31-InputData!$B$175))))))))</f>
        <v>36547.19317480328</v>
      </c>
      <c r="GQ31" s="32">
        <f>IF(GL31&lt;=InputData!$C$150,InputData!$C$152,IF(GL31&lt;InputData!$C$151,IF(InputData!$C$152-0.25*IF(GL31-InputData!$C$150&lt;=0,0,GL31-InputData!$C$150)&lt;=0,0,InputData!$C$152-0.25*IF(GL31-InputData!$C$150&lt;=0,0,GL31-InputData!$C$150)),0))</f>
        <v>40605.407879639934</v>
      </c>
      <c r="GR31" s="32">
        <f>IF(GL31-GQ31&lt;=0,0,IF(GL31-GQ31&lt;=InputData!$C$153,InputData!$C$154*(GL31-GQ31),InputData!$C$155*(GL31-GQ31)-InputData!$D$154))</f>
        <v>31192.969756468086</v>
      </c>
      <c r="GS31" s="32">
        <f t="shared" si="93"/>
        <v>36547.19317480328</v>
      </c>
      <c r="GT31" s="32">
        <f>IF(GL31&gt;=0,IF(GL31&lt;=InputData!$C$148,InputData!$C$147*GL31,InputData!$C$147*InputData!$C$148)+InputData!$C$149*GL31,0)</f>
        <v>9377.786342980884</v>
      </c>
      <c r="GU31" s="32">
        <f>IF(GN31&lt;0,0,IF(GN31&lt;=InputData!$B$163,InputData!$C$163*GN31,IF(GN31&lt;=InputData!$B$164,InputData!$D$163+InputData!$C$164*(GN31-InputData!$B$163),IF(GN31&lt;=InputData!$B$165,InputData!$D$164+InputData!$C$165*(GN31-InputData!$B$164),InputData!$D$165+InputData!$C$166*(GN31-InputData!$B$165)))))</f>
        <v>0</v>
      </c>
      <c r="GV31" s="43">
        <f t="shared" si="10"/>
        <v>0.28599729809244012</v>
      </c>
      <c r="GW31" s="43">
        <f t="shared" si="11"/>
        <v>0.28599729809244012</v>
      </c>
      <c r="GX31" s="5">
        <f t="shared" si="12"/>
        <v>114653.38896365611</v>
      </c>
      <c r="GY31" s="32">
        <f>GX31/((1+InputData!$C$7)^(IntMed!$B31-IntMed!$B$7))</f>
        <v>56401.870016878427</v>
      </c>
      <c r="GZ31" s="32">
        <f t="shared" si="94"/>
        <v>1555783.4704518379</v>
      </c>
      <c r="HB31" s="124">
        <v>21</v>
      </c>
      <c r="HC31" s="4" t="str">
        <f t="shared" si="195"/>
        <v>Multi-Year (O6&gt;20 = (BP+BAH+BAS+VSP+BCPSP)*12+ASP+ISP+MSP)</v>
      </c>
      <c r="HD31" s="5">
        <f>MIN(InputData!$C$13+InputData!$E$13*($B31-$B$31),1)*$AW31/(((1+InputData!$C$3)*(1+InputData!$C$7))^(IntMed!$B31-IntMed!$B$7))</f>
        <v>93286.164447731819</v>
      </c>
      <c r="HE31" s="120">
        <f>($AC31+$AD31-(InputData!$J$57-InputData!$H$57))*((1+InputData!$C$5)/((1+InputData!$C$3)*(1+InputData!$C$7)))^(IntMed!$B31-IntMed!$B$7)</f>
        <v>76884.453264920536</v>
      </c>
      <c r="HF31" s="120">
        <f>($AC31+$AD31-(InputData!$J$57-InputData!$I$57))*((1+InputData!$C$5)/((1+InputData!$C$3)*(1+InputData!$C$7)))^(IntMed!$B31-IntMed!$B$7)</f>
        <v>80767.883035126564</v>
      </c>
      <c r="HG31" s="120">
        <f>($AC31+$AD31-(InputData!$J$57-InputData!$J$57))*((1+InputData!$C$5)/((1+InputData!$C$3)*(1+InputData!$C$7)))^(IntMed!$B31-IntMed!$B$7)</f>
        <v>85427.998759373804</v>
      </c>
      <c r="HH31" s="5"/>
      <c r="HI31" s="5">
        <f t="shared" si="197"/>
        <v>21631.199999999997</v>
      </c>
      <c r="HJ31" s="5"/>
      <c r="HK31" s="5">
        <f t="shared" si="199"/>
        <v>156581.40205632269</v>
      </c>
      <c r="HL31" s="5">
        <v>0</v>
      </c>
      <c r="HM31" s="32">
        <f>IF(HK31-InputData!$C$158-InputData!$C$159&gt;=0,HK31-InputData!$C$158-InputData!$C$159,0)</f>
        <v>156581.40205632269</v>
      </c>
      <c r="HN31" s="32">
        <f>IF(HK31-IF(HK31&lt;=InputData!$C$146,InputData!$C$145,0)-MAX(InputData!$C$144,HT31)&gt;=0,HK31-IF(HK31&lt;=InputData!$C$146,InputData!$C$145,0)-MAX(InputData!$C$144,HT31),0)</f>
        <v>150481.40205632269</v>
      </c>
      <c r="HO31" s="32">
        <f>IF(HN31&lt;0,"Error",IF(HN31&lt;=InputData!$B$170,InputData!$C$170*HN31,IF(HN31&lt;=InputData!$B$171,InputData!$D$170+InputData!$C$171*(HN31-InputData!$B$170),IF(HN31&lt;=InputData!$B$172,InputData!$D$171+InputData!$C$172*(HN31-InputData!$B$171),IF(HN31&lt;=InputData!$B$173,InputData!$D$172+InputData!$C$173*(HN31-InputData!$B$172),IF(HN31&lt;=InputData!$B$174,InputData!$D$173+InputData!$C$174*(HN31-InputData!$B$173),IF(HN31&lt;=InputData!$B$175,InputData!$D$174+InputData!$C$175*(HN31-InputData!$B$174),InputData!$D$175+InputData!$C$176*(HN31-InputData!$B$175))))))))</f>
        <v>35428.042575770356</v>
      </c>
      <c r="HP31" s="32">
        <f>IF(HK31&lt;=InputData!$C$150,InputData!$C$152,IF(HK31&lt;InputData!$C$151,IF(InputData!$C$152-0.25*IF(HK31-InputData!$C$150&lt;=0,0,HK31-InputData!$C$150)&lt;=0,0,InputData!$C$152-0.25*IF(HK31-InputData!$C$150&lt;=0,0,HK31-InputData!$C$150)),0))</f>
        <v>41604.649485919326</v>
      </c>
      <c r="HQ31" s="32">
        <f>IF(HK31-HP31&lt;=0,0,IF(HK31-HP31&lt;=InputData!$C$153,InputData!$C$154*(HK31-HP31),InputData!$C$155*(HK31-HP31)-InputData!$D$154))</f>
        <v>29893.955668304876</v>
      </c>
      <c r="HR31" s="32">
        <f t="shared" si="95"/>
        <v>35428.042575770356</v>
      </c>
      <c r="HS31" s="32">
        <f>IF(HK31&gt;=0,IF(HK31&lt;=InputData!$C$148,InputData!$C$147*HK31,InputData!$C$147*InputData!$C$148)+InputData!$C$149*HK31,0)</f>
        <v>9319.8303298166793</v>
      </c>
      <c r="HT31" s="32">
        <f>IF(HM31&lt;0,0,IF(HM31&lt;=InputData!$B$163,InputData!$C$163*HM31,IF(HM31&lt;=InputData!$B$164,InputData!$D$163+InputData!$C$164*(HM31-InputData!$B$163),IF(HM31&lt;=InputData!$B$165,InputData!$D$164+InputData!$C$165*(HM31-InputData!$B$164),InputData!$D$165+InputData!$C$166*(HM31-InputData!$B$165)))))</f>
        <v>0</v>
      </c>
      <c r="HU31" s="43">
        <f t="shared" si="96"/>
        <v>0.28578025434649718</v>
      </c>
      <c r="HV31" s="43">
        <f t="shared" si="97"/>
        <v>0.28578025434649718</v>
      </c>
      <c r="HW31" s="5">
        <f t="shared" si="98"/>
        <v>111833.52915073567</v>
      </c>
      <c r="HX31" s="32">
        <f>HW31/((1+InputData!$C$7)^(IntMed!$B31-IntMed!$B$7))</f>
        <v>55014.685843154846</v>
      </c>
      <c r="HY31" s="32">
        <f t="shared" si="99"/>
        <v>1532244.4688702906</v>
      </c>
      <c r="IA31" s="41"/>
      <c r="IB31" s="4" t="s">
        <v>109</v>
      </c>
      <c r="IC31" s="32">
        <f>MIN(InputData!$C$13+InputData!$E$13*($B31-$B$21),1)*IntMed!AW31</f>
        <v>305010.47331067629</v>
      </c>
      <c r="ID31" s="32">
        <f>MIN(InputData!$C$13+InputData!$E$13*($B31-$B$21),1)*IntMed!AX31</f>
        <v>0</v>
      </c>
      <c r="IE31" s="32">
        <f>MIN(InputData!$C$13+InputData!$E$13*($B31-$B$21),1)*IntMed!AY31</f>
        <v>305010.47331067629</v>
      </c>
      <c r="IF31" s="32">
        <f>MIN(InputData!$C$13+InputData!$E$13*($B31-$B$21),1)*IntMed!EO31</f>
        <v>189631.56530364501</v>
      </c>
      <c r="IG31" s="32">
        <f>MIN(InputData!$C$13+InputData!$E$13*($B31-$B$21),1)*IntMed!EP31</f>
        <v>0</v>
      </c>
      <c r="IH31" s="32">
        <f>IF(IF31-InputData!$C$158-InputData!$C$159&gt;=0,IF31-InputData!$C$158-InputData!$C$159,0)</f>
        <v>189631.56530364501</v>
      </c>
      <c r="II31" s="32">
        <f>IF(IF31-IF(IF31&lt;=InputData!$C$146,InputData!$C$145,0)-MAX(InputData!$C$144,IO31)&gt;=0,IF31-IF(IF31&lt;=InputData!$C$146,InputData!$C$145,0)-MAX(InputData!$C$144,IO31),0)</f>
        <v>183531.56530364501</v>
      </c>
      <c r="IJ31" s="32">
        <f>IF(II31&lt;0,"Error",IF(II31&lt;=InputData!$B$170,InputData!$C$170*II31,IF(II31&lt;=InputData!$B$171,InputData!$D$170+InputData!$C$171*(II31-InputData!$B$170),IF(II31&lt;=InputData!$B$172,InputData!$D$171+InputData!$C$172*(II31-InputData!$B$171),IF(II31&lt;=InputData!$B$173,InputData!$D$172+InputData!$C$173*(II31-InputData!$B$172),IF(II31&lt;=InputData!$B$174,InputData!$D$173+InputData!$C$174*(II31-InputData!$B$173),IF(II31&lt;=InputData!$B$175,InputData!$D$174+InputData!$C$175*(II31-InputData!$B$174),InputData!$D$175+InputData!$C$176*(II31-InputData!$B$175))))))))</f>
        <v>44696.166550202855</v>
      </c>
      <c r="IK31" s="32">
        <f>IF(IF31&lt;=InputData!$C$150,InputData!$C$152,IF(IF31&lt;InputData!$C$151,IF(InputData!$C$152-0.25*IF(IF31-InputData!$C$150&lt;=0,0,IF31-InputData!$C$150)&lt;=0,0,InputData!$C$152-0.25*IF(IF31-InputData!$C$150&lt;=0,0,IF31-InputData!$C$150)),0))</f>
        <v>33342.108674088748</v>
      </c>
      <c r="IL31" s="32">
        <f>IF(IF31-IK31&lt;=0,0,IF(IF31-IK31&lt;=InputData!$C$153,InputData!$C$154*(IF31-IK31),InputData!$C$155*(IF31-IK31)-InputData!$D$154))</f>
        <v>40635.25872368463</v>
      </c>
      <c r="IM31" s="32">
        <f t="shared" si="100"/>
        <v>44696.166550202855</v>
      </c>
      <c r="IN31" s="32">
        <f>IF(IF31&gt;=0,IF(IF31&lt;=InputData!$C$148,InputData!$C$147*IF31,InputData!$C$147*InputData!$C$148)+InputData!$C$149*IF31,0)</f>
        <v>9799.0576969028516</v>
      </c>
      <c r="IO31" s="32">
        <f>IF(IH31&lt;0,0,IF(IH31&lt;=InputData!$B$163,InputData!$C$163*IH31,IF(IH31&lt;=InputData!$B$164,InputData!$D$163+InputData!$C$164*(IH31-InputData!$B$163),IF(IH31&lt;=InputData!$B$165,InputData!$D$164+InputData!$C$165*(IH31-InputData!$B$164),InputData!$D$165+InputData!$C$166*(IH31-InputData!$B$165)))))</f>
        <v>0</v>
      </c>
      <c r="IP31" s="43">
        <f t="shared" si="101"/>
        <v>0.28737422569837445</v>
      </c>
      <c r="IQ31" s="43">
        <f t="shared" si="102"/>
        <v>0.28737422569837445</v>
      </c>
      <c r="IR31" s="5">
        <f t="shared" si="27"/>
        <v>135136.3410565393</v>
      </c>
      <c r="IS31" s="32">
        <f>IR31/((1+InputData!$C$7)^(IntMed!$B31-IntMed!$B$7))</f>
        <v>66478.125171193635</v>
      </c>
      <c r="IT31" s="5">
        <f t="shared" si="103"/>
        <v>1596466.4092454289</v>
      </c>
      <c r="IV31" s="41"/>
      <c r="IW31" s="49" t="s">
        <v>109</v>
      </c>
      <c r="IX31" s="32">
        <f>MIN(InputData!$C$13+InputData!$E$13*($B31-$B$18),1)*IntMed!AW31</f>
        <v>305010.47331067629</v>
      </c>
      <c r="IY31" s="32">
        <f>MIN(InputData!$C$13+InputData!$E$13*($B31-$B$18),1)*IntMed!AX31</f>
        <v>0</v>
      </c>
      <c r="IZ31" s="32">
        <f>MIN(InputData!$C$13+InputData!$E$13*($B31-$B$18),1)*IntMed!AY31</f>
        <v>305010.47331067629</v>
      </c>
      <c r="JA31" s="32">
        <f>MIN(InputData!$C$13+InputData!$E$13*($B31-$B$18),1)*IntMed!EO31</f>
        <v>189631.56530364501</v>
      </c>
      <c r="JB31" s="32">
        <f>MIN(InputData!$C$13+InputData!$E$13*($B31-$B$18),1)*IntMed!EP31</f>
        <v>0</v>
      </c>
      <c r="JC31" s="32">
        <f>IF(JA31-InputData!$C$158-InputData!$C$159&gt;=0,JA31-InputData!$C$158-InputData!$C$159,0)</f>
        <v>189631.56530364501</v>
      </c>
      <c r="JD31" s="32">
        <f>IF(JA31-IF(JA31&lt;=InputData!$C$146,InputData!$C$145,0)-MAX(InputData!$C$144,JJ31)&gt;=0,JA31-IF(JA31&lt;=InputData!$C$146,InputData!$C$145,0)-MAX(InputData!$C$144,JJ31),0)</f>
        <v>183531.56530364501</v>
      </c>
      <c r="JE31" s="32">
        <f>IF(JD31&lt;0,"Error",IF(JD31&lt;=InputData!$B$170,InputData!$C$170*JD31,IF(JD31&lt;=InputData!$B$171,InputData!$D$170+InputData!$C$171*(JD31-InputData!$B$170),IF(JD31&lt;=InputData!$B$172,InputData!$D$171+InputData!$C$172*(JD31-InputData!$B$171),IF(JD31&lt;=InputData!$B$173,InputData!$D$172+InputData!$C$173*(JD31-InputData!$B$172),IF(JD31&lt;=InputData!$B$174,InputData!$D$173+InputData!$C$174*(JD31-InputData!$B$173),IF(JD31&lt;=InputData!$B$175,InputData!$D$174+InputData!$C$175*(JD31-InputData!$B$174),InputData!$D$175+InputData!$C$176*(JD31-InputData!$B$175))))))))</f>
        <v>44696.166550202855</v>
      </c>
      <c r="JF31" s="32">
        <f>IF(JA31&lt;=InputData!$C$150,InputData!$C$152,IF(JA31&lt;InputData!$C$151,IF(InputData!$C$152-0.25*IF(JA31-InputData!$C$150&lt;=0,0,JA31-InputData!$C$150)&lt;=0,0,InputData!$C$152-0.25*IF(JA31-InputData!$C$150&lt;=0,0,JA31-InputData!$C$150)),0))</f>
        <v>33342.108674088748</v>
      </c>
      <c r="JG31" s="32">
        <f>IF(JA31-JF31&lt;=0,0,IF(JA31-JF31&lt;=InputData!$C$153,InputData!$C$154*(JA31-JF31),InputData!$C$155*(JA31-JF31)-InputData!$D$154))</f>
        <v>40635.25872368463</v>
      </c>
      <c r="JH31" s="32">
        <f t="shared" si="104"/>
        <v>44696.166550202855</v>
      </c>
      <c r="JI31" s="32">
        <f>IF(JA31&gt;=0,IF(JA31&lt;=InputData!$C$148,InputData!$C$147*JA31,InputData!$C$147*InputData!$C$148)+InputData!$C$149*JA31,0)</f>
        <v>9799.0576969028516</v>
      </c>
      <c r="JJ31" s="32">
        <f>IF(JC31&lt;0,0,IF(JC31&lt;=InputData!$B$163,InputData!$C$163*JC31,IF(JC31&lt;=InputData!$B$164,InputData!$D$163+InputData!$C$164*(JC31-InputData!$B$163),IF(JC31&lt;=InputData!$B$165,InputData!$D$164+InputData!$C$165*(JC31-InputData!$B$164),InputData!$D$165+InputData!$C$166*(JC31-InputData!$B$165)))))</f>
        <v>0</v>
      </c>
      <c r="JK31" s="42">
        <f t="shared" si="105"/>
        <v>0.28737422569837445</v>
      </c>
      <c r="JL31" s="42">
        <f t="shared" si="106"/>
        <v>0.28737422569837445</v>
      </c>
      <c r="JM31" s="32">
        <f t="shared" si="35"/>
        <v>135136.3410565393</v>
      </c>
      <c r="JN31" s="32">
        <f>JM31/((1+InputData!$C$7)^(IntMed!$B31-IntMed!$B$7))</f>
        <v>66478.125171193635</v>
      </c>
      <c r="JO31" s="32">
        <f t="shared" si="107"/>
        <v>1577818.1477930245</v>
      </c>
      <c r="JP31" s="24"/>
      <c r="JQ31" s="41" t="s">
        <v>109</v>
      </c>
      <c r="JR31" s="32">
        <f>$JR$14*(1+InputData!$C$3+InputData!$C$4)^(IntMed!$B31-IntMed!$B$14)</f>
        <v>265804.33403980505</v>
      </c>
      <c r="JS31" s="32">
        <v>0</v>
      </c>
      <c r="JT31" s="32">
        <f t="shared" si="108"/>
        <v>265804.33403980505</v>
      </c>
      <c r="JU31" s="5">
        <f>JR31*(1/(1+InputData!$C$3))^(IntMed!$B31-IntMed!$B$7)</f>
        <v>165256.26605982118</v>
      </c>
      <c r="JV31" s="5">
        <f>JS31*(1/(1+InputData!$C$3))^(IntMed!$B31-IntMed!$B$7)</f>
        <v>0</v>
      </c>
      <c r="JW31" s="32">
        <f>IF(JU31-InputData!$C$158-InputData!$C$159&gt;=0,JU31-InputData!$C$158-InputData!$C$159,0)</f>
        <v>165256.26605982118</v>
      </c>
      <c r="JX31" s="32">
        <f>IF(JU31-IF(JU31&lt;=InputData!$C$146,InputData!$C$145,0)-MAX(InputData!$C$144,KD31)&gt;=0,JU31-IF(JU31&lt;=InputData!$C$146,InputData!$C$145,0)-MAX(InputData!$C$144,KD31),0)</f>
        <v>159156.26605982118</v>
      </c>
      <c r="JY31" s="32">
        <f>IF(JX31&lt;0,"Error",IF(JX31&lt;=InputData!$B$170,InputData!$C$170*JX31,IF(JX31&lt;=InputData!$B$171,InputData!$D$170+InputData!$C$171*(JX31-InputData!$B$170),IF(JX31&lt;=InputData!$B$172,InputData!$D$171+InputData!$C$172*(JX31-InputData!$B$171),IF(JX31&lt;=InputData!$B$173,InputData!$D$172+InputData!$C$173*(JX31-InputData!$B$172),IF(JX31&lt;=InputData!$B$174,InputData!$D$173+InputData!$C$174*(JX31-InputData!$B$173),IF(JX31&lt;=InputData!$B$175,InputData!$D$174+InputData!$C$175*(JX31-InputData!$B$174),InputData!$D$175+InputData!$C$176*(JX31-InputData!$B$175))))))))</f>
        <v>37857.004496749927</v>
      </c>
      <c r="JZ31" s="32">
        <f>IF(JU31&lt;=InputData!$C$150,InputData!$C$152,IF(JU31&lt;InputData!$C$151,IF(InputData!$C$152-0.25*IF(JU31-InputData!$C$150&lt;=0,0,JU31-InputData!$C$150)&lt;=0,0,InputData!$C$152-0.25*IF(JU31-InputData!$C$150&lt;=0,0,JU31-InputData!$C$150)),0))</f>
        <v>39435.933485044705</v>
      </c>
      <c r="KA31" s="32">
        <f>IF(JU31-JZ31&lt;=0,0,IF(JU31-JZ31&lt;=InputData!$C$153,InputData!$C$154*(JU31-JZ31),InputData!$C$155*(JU31-JZ31)-InputData!$D$154))</f>
        <v>32713.286469441886</v>
      </c>
      <c r="KB31" s="32">
        <f t="shared" si="109"/>
        <v>37857.004496749927</v>
      </c>
      <c r="KC31" s="32">
        <f>IF(JU31&gt;=0,IF(JU31&lt;=InputData!$C$148,InputData!$C$147*JU31,InputData!$C$147*InputData!$C$148)+InputData!$C$149*JU31,0)</f>
        <v>9445.6158578674076</v>
      </c>
      <c r="KD31" s="32">
        <f>IF(JW31&lt;0,0,IF(JW31&lt;=InputData!$B$163,InputData!$C$163*JW31,IF(JW31&lt;=InputData!$B$164,InputData!$D$163+InputData!$C$164*(JW31-InputData!$B$163),IF(JW31&lt;=InputData!$B$165,InputData!$D$164+InputData!$C$165*(JW31-InputData!$B$164),InputData!$D$165+InputData!$C$166*(JW31-InputData!$B$165)))))</f>
        <v>0</v>
      </c>
      <c r="KE31" s="43">
        <f t="shared" si="110"/>
        <v>0.28623798348132978</v>
      </c>
      <c r="KF31" s="43">
        <f t="shared" si="111"/>
        <v>0.28623798348132978</v>
      </c>
      <c r="KG31" s="5">
        <f t="shared" si="112"/>
        <v>117953.64570520385</v>
      </c>
      <c r="KH31" s="32">
        <f>KG31/((1+InputData!$C$7)^(IntMed!$B31-IntMed!$B$7))</f>
        <v>58025.377646627661</v>
      </c>
      <c r="KI31" s="5">
        <f t="shared" si="143"/>
        <v>1409400.7279478563</v>
      </c>
      <c r="KK31" s="7">
        <v>9</v>
      </c>
      <c r="KL31" t="s">
        <v>380</v>
      </c>
      <c r="KM31">
        <v>46</v>
      </c>
      <c r="KN31" s="41" t="s">
        <v>109</v>
      </c>
      <c r="KO31" s="32">
        <f>MIN(InputData!$C$13+InputData!$E$13*($B31-$B$24),1)*IntMed!AW31</f>
        <v>305010.47331067629</v>
      </c>
      <c r="KP31" s="32">
        <f>MIN(InputData!$C$13+InputData!$E$13*($B31-$B$24),1)*IntMed!AX31</f>
        <v>0</v>
      </c>
      <c r="KQ31" s="5">
        <f t="shared" si="169"/>
        <v>305010.47331067629</v>
      </c>
      <c r="KR31" s="32">
        <f>KR30*(1+InputData!$C$8)</f>
        <v>18480.943996470349</v>
      </c>
      <c r="KS31" s="5">
        <f>KO31*(1/(1+InputData!$C$3))^(IntMed!$B31-IntMed!$B$7)</f>
        <v>189631.56530364478</v>
      </c>
      <c r="KT31" s="5">
        <f>KP31*(1/(1+InputData!$C$3))^(IntMed!$B31-IntMed!$B$7)</f>
        <v>0</v>
      </c>
      <c r="KU31" s="32" t="s">
        <v>386</v>
      </c>
      <c r="KV31" s="32">
        <v>0</v>
      </c>
      <c r="KW31" s="32">
        <v>0</v>
      </c>
      <c r="KX31" s="5">
        <f>KW31*InputData!$C$6</f>
        <v>0</v>
      </c>
      <c r="KY31" s="32">
        <f t="shared" si="166"/>
        <v>0</v>
      </c>
      <c r="KZ31" s="32">
        <v>0</v>
      </c>
      <c r="LA31" s="32">
        <v>0</v>
      </c>
      <c r="LB31" s="32">
        <f>KZ31/((1+InputData!$C$3)^(IntMed!$B31-IntMed!$B$7))</f>
        <v>0</v>
      </c>
      <c r="LC31" s="32">
        <f>IF(KS31-InputData!$C$158-InputData!$C$159&gt;=0,KS31-InputData!$C$158-InputData!$C$159,0)</f>
        <v>189631.56530364478</v>
      </c>
      <c r="LD31" s="32">
        <f>IF(KS31-IF(KS31&lt;=InputData!$C$146,InputData!$C$145,0)-MAX(InputData!$C$144,LJ31)&gt;=0,KS31-IF(KS31&lt;=InputData!$C$146,InputData!$C$145,0)-MAX(InputData!$C$144,LJ31),0)</f>
        <v>183531.56530364478</v>
      </c>
      <c r="LE31" s="32">
        <f>IF(LD31&lt;0,"Error",IF(LD31&lt;=InputData!$B$170,InputData!$C$170*LD31,IF(LD31&lt;=InputData!$B$171,InputData!$D$170+InputData!$C$171*(LD31-InputData!$B$170),IF(LD31&lt;=InputData!$B$172,InputData!$D$171+InputData!$C$172*(LD31-InputData!$B$171),IF(LD31&lt;=InputData!$B$173,InputData!$D$172+InputData!$C$173*(LD31-InputData!$B$172),IF(LD31&lt;=InputData!$B$174,InputData!$D$173+InputData!$C$174*(LD31-InputData!$B$173),IF(LD31&lt;=InputData!$B$175,InputData!$D$174+InputData!$C$175*(LD31-InputData!$B$174),InputData!$D$175+InputData!$C$176*(LD31-InputData!$B$175))))))))</f>
        <v>44696.166550202775</v>
      </c>
      <c r="LF31" s="32">
        <f>IF(KS31&lt;=InputData!$C$150,InputData!$C$152,IF(KS31&lt;InputData!$C$151,IF(InputData!$C$152-0.25*IF(KS31-InputData!$C$150&lt;=0,0,KS31-InputData!$C$150)&lt;=0,0,InputData!$C$152-0.25*IF(KS31-InputData!$C$150&lt;=0,0,KS31-InputData!$C$150)),0))</f>
        <v>33342.108674088806</v>
      </c>
      <c r="LG31" s="32">
        <f>IF(KS31-LF31&lt;=0,0,IF(KS31-LF31&lt;=InputData!$C$153,InputData!$C$154*(KS31-LF31),InputData!$C$155*(KS31-LF31)-InputData!$D$154))</f>
        <v>40635.25872368455</v>
      </c>
      <c r="LH31" s="32">
        <f t="shared" si="118"/>
        <v>44696.166550202775</v>
      </c>
      <c r="LI31" s="32">
        <f>IF(KS31&gt;=0,IF(KS31&lt;=InputData!$C$148,InputData!$C$147*KS31,InputData!$C$147*InputData!$C$148)+InputData!$C$149*KS31,0)</f>
        <v>9799.057696902848</v>
      </c>
      <c r="LJ31" s="32">
        <f>IF(LC31&lt;0,0,IF(LC31&lt;=InputData!$B$163,InputData!$C$163*LC31,IF(LC31&lt;=InputData!$B$164,InputData!$D$163+InputData!$C$164*(LC31-InputData!$B$163),IF(LC31&lt;=InputData!$B$165,InputData!$D$164+InputData!$C$165*(LC31-InputData!$B$164),InputData!$D$165+InputData!$C$166*(LC31-InputData!$B$165)))))</f>
        <v>0</v>
      </c>
      <c r="LK31" s="43">
        <f t="shared" si="156"/>
        <v>0.28737422569837434</v>
      </c>
      <c r="LL31" s="32">
        <f t="shared" si="119"/>
        <v>135136.34105653915</v>
      </c>
      <c r="LM31" s="5">
        <f t="shared" si="120"/>
        <v>135136.34105653915</v>
      </c>
      <c r="LN31" s="32">
        <f>LM31/((1+InputData!$C$7)^(IntMed!$B31-IntMed!$B$7))</f>
        <v>66478.125171193562</v>
      </c>
      <c r="LO31" s="5">
        <f t="shared" si="145"/>
        <v>1243687.3061599014</v>
      </c>
      <c r="LQ31" s="157" t="str">
        <f t="shared" si="37"/>
        <v>Private Practice</v>
      </c>
      <c r="LR31" s="32">
        <f t="shared" si="121"/>
        <v>338900.52590075141</v>
      </c>
      <c r="LS31" s="32">
        <v>0</v>
      </c>
      <c r="LT31" s="32">
        <f t="shared" si="123"/>
        <v>338900.52590075141</v>
      </c>
      <c r="LU31" s="32">
        <f>LU30*(1+InputData!$C$8)</f>
        <v>18480.943996470349</v>
      </c>
      <c r="LV31" s="32">
        <f>LR31/((1+InputData!$C$3)^(IntMed!$B31-IntMed!$B$7))</f>
        <v>210701.73922627221</v>
      </c>
      <c r="LW31" s="32">
        <f>LS31/((1+InputData!$C$3)^(IntMed!$B31-IntMed!$B$7))</f>
        <v>0</v>
      </c>
      <c r="LX31" s="32" t="s">
        <v>141</v>
      </c>
      <c r="LY31" s="32">
        <v>0</v>
      </c>
      <c r="LZ31" s="32">
        <f t="shared" si="189"/>
        <v>0</v>
      </c>
      <c r="MA31" s="32">
        <f>(LZ31)*InputData!$C$6</f>
        <v>0</v>
      </c>
      <c r="MB31" s="32">
        <f>MIN($BE$14*InputData!$C$6/(1-(1+InputData!$C$6)^(-10)), LZ31+MA31)</f>
        <v>0</v>
      </c>
      <c r="MC31" s="32">
        <f t="shared" si="168"/>
        <v>0</v>
      </c>
      <c r="MD31" s="32">
        <f>MB31/((1+InputData!$C$3)^(IntMed!$B31-IntMed!$B$7))</f>
        <v>0</v>
      </c>
      <c r="ME31" s="32">
        <f>IF(LV31-InputData!$C$158-InputData!$C$159&gt;=0,LV31-InputData!$C$158-InputData!$C$159,0)</f>
        <v>210701.73922627221</v>
      </c>
      <c r="MF31" s="32">
        <f>IF(LV31-IF(LV31&lt;=InputData!$C$146,InputData!$C$145,0)-MAX(InputData!$C$144,ML31)&gt;=0,LV31-IF(LV31&lt;=InputData!$C$146,InputData!$C$145,0)-MAX(InputData!$C$144,ML31),0)</f>
        <v>204601.73922627221</v>
      </c>
      <c r="MG31" s="32">
        <f>IF(MF31&lt;0,"Error",IF(MF31&lt;=InputData!$B$170,InputData!$C$170*MF31,IF(MF31&lt;=InputData!$B$171,InputData!$D$170+InputData!$C$171*(MF31-InputData!$B$170),IF(MF31&lt;=InputData!$B$172,InputData!$D$171+InputData!$C$172*(MF31-InputData!$B$171),IF(MF31&lt;=InputData!$B$173,InputData!$D$172+InputData!$C$173*(MF31-InputData!$B$172),IF(MF31&lt;=InputData!$B$174,InputData!$D$173+InputData!$C$174*(MF31-InputData!$B$173),IF(MF31&lt;=InputData!$B$175,InputData!$D$174+InputData!$C$175*(MF31-InputData!$B$174),InputData!$D$175+InputData!$C$176*(MF31-InputData!$B$175))))))))</f>
        <v>51649.323944669828</v>
      </c>
      <c r="MH31" s="32">
        <f>IF(LV31&lt;=InputData!$C$150,InputData!$C$152,IF(LV31&lt;InputData!$C$151,IF(InputData!$C$152-0.25*IF(LV31-InputData!$C$150&lt;=0,0,LV31-InputData!$C$150)&lt;=0,0,InputData!$C$152-0.25*IF(LV31-InputData!$C$150&lt;=0,0,LV31-InputData!$C$150)),0))</f>
        <v>28074.565193431947</v>
      </c>
      <c r="MI31" s="32">
        <f>IF(LV31-MH31&lt;=0,0,IF(LV31-MH31&lt;=InputData!$C$153,InputData!$C$154*(LV31-MH31),InputData!$C$155*(LV31-MH31)-InputData!$D$154))</f>
        <v>47545.608729195279</v>
      </c>
      <c r="MJ31" s="32">
        <f t="shared" si="124"/>
        <v>51649.323944669828</v>
      </c>
      <c r="MK31" s="32">
        <f>IF(LV31&gt;=0,IF(LV31&lt;=InputData!$C$148,InputData!$C$147*LV31,InputData!$C$147*InputData!$C$148)+InputData!$C$149*LV31,0)</f>
        <v>10104.575218780947</v>
      </c>
      <c r="ML31" s="32">
        <f>IF(ME31&lt;0,0,IF(ME31&lt;=InputData!$B$163,InputData!$C$163*ME31,IF(ME31&lt;=InputData!$B$164,InputData!$D$163+InputData!$C$164*(ME31-InputData!$B$163),IF(ME31&lt;=InputData!$B$165,InputData!$D$164+InputData!$C$165*(ME31-InputData!$B$164),InputData!$D$165+InputData!$C$166*(ME31-InputData!$B$165)))))</f>
        <v>0</v>
      </c>
      <c r="MM31" s="43">
        <f t="shared" si="38"/>
        <v>0.29308680312853697</v>
      </c>
      <c r="MN31" s="32">
        <f t="shared" si="125"/>
        <v>148947.84006282143</v>
      </c>
      <c r="MO31" s="32">
        <f t="shared" si="126"/>
        <v>148947.84006282143</v>
      </c>
      <c r="MP31" s="32">
        <f>MO31/((1+InputData!$C$7)^(IntMed!$B31-IntMed!$B$7))</f>
        <v>73272.467481803425</v>
      </c>
      <c r="MQ31" s="5">
        <f t="shared" si="147"/>
        <v>1686071.4497267664</v>
      </c>
    </row>
    <row r="32" spans="1:355" x14ac:dyDescent="0.25">
      <c r="A32" s="53">
        <v>2038</v>
      </c>
      <c r="B32" s="51">
        <v>26</v>
      </c>
      <c r="C32" s="4"/>
      <c r="D32" s="3">
        <v>26</v>
      </c>
      <c r="E32" s="4" t="s">
        <v>181</v>
      </c>
      <c r="F32" s="5">
        <f>InputData!$P$21*12</f>
        <v>120412.79999999999</v>
      </c>
      <c r="G32" s="5">
        <f>(InputData!$P$21+InputData!$K$45+InputData!$G$50)*12+InputData!$J$50+InputData!$D$57+InputData!$J$57</f>
        <v>203412.76</v>
      </c>
      <c r="H32" s="5">
        <f>(InputData!$C$32+InputData!$C$40)*12</f>
        <v>21631.199999999997</v>
      </c>
      <c r="I32" s="5">
        <f t="shared" si="207"/>
        <v>225043.96000000002</v>
      </c>
      <c r="J32" s="5">
        <f>G32*((1+InputData!$C$5)/(1+InputData!$C$3))^(IntMed!$B32-IntMed!$B$7)</f>
        <v>159004.07075123006</v>
      </c>
      <c r="K32" s="5">
        <f>H32*((1+InputData!$C$5)/(1+InputData!$C$3))^(IntMed!$B32-IntMed!$B$7)</f>
        <v>16908.717305807204</v>
      </c>
      <c r="L32" s="32">
        <f>IF(J32-InputData!$C$158-InputData!$C$159&gt;=0,J32-InputData!$C$158-InputData!$C$159,0)</f>
        <v>159004.07075123006</v>
      </c>
      <c r="M32" s="32">
        <f>IF(J32-IF(J32&lt;=InputData!$C$146,InputData!$C$145,0)-MAX(InputData!$C$144,S32)&gt;=0,J32-IF(J32&lt;=InputData!$C$146,InputData!$C$145,0)-MAX(InputData!$C$144,S32),0)</f>
        <v>152904.07075123006</v>
      </c>
      <c r="N32" s="32">
        <f>IF(M32&lt;0,"Error",IF(M32&lt;=InputData!$B$170,InputData!$C$170*M32,IF(M32&lt;=InputData!$B$171,InputData!$D$170+InputData!$C$171*(M32-InputData!$B$170),IF(M32&lt;=InputData!$B$172,InputData!$D$171+InputData!$C$172*(M32-InputData!$B$171),IF(M32&lt;=InputData!$B$173,InputData!$D$172+InputData!$C$173*(M32-InputData!$B$172),IF(M32&lt;=InputData!$B$174,InputData!$D$173+InputData!$C$174*(M32-InputData!$B$173),IF(M32&lt;=InputData!$B$175,InputData!$D$174+InputData!$C$175*(M32-InputData!$B$174),InputData!$D$175+InputData!$C$176*(M32-InputData!$B$175))))))))</f>
        <v>36106.389810344423</v>
      </c>
      <c r="O32" s="32">
        <f>IF(J32&lt;=InputData!$C$150,InputData!$C$152,IF(J32&lt;InputData!$C$151,IF(InputData!$C$152-0.25*IF(J32-InputData!$C$150&lt;=0,0,J32-InputData!$C$150)&lt;=0,0,InputData!$C$152-0.25*IF(J32-InputData!$C$150&lt;=0,0,J32-InputData!$C$150)),0))</f>
        <v>40998.982312192486</v>
      </c>
      <c r="P32" s="32">
        <f>IF(J32-O32&lt;=0,0,IF(J32-O32&lt;=InputData!$C$153,InputData!$C$154*(J32-O32),InputData!$C$155*(J32-O32)-InputData!$D$154))</f>
        <v>30681.32299414977</v>
      </c>
      <c r="Q32" s="32">
        <f t="shared" si="40"/>
        <v>36106.389810344423</v>
      </c>
      <c r="R32" s="32">
        <f>IF(J32&gt;=0,IF(J32&lt;=InputData!$C$148,InputData!$C$147*J32,InputData!$C$147*InputData!$C$148)+InputData!$C$149*J32,0)</f>
        <v>9354.9590258928365</v>
      </c>
      <c r="S32" s="32">
        <f>IF(L32&lt;0,0,IF(L32&lt;=InputData!$B$163,InputData!$C$163*L32,IF(L32&lt;=InputData!$B$164,InputData!$D$163+InputData!$C$164*(L32-InputData!$B$163),IF(L32&lt;=InputData!$B$165,InputData!$D$164+InputData!$C$165*(L32-InputData!$B$164),InputData!$D$165+InputData!$C$166*(L32-InputData!$B$165)))))</f>
        <v>0</v>
      </c>
      <c r="T32" s="43">
        <f t="shared" si="41"/>
        <v>0.28591311292503857</v>
      </c>
      <c r="U32" s="43">
        <f t="shared" si="42"/>
        <v>0.25843117682551342</v>
      </c>
      <c r="V32" s="5">
        <f t="shared" si="43"/>
        <v>130451.43922080001</v>
      </c>
      <c r="W32" s="32">
        <f>V32/((1+InputData!$C$7)^(IntMed!$B32-IntMed!$B$7))</f>
        <v>62304.333890052985</v>
      </c>
      <c r="X32" s="5">
        <f t="shared" si="208"/>
        <v>1626488.1289464189</v>
      </c>
      <c r="Y32" s="53"/>
      <c r="Z32" s="3">
        <v>22.5</v>
      </c>
      <c r="AA32" s="98" t="s">
        <v>268</v>
      </c>
      <c r="AB32" s="32">
        <f>(0.5*InputData!$N$21+0.5*InputData!$O$21)*12</f>
        <v>115862.40000000001</v>
      </c>
      <c r="AC32" s="32">
        <f>(0.5*(InputData!$N$21+InputData!$J$45)+0.5*(InputData!$O$21+InputData!$K$45)+InputData!$G$50)*12+InputData!$J$50+InputData!$D$57+InputData!$J$57</f>
        <v>199358.38</v>
      </c>
      <c r="AD32" s="5">
        <f t="shared" si="193"/>
        <v>21631.199999999997</v>
      </c>
      <c r="AE32" s="5">
        <f t="shared" si="209"/>
        <v>220989.58000000002</v>
      </c>
      <c r="AF32" s="5">
        <f>AC32*((1+InputData!$C$5)/(1+InputData!$C$3))^(IntMed!$B32-IntMed!$B$7)</f>
        <v>155834.83532876999</v>
      </c>
      <c r="AG32" s="5">
        <f>AD32*((1+InputData!$C$5)/(1+InputData!$C$3))^(IntMed!$B32-IntMed!$B$7)</f>
        <v>16908.717305807204</v>
      </c>
      <c r="AH32" s="32">
        <f>IF(AF32-InputData!$C$158-InputData!$C$159&gt;=0,AF32-InputData!$C$158-InputData!$C$159,0)</f>
        <v>155834.83532876999</v>
      </c>
      <c r="AI32" s="32">
        <f>IF(AF32-IF(AF32&lt;=InputData!$C$146,InputData!$C$145,0)-MAX(InputData!$C$144,AO32)&gt;=0,AF32-IF(AF32&lt;=InputData!$C$146,InputData!$C$145,0)-MAX(InputData!$C$144,AO32),0)</f>
        <v>149734.83532876999</v>
      </c>
      <c r="AJ32" s="32">
        <f>IF(AI32&lt;0,"Error",IF(AI32&lt;=InputData!$B$170,InputData!$C$170*AI32,IF(AI32&lt;=InputData!$B$171,InputData!$D$170+InputData!$C$171*(AI32-InputData!$B$170),IF(AI32&lt;=InputData!$B$172,InputData!$D$171+InputData!$C$172*(AI32-InputData!$B$171),IF(AI32&lt;=InputData!$B$173,InputData!$D$172+InputData!$C$173*(AI32-InputData!$B$172),IF(AI32&lt;=InputData!$B$174,InputData!$D$173+InputData!$C$174*(AI32-InputData!$B$173),IF(AI32&lt;=InputData!$B$175,InputData!$D$174+InputData!$C$175*(AI32-InputData!$B$174),InputData!$D$175+InputData!$C$176*(AI32-InputData!$B$175))))))))</f>
        <v>35219.003892055596</v>
      </c>
      <c r="AK32" s="32">
        <f>IF(AF32&lt;=InputData!$C$150,InputData!$C$152,IF(AF32&lt;InputData!$C$151,IF(InputData!$C$152-0.25*IF(AF32-InputData!$C$150&lt;=0,0,AF32-InputData!$C$150)&lt;=0,0,InputData!$C$152-0.25*IF(AF32-InputData!$C$150&lt;=0,0,AF32-InputData!$C$150)),0))</f>
        <v>41791.291167807503</v>
      </c>
      <c r="AL32" s="32">
        <f>IF(AF32-AK32&lt;=0,0,IF(AF32-AK32&lt;=InputData!$C$153,InputData!$C$154*(AF32-AK32),InputData!$C$155*(AF32-AK32)-InputData!$D$154))</f>
        <v>29651.321481850246</v>
      </c>
      <c r="AM32" s="32">
        <f t="shared" si="45"/>
        <v>35219.003892055596</v>
      </c>
      <c r="AN32" s="32">
        <f>IF(AF32&gt;=0,IF(AF32&lt;=InputData!$C$148,InputData!$C$147*AF32,InputData!$C$147*InputData!$C$148)+InputData!$C$149*AF32,0)</f>
        <v>9309.0051122671648</v>
      </c>
      <c r="AO32" s="32">
        <f>IF(AH32&lt;0,0,IF(AH32&lt;=InputData!$B$163,InputData!$C$163*AH32,IF(AH32&lt;=InputData!$B$164,InputData!$D$163+InputData!$C$164*(AH32-InputData!$B$163),IF(AH32&lt;=InputData!$B$165,InputData!$D$164+InputData!$C$165*(AH32-InputData!$B$164),InputData!$D$165+InputData!$C$166*(AH32-InputData!$B$165)))))</f>
        <v>0</v>
      </c>
      <c r="AP32" s="43">
        <f t="shared" si="46"/>
        <v>0.28573848016960085</v>
      </c>
      <c r="AQ32" s="43">
        <f t="shared" si="47"/>
        <v>0.25776944103099231</v>
      </c>
      <c r="AR32" s="5">
        <f t="shared" si="48"/>
        <v>128215.54363025443</v>
      </c>
      <c r="AS32" s="32">
        <f>AR32/((1+InputData!$C$7)^(IntMed!$B32-IntMed!$B$7))</f>
        <v>61236.457703720829</v>
      </c>
      <c r="AT32" s="5">
        <f t="shared" si="210"/>
        <v>1601881.2511785394</v>
      </c>
      <c r="AU32" s="53"/>
      <c r="AV32" s="41" t="s">
        <v>109</v>
      </c>
      <c r="AW32" s="32">
        <f>$AW$14*(1+InputData!$C$3+InputData!$C$4)^(IntMed!$B32-IntMed!$B$14)</f>
        <v>349067.54167777393</v>
      </c>
      <c r="AX32" s="32">
        <v>0</v>
      </c>
      <c r="AY32" s="32">
        <f t="shared" si="211"/>
        <v>349067.54167777393</v>
      </c>
      <c r="AZ32" s="32">
        <f>AZ31*(1+InputData!$C$8)</f>
        <v>18850.562876399756</v>
      </c>
      <c r="BA32" s="32">
        <f>AW32/((1+InputData!$C$3)^(IntMed!$B32-IntMed!$B$7))</f>
        <v>212767.44255201996</v>
      </c>
      <c r="BB32" s="32">
        <f>AX32/((1+InputData!$C$3)^(IntMed!$B32-IntMed!$B$7))</f>
        <v>0</v>
      </c>
      <c r="BC32" s="32" t="s">
        <v>141</v>
      </c>
      <c r="BD32" s="32">
        <v>0</v>
      </c>
      <c r="BE32" s="32">
        <f t="shared" si="174"/>
        <v>0</v>
      </c>
      <c r="BF32" s="32">
        <f>(BE32)*InputData!$C$6</f>
        <v>0</v>
      </c>
      <c r="BG32" s="32">
        <f>MIN($BE$14*InputData!$C$6/(1-(1+InputData!$C$6)^(-10)), BE32+BF32)</f>
        <v>0</v>
      </c>
      <c r="BH32" s="32">
        <f t="shared" si="157"/>
        <v>0</v>
      </c>
      <c r="BI32" s="32">
        <f>BG32/((1+InputData!$C$3)^(IntMed!$B32-IntMed!$B$7))</f>
        <v>0</v>
      </c>
      <c r="BJ32" s="32">
        <f>IF(BA32-InputData!$C$158-InputData!$C$159&gt;=0,BA32-InputData!$C$158-InputData!$C$159,0)</f>
        <v>212767.44255201996</v>
      </c>
      <c r="BK32" s="32">
        <f>IF(BA32-IF(BA32&lt;=InputData!$C$146,InputData!$C$145,0)-MAX(InputData!$C$144,BQ32)&gt;=0,BA32-IF(BA32&lt;=InputData!$C$146,InputData!$C$145,0)-MAX(InputData!$C$144,BQ32),0)</f>
        <v>206667.44255201996</v>
      </c>
      <c r="BL32" s="32">
        <f>IF(BK32&lt;0,"Error",IF(BK32&lt;=InputData!$B$170,InputData!$C$170*BK32,IF(BK32&lt;=InputData!$B$171,InputData!$D$170+InputData!$C$171*(BK32-InputData!$B$170),IF(BK32&lt;=InputData!$B$172,InputData!$D$171+InputData!$C$172*(BK32-InputData!$B$171),IF(BK32&lt;=InputData!$B$173,InputData!$D$172+InputData!$C$173*(BK32-InputData!$B$172),IF(BK32&lt;=InputData!$B$174,InputData!$D$173+InputData!$C$174*(BK32-InputData!$B$173),IF(BK32&lt;=InputData!$B$175,InputData!$D$174+InputData!$C$175*(BK32-InputData!$B$174),InputData!$D$175+InputData!$C$176*(BK32-InputData!$B$175))))))))</f>
        <v>52331.006042166584</v>
      </c>
      <c r="BM32" s="32">
        <f>IF(BA32&lt;=InputData!$C$150,InputData!$C$152,IF(BA32&lt;InputData!$C$151,IF(InputData!$C$152-0.25*IF(BA32-InputData!$C$150&lt;=0,0,BA32-InputData!$C$150)&lt;=0,0,InputData!$C$152-0.25*IF(BA32-InputData!$C$150&lt;=0,0,BA32-InputData!$C$150)),0))</f>
        <v>27558.13936199501</v>
      </c>
      <c r="BN32" s="32">
        <f>IF(BA32-BM32&lt;=0,0,IF(BA32-BM32&lt;=InputData!$C$153,InputData!$C$154*(BA32-BM32),InputData!$C$155*(BA32-BM32)-InputData!$D$154))</f>
        <v>48268.60489320699</v>
      </c>
      <c r="BO32" s="32">
        <f t="shared" si="51"/>
        <v>52331.006042166584</v>
      </c>
      <c r="BP32" s="32">
        <f>IF(BA32&gt;=0,IF(BA32&lt;=InputData!$C$148,InputData!$C$147*BA32,InputData!$C$147*InputData!$C$148)+InputData!$C$149*BA32,0)</f>
        <v>10134.527917004289</v>
      </c>
      <c r="BQ32" s="32">
        <f>IF(BJ32&lt;0,0,IF(BJ32&lt;=InputData!$B$163,InputData!$C$163*BJ32,IF(BJ32&lt;=InputData!$B$164,InputData!$D$163+InputData!$C$164*(BJ32-InputData!$B$163),IF(BJ32&lt;=InputData!$B$165,InputData!$D$164+InputData!$C$165*(BJ32-InputData!$B$164),InputData!$D$165+InputData!$C$166*(BJ32-InputData!$B$165)))))</f>
        <v>0</v>
      </c>
      <c r="BR32" s="43">
        <f t="shared" si="52"/>
        <v>0.29358596037971618</v>
      </c>
      <c r="BS32" s="32">
        <f t="shared" si="53"/>
        <v>150301.9085928491</v>
      </c>
      <c r="BT32" s="32">
        <f t="shared" si="54"/>
        <v>150301.9085928491</v>
      </c>
      <c r="BU32" s="32">
        <f>BT32/((1+InputData!$C$7)^(IntMed!$B32-IntMed!$B$7))</f>
        <v>71785.02861460163</v>
      </c>
      <c r="BV32" s="5">
        <f t="shared" si="130"/>
        <v>1374184.9303166976</v>
      </c>
      <c r="BW32" s="5"/>
      <c r="BX32" s="32" t="s">
        <v>141</v>
      </c>
      <c r="BY32" s="5">
        <f t="shared" si="175"/>
        <v>108497.78999811286</v>
      </c>
      <c r="BZ32" s="32">
        <f>(BY32)*InputData!$C$6</f>
        <v>6737.7127588828089</v>
      </c>
      <c r="CA32" s="32">
        <f>MIN($BY$14*InputData!$C$6/(1-(1+InputData!$C$6)^(-25)), BY32+BZ32)</f>
        <v>19581.069601718285</v>
      </c>
      <c r="CB32" s="32">
        <f t="shared" si="176"/>
        <v>95654.433155277395</v>
      </c>
      <c r="CC32" s="32">
        <f>CA32/((1+InputData!$C$3)^(IntMed!$B32-IntMed!$B$7))</f>
        <v>11935.266400210174</v>
      </c>
      <c r="CD32" s="5">
        <f t="shared" si="58"/>
        <v>138366.64219263892</v>
      </c>
      <c r="CE32" s="32">
        <f>CD32/((1+InputData!$C$7)^(IntMed!$B32-IntMed!$B$7))</f>
        <v>66084.67891123968</v>
      </c>
      <c r="CF32" s="5">
        <f t="shared" si="131"/>
        <v>1391863.629357958</v>
      </c>
      <c r="CG32" s="5"/>
      <c r="CH32" s="32" t="s">
        <v>141</v>
      </c>
      <c r="CI32" s="5">
        <f t="shared" si="177"/>
        <v>0</v>
      </c>
      <c r="CJ32" s="32">
        <f>(CI32)*InputData!$C$6</f>
        <v>0</v>
      </c>
      <c r="CK32" s="32">
        <f t="shared" si="170"/>
        <v>0</v>
      </c>
      <c r="CL32" s="32">
        <f t="shared" si="178"/>
        <v>0</v>
      </c>
      <c r="CM32" s="32">
        <f>CK32/((1+InputData!$C$3)^(IntMed!$B32-IntMed!$B$7))</f>
        <v>0</v>
      </c>
      <c r="CN32" s="5">
        <f t="shared" si="62"/>
        <v>150301.9085928491</v>
      </c>
      <c r="CO32" s="32">
        <f>CN32/((1+InputData!$C$7)^(IntMed!$B32-IntMed!$B$7))</f>
        <v>71785.02861460163</v>
      </c>
      <c r="CP32" s="5">
        <f t="shared" si="132"/>
        <v>1372811.4946437604</v>
      </c>
      <c r="CQ32" s="5"/>
      <c r="CR32" s="32" t="s">
        <v>141</v>
      </c>
      <c r="CS32" s="5">
        <f t="shared" si="179"/>
        <v>0</v>
      </c>
      <c r="CT32" s="32">
        <f>(CS32)*InputData!$C$6</f>
        <v>0</v>
      </c>
      <c r="CU32" s="32">
        <f t="shared" si="171"/>
        <v>0</v>
      </c>
      <c r="CV32" s="32">
        <f t="shared" si="180"/>
        <v>0</v>
      </c>
      <c r="CW32" s="32">
        <f>CU32/((1+InputData!$C$3)^(IntMed!$B32-IntMed!$B$7))</f>
        <v>0</v>
      </c>
      <c r="CX32" s="5">
        <f t="shared" si="66"/>
        <v>150301.9085928491</v>
      </c>
      <c r="CY32" s="32">
        <f>CX32/((1+InputData!$C$7)^(IntMed!$B32-IntMed!$B$7))</f>
        <v>71785.02861460163</v>
      </c>
      <c r="CZ32" s="5">
        <f t="shared" si="133"/>
        <v>1366165.4449364874</v>
      </c>
      <c r="DA32" s="5"/>
      <c r="DB32" s="32" t="s">
        <v>141</v>
      </c>
      <c r="DC32" s="5">
        <f t="shared" si="158"/>
        <v>0</v>
      </c>
      <c r="DD32" s="5">
        <f>DC32*InputData!$C$6</f>
        <v>0</v>
      </c>
      <c r="DE32" s="32">
        <f t="shared" si="159"/>
        <v>0</v>
      </c>
      <c r="DF32" s="32">
        <f t="shared" si="160"/>
        <v>0</v>
      </c>
      <c r="DG32" s="32">
        <f>DE32/((1+InputData!$C$3)^(IntMed!$B32-IntMed!$B$7))</f>
        <v>0</v>
      </c>
      <c r="DH32" s="5">
        <f t="shared" si="70"/>
        <v>150301.9085928491</v>
      </c>
      <c r="DI32" s="32">
        <f>DH32/((1+InputData!$C$7)^(IntMed!$B32-IntMed!$B$7))</f>
        <v>71785.02861460163</v>
      </c>
      <c r="DJ32" s="5">
        <f t="shared" si="134"/>
        <v>1378117.701897044</v>
      </c>
      <c r="DK32" s="5"/>
      <c r="DL32" s="32" t="s">
        <v>141</v>
      </c>
      <c r="DM32" s="32">
        <f t="shared" si="181"/>
        <v>0</v>
      </c>
      <c r="DN32" s="5">
        <f>DM32*InputData!$C$6</f>
        <v>0</v>
      </c>
      <c r="DO32" s="32">
        <f t="shared" si="182"/>
        <v>0</v>
      </c>
      <c r="DP32" s="32">
        <f t="shared" si="150"/>
        <v>0</v>
      </c>
      <c r="DQ32" s="32">
        <f t="shared" si="151"/>
        <v>0</v>
      </c>
      <c r="DR32" s="32">
        <f>DP32/((1+InputData!$C$3)^(IntMed!$B32-IntMed!$B$7))</f>
        <v>0</v>
      </c>
      <c r="DS32" s="5">
        <f t="shared" si="74"/>
        <v>150301.9085928491</v>
      </c>
      <c r="DT32" s="32">
        <f>DS32/((1+InputData!$C$7)^(IntMed!$B32-IntMed!$B$7))</f>
        <v>71785.02861460163</v>
      </c>
      <c r="DU32" s="5">
        <f t="shared" si="136"/>
        <v>1374117.5317081145</v>
      </c>
      <c r="DV32" s="5"/>
      <c r="DW32" s="32" t="s">
        <v>141</v>
      </c>
      <c r="DX32" s="133">
        <f t="shared" si="161"/>
        <v>0</v>
      </c>
      <c r="DY32" s="5">
        <f>DX32*InputData!$C$6</f>
        <v>0</v>
      </c>
      <c r="DZ32" s="133">
        <f t="shared" si="162"/>
        <v>0</v>
      </c>
      <c r="EA32" s="32">
        <f t="shared" si="163"/>
        <v>0</v>
      </c>
      <c r="EB32" s="32">
        <f t="shared" si="164"/>
        <v>0</v>
      </c>
      <c r="EC32" s="32">
        <f>EA32/((1+InputData!$C$3)^(IntMed!$B32-IntMed!$B$7))</f>
        <v>0</v>
      </c>
      <c r="ED32" s="5">
        <f t="shared" si="78"/>
        <v>150301.9085928491</v>
      </c>
      <c r="EE32" s="32">
        <f>ED32/((1+InputData!$C$7)^(IntMed!$B32-IntMed!$B$7))</f>
        <v>71785.02861460163</v>
      </c>
      <c r="EF32" s="5">
        <f t="shared" si="138"/>
        <v>1370125.3679260213</v>
      </c>
      <c r="EG32" s="32"/>
      <c r="EH32" s="130" t="s">
        <v>141</v>
      </c>
      <c r="EI32" s="32">
        <v>0</v>
      </c>
      <c r="EJ32" s="32">
        <f t="shared" si="212"/>
        <v>5153.4044075142156</v>
      </c>
      <c r="EK32" s="32">
        <f>EJ32*InputData!$C$6</f>
        <v>320.02641370663281</v>
      </c>
      <c r="EL32" s="32">
        <f t="shared" si="213"/>
        <v>5.0931703299283981E-11</v>
      </c>
      <c r="EM32" s="32">
        <f>EM31*(1+InputData!$C$8)</f>
        <v>18850.562876399756</v>
      </c>
      <c r="EN32" s="32">
        <f t="shared" si="172"/>
        <v>5473.430821220848</v>
      </c>
      <c r="EO32" s="32">
        <f>AW32/((1+InputData!$C$3)^(IntMed!$B32-IntMed!$B$7))</f>
        <v>212767.44255201996</v>
      </c>
      <c r="EP32" s="32">
        <f>AX32/((1+InputData!$C$3)^(IntMed!$B32-IntMed!$B$7))</f>
        <v>0</v>
      </c>
      <c r="EQ32" s="32">
        <v>52113.78</v>
      </c>
      <c r="ER32" s="32">
        <v>8836.2549999999992</v>
      </c>
      <c r="ES32" s="32">
        <v>0</v>
      </c>
      <c r="ET32" s="42">
        <f t="shared" si="214"/>
        <v>0.28646316498868568</v>
      </c>
      <c r="EU32" s="32">
        <f t="shared" si="215"/>
        <v>151817.40755201995</v>
      </c>
      <c r="EV32" s="32">
        <f>EN32/((1+InputData!$C$3)^(IntMed!$B32-IntMed!$B$7))</f>
        <v>3336.2250532350581</v>
      </c>
      <c r="EW32" s="32">
        <f t="shared" si="216"/>
        <v>148481.18249878491</v>
      </c>
      <c r="EX32" s="32">
        <f>EW32/((1+InputData!$C$7)^(IntMed!$B32-IntMed!$B$7))</f>
        <v>70915.439691976542</v>
      </c>
      <c r="EY32" s="5">
        <f t="shared" si="217"/>
        <v>1383628.1981648861</v>
      </c>
      <c r="EZ32" s="79"/>
      <c r="FA32" s="32">
        <f t="shared" si="203"/>
        <v>0</v>
      </c>
      <c r="FB32" s="32">
        <f>FA32*InputData!$C$6</f>
        <v>0</v>
      </c>
      <c r="FC32" s="32">
        <f t="shared" si="204"/>
        <v>0</v>
      </c>
      <c r="FD32" s="53">
        <f>MIN($EJ$14*InputData!$C$6/(1-(1+InputData!$C$6)^(-10)), FA32+FB32)</f>
        <v>0</v>
      </c>
      <c r="FE32" s="32">
        <f>FD32/((1+InputData!$C$3)^(IntMed!$B32-IntMed!$B$7))</f>
        <v>0</v>
      </c>
      <c r="FF32" s="5">
        <f t="shared" si="84"/>
        <v>151817.40755201995</v>
      </c>
      <c r="FG32" s="32">
        <f>FF32/((1+InputData!$C$7)^(IntMed!$B32-IntMed!$B$7))</f>
        <v>72508.839357711884</v>
      </c>
      <c r="FH32" s="5">
        <f t="shared" si="140"/>
        <v>1392038.6420230237</v>
      </c>
      <c r="FI32" s="79"/>
      <c r="FJ32" s="32">
        <f t="shared" si="185"/>
        <v>109886.78991550145</v>
      </c>
      <c r="FK32" s="32">
        <f>FJ32*InputData!$C$6</f>
        <v>6823.9696537526397</v>
      </c>
      <c r="FL32" s="32">
        <f t="shared" si="186"/>
        <v>96879.011091407156</v>
      </c>
      <c r="FM32" s="53">
        <f>MIN($EJ$14*InputData!$C$6/(1-(1+InputData!$C$6)^(-25)), FJ32+FK32)</f>
        <v>19831.748477846937</v>
      </c>
      <c r="FN32" s="32">
        <f>FM32/((1+InputData!$C$3)^(IntMed!$B32-IntMed!$B$7))</f>
        <v>12088.062913799922</v>
      </c>
      <c r="FO32" s="5">
        <f t="shared" si="88"/>
        <v>139729.34463822003</v>
      </c>
      <c r="FP32" s="32">
        <f>FO32/((1+InputData!$C$7)^(IntMed!$B32-IntMed!$B$7))</f>
        <v>66735.513188495708</v>
      </c>
      <c r="FQ32" s="5">
        <f t="shared" si="141"/>
        <v>1409943.6655959473</v>
      </c>
      <c r="FR32" s="79"/>
      <c r="FS32" s="32">
        <f t="shared" si="187"/>
        <v>0</v>
      </c>
      <c r="FT32" s="32">
        <f>FS32*InputData!$C$6</f>
        <v>0</v>
      </c>
      <c r="FU32" s="32">
        <f t="shared" si="188"/>
        <v>0</v>
      </c>
      <c r="FV32" s="5">
        <f t="shared" si="173"/>
        <v>0</v>
      </c>
      <c r="FW32" s="32">
        <f>FV32/((1+InputData!$C$3)^(IntMed!$B32-IntMed!$B$7))</f>
        <v>0</v>
      </c>
      <c r="FX32" s="5">
        <f t="shared" si="92"/>
        <v>151817.40755201995</v>
      </c>
      <c r="FY32" s="32">
        <f>FX32/((1+InputData!$C$7)^(IntMed!$B32-IntMed!$B$7))</f>
        <v>72508.839357711884</v>
      </c>
      <c r="FZ32" s="5">
        <f t="shared" si="142"/>
        <v>1390493.9927463452</v>
      </c>
      <c r="GC32" s="124">
        <v>22</v>
      </c>
      <c r="GD32" s="123" t="str">
        <f>E32</f>
        <v>Multi-Year (O6&gt;24 = (BP+BAH+BAS+VSP+BCPSP)*12+ASP+ISP+MSP)</v>
      </c>
      <c r="GE32" s="5">
        <f>MIN(InputData!$C$13+InputData!$E$13*($B32-$B$31),1)*$AW32/(((1+InputData!$C$3)*(1+InputData!$C$7))^(IntMed!$B32-IntMed!$B$7))</f>
        <v>91457.02396836452</v>
      </c>
      <c r="GF32" s="5">
        <f>MIN(InputData!$C$13+InputData!$E$13*($B32-$B$32),1)*$AW32/(((1+InputData!$C$3)*(1+InputData!$C$7))^(IntMed!$B32-IntMed!$B$7))</f>
        <v>91457.02396836452</v>
      </c>
      <c r="GG32" s="120">
        <f>($G32+$H32)*((1+InputData!$C$5)/((1+InputData!$C$3)*(1+InputData!$C$7)))^(IntMed!$B32-IntMed!$B$7)</f>
        <v>84016.927280386939</v>
      </c>
      <c r="GH32" s="120">
        <f>($G32+$H32)*((1+InputData!$C$5)/((1+InputData!$C$3)*(1+InputData!$C$7)))^(IntMed!$B32-IntMed!$B$7)</f>
        <v>84016.927280386939</v>
      </c>
      <c r="GI32" s="5"/>
      <c r="GJ32" s="5">
        <f>H32</f>
        <v>21631.199999999997</v>
      </c>
      <c r="GK32" s="5"/>
      <c r="GL32" s="5">
        <f>J32</f>
        <v>159004.07075123006</v>
      </c>
      <c r="GM32" s="5">
        <v>0</v>
      </c>
      <c r="GN32" s="32">
        <f>IF(GL32-InputData!$C$158-InputData!$C$159&gt;=0,GL32-InputData!$C$158-InputData!$C$159,0)</f>
        <v>159004.07075123006</v>
      </c>
      <c r="GO32" s="32">
        <f>IF(GL32-IF(GL32&lt;=InputData!$C$146,InputData!$C$145,0)-MAX(InputData!$C$144,GU32)&gt;=0,GL32-IF(GL32&lt;=InputData!$C$146,InputData!$C$145,0)-MAX(InputData!$C$144,GU32),0)</f>
        <v>152904.07075123006</v>
      </c>
      <c r="GP32" s="32">
        <f>IF(GO32&lt;0,"Error",IF(GO32&lt;=InputData!$B$170,InputData!$C$170*GO32,IF(GO32&lt;=InputData!$B$171,InputData!$D$170+InputData!$C$171*(GO32-InputData!$B$170),IF(GO32&lt;=InputData!$B$172,InputData!$D$171+InputData!$C$172*(GO32-InputData!$B$171),IF(GO32&lt;=InputData!$B$173,InputData!$D$172+InputData!$C$173*(GO32-InputData!$B$172),IF(GO32&lt;=InputData!$B$174,InputData!$D$173+InputData!$C$174*(GO32-InputData!$B$173),IF(GO32&lt;=InputData!$B$175,InputData!$D$174+InputData!$C$175*(GO32-InputData!$B$174),InputData!$D$175+InputData!$C$176*(GO32-InputData!$B$175))))))))</f>
        <v>36106.389810344423</v>
      </c>
      <c r="GQ32" s="32">
        <f>IF(GL32&lt;=InputData!$C$150,InputData!$C$152,IF(GL32&lt;InputData!$C$151,IF(InputData!$C$152-0.25*IF(GL32-InputData!$C$150&lt;=0,0,GL32-InputData!$C$150)&lt;=0,0,InputData!$C$152-0.25*IF(GL32-InputData!$C$150&lt;=0,0,GL32-InputData!$C$150)),0))</f>
        <v>40998.982312192486</v>
      </c>
      <c r="GR32" s="32">
        <f>IF(GL32-GQ32&lt;=0,0,IF(GL32-GQ32&lt;=InputData!$C$153,InputData!$C$154*(GL32-GQ32),InputData!$C$155*(GL32-GQ32)-InputData!$D$154))</f>
        <v>30681.32299414977</v>
      </c>
      <c r="GS32" s="32">
        <f t="shared" si="93"/>
        <v>36106.389810344423</v>
      </c>
      <c r="GT32" s="32">
        <f>IF(GL32&gt;=0,IF(GL32&lt;=InputData!$C$148,InputData!$C$147*GL32,InputData!$C$147*InputData!$C$148)+InputData!$C$149*GL32,0)</f>
        <v>9354.9590258928365</v>
      </c>
      <c r="GU32" s="32">
        <f>IF(GN32&lt;0,0,IF(GN32&lt;=InputData!$B$163,InputData!$C$163*GN32,IF(GN32&lt;=InputData!$B$164,InputData!$D$163+InputData!$C$164*(GN32-InputData!$B$163),IF(GN32&lt;=InputData!$B$165,InputData!$D$164+InputData!$C$165*(GN32-InputData!$B$164),InputData!$D$165+InputData!$C$166*(GN32-InputData!$B$165)))))</f>
        <v>0</v>
      </c>
      <c r="GV32" s="43">
        <f t="shared" si="10"/>
        <v>0.28591311292503857</v>
      </c>
      <c r="GW32" s="43">
        <f t="shared" si="11"/>
        <v>0.28591311292503857</v>
      </c>
      <c r="GX32" s="5">
        <f t="shared" si="12"/>
        <v>113542.7219149928</v>
      </c>
      <c r="GY32" s="32">
        <f>GX32/((1+InputData!$C$7)^(IntMed!$B32-IntMed!$B$7))</f>
        <v>54228.636335728457</v>
      </c>
      <c r="GZ32" s="32">
        <f t="shared" si="94"/>
        <v>1610012.1067875663</v>
      </c>
      <c r="HB32" s="124">
        <v>22</v>
      </c>
      <c r="HC32" s="4" t="str">
        <f t="shared" si="195"/>
        <v>Multi-Year (0.5*O6&gt;20+0.5*O6&gt;22 = (BP+BAH+BAS+VSP+BCPSP)*12+ASP+ISP+MSP)</v>
      </c>
      <c r="HD32" s="5">
        <f>MIN(InputData!$C$13+InputData!$E$13*($B32-$B$31),1)*$AW32/(((1+InputData!$C$3)*(1+InputData!$C$7))^(IntMed!$B32-IntMed!$B$7))</f>
        <v>91457.02396836452</v>
      </c>
      <c r="HE32" s="5">
        <f>MIN(InputData!$C$13+InputData!$E$13*($B32-$B$32),1)*$AW32/(((1+InputData!$C$3)*(1+InputData!$C$7))^(IntMed!$B32-IntMed!$B$7))</f>
        <v>91457.02396836452</v>
      </c>
      <c r="HF32" s="120">
        <f>($AC32+$AD32-(InputData!$J$57-InputData!$I$57))*((1+InputData!$C$5)/((1+InputData!$C$3)*(1+InputData!$C$7)))^(IntMed!$B32-IntMed!$B$7)</f>
        <v>78023.255301846832</v>
      </c>
      <c r="HG32" s="120">
        <f>($AC32+$AD32-(InputData!$J$57-InputData!$J$57))*((1+InputData!$C$5)/((1+InputData!$C$3)*(1+InputData!$C$7)))^(IntMed!$B32-IntMed!$B$7)</f>
        <v>82503.282792318671</v>
      </c>
      <c r="HH32" s="5"/>
      <c r="HI32" s="5">
        <f t="shared" si="197"/>
        <v>21631.199999999997</v>
      </c>
      <c r="HJ32" s="5"/>
      <c r="HK32" s="5">
        <f t="shared" si="199"/>
        <v>155834.83532876999</v>
      </c>
      <c r="HL32" s="5">
        <v>0</v>
      </c>
      <c r="HM32" s="32">
        <f>IF(HK32-InputData!$C$158-InputData!$C$159&gt;=0,HK32-InputData!$C$158-InputData!$C$159,0)</f>
        <v>155834.83532876999</v>
      </c>
      <c r="HN32" s="32">
        <f>IF(HK32-IF(HK32&lt;=InputData!$C$146,InputData!$C$145,0)-MAX(InputData!$C$144,HT32)&gt;=0,HK32-IF(HK32&lt;=InputData!$C$146,InputData!$C$145,0)-MAX(InputData!$C$144,HT32),0)</f>
        <v>149734.83532876999</v>
      </c>
      <c r="HO32" s="32">
        <f>IF(HN32&lt;0,"Error",IF(HN32&lt;=InputData!$B$170,InputData!$C$170*HN32,IF(HN32&lt;=InputData!$B$171,InputData!$D$170+InputData!$C$171*(HN32-InputData!$B$170),IF(HN32&lt;=InputData!$B$172,InputData!$D$171+InputData!$C$172*(HN32-InputData!$B$171),IF(HN32&lt;=InputData!$B$173,InputData!$D$172+InputData!$C$173*(HN32-InputData!$B$172),IF(HN32&lt;=InputData!$B$174,InputData!$D$173+InputData!$C$174*(HN32-InputData!$B$173),IF(HN32&lt;=InputData!$B$175,InputData!$D$174+InputData!$C$175*(HN32-InputData!$B$174),InputData!$D$175+InputData!$C$176*(HN32-InputData!$B$175))))))))</f>
        <v>35219.003892055596</v>
      </c>
      <c r="HP32" s="32">
        <f>IF(HK32&lt;=InputData!$C$150,InputData!$C$152,IF(HK32&lt;InputData!$C$151,IF(InputData!$C$152-0.25*IF(HK32-InputData!$C$150&lt;=0,0,HK32-InputData!$C$150)&lt;=0,0,InputData!$C$152-0.25*IF(HK32-InputData!$C$150&lt;=0,0,HK32-InputData!$C$150)),0))</f>
        <v>41791.291167807503</v>
      </c>
      <c r="HQ32" s="32">
        <f>IF(HK32-HP32&lt;=0,0,IF(HK32-HP32&lt;=InputData!$C$153,InputData!$C$154*(HK32-HP32),InputData!$C$155*(HK32-HP32)-InputData!$D$154))</f>
        <v>29651.321481850246</v>
      </c>
      <c r="HR32" s="32">
        <f t="shared" si="95"/>
        <v>35219.003892055596</v>
      </c>
      <c r="HS32" s="32">
        <f>IF(HK32&gt;=0,IF(HK32&lt;=InputData!$C$148,InputData!$C$147*HK32,InputData!$C$147*InputData!$C$148)+InputData!$C$149*HK32,0)</f>
        <v>9309.0051122671648</v>
      </c>
      <c r="HT32" s="32">
        <f>IF(HM32&lt;0,0,IF(HM32&lt;=InputData!$B$163,InputData!$C$163*HM32,IF(HM32&lt;=InputData!$B$164,InputData!$D$163+InputData!$C$164*(HM32-InputData!$B$163),IF(HM32&lt;=InputData!$B$165,InputData!$D$164+InputData!$C$165*(HM32-InputData!$B$164),InputData!$D$165+InputData!$C$166*(HM32-InputData!$B$165)))))</f>
        <v>0</v>
      </c>
      <c r="HU32" s="43">
        <f t="shared" si="96"/>
        <v>0.28573848016960085</v>
      </c>
      <c r="HV32" s="43">
        <f t="shared" si="97"/>
        <v>0.28573848016960085</v>
      </c>
      <c r="HW32" s="5">
        <f t="shared" si="98"/>
        <v>111306.82632444723</v>
      </c>
      <c r="HX32" s="32">
        <f>HW32/((1+InputData!$C$7)^(IntMed!$B32-IntMed!$B$7))</f>
        <v>53160.760149396308</v>
      </c>
      <c r="HY32" s="32">
        <f t="shared" si="99"/>
        <v>1585405.2290196868</v>
      </c>
      <c r="IA32" s="41"/>
      <c r="IB32" s="4" t="s">
        <v>109</v>
      </c>
      <c r="IC32" s="32">
        <f>MIN(InputData!$C$13+InputData!$E$13*($B32-$B$21),1)*IntMed!AW32</f>
        <v>314160.78750999656</v>
      </c>
      <c r="ID32" s="32">
        <f>MIN(InputData!$C$13+InputData!$E$13*($B32-$B$21),1)*IntMed!AX32</f>
        <v>0</v>
      </c>
      <c r="IE32" s="32">
        <f>MIN(InputData!$C$13+InputData!$E$13*($B32-$B$21),1)*IntMed!AY32</f>
        <v>314160.78750999656</v>
      </c>
      <c r="IF32" s="32">
        <f>MIN(InputData!$C$13+InputData!$E$13*($B32-$B$21),1)*IntMed!EO32</f>
        <v>191490.69829681798</v>
      </c>
      <c r="IG32" s="32">
        <f>MIN(InputData!$C$13+InputData!$E$13*($B32-$B$21),1)*IntMed!EP32</f>
        <v>0</v>
      </c>
      <c r="IH32" s="32">
        <f>IF(IF32-InputData!$C$158-InputData!$C$159&gt;=0,IF32-InputData!$C$158-InputData!$C$159,0)</f>
        <v>191490.69829681798</v>
      </c>
      <c r="II32" s="32">
        <f>IF(IF32-IF(IF32&lt;=InputData!$C$146,InputData!$C$145,0)-MAX(InputData!$C$144,IO32)&gt;=0,IF32-IF(IF32&lt;=InputData!$C$146,InputData!$C$145,0)-MAX(InputData!$C$144,IO32),0)</f>
        <v>185390.69829681798</v>
      </c>
      <c r="IJ32" s="32">
        <f>IF(II32&lt;0,"Error",IF(II32&lt;=InputData!$B$170,InputData!$C$170*II32,IF(II32&lt;=InputData!$B$171,InputData!$D$170+InputData!$C$171*(II32-InputData!$B$170),IF(II32&lt;=InputData!$B$172,InputData!$D$171+InputData!$C$172*(II32-InputData!$B$171),IF(II32&lt;=InputData!$B$173,InputData!$D$172+InputData!$C$173*(II32-InputData!$B$172),IF(II32&lt;=InputData!$B$174,InputData!$D$173+InputData!$C$174*(II32-InputData!$B$173),IF(II32&lt;=InputData!$B$175,InputData!$D$174+InputData!$C$175*(II32-InputData!$B$174),InputData!$D$175+InputData!$C$176*(II32-InputData!$B$175))))))))</f>
        <v>45309.68043794993</v>
      </c>
      <c r="IK32" s="32">
        <f>IF(IF32&lt;=InputData!$C$150,InputData!$C$152,IF(IF32&lt;InputData!$C$151,IF(InputData!$C$152-0.25*IF(IF32-InputData!$C$150&lt;=0,0,IF32-InputData!$C$150)&lt;=0,0,InputData!$C$152-0.25*IF(IF32-InputData!$C$150&lt;=0,0,IF32-InputData!$C$150)),0))</f>
        <v>32877.325425795505</v>
      </c>
      <c r="IL32" s="32">
        <f>IF(IF32-IK32&lt;=0,0,IF(IF32-IK32&lt;=InputData!$C$153,InputData!$C$154*(IF32-IK32),InputData!$C$155*(IF32-IK32)-InputData!$D$154))</f>
        <v>41239.476946465846</v>
      </c>
      <c r="IM32" s="32">
        <f t="shared" si="100"/>
        <v>45309.68043794993</v>
      </c>
      <c r="IN32" s="32">
        <f>IF(IF32&gt;=0,IF(IF32&lt;=InputData!$C$148,InputData!$C$147*IF32,InputData!$C$147*InputData!$C$148)+InputData!$C$149*IF32,0)</f>
        <v>9826.0151253038603</v>
      </c>
      <c r="IO32" s="32">
        <f>IF(IH32&lt;0,0,IF(IH32&lt;=InputData!$B$163,InputData!$C$163*IH32,IF(IH32&lt;=InputData!$B$164,InputData!$D$163+InputData!$C$164*(IH32-InputData!$B$163),IF(IH32&lt;=InputData!$B$165,InputData!$D$164+InputData!$C$165*(IH32-InputData!$B$164),InputData!$D$165+InputData!$C$166*(IH32-InputData!$B$165)))))</f>
        <v>0</v>
      </c>
      <c r="IP32" s="43">
        <f t="shared" si="101"/>
        <v>0.28792884486635129</v>
      </c>
      <c r="IQ32" s="43">
        <f t="shared" si="102"/>
        <v>0.28792884486635129</v>
      </c>
      <c r="IR32" s="5">
        <f t="shared" si="27"/>
        <v>136355.00273356421</v>
      </c>
      <c r="IS32" s="32">
        <f>IR32/((1+InputData!$C$7)^(IntMed!$B32-IntMed!$B$7))</f>
        <v>65123.908702239096</v>
      </c>
      <c r="IT32" s="5">
        <f t="shared" si="103"/>
        <v>1661590.317947668</v>
      </c>
      <c r="IV32" s="41"/>
      <c r="IW32" s="49" t="s">
        <v>109</v>
      </c>
      <c r="IX32" s="32">
        <f>MIN(InputData!$C$13+InputData!$E$13*($B32-$B$18),1)*IntMed!AW32</f>
        <v>314160.78750999656</v>
      </c>
      <c r="IY32" s="32">
        <f>MIN(InputData!$C$13+InputData!$E$13*($B32-$B$18),1)*IntMed!AX32</f>
        <v>0</v>
      </c>
      <c r="IZ32" s="32">
        <f>MIN(InputData!$C$13+InputData!$E$13*($B32-$B$18),1)*IntMed!AY32</f>
        <v>314160.78750999656</v>
      </c>
      <c r="JA32" s="32">
        <f>MIN(InputData!$C$13+InputData!$E$13*($B32-$B$18),1)*IntMed!EO32</f>
        <v>191490.69829681798</v>
      </c>
      <c r="JB32" s="32">
        <f>MIN(InputData!$C$13+InputData!$E$13*($B32-$B$18),1)*IntMed!EP32</f>
        <v>0</v>
      </c>
      <c r="JC32" s="32">
        <f>IF(JA32-InputData!$C$158-InputData!$C$159&gt;=0,JA32-InputData!$C$158-InputData!$C$159,0)</f>
        <v>191490.69829681798</v>
      </c>
      <c r="JD32" s="32">
        <f>IF(JA32-IF(JA32&lt;=InputData!$C$146,InputData!$C$145,0)-MAX(InputData!$C$144,JJ32)&gt;=0,JA32-IF(JA32&lt;=InputData!$C$146,InputData!$C$145,0)-MAX(InputData!$C$144,JJ32),0)</f>
        <v>185390.69829681798</v>
      </c>
      <c r="JE32" s="32">
        <f>IF(JD32&lt;0,"Error",IF(JD32&lt;=InputData!$B$170,InputData!$C$170*JD32,IF(JD32&lt;=InputData!$B$171,InputData!$D$170+InputData!$C$171*(JD32-InputData!$B$170),IF(JD32&lt;=InputData!$B$172,InputData!$D$171+InputData!$C$172*(JD32-InputData!$B$171),IF(JD32&lt;=InputData!$B$173,InputData!$D$172+InputData!$C$173*(JD32-InputData!$B$172),IF(JD32&lt;=InputData!$B$174,InputData!$D$173+InputData!$C$174*(JD32-InputData!$B$173),IF(JD32&lt;=InputData!$B$175,InputData!$D$174+InputData!$C$175*(JD32-InputData!$B$174),InputData!$D$175+InputData!$C$176*(JD32-InputData!$B$175))))))))</f>
        <v>45309.68043794993</v>
      </c>
      <c r="JF32" s="32">
        <f>IF(JA32&lt;=InputData!$C$150,InputData!$C$152,IF(JA32&lt;InputData!$C$151,IF(InputData!$C$152-0.25*IF(JA32-InputData!$C$150&lt;=0,0,JA32-InputData!$C$150)&lt;=0,0,InputData!$C$152-0.25*IF(JA32-InputData!$C$150&lt;=0,0,JA32-InputData!$C$150)),0))</f>
        <v>32877.325425795505</v>
      </c>
      <c r="JG32" s="32">
        <f>IF(JA32-JF32&lt;=0,0,IF(JA32-JF32&lt;=InputData!$C$153,InputData!$C$154*(JA32-JF32),InputData!$C$155*(JA32-JF32)-InputData!$D$154))</f>
        <v>41239.476946465846</v>
      </c>
      <c r="JH32" s="32">
        <f t="shared" si="104"/>
        <v>45309.68043794993</v>
      </c>
      <c r="JI32" s="32">
        <f>IF(JA32&gt;=0,IF(JA32&lt;=InputData!$C$148,InputData!$C$147*JA32,InputData!$C$147*InputData!$C$148)+InputData!$C$149*JA32,0)</f>
        <v>9826.0151253038603</v>
      </c>
      <c r="JJ32" s="32">
        <f>IF(JC32&lt;0,0,IF(JC32&lt;=InputData!$B$163,InputData!$C$163*JC32,IF(JC32&lt;=InputData!$B$164,InputData!$D$163+InputData!$C$164*(JC32-InputData!$B$163),IF(JC32&lt;=InputData!$B$165,InputData!$D$164+InputData!$C$165*(JC32-InputData!$B$164),InputData!$D$165+InputData!$C$166*(JC32-InputData!$B$165)))))</f>
        <v>0</v>
      </c>
      <c r="JK32" s="42">
        <f t="shared" si="105"/>
        <v>0.28792884486635129</v>
      </c>
      <c r="JL32" s="42">
        <f t="shared" si="106"/>
        <v>0.28792884486635129</v>
      </c>
      <c r="JM32" s="32">
        <f t="shared" si="35"/>
        <v>136355.00273356421</v>
      </c>
      <c r="JN32" s="32">
        <f>JM32/((1+InputData!$C$7)^(IntMed!$B32-IntMed!$B$7))</f>
        <v>65123.908702239096</v>
      </c>
      <c r="JO32" s="32">
        <f t="shared" si="107"/>
        <v>1642942.0564952637</v>
      </c>
      <c r="JP32" s="24"/>
      <c r="JQ32" s="41" t="s">
        <v>109</v>
      </c>
      <c r="JR32" s="32">
        <f>$JR$14*(1+InputData!$C$3+InputData!$C$4)^(IntMed!$B32-IntMed!$B$14)</f>
        <v>273778.46406099916</v>
      </c>
      <c r="JS32" s="32">
        <v>0</v>
      </c>
      <c r="JT32" s="32">
        <f t="shared" si="108"/>
        <v>273778.46406099916</v>
      </c>
      <c r="JU32" s="5">
        <f>JR32*(1/(1+InputData!$C$3))^(IntMed!$B32-IntMed!$B$7)</f>
        <v>166876.42553099585</v>
      </c>
      <c r="JV32" s="5">
        <f>JS32*(1/(1+InputData!$C$3))^(IntMed!$B32-IntMed!$B$7)</f>
        <v>0</v>
      </c>
      <c r="JW32" s="32">
        <f>IF(JU32-InputData!$C$158-InputData!$C$159&gt;=0,JU32-InputData!$C$158-InputData!$C$159,0)</f>
        <v>166876.42553099585</v>
      </c>
      <c r="JX32" s="32">
        <f>IF(JU32-IF(JU32&lt;=InputData!$C$146,InputData!$C$145,0)-MAX(InputData!$C$144,KD32)&gt;=0,JU32-IF(JU32&lt;=InputData!$C$146,InputData!$C$145,0)-MAX(InputData!$C$144,KD32),0)</f>
        <v>160776.42553099585</v>
      </c>
      <c r="JY32" s="32">
        <f>IF(JX32&lt;0,"Error",IF(JX32&lt;=InputData!$B$170,InputData!$C$170*JX32,IF(JX32&lt;=InputData!$B$171,InputData!$D$170+InputData!$C$171*(JX32-InputData!$B$170),IF(JX32&lt;=InputData!$B$172,InputData!$D$171+InputData!$C$172*(JX32-InputData!$B$171),IF(JX32&lt;=InputData!$B$173,InputData!$D$172+InputData!$C$173*(JX32-InputData!$B$172),IF(JX32&lt;=InputData!$B$174,InputData!$D$173+InputData!$C$174*(JX32-InputData!$B$173),IF(JX32&lt;=InputData!$B$175,InputData!$D$174+InputData!$C$175*(JX32-InputData!$B$174),InputData!$D$175+InputData!$C$176*(JX32-InputData!$B$175))))))))</f>
        <v>38310.649148678844</v>
      </c>
      <c r="JZ32" s="32">
        <f>IF(JU32&lt;=InputData!$C$150,InputData!$C$152,IF(JU32&lt;InputData!$C$151,IF(InputData!$C$152-0.25*IF(JU32-InputData!$C$150&lt;=0,0,JU32-InputData!$C$150)&lt;=0,0,InputData!$C$152-0.25*IF(JU32-InputData!$C$150&lt;=0,0,JU32-InputData!$C$150)),0))</f>
        <v>39030.893617251037</v>
      </c>
      <c r="KA32" s="32">
        <f>IF(JU32-JZ32&lt;=0,0,IF(JU32-JZ32&lt;=InputData!$C$153,InputData!$C$154*(JU32-JZ32),InputData!$C$155*(JU32-JZ32)-InputData!$D$154))</f>
        <v>33239.838297573653</v>
      </c>
      <c r="KB32" s="32">
        <f t="shared" si="109"/>
        <v>38310.649148678844</v>
      </c>
      <c r="KC32" s="32">
        <f>IF(JU32&gt;=0,IF(JU32&lt;=InputData!$C$148,InputData!$C$147*JU32,InputData!$C$147*InputData!$C$148)+InputData!$C$149*JU32,0)</f>
        <v>9469.108170199439</v>
      </c>
      <c r="KD32" s="32">
        <f>IF(JW32&lt;0,0,IF(JW32&lt;=InputData!$B$163,InputData!$C$163*JW32,IF(JW32&lt;=InputData!$B$164,InputData!$D$163+InputData!$C$164*(JW32-InputData!$B$163),IF(JW32&lt;=InputData!$B$165,InputData!$D$164+InputData!$C$165*(JW32-InputData!$B$164),InputData!$D$165+InputData!$C$166*(JW32-InputData!$B$165)))))</f>
        <v>0</v>
      </c>
      <c r="KE32" s="43">
        <f t="shared" si="110"/>
        <v>0.28631819723393825</v>
      </c>
      <c r="KF32" s="43">
        <f t="shared" si="111"/>
        <v>0.28631819723393825</v>
      </c>
      <c r="KG32" s="5">
        <f t="shared" si="112"/>
        <v>119096.66821211757</v>
      </c>
      <c r="KH32" s="32">
        <f>KG32/((1+InputData!$C$7)^(IntMed!$B32-IntMed!$B$7))</f>
        <v>56881.232018615417</v>
      </c>
      <c r="KI32" s="5">
        <f t="shared" si="143"/>
        <v>1466281.9599664717</v>
      </c>
      <c r="KK32" s="7">
        <v>10</v>
      </c>
      <c r="KL32" t="s">
        <v>381</v>
      </c>
      <c r="KM32">
        <v>47</v>
      </c>
      <c r="KN32" s="41" t="s">
        <v>109</v>
      </c>
      <c r="KO32" s="32">
        <f>MIN(InputData!$C$13+InputData!$E$13*($B32-$B$24),1)*IntMed!AW32</f>
        <v>314160.78750999656</v>
      </c>
      <c r="KP32" s="32">
        <f>MIN(InputData!$C$13+InputData!$E$13*($B32-$B$24),1)*IntMed!AX32</f>
        <v>0</v>
      </c>
      <c r="KQ32" s="5">
        <f t="shared" si="169"/>
        <v>314160.78750999656</v>
      </c>
      <c r="KR32" s="32">
        <f>KR31*(1+InputData!$C$8)</f>
        <v>18850.562876399756</v>
      </c>
      <c r="KS32" s="5">
        <f>KO32*(1/(1+InputData!$C$3))^(IntMed!$B32-IntMed!$B$7)</f>
        <v>191490.69829681775</v>
      </c>
      <c r="KT32" s="5">
        <f>KP32*(1/(1+InputData!$C$3))^(IntMed!$B32-IntMed!$B$7)</f>
        <v>0</v>
      </c>
      <c r="KU32" s="32" t="s">
        <v>386</v>
      </c>
      <c r="KV32" s="32">
        <v>0</v>
      </c>
      <c r="KW32" s="32">
        <v>0</v>
      </c>
      <c r="KX32" s="5">
        <f>KW32*InputData!$C$6</f>
        <v>0</v>
      </c>
      <c r="KY32" s="32">
        <f t="shared" si="166"/>
        <v>0</v>
      </c>
      <c r="KZ32" s="32">
        <v>0</v>
      </c>
      <c r="LA32" s="32">
        <v>0</v>
      </c>
      <c r="LB32" s="32">
        <f>KZ32/((1+InputData!$C$3)^(IntMed!$B32-IntMed!$B$7))</f>
        <v>0</v>
      </c>
      <c r="LC32" s="32">
        <f>IF(KS32-InputData!$C$158-InputData!$C$159&gt;=0,KS32-InputData!$C$158-InputData!$C$159,0)</f>
        <v>191490.69829681775</v>
      </c>
      <c r="LD32" s="32">
        <f>IF(KS32-IF(KS32&lt;=InputData!$C$146,InputData!$C$145,0)-MAX(InputData!$C$144,LJ32)&gt;=0,KS32-IF(KS32&lt;=InputData!$C$146,InputData!$C$145,0)-MAX(InputData!$C$144,LJ32),0)</f>
        <v>185390.69829681775</v>
      </c>
      <c r="LE32" s="32">
        <f>IF(LD32&lt;0,"Error",IF(LD32&lt;=InputData!$B$170,InputData!$C$170*LD32,IF(LD32&lt;=InputData!$B$171,InputData!$D$170+InputData!$C$171*(LD32-InputData!$B$170),IF(LD32&lt;=InputData!$B$172,InputData!$D$171+InputData!$C$172*(LD32-InputData!$B$171),IF(LD32&lt;=InputData!$B$173,InputData!$D$172+InputData!$C$173*(LD32-InputData!$B$172),IF(LD32&lt;=InputData!$B$174,InputData!$D$173+InputData!$C$174*(LD32-InputData!$B$173),IF(LD32&lt;=InputData!$B$175,InputData!$D$174+InputData!$C$175*(LD32-InputData!$B$174),InputData!$D$175+InputData!$C$176*(LD32-InputData!$B$175))))))))</f>
        <v>45309.680437949857</v>
      </c>
      <c r="LF32" s="32">
        <f>IF(KS32&lt;=InputData!$C$150,InputData!$C$152,IF(KS32&lt;InputData!$C$151,IF(InputData!$C$152-0.25*IF(KS32-InputData!$C$150&lt;=0,0,KS32-InputData!$C$150)&lt;=0,0,InputData!$C$152-0.25*IF(KS32-InputData!$C$150&lt;=0,0,KS32-InputData!$C$150)),0))</f>
        <v>32877.325425795563</v>
      </c>
      <c r="LG32" s="32">
        <f>IF(KS32-LF32&lt;=0,0,IF(KS32-LF32&lt;=InputData!$C$153,InputData!$C$154*(KS32-LF32),InputData!$C$155*(KS32-LF32)-InputData!$D$154))</f>
        <v>41239.476946465766</v>
      </c>
      <c r="LH32" s="32">
        <f t="shared" si="118"/>
        <v>45309.680437949857</v>
      </c>
      <c r="LI32" s="32">
        <f>IF(KS32&gt;=0,IF(KS32&lt;=InputData!$C$148,InputData!$C$147*KS32,InputData!$C$147*InputData!$C$148)+InputData!$C$149*KS32,0)</f>
        <v>9826.0151253038566</v>
      </c>
      <c r="LJ32" s="32">
        <f>IF(LC32&lt;0,0,IF(LC32&lt;=InputData!$B$163,InputData!$C$163*LC32,IF(LC32&lt;=InputData!$B$164,InputData!$D$163+InputData!$C$164*(LC32-InputData!$B$163),IF(LC32&lt;=InputData!$B$165,InputData!$D$164+InputData!$C$165*(LC32-InputData!$B$164),InputData!$D$165+InputData!$C$166*(LC32-InputData!$B$165)))))</f>
        <v>0</v>
      </c>
      <c r="LK32" s="43">
        <f t="shared" si="156"/>
        <v>0.28792884486635129</v>
      </c>
      <c r="LL32" s="32">
        <f t="shared" si="119"/>
        <v>136355.00273356403</v>
      </c>
      <c r="LM32" s="5">
        <f t="shared" si="120"/>
        <v>136355.00273356403</v>
      </c>
      <c r="LN32" s="32">
        <f>LM32/((1+InputData!$C$7)^(IntMed!$B32-IntMed!$B$7))</f>
        <v>65123.908702239009</v>
      </c>
      <c r="LO32" s="5">
        <f t="shared" si="145"/>
        <v>1308811.2148621404</v>
      </c>
      <c r="LQ32" s="157" t="str">
        <f t="shared" si="37"/>
        <v>Private Practice</v>
      </c>
      <c r="LR32" s="32">
        <f t="shared" si="121"/>
        <v>349067.54167777393</v>
      </c>
      <c r="LS32" s="32">
        <v>0</v>
      </c>
      <c r="LT32" s="32">
        <f t="shared" si="123"/>
        <v>349067.54167777393</v>
      </c>
      <c r="LU32" s="32">
        <f>LU31*(1+InputData!$C$8)</f>
        <v>18850.562876399756</v>
      </c>
      <c r="LV32" s="32">
        <f>LR32/((1+InputData!$C$3)^(IntMed!$B32-IntMed!$B$7))</f>
        <v>212767.44255201996</v>
      </c>
      <c r="LW32" s="32">
        <f>LS32/((1+InputData!$C$3)^(IntMed!$B32-IntMed!$B$7))</f>
        <v>0</v>
      </c>
      <c r="LX32" s="32" t="s">
        <v>141</v>
      </c>
      <c r="LY32" s="32">
        <v>0</v>
      </c>
      <c r="LZ32" s="32">
        <f t="shared" si="189"/>
        <v>0</v>
      </c>
      <c r="MA32" s="32">
        <f>(LZ32)*InputData!$C$6</f>
        <v>0</v>
      </c>
      <c r="MB32" s="32">
        <f>MIN($BE$14*InputData!$C$6/(1-(1+InputData!$C$6)^(-10)), LZ32+MA32)</f>
        <v>0</v>
      </c>
      <c r="MC32" s="32">
        <f t="shared" si="168"/>
        <v>0</v>
      </c>
      <c r="MD32" s="32">
        <f>MB32/((1+InputData!$C$3)^(IntMed!$B32-IntMed!$B$7))</f>
        <v>0</v>
      </c>
      <c r="ME32" s="32">
        <f>IF(LV32-InputData!$C$158-InputData!$C$159&gt;=0,LV32-InputData!$C$158-InputData!$C$159,0)</f>
        <v>212767.44255201996</v>
      </c>
      <c r="MF32" s="32">
        <f>IF(LV32-IF(LV32&lt;=InputData!$C$146,InputData!$C$145,0)-MAX(InputData!$C$144,ML32)&gt;=0,LV32-IF(LV32&lt;=InputData!$C$146,InputData!$C$145,0)-MAX(InputData!$C$144,ML32),0)</f>
        <v>206667.44255201996</v>
      </c>
      <c r="MG32" s="32">
        <f>IF(MF32&lt;0,"Error",IF(MF32&lt;=InputData!$B$170,InputData!$C$170*MF32,IF(MF32&lt;=InputData!$B$171,InputData!$D$170+InputData!$C$171*(MF32-InputData!$B$170),IF(MF32&lt;=InputData!$B$172,InputData!$D$171+InputData!$C$172*(MF32-InputData!$B$171),IF(MF32&lt;=InputData!$B$173,InputData!$D$172+InputData!$C$173*(MF32-InputData!$B$172),IF(MF32&lt;=InputData!$B$174,InputData!$D$173+InputData!$C$174*(MF32-InputData!$B$173),IF(MF32&lt;=InputData!$B$175,InputData!$D$174+InputData!$C$175*(MF32-InputData!$B$174),InputData!$D$175+InputData!$C$176*(MF32-InputData!$B$175))))))))</f>
        <v>52331.006042166584</v>
      </c>
      <c r="MH32" s="32">
        <f>IF(LV32&lt;=InputData!$C$150,InputData!$C$152,IF(LV32&lt;InputData!$C$151,IF(InputData!$C$152-0.25*IF(LV32-InputData!$C$150&lt;=0,0,LV32-InputData!$C$150)&lt;=0,0,InputData!$C$152-0.25*IF(LV32-InputData!$C$150&lt;=0,0,LV32-InputData!$C$150)),0))</f>
        <v>27558.13936199501</v>
      </c>
      <c r="MI32" s="32">
        <f>IF(LV32-MH32&lt;=0,0,IF(LV32-MH32&lt;=InputData!$C$153,InputData!$C$154*(LV32-MH32),InputData!$C$155*(LV32-MH32)-InputData!$D$154))</f>
        <v>48268.60489320699</v>
      </c>
      <c r="MJ32" s="32">
        <f t="shared" si="124"/>
        <v>52331.006042166584</v>
      </c>
      <c r="MK32" s="32">
        <f>IF(LV32&gt;=0,IF(LV32&lt;=InputData!$C$148,InputData!$C$147*LV32,InputData!$C$147*InputData!$C$148)+InputData!$C$149*LV32,0)</f>
        <v>10134.527917004289</v>
      </c>
      <c r="ML32" s="32">
        <f>IF(ME32&lt;0,0,IF(ME32&lt;=InputData!$B$163,InputData!$C$163*ME32,IF(ME32&lt;=InputData!$B$164,InputData!$D$163+InputData!$C$164*(ME32-InputData!$B$163),IF(ME32&lt;=InputData!$B$165,InputData!$D$164+InputData!$C$165*(ME32-InputData!$B$164),InputData!$D$165+InputData!$C$166*(ME32-InputData!$B$165)))))</f>
        <v>0</v>
      </c>
      <c r="MM32" s="43">
        <f t="shared" si="38"/>
        <v>0.29358596037971618</v>
      </c>
      <c r="MN32" s="32">
        <f t="shared" si="125"/>
        <v>150301.9085928491</v>
      </c>
      <c r="MO32" s="32">
        <f t="shared" si="126"/>
        <v>150301.9085928491</v>
      </c>
      <c r="MP32" s="32">
        <f>MO32/((1+InputData!$C$7)^(IntMed!$B32-IntMed!$B$7))</f>
        <v>71785.02861460163</v>
      </c>
      <c r="MQ32" s="5">
        <f t="shared" si="147"/>
        <v>1757856.478341368</v>
      </c>
    </row>
    <row r="33" spans="1:355" x14ac:dyDescent="0.25">
      <c r="A33" s="53">
        <v>2039</v>
      </c>
      <c r="B33" s="51">
        <v>27</v>
      </c>
      <c r="C33" s="4"/>
      <c r="D33" s="3">
        <v>27</v>
      </c>
      <c r="E33" s="4" t="s">
        <v>182</v>
      </c>
      <c r="F33" s="5">
        <f>InputData!$Q$21*12</f>
        <v>126320.40000000001</v>
      </c>
      <c r="G33" s="5">
        <f>(InputData!$Q$21+InputData!$K$45+InputData!$G$50)*12+InputData!$J$50+InputData!$D$57+InputData!$J$57</f>
        <v>209320.36000000002</v>
      </c>
      <c r="H33" s="5">
        <f>(InputData!$C$32+InputData!$C$40)*12</f>
        <v>21631.199999999997</v>
      </c>
      <c r="I33" s="5">
        <f t="shared" si="207"/>
        <v>230951.56</v>
      </c>
      <c r="J33" s="5">
        <f>G33*((1+InputData!$C$5)/(1+InputData!$C$3))^(IntMed!$B33-IntMed!$B$7)</f>
        <v>162017.79807188874</v>
      </c>
      <c r="K33" s="5">
        <f>H33*((1+InputData!$C$5)/(1+InputData!$C$3))^(IntMed!$B33-IntMed!$B$7)</f>
        <v>16742.945567514977</v>
      </c>
      <c r="L33" s="32">
        <f>IF(J33-InputData!$C$158-InputData!$C$159&gt;=0,J33-InputData!$C$158-InputData!$C$159,0)</f>
        <v>162017.79807188874</v>
      </c>
      <c r="M33" s="32">
        <f>IF(J33-IF(J33&lt;=InputData!$C$146,InputData!$C$145,0)-MAX(InputData!$C$144,S33)&gt;=0,J33-IF(J33&lt;=InputData!$C$146,InputData!$C$145,0)-MAX(InputData!$C$144,S33),0)</f>
        <v>155917.79807188874</v>
      </c>
      <c r="N33" s="32">
        <f>IF(M33&lt;0,"Error",IF(M33&lt;=InputData!$B$170,InputData!$C$170*M33,IF(M33&lt;=InputData!$B$171,InputData!$D$170+InputData!$C$171*(M33-InputData!$B$170),IF(M33&lt;=InputData!$B$172,InputData!$D$171+InputData!$C$172*(M33-InputData!$B$171),IF(M33&lt;=InputData!$B$173,InputData!$D$172+InputData!$C$173*(M33-InputData!$B$172),IF(M33&lt;=InputData!$B$174,InputData!$D$173+InputData!$C$174*(M33-InputData!$B$173),IF(M33&lt;=InputData!$B$175,InputData!$D$174+InputData!$C$175*(M33-InputData!$B$174),InputData!$D$175+InputData!$C$176*(M33-InputData!$B$175))))))))</f>
        <v>36950.233460128846</v>
      </c>
      <c r="O33" s="32">
        <f>IF(J33&lt;=InputData!$C$150,InputData!$C$152,IF(J33&lt;InputData!$C$151,IF(InputData!$C$152-0.25*IF(J33-InputData!$C$150&lt;=0,0,J33-InputData!$C$150)&lt;=0,0,InputData!$C$152-0.25*IF(J33-InputData!$C$150&lt;=0,0,J33-InputData!$C$150)),0))</f>
        <v>40245.550482027815</v>
      </c>
      <c r="P33" s="32">
        <f>IF(J33-O33&lt;=0,0,IF(J33-O33&lt;=InputData!$C$153,InputData!$C$154*(J33-O33),InputData!$C$155*(J33-O33)-InputData!$D$154))</f>
        <v>31660.78437336384</v>
      </c>
      <c r="Q33" s="32">
        <f t="shared" si="40"/>
        <v>36950.233460128846</v>
      </c>
      <c r="R33" s="32">
        <f>IF(J33&gt;=0,IF(J33&lt;=InputData!$C$148,InputData!$C$147*J33,InputData!$C$147*InputData!$C$148)+InputData!$C$149*J33,0)</f>
        <v>9398.6580720423863</v>
      </c>
      <c r="S33" s="32">
        <f>IF(L33&lt;0,0,IF(L33&lt;=InputData!$B$163,InputData!$C$163*L33,IF(L33&lt;=InputData!$B$164,InputData!$D$163+InputData!$C$164*(L33-InputData!$B$163),IF(L33&lt;=InputData!$B$165,InputData!$D$164+InputData!$C$165*(L33-InputData!$B$164),InputData!$D$165+InputData!$C$166*(L33-InputData!$B$165)))))</f>
        <v>0</v>
      </c>
      <c r="T33" s="43">
        <f t="shared" si="41"/>
        <v>0.28607283942722034</v>
      </c>
      <c r="U33" s="43">
        <f t="shared" si="42"/>
        <v>0.25927891431055045</v>
      </c>
      <c r="V33" s="5">
        <f t="shared" si="43"/>
        <v>132411.85210723249</v>
      </c>
      <c r="W33" s="32">
        <f>V33/((1+InputData!$C$7)^(IntMed!$B33-IntMed!$B$7))</f>
        <v>61398.677672490732</v>
      </c>
      <c r="X33" s="5">
        <f t="shared" si="208"/>
        <v>1687886.8066189096</v>
      </c>
      <c r="Y33" s="53"/>
      <c r="Z33" s="3">
        <v>23.5</v>
      </c>
      <c r="AA33" s="99" t="s">
        <v>269</v>
      </c>
      <c r="AB33" s="32">
        <f>InputData!$O$21*12</f>
        <v>117367.20000000001</v>
      </c>
      <c r="AC33" s="32">
        <f>(InputData!$O$21+InputData!$K$45+InputData!$G$50)*12+InputData!$J$50+InputData!$D$57+InputData!$J$57</f>
        <v>200367.16</v>
      </c>
      <c r="AD33" s="5">
        <f t="shared" si="193"/>
        <v>21631.199999999997</v>
      </c>
      <c r="AE33" s="5">
        <f t="shared" si="209"/>
        <v>221998.36</v>
      </c>
      <c r="AF33" s="5">
        <f>AC33*((1+InputData!$C$5)/(1+InputData!$C$3))^(IntMed!$B33-IntMed!$B$7)</f>
        <v>155087.85704896468</v>
      </c>
      <c r="AG33" s="5">
        <f>AD33*((1+InputData!$C$5)/(1+InputData!$C$3))^(IntMed!$B33-IntMed!$B$7)</f>
        <v>16742.945567514977</v>
      </c>
      <c r="AH33" s="32">
        <f>IF(AF33-InputData!$C$158-InputData!$C$159&gt;=0,AF33-InputData!$C$158-InputData!$C$159,0)</f>
        <v>155087.85704896468</v>
      </c>
      <c r="AI33" s="32">
        <f>IF(AF33-IF(AF33&lt;=InputData!$C$146,InputData!$C$145,0)-MAX(InputData!$C$144,AO33)&gt;=0,AF33-IF(AF33&lt;=InputData!$C$146,InputData!$C$145,0)-MAX(InputData!$C$144,AO33),0)</f>
        <v>148987.85704896468</v>
      </c>
      <c r="AJ33" s="32">
        <f>IF(AI33&lt;0,"Error",IF(AI33&lt;=InputData!$B$170,InputData!$C$170*AI33,IF(AI33&lt;=InputData!$B$171,InputData!$D$170+InputData!$C$171*(AI33-InputData!$B$170),IF(AI33&lt;=InputData!$B$172,InputData!$D$171+InputData!$C$172*(AI33-InputData!$B$171),IF(AI33&lt;=InputData!$B$173,InputData!$D$172+InputData!$C$173*(AI33-InputData!$B$172),IF(AI33&lt;=InputData!$B$174,InputData!$D$173+InputData!$C$174*(AI33-InputData!$B$173),IF(AI33&lt;=InputData!$B$175,InputData!$D$174+InputData!$C$175*(AI33-InputData!$B$174),InputData!$D$175+InputData!$C$176*(AI33-InputData!$B$175))))))))</f>
        <v>35009.849973710108</v>
      </c>
      <c r="AK33" s="32">
        <f>IF(AF33&lt;=InputData!$C$150,InputData!$C$152,IF(AF33&lt;InputData!$C$151,IF(InputData!$C$152-0.25*IF(AF33-InputData!$C$150&lt;=0,0,AF33-InputData!$C$150)&lt;=0,0,InputData!$C$152-0.25*IF(AF33-InputData!$C$150&lt;=0,0,AF33-InputData!$C$150)),0))</f>
        <v>41978.03573775883</v>
      </c>
      <c r="AL33" s="32">
        <f>IF(AF33-AK33&lt;=0,0,IF(AF33-AK33&lt;=InputData!$C$153,InputData!$C$154*(AF33-AK33),InputData!$C$155*(AF33-AK33)-InputData!$D$154))</f>
        <v>29408.553540913523</v>
      </c>
      <c r="AM33" s="32">
        <f t="shared" si="45"/>
        <v>35009.849973710108</v>
      </c>
      <c r="AN33" s="32">
        <f>IF(AF33&gt;=0,IF(AF33&lt;=InputData!$C$148,InputData!$C$147*AF33,InputData!$C$147*InputData!$C$148)+InputData!$C$149*AF33,0)</f>
        <v>9298.1739272099876</v>
      </c>
      <c r="AO33" s="32">
        <f>IF(AH33&lt;0,0,IF(AH33&lt;=InputData!$B$163,InputData!$C$163*AH33,IF(AH33&lt;=InputData!$B$164,InputData!$D$163+InputData!$C$164*(AH33-InputData!$B$163),IF(AH33&lt;=InputData!$B$165,InputData!$D$164+InputData!$C$165*(AH33-InputData!$B$164),InputData!$D$165+InputData!$C$166*(AH33-InputData!$B$165)))))</f>
        <v>0</v>
      </c>
      <c r="AP33" s="43">
        <f t="shared" si="46"/>
        <v>0.28569628044400064</v>
      </c>
      <c r="AQ33" s="43">
        <f t="shared" si="47"/>
        <v>0.25785844695036464</v>
      </c>
      <c r="AR33" s="5">
        <f t="shared" si="48"/>
        <v>127522.77871555957</v>
      </c>
      <c r="AS33" s="32">
        <f>AR33/((1+InputData!$C$7)^(IntMed!$B33-IntMed!$B$7))</f>
        <v>59131.640118712116</v>
      </c>
      <c r="AT33" s="5">
        <f t="shared" si="210"/>
        <v>1661012.8912972515</v>
      </c>
      <c r="AU33" s="53"/>
      <c r="AV33" s="41" t="s">
        <v>109</v>
      </c>
      <c r="AW33" s="32">
        <f>$AW$14*(1+InputData!$C$3+InputData!$C$4)^(IntMed!$B33-IntMed!$B$14)</f>
        <v>359539.56792810716</v>
      </c>
      <c r="AX33" s="32">
        <v>0</v>
      </c>
      <c r="AY33" s="32">
        <f t="shared" si="211"/>
        <v>359539.56792810716</v>
      </c>
      <c r="AZ33" s="32">
        <f>AZ32*(1+InputData!$C$8)</f>
        <v>19227.574133927752</v>
      </c>
      <c r="BA33" s="32">
        <f>AW33/((1+InputData!$C$3)^(IntMed!$B33-IntMed!$B$7))</f>
        <v>214853.39787115742</v>
      </c>
      <c r="BB33" s="32">
        <f>AX33/((1+InputData!$C$3)^(IntMed!$B33-IntMed!$B$7))</f>
        <v>0</v>
      </c>
      <c r="BC33" s="32" t="s">
        <v>141</v>
      </c>
      <c r="BD33" s="32">
        <v>0</v>
      </c>
      <c r="BE33" s="32">
        <f t="shared" si="174"/>
        <v>0</v>
      </c>
      <c r="BF33" s="32">
        <f>(BE33)*InputData!$C$6</f>
        <v>0</v>
      </c>
      <c r="BG33" s="32">
        <f>MIN($BE$14*InputData!$C$6/(1-(1+InputData!$C$6)^(-10)), BE33+BF33)</f>
        <v>0</v>
      </c>
      <c r="BH33" s="32">
        <f t="shared" si="157"/>
        <v>0</v>
      </c>
      <c r="BI33" s="32">
        <f>BG33/((1+InputData!$C$3)^(IntMed!$B33-IntMed!$B$7))</f>
        <v>0</v>
      </c>
      <c r="BJ33" s="32">
        <f>IF(BA33-InputData!$C$158-InputData!$C$159&gt;=0,BA33-InputData!$C$158-InputData!$C$159,0)</f>
        <v>214853.39787115742</v>
      </c>
      <c r="BK33" s="32">
        <f>IF(BA33-IF(BA33&lt;=InputData!$C$146,InputData!$C$145,0)-MAX(InputData!$C$144,BQ33)&gt;=0,BA33-IF(BA33&lt;=InputData!$C$146,InputData!$C$145,0)-MAX(InputData!$C$144,BQ33),0)</f>
        <v>208753.39787115742</v>
      </c>
      <c r="BL33" s="32">
        <f>IF(BK33&lt;0,"Error",IF(BK33&lt;=InputData!$B$170,InputData!$C$170*BK33,IF(BK33&lt;=InputData!$B$171,InputData!$D$170+InputData!$C$171*(BK33-InputData!$B$170),IF(BK33&lt;=InputData!$B$172,InputData!$D$171+InputData!$C$172*(BK33-InputData!$B$171),IF(BK33&lt;=InputData!$B$173,InputData!$D$172+InputData!$C$173*(BK33-InputData!$B$172),IF(BK33&lt;=InputData!$B$174,InputData!$D$173+InputData!$C$174*(BK33-InputData!$B$173),IF(BK33&lt;=InputData!$B$175,InputData!$D$174+InputData!$C$175*(BK33-InputData!$B$174),InputData!$D$175+InputData!$C$176*(BK33-InputData!$B$175))))))))</f>
        <v>53019.37129748195</v>
      </c>
      <c r="BM33" s="32">
        <f>IF(BA33&lt;=InputData!$C$150,InputData!$C$152,IF(BA33&lt;InputData!$C$151,IF(InputData!$C$152-0.25*IF(BA33-InputData!$C$150&lt;=0,0,BA33-InputData!$C$150)&lt;=0,0,InputData!$C$152-0.25*IF(BA33-InputData!$C$150&lt;=0,0,BA33-InputData!$C$150)),0))</f>
        <v>27036.650532210646</v>
      </c>
      <c r="BN33" s="32">
        <f>IF(BA33-BM33&lt;=0,0,IF(BA33-BM33&lt;=InputData!$C$153,InputData!$C$154*(BA33-BM33),InputData!$C$155*(BA33-BM33)-InputData!$D$154))</f>
        <v>48998.689254905097</v>
      </c>
      <c r="BO33" s="32">
        <f t="shared" si="51"/>
        <v>53019.37129748195</v>
      </c>
      <c r="BP33" s="32">
        <f>IF(BA33&gt;=0,IF(BA33&lt;=InputData!$C$148,InputData!$C$147*BA33,InputData!$C$147*InputData!$C$148)+InputData!$C$149*BA33,0)</f>
        <v>10164.774269131782</v>
      </c>
      <c r="BQ33" s="32">
        <f>IF(BJ33&lt;0,0,IF(BJ33&lt;=InputData!$B$163,InputData!$C$163*BJ33,IF(BJ33&lt;=InputData!$B$164,InputData!$D$163+InputData!$C$164*(BJ33-InputData!$B$163),IF(BJ33&lt;=InputData!$B$165,InputData!$D$164+InputData!$C$165*(BJ33-InputData!$B$164),InputData!$D$165+InputData!$C$166*(BJ33-InputData!$B$165)))))</f>
        <v>0</v>
      </c>
      <c r="BR33" s="43">
        <f t="shared" si="52"/>
        <v>0.29408027144399085</v>
      </c>
      <c r="BS33" s="32">
        <f t="shared" si="53"/>
        <v>151669.25230454368</v>
      </c>
      <c r="BT33" s="32">
        <f t="shared" si="54"/>
        <v>151669.25230454368</v>
      </c>
      <c r="BU33" s="32">
        <f>BT33/((1+InputData!$C$7)^(IntMed!$B33-IntMed!$B$7))</f>
        <v>70328.232608157152</v>
      </c>
      <c r="BV33" s="5">
        <f t="shared" si="130"/>
        <v>1444513.1629248548</v>
      </c>
      <c r="BW33" s="5"/>
      <c r="BX33" s="32" t="s">
        <v>141</v>
      </c>
      <c r="BY33" s="5">
        <f t="shared" si="175"/>
        <v>95654.433155277395</v>
      </c>
      <c r="BZ33" s="32">
        <f>(BY33)*InputData!$C$6</f>
        <v>5940.1402989427261</v>
      </c>
      <c r="CA33" s="32">
        <f>MIN($BY$14*InputData!$C$6/(1-(1+InputData!$C$6)^(-25)), BY33+BZ33)</f>
        <v>19581.069601718285</v>
      </c>
      <c r="CB33" s="32">
        <f t="shared" si="176"/>
        <v>82013.503852501832</v>
      </c>
      <c r="CC33" s="32">
        <f>CA33/((1+InputData!$C$3)^(IntMed!$B33-IntMed!$B$7))</f>
        <v>11701.241568833502</v>
      </c>
      <c r="CD33" s="5">
        <f t="shared" si="58"/>
        <v>139968.01073571018</v>
      </c>
      <c r="CE33" s="32">
        <f>CD33/((1+InputData!$C$7)^(IntMed!$B33-IntMed!$B$7))</f>
        <v>64902.428588204799</v>
      </c>
      <c r="CF33" s="5">
        <f t="shared" si="131"/>
        <v>1456766.0579461628</v>
      </c>
      <c r="CG33" s="5"/>
      <c r="CH33" s="32" t="s">
        <v>141</v>
      </c>
      <c r="CI33" s="5">
        <f t="shared" si="177"/>
        <v>0</v>
      </c>
      <c r="CJ33" s="32">
        <f>(CI33)*InputData!$C$6</f>
        <v>0</v>
      </c>
      <c r="CK33" s="32">
        <f t="shared" si="170"/>
        <v>0</v>
      </c>
      <c r="CL33" s="32">
        <f t="shared" si="178"/>
        <v>0</v>
      </c>
      <c r="CM33" s="32">
        <f>CK33/((1+InputData!$C$3)^(IntMed!$B33-IntMed!$B$7))</f>
        <v>0</v>
      </c>
      <c r="CN33" s="5">
        <f t="shared" si="62"/>
        <v>151669.25230454368</v>
      </c>
      <c r="CO33" s="32">
        <f>CN33/((1+InputData!$C$7)^(IntMed!$B33-IntMed!$B$7))</f>
        <v>70328.232608157152</v>
      </c>
      <c r="CP33" s="5">
        <f t="shared" si="132"/>
        <v>1443139.7272519176</v>
      </c>
      <c r="CQ33" s="5"/>
      <c r="CR33" s="32" t="s">
        <v>141</v>
      </c>
      <c r="CS33" s="5">
        <f t="shared" si="179"/>
        <v>0</v>
      </c>
      <c r="CT33" s="32">
        <f>(CS33)*InputData!$C$6</f>
        <v>0</v>
      </c>
      <c r="CU33" s="32">
        <f t="shared" si="171"/>
        <v>0</v>
      </c>
      <c r="CV33" s="32">
        <f t="shared" si="180"/>
        <v>0</v>
      </c>
      <c r="CW33" s="32">
        <f>CU33/((1+InputData!$C$3)^(IntMed!$B33-IntMed!$B$7))</f>
        <v>0</v>
      </c>
      <c r="CX33" s="5">
        <f t="shared" si="66"/>
        <v>151669.25230454368</v>
      </c>
      <c r="CY33" s="32">
        <f>CX33/((1+InputData!$C$7)^(IntMed!$B33-IntMed!$B$7))</f>
        <v>70328.232608157152</v>
      </c>
      <c r="CZ33" s="5">
        <f t="shared" si="133"/>
        <v>1436493.6775446446</v>
      </c>
      <c r="DA33" s="5"/>
      <c r="DB33" s="32" t="s">
        <v>141</v>
      </c>
      <c r="DC33" s="5">
        <f t="shared" si="158"/>
        <v>0</v>
      </c>
      <c r="DD33" s="5">
        <f>DC33*InputData!$C$6</f>
        <v>0</v>
      </c>
      <c r="DE33" s="32">
        <f t="shared" si="159"/>
        <v>0</v>
      </c>
      <c r="DF33" s="32">
        <f t="shared" si="160"/>
        <v>0</v>
      </c>
      <c r="DG33" s="32">
        <f>DE33/((1+InputData!$C$3)^(IntMed!$B33-IntMed!$B$7))</f>
        <v>0</v>
      </c>
      <c r="DH33" s="5">
        <f t="shared" si="70"/>
        <v>151669.25230454368</v>
      </c>
      <c r="DI33" s="32">
        <f>DH33/((1+InputData!$C$7)^(IntMed!$B33-IntMed!$B$7))</f>
        <v>70328.232608157152</v>
      </c>
      <c r="DJ33" s="5">
        <f t="shared" si="134"/>
        <v>1448445.9345052012</v>
      </c>
      <c r="DK33" s="5"/>
      <c r="DL33" s="32" t="s">
        <v>141</v>
      </c>
      <c r="DM33" s="32">
        <f t="shared" si="181"/>
        <v>0</v>
      </c>
      <c r="DN33" s="5">
        <f>DM33*InputData!$C$6</f>
        <v>0</v>
      </c>
      <c r="DO33" s="32">
        <f t="shared" si="182"/>
        <v>0</v>
      </c>
      <c r="DP33" s="32">
        <f t="shared" si="150"/>
        <v>0</v>
      </c>
      <c r="DQ33" s="32">
        <f t="shared" si="151"/>
        <v>0</v>
      </c>
      <c r="DR33" s="32">
        <f>DP33/((1+InputData!$C$3)^(IntMed!$B33-IntMed!$B$7))</f>
        <v>0</v>
      </c>
      <c r="DS33" s="5">
        <f t="shared" si="74"/>
        <v>151669.25230454368</v>
      </c>
      <c r="DT33" s="32">
        <f>DS33/((1+InputData!$C$7)^(IntMed!$B33-IntMed!$B$7))</f>
        <v>70328.232608157152</v>
      </c>
      <c r="DU33" s="5">
        <f t="shared" si="136"/>
        <v>1444445.7643162718</v>
      </c>
      <c r="DV33" s="5"/>
      <c r="DW33" s="32" t="s">
        <v>141</v>
      </c>
      <c r="DX33" s="133">
        <f t="shared" si="161"/>
        <v>0</v>
      </c>
      <c r="DY33" s="5">
        <f>DX33*InputData!$C$6</f>
        <v>0</v>
      </c>
      <c r="DZ33" s="133">
        <f t="shared" si="162"/>
        <v>0</v>
      </c>
      <c r="EA33" s="32">
        <f t="shared" si="163"/>
        <v>0</v>
      </c>
      <c r="EB33" s="32">
        <f t="shared" si="164"/>
        <v>0</v>
      </c>
      <c r="EC33" s="32">
        <f>EA33/((1+InputData!$C$3)^(IntMed!$B33-IntMed!$B$7))</f>
        <v>0</v>
      </c>
      <c r="ED33" s="5">
        <f t="shared" si="78"/>
        <v>151669.25230454368</v>
      </c>
      <c r="EE33" s="32">
        <f>ED33/((1+InputData!$C$7)^(IntMed!$B33-IntMed!$B$7))</f>
        <v>70328.232608157152</v>
      </c>
      <c r="EF33" s="5">
        <f t="shared" si="138"/>
        <v>1440453.6005341785</v>
      </c>
      <c r="EG33" s="32"/>
      <c r="EH33" s="130" t="s">
        <v>141</v>
      </c>
      <c r="EI33" s="32">
        <v>0</v>
      </c>
      <c r="EJ33" s="32">
        <f t="shared" si="212"/>
        <v>0</v>
      </c>
      <c r="EK33" s="32">
        <f>EJ33*InputData!$C$6</f>
        <v>0</v>
      </c>
      <c r="EL33" s="32">
        <f t="shared" si="213"/>
        <v>5.0931703299283981E-11</v>
      </c>
      <c r="EM33" s="32">
        <f>EM32*(1+InputData!$C$8)</f>
        <v>19227.574133927752</v>
      </c>
      <c r="EN33" s="32">
        <f t="shared" si="172"/>
        <v>0</v>
      </c>
      <c r="EO33" s="32">
        <f>AW33/((1+InputData!$C$3)^(IntMed!$B33-IntMed!$B$7))</f>
        <v>214853.39787115742</v>
      </c>
      <c r="EP33" s="32">
        <f>AX33/((1+InputData!$C$3)^(IntMed!$B33-IntMed!$B$7))</f>
        <v>0</v>
      </c>
      <c r="EQ33" s="32">
        <v>52807.93</v>
      </c>
      <c r="ER33" s="32">
        <v>8866.7549999999992</v>
      </c>
      <c r="ES33" s="32">
        <v>0</v>
      </c>
      <c r="ET33" s="42">
        <f t="shared" si="214"/>
        <v>0.28705473411681798</v>
      </c>
      <c r="EU33" s="32">
        <f t="shared" si="215"/>
        <v>153178.71287115742</v>
      </c>
      <c r="EV33" s="32">
        <f>EN33/((1+InputData!$C$3)^(IntMed!$B33-IntMed!$B$7))</f>
        <v>0</v>
      </c>
      <c r="EW33" s="32">
        <f t="shared" si="216"/>
        <v>153178.71287115742</v>
      </c>
      <c r="EX33" s="32">
        <f>EW33/((1+InputData!$C$7)^(IntMed!$B33-IntMed!$B$7))</f>
        <v>71028.161514172272</v>
      </c>
      <c r="EY33" s="5">
        <f t="shared" si="217"/>
        <v>1454656.3596790584</v>
      </c>
      <c r="EZ33" s="79"/>
      <c r="FA33" s="32">
        <f t="shared" si="203"/>
        <v>0</v>
      </c>
      <c r="FB33" s="32">
        <f>FA33*InputData!$C$6</f>
        <v>0</v>
      </c>
      <c r="FC33" s="32">
        <f t="shared" si="204"/>
        <v>0</v>
      </c>
      <c r="FD33" s="53">
        <f>MIN($EJ$14*InputData!$C$6/(1-(1+InputData!$C$6)^(-10)), FA33+FB33)</f>
        <v>0</v>
      </c>
      <c r="FE33" s="32">
        <f>FD33/((1+InputData!$C$3)^(IntMed!$B33-IntMed!$B$7))</f>
        <v>0</v>
      </c>
      <c r="FF33" s="5">
        <f t="shared" si="84"/>
        <v>153178.71287115742</v>
      </c>
      <c r="FG33" s="32">
        <f>FF33/((1+InputData!$C$7)^(IntMed!$B33-IntMed!$B$7))</f>
        <v>71028.161514172272</v>
      </c>
      <c r="FH33" s="5">
        <f t="shared" si="140"/>
        <v>1463066.803537196</v>
      </c>
      <c r="FI33" s="79"/>
      <c r="FJ33" s="32">
        <f t="shared" si="185"/>
        <v>96879.011091407156</v>
      </c>
      <c r="FK33" s="32">
        <f>FJ33*InputData!$C$6</f>
        <v>6016.1865887763843</v>
      </c>
      <c r="FL33" s="32">
        <f t="shared" si="186"/>
        <v>83063.449202336604</v>
      </c>
      <c r="FM33" s="53">
        <f>MIN($EJ$14*InputData!$C$6/(1-(1+InputData!$C$6)^(-25)), FJ33+FK33)</f>
        <v>19831.748477846937</v>
      </c>
      <c r="FN33" s="32">
        <f>FM33/((1+InputData!$C$3)^(IntMed!$B33-IntMed!$B$7))</f>
        <v>11851.042072352862</v>
      </c>
      <c r="FO33" s="5">
        <f t="shared" si="88"/>
        <v>141327.67079880455</v>
      </c>
      <c r="FP33" s="32">
        <f>FO33/((1+InputData!$C$7)^(IntMed!$B33-IntMed!$B$7))</f>
        <v>65532.895790570365</v>
      </c>
      <c r="FQ33" s="5">
        <f t="shared" si="141"/>
        <v>1475476.5613865177</v>
      </c>
      <c r="FR33" s="79"/>
      <c r="FS33" s="32">
        <f t="shared" si="187"/>
        <v>0</v>
      </c>
      <c r="FT33" s="32">
        <f>FS33*InputData!$C$6</f>
        <v>0</v>
      </c>
      <c r="FU33" s="32">
        <f t="shared" si="188"/>
        <v>0</v>
      </c>
      <c r="FV33" s="5">
        <f t="shared" si="173"/>
        <v>0</v>
      </c>
      <c r="FW33" s="32">
        <f>FV33/((1+InputData!$C$3)^(IntMed!$B33-IntMed!$B$7))</f>
        <v>0</v>
      </c>
      <c r="FX33" s="5">
        <f t="shared" si="92"/>
        <v>153178.71287115742</v>
      </c>
      <c r="FY33" s="32">
        <f>FX33/((1+InputData!$C$7)^(IntMed!$B33-IntMed!$B$7))</f>
        <v>71028.161514172272</v>
      </c>
      <c r="FZ33" s="5">
        <f t="shared" si="142"/>
        <v>1461522.1542605176</v>
      </c>
      <c r="GC33" s="83">
        <v>22</v>
      </c>
      <c r="GD33" s="4" t="s">
        <v>217</v>
      </c>
      <c r="GE33" s="118">
        <f>MIN(InputData!$C$13+InputData!$E$13*($B33-$B$31),1)*$AW33/(((1+InputData!$C$3)*(1+InputData!$C$7))^(IntMed!$B33-IntMed!$B$7))</f>
        <v>89663.748988592677</v>
      </c>
      <c r="GF33" s="118">
        <f>MIN(InputData!$C$13+InputData!$E$13*($B33-$B$32),1)*$AW33/(((1+InputData!$C$3)*(1+InputData!$C$7))^(IntMed!$B33-IntMed!$B$7))</f>
        <v>89663.748988592677</v>
      </c>
      <c r="GG33" s="118">
        <f>MIN(InputData!$C$13+InputData!$E$13*($B33-$B$33),1)*$AW33/(((1+InputData!$C$3)*(1+InputData!$C$7))^(IntMed!$B33-IntMed!$B$7))</f>
        <v>89663.748988592677</v>
      </c>
      <c r="GH33" s="114">
        <f>($G33+$H33-InputData!$J$57)*((1+InputData!$C$5)/((1+InputData!$C$3)*(1+InputData!$C$7)))^(IntMed!$B33-IntMed!$B$7)</f>
        <v>70328.626448128751</v>
      </c>
      <c r="GI33" s="5"/>
      <c r="GJ33" s="84">
        <v>0</v>
      </c>
      <c r="GK33" s="5"/>
      <c r="GL33" s="84">
        <f>MIN(InputData!$C$13+InputData!$E$13*($B33-$B$33),1)*$AW33/((1+InputData!$C$3)^(IntMed!$B33-IntMed!$B$7))+0.025*$GC$32*(($F$30+$F$31+$F$32)/3)*((1+InputData!$C$5)/(1+InputData!$C$3))^(IntMed!$B33-IntMed!$B$7)</f>
        <v>243019.81767124782</v>
      </c>
      <c r="GM33" s="5">
        <v>0</v>
      </c>
      <c r="GN33" s="32">
        <f>IF(GL33-InputData!$C$158-InputData!$C$159&gt;=0,GL33-InputData!$C$158-InputData!$C$159,0)</f>
        <v>243019.81767124782</v>
      </c>
      <c r="GO33" s="32">
        <f>IF(GL33-IF(GL33&lt;=InputData!$C$146,InputData!$C$145,0)-MAX(InputData!$C$144,GU33)&gt;=0,GL33-IF(GL33&lt;=InputData!$C$146,InputData!$C$145,0)-MAX(InputData!$C$144,GU33),0)</f>
        <v>236919.81767124782</v>
      </c>
      <c r="GP33" s="32">
        <f>IF(GO33&lt;0,"Error",IF(GO33&lt;=InputData!$B$170,InputData!$C$170*GO33,IF(GO33&lt;=InputData!$B$171,InputData!$D$170+InputData!$C$171*(GO33-InputData!$B$170),IF(GO33&lt;=InputData!$B$172,InputData!$D$171+InputData!$C$172*(GO33-InputData!$B$171),IF(GO33&lt;=InputData!$B$173,InputData!$D$172+InputData!$C$173*(GO33-InputData!$B$172),IF(GO33&lt;=InputData!$B$174,InputData!$D$173+InputData!$C$174*(GO33-InputData!$B$173),IF(GO33&lt;=InputData!$B$175,InputData!$D$174+InputData!$C$175*(GO33-InputData!$B$174),InputData!$D$175+InputData!$C$176*(GO33-InputData!$B$175))))))))</f>
        <v>62314.289831511778</v>
      </c>
      <c r="GQ33" s="32">
        <f>IF(GL33&lt;=InputData!$C$150,InputData!$C$152,IF(GL33&lt;InputData!$C$151,IF(InputData!$C$152-0.25*IF(GL33-InputData!$C$150&lt;=0,0,GL33-InputData!$C$150)&lt;=0,0,InputData!$C$152-0.25*IF(GL33-InputData!$C$150&lt;=0,0,GL33-InputData!$C$150)),0))</f>
        <v>19995.045582188046</v>
      </c>
      <c r="GR33" s="32">
        <f>IF(GL33-GQ33&lt;=0,0,IF(GL33-GQ33&lt;=InputData!$C$153,InputData!$C$154*(GL33-GQ33),InputData!$C$155*(GL33-GQ33)-InputData!$D$154))</f>
        <v>58856.936184936734</v>
      </c>
      <c r="GS33" s="32">
        <f t="shared" si="93"/>
        <v>62314.289831511778</v>
      </c>
      <c r="GT33" s="32">
        <f>IF(GL33&gt;=0,IF(GL33&lt;=InputData!$C$148,InputData!$C$147*GL33,InputData!$C$147*InputData!$C$148)+InputData!$C$149*GL33,0)</f>
        <v>10573.187356233093</v>
      </c>
      <c r="GU33" s="32">
        <f>IF(GN33&lt;0,0,IF(GN33&lt;=InputData!$B$163,InputData!$C$163*GN33,IF(GN33&lt;=InputData!$B$164,InputData!$D$163+InputData!$C$164*(GN33-InputData!$B$163),IF(GN33&lt;=InputData!$B$165,InputData!$D$164+InputData!$C$165*(GN33-InputData!$B$164),InputData!$D$165+InputData!$C$166*(GN33-InputData!$B$165)))))</f>
        <v>0</v>
      </c>
      <c r="GV33" s="43">
        <f t="shared" si="10"/>
        <v>0.29992400573004108</v>
      </c>
      <c r="GW33" s="43">
        <f t="shared" si="11"/>
        <v>0.29992400573004108</v>
      </c>
      <c r="GX33" s="5">
        <f t="shared" si="12"/>
        <v>170132.34048350292</v>
      </c>
      <c r="GY33" s="32">
        <f>GX33/((1+InputData!$C$7)^(IntMed!$B33-IntMed!$B$7))</f>
        <v>78889.469248972731</v>
      </c>
      <c r="GZ33" s="84">
        <f t="shared" si="94"/>
        <v>1688901.5760365392</v>
      </c>
      <c r="HB33" s="124">
        <v>23</v>
      </c>
      <c r="HC33" s="46" t="str">
        <f t="shared" si="195"/>
        <v>Multi-Year (O6&gt;22 = (BP+BAH+BAS+VSP+BCPSP)*12+ASP+ISP+MSP)</v>
      </c>
      <c r="HD33" s="5">
        <f>MIN(InputData!$C$13+InputData!$E$13*($B33-$B$31),1)*$AW33/(((1+InputData!$C$3)*(1+InputData!$C$7))^(IntMed!$B33-IntMed!$B$7))</f>
        <v>89663.748988592677</v>
      </c>
      <c r="HE33" s="5">
        <f>MIN(InputData!$C$13+InputData!$E$13*($B33-$B$32),1)*$AW33/(((1+InputData!$C$3)*(1+InputData!$C$7))^(IntMed!$B33-IntMed!$B$7))</f>
        <v>89663.748988592677</v>
      </c>
      <c r="HF33" s="5">
        <f>MIN(InputData!$C$13+InputData!$E$13*($B33-$B$33),1)*$AW33/(((1+InputData!$C$3)*(1+InputData!$C$7))^(IntMed!$B33-IntMed!$B$7))</f>
        <v>89663.748988592677</v>
      </c>
      <c r="HG33" s="120">
        <f>($AC33+$AD33-(InputData!$J$57-InputData!$J$57))*((1+InputData!$C$5)/((1+InputData!$C$3)*(1+InputData!$C$7)))^(IntMed!$B33-IntMed!$B$7)</f>
        <v>79677.037184787958</v>
      </c>
      <c r="HH33" s="5"/>
      <c r="HI33" s="5">
        <f t="shared" si="197"/>
        <v>21631.199999999997</v>
      </c>
      <c r="HJ33" s="5"/>
      <c r="HK33" s="5">
        <f t="shared" si="199"/>
        <v>155087.85704896468</v>
      </c>
      <c r="HL33" s="5">
        <v>0</v>
      </c>
      <c r="HM33" s="32">
        <f>IF(HK33-InputData!$C$158-InputData!$C$159&gt;=0,HK33-InputData!$C$158-InputData!$C$159,0)</f>
        <v>155087.85704896468</v>
      </c>
      <c r="HN33" s="32">
        <f>IF(HK33-IF(HK33&lt;=InputData!$C$146,InputData!$C$145,0)-MAX(InputData!$C$144,HT33)&gt;=0,HK33-IF(HK33&lt;=InputData!$C$146,InputData!$C$145,0)-MAX(InputData!$C$144,HT33),0)</f>
        <v>148987.85704896468</v>
      </c>
      <c r="HO33" s="32">
        <f>IF(HN33&lt;0,"Error",IF(HN33&lt;=InputData!$B$170,InputData!$C$170*HN33,IF(HN33&lt;=InputData!$B$171,InputData!$D$170+InputData!$C$171*(HN33-InputData!$B$170),IF(HN33&lt;=InputData!$B$172,InputData!$D$171+InputData!$C$172*(HN33-InputData!$B$171),IF(HN33&lt;=InputData!$B$173,InputData!$D$172+InputData!$C$173*(HN33-InputData!$B$172),IF(HN33&lt;=InputData!$B$174,InputData!$D$173+InputData!$C$174*(HN33-InputData!$B$173),IF(HN33&lt;=InputData!$B$175,InputData!$D$174+InputData!$C$175*(HN33-InputData!$B$174),InputData!$D$175+InputData!$C$176*(HN33-InputData!$B$175))))))))</f>
        <v>35009.849973710108</v>
      </c>
      <c r="HP33" s="32">
        <f>IF(HK33&lt;=InputData!$C$150,InputData!$C$152,IF(HK33&lt;InputData!$C$151,IF(InputData!$C$152-0.25*IF(HK33-InputData!$C$150&lt;=0,0,HK33-InputData!$C$150)&lt;=0,0,InputData!$C$152-0.25*IF(HK33-InputData!$C$150&lt;=0,0,HK33-InputData!$C$150)),0))</f>
        <v>41978.03573775883</v>
      </c>
      <c r="HQ33" s="32">
        <f>IF(HK33-HP33&lt;=0,0,IF(HK33-HP33&lt;=InputData!$C$153,InputData!$C$154*(HK33-HP33),InputData!$C$155*(HK33-HP33)-InputData!$D$154))</f>
        <v>29408.553540913523</v>
      </c>
      <c r="HR33" s="32">
        <f t="shared" si="95"/>
        <v>35009.849973710108</v>
      </c>
      <c r="HS33" s="32">
        <f>IF(HK33&gt;=0,IF(HK33&lt;=InputData!$C$148,InputData!$C$147*HK33,InputData!$C$147*InputData!$C$148)+InputData!$C$149*HK33,0)</f>
        <v>9298.1739272099876</v>
      </c>
      <c r="HT33" s="32">
        <f>IF(HM33&lt;0,0,IF(HM33&lt;=InputData!$B$163,InputData!$C$163*HM33,IF(HM33&lt;=InputData!$B$164,InputData!$D$163+InputData!$C$164*(HM33-InputData!$B$163),IF(HM33&lt;=InputData!$B$165,InputData!$D$164+InputData!$C$165*(HM33-InputData!$B$164),InputData!$D$165+InputData!$C$166*(HM33-InputData!$B$165)))))</f>
        <v>0</v>
      </c>
      <c r="HU33" s="43">
        <f t="shared" si="96"/>
        <v>0.28569628044400064</v>
      </c>
      <c r="HV33" s="43">
        <f t="shared" si="97"/>
        <v>0.28569628044400064</v>
      </c>
      <c r="HW33" s="5">
        <f t="shared" si="98"/>
        <v>110779.83314804459</v>
      </c>
      <c r="HX33" s="32">
        <f>HW33/((1+InputData!$C$7)^(IntMed!$B33-IntMed!$B$7))</f>
        <v>51368.024537265541</v>
      </c>
      <c r="HY33" s="84">
        <f t="shared" si="99"/>
        <v>1636773.2535569523</v>
      </c>
      <c r="IA33" s="41"/>
      <c r="IB33" s="4" t="s">
        <v>109</v>
      </c>
      <c r="IC33" s="32">
        <f>MIN(InputData!$C$13+InputData!$E$13*($B33-$B$21),1)*IntMed!AW33</f>
        <v>323585.61113529647</v>
      </c>
      <c r="ID33" s="32">
        <f>MIN(InputData!$C$13+InputData!$E$13*($B33-$B$21),1)*IntMed!AX33</f>
        <v>0</v>
      </c>
      <c r="IE33" s="32">
        <f>MIN(InputData!$C$13+InputData!$E$13*($B33-$B$21),1)*IntMed!AY33</f>
        <v>323585.61113529647</v>
      </c>
      <c r="IF33" s="32">
        <f>MIN(InputData!$C$13+InputData!$E$13*($B33-$B$21),1)*IntMed!EO33</f>
        <v>193368.05808404167</v>
      </c>
      <c r="IG33" s="32">
        <f>MIN(InputData!$C$13+InputData!$E$13*($B33-$B$21),1)*IntMed!EP33</f>
        <v>0</v>
      </c>
      <c r="IH33" s="32">
        <f>IF(IF33-InputData!$C$158-InputData!$C$159&gt;=0,IF33-InputData!$C$158-InputData!$C$159,0)</f>
        <v>193368.05808404167</v>
      </c>
      <c r="II33" s="32">
        <f>IF(IF33-IF(IF33&lt;=InputData!$C$146,InputData!$C$145,0)-MAX(InputData!$C$144,IO33)&gt;=0,IF33-IF(IF33&lt;=InputData!$C$146,InputData!$C$145,0)-MAX(InputData!$C$144,IO33),0)</f>
        <v>187268.05808404167</v>
      </c>
      <c r="IJ33" s="32">
        <f>IF(II33&lt;0,"Error",IF(II33&lt;=InputData!$B$170,InputData!$C$170*II33,IF(II33&lt;=InputData!$B$171,InputData!$D$170+InputData!$C$171*(II33-InputData!$B$170),IF(II33&lt;=InputData!$B$172,InputData!$D$171+InputData!$C$172*(II33-InputData!$B$171),IF(II33&lt;=InputData!$B$173,InputData!$D$172+InputData!$C$173*(II33-InputData!$B$172),IF(II33&lt;=InputData!$B$174,InputData!$D$173+InputData!$C$174*(II33-InputData!$B$173),IF(II33&lt;=InputData!$B$175,InputData!$D$174+InputData!$C$175*(II33-InputData!$B$174),InputData!$D$175+InputData!$C$176*(II33-InputData!$B$175))))))))</f>
        <v>45929.209167733752</v>
      </c>
      <c r="IK33" s="32">
        <f>IF(IF33&lt;=InputData!$C$150,InputData!$C$152,IF(IF33&lt;InputData!$C$151,IF(InputData!$C$152-0.25*IF(IF33-InputData!$C$150&lt;=0,0,IF33-InputData!$C$150)&lt;=0,0,InputData!$C$152-0.25*IF(IF33-InputData!$C$150&lt;=0,0,IF33-InputData!$C$150)),0))</f>
        <v>32407.985478989583</v>
      </c>
      <c r="IL33" s="32">
        <f>IF(IF33-IK33&lt;=0,0,IF(IF33-IK33&lt;=InputData!$C$153,InputData!$C$154*(IF33-IK33),InputData!$C$155*(IF33-IK33)-InputData!$D$154))</f>
        <v>41849.618877313544</v>
      </c>
      <c r="IM33" s="32">
        <f t="shared" si="100"/>
        <v>45929.209167733752</v>
      </c>
      <c r="IN33" s="32">
        <f>IF(IF33&gt;=0,IF(IF33&lt;=InputData!$C$148,InputData!$C$147*IF33,InputData!$C$147*InputData!$C$148)+InputData!$C$149*IF33,0)</f>
        <v>9853.2368422186046</v>
      </c>
      <c r="IO33" s="32">
        <f>IF(IH33&lt;0,0,IF(IH33&lt;=InputData!$B$163,InputData!$C$163*IH33,IF(IH33&lt;=InputData!$B$164,InputData!$D$163+InputData!$C$164*(IH33-InputData!$B$163),IF(IH33&lt;=InputData!$B$165,InputData!$D$164+InputData!$C$165*(IH33-InputData!$B$164),InputData!$D$165+InputData!$C$166*(IH33-InputData!$B$165)))))</f>
        <v>0</v>
      </c>
      <c r="IP33" s="43">
        <f t="shared" si="101"/>
        <v>0.28847807938221204</v>
      </c>
      <c r="IQ33" s="43">
        <f t="shared" si="102"/>
        <v>0.28847807938221204</v>
      </c>
      <c r="IR33" s="5">
        <f t="shared" si="27"/>
        <v>137585.61207408929</v>
      </c>
      <c r="IS33" s="32">
        <f>IR33/((1+InputData!$C$7)^(IntMed!$B33-IntMed!$B$7))</f>
        <v>63797.72289015464</v>
      </c>
      <c r="IT33" s="5">
        <f t="shared" si="103"/>
        <v>1725388.0408378227</v>
      </c>
      <c r="IV33" s="41"/>
      <c r="IW33" s="49" t="s">
        <v>109</v>
      </c>
      <c r="IX33" s="32">
        <f>MIN(InputData!$C$13+InputData!$E$13*($B33-$B$18),1)*IntMed!AW33</f>
        <v>323585.61113529647</v>
      </c>
      <c r="IY33" s="32">
        <f>MIN(InputData!$C$13+InputData!$E$13*($B33-$B$18),1)*IntMed!AX33</f>
        <v>0</v>
      </c>
      <c r="IZ33" s="32">
        <f>MIN(InputData!$C$13+InputData!$E$13*($B33-$B$18),1)*IntMed!AY33</f>
        <v>323585.61113529647</v>
      </c>
      <c r="JA33" s="32">
        <f>MIN(InputData!$C$13+InputData!$E$13*($B33-$B$18),1)*IntMed!EO33</f>
        <v>193368.05808404167</v>
      </c>
      <c r="JB33" s="32">
        <f>MIN(InputData!$C$13+InputData!$E$13*($B33-$B$18),1)*IntMed!EP33</f>
        <v>0</v>
      </c>
      <c r="JC33" s="32">
        <f>IF(JA33-InputData!$C$158-InputData!$C$159&gt;=0,JA33-InputData!$C$158-InputData!$C$159,0)</f>
        <v>193368.05808404167</v>
      </c>
      <c r="JD33" s="32">
        <f>IF(JA33-IF(JA33&lt;=InputData!$C$146,InputData!$C$145,0)-MAX(InputData!$C$144,JJ33)&gt;=0,JA33-IF(JA33&lt;=InputData!$C$146,InputData!$C$145,0)-MAX(InputData!$C$144,JJ33),0)</f>
        <v>187268.05808404167</v>
      </c>
      <c r="JE33" s="32">
        <f>IF(JD33&lt;0,"Error",IF(JD33&lt;=InputData!$B$170,InputData!$C$170*JD33,IF(JD33&lt;=InputData!$B$171,InputData!$D$170+InputData!$C$171*(JD33-InputData!$B$170),IF(JD33&lt;=InputData!$B$172,InputData!$D$171+InputData!$C$172*(JD33-InputData!$B$171),IF(JD33&lt;=InputData!$B$173,InputData!$D$172+InputData!$C$173*(JD33-InputData!$B$172),IF(JD33&lt;=InputData!$B$174,InputData!$D$173+InputData!$C$174*(JD33-InputData!$B$173),IF(JD33&lt;=InputData!$B$175,InputData!$D$174+InputData!$C$175*(JD33-InputData!$B$174),InputData!$D$175+InputData!$C$176*(JD33-InputData!$B$175))))))))</f>
        <v>45929.209167733752</v>
      </c>
      <c r="JF33" s="32">
        <f>IF(JA33&lt;=InputData!$C$150,InputData!$C$152,IF(JA33&lt;InputData!$C$151,IF(InputData!$C$152-0.25*IF(JA33-InputData!$C$150&lt;=0,0,JA33-InputData!$C$150)&lt;=0,0,InputData!$C$152-0.25*IF(JA33-InputData!$C$150&lt;=0,0,JA33-InputData!$C$150)),0))</f>
        <v>32407.985478989583</v>
      </c>
      <c r="JG33" s="32">
        <f>IF(JA33-JF33&lt;=0,0,IF(JA33-JF33&lt;=InputData!$C$153,InputData!$C$154*(JA33-JF33),InputData!$C$155*(JA33-JF33)-InputData!$D$154))</f>
        <v>41849.618877313544</v>
      </c>
      <c r="JH33" s="32">
        <f t="shared" si="104"/>
        <v>45929.209167733752</v>
      </c>
      <c r="JI33" s="32">
        <f>IF(JA33&gt;=0,IF(JA33&lt;=InputData!$C$148,InputData!$C$147*JA33,InputData!$C$147*InputData!$C$148)+InputData!$C$149*JA33,0)</f>
        <v>9853.2368422186046</v>
      </c>
      <c r="JJ33" s="32">
        <f>IF(JC33&lt;0,0,IF(JC33&lt;=InputData!$B$163,InputData!$C$163*JC33,IF(JC33&lt;=InputData!$B$164,InputData!$D$163+InputData!$C$164*(JC33-InputData!$B$163),IF(JC33&lt;=InputData!$B$165,InputData!$D$164+InputData!$C$165*(JC33-InputData!$B$164),InputData!$D$165+InputData!$C$166*(JC33-InputData!$B$165)))))</f>
        <v>0</v>
      </c>
      <c r="JK33" s="42">
        <f t="shared" si="105"/>
        <v>0.28847807938221204</v>
      </c>
      <c r="JL33" s="42">
        <f t="shared" si="106"/>
        <v>0.28847807938221204</v>
      </c>
      <c r="JM33" s="32">
        <f t="shared" si="35"/>
        <v>137585.61207408929</v>
      </c>
      <c r="JN33" s="32">
        <f>JM33/((1+InputData!$C$7)^(IntMed!$B33-IntMed!$B$7))</f>
        <v>63797.72289015464</v>
      </c>
      <c r="JO33" s="32">
        <f t="shared" si="107"/>
        <v>1706739.7793854184</v>
      </c>
      <c r="JP33" s="24"/>
      <c r="JQ33" s="41" t="s">
        <v>109</v>
      </c>
      <c r="JR33" s="32">
        <f>$JR$14*(1+InputData!$C$3+InputData!$C$4)^(IntMed!$B33-IntMed!$B$14)</f>
        <v>281991.81798282918</v>
      </c>
      <c r="JS33" s="32">
        <v>0</v>
      </c>
      <c r="JT33" s="32">
        <f t="shared" si="108"/>
        <v>281991.81798282918</v>
      </c>
      <c r="JU33" s="5">
        <f>JR33*(1/(1+InputData!$C$3))^(IntMed!$B33-IntMed!$B$7)</f>
        <v>168512.46891855466</v>
      </c>
      <c r="JV33" s="5">
        <f>JS33*(1/(1+InputData!$C$3))^(IntMed!$B33-IntMed!$B$7)</f>
        <v>0</v>
      </c>
      <c r="JW33" s="32">
        <f>IF(JU33-InputData!$C$158-InputData!$C$159&gt;=0,JU33-InputData!$C$158-InputData!$C$159,0)</f>
        <v>168512.46891855466</v>
      </c>
      <c r="JX33" s="32">
        <f>IF(JU33-IF(JU33&lt;=InputData!$C$146,InputData!$C$145,0)-MAX(InputData!$C$144,KD33)&gt;=0,JU33-IF(JU33&lt;=InputData!$C$146,InputData!$C$145,0)-MAX(InputData!$C$144,KD33),0)</f>
        <v>162412.46891855466</v>
      </c>
      <c r="JY33" s="32">
        <f>IF(JX33&lt;0,"Error",IF(JX33&lt;=InputData!$B$170,InputData!$C$170*JX33,IF(JX33&lt;=InputData!$B$171,InputData!$D$170+InputData!$C$171*(JX33-InputData!$B$170),IF(JX33&lt;=InputData!$B$172,InputData!$D$171+InputData!$C$172*(JX33-InputData!$B$171),IF(JX33&lt;=InputData!$B$173,InputData!$D$172+InputData!$C$173*(JX33-InputData!$B$172),IF(JX33&lt;=InputData!$B$174,InputData!$D$173+InputData!$C$174*(JX33-InputData!$B$173),IF(JX33&lt;=InputData!$B$175,InputData!$D$174+InputData!$C$175*(JX33-InputData!$B$174),InputData!$D$175+InputData!$C$176*(JX33-InputData!$B$175))))))))</f>
        <v>38768.741297195302</v>
      </c>
      <c r="JZ33" s="32">
        <f>IF(JU33&lt;=InputData!$C$150,InputData!$C$152,IF(JU33&lt;InputData!$C$151,IF(InputData!$C$152-0.25*IF(JU33-InputData!$C$150&lt;=0,0,JU33-InputData!$C$150)&lt;=0,0,InputData!$C$152-0.25*IF(JU33-InputData!$C$150&lt;=0,0,JU33-InputData!$C$150)),0))</f>
        <v>38621.882770361335</v>
      </c>
      <c r="KA33" s="32">
        <f>IF(JU33-JZ33&lt;=0,0,IF(JU33-JZ33&lt;=InputData!$C$153,InputData!$C$154*(JU33-JZ33),InputData!$C$155*(JU33-JZ33)-InputData!$D$154))</f>
        <v>33771.552398530264</v>
      </c>
      <c r="KB33" s="32">
        <f t="shared" si="109"/>
        <v>38768.741297195302</v>
      </c>
      <c r="KC33" s="32">
        <f>IF(JU33&gt;=0,IF(JU33&lt;=InputData!$C$148,InputData!$C$147*JU33,InputData!$C$147*InputData!$C$148)+InputData!$C$149*JU33,0)</f>
        <v>9492.8307993190429</v>
      </c>
      <c r="KD33" s="32">
        <f>IF(JW33&lt;0,0,IF(JW33&lt;=InputData!$B$163,InputData!$C$163*JW33,IF(JW33&lt;=InputData!$B$164,InputData!$D$163+InputData!$C$164*(JW33-InputData!$B$163),IF(JW33&lt;=InputData!$B$165,InputData!$D$164+InputData!$C$165*(JW33-InputData!$B$164),InputData!$D$165+InputData!$C$166*(JW33-InputData!$B$165)))))</f>
        <v>0</v>
      </c>
      <c r="KE33" s="43">
        <f t="shared" si="110"/>
        <v>0.28639763221224951</v>
      </c>
      <c r="KF33" s="43">
        <f t="shared" si="111"/>
        <v>0.28639763221224951</v>
      </c>
      <c r="KG33" s="5">
        <f t="shared" si="112"/>
        <v>120250.89682204032</v>
      </c>
      <c r="KH33" s="32">
        <f>KG33/((1+InputData!$C$7)^(IntMed!$B33-IntMed!$B$7))</f>
        <v>55759.706826131711</v>
      </c>
      <c r="KI33" s="5">
        <f t="shared" si="143"/>
        <v>1522041.6667926034</v>
      </c>
      <c r="KK33" s="7">
        <v>10</v>
      </c>
      <c r="KL33" t="s">
        <v>381</v>
      </c>
      <c r="KM33">
        <v>48</v>
      </c>
      <c r="KN33" s="41" t="s">
        <v>109</v>
      </c>
      <c r="KO33" s="32">
        <f>MIN(InputData!$C$13+InputData!$E$13*($B33-$B$24),1)*IntMed!AW33</f>
        <v>323585.61113529647</v>
      </c>
      <c r="KP33" s="32">
        <f>MIN(InputData!$C$13+InputData!$E$13*($B33-$B$24),1)*IntMed!AX33</f>
        <v>0</v>
      </c>
      <c r="KQ33" s="5">
        <f t="shared" si="169"/>
        <v>323585.61113529647</v>
      </c>
      <c r="KR33" s="32">
        <f>KR32*(1+InputData!$C$8)</f>
        <v>19227.574133927752</v>
      </c>
      <c r="KS33" s="5">
        <f>KO33*(1/(1+InputData!$C$3))^(IntMed!$B33-IntMed!$B$7)</f>
        <v>193368.05808404146</v>
      </c>
      <c r="KT33" s="5">
        <f>KP33*(1/(1+InputData!$C$3))^(IntMed!$B33-IntMed!$B$7)</f>
        <v>0</v>
      </c>
      <c r="KU33" s="32" t="s">
        <v>386</v>
      </c>
      <c r="KV33" s="32">
        <v>0</v>
      </c>
      <c r="KW33" s="32">
        <v>0</v>
      </c>
      <c r="KX33" s="5">
        <f>KW33*InputData!$C$6</f>
        <v>0</v>
      </c>
      <c r="KY33" s="32">
        <f t="shared" si="166"/>
        <v>0</v>
      </c>
      <c r="KZ33" s="32">
        <v>0</v>
      </c>
      <c r="LA33" s="32">
        <v>0</v>
      </c>
      <c r="LB33" s="32">
        <f>KZ33/((1+InputData!$C$3)^(IntMed!$B33-IntMed!$B$7))</f>
        <v>0</v>
      </c>
      <c r="LC33" s="32">
        <f>IF(KS33-InputData!$C$158-InputData!$C$159&gt;=0,KS33-InputData!$C$158-InputData!$C$159,0)</f>
        <v>193368.05808404146</v>
      </c>
      <c r="LD33" s="32">
        <f>IF(KS33-IF(KS33&lt;=InputData!$C$146,InputData!$C$145,0)-MAX(InputData!$C$144,LJ33)&gt;=0,KS33-IF(KS33&lt;=InputData!$C$146,InputData!$C$145,0)-MAX(InputData!$C$144,LJ33),0)</f>
        <v>187268.05808404146</v>
      </c>
      <c r="LE33" s="32">
        <f>IF(LD33&lt;0,"Error",IF(LD33&lt;=InputData!$B$170,InputData!$C$170*LD33,IF(LD33&lt;=InputData!$B$171,InputData!$D$170+InputData!$C$171*(LD33-InputData!$B$170),IF(LD33&lt;=InputData!$B$172,InputData!$D$171+InputData!$C$172*(LD33-InputData!$B$171),IF(LD33&lt;=InputData!$B$173,InputData!$D$172+InputData!$C$173*(LD33-InputData!$B$172),IF(LD33&lt;=InputData!$B$174,InputData!$D$173+InputData!$C$174*(LD33-InputData!$B$173),IF(LD33&lt;=InputData!$B$175,InputData!$D$174+InputData!$C$175*(LD33-InputData!$B$174),InputData!$D$175+InputData!$C$176*(LD33-InputData!$B$175))))))))</f>
        <v>45929.209167733679</v>
      </c>
      <c r="LF33" s="32">
        <f>IF(KS33&lt;=InputData!$C$150,InputData!$C$152,IF(KS33&lt;InputData!$C$151,IF(InputData!$C$152-0.25*IF(KS33-InputData!$C$150&lt;=0,0,KS33-InputData!$C$150)&lt;=0,0,InputData!$C$152-0.25*IF(KS33-InputData!$C$150&lt;=0,0,KS33-InputData!$C$150)),0))</f>
        <v>32407.985478989634</v>
      </c>
      <c r="LG33" s="32">
        <f>IF(KS33-LF33&lt;=0,0,IF(KS33-LF33&lt;=InputData!$C$153,InputData!$C$154*(KS33-LF33),InputData!$C$155*(KS33-LF33)-InputData!$D$154))</f>
        <v>41849.618877313478</v>
      </c>
      <c r="LH33" s="32">
        <f t="shared" si="118"/>
        <v>45929.209167733679</v>
      </c>
      <c r="LI33" s="32">
        <f>IF(KS33&gt;=0,IF(KS33&lt;=InputData!$C$148,InputData!$C$147*KS33,InputData!$C$147*InputData!$C$148)+InputData!$C$149*KS33,0)</f>
        <v>9853.2368422186009</v>
      </c>
      <c r="LJ33" s="32">
        <f>IF(LC33&lt;0,0,IF(LC33&lt;=InputData!$B$163,InputData!$C$163*LC33,IF(LC33&lt;=InputData!$B$164,InputData!$D$163+InputData!$C$164*(LC33-InputData!$B$163),IF(LC33&lt;=InputData!$B$165,InputData!$D$164+InputData!$C$165*(LC33-InputData!$B$164),InputData!$D$165+InputData!$C$166*(LC33-InputData!$B$165)))))</f>
        <v>0</v>
      </c>
      <c r="LK33" s="43">
        <f t="shared" si="156"/>
        <v>0.28847807938221193</v>
      </c>
      <c r="LL33" s="32">
        <f t="shared" si="119"/>
        <v>137585.61207408918</v>
      </c>
      <c r="LM33" s="5">
        <f t="shared" si="120"/>
        <v>137585.61207408918</v>
      </c>
      <c r="LN33" s="32">
        <f>LM33/((1+InputData!$C$7)^(IntMed!$B33-IntMed!$B$7))</f>
        <v>63797.72289015459</v>
      </c>
      <c r="LO33" s="5">
        <f t="shared" si="145"/>
        <v>1372608.9377522951</v>
      </c>
      <c r="LQ33" s="157" t="str">
        <f t="shared" si="37"/>
        <v>Private Practice</v>
      </c>
      <c r="LR33" s="32">
        <f t="shared" si="121"/>
        <v>359539.56792810716</v>
      </c>
      <c r="LS33" s="32">
        <v>0</v>
      </c>
      <c r="LT33" s="32">
        <f t="shared" si="123"/>
        <v>359539.56792810716</v>
      </c>
      <c r="LU33" s="32">
        <f>LU32*(1+InputData!$C$8)</f>
        <v>19227.574133927752</v>
      </c>
      <c r="LV33" s="32">
        <f>LR33/((1+InputData!$C$3)^(IntMed!$B33-IntMed!$B$7))</f>
        <v>214853.39787115742</v>
      </c>
      <c r="LW33" s="32">
        <f>LS33/((1+InputData!$C$3)^(IntMed!$B33-IntMed!$B$7))</f>
        <v>0</v>
      </c>
      <c r="LX33" s="32" t="s">
        <v>141</v>
      </c>
      <c r="LY33" s="32">
        <v>0</v>
      </c>
      <c r="LZ33" s="32">
        <f t="shared" si="189"/>
        <v>0</v>
      </c>
      <c r="MA33" s="32">
        <f>(LZ33)*InputData!$C$6</f>
        <v>0</v>
      </c>
      <c r="MB33" s="32">
        <f>MIN($BE$14*InputData!$C$6/(1-(1+InputData!$C$6)^(-10)), LZ33+MA33)</f>
        <v>0</v>
      </c>
      <c r="MC33" s="32">
        <f t="shared" si="168"/>
        <v>0</v>
      </c>
      <c r="MD33" s="32">
        <f>MB33/((1+InputData!$C$3)^(IntMed!$B33-IntMed!$B$7))</f>
        <v>0</v>
      </c>
      <c r="ME33" s="32">
        <f>IF(LV33-InputData!$C$158-InputData!$C$159&gt;=0,LV33-InputData!$C$158-InputData!$C$159,0)</f>
        <v>214853.39787115742</v>
      </c>
      <c r="MF33" s="32">
        <f>IF(LV33-IF(LV33&lt;=InputData!$C$146,InputData!$C$145,0)-MAX(InputData!$C$144,ML33)&gt;=0,LV33-IF(LV33&lt;=InputData!$C$146,InputData!$C$145,0)-MAX(InputData!$C$144,ML33),0)</f>
        <v>208753.39787115742</v>
      </c>
      <c r="MG33" s="32">
        <f>IF(MF33&lt;0,"Error",IF(MF33&lt;=InputData!$B$170,InputData!$C$170*MF33,IF(MF33&lt;=InputData!$B$171,InputData!$D$170+InputData!$C$171*(MF33-InputData!$B$170),IF(MF33&lt;=InputData!$B$172,InputData!$D$171+InputData!$C$172*(MF33-InputData!$B$171),IF(MF33&lt;=InputData!$B$173,InputData!$D$172+InputData!$C$173*(MF33-InputData!$B$172),IF(MF33&lt;=InputData!$B$174,InputData!$D$173+InputData!$C$174*(MF33-InputData!$B$173),IF(MF33&lt;=InputData!$B$175,InputData!$D$174+InputData!$C$175*(MF33-InputData!$B$174),InputData!$D$175+InputData!$C$176*(MF33-InputData!$B$175))))))))</f>
        <v>53019.37129748195</v>
      </c>
      <c r="MH33" s="32">
        <f>IF(LV33&lt;=InputData!$C$150,InputData!$C$152,IF(LV33&lt;InputData!$C$151,IF(InputData!$C$152-0.25*IF(LV33-InputData!$C$150&lt;=0,0,LV33-InputData!$C$150)&lt;=0,0,InputData!$C$152-0.25*IF(LV33-InputData!$C$150&lt;=0,0,LV33-InputData!$C$150)),0))</f>
        <v>27036.650532210646</v>
      </c>
      <c r="MI33" s="32">
        <f>IF(LV33-MH33&lt;=0,0,IF(LV33-MH33&lt;=InputData!$C$153,InputData!$C$154*(LV33-MH33),InputData!$C$155*(LV33-MH33)-InputData!$D$154))</f>
        <v>48998.689254905097</v>
      </c>
      <c r="MJ33" s="32">
        <f t="shared" si="124"/>
        <v>53019.37129748195</v>
      </c>
      <c r="MK33" s="32">
        <f>IF(LV33&gt;=0,IF(LV33&lt;=InputData!$C$148,InputData!$C$147*LV33,InputData!$C$147*InputData!$C$148)+InputData!$C$149*LV33,0)</f>
        <v>10164.774269131782</v>
      </c>
      <c r="ML33" s="32">
        <f>IF(ME33&lt;0,0,IF(ME33&lt;=InputData!$B$163,InputData!$C$163*ME33,IF(ME33&lt;=InputData!$B$164,InputData!$D$163+InputData!$C$164*(ME33-InputData!$B$163),IF(ME33&lt;=InputData!$B$165,InputData!$D$164+InputData!$C$165*(ME33-InputData!$B$164),InputData!$D$165+InputData!$C$166*(ME33-InputData!$B$165)))))</f>
        <v>0</v>
      </c>
      <c r="MM33" s="43">
        <f t="shared" si="38"/>
        <v>0.29408027144399085</v>
      </c>
      <c r="MN33" s="32">
        <f t="shared" si="125"/>
        <v>151669.25230454368</v>
      </c>
      <c r="MO33" s="32">
        <f t="shared" si="126"/>
        <v>151669.25230454368</v>
      </c>
      <c r="MP33" s="32">
        <f>MO33/((1+InputData!$C$7)^(IntMed!$B33-IntMed!$B$7))</f>
        <v>70328.232608157152</v>
      </c>
      <c r="MQ33" s="5">
        <f t="shared" si="147"/>
        <v>1828184.7109495252</v>
      </c>
    </row>
    <row r="34" spans="1:355" x14ac:dyDescent="0.25">
      <c r="A34" s="53">
        <v>2040</v>
      </c>
      <c r="B34" s="51">
        <v>28</v>
      </c>
      <c r="C34" s="4"/>
      <c r="D34" s="3">
        <v>28</v>
      </c>
      <c r="E34" s="4" t="s">
        <v>182</v>
      </c>
      <c r="F34" s="5">
        <f>InputData!$Q$21*12</f>
        <v>126320.40000000001</v>
      </c>
      <c r="G34" s="5">
        <f>(InputData!$Q$21+InputData!$K$45+InputData!$G$50)*12+InputData!$J$50+InputData!$D$57+InputData!$J$57</f>
        <v>209320.36000000002</v>
      </c>
      <c r="H34" s="5">
        <f>(InputData!$C$32+InputData!$C$40)*12</f>
        <v>21631.199999999997</v>
      </c>
      <c r="I34" s="5">
        <f t="shared" si="207"/>
        <v>230951.56</v>
      </c>
      <c r="J34" s="5">
        <f>G34*((1+InputData!$C$5)/(1+InputData!$C$3))^(IntMed!$B34-IntMed!$B$7)</f>
        <v>160429.38828687023</v>
      </c>
      <c r="K34" s="5">
        <f>H34*((1+InputData!$C$5)/(1+InputData!$C$3))^(IntMed!$B34-IntMed!$B$7)</f>
        <v>16578.79904234326</v>
      </c>
      <c r="L34" s="32">
        <f>IF(J34-InputData!$C$158-InputData!$C$159&gt;=0,J34-InputData!$C$158-InputData!$C$159,0)</f>
        <v>160429.38828687023</v>
      </c>
      <c r="M34" s="32">
        <f>IF(J34-IF(J34&lt;=InputData!$C$146,InputData!$C$145,0)-MAX(InputData!$C$144,S34)&gt;=0,J34-IF(J34&lt;=InputData!$C$146,InputData!$C$145,0)-MAX(InputData!$C$144,S34),0)</f>
        <v>154329.38828687023</v>
      </c>
      <c r="N34" s="32">
        <f>IF(M34&lt;0,"Error",IF(M34&lt;=InputData!$B$170,InputData!$C$170*M34,IF(M34&lt;=InputData!$B$171,InputData!$D$170+InputData!$C$171*(M34-InputData!$B$170),IF(M34&lt;=InputData!$B$172,InputData!$D$171+InputData!$C$172*(M34-InputData!$B$171),IF(M34&lt;=InputData!$B$173,InputData!$D$172+InputData!$C$173*(M34-InputData!$B$172),IF(M34&lt;=InputData!$B$174,InputData!$D$173+InputData!$C$174*(M34-InputData!$B$173),IF(M34&lt;=InputData!$B$175,InputData!$D$174+InputData!$C$175*(M34-InputData!$B$174),InputData!$D$175+InputData!$C$176*(M34-InputData!$B$175))))))))</f>
        <v>36505.478720323663</v>
      </c>
      <c r="O34" s="32">
        <f>IF(J34&lt;=InputData!$C$150,InputData!$C$152,IF(J34&lt;InputData!$C$151,IF(InputData!$C$152-0.25*IF(J34-InputData!$C$150&lt;=0,0,J34-InputData!$C$150)&lt;=0,0,InputData!$C$152-0.25*IF(J34-InputData!$C$150&lt;=0,0,J34-InputData!$C$150)),0))</f>
        <v>40642.652928282441</v>
      </c>
      <c r="P34" s="32">
        <f>IF(J34-O34&lt;=0,0,IF(J34-O34&lt;=InputData!$C$153,InputData!$C$154*(J34-O34),InputData!$C$155*(J34-O34)-InputData!$D$154))</f>
        <v>31144.551193232826</v>
      </c>
      <c r="Q34" s="32">
        <f t="shared" si="40"/>
        <v>36505.478720323663</v>
      </c>
      <c r="R34" s="32">
        <f>IF(J34&gt;=0,IF(J34&lt;=InputData!$C$148,InputData!$C$147*J34,InputData!$C$147*InputData!$C$148)+InputData!$C$149*J34,0)</f>
        <v>9375.6261301596187</v>
      </c>
      <c r="S34" s="32">
        <f>IF(L34&lt;0,0,IF(L34&lt;=InputData!$B$163,InputData!$C$163*L34,IF(L34&lt;=InputData!$B$164,InputData!$D$163+InputData!$C$164*(L34-InputData!$B$163),IF(L34&lt;=InputData!$B$165,InputData!$D$164+InputData!$C$165*(L34-InputData!$B$164),InputData!$D$165+InputData!$C$166*(L34-InputData!$B$165)))))</f>
        <v>0</v>
      </c>
      <c r="T34" s="43">
        <f t="shared" si="41"/>
        <v>0.28598940219382646</v>
      </c>
      <c r="U34" s="43">
        <f t="shared" si="42"/>
        <v>0.25920329190847008</v>
      </c>
      <c r="V34" s="5">
        <f t="shared" si="43"/>
        <v>131127.08247873021</v>
      </c>
      <c r="W34" s="32">
        <f>V34/((1+InputData!$C$7)^(IntMed!$B34-IntMed!$B$7))</f>
        <v>59031.977446389421</v>
      </c>
      <c r="X34" s="5">
        <f t="shared" si="208"/>
        <v>1746918.784065299</v>
      </c>
      <c r="Y34" s="53"/>
      <c r="Z34" s="3">
        <v>24.5</v>
      </c>
      <c r="AA34" s="98" t="s">
        <v>270</v>
      </c>
      <c r="AB34" s="32">
        <f>(0.5*InputData!$O$21+0.5*InputData!$P$21)*12</f>
        <v>118890</v>
      </c>
      <c r="AC34" s="32">
        <f>(0.5*(InputData!$O$21+InputData!$K$45)+0.5*(InputData!$P$21+InputData!$K$45)+InputData!$G$50)*12+InputData!$J$50+InputData!$D$57+InputData!$J$57</f>
        <v>201889.96</v>
      </c>
      <c r="AD34" s="5">
        <f t="shared" si="193"/>
        <v>21631.199999999997</v>
      </c>
      <c r="AE34" s="5">
        <f t="shared" si="209"/>
        <v>223521.15999999997</v>
      </c>
      <c r="AF34" s="5">
        <f>AC34*((1+InputData!$C$5)/(1+InputData!$C$3))^(IntMed!$B34-IntMed!$B$7)</f>
        <v>154734.50735542731</v>
      </c>
      <c r="AG34" s="5">
        <f>AD34*((1+InputData!$C$5)/(1+InputData!$C$3))^(IntMed!$B34-IntMed!$B$7)</f>
        <v>16578.79904234326</v>
      </c>
      <c r="AH34" s="32">
        <f>IF(AF34-InputData!$C$158-InputData!$C$159&gt;=0,AF34-InputData!$C$158-InputData!$C$159,0)</f>
        <v>154734.50735542731</v>
      </c>
      <c r="AI34" s="32">
        <f>IF(AF34-IF(AF34&lt;=InputData!$C$146,InputData!$C$145,0)-MAX(InputData!$C$144,AO34)&gt;=0,AF34-IF(AF34&lt;=InputData!$C$146,InputData!$C$145,0)-MAX(InputData!$C$144,AO34),0)</f>
        <v>148634.50735542731</v>
      </c>
      <c r="AJ34" s="32">
        <f>IF(AI34&lt;0,"Error",IF(AI34&lt;=InputData!$B$170,InputData!$C$170*AI34,IF(AI34&lt;=InputData!$B$171,InputData!$D$170+InputData!$C$171*(AI34-InputData!$B$170),IF(AI34&lt;=InputData!$B$172,InputData!$D$171+InputData!$C$172*(AI34-InputData!$B$171),IF(AI34&lt;=InputData!$B$173,InputData!$D$172+InputData!$C$173*(AI34-InputData!$B$172),IF(AI34&lt;=InputData!$B$174,InputData!$D$173+InputData!$C$174*(AI34-InputData!$B$173),IF(AI34&lt;=InputData!$B$175,InputData!$D$174+InputData!$C$175*(AI34-InputData!$B$174),InputData!$D$175+InputData!$C$176*(AI34-InputData!$B$175))))))))</f>
        <v>34910.912059519644</v>
      </c>
      <c r="AK34" s="32">
        <f>IF(AF34&lt;=InputData!$C$150,InputData!$C$152,IF(AF34&lt;InputData!$C$151,IF(InputData!$C$152-0.25*IF(AF34-InputData!$C$150&lt;=0,0,AF34-InputData!$C$150)&lt;=0,0,InputData!$C$152-0.25*IF(AF34-InputData!$C$150&lt;=0,0,AF34-InputData!$C$150)),0))</f>
        <v>42066.373161143172</v>
      </c>
      <c r="AL34" s="32">
        <f>IF(AF34-AK34&lt;=0,0,IF(AF34-AK34&lt;=InputData!$C$153,InputData!$C$154*(AF34-AK34),InputData!$C$155*(AF34-AK34)-InputData!$D$154))</f>
        <v>29293.714890513878</v>
      </c>
      <c r="AM34" s="32">
        <f t="shared" si="45"/>
        <v>34910.912059519644</v>
      </c>
      <c r="AN34" s="32">
        <f>IF(AF34&gt;=0,IF(AF34&lt;=InputData!$C$148,InputData!$C$147*AF34,InputData!$C$147*InputData!$C$148)+InputData!$C$149*AF34,0)</f>
        <v>9293.0503566536954</v>
      </c>
      <c r="AO34" s="32">
        <f>IF(AH34&lt;0,0,IF(AH34&lt;=InputData!$B$163,InputData!$C$163*AH34,IF(AH34&lt;=InputData!$B$164,InputData!$D$163+InputData!$C$164*(AH34-InputData!$B$163),IF(AH34&lt;=InputData!$B$165,InputData!$D$164+InputData!$C$165*(AH34-InputData!$B$164),InputData!$D$165+InputData!$C$166*(AH34-InputData!$B$165)))))</f>
        <v>0</v>
      </c>
      <c r="AP34" s="43">
        <f t="shared" si="46"/>
        <v>0.28567617638537618</v>
      </c>
      <c r="AQ34" s="43">
        <f t="shared" si="47"/>
        <v>0.25802994143103292</v>
      </c>
      <c r="AR34" s="5">
        <f t="shared" si="48"/>
        <v>127109.34398159722</v>
      </c>
      <c r="AS34" s="32">
        <f>AR34/((1+InputData!$C$7)^(IntMed!$B34-IntMed!$B$7))</f>
        <v>57223.235546052274</v>
      </c>
      <c r="AT34" s="5">
        <f t="shared" si="210"/>
        <v>1718236.1268433037</v>
      </c>
      <c r="AU34" s="53"/>
      <c r="AV34" s="41" t="s">
        <v>109</v>
      </c>
      <c r="AW34" s="32">
        <f>$AW$14*(1+InputData!$C$3+InputData!$C$4)^(IntMed!$B34-IntMed!$B$14)</f>
        <v>370325.75496595033</v>
      </c>
      <c r="AX34" s="32">
        <v>0</v>
      </c>
      <c r="AY34" s="32">
        <f t="shared" si="211"/>
        <v>370325.75496595033</v>
      </c>
      <c r="AZ34" s="32">
        <f>AZ33*(1+InputData!$C$8)</f>
        <v>19612.125616606307</v>
      </c>
      <c r="BA34" s="32">
        <f>AW34/((1+InputData!$C$3)^(IntMed!$B34-IntMed!$B$7))</f>
        <v>216959.80373263935</v>
      </c>
      <c r="BB34" s="32">
        <f>AX34/((1+InputData!$C$3)^(IntMed!$B34-IntMed!$B$7))</f>
        <v>0</v>
      </c>
      <c r="BC34" s="32" t="s">
        <v>141</v>
      </c>
      <c r="BD34" s="32">
        <v>0</v>
      </c>
      <c r="BE34" s="32">
        <f t="shared" si="174"/>
        <v>0</v>
      </c>
      <c r="BF34" s="32">
        <f>(BE34)*InputData!$C$6</f>
        <v>0</v>
      </c>
      <c r="BG34" s="32">
        <f>MIN($BE$14*InputData!$C$6/(1-(1+InputData!$C$6)^(-10)), BE34+BF34)</f>
        <v>0</v>
      </c>
      <c r="BH34" s="32">
        <f t="shared" si="157"/>
        <v>0</v>
      </c>
      <c r="BI34" s="32">
        <f>BG34/((1+InputData!$C$3)^(IntMed!$B34-IntMed!$B$7))</f>
        <v>0</v>
      </c>
      <c r="BJ34" s="32">
        <f>IF(BA34-InputData!$C$158-InputData!$C$159&gt;=0,BA34-InputData!$C$158-InputData!$C$159,0)</f>
        <v>216959.80373263935</v>
      </c>
      <c r="BK34" s="32">
        <f>IF(BA34-IF(BA34&lt;=InputData!$C$146,InputData!$C$145,0)-MAX(InputData!$C$144,BQ34)&gt;=0,BA34-IF(BA34&lt;=InputData!$C$146,InputData!$C$145,0)-MAX(InputData!$C$144,BQ34),0)</f>
        <v>210859.80373263935</v>
      </c>
      <c r="BL34" s="32">
        <f>IF(BK34&lt;0,"Error",IF(BK34&lt;=InputData!$B$170,InputData!$C$170*BK34,IF(BK34&lt;=InputData!$B$171,InputData!$D$170+InputData!$C$171*(BK34-InputData!$B$170),IF(BK34&lt;=InputData!$B$172,InputData!$D$171+InputData!$C$172*(BK34-InputData!$B$171),IF(BK34&lt;=InputData!$B$173,InputData!$D$172+InputData!$C$173*(BK34-InputData!$B$172),IF(BK34&lt;=InputData!$B$174,InputData!$D$173+InputData!$C$174*(BK34-InputData!$B$173),IF(BK34&lt;=InputData!$B$175,InputData!$D$174+InputData!$C$175*(BK34-InputData!$B$174),InputData!$D$175+InputData!$C$176*(BK34-InputData!$B$175))))))))</f>
        <v>53714.485231770988</v>
      </c>
      <c r="BM34" s="32">
        <f>IF(BA34&lt;=InputData!$C$150,InputData!$C$152,IF(BA34&lt;InputData!$C$151,IF(InputData!$C$152-0.25*IF(BA34-InputData!$C$150&lt;=0,0,BA34-InputData!$C$150)&lt;=0,0,InputData!$C$152-0.25*IF(BA34-InputData!$C$150&lt;=0,0,BA34-InputData!$C$150)),0))</f>
        <v>26510.049066840162</v>
      </c>
      <c r="BN34" s="32">
        <f>IF(BA34-BM34&lt;=0,0,IF(BA34-BM34&lt;=InputData!$C$153,InputData!$C$154*(BA34-BM34),InputData!$C$155*(BA34-BM34)-InputData!$D$154))</f>
        <v>49735.931306423779</v>
      </c>
      <c r="BO34" s="32">
        <f t="shared" si="51"/>
        <v>53714.485231770988</v>
      </c>
      <c r="BP34" s="32">
        <f>IF(BA34&gt;=0,IF(BA34&lt;=InputData!$C$148,InputData!$C$147*BA34,InputData!$C$147*InputData!$C$148)+InputData!$C$149*BA34,0)</f>
        <v>10195.31715412327</v>
      </c>
      <c r="BQ34" s="32">
        <f>IF(BJ34&lt;0,0,IF(BJ34&lt;=InputData!$B$163,InputData!$C$163*BJ34,IF(BJ34&lt;=InputData!$B$164,InputData!$D$163+InputData!$C$164*(BJ34-InputData!$B$163),IF(BJ34&lt;=InputData!$B$165,InputData!$D$164+InputData!$C$165*(BJ34-InputData!$B$164),InputData!$D$165+InputData!$C$166*(BJ34-InputData!$B$165)))))</f>
        <v>0</v>
      </c>
      <c r="BR34" s="43">
        <f t="shared" si="52"/>
        <v>0.29456978337171907</v>
      </c>
      <c r="BS34" s="32">
        <f t="shared" si="53"/>
        <v>153050.00134674509</v>
      </c>
      <c r="BT34" s="32">
        <f t="shared" si="54"/>
        <v>153050.00134674509</v>
      </c>
      <c r="BU34" s="32">
        <f>BT34/((1+InputData!$C$7)^(IntMed!$B34-IntMed!$B$7))</f>
        <v>68901.435591205547</v>
      </c>
      <c r="BV34" s="5">
        <f t="shared" si="130"/>
        <v>1513414.5985160603</v>
      </c>
      <c r="BW34" s="5"/>
      <c r="BX34" s="32" t="s">
        <v>141</v>
      </c>
      <c r="BY34" s="5">
        <f t="shared" si="175"/>
        <v>82013.503852501832</v>
      </c>
      <c r="BZ34" s="32">
        <f>(BY34)*InputData!$C$6</f>
        <v>5093.0385892403638</v>
      </c>
      <c r="CA34" s="32">
        <f>MIN($BY$14*InputData!$C$6/(1-(1+InputData!$C$6)^(-25)), BY34+BZ34)</f>
        <v>19581.069601718285</v>
      </c>
      <c r="CB34" s="32">
        <f t="shared" si="176"/>
        <v>67525.472840023896</v>
      </c>
      <c r="CC34" s="32">
        <f>CA34/((1+InputData!$C$3)^(IntMed!$B34-IntMed!$B$7))</f>
        <v>11471.805459640691</v>
      </c>
      <c r="CD34" s="5">
        <f t="shared" si="58"/>
        <v>141578.1958871044</v>
      </c>
      <c r="CE34" s="32">
        <f>CD34/((1+InputData!$C$7)^(IntMed!$B34-IntMed!$B$7))</f>
        <v>63736.954323403959</v>
      </c>
      <c r="CF34" s="5">
        <f t="shared" si="131"/>
        <v>1520503.0122695668</v>
      </c>
      <c r="CG34" s="5"/>
      <c r="CH34" s="32" t="s">
        <v>141</v>
      </c>
      <c r="CI34" s="5">
        <f t="shared" si="177"/>
        <v>0</v>
      </c>
      <c r="CJ34" s="32">
        <f>(CI34)*InputData!$C$6</f>
        <v>0</v>
      </c>
      <c r="CK34" s="32">
        <f t="shared" si="170"/>
        <v>0</v>
      </c>
      <c r="CL34" s="32">
        <f t="shared" si="178"/>
        <v>0</v>
      </c>
      <c r="CM34" s="32">
        <f>CK34/((1+InputData!$C$3)^(IntMed!$B34-IntMed!$B$7))</f>
        <v>0</v>
      </c>
      <c r="CN34" s="5">
        <f t="shared" si="62"/>
        <v>153050.00134674509</v>
      </c>
      <c r="CO34" s="32">
        <f>CN34/((1+InputData!$C$7)^(IntMed!$B34-IntMed!$B$7))</f>
        <v>68901.435591205547</v>
      </c>
      <c r="CP34" s="5">
        <f t="shared" si="132"/>
        <v>1512041.1628431231</v>
      </c>
      <c r="CQ34" s="5"/>
      <c r="CR34" s="32" t="s">
        <v>141</v>
      </c>
      <c r="CS34" s="5">
        <f t="shared" si="179"/>
        <v>0</v>
      </c>
      <c r="CT34" s="32">
        <f>(CS34)*InputData!$C$6</f>
        <v>0</v>
      </c>
      <c r="CU34" s="32">
        <f t="shared" si="171"/>
        <v>0</v>
      </c>
      <c r="CV34" s="32">
        <f t="shared" si="180"/>
        <v>0</v>
      </c>
      <c r="CW34" s="32">
        <f>CU34/((1+InputData!$C$3)^(IntMed!$B34-IntMed!$B$7))</f>
        <v>0</v>
      </c>
      <c r="CX34" s="5">
        <f t="shared" si="66"/>
        <v>153050.00134674509</v>
      </c>
      <c r="CY34" s="32">
        <f>CX34/((1+InputData!$C$7)^(IntMed!$B34-IntMed!$B$7))</f>
        <v>68901.435591205547</v>
      </c>
      <c r="CZ34" s="5">
        <f t="shared" si="133"/>
        <v>1505395.1131358501</v>
      </c>
      <c r="DA34" s="5"/>
      <c r="DB34" s="32" t="s">
        <v>141</v>
      </c>
      <c r="DC34" s="5">
        <f t="shared" si="158"/>
        <v>0</v>
      </c>
      <c r="DD34" s="5">
        <f>DC34*InputData!$C$6</f>
        <v>0</v>
      </c>
      <c r="DE34" s="32">
        <f t="shared" si="159"/>
        <v>0</v>
      </c>
      <c r="DF34" s="32">
        <f t="shared" si="160"/>
        <v>0</v>
      </c>
      <c r="DG34" s="32">
        <f>DE34/((1+InputData!$C$3)^(IntMed!$B34-IntMed!$B$7))</f>
        <v>0</v>
      </c>
      <c r="DH34" s="5">
        <f t="shared" si="70"/>
        <v>153050.00134674509</v>
      </c>
      <c r="DI34" s="32">
        <f>DH34/((1+InputData!$C$7)^(IntMed!$B34-IntMed!$B$7))</f>
        <v>68901.435591205547</v>
      </c>
      <c r="DJ34" s="5">
        <f t="shared" si="134"/>
        <v>1517347.3700964067</v>
      </c>
      <c r="DK34" s="5"/>
      <c r="DL34" s="32" t="s">
        <v>141</v>
      </c>
      <c r="DM34" s="32">
        <f t="shared" si="181"/>
        <v>0</v>
      </c>
      <c r="DN34" s="5">
        <f>DM34*InputData!$C$6</f>
        <v>0</v>
      </c>
      <c r="DO34" s="32">
        <f t="shared" si="182"/>
        <v>0</v>
      </c>
      <c r="DP34" s="32">
        <f t="shared" si="150"/>
        <v>0</v>
      </c>
      <c r="DQ34" s="32">
        <f t="shared" si="151"/>
        <v>0</v>
      </c>
      <c r="DR34" s="32">
        <f>DP34/((1+InputData!$C$3)^(IntMed!$B34-IntMed!$B$7))</f>
        <v>0</v>
      </c>
      <c r="DS34" s="5">
        <f t="shared" si="74"/>
        <v>153050.00134674509</v>
      </c>
      <c r="DT34" s="32">
        <f>DS34/((1+InputData!$C$7)^(IntMed!$B34-IntMed!$B$7))</f>
        <v>68901.435591205547</v>
      </c>
      <c r="DU34" s="5">
        <f t="shared" si="136"/>
        <v>1513347.1999074772</v>
      </c>
      <c r="DV34" s="5"/>
      <c r="DW34" s="32" t="s">
        <v>141</v>
      </c>
      <c r="DX34" s="133">
        <f t="shared" si="161"/>
        <v>0</v>
      </c>
      <c r="DY34" s="5">
        <f>DX34*InputData!$C$6</f>
        <v>0</v>
      </c>
      <c r="DZ34" s="133">
        <f t="shared" si="162"/>
        <v>0</v>
      </c>
      <c r="EA34" s="32">
        <f t="shared" si="163"/>
        <v>0</v>
      </c>
      <c r="EB34" s="32">
        <f t="shared" si="164"/>
        <v>0</v>
      </c>
      <c r="EC34" s="32">
        <f>EA34/((1+InputData!$C$3)^(IntMed!$B34-IntMed!$B$7))</f>
        <v>0</v>
      </c>
      <c r="ED34" s="5">
        <f t="shared" si="78"/>
        <v>153050.00134674509</v>
      </c>
      <c r="EE34" s="32">
        <f>ED34/((1+InputData!$C$7)^(IntMed!$B34-IntMed!$B$7))</f>
        <v>68901.435591205547</v>
      </c>
      <c r="EF34" s="5">
        <f t="shared" si="138"/>
        <v>1509355.036125384</v>
      </c>
      <c r="EG34" s="32"/>
      <c r="EH34" s="130" t="s">
        <v>141</v>
      </c>
      <c r="EI34" s="32">
        <v>0</v>
      </c>
      <c r="EJ34" s="32">
        <f t="shared" si="212"/>
        <v>0</v>
      </c>
      <c r="EK34" s="32">
        <f>EJ34*InputData!$C$6</f>
        <v>0</v>
      </c>
      <c r="EL34" s="32">
        <f t="shared" si="213"/>
        <v>5.0931703299283981E-11</v>
      </c>
      <c r="EM34" s="32">
        <f>EM33*(1+InputData!$C$8)</f>
        <v>19612.125616606307</v>
      </c>
      <c r="EN34" s="32">
        <f t="shared" si="172"/>
        <v>0</v>
      </c>
      <c r="EO34" s="32">
        <f>AW34/((1+InputData!$C$3)^(IntMed!$B34-IntMed!$B$7))</f>
        <v>216959.80373263935</v>
      </c>
      <c r="EP34" s="32">
        <f>AX34/((1+InputData!$C$3)^(IntMed!$B34-IntMed!$B$7))</f>
        <v>0</v>
      </c>
      <c r="EQ34" s="32">
        <v>53508.89</v>
      </c>
      <c r="ER34" s="32">
        <v>8897.5550000000003</v>
      </c>
      <c r="ES34" s="32">
        <v>0</v>
      </c>
      <c r="ET34" s="42">
        <f t="shared" si="214"/>
        <v>0.28764058561236427</v>
      </c>
      <c r="EU34" s="32">
        <f t="shared" si="215"/>
        <v>154553.35873263935</v>
      </c>
      <c r="EV34" s="32">
        <f>EN34/((1+InputData!$C$3)^(IntMed!$B34-IntMed!$B$7))</f>
        <v>0</v>
      </c>
      <c r="EW34" s="32">
        <f t="shared" si="216"/>
        <v>154553.35873263935</v>
      </c>
      <c r="EX34" s="32">
        <f>EW34/((1+InputData!$C$7)^(IntMed!$B34-IntMed!$B$7))</f>
        <v>69578.230633239436</v>
      </c>
      <c r="EY34" s="5">
        <f t="shared" si="217"/>
        <v>1524234.5903122979</v>
      </c>
      <c r="EZ34" s="79"/>
      <c r="FA34" s="32">
        <f t="shared" si="203"/>
        <v>0</v>
      </c>
      <c r="FB34" s="32">
        <f>FA34*InputData!$C$6</f>
        <v>0</v>
      </c>
      <c r="FC34" s="32">
        <f t="shared" si="204"/>
        <v>0</v>
      </c>
      <c r="FD34" s="53">
        <f>MIN($EJ$14*InputData!$C$6/(1-(1+InputData!$C$6)^(-10)), FA34+FB34)</f>
        <v>0</v>
      </c>
      <c r="FE34" s="32">
        <f>FD34/((1+InputData!$C$3)^(IntMed!$B34-IntMed!$B$7))</f>
        <v>0</v>
      </c>
      <c r="FF34" s="5">
        <f t="shared" si="84"/>
        <v>154553.35873263935</v>
      </c>
      <c r="FG34" s="32">
        <f>FF34/((1+InputData!$C$7)^(IntMed!$B34-IntMed!$B$7))</f>
        <v>69578.230633239436</v>
      </c>
      <c r="FH34" s="5">
        <f t="shared" si="140"/>
        <v>1532645.0341704355</v>
      </c>
      <c r="FI34" s="79"/>
      <c r="FJ34" s="32">
        <f t="shared" si="185"/>
        <v>83063.449202336604</v>
      </c>
      <c r="FK34" s="32">
        <f>FJ34*InputData!$C$6</f>
        <v>5158.2401954651032</v>
      </c>
      <c r="FL34" s="32">
        <f t="shared" si="186"/>
        <v>68389.940919954766</v>
      </c>
      <c r="FM34" s="53">
        <f>MIN($EJ$14*InputData!$C$6/(1-(1+InputData!$C$6)^(-25)), FJ34+FK34)</f>
        <v>19831.748477846937</v>
      </c>
      <c r="FN34" s="32">
        <f>FM34/((1+InputData!$C$3)^(IntMed!$B34-IntMed!$B$7))</f>
        <v>11618.668698385161</v>
      </c>
      <c r="FO34" s="5">
        <f t="shared" si="88"/>
        <v>142934.69003425419</v>
      </c>
      <c r="FP34" s="32">
        <f>FO34/((1+InputData!$C$7)^(IntMed!$B34-IntMed!$B$7))</f>
        <v>64347.633142660801</v>
      </c>
      <c r="FQ34" s="5">
        <f t="shared" si="141"/>
        <v>1539824.1945291786</v>
      </c>
      <c r="FR34" s="79"/>
      <c r="FS34" s="32">
        <f t="shared" si="187"/>
        <v>0</v>
      </c>
      <c r="FT34" s="32">
        <f>FS34*InputData!$C$6</f>
        <v>0</v>
      </c>
      <c r="FU34" s="32">
        <f t="shared" si="188"/>
        <v>0</v>
      </c>
      <c r="FV34" s="5">
        <f t="shared" si="173"/>
        <v>0</v>
      </c>
      <c r="FW34" s="32">
        <f>FV34/((1+InputData!$C$3)^(IntMed!$B34-IntMed!$B$7))</f>
        <v>0</v>
      </c>
      <c r="FX34" s="5">
        <f t="shared" si="92"/>
        <v>154553.35873263935</v>
      </c>
      <c r="FY34" s="32">
        <f>FX34/((1+InputData!$C$7)^(IntMed!$B34-IntMed!$B$7))</f>
        <v>69578.230633239436</v>
      </c>
      <c r="FZ34" s="5">
        <f t="shared" si="142"/>
        <v>1531100.3848937571</v>
      </c>
      <c r="GC34" s="83">
        <v>22</v>
      </c>
      <c r="GD34" s="4" t="s">
        <v>217</v>
      </c>
      <c r="GE34" s="5"/>
      <c r="GF34" s="5"/>
      <c r="GG34" s="5"/>
      <c r="GH34" s="5"/>
      <c r="GI34" s="5"/>
      <c r="GJ34" s="84">
        <v>0</v>
      </c>
      <c r="GK34" s="5"/>
      <c r="GL34" s="84">
        <f>MIN(InputData!$C$13+InputData!$E$13*($B34-$B$33),1)*$AW34/((1+InputData!$C$3)^(IntMed!$B34-IntMed!$B$7))+0.025*$GC$32*(($F$30+$F$31+$F$32)/3)*((1+InputData!$C$5)/(1+InputData!$C$3))^(IntMed!$B34-IntMed!$B$7)</f>
        <v>244428.80098984425</v>
      </c>
      <c r="GM34" s="5">
        <v>0</v>
      </c>
      <c r="GN34" s="32">
        <f>IF(GL34-InputData!$C$158-InputData!$C$159&gt;=0,GL34-InputData!$C$158-InputData!$C$159,0)</f>
        <v>244428.80098984425</v>
      </c>
      <c r="GO34" s="32">
        <f>IF(GL34-IF(GL34&lt;=InputData!$C$146,InputData!$C$145,0)-MAX(InputData!$C$144,GU34)&gt;=0,GL34-IF(GL34&lt;=InputData!$C$146,InputData!$C$145,0)-MAX(InputData!$C$144,GU34),0)</f>
        <v>238328.80098984425</v>
      </c>
      <c r="GP34" s="32">
        <f>IF(GO34&lt;0,"Error",IF(GO34&lt;=InputData!$B$170,InputData!$C$170*GO34,IF(GO34&lt;=InputData!$B$171,InputData!$D$170+InputData!$C$171*(GO34-InputData!$B$170),IF(GO34&lt;=InputData!$B$172,InputData!$D$171+InputData!$C$172*(GO34-InputData!$B$171),IF(GO34&lt;=InputData!$B$173,InputData!$D$172+InputData!$C$173*(GO34-InputData!$B$172),IF(GO34&lt;=InputData!$B$174,InputData!$D$173+InputData!$C$174*(GO34-InputData!$B$173),IF(GO34&lt;=InputData!$B$175,InputData!$D$174+InputData!$C$175*(GO34-InputData!$B$174),InputData!$D$175+InputData!$C$176*(GO34-InputData!$B$175))))))))</f>
        <v>62779.254326648603</v>
      </c>
      <c r="GQ34" s="32">
        <f>IF(GL34&lt;=InputData!$C$150,InputData!$C$152,IF(GL34&lt;InputData!$C$151,IF(InputData!$C$152-0.25*IF(GL34-InputData!$C$150&lt;=0,0,GL34-InputData!$C$150)&lt;=0,0,InputData!$C$152-0.25*IF(GL34-InputData!$C$150&lt;=0,0,GL34-InputData!$C$150)),0))</f>
        <v>19642.799752538936</v>
      </c>
      <c r="GR34" s="32">
        <f>IF(GL34-GQ34&lt;=0,0,IF(GL34-GQ34&lt;=InputData!$C$153,InputData!$C$154*(GL34-GQ34),InputData!$C$155*(GL34-GQ34)-InputData!$D$154))</f>
        <v>59350.080346445495</v>
      </c>
      <c r="GS34" s="32">
        <f t="shared" si="93"/>
        <v>62779.254326648603</v>
      </c>
      <c r="GT34" s="32">
        <f>IF(GL34&gt;=0,IF(GL34&lt;=InputData!$C$148,InputData!$C$147*GL34,InputData!$C$147*InputData!$C$148)+InputData!$C$149*GL34,0)</f>
        <v>10593.617614352741</v>
      </c>
      <c r="GU34" s="32">
        <f>IF(GN34&lt;0,0,IF(GN34&lt;=InputData!$B$163,InputData!$C$163*GN34,IF(GN34&lt;=InputData!$B$164,InputData!$D$163+InputData!$C$164*(GN34-InputData!$B$163),IF(GN34&lt;=InputData!$B$165,InputData!$D$164+InputData!$C$165*(GN34-InputData!$B$164),InputData!$D$165+InputData!$C$166*(GN34-InputData!$B$165)))))</f>
        <v>0</v>
      </c>
      <c r="GV34" s="43">
        <f t="shared" si="10"/>
        <v>0.30018095921539911</v>
      </c>
      <c r="GW34" s="43">
        <f t="shared" si="11"/>
        <v>0.30018095921539911</v>
      </c>
      <c r="GX34" s="5">
        <f t="shared" si="12"/>
        <v>171055.92904884293</v>
      </c>
      <c r="GY34" s="32">
        <f>GX34/((1+InputData!$C$7)^(IntMed!$B34-IntMed!$B$7))</f>
        <v>77007.507181595516</v>
      </c>
      <c r="GZ34" s="84">
        <f t="shared" si="94"/>
        <v>1765909.0832181347</v>
      </c>
      <c r="HB34" s="83">
        <v>23</v>
      </c>
      <c r="HC34" s="4" t="s">
        <v>217</v>
      </c>
      <c r="HD34" s="4"/>
      <c r="HE34" s="4"/>
      <c r="HF34" s="4"/>
      <c r="HG34" s="4"/>
      <c r="HH34" s="5"/>
      <c r="HI34" s="84">
        <v>0</v>
      </c>
      <c r="HJ34" s="5"/>
      <c r="HK34" s="84">
        <f>MIN(InputData!$C$13+InputData!$E$13*($B34-$B$34),1)*$AW34/((1+InputData!$C$3)^(IntMed!$B34-IntMed!$B$7))+0.025*$HB$33*(($AB$31+$AB$32+$AB$33)/3)*((1+InputData!$C$5)/(1+InputData!$C$3))^(IntMed!$B34-IntMed!$B$7)</f>
        <v>246324.05957114667</v>
      </c>
      <c r="HL34" s="5">
        <v>0</v>
      </c>
      <c r="HM34" s="32">
        <f>IF(HK34-InputData!$C$158-InputData!$C$159&gt;=0,HK34-InputData!$C$158-InputData!$C$159,0)</f>
        <v>246324.05957114667</v>
      </c>
      <c r="HN34" s="32">
        <f>IF(HK34-IF(HK34&lt;=InputData!$C$146,InputData!$C$145,0)-MAX(InputData!$C$144,HT34)&gt;=0,HK34-IF(HK34&lt;=InputData!$C$146,InputData!$C$145,0)-MAX(InputData!$C$144,HT34),0)</f>
        <v>240224.05957114667</v>
      </c>
      <c r="HO34" s="32">
        <f>IF(HN34&lt;0,"Error",IF(HN34&lt;=InputData!$B$170,InputData!$C$170*HN34,IF(HN34&lt;=InputData!$B$171,InputData!$D$170+InputData!$C$171*(HN34-InputData!$B$170),IF(HN34&lt;=InputData!$B$172,InputData!$D$171+InputData!$C$172*(HN34-InputData!$B$171),IF(HN34&lt;=InputData!$B$173,InputData!$D$172+InputData!$C$173*(HN34-InputData!$B$172),IF(HN34&lt;=InputData!$B$174,InputData!$D$173+InputData!$C$174*(HN34-InputData!$B$173),IF(HN34&lt;=InputData!$B$175,InputData!$D$174+InputData!$C$175*(HN34-InputData!$B$174),InputData!$D$175+InputData!$C$176*(HN34-InputData!$B$175))))))))</f>
        <v>63404.689658478404</v>
      </c>
      <c r="HP34" s="32">
        <f>IF(HK34&lt;=InputData!$C$150,InputData!$C$152,IF(HK34&lt;InputData!$C$151,IF(InputData!$C$152-0.25*IF(HK34-InputData!$C$150&lt;=0,0,HK34-InputData!$C$150)&lt;=0,0,InputData!$C$152-0.25*IF(HK34-InputData!$C$150&lt;=0,0,HK34-InputData!$C$150)),0))</f>
        <v>19168.985107213332</v>
      </c>
      <c r="HQ34" s="32">
        <f>IF(HK34-HP34&lt;=0,0,IF(HK34-HP34&lt;=InputData!$C$153,InputData!$C$154*(HK34-HP34),InputData!$C$155*(HK34-HP34)-InputData!$D$154))</f>
        <v>60013.420849901348</v>
      </c>
      <c r="HR34" s="32">
        <f t="shared" si="95"/>
        <v>63404.689658478404</v>
      </c>
      <c r="HS34" s="32">
        <f>IF(HK34&gt;=0,IF(HK34&lt;=InputData!$C$148,InputData!$C$147*HK34,InputData!$C$147*InputData!$C$148)+InputData!$C$149*HK34,0)</f>
        <v>10621.098863781626</v>
      </c>
      <c r="HT34" s="32">
        <f>IF(HM34&lt;0,0,IF(HM34&lt;=InputData!$B$163,InputData!$C$163*HM34,IF(HM34&lt;=InputData!$B$164,InputData!$D$163+InputData!$C$164*(HM34-InputData!$B$163),IF(HM34&lt;=InputData!$B$165,InputData!$D$164+InputData!$C$165*(HM34-InputData!$B$164),InputData!$D$165+InputData!$C$166*(HM34-InputData!$B$165)))))</f>
        <v>0</v>
      </c>
      <c r="HU34" s="43">
        <f t="shared" si="96"/>
        <v>0.30052195734001735</v>
      </c>
      <c r="HV34" s="43">
        <f t="shared" si="97"/>
        <v>0.30052195734001735</v>
      </c>
      <c r="HW34" s="5">
        <f t="shared" si="98"/>
        <v>172298.27104888664</v>
      </c>
      <c r="HX34" s="32">
        <f>HW34/((1+InputData!$C$7)^(IntMed!$B34-IntMed!$B$7))</f>
        <v>77566.795953533074</v>
      </c>
      <c r="HY34" s="84">
        <f t="shared" si="99"/>
        <v>1714340.0495104855</v>
      </c>
      <c r="IA34" s="41"/>
      <c r="IB34" s="4" t="s">
        <v>109</v>
      </c>
      <c r="IC34" s="32">
        <f>MIN(InputData!$C$13+InputData!$E$13*($B34-$B$21),1)*IntMed!AW34</f>
        <v>333293.17946935532</v>
      </c>
      <c r="ID34" s="32">
        <f>MIN(InputData!$C$13+InputData!$E$13*($B34-$B$21),1)*IntMed!AX34</f>
        <v>0</v>
      </c>
      <c r="IE34" s="32">
        <f>MIN(InputData!$C$13+InputData!$E$13*($B34-$B$21),1)*IntMed!AY34</f>
        <v>333293.17946935532</v>
      </c>
      <c r="IF34" s="32">
        <f>MIN(InputData!$C$13+InputData!$E$13*($B34-$B$21),1)*IntMed!EO34</f>
        <v>195263.82335937541</v>
      </c>
      <c r="IG34" s="32">
        <f>MIN(InputData!$C$13+InputData!$E$13*($B34-$B$21),1)*IntMed!EP34</f>
        <v>0</v>
      </c>
      <c r="IH34" s="32">
        <f>IF(IF34-InputData!$C$158-InputData!$C$159&gt;=0,IF34-InputData!$C$158-InputData!$C$159,0)</f>
        <v>195263.82335937541</v>
      </c>
      <c r="II34" s="32">
        <f>IF(IF34-IF(IF34&lt;=InputData!$C$146,InputData!$C$145,0)-MAX(InputData!$C$144,IO34)&gt;=0,IF34-IF(IF34&lt;=InputData!$C$146,InputData!$C$145,0)-MAX(InputData!$C$144,IO34),0)</f>
        <v>189163.82335937541</v>
      </c>
      <c r="IJ34" s="32">
        <f>IF(II34&lt;0,"Error",IF(II34&lt;=InputData!$B$170,InputData!$C$170*II34,IF(II34&lt;=InputData!$B$171,InputData!$D$170+InputData!$C$171*(II34-InputData!$B$170),IF(II34&lt;=InputData!$B$172,InputData!$D$171+InputData!$C$172*(II34-InputData!$B$171),IF(II34&lt;=InputData!$B$173,InputData!$D$172+InputData!$C$173*(II34-InputData!$B$172),IF(II34&lt;=InputData!$B$174,InputData!$D$173+InputData!$C$174*(II34-InputData!$B$173),IF(II34&lt;=InputData!$B$175,InputData!$D$174+InputData!$C$175*(II34-InputData!$B$174),InputData!$D$175+InputData!$C$176*(II34-InputData!$B$175))))))))</f>
        <v>46554.811708593887</v>
      </c>
      <c r="IK34" s="32">
        <f>IF(IF34&lt;=InputData!$C$150,InputData!$C$152,IF(IF34&lt;InputData!$C$151,IF(InputData!$C$152-0.25*IF(IF34-InputData!$C$150&lt;=0,0,IF34-InputData!$C$150)&lt;=0,0,InputData!$C$152-0.25*IF(IF34-InputData!$C$150&lt;=0,0,IF34-InputData!$C$150)),0))</f>
        <v>31934.044160156147</v>
      </c>
      <c r="IL34" s="32">
        <f>IF(IF34-IK34&lt;=0,0,IF(IF34-IK34&lt;=InputData!$C$153,InputData!$C$154*(IF34-IK34),InputData!$C$155*(IF34-IK34)-InputData!$D$154))</f>
        <v>42465.742591797003</v>
      </c>
      <c r="IM34" s="32">
        <f t="shared" si="100"/>
        <v>46554.811708593887</v>
      </c>
      <c r="IN34" s="32">
        <f>IF(IF34&gt;=0,IF(IF34&lt;=InputData!$C$148,InputData!$C$147*IF34,InputData!$C$147*InputData!$C$148)+InputData!$C$149*IF34,0)</f>
        <v>9880.7254387109424</v>
      </c>
      <c r="IO34" s="32">
        <f>IF(IH34&lt;0,0,IF(IH34&lt;=InputData!$B$163,InputData!$C$163*IH34,IF(IH34&lt;=InputData!$B$164,InputData!$D$163+InputData!$C$164*(IH34-InputData!$B$163),IF(IH34&lt;=InputData!$B$165,InputData!$D$164+InputData!$C$165*(IH34-InputData!$B$164),InputData!$D$165+InputData!$C$166*(IH34-InputData!$B$165)))))</f>
        <v>0</v>
      </c>
      <c r="IP34" s="43">
        <f t="shared" si="101"/>
        <v>0.28902198152413228</v>
      </c>
      <c r="IQ34" s="43">
        <f t="shared" si="102"/>
        <v>0.28902198152413228</v>
      </c>
      <c r="IR34" s="5">
        <f t="shared" si="27"/>
        <v>138828.28621207058</v>
      </c>
      <c r="IS34" s="32">
        <f>IR34/((1+InputData!$C$7)^(IntMed!$B34-IntMed!$B$7))</f>
        <v>62498.975083359961</v>
      </c>
      <c r="IT34" s="5">
        <f t="shared" si="103"/>
        <v>1787887.0159211827</v>
      </c>
      <c r="IV34" s="41"/>
      <c r="IW34" s="49" t="s">
        <v>109</v>
      </c>
      <c r="IX34" s="32">
        <f>MIN(InputData!$C$13+InputData!$E$13*($B34-$B$18),1)*IntMed!AW34</f>
        <v>333293.17946935532</v>
      </c>
      <c r="IY34" s="32">
        <f>MIN(InputData!$C$13+InputData!$E$13*($B34-$B$18),1)*IntMed!AX34</f>
        <v>0</v>
      </c>
      <c r="IZ34" s="32">
        <f>MIN(InputData!$C$13+InputData!$E$13*($B34-$B$18),1)*IntMed!AY34</f>
        <v>333293.17946935532</v>
      </c>
      <c r="JA34" s="32">
        <f>MIN(InputData!$C$13+InputData!$E$13*($B34-$B$18),1)*IntMed!EO34</f>
        <v>195263.82335937541</v>
      </c>
      <c r="JB34" s="32">
        <f>MIN(InputData!$C$13+InputData!$E$13*($B34-$B$18),1)*IntMed!EP34</f>
        <v>0</v>
      </c>
      <c r="JC34" s="32">
        <f>IF(JA34-InputData!$C$158-InputData!$C$159&gt;=0,JA34-InputData!$C$158-InputData!$C$159,0)</f>
        <v>195263.82335937541</v>
      </c>
      <c r="JD34" s="32">
        <f>IF(JA34-IF(JA34&lt;=InputData!$C$146,InputData!$C$145,0)-MAX(InputData!$C$144,JJ34)&gt;=0,JA34-IF(JA34&lt;=InputData!$C$146,InputData!$C$145,0)-MAX(InputData!$C$144,JJ34),0)</f>
        <v>189163.82335937541</v>
      </c>
      <c r="JE34" s="32">
        <f>IF(JD34&lt;0,"Error",IF(JD34&lt;=InputData!$B$170,InputData!$C$170*JD34,IF(JD34&lt;=InputData!$B$171,InputData!$D$170+InputData!$C$171*(JD34-InputData!$B$170),IF(JD34&lt;=InputData!$B$172,InputData!$D$171+InputData!$C$172*(JD34-InputData!$B$171),IF(JD34&lt;=InputData!$B$173,InputData!$D$172+InputData!$C$173*(JD34-InputData!$B$172),IF(JD34&lt;=InputData!$B$174,InputData!$D$173+InputData!$C$174*(JD34-InputData!$B$173),IF(JD34&lt;=InputData!$B$175,InputData!$D$174+InputData!$C$175*(JD34-InputData!$B$174),InputData!$D$175+InputData!$C$176*(JD34-InputData!$B$175))))))))</f>
        <v>46554.811708593887</v>
      </c>
      <c r="JF34" s="32">
        <f>IF(JA34&lt;=InputData!$C$150,InputData!$C$152,IF(JA34&lt;InputData!$C$151,IF(InputData!$C$152-0.25*IF(JA34-InputData!$C$150&lt;=0,0,JA34-InputData!$C$150)&lt;=0,0,InputData!$C$152-0.25*IF(JA34-InputData!$C$150&lt;=0,0,JA34-InputData!$C$150)),0))</f>
        <v>31934.044160156147</v>
      </c>
      <c r="JG34" s="32">
        <f>IF(JA34-JF34&lt;=0,0,IF(JA34-JF34&lt;=InputData!$C$153,InputData!$C$154*(JA34-JF34),InputData!$C$155*(JA34-JF34)-InputData!$D$154))</f>
        <v>42465.742591797003</v>
      </c>
      <c r="JH34" s="32">
        <f t="shared" si="104"/>
        <v>46554.811708593887</v>
      </c>
      <c r="JI34" s="32">
        <f>IF(JA34&gt;=0,IF(JA34&lt;=InputData!$C$148,InputData!$C$147*JA34,InputData!$C$147*InputData!$C$148)+InputData!$C$149*JA34,0)</f>
        <v>9880.7254387109424</v>
      </c>
      <c r="JJ34" s="32">
        <f>IF(JC34&lt;0,0,IF(JC34&lt;=InputData!$B$163,InputData!$C$163*JC34,IF(JC34&lt;=InputData!$B$164,InputData!$D$163+InputData!$C$164*(JC34-InputData!$B$163),IF(JC34&lt;=InputData!$B$165,InputData!$D$164+InputData!$C$165*(JC34-InputData!$B$164),InputData!$D$165+InputData!$C$166*(JC34-InputData!$B$165)))))</f>
        <v>0</v>
      </c>
      <c r="JK34" s="42">
        <f t="shared" si="105"/>
        <v>0.28902198152413228</v>
      </c>
      <c r="JL34" s="42">
        <f t="shared" si="106"/>
        <v>0.28902198152413228</v>
      </c>
      <c r="JM34" s="32">
        <f t="shared" si="35"/>
        <v>138828.28621207058</v>
      </c>
      <c r="JN34" s="32">
        <f>JM34/((1+InputData!$C$7)^(IntMed!$B34-IntMed!$B$7))</f>
        <v>62498.975083359961</v>
      </c>
      <c r="JO34" s="32">
        <f t="shared" si="107"/>
        <v>1769238.7544687784</v>
      </c>
      <c r="JP34" s="24"/>
      <c r="JQ34" s="41" t="s">
        <v>109</v>
      </c>
      <c r="JR34" s="32">
        <f>$JR$14*(1+InputData!$C$3+InputData!$C$4)^(IntMed!$B34-IntMed!$B$14)</f>
        <v>290451.57252231403</v>
      </c>
      <c r="JS34" s="32">
        <v>0</v>
      </c>
      <c r="JT34" s="32">
        <f t="shared" si="108"/>
        <v>290451.57252231403</v>
      </c>
      <c r="JU34" s="5">
        <f>JR34*(1/(1+InputData!$C$3))^(IntMed!$B34-IntMed!$B$7)</f>
        <v>170164.5519471679</v>
      </c>
      <c r="JV34" s="5">
        <f>JS34*(1/(1+InputData!$C$3))^(IntMed!$B34-IntMed!$B$7)</f>
        <v>0</v>
      </c>
      <c r="JW34" s="32">
        <f>IF(JU34-InputData!$C$158-InputData!$C$159&gt;=0,JU34-InputData!$C$158-InputData!$C$159,0)</f>
        <v>170164.5519471679</v>
      </c>
      <c r="JX34" s="32">
        <f>IF(JU34-IF(JU34&lt;=InputData!$C$146,InputData!$C$145,0)-MAX(InputData!$C$144,KD34)&gt;=0,JU34-IF(JU34&lt;=InputData!$C$146,InputData!$C$145,0)-MAX(InputData!$C$144,KD34),0)</f>
        <v>164064.5519471679</v>
      </c>
      <c r="JY34" s="32">
        <f>IF(JX34&lt;0,"Error",IF(JX34&lt;=InputData!$B$170,InputData!$C$170*JX34,IF(JX34&lt;=InputData!$B$171,InputData!$D$170+InputData!$C$171*(JX34-InputData!$B$170),IF(JX34&lt;=InputData!$B$172,InputData!$D$171+InputData!$C$172*(JX34-InputData!$B$171),IF(JX34&lt;=InputData!$B$173,InputData!$D$172+InputData!$C$173*(JX34-InputData!$B$172),IF(JX34&lt;=InputData!$B$174,InputData!$D$173+InputData!$C$174*(JX34-InputData!$B$173),IF(JX34&lt;=InputData!$B$175,InputData!$D$174+InputData!$C$175*(JX34-InputData!$B$174),InputData!$D$175+InputData!$C$176*(JX34-InputData!$B$175))))))))</f>
        <v>39231.324545207011</v>
      </c>
      <c r="JZ34" s="32">
        <f>IF(JU34&lt;=InputData!$C$150,InputData!$C$152,IF(JU34&lt;InputData!$C$151,IF(InputData!$C$152-0.25*IF(JU34-InputData!$C$150&lt;=0,0,JU34-InputData!$C$150)&lt;=0,0,InputData!$C$152-0.25*IF(JU34-InputData!$C$150&lt;=0,0,JU34-InputData!$C$150)),0))</f>
        <v>38208.862013208025</v>
      </c>
      <c r="KA34" s="32">
        <f>IF(JU34-JZ34&lt;=0,0,IF(JU34-JZ34&lt;=InputData!$C$153,InputData!$C$154*(JU34-JZ34),InputData!$C$155*(JU34-JZ34)-InputData!$D$154))</f>
        <v>34308.479382829566</v>
      </c>
      <c r="KB34" s="32">
        <f t="shared" si="109"/>
        <v>39231.324545207011</v>
      </c>
      <c r="KC34" s="32">
        <f>IF(JU34&gt;=0,IF(JU34&lt;=InputData!$C$148,InputData!$C$147*JU34,InputData!$C$147*InputData!$C$148)+InputData!$C$149*JU34,0)</f>
        <v>9516.786003233934</v>
      </c>
      <c r="KD34" s="32">
        <f>IF(JW34&lt;0,0,IF(JW34&lt;=InputData!$B$163,InputData!$C$163*JW34,IF(JW34&lt;=InputData!$B$164,InputData!$D$163+InputData!$C$164*(JW34-InputData!$B$163),IF(JW34&lt;=InputData!$B$165,InputData!$D$164+InputData!$C$165*(JW34-InputData!$B$164),InputData!$D$165+InputData!$C$166*(JW34-InputData!$B$165)))))</f>
        <v>0</v>
      </c>
      <c r="KE34" s="43">
        <f t="shared" si="110"/>
        <v>0.28647629597717916</v>
      </c>
      <c r="KF34" s="43">
        <f t="shared" si="111"/>
        <v>0.28647629597717916</v>
      </c>
      <c r="KG34" s="5">
        <f t="shared" si="112"/>
        <v>121416.44139872695</v>
      </c>
      <c r="KH34" s="32">
        <f>KG34/((1+InputData!$C$7)^(IntMed!$B34-IntMed!$B$7))</f>
        <v>54660.353107704708</v>
      </c>
      <c r="KI34" s="5">
        <f t="shared" si="143"/>
        <v>1576702.0199003082</v>
      </c>
      <c r="KK34" s="7">
        <v>11</v>
      </c>
      <c r="KL34" t="s">
        <v>382</v>
      </c>
      <c r="KM34">
        <v>49</v>
      </c>
      <c r="KN34" s="41" t="s">
        <v>109</v>
      </c>
      <c r="KO34" s="32">
        <f>MIN(InputData!$C$13+InputData!$E$13*($B34-$B$24),1)*IntMed!AW34</f>
        <v>333293.17946935532</v>
      </c>
      <c r="KP34" s="32">
        <f>MIN(InputData!$C$13+InputData!$E$13*($B34-$B$24),1)*IntMed!AX34</f>
        <v>0</v>
      </c>
      <c r="KQ34" s="5">
        <f t="shared" si="169"/>
        <v>333293.17946935532</v>
      </c>
      <c r="KR34" s="32">
        <f>KR33*(1+InputData!$C$8)</f>
        <v>19612.125616606307</v>
      </c>
      <c r="KS34" s="5">
        <f>KO34*(1/(1+InputData!$C$3))^(IntMed!$B34-IntMed!$B$7)</f>
        <v>195263.82335937515</v>
      </c>
      <c r="KT34" s="5">
        <f>KP34*(1/(1+InputData!$C$3))^(IntMed!$B34-IntMed!$B$7)</f>
        <v>0</v>
      </c>
      <c r="KU34" s="32" t="s">
        <v>386</v>
      </c>
      <c r="KV34" s="32">
        <v>0</v>
      </c>
      <c r="KW34" s="32">
        <v>0</v>
      </c>
      <c r="KX34" s="5">
        <f>KW34*InputData!$C$6</f>
        <v>0</v>
      </c>
      <c r="KY34" s="32">
        <f t="shared" si="166"/>
        <v>0</v>
      </c>
      <c r="KZ34" s="32">
        <v>0</v>
      </c>
      <c r="LA34" s="32">
        <v>0</v>
      </c>
      <c r="LB34" s="32">
        <f>KZ34/((1+InputData!$C$3)^(IntMed!$B34-IntMed!$B$7))</f>
        <v>0</v>
      </c>
      <c r="LC34" s="32">
        <f>IF(KS34-InputData!$C$158-InputData!$C$159&gt;=0,KS34-InputData!$C$158-InputData!$C$159,0)</f>
        <v>195263.82335937515</v>
      </c>
      <c r="LD34" s="32">
        <f>IF(KS34-IF(KS34&lt;=InputData!$C$146,InputData!$C$145,0)-MAX(InputData!$C$144,LJ34)&gt;=0,KS34-IF(KS34&lt;=InputData!$C$146,InputData!$C$145,0)-MAX(InputData!$C$144,LJ34),0)</f>
        <v>189163.82335937515</v>
      </c>
      <c r="LE34" s="32">
        <f>IF(LD34&lt;0,"Error",IF(LD34&lt;=InputData!$B$170,InputData!$C$170*LD34,IF(LD34&lt;=InputData!$B$171,InputData!$D$170+InputData!$C$171*(LD34-InputData!$B$170),IF(LD34&lt;=InputData!$B$172,InputData!$D$171+InputData!$C$172*(LD34-InputData!$B$171),IF(LD34&lt;=InputData!$B$173,InputData!$D$172+InputData!$C$173*(LD34-InputData!$B$172),IF(LD34&lt;=InputData!$B$174,InputData!$D$173+InputData!$C$174*(LD34-InputData!$B$173),IF(LD34&lt;=InputData!$B$175,InputData!$D$174+InputData!$C$175*(LD34-InputData!$B$174),InputData!$D$175+InputData!$C$176*(LD34-InputData!$B$175))))))))</f>
        <v>46554.811708593799</v>
      </c>
      <c r="LF34" s="32">
        <f>IF(KS34&lt;=InputData!$C$150,InputData!$C$152,IF(KS34&lt;InputData!$C$151,IF(InputData!$C$152-0.25*IF(KS34-InputData!$C$150&lt;=0,0,KS34-InputData!$C$150)&lt;=0,0,InputData!$C$152-0.25*IF(KS34-InputData!$C$150&lt;=0,0,KS34-InputData!$C$150)),0))</f>
        <v>31934.044160156212</v>
      </c>
      <c r="LG34" s="32">
        <f>IF(KS34-LF34&lt;=0,0,IF(KS34-LF34&lt;=InputData!$C$153,InputData!$C$154*(KS34-LF34),InputData!$C$155*(KS34-LF34)-InputData!$D$154))</f>
        <v>42465.742591796923</v>
      </c>
      <c r="LH34" s="32">
        <f t="shared" si="118"/>
        <v>46554.811708593799</v>
      </c>
      <c r="LI34" s="32">
        <f>IF(KS34&gt;=0,IF(KS34&lt;=InputData!$C$148,InputData!$C$147*KS34,InputData!$C$147*InputData!$C$148)+InputData!$C$149*KS34,0)</f>
        <v>9880.7254387109388</v>
      </c>
      <c r="LJ34" s="32">
        <f>IF(LC34&lt;0,0,IF(LC34&lt;=InputData!$B$163,InputData!$C$163*LC34,IF(LC34&lt;=InputData!$B$164,InputData!$D$163+InputData!$C$164*(LC34-InputData!$B$163),IF(LC34&lt;=InputData!$B$165,InputData!$D$164+InputData!$C$165*(LC34-InputData!$B$164),InputData!$D$165+InputData!$C$166*(LC34-InputData!$B$165)))))</f>
        <v>0</v>
      </c>
      <c r="LK34" s="43">
        <f t="shared" si="156"/>
        <v>0.28902198152413222</v>
      </c>
      <c r="LL34" s="32">
        <f t="shared" si="119"/>
        <v>138828.28621207041</v>
      </c>
      <c r="LM34" s="5">
        <f t="shared" si="120"/>
        <v>138828.28621207041</v>
      </c>
      <c r="LN34" s="32">
        <f>LM34/((1+InputData!$C$7)^(IntMed!$B34-IntMed!$B$7))</f>
        <v>62498.975083359888</v>
      </c>
      <c r="LO34" s="5">
        <f t="shared" si="145"/>
        <v>1435107.912835655</v>
      </c>
      <c r="LQ34" s="157" t="str">
        <f t="shared" si="37"/>
        <v>Private Practice</v>
      </c>
      <c r="LR34" s="32">
        <f t="shared" si="121"/>
        <v>370325.75496595033</v>
      </c>
      <c r="LS34" s="32">
        <v>0</v>
      </c>
      <c r="LT34" s="32">
        <f t="shared" si="123"/>
        <v>370325.75496595033</v>
      </c>
      <c r="LU34" s="32">
        <f>LU33*(1+InputData!$C$8)</f>
        <v>19612.125616606307</v>
      </c>
      <c r="LV34" s="32">
        <f>LR34/((1+InputData!$C$3)^(IntMed!$B34-IntMed!$B$7))</f>
        <v>216959.80373263935</v>
      </c>
      <c r="LW34" s="32">
        <f>LS34/((1+InputData!$C$3)^(IntMed!$B34-IntMed!$B$7))</f>
        <v>0</v>
      </c>
      <c r="LX34" s="32" t="s">
        <v>141</v>
      </c>
      <c r="LY34" s="32">
        <v>0</v>
      </c>
      <c r="LZ34" s="32">
        <f t="shared" si="189"/>
        <v>0</v>
      </c>
      <c r="MA34" s="32">
        <f>(LZ34)*InputData!$C$6</f>
        <v>0</v>
      </c>
      <c r="MB34" s="32">
        <f>MIN($BE$14*InputData!$C$6/(1-(1+InputData!$C$6)^(-10)), LZ34+MA34)</f>
        <v>0</v>
      </c>
      <c r="MC34" s="32">
        <f t="shared" si="168"/>
        <v>0</v>
      </c>
      <c r="MD34" s="32">
        <f>MB34/((1+InputData!$C$3)^(IntMed!$B34-IntMed!$B$7))</f>
        <v>0</v>
      </c>
      <c r="ME34" s="32">
        <f>IF(LV34-InputData!$C$158-InputData!$C$159&gt;=0,LV34-InputData!$C$158-InputData!$C$159,0)</f>
        <v>216959.80373263935</v>
      </c>
      <c r="MF34" s="32">
        <f>IF(LV34-IF(LV34&lt;=InputData!$C$146,InputData!$C$145,0)-MAX(InputData!$C$144,ML34)&gt;=0,LV34-IF(LV34&lt;=InputData!$C$146,InputData!$C$145,0)-MAX(InputData!$C$144,ML34),0)</f>
        <v>210859.80373263935</v>
      </c>
      <c r="MG34" s="32">
        <f>IF(MF34&lt;0,"Error",IF(MF34&lt;=InputData!$B$170,InputData!$C$170*MF34,IF(MF34&lt;=InputData!$B$171,InputData!$D$170+InputData!$C$171*(MF34-InputData!$B$170),IF(MF34&lt;=InputData!$B$172,InputData!$D$171+InputData!$C$172*(MF34-InputData!$B$171),IF(MF34&lt;=InputData!$B$173,InputData!$D$172+InputData!$C$173*(MF34-InputData!$B$172),IF(MF34&lt;=InputData!$B$174,InputData!$D$173+InputData!$C$174*(MF34-InputData!$B$173),IF(MF34&lt;=InputData!$B$175,InputData!$D$174+InputData!$C$175*(MF34-InputData!$B$174),InputData!$D$175+InputData!$C$176*(MF34-InputData!$B$175))))))))</f>
        <v>53714.485231770988</v>
      </c>
      <c r="MH34" s="32">
        <f>IF(LV34&lt;=InputData!$C$150,InputData!$C$152,IF(LV34&lt;InputData!$C$151,IF(InputData!$C$152-0.25*IF(LV34-InputData!$C$150&lt;=0,0,LV34-InputData!$C$150)&lt;=0,0,InputData!$C$152-0.25*IF(LV34-InputData!$C$150&lt;=0,0,LV34-InputData!$C$150)),0))</f>
        <v>26510.049066840162</v>
      </c>
      <c r="MI34" s="32">
        <f>IF(LV34-MH34&lt;=0,0,IF(LV34-MH34&lt;=InputData!$C$153,InputData!$C$154*(LV34-MH34),InputData!$C$155*(LV34-MH34)-InputData!$D$154))</f>
        <v>49735.931306423779</v>
      </c>
      <c r="MJ34" s="32">
        <f t="shared" si="124"/>
        <v>53714.485231770988</v>
      </c>
      <c r="MK34" s="32">
        <f>IF(LV34&gt;=0,IF(LV34&lt;=InputData!$C$148,InputData!$C$147*LV34,InputData!$C$147*InputData!$C$148)+InputData!$C$149*LV34,0)</f>
        <v>10195.31715412327</v>
      </c>
      <c r="ML34" s="32">
        <f>IF(ME34&lt;0,0,IF(ME34&lt;=InputData!$B$163,InputData!$C$163*ME34,IF(ME34&lt;=InputData!$B$164,InputData!$D$163+InputData!$C$164*(ME34-InputData!$B$163),IF(ME34&lt;=InputData!$B$165,InputData!$D$164+InputData!$C$165*(ME34-InputData!$B$164),InputData!$D$165+InputData!$C$166*(ME34-InputData!$B$165)))))</f>
        <v>0</v>
      </c>
      <c r="MM34" s="43">
        <f t="shared" si="38"/>
        <v>0.29456978337171907</v>
      </c>
      <c r="MN34" s="32">
        <f t="shared" si="125"/>
        <v>153050.00134674509</v>
      </c>
      <c r="MO34" s="32">
        <f t="shared" si="126"/>
        <v>153050.00134674509</v>
      </c>
      <c r="MP34" s="32">
        <f>MO34/((1+InputData!$C$7)^(IntMed!$B34-IntMed!$B$7))</f>
        <v>68901.435591205547</v>
      </c>
      <c r="MQ34" s="5">
        <f t="shared" si="147"/>
        <v>1897086.1465407307</v>
      </c>
    </row>
    <row r="35" spans="1:355" x14ac:dyDescent="0.25">
      <c r="A35" s="53">
        <v>2041</v>
      </c>
      <c r="B35" s="51">
        <v>29</v>
      </c>
      <c r="C35" s="4"/>
      <c r="D35" s="3">
        <v>29</v>
      </c>
      <c r="E35" s="4" t="s">
        <v>259</v>
      </c>
      <c r="F35" s="5">
        <f>InputData!$R$21*12</f>
        <v>126320.40000000001</v>
      </c>
      <c r="G35" s="5">
        <f>(InputData!$R$21+InputData!$K$45+InputData!$G$50)*12+InputData!$J$50+InputData!$D$57+InputData!$J$57</f>
        <v>209320.36000000002</v>
      </c>
      <c r="H35" s="5">
        <f>(InputData!$C$32+InputData!$C$40)*12</f>
        <v>21631.199999999997</v>
      </c>
      <c r="I35" s="5">
        <f t="shared" si="207"/>
        <v>230951.56</v>
      </c>
      <c r="J35" s="5">
        <f>G35*((1+InputData!$C$5)/(1+InputData!$C$3))^(IntMed!$B35-IntMed!$B$7)</f>
        <v>158856.5511468029</v>
      </c>
      <c r="K35" s="5">
        <f>H35*((1+InputData!$C$5)/(1+InputData!$C$3))^(IntMed!$B35-IntMed!$B$7)</f>
        <v>16416.261796830095</v>
      </c>
      <c r="L35" s="32">
        <f>IF(J35-InputData!$C$158-InputData!$C$159&gt;=0,J35-InputData!$C$158-InputData!$C$159,0)</f>
        <v>158856.5511468029</v>
      </c>
      <c r="M35" s="32">
        <f>IF(J35-IF(J35&lt;=InputData!$C$146,InputData!$C$145,0)-MAX(InputData!$C$144,S35)&gt;=0,J35-IF(J35&lt;=InputData!$C$146,InputData!$C$145,0)-MAX(InputData!$C$144,S35),0)</f>
        <v>152756.5511468029</v>
      </c>
      <c r="N35" s="32">
        <f>IF(M35&lt;0,"Error",IF(M35&lt;=InputData!$B$170,InputData!$C$170*M35,IF(M35&lt;=InputData!$B$171,InputData!$D$170+InputData!$C$171*(M35-InputData!$B$170),IF(M35&lt;=InputData!$B$172,InputData!$D$171+InputData!$C$172*(M35-InputData!$B$171),IF(M35&lt;=InputData!$B$173,InputData!$D$172+InputData!$C$173*(M35-InputData!$B$172),IF(M35&lt;=InputData!$B$174,InputData!$D$173+InputData!$C$174*(M35-InputData!$B$173),IF(M35&lt;=InputData!$B$175,InputData!$D$174+InputData!$C$175*(M35-InputData!$B$174),InputData!$D$175+InputData!$C$176*(M35-InputData!$B$175))))))))</f>
        <v>36065.084321104812</v>
      </c>
      <c r="O35" s="32">
        <f>IF(J35&lt;=InputData!$C$150,InputData!$C$152,IF(J35&lt;InputData!$C$151,IF(InputData!$C$152-0.25*IF(J35-InputData!$C$150&lt;=0,0,J35-InputData!$C$150)&lt;=0,0,InputData!$C$152-0.25*IF(J35-InputData!$C$150&lt;=0,0,J35-InputData!$C$150)),0))</f>
        <v>41035.862213299275</v>
      </c>
      <c r="P35" s="32">
        <f>IF(J35-O35&lt;=0,0,IF(J35-O35&lt;=InputData!$C$153,InputData!$C$154*(J35-O35),InputData!$C$155*(J35-O35)-InputData!$D$154))</f>
        <v>30633.379122710943</v>
      </c>
      <c r="Q35" s="32">
        <f t="shared" si="40"/>
        <v>36065.084321104812</v>
      </c>
      <c r="R35" s="32">
        <f>IF(J35&gt;=0,IF(J35&lt;=InputData!$C$148,InputData!$C$147*J35,InputData!$C$147*InputData!$C$148)+InputData!$C$149*J35,0)</f>
        <v>9352.8199916286412</v>
      </c>
      <c r="S35" s="32">
        <f>IF(L35&lt;0,0,IF(L35&lt;=InputData!$B$163,InputData!$C$163*L35,IF(L35&lt;=InputData!$B$164,InputData!$D$163+InputData!$C$164*(L35-InputData!$B$163),IF(L35&lt;=InputData!$B$165,InputData!$D$164+InputData!$C$165*(L35-InputData!$B$164),InputData!$D$165+InputData!$C$166*(L35-InputData!$B$165)))))</f>
        <v>0</v>
      </c>
      <c r="T35" s="43">
        <f t="shared" si="41"/>
        <v>0.28590513884921087</v>
      </c>
      <c r="U35" s="43">
        <f t="shared" si="42"/>
        <v>0.25912692076973542</v>
      </c>
      <c r="V35" s="5">
        <f t="shared" si="43"/>
        <v>129854.90863089956</v>
      </c>
      <c r="W35" s="32">
        <f>V35/((1+InputData!$C$7)^(IntMed!$B35-IntMed!$B$7))</f>
        <v>56756.561847635858</v>
      </c>
      <c r="X35" s="5">
        <f t="shared" si="208"/>
        <v>1803675.3459129347</v>
      </c>
      <c r="Y35" s="53"/>
      <c r="Z35" s="3">
        <v>25.5</v>
      </c>
      <c r="AA35" s="99" t="s">
        <v>271</v>
      </c>
      <c r="AB35" s="32">
        <f>InputData!$P$21*12</f>
        <v>120412.79999999999</v>
      </c>
      <c r="AC35" s="32">
        <f>(InputData!$P$21+InputData!$K$45+InputData!$G$50)*12+InputData!$J$50+InputData!$D$57+InputData!$J$57</f>
        <v>203412.76</v>
      </c>
      <c r="AD35" s="5">
        <f t="shared" si="193"/>
        <v>21631.199999999997</v>
      </c>
      <c r="AE35" s="5">
        <f t="shared" si="209"/>
        <v>225043.96000000002</v>
      </c>
      <c r="AF35" s="5">
        <f>AC35*((1+InputData!$C$5)/(1+InputData!$C$3))^(IntMed!$B35-IntMed!$B$7)</f>
        <v>154373.17952659904</v>
      </c>
      <c r="AG35" s="5">
        <f>AD35*((1+InputData!$C$5)/(1+InputData!$C$3))^(IntMed!$B35-IntMed!$B$7)</f>
        <v>16416.261796830095</v>
      </c>
      <c r="AH35" s="32">
        <f>IF(AF35-InputData!$C$158-InputData!$C$159&gt;=0,AF35-InputData!$C$158-InputData!$C$159,0)</f>
        <v>154373.17952659904</v>
      </c>
      <c r="AI35" s="32">
        <f>IF(AF35-IF(AF35&lt;=InputData!$C$146,InputData!$C$145,0)-MAX(InputData!$C$144,AO35)&gt;=0,AF35-IF(AF35&lt;=InputData!$C$146,InputData!$C$145,0)-MAX(InputData!$C$144,AO35),0)</f>
        <v>148273.17952659904</v>
      </c>
      <c r="AJ35" s="32">
        <f>IF(AI35&lt;0,"Error",IF(AI35&lt;=InputData!$B$170,InputData!$C$170*AI35,IF(AI35&lt;=InputData!$B$171,InputData!$D$170+InputData!$C$171*(AI35-InputData!$B$170),IF(AI35&lt;=InputData!$B$172,InputData!$D$171+InputData!$C$172*(AI35-InputData!$B$171),IF(AI35&lt;=InputData!$B$173,InputData!$D$172+InputData!$C$173*(AI35-InputData!$B$172),IF(AI35&lt;=InputData!$B$174,InputData!$D$173+InputData!$C$174*(AI35-InputData!$B$173),IF(AI35&lt;=InputData!$B$175,InputData!$D$174+InputData!$C$175*(AI35-InputData!$B$174),InputData!$D$175+InputData!$C$176*(AI35-InputData!$B$175))))))))</f>
        <v>34809.740267447734</v>
      </c>
      <c r="AK35" s="32">
        <f>IF(AF35&lt;=InputData!$C$150,InputData!$C$152,IF(AF35&lt;InputData!$C$151,IF(InputData!$C$152-0.25*IF(AF35-InputData!$C$150&lt;=0,0,AF35-InputData!$C$150)&lt;=0,0,InputData!$C$152-0.25*IF(AF35-InputData!$C$150&lt;=0,0,AF35-InputData!$C$150)),0))</f>
        <v>42156.705118350241</v>
      </c>
      <c r="AL35" s="32">
        <f>IF(AF35-AK35&lt;=0,0,IF(AF35-AK35&lt;=InputData!$C$153,InputData!$C$154*(AF35-AK35),InputData!$C$155*(AF35-AK35)-InputData!$D$154))</f>
        <v>29176.283346144686</v>
      </c>
      <c r="AM35" s="32">
        <f t="shared" si="45"/>
        <v>34809.740267447734</v>
      </c>
      <c r="AN35" s="32">
        <f>IF(AF35&gt;=0,IF(AF35&lt;=InputData!$C$148,InputData!$C$147*AF35,InputData!$C$147*InputData!$C$148)+InputData!$C$149*AF35,0)</f>
        <v>9287.8111031356857</v>
      </c>
      <c r="AO35" s="32">
        <f>IF(AH35&lt;0,0,IF(AH35&lt;=InputData!$B$163,InputData!$C$163*AH35,IF(AH35&lt;=InputData!$B$164,InputData!$D$163+InputData!$C$164*(AH35-InputData!$B$163),IF(AH35&lt;=InputData!$B$165,InputData!$D$164+InputData!$C$165*(AH35-InputData!$B$164),InputData!$D$165+InputData!$C$166*(AH35-InputData!$B$165)))))</f>
        <v>0</v>
      </c>
      <c r="AP35" s="43">
        <f t="shared" si="46"/>
        <v>0.28565552323151611</v>
      </c>
      <c r="AQ35" s="43">
        <f t="shared" si="47"/>
        <v>0.2581983466242187</v>
      </c>
      <c r="AR35" s="5">
        <f t="shared" si="48"/>
        <v>126691.88995284571</v>
      </c>
      <c r="AS35" s="32">
        <f>AR35/((1+InputData!$C$7)^(IntMed!$B35-IntMed!$B$7))</f>
        <v>55374.079913614667</v>
      </c>
      <c r="AT35" s="5">
        <f t="shared" si="210"/>
        <v>1773610.2067569182</v>
      </c>
      <c r="AU35" s="53"/>
      <c r="AV35" s="41" t="s">
        <v>109</v>
      </c>
      <c r="AW35" s="32">
        <f>$AW$14*(1+InputData!$C$3+InputData!$C$4)^(IntMed!$B35-IntMed!$B$14)</f>
        <v>381435.52761492884</v>
      </c>
      <c r="AX35" s="32">
        <v>0</v>
      </c>
      <c r="AY35" s="32">
        <f t="shared" si="211"/>
        <v>381435.52761492884</v>
      </c>
      <c r="AZ35" s="32">
        <f>AZ34*(1+InputData!$C$8)</f>
        <v>20004.368128938433</v>
      </c>
      <c r="BA35" s="32">
        <f>AW35/((1+InputData!$C$3)^(IntMed!$B35-IntMed!$B$7))</f>
        <v>219086.8606319789</v>
      </c>
      <c r="BB35" s="32">
        <f>AX35/((1+InputData!$C$3)^(IntMed!$B35-IntMed!$B$7))</f>
        <v>0</v>
      </c>
      <c r="BC35" s="32" t="s">
        <v>141</v>
      </c>
      <c r="BD35" s="32">
        <v>0</v>
      </c>
      <c r="BE35" s="32">
        <f t="shared" si="174"/>
        <v>0</v>
      </c>
      <c r="BF35" s="32">
        <f>(BE35)*InputData!$C$6</f>
        <v>0</v>
      </c>
      <c r="BG35" s="32">
        <f>MIN($BE$14*InputData!$C$6/(1-(1+InputData!$C$6)^(-10)), BE35+BF35)</f>
        <v>0</v>
      </c>
      <c r="BH35" s="32">
        <f t="shared" si="157"/>
        <v>0</v>
      </c>
      <c r="BI35" s="32">
        <f>BG35/((1+InputData!$C$3)^(IntMed!$B35-IntMed!$B$7))</f>
        <v>0</v>
      </c>
      <c r="BJ35" s="32">
        <f>IF(BA35-InputData!$C$158-InputData!$C$159&gt;=0,BA35-InputData!$C$158-InputData!$C$159,0)</f>
        <v>219086.8606319789</v>
      </c>
      <c r="BK35" s="32">
        <f>IF(BA35-IF(BA35&lt;=InputData!$C$146,InputData!$C$145,0)-MAX(InputData!$C$144,BQ35)&gt;=0,BA35-IF(BA35&lt;=InputData!$C$146,InputData!$C$145,0)-MAX(InputData!$C$144,BQ35),0)</f>
        <v>212986.8606319789</v>
      </c>
      <c r="BL35" s="32">
        <f>IF(BK35&lt;0,"Error",IF(BK35&lt;=InputData!$B$170,InputData!$C$170*BK35,IF(BK35&lt;=InputData!$B$171,InputData!$D$170+InputData!$C$171*(BK35-InputData!$B$170),IF(BK35&lt;=InputData!$B$172,InputData!$D$171+InputData!$C$172*(BK35-InputData!$B$171),IF(BK35&lt;=InputData!$B$173,InputData!$D$172+InputData!$C$173*(BK35-InputData!$B$172),IF(BK35&lt;=InputData!$B$174,InputData!$D$173+InputData!$C$174*(BK35-InputData!$B$173),IF(BK35&lt;=InputData!$B$175,InputData!$D$174+InputData!$C$175*(BK35-InputData!$B$174),InputData!$D$175+InputData!$C$176*(BK35-InputData!$B$175))))))))</f>
        <v>54416.414008553038</v>
      </c>
      <c r="BM35" s="32">
        <f>IF(BA35&lt;=InputData!$C$150,InputData!$C$152,IF(BA35&lt;InputData!$C$151,IF(InputData!$C$152-0.25*IF(BA35-InputData!$C$150&lt;=0,0,BA35-InputData!$C$150)&lt;=0,0,InputData!$C$152-0.25*IF(BA35-InputData!$C$150&lt;=0,0,BA35-InputData!$C$150)),0))</f>
        <v>25978.284842005276</v>
      </c>
      <c r="BN35" s="32">
        <f>IF(BA35-BM35&lt;=0,0,IF(BA35-BM35&lt;=InputData!$C$153,InputData!$C$154*(BA35-BM35),InputData!$C$155*(BA35-BM35)-InputData!$D$154))</f>
        <v>50480.401221192617</v>
      </c>
      <c r="BO35" s="32">
        <f t="shared" si="51"/>
        <v>54416.414008553038</v>
      </c>
      <c r="BP35" s="32">
        <f>IF(BA35&gt;=0,IF(BA35&lt;=InputData!$C$148,InputData!$C$147*BA35,InputData!$C$147*InputData!$C$148)+InputData!$C$149*BA35,0)</f>
        <v>10226.159479163694</v>
      </c>
      <c r="BQ35" s="32">
        <f>IF(BJ35&lt;0,0,IF(BJ35&lt;=InputData!$B$163,InputData!$C$163*BJ35,IF(BJ35&lt;=InputData!$B$164,InputData!$D$163+InputData!$C$164*(BJ35-InputData!$B$163),IF(BJ35&lt;=InputData!$B$165,InputData!$D$164+InputData!$C$165*(BJ35-InputData!$B$164),InputData!$D$165+InputData!$C$166*(BJ35-InputData!$B$165)))))</f>
        <v>0</v>
      </c>
      <c r="BR35" s="43">
        <f t="shared" si="52"/>
        <v>0.29505454275645965</v>
      </c>
      <c r="BS35" s="32">
        <f t="shared" si="53"/>
        <v>154444.28714426217</v>
      </c>
      <c r="BT35" s="32">
        <f t="shared" si="54"/>
        <v>154444.28714426217</v>
      </c>
      <c r="BU35" s="32">
        <f>BT35/((1+InputData!$C$7)^(IntMed!$B35-IntMed!$B$7))</f>
        <v>67504.007570735004</v>
      </c>
      <c r="BV35" s="5">
        <f t="shared" si="130"/>
        <v>1580918.6060867952</v>
      </c>
      <c r="BW35" s="5"/>
      <c r="BX35" s="32" t="s">
        <v>141</v>
      </c>
      <c r="BY35" s="5">
        <f t="shared" si="175"/>
        <v>67525.472840023896</v>
      </c>
      <c r="BZ35" s="32">
        <f>(BY35)*InputData!$C$6</f>
        <v>4193.3318633654844</v>
      </c>
      <c r="CA35" s="32">
        <f>MIN($BY$14*InputData!$C$6/(1-(1+InputData!$C$6)^(-25)), BY35+BZ35)</f>
        <v>19581.069601718285</v>
      </c>
      <c r="CB35" s="32">
        <f t="shared" si="176"/>
        <v>52137.735101671096</v>
      </c>
      <c r="CC35" s="32">
        <f>CA35/((1+InputData!$C$3)^(IntMed!$B35-IntMed!$B$7))</f>
        <v>11246.868097686949</v>
      </c>
      <c r="CD35" s="5">
        <f t="shared" si="58"/>
        <v>143197.41904657523</v>
      </c>
      <c r="CE35" s="32">
        <f>CD35/((1+InputData!$C$7)^(IntMed!$B35-IntMed!$B$7))</f>
        <v>62588.262979261963</v>
      </c>
      <c r="CF35" s="5">
        <f t="shared" si="131"/>
        <v>1583091.2752488288</v>
      </c>
      <c r="CG35" s="5"/>
      <c r="CH35" s="32" t="s">
        <v>141</v>
      </c>
      <c r="CI35" s="5">
        <f t="shared" si="177"/>
        <v>0</v>
      </c>
      <c r="CJ35" s="32">
        <f>(CI35)*InputData!$C$6</f>
        <v>0</v>
      </c>
      <c r="CK35" s="32">
        <f t="shared" si="170"/>
        <v>0</v>
      </c>
      <c r="CL35" s="32">
        <f t="shared" si="178"/>
        <v>0</v>
      </c>
      <c r="CM35" s="32">
        <f>CK35/((1+InputData!$C$3)^(IntMed!$B35-IntMed!$B$7))</f>
        <v>0</v>
      </c>
      <c r="CN35" s="5">
        <f t="shared" si="62"/>
        <v>154444.28714426217</v>
      </c>
      <c r="CO35" s="32">
        <f>CN35/((1+InputData!$C$7)^(IntMed!$B35-IntMed!$B$7))</f>
        <v>67504.007570735004</v>
      </c>
      <c r="CP35" s="5">
        <f t="shared" si="132"/>
        <v>1579545.170413858</v>
      </c>
      <c r="CQ35" s="5"/>
      <c r="CR35" s="32" t="s">
        <v>141</v>
      </c>
      <c r="CS35" s="5">
        <f t="shared" si="179"/>
        <v>0</v>
      </c>
      <c r="CT35" s="32">
        <f>(CS35)*InputData!$C$6</f>
        <v>0</v>
      </c>
      <c r="CU35" s="32">
        <f t="shared" si="171"/>
        <v>0</v>
      </c>
      <c r="CV35" s="32">
        <f t="shared" si="180"/>
        <v>0</v>
      </c>
      <c r="CW35" s="32">
        <f>CU35/((1+InputData!$C$3)^(IntMed!$B35-IntMed!$B$7))</f>
        <v>0</v>
      </c>
      <c r="CX35" s="5">
        <f t="shared" si="66"/>
        <v>154444.28714426217</v>
      </c>
      <c r="CY35" s="32">
        <f>CX35/((1+InputData!$C$7)^(IntMed!$B35-IntMed!$B$7))</f>
        <v>67504.007570735004</v>
      </c>
      <c r="CZ35" s="5">
        <f t="shared" si="133"/>
        <v>1572899.120706585</v>
      </c>
      <c r="DA35" s="5"/>
      <c r="DB35" s="32" t="s">
        <v>141</v>
      </c>
      <c r="DC35" s="5">
        <f t="shared" si="158"/>
        <v>0</v>
      </c>
      <c r="DD35" s="5">
        <f>DC35*InputData!$C$6</f>
        <v>0</v>
      </c>
      <c r="DE35" s="32">
        <f t="shared" si="159"/>
        <v>0</v>
      </c>
      <c r="DF35" s="32">
        <f t="shared" si="160"/>
        <v>0</v>
      </c>
      <c r="DG35" s="32">
        <f>DE35/((1+InputData!$C$3)^(IntMed!$B35-IntMed!$B$7))</f>
        <v>0</v>
      </c>
      <c r="DH35" s="5">
        <f t="shared" si="70"/>
        <v>154444.28714426217</v>
      </c>
      <c r="DI35" s="32">
        <f>DH35/((1+InputData!$C$7)^(IntMed!$B35-IntMed!$B$7))</f>
        <v>67504.007570735004</v>
      </c>
      <c r="DJ35" s="5">
        <f t="shared" si="134"/>
        <v>1584851.3776671416</v>
      </c>
      <c r="DK35" s="5"/>
      <c r="DL35" s="32" t="s">
        <v>141</v>
      </c>
      <c r="DM35" s="32">
        <f t="shared" si="181"/>
        <v>0</v>
      </c>
      <c r="DN35" s="5">
        <f>DM35*InputData!$C$6</f>
        <v>0</v>
      </c>
      <c r="DO35" s="32">
        <f t="shared" si="182"/>
        <v>0</v>
      </c>
      <c r="DP35" s="32">
        <f t="shared" si="150"/>
        <v>0</v>
      </c>
      <c r="DQ35" s="32">
        <f t="shared" si="151"/>
        <v>0</v>
      </c>
      <c r="DR35" s="32">
        <f>DP35/((1+InputData!$C$3)^(IntMed!$B35-IntMed!$B$7))</f>
        <v>0</v>
      </c>
      <c r="DS35" s="5">
        <f t="shared" si="74"/>
        <v>154444.28714426217</v>
      </c>
      <c r="DT35" s="32">
        <f>DS35/((1+InputData!$C$7)^(IntMed!$B35-IntMed!$B$7))</f>
        <v>67504.007570735004</v>
      </c>
      <c r="DU35" s="5">
        <f t="shared" si="136"/>
        <v>1580851.2074782122</v>
      </c>
      <c r="DV35" s="5"/>
      <c r="DW35" s="32" t="s">
        <v>141</v>
      </c>
      <c r="DX35" s="133">
        <f t="shared" si="161"/>
        <v>0</v>
      </c>
      <c r="DY35" s="5">
        <f>DX35*InputData!$C$6</f>
        <v>0</v>
      </c>
      <c r="DZ35" s="133">
        <f t="shared" si="162"/>
        <v>0</v>
      </c>
      <c r="EA35" s="32">
        <f t="shared" si="163"/>
        <v>0</v>
      </c>
      <c r="EB35" s="32">
        <f t="shared" si="164"/>
        <v>0</v>
      </c>
      <c r="EC35" s="32">
        <f>EA35/((1+InputData!$C$3)^(IntMed!$B35-IntMed!$B$7))</f>
        <v>0</v>
      </c>
      <c r="ED35" s="5">
        <f t="shared" si="78"/>
        <v>154444.28714426217</v>
      </c>
      <c r="EE35" s="32">
        <f>ED35/((1+InputData!$C$7)^(IntMed!$B35-IntMed!$B$7))</f>
        <v>67504.007570735004</v>
      </c>
      <c r="EF35" s="5">
        <f t="shared" si="138"/>
        <v>1576859.043696119</v>
      </c>
      <c r="EG35" s="32"/>
      <c r="EH35" s="130" t="s">
        <v>141</v>
      </c>
      <c r="EI35" s="32">
        <v>0</v>
      </c>
      <c r="EJ35" s="32">
        <f t="shared" si="212"/>
        <v>0</v>
      </c>
      <c r="EK35" s="32">
        <f>EJ35*InputData!$C$6</f>
        <v>0</v>
      </c>
      <c r="EL35" s="32">
        <f t="shared" si="213"/>
        <v>5.0931703299283981E-11</v>
      </c>
      <c r="EM35" s="32">
        <f>EM34*(1+InputData!$C$8)</f>
        <v>20004.368128938433</v>
      </c>
      <c r="EN35" s="32">
        <f t="shared" si="172"/>
        <v>0</v>
      </c>
      <c r="EO35" s="32">
        <f>AW35/((1+InputData!$C$3)^(IntMed!$B35-IntMed!$B$7))</f>
        <v>219086.8606319789</v>
      </c>
      <c r="EP35" s="32">
        <f>AX35/((1+InputData!$C$3)^(IntMed!$B35-IntMed!$B$7))</f>
        <v>0</v>
      </c>
      <c r="EQ35" s="32">
        <v>54216.72</v>
      </c>
      <c r="ER35" s="32">
        <v>8928.6550000000007</v>
      </c>
      <c r="ES35" s="32">
        <v>0</v>
      </c>
      <c r="ET35" s="42">
        <f t="shared" si="214"/>
        <v>0.28822073043472612</v>
      </c>
      <c r="EU35" s="32">
        <f t="shared" si="215"/>
        <v>155941.4856319789</v>
      </c>
      <c r="EV35" s="32">
        <f>EN35/((1+InputData!$C$3)^(IntMed!$B35-IntMed!$B$7))</f>
        <v>0</v>
      </c>
      <c r="EW35" s="32">
        <f t="shared" si="216"/>
        <v>155941.4856319789</v>
      </c>
      <c r="EX35" s="32">
        <f>EW35/((1+InputData!$C$7)^(IntMed!$B35-IntMed!$B$7))</f>
        <v>68158.398224597913</v>
      </c>
      <c r="EY35" s="5">
        <f t="shared" si="217"/>
        <v>1592392.9885368957</v>
      </c>
      <c r="EZ35" s="79"/>
      <c r="FA35" s="32">
        <f t="shared" si="203"/>
        <v>0</v>
      </c>
      <c r="FB35" s="32">
        <f>FA35*InputData!$C$6</f>
        <v>0</v>
      </c>
      <c r="FC35" s="32">
        <f t="shared" si="204"/>
        <v>0</v>
      </c>
      <c r="FD35" s="53">
        <f>MIN($EJ$14*InputData!$C$6/(1-(1+InputData!$C$6)^(-10)), FA35+FB35)</f>
        <v>0</v>
      </c>
      <c r="FE35" s="32">
        <f>FD35/((1+InputData!$C$3)^(IntMed!$B35-IntMed!$B$7))</f>
        <v>0</v>
      </c>
      <c r="FF35" s="5">
        <f t="shared" si="84"/>
        <v>155941.4856319789</v>
      </c>
      <c r="FG35" s="32">
        <f>FF35/((1+InputData!$C$7)^(IntMed!$B35-IntMed!$B$7))</f>
        <v>68158.398224597913</v>
      </c>
      <c r="FH35" s="5">
        <f t="shared" si="140"/>
        <v>1600803.4323950335</v>
      </c>
      <c r="FI35" s="79"/>
      <c r="FJ35" s="32">
        <f t="shared" si="185"/>
        <v>68389.940919954766</v>
      </c>
      <c r="FK35" s="32">
        <f>FJ35*InputData!$C$6</f>
        <v>4247.0153311291915</v>
      </c>
      <c r="FL35" s="32">
        <f t="shared" si="186"/>
        <v>52805.207773237024</v>
      </c>
      <c r="FM35" s="53">
        <f>MIN($EJ$14*InputData!$C$6/(1-(1+InputData!$C$6)^(-25)), FJ35+FK35)</f>
        <v>19831.748477846937</v>
      </c>
      <c r="FN35" s="32">
        <f>FM35/((1+InputData!$C$3)^(IntMed!$B35-IntMed!$B$7))</f>
        <v>11390.85166508349</v>
      </c>
      <c r="FO35" s="5">
        <f t="shared" si="88"/>
        <v>144550.6339668954</v>
      </c>
      <c r="FP35" s="32">
        <f>FO35/((1+InputData!$C$7)^(IntMed!$B35-IntMed!$B$7))</f>
        <v>63179.721762977279</v>
      </c>
      <c r="FQ35" s="5">
        <f t="shared" si="141"/>
        <v>1603003.9162921559</v>
      </c>
      <c r="FR35" s="79"/>
      <c r="FS35" s="32">
        <f t="shared" si="187"/>
        <v>0</v>
      </c>
      <c r="FT35" s="32">
        <f>FS35*InputData!$C$6</f>
        <v>0</v>
      </c>
      <c r="FU35" s="32">
        <f t="shared" si="188"/>
        <v>0</v>
      </c>
      <c r="FV35" s="5">
        <f t="shared" si="173"/>
        <v>0</v>
      </c>
      <c r="FW35" s="32">
        <f>FV35/((1+InputData!$C$3)^(IntMed!$B35-IntMed!$B$7))</f>
        <v>0</v>
      </c>
      <c r="FX35" s="5">
        <f t="shared" si="92"/>
        <v>155941.4856319789</v>
      </c>
      <c r="FY35" s="32">
        <f>FX35/((1+InputData!$C$7)^(IntMed!$B35-IntMed!$B$7))</f>
        <v>68158.398224597913</v>
      </c>
      <c r="FZ35" s="5">
        <f t="shared" si="142"/>
        <v>1599258.7831183551</v>
      </c>
      <c r="GC35" s="83">
        <v>22</v>
      </c>
      <c r="GD35" s="4" t="s">
        <v>217</v>
      </c>
      <c r="GE35" s="5"/>
      <c r="GF35" s="5"/>
      <c r="GG35" s="5"/>
      <c r="GH35" s="5"/>
      <c r="GI35" s="5"/>
      <c r="GJ35" s="84">
        <v>0</v>
      </c>
      <c r="GK35" s="5"/>
      <c r="GL35" s="84">
        <f>MIN(InputData!$C$13+InputData!$E$13*($B35-$B$33),1)*$AW35/((1+InputData!$C$3)^(IntMed!$B35-IntMed!$B$7))+0.025*$GC$32*(($F$30+$F$31+$F$32)/3)*((1+InputData!$C$5)/(1+InputData!$C$3))^(IntMed!$B35-IntMed!$B$7)</f>
        <v>245861.14261463741</v>
      </c>
      <c r="GM35" s="5">
        <v>0</v>
      </c>
      <c r="GN35" s="32">
        <f>IF(GL35-InputData!$C$158-InputData!$C$159&gt;=0,GL35-InputData!$C$158-InputData!$C$159,0)</f>
        <v>245861.14261463741</v>
      </c>
      <c r="GO35" s="32">
        <f>IF(GL35-IF(GL35&lt;=InputData!$C$146,InputData!$C$145,0)-MAX(InputData!$C$144,GU35)&gt;=0,GL35-IF(GL35&lt;=InputData!$C$146,InputData!$C$145,0)-MAX(InputData!$C$144,GU35),0)</f>
        <v>239761.14261463741</v>
      </c>
      <c r="GP35" s="32">
        <f>IF(GO35&lt;0,"Error",IF(GO35&lt;=InputData!$B$170,InputData!$C$170*GO35,IF(GO35&lt;=InputData!$B$171,InputData!$D$170+InputData!$C$171*(GO35-InputData!$B$170),IF(GO35&lt;=InputData!$B$172,InputData!$D$171+InputData!$C$172*(GO35-InputData!$B$171),IF(GO35&lt;=InputData!$B$173,InputData!$D$172+InputData!$C$173*(GO35-InputData!$B$172),IF(GO35&lt;=InputData!$B$174,InputData!$D$173+InputData!$C$174*(GO35-InputData!$B$173),IF(GO35&lt;=InputData!$B$175,InputData!$D$174+InputData!$C$175*(GO35-InputData!$B$174),InputData!$D$175+InputData!$C$176*(GO35-InputData!$B$175))))))))</f>
        <v>63251.927062830349</v>
      </c>
      <c r="GQ35" s="32">
        <f>IF(GL35&lt;=InputData!$C$150,InputData!$C$152,IF(GL35&lt;InputData!$C$151,IF(InputData!$C$152-0.25*IF(GL35-InputData!$C$150&lt;=0,0,GL35-InputData!$C$150)&lt;=0,0,InputData!$C$152-0.25*IF(GL35-InputData!$C$150&lt;=0,0,GL35-InputData!$C$150)),0))</f>
        <v>19284.714346340646</v>
      </c>
      <c r="GR35" s="32">
        <f>IF(GL35-GQ35&lt;=0,0,IF(GL35-GQ35&lt;=InputData!$C$153,InputData!$C$154*(GL35-GQ35),InputData!$C$155*(GL35-GQ35)-InputData!$D$154))</f>
        <v>59851.399915123096</v>
      </c>
      <c r="GS35" s="32">
        <f t="shared" si="93"/>
        <v>63251.927062830349</v>
      </c>
      <c r="GT35" s="32">
        <f>IF(GL35&gt;=0,IF(GL35&lt;=InputData!$C$148,InputData!$C$147*GL35,InputData!$C$147*InputData!$C$148)+InputData!$C$149*GL35,0)</f>
        <v>10614.386567912243</v>
      </c>
      <c r="GU35" s="32">
        <f>IF(GN35&lt;0,0,IF(GN35&lt;=InputData!$B$163,InputData!$C$163*GN35,IF(GN35&lt;=InputData!$B$164,InputData!$D$163+InputData!$C$164*(GN35-InputData!$B$163),IF(GN35&lt;=InputData!$B$165,InputData!$D$164+InputData!$C$165*(GN35-InputData!$B$164),InputData!$D$165+InputData!$C$166*(GN35-InputData!$B$165)))))</f>
        <v>0</v>
      </c>
      <c r="GV35" s="43">
        <f t="shared" si="10"/>
        <v>0.30043915376461339</v>
      </c>
      <c r="GW35" s="43">
        <f t="shared" si="11"/>
        <v>0.30043915376461339</v>
      </c>
      <c r="GX35" s="5">
        <f t="shared" si="12"/>
        <v>171994.82898389484</v>
      </c>
      <c r="GY35" s="32">
        <f>GX35/((1+InputData!$C$7)^(IntMed!$B35-IntMed!$B$7))</f>
        <v>75174.941414383371</v>
      </c>
      <c r="GZ35" s="84">
        <f t="shared" si="94"/>
        <v>1841084.0246325182</v>
      </c>
      <c r="HB35" s="83">
        <v>23</v>
      </c>
      <c r="HC35" s="4" t="s">
        <v>217</v>
      </c>
      <c r="HD35" s="4"/>
      <c r="HE35" s="4"/>
      <c r="HF35" s="4"/>
      <c r="HG35" s="4"/>
      <c r="HH35" s="5"/>
      <c r="HI35" s="84">
        <v>0</v>
      </c>
      <c r="HJ35" s="5"/>
      <c r="HK35" s="84">
        <f>MIN(InputData!$C$13+InputData!$E$13*($B35-$B$34),1)*$AW35/((1+InputData!$C$3)^(IntMed!$B35-IntMed!$B$7))+0.025*$HB$33*(($AB$31+$AB$32+$AB$33)/3)*((1+InputData!$C$5)/(1+InputData!$C$3))^(IntMed!$B35-IntMed!$B$7)</f>
        <v>247737.82022945647</v>
      </c>
      <c r="HL35" s="5">
        <v>0</v>
      </c>
      <c r="HM35" s="32">
        <f>IF(HK35-InputData!$C$158-InputData!$C$159&gt;=0,HK35-InputData!$C$158-InputData!$C$159,0)</f>
        <v>247737.82022945647</v>
      </c>
      <c r="HN35" s="32">
        <f>IF(HK35-IF(HK35&lt;=InputData!$C$146,InputData!$C$145,0)-MAX(InputData!$C$144,HT35)&gt;=0,HK35-IF(HK35&lt;=InputData!$C$146,InputData!$C$145,0)-MAX(InputData!$C$144,HT35),0)</f>
        <v>241637.82022945647</v>
      </c>
      <c r="HO35" s="32">
        <f>IF(HN35&lt;0,"Error",IF(HN35&lt;=InputData!$B$170,InputData!$C$170*HN35,IF(HN35&lt;=InputData!$B$171,InputData!$D$170+InputData!$C$171*(HN35-InputData!$B$170),IF(HN35&lt;=InputData!$B$172,InputData!$D$171+InputData!$C$172*(HN35-InputData!$B$171),IF(HN35&lt;=InputData!$B$173,InputData!$D$172+InputData!$C$173*(HN35-InputData!$B$172),IF(HN35&lt;=InputData!$B$174,InputData!$D$173+InputData!$C$174*(HN35-InputData!$B$173),IF(HN35&lt;=InputData!$B$175,InputData!$D$174+InputData!$C$175*(HN35-InputData!$B$174),InputData!$D$175+InputData!$C$176*(HN35-InputData!$B$175))))))))</f>
        <v>63871.230675720639</v>
      </c>
      <c r="HP35" s="32">
        <f>IF(HK35&lt;=InputData!$C$150,InputData!$C$152,IF(HK35&lt;InputData!$C$151,IF(InputData!$C$152-0.25*IF(HK35-InputData!$C$150&lt;=0,0,HK35-InputData!$C$150)&lt;=0,0,InputData!$C$152-0.25*IF(HK35-InputData!$C$150&lt;=0,0,HK35-InputData!$C$150)),0))</f>
        <v>18815.544942635883</v>
      </c>
      <c r="HQ35" s="32">
        <f>IF(HK35-HP35&lt;=0,0,IF(HK35-HP35&lt;=InputData!$C$153,InputData!$C$154*(HK35-HP35),InputData!$C$155*(HK35-HP35)-InputData!$D$154))</f>
        <v>60508.237080309773</v>
      </c>
      <c r="HR35" s="32">
        <f t="shared" si="95"/>
        <v>63871.230675720639</v>
      </c>
      <c r="HS35" s="32">
        <f>IF(HK35&gt;=0,IF(HK35&lt;=InputData!$C$148,InputData!$C$147*HK35,InputData!$C$147*InputData!$C$148)+InputData!$C$149*HK35,0)</f>
        <v>10641.598393327118</v>
      </c>
      <c r="HT35" s="32">
        <f>IF(HM35&lt;0,0,IF(HM35&lt;=InputData!$B$163,InputData!$C$163*HM35,IF(HM35&lt;=InputData!$B$164,InputData!$D$163+InputData!$C$164*(HM35-InputData!$B$163),IF(HM35&lt;=InputData!$B$165,InputData!$D$164+InputData!$C$165*(HM35-InputData!$B$164),InputData!$D$165+InputData!$C$166*(HM35-InputData!$B$165)))))</f>
        <v>0</v>
      </c>
      <c r="HU35" s="43">
        <f t="shared" si="96"/>
        <v>0.30077292599100719</v>
      </c>
      <c r="HV35" s="43">
        <f t="shared" si="97"/>
        <v>0.30077292599100719</v>
      </c>
      <c r="HW35" s="5">
        <f t="shared" si="98"/>
        <v>173224.99116040871</v>
      </c>
      <c r="HX35" s="32">
        <f>HW35/((1+InputData!$C$7)^(IntMed!$B35-IntMed!$B$7))</f>
        <v>75712.616704367116</v>
      </c>
      <c r="HY35" s="84">
        <f t="shared" si="99"/>
        <v>1790052.6662148526</v>
      </c>
      <c r="IA35" s="41"/>
      <c r="IB35" s="4" t="s">
        <v>109</v>
      </c>
      <c r="IC35" s="32">
        <f>MIN(InputData!$C$13+InputData!$E$13*($B35-$B$21),1)*IntMed!AW35</f>
        <v>343291.97485343594</v>
      </c>
      <c r="ID35" s="32">
        <f>MIN(InputData!$C$13+InputData!$E$13*($B35-$B$21),1)*IntMed!AX35</f>
        <v>0</v>
      </c>
      <c r="IE35" s="32">
        <f>MIN(InputData!$C$13+InputData!$E$13*($B35-$B$21),1)*IntMed!AY35</f>
        <v>343291.97485343594</v>
      </c>
      <c r="IF35" s="32">
        <f>MIN(InputData!$C$13+InputData!$E$13*($B35-$B$21),1)*IntMed!EO35</f>
        <v>197178.17456878102</v>
      </c>
      <c r="IG35" s="32">
        <f>MIN(InputData!$C$13+InputData!$E$13*($B35-$B$21),1)*IntMed!EP35</f>
        <v>0</v>
      </c>
      <c r="IH35" s="32">
        <f>IF(IF35-InputData!$C$158-InputData!$C$159&gt;=0,IF35-InputData!$C$158-InputData!$C$159,0)</f>
        <v>197178.17456878102</v>
      </c>
      <c r="II35" s="32">
        <f>IF(IF35-IF(IF35&lt;=InputData!$C$146,InputData!$C$145,0)-MAX(InputData!$C$144,IO35)&gt;=0,IF35-IF(IF35&lt;=InputData!$C$146,InputData!$C$145,0)-MAX(InputData!$C$144,IO35),0)</f>
        <v>191078.17456878102</v>
      </c>
      <c r="IJ35" s="32">
        <f>IF(II35&lt;0,"Error",IF(II35&lt;=InputData!$B$170,InputData!$C$170*II35,IF(II35&lt;=InputData!$B$171,InputData!$D$170+InputData!$C$171*(II35-InputData!$B$170),IF(II35&lt;=InputData!$B$172,InputData!$D$171+InputData!$C$172*(II35-InputData!$B$171),IF(II35&lt;=InputData!$B$173,InputData!$D$172+InputData!$C$173*(II35-InputData!$B$172),IF(II35&lt;=InputData!$B$174,InputData!$D$173+InputData!$C$174*(II35-InputData!$B$173),IF(II35&lt;=InputData!$B$175,InputData!$D$174+InputData!$C$175*(II35-InputData!$B$174),InputData!$D$175+InputData!$C$176*(II35-InputData!$B$175))))))))</f>
        <v>47186.547607697736</v>
      </c>
      <c r="IK35" s="32">
        <f>IF(IF35&lt;=InputData!$C$150,InputData!$C$152,IF(IF35&lt;InputData!$C$151,IF(InputData!$C$152-0.25*IF(IF35-InputData!$C$150&lt;=0,0,IF35-InputData!$C$150)&lt;=0,0,InputData!$C$152-0.25*IF(IF35-InputData!$C$150&lt;=0,0,IF35-InputData!$C$150)),0))</f>
        <v>31455.456357804745</v>
      </c>
      <c r="IL35" s="32">
        <f>IF(IF35-IK35&lt;=0,0,IF(IF35-IK35&lt;=InputData!$C$153,InputData!$C$154*(IF35-IK35),InputData!$C$155*(IF35-IK35)-InputData!$D$154))</f>
        <v>43087.906734853837</v>
      </c>
      <c r="IM35" s="32">
        <f t="shared" si="100"/>
        <v>47186.547607697736</v>
      </c>
      <c r="IN35" s="32">
        <f>IF(IF35&gt;=0,IF(IF35&lt;=InputData!$C$148,InputData!$C$147*IF35,InputData!$C$147*InputData!$C$148)+InputData!$C$149*IF35,0)</f>
        <v>9908.4835312473242</v>
      </c>
      <c r="IO35" s="32">
        <f>IF(IH35&lt;0,0,IF(IH35&lt;=InputData!$B$163,InputData!$C$163*IH35,IF(IH35&lt;=InputData!$B$164,InputData!$D$163+InputData!$C$164*(IH35-InputData!$B$163),IF(IH35&lt;=InputData!$B$165,InputData!$D$164+InputData!$C$165*(IH35-InputData!$B$164),InputData!$D$165+InputData!$C$166*(IH35-InputData!$B$165)))))</f>
        <v>0</v>
      </c>
      <c r="IP35" s="43">
        <f t="shared" si="101"/>
        <v>0.2895606030627329</v>
      </c>
      <c r="IQ35" s="43">
        <f t="shared" si="102"/>
        <v>0.2895606030627329</v>
      </c>
      <c r="IR35" s="5">
        <f t="shared" si="27"/>
        <v>140083.14342983594</v>
      </c>
      <c r="IS35" s="32">
        <f>IR35/((1+InputData!$C$7)^(IntMed!$B35-IntMed!$B$7))</f>
        <v>61227.085504219729</v>
      </c>
      <c r="IT35" s="5">
        <f t="shared" si="103"/>
        <v>1849114.1014254023</v>
      </c>
      <c r="IV35" s="41"/>
      <c r="IW35" s="49" t="s">
        <v>109</v>
      </c>
      <c r="IX35" s="32">
        <f>MIN(InputData!$C$13+InputData!$E$13*($B35-$B$18),1)*IntMed!AW35</f>
        <v>343291.97485343594</v>
      </c>
      <c r="IY35" s="32">
        <f>MIN(InputData!$C$13+InputData!$E$13*($B35-$B$18),1)*IntMed!AX35</f>
        <v>0</v>
      </c>
      <c r="IZ35" s="32">
        <f>MIN(InputData!$C$13+InputData!$E$13*($B35-$B$18),1)*IntMed!AY35</f>
        <v>343291.97485343594</v>
      </c>
      <c r="JA35" s="32">
        <f>MIN(InputData!$C$13+InputData!$E$13*($B35-$B$18),1)*IntMed!EO35</f>
        <v>197178.17456878102</v>
      </c>
      <c r="JB35" s="32">
        <f>MIN(InputData!$C$13+InputData!$E$13*($B35-$B$18),1)*IntMed!EP35</f>
        <v>0</v>
      </c>
      <c r="JC35" s="32">
        <f>IF(JA35-InputData!$C$158-InputData!$C$159&gt;=0,JA35-InputData!$C$158-InputData!$C$159,0)</f>
        <v>197178.17456878102</v>
      </c>
      <c r="JD35" s="32">
        <f>IF(JA35-IF(JA35&lt;=InputData!$C$146,InputData!$C$145,0)-MAX(InputData!$C$144,JJ35)&gt;=0,JA35-IF(JA35&lt;=InputData!$C$146,InputData!$C$145,0)-MAX(InputData!$C$144,JJ35),0)</f>
        <v>191078.17456878102</v>
      </c>
      <c r="JE35" s="32">
        <f>IF(JD35&lt;0,"Error",IF(JD35&lt;=InputData!$B$170,InputData!$C$170*JD35,IF(JD35&lt;=InputData!$B$171,InputData!$D$170+InputData!$C$171*(JD35-InputData!$B$170),IF(JD35&lt;=InputData!$B$172,InputData!$D$171+InputData!$C$172*(JD35-InputData!$B$171),IF(JD35&lt;=InputData!$B$173,InputData!$D$172+InputData!$C$173*(JD35-InputData!$B$172),IF(JD35&lt;=InputData!$B$174,InputData!$D$173+InputData!$C$174*(JD35-InputData!$B$173),IF(JD35&lt;=InputData!$B$175,InputData!$D$174+InputData!$C$175*(JD35-InputData!$B$174),InputData!$D$175+InputData!$C$176*(JD35-InputData!$B$175))))))))</f>
        <v>47186.547607697736</v>
      </c>
      <c r="JF35" s="32">
        <f>IF(JA35&lt;=InputData!$C$150,InputData!$C$152,IF(JA35&lt;InputData!$C$151,IF(InputData!$C$152-0.25*IF(JA35-InputData!$C$150&lt;=0,0,JA35-InputData!$C$150)&lt;=0,0,InputData!$C$152-0.25*IF(JA35-InputData!$C$150&lt;=0,0,JA35-InputData!$C$150)),0))</f>
        <v>31455.456357804745</v>
      </c>
      <c r="JG35" s="32">
        <f>IF(JA35-JF35&lt;=0,0,IF(JA35-JF35&lt;=InputData!$C$153,InputData!$C$154*(JA35-JF35),InputData!$C$155*(JA35-JF35)-InputData!$D$154))</f>
        <v>43087.906734853837</v>
      </c>
      <c r="JH35" s="32">
        <f t="shared" si="104"/>
        <v>47186.547607697736</v>
      </c>
      <c r="JI35" s="32">
        <f>IF(JA35&gt;=0,IF(JA35&lt;=InputData!$C$148,InputData!$C$147*JA35,InputData!$C$147*InputData!$C$148)+InputData!$C$149*JA35,0)</f>
        <v>9908.4835312473242</v>
      </c>
      <c r="JJ35" s="32">
        <f>IF(JC35&lt;0,0,IF(JC35&lt;=InputData!$B$163,InputData!$C$163*JC35,IF(JC35&lt;=InputData!$B$164,InputData!$D$163+InputData!$C$164*(JC35-InputData!$B$163),IF(JC35&lt;=InputData!$B$165,InputData!$D$164+InputData!$C$165*(JC35-InputData!$B$164),InputData!$D$165+InputData!$C$166*(JC35-InputData!$B$165)))))</f>
        <v>0</v>
      </c>
      <c r="JK35" s="42">
        <f t="shared" si="105"/>
        <v>0.2895606030627329</v>
      </c>
      <c r="JL35" s="42">
        <f t="shared" si="106"/>
        <v>0.2895606030627329</v>
      </c>
      <c r="JM35" s="32">
        <f t="shared" si="35"/>
        <v>140083.14342983594</v>
      </c>
      <c r="JN35" s="32">
        <f>JM35/((1+InputData!$C$7)^(IntMed!$B35-IntMed!$B$7))</f>
        <v>61227.085504219729</v>
      </c>
      <c r="JO35" s="32">
        <f t="shared" si="107"/>
        <v>1830465.839972998</v>
      </c>
      <c r="JP35" s="24"/>
      <c r="JQ35" s="41" t="s">
        <v>109</v>
      </c>
      <c r="JR35" s="32">
        <f>$JR$14*(1+InputData!$C$3+InputData!$C$4)^(IntMed!$B35-IntMed!$B$14)</f>
        <v>299165.11969798338</v>
      </c>
      <c r="JS35" s="32">
        <v>0</v>
      </c>
      <c r="JT35" s="32">
        <f t="shared" si="108"/>
        <v>299165.11969798338</v>
      </c>
      <c r="JU35" s="5">
        <f>JR35*(1/(1+InputData!$C$3))^(IntMed!$B35-IntMed!$B$7)</f>
        <v>171832.83186821852</v>
      </c>
      <c r="JV35" s="5">
        <f>JS35*(1/(1+InputData!$C$3))^(IntMed!$B35-IntMed!$B$7)</f>
        <v>0</v>
      </c>
      <c r="JW35" s="32">
        <f>IF(JU35-InputData!$C$158-InputData!$C$159&gt;=0,JU35-InputData!$C$158-InputData!$C$159,0)</f>
        <v>171832.83186821852</v>
      </c>
      <c r="JX35" s="32">
        <f>IF(JU35-IF(JU35&lt;=InputData!$C$146,InputData!$C$145,0)-MAX(InputData!$C$144,KD35)&gt;=0,JU35-IF(JU35&lt;=InputData!$C$146,InputData!$C$145,0)-MAX(InputData!$C$144,KD35),0)</f>
        <v>165732.83186821852</v>
      </c>
      <c r="JY35" s="32">
        <f>IF(JX35&lt;0,"Error",IF(JX35&lt;=InputData!$B$170,InputData!$C$170*JX35,IF(JX35&lt;=InputData!$B$171,InputData!$D$170+InputData!$C$171*(JX35-InputData!$B$170),IF(JX35&lt;=InputData!$B$172,InputData!$D$171+InputData!$C$172*(JX35-InputData!$B$171),IF(JX35&lt;=InputData!$B$173,InputData!$D$172+InputData!$C$173*(JX35-InputData!$B$172),IF(JX35&lt;=InputData!$B$174,InputData!$D$173+InputData!$C$174*(JX35-InputData!$B$173),IF(JX35&lt;=InputData!$B$175,InputData!$D$174+InputData!$C$175*(JX35-InputData!$B$174),InputData!$D$175+InputData!$C$176*(JX35-InputData!$B$175))))))))</f>
        <v>39698.442923101189</v>
      </c>
      <c r="JZ35" s="32">
        <f>IF(JU35&lt;=InputData!$C$150,InputData!$C$152,IF(JU35&lt;InputData!$C$151,IF(InputData!$C$152-0.25*IF(JU35-InputData!$C$150&lt;=0,0,JU35-InputData!$C$150)&lt;=0,0,InputData!$C$152-0.25*IF(JU35-InputData!$C$150&lt;=0,0,JU35-InputData!$C$150)),0))</f>
        <v>37791.79203294537</v>
      </c>
      <c r="KA35" s="32">
        <f>IF(JU35-JZ35&lt;=0,0,IF(JU35-JZ35&lt;=InputData!$C$153,InputData!$C$154*(JU35-JZ35),InputData!$C$155*(JU35-JZ35)-InputData!$D$154))</f>
        <v>34850.670357171017</v>
      </c>
      <c r="KB35" s="32">
        <f t="shared" si="109"/>
        <v>39698.442923101189</v>
      </c>
      <c r="KC35" s="32">
        <f>IF(JU35&gt;=0,IF(JU35&lt;=InputData!$C$148,InputData!$C$147*JU35,InputData!$C$147*InputData!$C$148)+InputData!$C$149*JU35,0)</f>
        <v>9540.9760620891684</v>
      </c>
      <c r="KD35" s="32">
        <f>IF(JW35&lt;0,0,IF(JW35&lt;=InputData!$B$163,InputData!$C$163*JW35,IF(JW35&lt;=InputData!$B$164,InputData!$D$163+InputData!$C$164*(JW35-InputData!$B$163),IF(JW35&lt;=InputData!$B$165,InputData!$D$164+InputData!$C$165*(JW35-InputData!$B$164),InputData!$D$165+InputData!$C$166*(JW35-InputData!$B$165)))))</f>
        <v>0</v>
      </c>
      <c r="KE35" s="43">
        <f t="shared" si="110"/>
        <v>0.28655419601623566</v>
      </c>
      <c r="KF35" s="43">
        <f t="shared" si="111"/>
        <v>0.28655419601623566</v>
      </c>
      <c r="KG35" s="5">
        <f t="shared" si="112"/>
        <v>122593.41288302816</v>
      </c>
      <c r="KH35" s="32">
        <f>KG35/((1+InputData!$C$7)^(IntMed!$B35-IntMed!$B$7))</f>
        <v>53582.73086299537</v>
      </c>
      <c r="KI35" s="5">
        <f t="shared" si="143"/>
        <v>1630284.7507633036</v>
      </c>
      <c r="KK35" s="7">
        <v>11</v>
      </c>
      <c r="KL35" t="s">
        <v>382</v>
      </c>
      <c r="KM35">
        <v>50</v>
      </c>
      <c r="KN35" s="41" t="s">
        <v>109</v>
      </c>
      <c r="KO35" s="32">
        <f>MIN(InputData!$C$13+InputData!$E$13*($B35-$B$24),1)*IntMed!AW35</f>
        <v>343291.97485343594</v>
      </c>
      <c r="KP35" s="32">
        <f>MIN(InputData!$C$13+InputData!$E$13*($B35-$B$24),1)*IntMed!AX35</f>
        <v>0</v>
      </c>
      <c r="KQ35" s="5">
        <f t="shared" si="169"/>
        <v>343291.97485343594</v>
      </c>
      <c r="KR35" s="32">
        <f>KR34*(1+InputData!$C$8)</f>
        <v>20004.368128938433</v>
      </c>
      <c r="KS35" s="5">
        <f>KO35*(1/(1+InputData!$C$3))^(IntMed!$B35-IntMed!$B$7)</f>
        <v>197178.17456878079</v>
      </c>
      <c r="KT35" s="5">
        <f>KP35*(1/(1+InputData!$C$3))^(IntMed!$B35-IntMed!$B$7)</f>
        <v>0</v>
      </c>
      <c r="KU35" s="32" t="s">
        <v>386</v>
      </c>
      <c r="KV35" s="32">
        <v>0</v>
      </c>
      <c r="KW35" s="32">
        <v>0</v>
      </c>
      <c r="KX35" s="5">
        <f>KW35*InputData!$C$6</f>
        <v>0</v>
      </c>
      <c r="KY35" s="32">
        <f t="shared" si="166"/>
        <v>0</v>
      </c>
      <c r="KZ35" s="32">
        <v>0</v>
      </c>
      <c r="LA35" s="32">
        <v>0</v>
      </c>
      <c r="LB35" s="32">
        <f>KZ35/((1+InputData!$C$3)^(IntMed!$B35-IntMed!$B$7))</f>
        <v>0</v>
      </c>
      <c r="LC35" s="32">
        <f>IF(KS35-InputData!$C$158-InputData!$C$159&gt;=0,KS35-InputData!$C$158-InputData!$C$159,0)</f>
        <v>197178.17456878079</v>
      </c>
      <c r="LD35" s="32">
        <f>IF(KS35-IF(KS35&lt;=InputData!$C$146,InputData!$C$145,0)-MAX(InputData!$C$144,LJ35)&gt;=0,KS35-IF(KS35&lt;=InputData!$C$146,InputData!$C$145,0)-MAX(InputData!$C$144,LJ35),0)</f>
        <v>191078.17456878079</v>
      </c>
      <c r="LE35" s="32">
        <f>IF(LD35&lt;0,"Error",IF(LD35&lt;=InputData!$B$170,InputData!$C$170*LD35,IF(LD35&lt;=InputData!$B$171,InputData!$D$170+InputData!$C$171*(LD35-InputData!$B$170),IF(LD35&lt;=InputData!$B$172,InputData!$D$171+InputData!$C$172*(LD35-InputData!$B$171),IF(LD35&lt;=InputData!$B$173,InputData!$D$172+InputData!$C$173*(LD35-InputData!$B$172),IF(LD35&lt;=InputData!$B$174,InputData!$D$173+InputData!$C$174*(LD35-InputData!$B$173),IF(LD35&lt;=InputData!$B$175,InputData!$D$174+InputData!$C$175*(LD35-InputData!$B$174),InputData!$D$175+InputData!$C$176*(LD35-InputData!$B$175))))))))</f>
        <v>47186.547607697663</v>
      </c>
      <c r="LF35" s="32">
        <f>IF(KS35&lt;=InputData!$C$150,InputData!$C$152,IF(KS35&lt;InputData!$C$151,IF(InputData!$C$152-0.25*IF(KS35-InputData!$C$150&lt;=0,0,KS35-InputData!$C$150)&lt;=0,0,InputData!$C$152-0.25*IF(KS35-InputData!$C$150&lt;=0,0,KS35-InputData!$C$150)),0))</f>
        <v>31455.456357804804</v>
      </c>
      <c r="LG35" s="32">
        <f>IF(KS35-LF35&lt;=0,0,IF(KS35-LF35&lt;=InputData!$C$153,InputData!$C$154*(KS35-LF35),InputData!$C$155*(KS35-LF35)-InputData!$D$154))</f>
        <v>43087.906734853757</v>
      </c>
      <c r="LH35" s="32">
        <f t="shared" si="118"/>
        <v>47186.547607697663</v>
      </c>
      <c r="LI35" s="32">
        <f>IF(KS35&gt;=0,IF(KS35&lt;=InputData!$C$148,InputData!$C$147*KS35,InputData!$C$147*InputData!$C$148)+InputData!$C$149*KS35,0)</f>
        <v>9908.4835312473206</v>
      </c>
      <c r="LJ35" s="32">
        <f>IF(LC35&lt;0,0,IF(LC35&lt;=InputData!$B$163,InputData!$C$163*LC35,IF(LC35&lt;=InputData!$B$164,InputData!$D$163+InputData!$C$164*(LC35-InputData!$B$163),IF(LC35&lt;=InputData!$B$165,InputData!$D$164+InputData!$C$165*(LC35-InputData!$B$164),InputData!$D$165+InputData!$C$166*(LC35-InputData!$B$165)))))</f>
        <v>0</v>
      </c>
      <c r="LK35" s="43">
        <f t="shared" si="156"/>
        <v>0.2895606030627329</v>
      </c>
      <c r="LL35" s="32">
        <f t="shared" si="119"/>
        <v>140083.14342983579</v>
      </c>
      <c r="LM35" s="5">
        <f t="shared" si="120"/>
        <v>140083.14342983579</v>
      </c>
      <c r="LN35" s="32">
        <f>LM35/((1+InputData!$C$7)^(IntMed!$B35-IntMed!$B$7))</f>
        <v>61227.085504219664</v>
      </c>
      <c r="LO35" s="5">
        <f t="shared" si="145"/>
        <v>1496334.9983398747</v>
      </c>
      <c r="LQ35" s="157" t="str">
        <f t="shared" si="37"/>
        <v>Private Practice</v>
      </c>
      <c r="LR35" s="32">
        <f t="shared" si="121"/>
        <v>381435.52761492884</v>
      </c>
      <c r="LS35" s="32">
        <v>0</v>
      </c>
      <c r="LT35" s="32">
        <f t="shared" si="123"/>
        <v>381435.52761492884</v>
      </c>
      <c r="LU35" s="32">
        <f>LU34*(1+InputData!$C$8)</f>
        <v>20004.368128938433</v>
      </c>
      <c r="LV35" s="32">
        <f>LR35/((1+InputData!$C$3)^(IntMed!$B35-IntMed!$B$7))</f>
        <v>219086.8606319789</v>
      </c>
      <c r="LW35" s="32">
        <f>LS35/((1+InputData!$C$3)^(IntMed!$B35-IntMed!$B$7))</f>
        <v>0</v>
      </c>
      <c r="LX35" s="32" t="s">
        <v>141</v>
      </c>
      <c r="LY35" s="32">
        <v>0</v>
      </c>
      <c r="LZ35" s="32">
        <f t="shared" si="189"/>
        <v>0</v>
      </c>
      <c r="MA35" s="32">
        <f>(LZ35)*InputData!$C$6</f>
        <v>0</v>
      </c>
      <c r="MB35" s="32">
        <f>MIN($BE$14*InputData!$C$6/(1-(1+InputData!$C$6)^(-10)), LZ35+MA35)</f>
        <v>0</v>
      </c>
      <c r="MC35" s="32">
        <f t="shared" si="168"/>
        <v>0</v>
      </c>
      <c r="MD35" s="32">
        <f>MB35/((1+InputData!$C$3)^(IntMed!$B35-IntMed!$B$7))</f>
        <v>0</v>
      </c>
      <c r="ME35" s="32">
        <f>IF(LV35-InputData!$C$158-InputData!$C$159&gt;=0,LV35-InputData!$C$158-InputData!$C$159,0)</f>
        <v>219086.8606319789</v>
      </c>
      <c r="MF35" s="32">
        <f>IF(LV35-IF(LV35&lt;=InputData!$C$146,InputData!$C$145,0)-MAX(InputData!$C$144,ML35)&gt;=0,LV35-IF(LV35&lt;=InputData!$C$146,InputData!$C$145,0)-MAX(InputData!$C$144,ML35),0)</f>
        <v>212986.8606319789</v>
      </c>
      <c r="MG35" s="32">
        <f>IF(MF35&lt;0,"Error",IF(MF35&lt;=InputData!$B$170,InputData!$C$170*MF35,IF(MF35&lt;=InputData!$B$171,InputData!$D$170+InputData!$C$171*(MF35-InputData!$B$170),IF(MF35&lt;=InputData!$B$172,InputData!$D$171+InputData!$C$172*(MF35-InputData!$B$171),IF(MF35&lt;=InputData!$B$173,InputData!$D$172+InputData!$C$173*(MF35-InputData!$B$172),IF(MF35&lt;=InputData!$B$174,InputData!$D$173+InputData!$C$174*(MF35-InputData!$B$173),IF(MF35&lt;=InputData!$B$175,InputData!$D$174+InputData!$C$175*(MF35-InputData!$B$174),InputData!$D$175+InputData!$C$176*(MF35-InputData!$B$175))))))))</f>
        <v>54416.414008553038</v>
      </c>
      <c r="MH35" s="32">
        <f>IF(LV35&lt;=InputData!$C$150,InputData!$C$152,IF(LV35&lt;InputData!$C$151,IF(InputData!$C$152-0.25*IF(LV35-InputData!$C$150&lt;=0,0,LV35-InputData!$C$150)&lt;=0,0,InputData!$C$152-0.25*IF(LV35-InputData!$C$150&lt;=0,0,LV35-InputData!$C$150)),0))</f>
        <v>25978.284842005276</v>
      </c>
      <c r="MI35" s="32">
        <f>IF(LV35-MH35&lt;=0,0,IF(LV35-MH35&lt;=InputData!$C$153,InputData!$C$154*(LV35-MH35),InputData!$C$155*(LV35-MH35)-InputData!$D$154))</f>
        <v>50480.401221192617</v>
      </c>
      <c r="MJ35" s="32">
        <f t="shared" si="124"/>
        <v>54416.414008553038</v>
      </c>
      <c r="MK35" s="32">
        <f>IF(LV35&gt;=0,IF(LV35&lt;=InputData!$C$148,InputData!$C$147*LV35,InputData!$C$147*InputData!$C$148)+InputData!$C$149*LV35,0)</f>
        <v>10226.159479163694</v>
      </c>
      <c r="ML35" s="32">
        <f>IF(ME35&lt;0,0,IF(ME35&lt;=InputData!$B$163,InputData!$C$163*ME35,IF(ME35&lt;=InputData!$B$164,InputData!$D$163+InputData!$C$164*(ME35-InputData!$B$163),IF(ME35&lt;=InputData!$B$165,InputData!$D$164+InputData!$C$165*(ME35-InputData!$B$164),InputData!$D$165+InputData!$C$166*(ME35-InputData!$B$165)))))</f>
        <v>0</v>
      </c>
      <c r="MM35" s="43">
        <f t="shared" si="38"/>
        <v>0.29505454275645965</v>
      </c>
      <c r="MN35" s="32">
        <f t="shared" si="125"/>
        <v>154444.28714426217</v>
      </c>
      <c r="MO35" s="32">
        <f t="shared" si="126"/>
        <v>154444.28714426217</v>
      </c>
      <c r="MP35" s="32">
        <f>MO35/((1+InputData!$C$7)^(IntMed!$B35-IntMed!$B$7))</f>
        <v>67504.007570735004</v>
      </c>
      <c r="MQ35" s="5">
        <f t="shared" si="147"/>
        <v>1964590.1541114657</v>
      </c>
    </row>
    <row r="36" spans="1:355" x14ac:dyDescent="0.25">
      <c r="A36" s="53">
        <v>2042</v>
      </c>
      <c r="B36" s="51">
        <v>30</v>
      </c>
      <c r="C36" s="4"/>
      <c r="D36" s="3">
        <v>30</v>
      </c>
      <c r="E36" s="4" t="s">
        <v>259</v>
      </c>
      <c r="F36" s="5">
        <f>InputData!$R$21*12</f>
        <v>126320.40000000001</v>
      </c>
      <c r="G36" s="5">
        <f>(InputData!$R$21+InputData!$K$45+InputData!$G$50)*12+InputData!$J$50+InputData!$D$57+InputData!$J$57</f>
        <v>209320.36000000002</v>
      </c>
      <c r="H36" s="5">
        <f>(InputData!$C$32+InputData!$C$40)*12</f>
        <v>21631.199999999997</v>
      </c>
      <c r="I36" s="5">
        <f t="shared" si="207"/>
        <v>230951.56</v>
      </c>
      <c r="J36" s="5">
        <f>G36*((1+InputData!$C$5)/(1+InputData!$C$3))^(IntMed!$B36-IntMed!$B$7)</f>
        <v>157299.13397869698</v>
      </c>
      <c r="K36" s="5">
        <f>H36*((1+InputData!$C$5)/(1+InputData!$C$3))^(IntMed!$B36-IntMed!$B$7)</f>
        <v>16255.318053723917</v>
      </c>
      <c r="L36" s="32">
        <f>IF(J36-InputData!$C$158-InputData!$C$159&gt;=0,J36-InputData!$C$158-InputData!$C$159,0)</f>
        <v>157299.13397869698</v>
      </c>
      <c r="M36" s="32">
        <f>IF(J36-IF(J36&lt;=InputData!$C$146,InputData!$C$145,0)-MAX(InputData!$C$144,S36)&gt;=0,J36-IF(J36&lt;=InputData!$C$146,InputData!$C$145,0)-MAX(InputData!$C$144,S36),0)</f>
        <v>151199.13397869698</v>
      </c>
      <c r="N36" s="32">
        <f>IF(M36&lt;0,"Error",IF(M36&lt;=InputData!$B$170,InputData!$C$170*M36,IF(M36&lt;=InputData!$B$171,InputData!$D$170+InputData!$C$171*(M36-InputData!$B$170),IF(M36&lt;=InputData!$B$172,InputData!$D$171+InputData!$C$172*(M36-InputData!$B$171),IF(M36&lt;=InputData!$B$173,InputData!$D$172+InputData!$C$173*(M36-InputData!$B$172),IF(M36&lt;=InputData!$B$174,InputData!$D$173+InputData!$C$174*(M36-InputData!$B$173),IF(M36&lt;=InputData!$B$175,InputData!$D$174+InputData!$C$175*(M36-InputData!$B$174),InputData!$D$175+InputData!$C$176*(M36-InputData!$B$175))))))))</f>
        <v>35629.007514035155</v>
      </c>
      <c r="O36" s="32">
        <f>IF(J36&lt;=InputData!$C$150,InputData!$C$152,IF(J36&lt;InputData!$C$151,IF(InputData!$C$152-0.25*IF(J36-InputData!$C$150&lt;=0,0,J36-InputData!$C$150)&lt;=0,0,InputData!$C$152-0.25*IF(J36-InputData!$C$150&lt;=0,0,J36-InputData!$C$150)),0))</f>
        <v>41425.216505325756</v>
      </c>
      <c r="P36" s="32">
        <f>IF(J36-O36&lt;=0,0,IF(J36-O36&lt;=InputData!$C$153,InputData!$C$154*(J36-O36),InputData!$C$155*(J36-O36)-InputData!$D$154))</f>
        <v>30127.21854307652</v>
      </c>
      <c r="Q36" s="32">
        <f t="shared" si="40"/>
        <v>35629.007514035155</v>
      </c>
      <c r="R36" s="32">
        <f>IF(J36&gt;=0,IF(J36&lt;=InputData!$C$148,InputData!$C$147*J36,InputData!$C$147*InputData!$C$148)+InputData!$C$149*J36,0)</f>
        <v>9330.2374426911065</v>
      </c>
      <c r="S36" s="32">
        <f>IF(L36&lt;0,0,IF(L36&lt;=InputData!$B$163,InputData!$C$163*L36,IF(L36&lt;=InputData!$B$164,InputData!$D$163+InputData!$C$164*(L36-InputData!$B$163),IF(L36&lt;=InputData!$B$165,InputData!$D$164+InputData!$C$165*(L36-InputData!$B$164),InputData!$D$165+InputData!$C$166*(L36-InputData!$B$165)))))</f>
        <v>0</v>
      </c>
      <c r="T36" s="43">
        <f t="shared" si="41"/>
        <v>0.28582004121405458</v>
      </c>
      <c r="U36" s="43">
        <f t="shared" si="42"/>
        <v>0.2590497934811124</v>
      </c>
      <c r="V36" s="5">
        <f t="shared" si="43"/>
        <v>128595.20707569463</v>
      </c>
      <c r="W36" s="32">
        <f>V36/((1+InputData!$C$7)^(IntMed!$B36-IntMed!$B$7))</f>
        <v>54568.90833196423</v>
      </c>
      <c r="X36" s="5">
        <f t="shared" si="208"/>
        <v>1858244.2542448989</v>
      </c>
      <c r="Y36" s="53"/>
      <c r="Z36" s="3">
        <v>26.5</v>
      </c>
      <c r="AA36" s="98" t="s">
        <v>272</v>
      </c>
      <c r="AB36" s="32">
        <f>(0.5*InputData!$P$21+0.5*InputData!$Q$21)*12</f>
        <v>123366.59999999999</v>
      </c>
      <c r="AC36" s="32">
        <f>(0.5*(InputData!$P$21+InputData!$K$45)+0.5*(InputData!$Q$21+InputData!$K$45)+InputData!$G$50)*12+InputData!$J$50+InputData!$D$57+InputData!$J$57</f>
        <v>206366.56</v>
      </c>
      <c r="AD36" s="5">
        <f t="shared" si="193"/>
        <v>21631.199999999997</v>
      </c>
      <c r="AE36" s="5">
        <f t="shared" si="209"/>
        <v>227997.76</v>
      </c>
      <c r="AF36" s="5">
        <f>AC36*((1+InputData!$C$5)/(1+InputData!$C$3))^(IntMed!$B36-IntMed!$B$7)</f>
        <v>155079.4254804588</v>
      </c>
      <c r="AG36" s="5">
        <f>AD36*((1+InputData!$C$5)/(1+InputData!$C$3))^(IntMed!$B36-IntMed!$B$7)</f>
        <v>16255.318053723917</v>
      </c>
      <c r="AH36" s="32">
        <f>IF(AF36-InputData!$C$158-InputData!$C$159&gt;=0,AF36-InputData!$C$158-InputData!$C$159,0)</f>
        <v>155079.4254804588</v>
      </c>
      <c r="AI36" s="32">
        <f>IF(AF36-IF(AF36&lt;=InputData!$C$146,InputData!$C$145,0)-MAX(InputData!$C$144,AO36)&gt;=0,AF36-IF(AF36&lt;=InputData!$C$146,InputData!$C$145,0)-MAX(InputData!$C$144,AO36),0)</f>
        <v>148979.4254804588</v>
      </c>
      <c r="AJ36" s="32">
        <f>IF(AI36&lt;0,"Error",IF(AI36&lt;=InputData!$B$170,InputData!$C$170*AI36,IF(AI36&lt;=InputData!$B$171,InputData!$D$170+InputData!$C$171*(AI36-InputData!$B$170),IF(AI36&lt;=InputData!$B$172,InputData!$D$171+InputData!$C$172*(AI36-InputData!$B$171),IF(AI36&lt;=InputData!$B$173,InputData!$D$172+InputData!$C$173*(AI36-InputData!$B$172),IF(AI36&lt;=InputData!$B$174,InputData!$D$173+InputData!$C$174*(AI36-InputData!$B$173),IF(AI36&lt;=InputData!$B$175,InputData!$D$174+InputData!$C$175*(AI36-InputData!$B$174),InputData!$D$175+InputData!$C$176*(AI36-InputData!$B$175))))))))</f>
        <v>35007.48913452847</v>
      </c>
      <c r="AK36" s="32">
        <f>IF(AF36&lt;=InputData!$C$150,InputData!$C$152,IF(AF36&lt;InputData!$C$151,IF(InputData!$C$152-0.25*IF(AF36-InputData!$C$150&lt;=0,0,AF36-InputData!$C$150)&lt;=0,0,InputData!$C$152-0.25*IF(AF36-InputData!$C$150&lt;=0,0,AF36-InputData!$C$150)),0))</f>
        <v>41980.1436298853</v>
      </c>
      <c r="AL36" s="32">
        <f>IF(AF36-AK36&lt;=0,0,IF(AF36-AK36&lt;=InputData!$C$153,InputData!$C$154*(AF36-AK36),InputData!$C$155*(AF36-AK36)-InputData!$D$154))</f>
        <v>29405.813281149109</v>
      </c>
      <c r="AM36" s="32">
        <f t="shared" si="45"/>
        <v>35007.48913452847</v>
      </c>
      <c r="AN36" s="32">
        <f>IF(AF36&gt;=0,IF(AF36&lt;=InputData!$C$148,InputData!$C$147*AF36,InputData!$C$147*InputData!$C$148)+InputData!$C$149*AF36,0)</f>
        <v>9298.0516694666512</v>
      </c>
      <c r="AO36" s="32">
        <f>IF(AH36&lt;0,0,IF(AH36&lt;=InputData!$B$163,InputData!$C$163*AH36,IF(AH36&lt;=InputData!$B$164,InputData!$D$163+InputData!$C$164*(AH36-InputData!$B$163),IF(AH36&lt;=InputData!$B$165,InputData!$D$164+InputData!$C$165*(AH36-InputData!$B$164),InputData!$D$165+InputData!$C$166*(AH36-InputData!$B$165)))))</f>
        <v>0</v>
      </c>
      <c r="AP36" s="43">
        <f t="shared" si="46"/>
        <v>0.28569580179143728</v>
      </c>
      <c r="AQ36" s="43">
        <f t="shared" si="47"/>
        <v>0.25859052221451972</v>
      </c>
      <c r="AR36" s="5">
        <f t="shared" si="48"/>
        <v>127029.20273018759</v>
      </c>
      <c r="AS36" s="32">
        <f>AR36/((1+InputData!$C$7)^(IntMed!$B36-IntMed!$B$7))</f>
        <v>53904.380084600154</v>
      </c>
      <c r="AT36" s="5">
        <f t="shared" si="210"/>
        <v>1827514.5868415183</v>
      </c>
      <c r="AU36" s="53"/>
      <c r="AV36" s="41" t="s">
        <v>109</v>
      </c>
      <c r="AW36" s="32">
        <f>$AW$14*(1+InputData!$C$3+InputData!$C$4)^(IntMed!$B36-IntMed!$B$14)</f>
        <v>392878.59344337671</v>
      </c>
      <c r="AX36" s="32">
        <v>0</v>
      </c>
      <c r="AY36" s="32">
        <f t="shared" si="211"/>
        <v>392878.59344337671</v>
      </c>
      <c r="AZ36" s="32">
        <f>AZ35*(1+InputData!$C$8)</f>
        <v>20404.455491517201</v>
      </c>
      <c r="BA36" s="32">
        <f>AW36/((1+InputData!$C$3)^(IntMed!$B36-IntMed!$B$7))</f>
        <v>221234.77103033167</v>
      </c>
      <c r="BB36" s="32">
        <f>AX36/((1+InputData!$C$3)^(IntMed!$B36-IntMed!$B$7))</f>
        <v>0</v>
      </c>
      <c r="BC36" s="32" t="s">
        <v>141</v>
      </c>
      <c r="BD36" s="32">
        <v>0</v>
      </c>
      <c r="BE36" s="32">
        <f t="shared" si="174"/>
        <v>0</v>
      </c>
      <c r="BF36" s="32">
        <f>(BE36)*InputData!$C$6</f>
        <v>0</v>
      </c>
      <c r="BG36" s="32">
        <f>MIN($BE$14*InputData!$C$6/(1-(1+InputData!$C$6)^(-10)), BE36+BF36)</f>
        <v>0</v>
      </c>
      <c r="BH36" s="32">
        <f t="shared" si="157"/>
        <v>0</v>
      </c>
      <c r="BI36" s="32">
        <f>BG36/((1+InputData!$C$3)^(IntMed!$B36-IntMed!$B$7))</f>
        <v>0</v>
      </c>
      <c r="BJ36" s="32">
        <f>IF(BA36-InputData!$C$158-InputData!$C$159&gt;=0,BA36-InputData!$C$158-InputData!$C$159,0)</f>
        <v>221234.77103033167</v>
      </c>
      <c r="BK36" s="32">
        <f>IF(BA36-IF(BA36&lt;=InputData!$C$146,InputData!$C$145,0)-MAX(InputData!$C$144,BQ36)&gt;=0,BA36-IF(BA36&lt;=InputData!$C$146,InputData!$C$145,0)-MAX(InputData!$C$144,BQ36),0)</f>
        <v>215134.77103033167</v>
      </c>
      <c r="BL36" s="32">
        <f>IF(BK36&lt;0,"Error",IF(BK36&lt;=InputData!$B$170,InputData!$C$170*BK36,IF(BK36&lt;=InputData!$B$171,InputData!$D$170+InputData!$C$171*(BK36-InputData!$B$170),IF(BK36&lt;=InputData!$B$172,InputData!$D$171+InputData!$C$172*(BK36-InputData!$B$171),IF(BK36&lt;=InputData!$B$173,InputData!$D$172+InputData!$C$173*(BK36-InputData!$B$172),IF(BK36&lt;=InputData!$B$174,InputData!$D$173+InputData!$C$174*(BK36-InputData!$B$173),IF(BK36&lt;=InputData!$B$175,InputData!$D$174+InputData!$C$175*(BK36-InputData!$B$174),InputData!$D$175+InputData!$C$176*(BK36-InputData!$B$175))))))))</f>
        <v>55125.22444000945</v>
      </c>
      <c r="BM36" s="32">
        <f>IF(BA36&lt;=InputData!$C$150,InputData!$C$152,IF(BA36&lt;InputData!$C$151,IF(InputData!$C$152-0.25*IF(BA36-InputData!$C$150&lt;=0,0,BA36-InputData!$C$150)&lt;=0,0,InputData!$C$152-0.25*IF(BA36-InputData!$C$150&lt;=0,0,BA36-InputData!$C$150)),0))</f>
        <v>25441.307242417082</v>
      </c>
      <c r="BN36" s="32">
        <f>IF(BA36-BM36&lt;=0,0,IF(BA36-BM36&lt;=InputData!$C$153,InputData!$C$154*(BA36-BM36),InputData!$C$155*(BA36-BM36)-InputData!$D$154))</f>
        <v>51232.169860616094</v>
      </c>
      <c r="BO36" s="32">
        <f t="shared" si="51"/>
        <v>55125.22444000945</v>
      </c>
      <c r="BP36" s="32">
        <f>IF(BA36&gt;=0,IF(BA36&lt;=InputData!$C$148,InputData!$C$147*BA36,InputData!$C$147*InputData!$C$148)+InputData!$C$149*BA36,0)</f>
        <v>10257.304179939809</v>
      </c>
      <c r="BQ36" s="32">
        <f>IF(BJ36&lt;0,0,IF(BJ36&lt;=InputData!$B$163,InputData!$C$163*BJ36,IF(BJ36&lt;=InputData!$B$164,InputData!$D$163+InputData!$C$164*(BJ36-InputData!$B$163),IF(BJ36&lt;=InputData!$B$165,InputData!$D$164+InputData!$C$165*(BJ36-InputData!$B$164),InputData!$D$165+InputData!$C$166*(BJ36-InputData!$B$165)))))</f>
        <v>0</v>
      </c>
      <c r="BR36" s="43">
        <f t="shared" si="52"/>
        <v>0.2955345957394066</v>
      </c>
      <c r="BS36" s="32">
        <f t="shared" si="53"/>
        <v>155852.24241038243</v>
      </c>
      <c r="BT36" s="32">
        <f t="shared" si="54"/>
        <v>155852.24241038243</v>
      </c>
      <c r="BU36" s="32">
        <f>BT36/((1+InputData!$C$7)^(IntMed!$B36-IntMed!$B$7))</f>
        <v>66135.332123359287</v>
      </c>
      <c r="BV36" s="5">
        <f t="shared" si="130"/>
        <v>1647053.9382101544</v>
      </c>
      <c r="BW36" s="5"/>
      <c r="BX36" s="32" t="s">
        <v>141</v>
      </c>
      <c r="BY36" s="5">
        <f t="shared" si="175"/>
        <v>52137.735101671096</v>
      </c>
      <c r="BZ36" s="32">
        <f>(BY36)*InputData!$C$6</f>
        <v>3237.753349813775</v>
      </c>
      <c r="CA36" s="32">
        <f>MIN($BY$14*InputData!$C$6/(1-(1+InputData!$C$6)^(-25)), BY36+BZ36)</f>
        <v>19581.069601718285</v>
      </c>
      <c r="CB36" s="32">
        <f t="shared" si="176"/>
        <v>35794.418849766589</v>
      </c>
      <c r="CC36" s="32">
        <f>CA36/((1+InputData!$C$3)^(IntMed!$B36-IntMed!$B$7))</f>
        <v>11026.341272242109</v>
      </c>
      <c r="CD36" s="5">
        <f t="shared" si="58"/>
        <v>144825.90113814033</v>
      </c>
      <c r="CE36" s="32">
        <f>CD36/((1+InputData!$C$7)^(IntMed!$B36-IntMed!$B$7))</f>
        <v>61456.344314989736</v>
      </c>
      <c r="CF36" s="5">
        <f t="shared" si="131"/>
        <v>1644547.6195638184</v>
      </c>
      <c r="CG36" s="5"/>
      <c r="CH36" s="32" t="s">
        <v>141</v>
      </c>
      <c r="CI36" s="5">
        <f t="shared" si="177"/>
        <v>0</v>
      </c>
      <c r="CJ36" s="32">
        <f>(CI36)*InputData!$C$6</f>
        <v>0</v>
      </c>
      <c r="CK36" s="32">
        <f t="shared" si="170"/>
        <v>0</v>
      </c>
      <c r="CL36" s="32">
        <f t="shared" si="178"/>
        <v>0</v>
      </c>
      <c r="CM36" s="32">
        <f>CK36/((1+InputData!$C$3)^(IntMed!$B36-IntMed!$B$7))</f>
        <v>0</v>
      </c>
      <c r="CN36" s="5">
        <f t="shared" si="62"/>
        <v>155852.24241038243</v>
      </c>
      <c r="CO36" s="32">
        <f>CN36/((1+InputData!$C$7)^(IntMed!$B36-IntMed!$B$7))</f>
        <v>66135.332123359287</v>
      </c>
      <c r="CP36" s="5">
        <f t="shared" si="132"/>
        <v>1645680.5025372172</v>
      </c>
      <c r="CQ36" s="5"/>
      <c r="CR36" s="32" t="s">
        <v>141</v>
      </c>
      <c r="CS36" s="5">
        <f t="shared" si="179"/>
        <v>0</v>
      </c>
      <c r="CT36" s="32">
        <f>(CS36)*InputData!$C$6</f>
        <v>0</v>
      </c>
      <c r="CU36" s="32">
        <f t="shared" si="171"/>
        <v>0</v>
      </c>
      <c r="CV36" s="32">
        <f t="shared" si="180"/>
        <v>0</v>
      </c>
      <c r="CW36" s="32">
        <f>CU36/((1+InputData!$C$3)^(IntMed!$B36-IntMed!$B$7))</f>
        <v>0</v>
      </c>
      <c r="CX36" s="5">
        <f t="shared" si="66"/>
        <v>155852.24241038243</v>
      </c>
      <c r="CY36" s="32">
        <f>CX36/((1+InputData!$C$7)^(IntMed!$B36-IntMed!$B$7))</f>
        <v>66135.332123359287</v>
      </c>
      <c r="CZ36" s="5">
        <f t="shared" si="133"/>
        <v>1639034.4528299442</v>
      </c>
      <c r="DA36" s="5"/>
      <c r="DB36" s="32" t="s">
        <v>141</v>
      </c>
      <c r="DC36" s="5">
        <f t="shared" si="158"/>
        <v>0</v>
      </c>
      <c r="DD36" s="5">
        <f>DC36*InputData!$C$6</f>
        <v>0</v>
      </c>
      <c r="DE36" s="32">
        <f t="shared" si="159"/>
        <v>0</v>
      </c>
      <c r="DF36" s="32">
        <f t="shared" si="160"/>
        <v>0</v>
      </c>
      <c r="DG36" s="32">
        <f>DE36/((1+InputData!$C$3)^(IntMed!$B36-IntMed!$B$7))</f>
        <v>0</v>
      </c>
      <c r="DH36" s="5">
        <f t="shared" si="70"/>
        <v>155852.24241038243</v>
      </c>
      <c r="DI36" s="32">
        <f>DH36/((1+InputData!$C$7)^(IntMed!$B36-IntMed!$B$7))</f>
        <v>66135.332123359287</v>
      </c>
      <c r="DJ36" s="5">
        <f t="shared" si="134"/>
        <v>1650986.7097905008</v>
      </c>
      <c r="DK36" s="5"/>
      <c r="DL36" s="32" t="s">
        <v>141</v>
      </c>
      <c r="DM36" s="32">
        <f t="shared" si="181"/>
        <v>0</v>
      </c>
      <c r="DN36" s="5">
        <f>DM36*InputData!$C$6</f>
        <v>0</v>
      </c>
      <c r="DO36" s="32">
        <f t="shared" si="182"/>
        <v>0</v>
      </c>
      <c r="DP36" s="32">
        <f t="shared" si="150"/>
        <v>0</v>
      </c>
      <c r="DQ36" s="32">
        <f t="shared" si="151"/>
        <v>0</v>
      </c>
      <c r="DR36" s="32">
        <f>DP36/((1+InputData!$C$3)^(IntMed!$B36-IntMed!$B$7))</f>
        <v>0</v>
      </c>
      <c r="DS36" s="5">
        <f t="shared" si="74"/>
        <v>155852.24241038243</v>
      </c>
      <c r="DT36" s="32">
        <f>DS36/((1+InputData!$C$7)^(IntMed!$B36-IntMed!$B$7))</f>
        <v>66135.332123359287</v>
      </c>
      <c r="DU36" s="5">
        <f t="shared" si="136"/>
        <v>1646986.5396015714</v>
      </c>
      <c r="DV36" s="5"/>
      <c r="DW36" s="32" t="s">
        <v>141</v>
      </c>
      <c r="DX36" s="133">
        <f t="shared" si="161"/>
        <v>0</v>
      </c>
      <c r="DY36" s="5">
        <f>DX36*InputData!$C$6</f>
        <v>0</v>
      </c>
      <c r="DZ36" s="133">
        <f t="shared" si="162"/>
        <v>0</v>
      </c>
      <c r="EA36" s="32">
        <f t="shared" si="163"/>
        <v>0</v>
      </c>
      <c r="EB36" s="32">
        <f t="shared" si="164"/>
        <v>0</v>
      </c>
      <c r="EC36" s="32">
        <f>EA36/((1+InputData!$C$3)^(IntMed!$B36-IntMed!$B$7))</f>
        <v>0</v>
      </c>
      <c r="ED36" s="5">
        <f t="shared" si="78"/>
        <v>155852.24241038243</v>
      </c>
      <c r="EE36" s="32">
        <f>ED36/((1+InputData!$C$7)^(IntMed!$B36-IntMed!$B$7))</f>
        <v>66135.332123359287</v>
      </c>
      <c r="EF36" s="5">
        <f t="shared" si="138"/>
        <v>1642994.3758194782</v>
      </c>
      <c r="EG36" s="32"/>
      <c r="EH36" s="130" t="s">
        <v>141</v>
      </c>
      <c r="EI36" s="32">
        <v>0</v>
      </c>
      <c r="EJ36" s="32">
        <f t="shared" si="212"/>
        <v>0</v>
      </c>
      <c r="EK36" s="32">
        <f>EJ36*InputData!$C$6</f>
        <v>0</v>
      </c>
      <c r="EL36" s="32">
        <f t="shared" si="213"/>
        <v>5.0931703299283981E-11</v>
      </c>
      <c r="EM36" s="32">
        <f>EM35*(1+InputData!$C$8)</f>
        <v>20404.455491517201</v>
      </c>
      <c r="EN36" s="32">
        <f t="shared" si="172"/>
        <v>0</v>
      </c>
      <c r="EO36" s="32">
        <f>AW36/((1+InputData!$C$3)^(IntMed!$B36-IntMed!$B$7))</f>
        <v>221234.77103033167</v>
      </c>
      <c r="EP36" s="32">
        <f>AX36/((1+InputData!$C$3)^(IntMed!$B36-IntMed!$B$7))</f>
        <v>0</v>
      </c>
      <c r="EQ36" s="32">
        <v>54931.48</v>
      </c>
      <c r="ER36" s="32">
        <v>8960.06</v>
      </c>
      <c r="ES36" s="32">
        <v>0</v>
      </c>
      <c r="ET36" s="42">
        <f t="shared" si="214"/>
        <v>0.28879520024110661</v>
      </c>
      <c r="EU36" s="32">
        <f t="shared" si="215"/>
        <v>157343.23103033166</v>
      </c>
      <c r="EV36" s="32">
        <f>EN36/((1+InputData!$C$3)^(IntMed!$B36-IntMed!$B$7))</f>
        <v>0</v>
      </c>
      <c r="EW36" s="32">
        <f t="shared" si="216"/>
        <v>157343.23103033166</v>
      </c>
      <c r="EX36" s="32">
        <f>EW36/((1+InputData!$C$7)^(IntMed!$B36-IntMed!$B$7))</f>
        <v>66768.027720467508</v>
      </c>
      <c r="EY36" s="5">
        <f t="shared" si="217"/>
        <v>1659161.0162573631</v>
      </c>
      <c r="EZ36" s="79"/>
      <c r="FA36" s="32">
        <f t="shared" si="203"/>
        <v>0</v>
      </c>
      <c r="FB36" s="32">
        <f>FA36*InputData!$C$6</f>
        <v>0</v>
      </c>
      <c r="FC36" s="32">
        <f t="shared" si="204"/>
        <v>0</v>
      </c>
      <c r="FD36" s="53">
        <f>MIN($EJ$14*InputData!$C$6/(1-(1+InputData!$C$6)^(-10)), FA36+FB36)</f>
        <v>0</v>
      </c>
      <c r="FE36" s="32">
        <f>FD36/((1+InputData!$C$3)^(IntMed!$B36-IntMed!$B$7))</f>
        <v>0</v>
      </c>
      <c r="FF36" s="5">
        <f t="shared" si="84"/>
        <v>157343.23103033166</v>
      </c>
      <c r="FG36" s="32">
        <f>FF36/((1+InputData!$C$7)^(IntMed!$B36-IntMed!$B$7))</f>
        <v>66768.027720467508</v>
      </c>
      <c r="FH36" s="5">
        <f t="shared" si="140"/>
        <v>1667571.460115501</v>
      </c>
      <c r="FI36" s="79"/>
      <c r="FJ36" s="32">
        <f t="shared" si="185"/>
        <v>52805.207773237024</v>
      </c>
      <c r="FK36" s="32">
        <f>FJ36*InputData!$C$6</f>
        <v>3279.2034027180193</v>
      </c>
      <c r="FL36" s="32">
        <f t="shared" si="186"/>
        <v>36252.662698108106</v>
      </c>
      <c r="FM36" s="53">
        <f>MIN($EJ$14*InputData!$C$6/(1-(1+InputData!$C$6)^(-25)), FJ36+FK36)</f>
        <v>19831.748477846937</v>
      </c>
      <c r="FN36" s="32">
        <f>FM36/((1+InputData!$C$3)^(IntMed!$B36-IntMed!$B$7))</f>
        <v>11167.501632434796</v>
      </c>
      <c r="FO36" s="5">
        <f t="shared" si="88"/>
        <v>146175.72939789685</v>
      </c>
      <c r="FP36" s="32">
        <f>FO36/((1+InputData!$C$7)^(IntMed!$B36-IntMed!$B$7))</f>
        <v>62029.139026749021</v>
      </c>
      <c r="FQ36" s="5">
        <f t="shared" si="141"/>
        <v>1665033.0553189048</v>
      </c>
      <c r="FR36" s="79"/>
      <c r="FS36" s="32">
        <f t="shared" si="187"/>
        <v>0</v>
      </c>
      <c r="FT36" s="32">
        <f>FS36*InputData!$C$6</f>
        <v>0</v>
      </c>
      <c r="FU36" s="32">
        <f t="shared" si="188"/>
        <v>0</v>
      </c>
      <c r="FV36" s="5">
        <f t="shared" si="173"/>
        <v>0</v>
      </c>
      <c r="FW36" s="32">
        <f>FV36/((1+InputData!$C$3)^(IntMed!$B36-IntMed!$B$7))</f>
        <v>0</v>
      </c>
      <c r="FX36" s="5">
        <f t="shared" si="92"/>
        <v>157343.23103033166</v>
      </c>
      <c r="FY36" s="32">
        <f>FX36/((1+InputData!$C$7)^(IntMed!$B36-IntMed!$B$7))</f>
        <v>66768.027720467508</v>
      </c>
      <c r="FZ36" s="5">
        <f t="shared" si="142"/>
        <v>1666026.8108388225</v>
      </c>
      <c r="GC36" s="83">
        <v>22</v>
      </c>
      <c r="GD36" s="4" t="s">
        <v>217</v>
      </c>
      <c r="GE36" s="5"/>
      <c r="GF36" s="4"/>
      <c r="GG36" s="5"/>
      <c r="GH36" s="5"/>
      <c r="GI36" s="5"/>
      <c r="GJ36" s="84">
        <v>0</v>
      </c>
      <c r="GK36" s="5"/>
      <c r="GL36" s="84">
        <f>MIN(InputData!$C$13+InputData!$E$13*($B36-$B$33),1)*$AW36/((1+InputData!$C$3)^(IntMed!$B36-IntMed!$B$7))+0.025*$GC$32*(($F$30+$F$31+$F$32)/3)*((1+InputData!$C$5)/(1+InputData!$C$3))^(IntMed!$B36-IntMed!$B$7)</f>
        <v>247316.97797270532</v>
      </c>
      <c r="GM36" s="5">
        <v>0</v>
      </c>
      <c r="GN36" s="32">
        <f>IF(GL36-InputData!$C$158-InputData!$C$159&gt;=0,GL36-InputData!$C$158-InputData!$C$159,0)</f>
        <v>247316.97797270532</v>
      </c>
      <c r="GO36" s="32">
        <f>IF(GL36-IF(GL36&lt;=InputData!$C$146,InputData!$C$145,0)-MAX(InputData!$C$144,GU36)&gt;=0,GL36-IF(GL36&lt;=InputData!$C$146,InputData!$C$145,0)-MAX(InputData!$C$144,GU36),0)</f>
        <v>241216.97797270532</v>
      </c>
      <c r="GP36" s="32">
        <f>IF(GO36&lt;0,"Error",IF(GO36&lt;=InputData!$B$170,InputData!$C$170*GO36,IF(GO36&lt;=InputData!$B$171,InputData!$D$170+InputData!$C$171*(GO36-InputData!$B$170),IF(GO36&lt;=InputData!$B$172,InputData!$D$171+InputData!$C$172*(GO36-InputData!$B$171),IF(GO36&lt;=InputData!$B$173,InputData!$D$172+InputData!$C$173*(GO36-InputData!$B$172),IF(GO36&lt;=InputData!$B$174,InputData!$D$173+InputData!$C$174*(GO36-InputData!$B$173),IF(GO36&lt;=InputData!$B$175,InputData!$D$174+InputData!$C$175*(GO36-InputData!$B$174),InputData!$D$175+InputData!$C$176*(GO36-InputData!$B$175))))))))</f>
        <v>63732.352730992759</v>
      </c>
      <c r="GQ36" s="32">
        <f>IF(GL36&lt;=InputData!$C$150,InputData!$C$152,IF(GL36&lt;InputData!$C$151,IF(InputData!$C$152-0.25*IF(GL36-InputData!$C$150&lt;=0,0,GL36-InputData!$C$150)&lt;=0,0,InputData!$C$152-0.25*IF(GL36-InputData!$C$150&lt;=0,0,GL36-InputData!$C$150)),0))</f>
        <v>18920.755506823669</v>
      </c>
      <c r="GR36" s="32">
        <f>IF(GL36-GQ36&lt;=0,0,IF(GL36-GQ36&lt;=InputData!$C$153,InputData!$C$154*(GL36-GQ36),InputData!$C$155*(GL36-GQ36)-InputData!$D$154))</f>
        <v>60360.942290446874</v>
      </c>
      <c r="GS36" s="32">
        <f t="shared" si="93"/>
        <v>63732.352730992759</v>
      </c>
      <c r="GT36" s="32">
        <f>IF(GL36&gt;=0,IF(GL36&lt;=InputData!$C$148,InputData!$C$147*GL36,InputData!$C$147*InputData!$C$148)+InputData!$C$149*GL36,0)</f>
        <v>10635.496180604227</v>
      </c>
      <c r="GU36" s="32">
        <f>IF(GN36&lt;0,0,IF(GN36&lt;=InputData!$B$163,InputData!$C$163*GN36,IF(GN36&lt;=InputData!$B$164,InputData!$D$163+InputData!$C$164*(GN36-InputData!$B$163),IF(GN36&lt;=InputData!$B$165,InputData!$D$164+InputData!$C$165*(GN36-InputData!$B$164),InputData!$D$165+InputData!$C$166*(GN36-InputData!$B$165)))))</f>
        <v>0</v>
      </c>
      <c r="GV36" s="43">
        <f>(GS36+GT36+GU36)/GL36</f>
        <v>0.30069851864276159</v>
      </c>
      <c r="GW36" s="43">
        <f>(GS36+GT36+GU36)/(GL36+GM36)</f>
        <v>0.30069851864276159</v>
      </c>
      <c r="GX36" s="5">
        <f>GL36+GM36-GS36-GT36-GU36</f>
        <v>172949.12906110834</v>
      </c>
      <c r="GY36" s="32">
        <f>GX36/((1+InputData!$C$7)^(IntMed!$B36-IntMed!$B$7))</f>
        <v>73390.333780273926</v>
      </c>
      <c r="GZ36" s="84">
        <f t="shared" ref="GZ36" si="218">GZ35+GY36</f>
        <v>1914474.3584127922</v>
      </c>
      <c r="HB36" s="83">
        <v>23</v>
      </c>
      <c r="HC36" s="4" t="s">
        <v>217</v>
      </c>
      <c r="HD36" s="4"/>
      <c r="HE36" s="4"/>
      <c r="HF36" s="4"/>
      <c r="HG36" s="4"/>
      <c r="HH36" s="5"/>
      <c r="HI36" s="84">
        <v>0</v>
      </c>
      <c r="HJ36" s="5"/>
      <c r="HK36" s="84">
        <f>MIN(InputData!$C$13+InputData!$E$13*($B36-$B$34),1)*$AW36/((1+InputData!$C$3)^(IntMed!$B36-IntMed!$B$7))+0.025*$HB$33*(($AB$31+$AB$32+$AB$33)/3)*((1+InputData!$C$5)/(1+InputData!$C$3))^(IntMed!$B36-IntMed!$B$7)</f>
        <v>249175.2567873791</v>
      </c>
      <c r="HL36" s="5">
        <v>0</v>
      </c>
      <c r="HM36" s="32">
        <f>IF(HK36-InputData!$C$158-InputData!$C$159&gt;=0,HK36-InputData!$C$158-InputData!$C$159,0)</f>
        <v>249175.2567873791</v>
      </c>
      <c r="HN36" s="32">
        <f>IF(HK36-IF(HK36&lt;=InputData!$C$146,InputData!$C$145,0)-MAX(InputData!$C$144,HT36)&gt;=0,HK36-IF(HK36&lt;=InputData!$C$146,InputData!$C$145,0)-MAX(InputData!$C$144,HT36),0)</f>
        <v>243075.2567873791</v>
      </c>
      <c r="HO36" s="32">
        <f>IF(HN36&lt;0,"Error",IF(HN36&lt;=InputData!$B$170,InputData!$C$170*HN36,IF(HN36&lt;=InputData!$B$171,InputData!$D$170+InputData!$C$171*(HN36-InputData!$B$170),IF(HN36&lt;=InputData!$B$172,InputData!$D$171+InputData!$C$172*(HN36-InputData!$B$171),IF(HN36&lt;=InputData!$B$173,InputData!$D$172+InputData!$C$173*(HN36-InputData!$B$172),IF(HN36&lt;=InputData!$B$174,InputData!$D$173+InputData!$C$174*(HN36-InputData!$B$173),IF(HN36&lt;=InputData!$B$175,InputData!$D$174+InputData!$C$175*(HN36-InputData!$B$174),InputData!$D$175+InputData!$C$176*(HN36-InputData!$B$175))))))))</f>
        <v>64345.584739835103</v>
      </c>
      <c r="HP36" s="32">
        <f>IF(HK36&lt;=InputData!$C$150,InputData!$C$152,IF(HK36&lt;InputData!$C$151,IF(InputData!$C$152-0.25*IF(HK36-InputData!$C$150&lt;=0,0,HK36-InputData!$C$150)&lt;=0,0,InputData!$C$152-0.25*IF(HK36-InputData!$C$150&lt;=0,0,HK36-InputData!$C$150)),0))</f>
        <v>18456.185803155226</v>
      </c>
      <c r="HQ36" s="32">
        <f>IF(HK36-HP36&lt;=0,0,IF(HK36-HP36&lt;=InputData!$C$153,InputData!$C$154*(HK36-HP36),InputData!$C$155*(HK36-HP36)-InputData!$D$154))</f>
        <v>61011.339875582686</v>
      </c>
      <c r="HR36" s="32">
        <f t="shared" si="95"/>
        <v>64345.584739835103</v>
      </c>
      <c r="HS36" s="32">
        <f>IF(HK36&gt;=0,IF(HK36&lt;=InputData!$C$148,InputData!$C$147*HK36,InputData!$C$147*InputData!$C$148)+InputData!$C$149*HK36,0)</f>
        <v>10662.441223416998</v>
      </c>
      <c r="HT36" s="32">
        <f>IF(HM36&lt;0,0,IF(HM36&lt;=InputData!$B$163,InputData!$C$163*HM36,IF(HM36&lt;=InputData!$B$164,InputData!$D$163+InputData!$C$164*(HM36-InputData!$B$163),IF(HM36&lt;=InputData!$B$165,InputData!$D$164+InputData!$C$165*(HM36-InputData!$B$164),InputData!$D$165+InputData!$C$166*(HM36-InputData!$B$165)))))</f>
        <v>0</v>
      </c>
      <c r="HU36" s="43">
        <f t="shared" si="96"/>
        <v>0.30102517774169024</v>
      </c>
      <c r="HV36" s="43">
        <f t="shared" si="97"/>
        <v>0.30102517774169024</v>
      </c>
      <c r="HW36" s="5">
        <f t="shared" si="98"/>
        <v>174167.23082412698</v>
      </c>
      <c r="HX36" s="32">
        <f>HW36/((1+InputData!$C$7)^(IntMed!$B36-IntMed!$B$7))</f>
        <v>73907.230832323781</v>
      </c>
      <c r="HY36" s="84">
        <f t="shared" ref="HY36" si="219">HY35+HX36</f>
        <v>1863959.8970471765</v>
      </c>
      <c r="IA36" s="41"/>
      <c r="IB36" s="4" t="s">
        <v>109</v>
      </c>
      <c r="IC36" s="32">
        <f>MIN(InputData!$C$13+InputData!$E$13*($B36-$B$21),1)*IntMed!AW36</f>
        <v>353590.73409903905</v>
      </c>
      <c r="ID36" s="32">
        <f>MIN(InputData!$C$13+InputData!$E$13*($B36-$B$21),1)*IntMed!AX36</f>
        <v>0</v>
      </c>
      <c r="IE36" s="32">
        <f>MIN(InputData!$C$13+InputData!$E$13*($B36-$B$21),1)*IntMed!AY36</f>
        <v>353590.73409903905</v>
      </c>
      <c r="IF36" s="32">
        <f>MIN(InputData!$C$13+InputData!$E$13*($B36-$B$21),1)*IntMed!EO36</f>
        <v>199111.29392729851</v>
      </c>
      <c r="IG36" s="32">
        <f>MIN(InputData!$C$13+InputData!$E$13*($B36-$B$21),1)*IntMed!EP36</f>
        <v>0</v>
      </c>
      <c r="IH36" s="32">
        <f>IF(IF36-InputData!$C$158-InputData!$C$159&gt;=0,IF36-InputData!$C$158-InputData!$C$159,0)</f>
        <v>199111.29392729851</v>
      </c>
      <c r="II36" s="32">
        <f>IF(IF36-IF(IF36&lt;=InputData!$C$146,InputData!$C$145,0)-MAX(InputData!$C$144,IO36)&gt;=0,IF36-IF(IF36&lt;=InputData!$C$146,InputData!$C$145,0)-MAX(InputData!$C$144,IO36),0)</f>
        <v>193011.29392729851</v>
      </c>
      <c r="IJ36" s="32">
        <f>IF(II36&lt;0,"Error",IF(II36&lt;=InputData!$B$170,InputData!$C$170*II36,IF(II36&lt;=InputData!$B$171,InputData!$D$170+InputData!$C$171*(II36-InputData!$B$170),IF(II36&lt;=InputData!$B$172,InputData!$D$171+InputData!$C$172*(II36-InputData!$B$171),IF(II36&lt;=InputData!$B$173,InputData!$D$172+InputData!$C$173*(II36-InputData!$B$172),IF(II36&lt;=InputData!$B$174,InputData!$D$173+InputData!$C$174*(II36-InputData!$B$173),IF(II36&lt;=InputData!$B$175,InputData!$D$174+InputData!$C$175*(II36-InputData!$B$174),InputData!$D$175+InputData!$C$176*(II36-InputData!$B$175))))))))</f>
        <v>47824.47699600851</v>
      </c>
      <c r="IK36" s="32">
        <f>IF(IF36&lt;=InputData!$C$150,InputData!$C$152,IF(IF36&lt;InputData!$C$151,IF(InputData!$C$152-0.25*IF(IF36-InputData!$C$150&lt;=0,0,IF36-InputData!$C$150)&lt;=0,0,InputData!$C$152-0.25*IF(IF36-InputData!$C$150&lt;=0,0,IF36-InputData!$C$150)),0))</f>
        <v>30972.176518175373</v>
      </c>
      <c r="IL36" s="32">
        <f>IF(IF36-IK36&lt;=0,0,IF(IF36-IK36&lt;=InputData!$C$153,InputData!$C$154*(IF36-IK36),InputData!$C$155*(IF36-IK36)-InputData!$D$154))</f>
        <v>43716.170526372014</v>
      </c>
      <c r="IM36" s="32">
        <f t="shared" si="100"/>
        <v>47824.47699600851</v>
      </c>
      <c r="IN36" s="32">
        <f>IF(IF36&gt;=0,IF(IF36&lt;=InputData!$C$148,InputData!$C$147*IF36,InputData!$C$147*InputData!$C$148)+InputData!$C$149*IF36,0)</f>
        <v>9936.5137619458292</v>
      </c>
      <c r="IO36" s="32">
        <f>IF(IH36&lt;0,0,IF(IH36&lt;=InputData!$B$163,InputData!$C$163*IH36,IF(IH36&lt;=InputData!$B$164,InputData!$D$163+InputData!$C$164*(IH36-InputData!$B$163),IF(IH36&lt;=InputData!$B$165,InputData!$D$164+InputData!$C$165*(IH36-InputData!$B$164),InputData!$D$165+InputData!$C$166*(IH36-InputData!$B$165)))))</f>
        <v>0</v>
      </c>
      <c r="IP36" s="43">
        <f t="shared" si="101"/>
        <v>0.29009399526600738</v>
      </c>
      <c r="IQ36" s="43">
        <f t="shared" si="102"/>
        <v>0.29009399526600738</v>
      </c>
      <c r="IR36" s="5">
        <f>IF36+IG36-IM36-IN36-IO36</f>
        <v>141350.30316934417</v>
      </c>
      <c r="IS36" s="32">
        <f>IR36/((1+InputData!$C$7)^(IntMed!$B36-IntMed!$B$7))</f>
        <v>59981.486960109003</v>
      </c>
      <c r="IT36" s="5">
        <f t="shared" ref="IT36" si="220">IT35+IS36</f>
        <v>1909095.5883855114</v>
      </c>
      <c r="IV36" s="41"/>
      <c r="IW36" s="49" t="s">
        <v>109</v>
      </c>
      <c r="IX36" s="32">
        <f>MIN(InputData!$C$13+InputData!$E$13*($B36-$B$18),1)*IntMed!AW36</f>
        <v>353590.73409903905</v>
      </c>
      <c r="IY36" s="32">
        <f>MIN(InputData!$C$13+InputData!$E$13*($B36-$B$18),1)*IntMed!AX36</f>
        <v>0</v>
      </c>
      <c r="IZ36" s="32">
        <f>MIN(InputData!$C$13+InputData!$E$13*($B36-$B$18),1)*IntMed!AY36</f>
        <v>353590.73409903905</v>
      </c>
      <c r="JA36" s="32">
        <f>MIN(InputData!$C$13+InputData!$E$13*($B36-$B$18),1)*IntMed!EO36</f>
        <v>199111.29392729851</v>
      </c>
      <c r="JB36" s="32">
        <f>MIN(InputData!$C$13+InputData!$E$13*($B36-$B$18),1)*IntMed!EP36</f>
        <v>0</v>
      </c>
      <c r="JC36" s="32">
        <f>IF(JA36-InputData!$C$158-InputData!$C$159&gt;=0,JA36-InputData!$C$158-InputData!$C$159,0)</f>
        <v>199111.29392729851</v>
      </c>
      <c r="JD36" s="32">
        <f>IF(JA36-IF(JA36&lt;=InputData!$C$146,InputData!$C$145,0)-MAX(InputData!$C$144,JJ36)&gt;=0,JA36-IF(JA36&lt;=InputData!$C$146,InputData!$C$145,0)-MAX(InputData!$C$144,JJ36),0)</f>
        <v>193011.29392729851</v>
      </c>
      <c r="JE36" s="32">
        <f>IF(JD36&lt;0,"Error",IF(JD36&lt;=InputData!$B$170,InputData!$C$170*JD36,IF(JD36&lt;=InputData!$B$171,InputData!$D$170+InputData!$C$171*(JD36-InputData!$B$170),IF(JD36&lt;=InputData!$B$172,InputData!$D$171+InputData!$C$172*(JD36-InputData!$B$171),IF(JD36&lt;=InputData!$B$173,InputData!$D$172+InputData!$C$173*(JD36-InputData!$B$172),IF(JD36&lt;=InputData!$B$174,InputData!$D$173+InputData!$C$174*(JD36-InputData!$B$173),IF(JD36&lt;=InputData!$B$175,InputData!$D$174+InputData!$C$175*(JD36-InputData!$B$174),InputData!$D$175+InputData!$C$176*(JD36-InputData!$B$175))))))))</f>
        <v>47824.47699600851</v>
      </c>
      <c r="JF36" s="32">
        <f>IF(JA36&lt;=InputData!$C$150,InputData!$C$152,IF(JA36&lt;InputData!$C$151,IF(InputData!$C$152-0.25*IF(JA36-InputData!$C$150&lt;=0,0,JA36-InputData!$C$150)&lt;=0,0,InputData!$C$152-0.25*IF(JA36-InputData!$C$150&lt;=0,0,JA36-InputData!$C$150)),0))</f>
        <v>30972.176518175373</v>
      </c>
      <c r="JG36" s="32">
        <f>IF(JA36-JF36&lt;=0,0,IF(JA36-JF36&lt;=InputData!$C$153,InputData!$C$154*(JA36-JF36),InputData!$C$155*(JA36-JF36)-InputData!$D$154))</f>
        <v>43716.170526372014</v>
      </c>
      <c r="JH36" s="32">
        <f t="shared" si="104"/>
        <v>47824.47699600851</v>
      </c>
      <c r="JI36" s="32">
        <f>IF(JA36&gt;=0,IF(JA36&lt;=InputData!$C$148,InputData!$C$147*JA36,InputData!$C$147*InputData!$C$148)+InputData!$C$149*JA36,0)</f>
        <v>9936.5137619458292</v>
      </c>
      <c r="JJ36" s="32">
        <f>IF(JC36&lt;0,0,IF(JC36&lt;=InputData!$B$163,InputData!$C$163*JC36,IF(JC36&lt;=InputData!$B$164,InputData!$D$163+InputData!$C$164*(JC36-InputData!$B$163),IF(JC36&lt;=InputData!$B$165,InputData!$D$164+InputData!$C$165*(JC36-InputData!$B$164),InputData!$D$165+InputData!$C$166*(JC36-InputData!$B$165)))))</f>
        <v>0</v>
      </c>
      <c r="JK36" s="42">
        <f t="shared" si="105"/>
        <v>0.29009399526600738</v>
      </c>
      <c r="JL36" s="42">
        <f t="shared" si="106"/>
        <v>0.29009399526600738</v>
      </c>
      <c r="JM36" s="32">
        <f>JA36+JB36-JH36-JI36-JJ36</f>
        <v>141350.30316934417</v>
      </c>
      <c r="JN36" s="32">
        <f>JM36/((1+InputData!$C$7)^(IntMed!$B36-IntMed!$B$7))</f>
        <v>59981.486960109003</v>
      </c>
      <c r="JO36" s="32">
        <f t="shared" ref="JO36" si="221">JO35+JN36</f>
        <v>1890447.3269331071</v>
      </c>
      <c r="JP36" s="24"/>
      <c r="JQ36" s="41" t="s">
        <v>109</v>
      </c>
      <c r="JR36" s="32">
        <f>$JR$14*(1+InputData!$C$3+InputData!$C$4)^(IntMed!$B36-IntMed!$B$14)</f>
        <v>308140.07328892295</v>
      </c>
      <c r="JS36" s="32">
        <v>0</v>
      </c>
      <c r="JT36" s="32">
        <f t="shared" si="108"/>
        <v>308140.07328892295</v>
      </c>
      <c r="JU36" s="5">
        <f>JR36*(1/(1+InputData!$C$3))^(IntMed!$B36-IntMed!$B$7)</f>
        <v>173517.46747476968</v>
      </c>
      <c r="JV36" s="5">
        <f>JS36*(1/(1+InputData!$C$3))^(IntMed!$B36-IntMed!$B$7)</f>
        <v>0</v>
      </c>
      <c r="JW36" s="32">
        <f>IF(JU36-InputData!$C$158-InputData!$C$159&gt;=0,JU36-InputData!$C$158-InputData!$C$159,0)</f>
        <v>173517.46747476968</v>
      </c>
      <c r="JX36" s="32">
        <f>IF(JU36-IF(JU36&lt;=InputData!$C$146,InputData!$C$145,0)-MAX(InputData!$C$144,KD36)&gt;=0,JU36-IF(JU36&lt;=InputData!$C$146,InputData!$C$145,0)-MAX(InputData!$C$144,KD36),0)</f>
        <v>167417.46747476968</v>
      </c>
      <c r="JY36" s="32">
        <f>IF(JX36&lt;0,"Error",IF(JX36&lt;=InputData!$B$170,InputData!$C$170*JX36,IF(JX36&lt;=InputData!$B$171,InputData!$D$170+InputData!$C$171*(JX36-InputData!$B$170),IF(JX36&lt;=InputData!$B$172,InputData!$D$171+InputData!$C$172*(JX36-InputData!$B$171),IF(JX36&lt;=InputData!$B$173,InputData!$D$172+InputData!$C$173*(JX36-InputData!$B$172),IF(JX36&lt;=InputData!$B$174,InputData!$D$173+InputData!$C$174*(JX36-InputData!$B$173),IF(JX36&lt;=InputData!$B$175,InputData!$D$174+InputData!$C$175*(JX36-InputData!$B$174),InputData!$D$175+InputData!$C$176*(JX36-InputData!$B$175))))))))</f>
        <v>40170.140892935509</v>
      </c>
      <c r="JZ36" s="32">
        <f>IF(JU36&lt;=InputData!$C$150,InputData!$C$152,IF(JU36&lt;InputData!$C$151,IF(InputData!$C$152-0.25*IF(JU36-InputData!$C$150&lt;=0,0,JU36-InputData!$C$150)&lt;=0,0,InputData!$C$152-0.25*IF(JU36-InputData!$C$150&lt;=0,0,JU36-InputData!$C$150)),0))</f>
        <v>37370.633131307579</v>
      </c>
      <c r="KA36" s="32">
        <f>IF(JU36-JZ36&lt;=0,0,IF(JU36-JZ36&lt;=InputData!$C$153,InputData!$C$154*(JU36-JZ36),InputData!$C$155*(JU36-JZ36)-InputData!$D$154))</f>
        <v>35398.176929300149</v>
      </c>
      <c r="KB36" s="32">
        <f t="shared" si="109"/>
        <v>40170.140892935509</v>
      </c>
      <c r="KC36" s="32">
        <f>IF(JU36&gt;=0,IF(JU36&lt;=InputData!$C$148,InputData!$C$147*JU36,InputData!$C$147*InputData!$C$148)+InputData!$C$149*JU36,0)</f>
        <v>9565.4032783841612</v>
      </c>
      <c r="KD36" s="32">
        <f>IF(JW36&lt;0,0,IF(JW36&lt;=InputData!$B$163,InputData!$C$163*JW36,IF(JW36&lt;=InputData!$B$164,InputData!$D$163+InputData!$C$164*(JW36-InputData!$B$163),IF(JW36&lt;=InputData!$B$165,InputData!$D$164+InputData!$C$165*(JW36-InputData!$B$164),InputData!$D$165+InputData!$C$166*(JW36-InputData!$B$165)))))</f>
        <v>0</v>
      </c>
      <c r="KE36" s="43">
        <f t="shared" si="110"/>
        <v>0.28663133974423338</v>
      </c>
      <c r="KF36" s="43">
        <f t="shared" si="111"/>
        <v>0.28663133974423338</v>
      </c>
      <c r="KG36" s="5">
        <f t="shared" si="112"/>
        <v>123781.92330345002</v>
      </c>
      <c r="KH36" s="32">
        <f>KG36/((1+InputData!$C$7)^(IntMed!$B36-IntMed!$B$7))</f>
        <v>52526.408872487948</v>
      </c>
      <c r="KI36" s="5">
        <f t="shared" si="143"/>
        <v>1682811.1596357916</v>
      </c>
      <c r="KK36" s="7">
        <v>12</v>
      </c>
      <c r="KL36" t="s">
        <v>383</v>
      </c>
      <c r="KM36">
        <v>51</v>
      </c>
      <c r="KN36" s="41" t="s">
        <v>109</v>
      </c>
      <c r="KO36" s="32">
        <f>MIN(InputData!$C$13+InputData!$E$13*($B36-$B$24),1)*IntMed!AW36</f>
        <v>353590.73409903905</v>
      </c>
      <c r="KP36" s="32">
        <f>MIN(InputData!$C$13+InputData!$E$13*($B36-$B$24),1)*IntMed!AX36</f>
        <v>0</v>
      </c>
      <c r="KQ36" s="5">
        <f t="shared" si="169"/>
        <v>353590.73409903905</v>
      </c>
      <c r="KR36" s="32">
        <f>KR35*(1+InputData!$C$8)</f>
        <v>20404.455491517201</v>
      </c>
      <c r="KS36" s="5">
        <f>KO36*(1/(1+InputData!$C$3))^(IntMed!$B36-IntMed!$B$7)</f>
        <v>199111.29392729819</v>
      </c>
      <c r="KT36" s="5">
        <f>KP36*(1/(1+InputData!$C$3))^(IntMed!$B36-IntMed!$B$7)</f>
        <v>0</v>
      </c>
      <c r="KU36" s="32" t="s">
        <v>386</v>
      </c>
      <c r="KV36" s="32">
        <v>0</v>
      </c>
      <c r="KW36" s="32">
        <v>0</v>
      </c>
      <c r="KX36" s="5">
        <f>KW36*InputData!$C$6</f>
        <v>0</v>
      </c>
      <c r="KY36" s="32">
        <f t="shared" si="166"/>
        <v>0</v>
      </c>
      <c r="KZ36" s="32">
        <v>0</v>
      </c>
      <c r="LA36" s="32">
        <v>0</v>
      </c>
      <c r="LB36" s="32">
        <f>KZ36/((1+InputData!$C$3)^(IntMed!$B36-IntMed!$B$7))</f>
        <v>0</v>
      </c>
      <c r="LC36" s="32">
        <f>IF(KS36-InputData!$C$158-InputData!$C$159&gt;=0,KS36-InputData!$C$158-InputData!$C$159,0)</f>
        <v>199111.29392729819</v>
      </c>
      <c r="LD36" s="32">
        <f>IF(KS36-IF(KS36&lt;=InputData!$C$146,InputData!$C$145,0)-MAX(InputData!$C$144,LJ36)&gt;=0,KS36-IF(KS36&lt;=InputData!$C$146,InputData!$C$145,0)-MAX(InputData!$C$144,LJ36),0)</f>
        <v>193011.29392729819</v>
      </c>
      <c r="LE36" s="32">
        <f>IF(LD36&lt;0,"Error",IF(LD36&lt;=InputData!$B$170,InputData!$C$170*LD36,IF(LD36&lt;=InputData!$B$171,InputData!$D$170+InputData!$C$171*(LD36-InputData!$B$170),IF(LD36&lt;=InputData!$B$172,InputData!$D$171+InputData!$C$172*(LD36-InputData!$B$171),IF(LD36&lt;=InputData!$B$173,InputData!$D$172+InputData!$C$173*(LD36-InputData!$B$172),IF(LD36&lt;=InputData!$B$174,InputData!$D$173+InputData!$C$174*(LD36-InputData!$B$173),IF(LD36&lt;=InputData!$B$175,InputData!$D$174+InputData!$C$175*(LD36-InputData!$B$174),InputData!$D$175+InputData!$C$176*(LD36-InputData!$B$175))))))))</f>
        <v>47824.476996008401</v>
      </c>
      <c r="LF36" s="32">
        <f>IF(KS36&lt;=InputData!$C$150,InputData!$C$152,IF(KS36&lt;InputData!$C$151,IF(InputData!$C$152-0.25*IF(KS36-InputData!$C$150&lt;=0,0,KS36-InputData!$C$150)&lt;=0,0,InputData!$C$152-0.25*IF(KS36-InputData!$C$150&lt;=0,0,KS36-InputData!$C$150)),0))</f>
        <v>30972.176518175453</v>
      </c>
      <c r="LG36" s="32">
        <f>IF(KS36-LF36&lt;=0,0,IF(KS36-LF36&lt;=InputData!$C$153,InputData!$C$154*(KS36-LF36),InputData!$C$155*(KS36-LF36)-InputData!$D$154))</f>
        <v>43716.170526371912</v>
      </c>
      <c r="LH36" s="32">
        <f t="shared" si="118"/>
        <v>47824.476996008401</v>
      </c>
      <c r="LI36" s="32">
        <f>IF(KS36&gt;=0,IF(KS36&lt;=InputData!$C$148,InputData!$C$147*KS36,InputData!$C$147*InputData!$C$148)+InputData!$C$149*KS36,0)</f>
        <v>9936.5137619458237</v>
      </c>
      <c r="LJ36" s="32">
        <f>IF(LC36&lt;0,0,IF(LC36&lt;=InputData!$B$163,InputData!$C$163*LC36,IF(LC36&lt;=InputData!$B$164,InputData!$D$163+InputData!$C$164*(LC36-InputData!$B$163),IF(LC36&lt;=InputData!$B$165,InputData!$D$164+InputData!$C$165*(LC36-InputData!$B$164),InputData!$D$165+InputData!$C$166*(LC36-InputData!$B$165)))))</f>
        <v>0</v>
      </c>
      <c r="LK36" s="43">
        <f t="shared" si="156"/>
        <v>0.29009399526600727</v>
      </c>
      <c r="LL36" s="32">
        <f t="shared" si="119"/>
        <v>141350.30316934397</v>
      </c>
      <c r="LM36" s="5">
        <f t="shared" si="120"/>
        <v>141350.30316934397</v>
      </c>
      <c r="LN36" s="32">
        <f>LM36/((1+InputData!$C$7)^(IntMed!$B36-IntMed!$B$7))</f>
        <v>59981.486960108923</v>
      </c>
      <c r="LO36" s="5">
        <f t="shared" si="145"/>
        <v>1556316.4852999835</v>
      </c>
      <c r="LQ36" s="157" t="str">
        <f t="shared" si="37"/>
        <v>Private Practice</v>
      </c>
      <c r="LR36" s="32">
        <f t="shared" si="121"/>
        <v>392878.59344337671</v>
      </c>
      <c r="LS36" s="32">
        <v>0</v>
      </c>
      <c r="LT36" s="32">
        <f t="shared" si="123"/>
        <v>392878.59344337671</v>
      </c>
      <c r="LU36" s="32">
        <f>LU35*(1+InputData!$C$8)</f>
        <v>20404.455491517201</v>
      </c>
      <c r="LV36" s="32">
        <f>LR36/((1+InputData!$C$3)^(IntMed!$B36-IntMed!$B$7))</f>
        <v>221234.77103033167</v>
      </c>
      <c r="LW36" s="32">
        <f>LS36/((1+InputData!$C$3)^(IntMed!$B36-IntMed!$B$7))</f>
        <v>0</v>
      </c>
      <c r="LX36" s="32" t="s">
        <v>141</v>
      </c>
      <c r="LY36" s="32">
        <v>0</v>
      </c>
      <c r="LZ36" s="32">
        <f t="shared" si="189"/>
        <v>0</v>
      </c>
      <c r="MA36" s="32">
        <f>(LZ36)*InputData!$C$6</f>
        <v>0</v>
      </c>
      <c r="MB36" s="32">
        <f>MIN($BE$14*InputData!$C$6/(1-(1+InputData!$C$6)^(-10)), LZ36+MA36)</f>
        <v>0</v>
      </c>
      <c r="MC36" s="32">
        <f t="shared" si="168"/>
        <v>0</v>
      </c>
      <c r="MD36" s="32">
        <f>MB36/((1+InputData!$C$3)^(IntMed!$B36-IntMed!$B$7))</f>
        <v>0</v>
      </c>
      <c r="ME36" s="32">
        <f>IF(LV36-InputData!$C$158-InputData!$C$159&gt;=0,LV36-InputData!$C$158-InputData!$C$159,0)</f>
        <v>221234.77103033167</v>
      </c>
      <c r="MF36" s="32">
        <f>IF(LV36-IF(LV36&lt;=InputData!$C$146,InputData!$C$145,0)-MAX(InputData!$C$144,ML36)&gt;=0,LV36-IF(LV36&lt;=InputData!$C$146,InputData!$C$145,0)-MAX(InputData!$C$144,ML36),0)</f>
        <v>215134.77103033167</v>
      </c>
      <c r="MG36" s="32">
        <f>IF(MF36&lt;0,"Error",IF(MF36&lt;=InputData!$B$170,InputData!$C$170*MF36,IF(MF36&lt;=InputData!$B$171,InputData!$D$170+InputData!$C$171*(MF36-InputData!$B$170),IF(MF36&lt;=InputData!$B$172,InputData!$D$171+InputData!$C$172*(MF36-InputData!$B$171),IF(MF36&lt;=InputData!$B$173,InputData!$D$172+InputData!$C$173*(MF36-InputData!$B$172),IF(MF36&lt;=InputData!$B$174,InputData!$D$173+InputData!$C$174*(MF36-InputData!$B$173),IF(MF36&lt;=InputData!$B$175,InputData!$D$174+InputData!$C$175*(MF36-InputData!$B$174),InputData!$D$175+InputData!$C$176*(MF36-InputData!$B$175))))))))</f>
        <v>55125.22444000945</v>
      </c>
      <c r="MH36" s="32">
        <f>IF(LV36&lt;=InputData!$C$150,InputData!$C$152,IF(LV36&lt;InputData!$C$151,IF(InputData!$C$152-0.25*IF(LV36-InputData!$C$150&lt;=0,0,LV36-InputData!$C$150)&lt;=0,0,InputData!$C$152-0.25*IF(LV36-InputData!$C$150&lt;=0,0,LV36-InputData!$C$150)),0))</f>
        <v>25441.307242417082</v>
      </c>
      <c r="MI36" s="32">
        <f>IF(LV36-MH36&lt;=0,0,IF(LV36-MH36&lt;=InputData!$C$153,InputData!$C$154*(LV36-MH36),InputData!$C$155*(LV36-MH36)-InputData!$D$154))</f>
        <v>51232.169860616094</v>
      </c>
      <c r="MJ36" s="32">
        <f t="shared" si="124"/>
        <v>55125.22444000945</v>
      </c>
      <c r="MK36" s="32">
        <f>IF(LV36&gt;=0,IF(LV36&lt;=InputData!$C$148,InputData!$C$147*LV36,InputData!$C$147*InputData!$C$148)+InputData!$C$149*LV36,0)</f>
        <v>10257.304179939809</v>
      </c>
      <c r="ML36" s="32">
        <f>IF(ME36&lt;0,0,IF(ME36&lt;=InputData!$B$163,InputData!$C$163*ME36,IF(ME36&lt;=InputData!$B$164,InputData!$D$163+InputData!$C$164*(ME36-InputData!$B$163),IF(ME36&lt;=InputData!$B$165,InputData!$D$164+InputData!$C$165*(ME36-InputData!$B$164),InputData!$D$165+InputData!$C$166*(ME36-InputData!$B$165)))))</f>
        <v>0</v>
      </c>
      <c r="MM36" s="43">
        <f>(MJ36+MK36+ML36)/(LV36+LW36)</f>
        <v>0.2955345957394066</v>
      </c>
      <c r="MN36" s="32">
        <f t="shared" si="125"/>
        <v>155852.24241038243</v>
      </c>
      <c r="MO36" s="32">
        <f t="shared" si="126"/>
        <v>155852.24241038243</v>
      </c>
      <c r="MP36" s="32">
        <f>MO36/((1+InputData!$C$7)^(IntMed!$B36-IntMed!$B$7))</f>
        <v>66135.332123359287</v>
      </c>
      <c r="MQ36" s="5">
        <f t="shared" si="147"/>
        <v>2030725.4862348249</v>
      </c>
    </row>
    <row r="37" spans="1:355" x14ac:dyDescent="0.25">
      <c r="BY37" s="5"/>
      <c r="BZ37" s="32"/>
      <c r="CA37" s="32"/>
      <c r="CB37" s="32"/>
    </row>
    <row r="38" spans="1:355" x14ac:dyDescent="0.25">
      <c r="BY38" s="5"/>
      <c r="BZ38" s="32"/>
      <c r="CA38" s="32"/>
      <c r="CB38" s="32"/>
    </row>
    <row r="39" spans="1:355" x14ac:dyDescent="0.25">
      <c r="BY39" s="5"/>
      <c r="BZ39" s="32"/>
      <c r="CA39" s="32"/>
      <c r="CB39" s="32"/>
    </row>
    <row r="40" spans="1:355" x14ac:dyDescent="0.25">
      <c r="BY40" s="5"/>
      <c r="BZ40" s="32"/>
      <c r="CA40" s="32"/>
      <c r="CB40" s="32"/>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KI46"/>
  <sheetViews>
    <sheetView zoomScale="90" zoomScaleNormal="90" workbookViewId="0">
      <selection activeCell="CU3" sqref="CU3"/>
    </sheetView>
  </sheetViews>
  <sheetFormatPr defaultRowHeight="15" x14ac:dyDescent="0.25"/>
  <cols>
    <col min="1" max="1" width="9.28515625" customWidth="1"/>
    <col min="2" max="3" width="5" customWidth="1"/>
    <col min="4" max="4" width="6.140625" customWidth="1"/>
    <col min="5" max="5" width="49.140625" customWidth="1"/>
    <col min="6" max="6" width="7.85546875" customWidth="1"/>
    <col min="7" max="7" width="10.5703125" customWidth="1"/>
    <col min="10" max="22" width="8.85546875" customWidth="1"/>
    <col min="24" max="24" width="9.7109375" customWidth="1"/>
    <col min="26" max="26" width="6.85546875" customWidth="1"/>
    <col min="27" max="27" width="48.7109375" customWidth="1"/>
    <col min="28" max="28" width="8.28515625" bestFit="1" customWidth="1"/>
    <col min="46" max="46" width="9.28515625" customWidth="1"/>
    <col min="48" max="48" width="12.85546875" customWidth="1"/>
    <col min="74" max="136" width="10.42578125" customWidth="1"/>
    <col min="138" max="153" width="0" hidden="1" customWidth="1"/>
    <col min="154" max="154" width="9.5703125" hidden="1" customWidth="1"/>
    <col min="155" max="155" width="9.42578125" hidden="1" customWidth="1"/>
    <col min="156" max="163" width="0" hidden="1" customWidth="1"/>
    <col min="164" max="164" width="10" hidden="1" customWidth="1"/>
    <col min="165" max="172" width="0" hidden="1" customWidth="1"/>
    <col min="173" max="173" width="10" hidden="1" customWidth="1"/>
    <col min="174" max="181" width="0" hidden="1" customWidth="1"/>
    <col min="182" max="182" width="10" hidden="1" customWidth="1"/>
    <col min="186" max="186" width="36.5703125" customWidth="1"/>
    <col min="204" max="204" width="10" bestFit="1" customWidth="1"/>
    <col min="207" max="207" width="27.5703125" customWidth="1"/>
    <col min="225" max="225" width="10" bestFit="1" customWidth="1"/>
    <col min="228" max="228" width="43.42578125" customWidth="1"/>
    <col min="246" max="246" width="10.85546875" customWidth="1"/>
    <col min="249" max="249" width="27.42578125" customWidth="1"/>
    <col min="267" max="267" width="10.85546875" customWidth="1"/>
    <col min="269" max="269" width="11.140625" customWidth="1"/>
    <col min="294" max="295" width="9.5703125" customWidth="1"/>
  </cols>
  <sheetData>
    <row r="1" spans="1:295" ht="15.6" x14ac:dyDescent="0.3">
      <c r="E1" s="55" t="s">
        <v>457</v>
      </c>
      <c r="F1" s="55"/>
      <c r="G1" s="55" t="str">
        <f>InputData!$G$1</f>
        <v>San Antonio, TX</v>
      </c>
      <c r="DC1" t="s">
        <v>330</v>
      </c>
      <c r="DD1" t="s">
        <v>331</v>
      </c>
      <c r="DY1" t="s">
        <v>336</v>
      </c>
    </row>
    <row r="2" spans="1:295" ht="14.45" x14ac:dyDescent="0.3">
      <c r="E2" t="s">
        <v>215</v>
      </c>
      <c r="G2" s="82">
        <f>InputData!$C$85</f>
        <v>409020</v>
      </c>
      <c r="BC2" t="s">
        <v>317</v>
      </c>
      <c r="CB2" t="s">
        <v>317</v>
      </c>
      <c r="CK2" t="s">
        <v>317</v>
      </c>
      <c r="CU2" t="s">
        <v>317</v>
      </c>
      <c r="DC2" s="47">
        <f>DF10+0.5*DC10*InputData!$C$6</f>
        <v>212416.2</v>
      </c>
      <c r="DD2" s="47">
        <f>$DC$2*InputData!$C$6/(1-(1+InputData!$C$6)^(-10))</f>
        <v>29148.379963889372</v>
      </c>
      <c r="DE2" t="s">
        <v>326</v>
      </c>
      <c r="DM2" s="5"/>
      <c r="DP2" t="s">
        <v>326</v>
      </c>
      <c r="DX2" s="5"/>
      <c r="DY2" s="5">
        <f>0.1*$DC$2</f>
        <v>21241.620000000003</v>
      </c>
      <c r="DZ2" s="5"/>
      <c r="EA2" t="s">
        <v>326</v>
      </c>
      <c r="EH2" t="s">
        <v>317</v>
      </c>
    </row>
    <row r="3" spans="1:295" x14ac:dyDescent="0.25">
      <c r="EH3" s="130" t="s">
        <v>406</v>
      </c>
      <c r="JI3" s="154"/>
    </row>
    <row r="4" spans="1:295" ht="15.6" x14ac:dyDescent="0.3">
      <c r="A4" s="52" t="s">
        <v>183</v>
      </c>
      <c r="B4" s="6"/>
      <c r="C4" s="8"/>
      <c r="D4" s="64"/>
      <c r="E4" s="65" t="s">
        <v>4</v>
      </c>
      <c r="F4" s="65"/>
      <c r="G4" s="66"/>
      <c r="H4" s="67"/>
      <c r="I4" s="67"/>
      <c r="J4" s="67"/>
      <c r="K4" s="67"/>
      <c r="L4" s="67"/>
      <c r="M4" s="67"/>
      <c r="N4" s="67"/>
      <c r="O4" s="67"/>
      <c r="P4" s="67"/>
      <c r="Q4" s="67"/>
      <c r="R4" s="67"/>
      <c r="S4" s="67"/>
      <c r="T4" s="67"/>
      <c r="U4" s="67"/>
      <c r="V4" s="67"/>
      <c r="W4" s="67"/>
      <c r="X4" s="67"/>
      <c r="Z4" s="62"/>
      <c r="AA4" s="68" t="s">
        <v>3</v>
      </c>
      <c r="AB4" s="68"/>
      <c r="AC4" s="63"/>
      <c r="AD4" s="63"/>
      <c r="AE4" s="63"/>
      <c r="AF4" s="63"/>
      <c r="AG4" s="63"/>
      <c r="AH4" s="63"/>
      <c r="AI4" s="63"/>
      <c r="AJ4" s="63"/>
      <c r="AK4" s="63"/>
      <c r="AL4" s="63"/>
      <c r="AM4" s="63"/>
      <c r="AN4" s="63"/>
      <c r="AO4" s="63"/>
      <c r="AP4" s="63"/>
      <c r="AQ4" s="63"/>
      <c r="AR4" s="63"/>
      <c r="AS4" s="63"/>
      <c r="AT4" s="63"/>
      <c r="AV4" s="69" t="s">
        <v>329</v>
      </c>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128"/>
      <c r="BX4" s="69" t="s">
        <v>203</v>
      </c>
      <c r="BY4" s="70"/>
      <c r="BZ4" s="70"/>
      <c r="CA4" s="70"/>
      <c r="CB4" s="70"/>
      <c r="CC4" s="70"/>
      <c r="CD4" s="70"/>
      <c r="CE4" s="70"/>
      <c r="CF4" s="70"/>
      <c r="CG4" s="24"/>
      <c r="CH4" s="69" t="s">
        <v>208</v>
      </c>
      <c r="CI4" s="70"/>
      <c r="CJ4" s="70"/>
      <c r="CK4" s="70"/>
      <c r="CL4" s="70"/>
      <c r="CM4" s="70"/>
      <c r="CN4" s="70"/>
      <c r="CO4" s="70"/>
      <c r="CP4" s="70"/>
      <c r="CQ4" s="24"/>
      <c r="CR4" s="69" t="s">
        <v>322</v>
      </c>
      <c r="CS4" s="70"/>
      <c r="CT4" s="70"/>
      <c r="CU4" s="70"/>
      <c r="CV4" s="70"/>
      <c r="CW4" s="70"/>
      <c r="CX4" s="70"/>
      <c r="CY4" s="70"/>
      <c r="CZ4" s="70"/>
      <c r="DA4" s="24"/>
      <c r="DB4" s="69" t="s">
        <v>329</v>
      </c>
      <c r="DC4" s="70"/>
      <c r="DD4" s="70"/>
      <c r="DE4" s="70"/>
      <c r="DF4" s="70"/>
      <c r="DG4" s="70"/>
      <c r="DH4" s="70"/>
      <c r="DI4" s="70"/>
      <c r="DJ4" s="70"/>
      <c r="DK4" s="24"/>
      <c r="DL4" s="69" t="s">
        <v>208</v>
      </c>
      <c r="DM4" s="70"/>
      <c r="DN4" s="70"/>
      <c r="DO4" s="70"/>
      <c r="DP4" s="70"/>
      <c r="DQ4" s="70"/>
      <c r="DR4" s="70"/>
      <c r="DS4" s="70"/>
      <c r="DT4" s="70"/>
      <c r="DU4" s="70"/>
      <c r="DV4" s="24"/>
      <c r="DW4" s="69" t="s">
        <v>322</v>
      </c>
      <c r="DX4" s="70"/>
      <c r="DY4" s="70"/>
      <c r="DZ4" s="70"/>
      <c r="EA4" s="70"/>
      <c r="EB4" s="70"/>
      <c r="EC4" s="70"/>
      <c r="ED4" s="70"/>
      <c r="EE4" s="70"/>
      <c r="EF4" s="70"/>
      <c r="EG4" s="14"/>
      <c r="EH4" s="69" t="s">
        <v>322</v>
      </c>
      <c r="EI4" s="61"/>
      <c r="EJ4" s="61"/>
      <c r="EK4" s="61"/>
      <c r="EL4" s="61"/>
      <c r="EM4" s="61"/>
      <c r="EN4" s="61"/>
      <c r="EO4" s="61"/>
      <c r="EP4" s="61"/>
      <c r="EQ4" s="61"/>
      <c r="ER4" s="61"/>
      <c r="ES4" s="61"/>
      <c r="ET4" s="61"/>
      <c r="EU4" s="61"/>
      <c r="EV4" s="61"/>
      <c r="EW4" s="61"/>
      <c r="EX4" s="61"/>
      <c r="EY4" s="61"/>
      <c r="EZ4" s="59"/>
      <c r="FA4" s="69" t="s">
        <v>198</v>
      </c>
      <c r="FB4" s="70"/>
      <c r="FC4" s="70"/>
      <c r="FD4" s="70"/>
      <c r="FE4" s="70"/>
      <c r="FF4" s="70"/>
      <c r="FG4" s="70"/>
      <c r="FH4" s="70"/>
      <c r="FI4" s="59"/>
      <c r="FJ4" s="69" t="s">
        <v>203</v>
      </c>
      <c r="FK4" s="70"/>
      <c r="FL4" s="70"/>
      <c r="FM4" s="70"/>
      <c r="FN4" s="70"/>
      <c r="FO4" s="70"/>
      <c r="FP4" s="70"/>
      <c r="FQ4" s="70"/>
      <c r="FR4" s="59"/>
      <c r="FS4" s="69" t="s">
        <v>208</v>
      </c>
      <c r="FT4" s="70"/>
      <c r="FU4" s="70"/>
      <c r="FV4" s="70"/>
      <c r="FW4" s="70"/>
      <c r="FX4" s="70"/>
      <c r="FY4" s="70"/>
      <c r="FZ4" s="70"/>
      <c r="GC4" s="64"/>
      <c r="GD4" s="85" t="s">
        <v>341</v>
      </c>
      <c r="GE4" s="66"/>
      <c r="GF4" s="67"/>
      <c r="GG4" s="67"/>
      <c r="GH4" s="67"/>
      <c r="GI4" s="67"/>
      <c r="GJ4" s="67"/>
      <c r="GK4" s="67"/>
      <c r="GL4" s="67"/>
      <c r="GM4" s="67"/>
      <c r="GN4" s="67"/>
      <c r="GO4" s="67"/>
      <c r="GP4" s="67"/>
      <c r="GQ4" s="67"/>
      <c r="GR4" s="67"/>
      <c r="GS4" s="67"/>
      <c r="GT4" s="67"/>
      <c r="GU4" s="67"/>
      <c r="GV4" s="67"/>
      <c r="GX4" s="62"/>
      <c r="GY4" s="85" t="s">
        <v>339</v>
      </c>
      <c r="GZ4" s="63"/>
      <c r="HA4" s="63"/>
      <c r="HB4" s="63"/>
      <c r="HC4" s="63"/>
      <c r="HD4" s="63"/>
      <c r="HE4" s="63"/>
      <c r="HF4" s="63"/>
      <c r="HG4" s="63"/>
      <c r="HH4" s="63"/>
      <c r="HI4" s="63"/>
      <c r="HJ4" s="63"/>
      <c r="HK4" s="63"/>
      <c r="HL4" s="63"/>
      <c r="HM4" s="63"/>
      <c r="HN4" s="63"/>
      <c r="HO4" s="63"/>
      <c r="HP4" s="63"/>
      <c r="HQ4" s="63"/>
      <c r="HS4" s="64"/>
      <c r="HT4" s="95" t="s">
        <v>246</v>
      </c>
      <c r="HU4" s="66"/>
      <c r="HV4" s="67"/>
      <c r="HW4" s="67"/>
      <c r="HX4" s="67"/>
      <c r="HY4" s="67"/>
      <c r="HZ4" s="67"/>
      <c r="IA4" s="67"/>
      <c r="IB4" s="67"/>
      <c r="IC4" s="67"/>
      <c r="ID4" s="67"/>
      <c r="IE4" s="67"/>
      <c r="IF4" s="67"/>
      <c r="IG4" s="67"/>
      <c r="IH4" s="67"/>
      <c r="II4" s="67"/>
      <c r="IJ4" s="67"/>
      <c r="IK4" s="67"/>
      <c r="IL4" s="67"/>
      <c r="IN4" s="62"/>
      <c r="IO4" s="95" t="s">
        <v>247</v>
      </c>
      <c r="IP4" s="63"/>
      <c r="IQ4" s="63"/>
      <c r="IR4" s="63"/>
      <c r="IS4" s="63"/>
      <c r="IT4" s="63"/>
      <c r="IU4" s="63"/>
      <c r="IV4" s="63"/>
      <c r="IW4" s="63"/>
      <c r="IX4" s="63"/>
      <c r="IY4" s="63"/>
      <c r="IZ4" s="63"/>
      <c r="JA4" s="63"/>
      <c r="JB4" s="63"/>
      <c r="JC4" s="63"/>
      <c r="JD4" s="63"/>
      <c r="JE4" s="63"/>
      <c r="JF4" s="63"/>
      <c r="JG4" s="63"/>
      <c r="JI4" s="155" t="s">
        <v>517</v>
      </c>
      <c r="JJ4" s="159"/>
      <c r="JK4" s="159"/>
      <c r="JL4" s="159"/>
      <c r="JM4" s="159"/>
      <c r="JN4" s="159"/>
      <c r="JO4" s="159"/>
      <c r="JP4" s="159"/>
      <c r="JQ4" s="159"/>
      <c r="JR4" s="159"/>
      <c r="JS4" s="159"/>
      <c r="JT4" s="159"/>
      <c r="JU4" s="159"/>
      <c r="JV4" s="159"/>
      <c r="JW4" s="159"/>
      <c r="JX4" s="159"/>
      <c r="JY4" s="159"/>
      <c r="JZ4" s="159"/>
      <c r="KA4" s="159"/>
      <c r="KB4" s="159"/>
      <c r="KC4" s="159"/>
      <c r="KD4" s="159"/>
      <c r="KE4" s="159"/>
      <c r="KF4" s="159"/>
      <c r="KG4" s="159"/>
      <c r="KH4" s="159"/>
      <c r="KI4" s="159"/>
    </row>
    <row r="5" spans="1:295" ht="96.6" x14ac:dyDescent="0.3">
      <c r="A5" s="2" t="s">
        <v>173</v>
      </c>
      <c r="B5" s="50" t="s">
        <v>2</v>
      </c>
      <c r="C5" s="2"/>
      <c r="D5" s="1" t="s">
        <v>180</v>
      </c>
      <c r="E5" s="2" t="s">
        <v>102</v>
      </c>
      <c r="F5" s="2" t="s">
        <v>283</v>
      </c>
      <c r="G5" s="2" t="s">
        <v>184</v>
      </c>
      <c r="H5" s="2" t="s">
        <v>185</v>
      </c>
      <c r="I5" s="2" t="s">
        <v>186</v>
      </c>
      <c r="J5" s="2" t="s">
        <v>162</v>
      </c>
      <c r="K5" s="2" t="s">
        <v>163</v>
      </c>
      <c r="L5" s="28" t="s">
        <v>431</v>
      </c>
      <c r="M5" s="28" t="s">
        <v>435</v>
      </c>
      <c r="N5" s="28" t="s">
        <v>443</v>
      </c>
      <c r="O5" s="28" t="s">
        <v>451</v>
      </c>
      <c r="P5" s="28" t="s">
        <v>450</v>
      </c>
      <c r="Q5" s="28" t="s">
        <v>449</v>
      </c>
      <c r="R5" s="28" t="s">
        <v>95</v>
      </c>
      <c r="S5" s="28" t="s">
        <v>96</v>
      </c>
      <c r="T5" s="28" t="s">
        <v>164</v>
      </c>
      <c r="U5" s="28" t="s">
        <v>157</v>
      </c>
      <c r="V5" s="2" t="s">
        <v>165</v>
      </c>
      <c r="W5" s="2" t="s">
        <v>166</v>
      </c>
      <c r="X5" s="28" t="s">
        <v>167</v>
      </c>
      <c r="Z5" s="1" t="s">
        <v>180</v>
      </c>
      <c r="AA5" s="2" t="s">
        <v>103</v>
      </c>
      <c r="AB5" s="2" t="s">
        <v>283</v>
      </c>
      <c r="AC5" s="2" t="s">
        <v>97</v>
      </c>
      <c r="AD5" s="2" t="s">
        <v>98</v>
      </c>
      <c r="AE5" s="2" t="s">
        <v>99</v>
      </c>
      <c r="AF5" s="2" t="s">
        <v>168</v>
      </c>
      <c r="AG5" s="2" t="s">
        <v>169</v>
      </c>
      <c r="AH5" s="28" t="s">
        <v>431</v>
      </c>
      <c r="AI5" s="28" t="s">
        <v>435</v>
      </c>
      <c r="AJ5" s="28" t="s">
        <v>443</v>
      </c>
      <c r="AK5" s="28" t="s">
        <v>451</v>
      </c>
      <c r="AL5" s="28" t="s">
        <v>450</v>
      </c>
      <c r="AM5" s="28" t="s">
        <v>449</v>
      </c>
      <c r="AN5" s="28" t="s">
        <v>95</v>
      </c>
      <c r="AO5" s="28" t="s">
        <v>96</v>
      </c>
      <c r="AP5" s="28" t="s">
        <v>164</v>
      </c>
      <c r="AQ5" s="28" t="s">
        <v>157</v>
      </c>
      <c r="AR5" s="2" t="s">
        <v>170</v>
      </c>
      <c r="AS5" s="2" t="s">
        <v>171</v>
      </c>
      <c r="AT5" s="28" t="s">
        <v>172</v>
      </c>
      <c r="AV5" s="39" t="s">
        <v>14</v>
      </c>
      <c r="AW5" s="28" t="s">
        <v>192</v>
      </c>
      <c r="AX5" s="28" t="s">
        <v>193</v>
      </c>
      <c r="AY5" s="28" t="s">
        <v>194</v>
      </c>
      <c r="AZ5" s="28" t="s">
        <v>135</v>
      </c>
      <c r="BA5" s="28" t="s">
        <v>156</v>
      </c>
      <c r="BB5" s="28" t="s">
        <v>176</v>
      </c>
      <c r="BC5" s="28" t="s">
        <v>316</v>
      </c>
      <c r="BD5" s="28" t="s">
        <v>134</v>
      </c>
      <c r="BE5" s="28" t="s">
        <v>146</v>
      </c>
      <c r="BF5" s="28" t="s">
        <v>132</v>
      </c>
      <c r="BG5" s="71" t="s">
        <v>318</v>
      </c>
      <c r="BH5" s="28" t="s">
        <v>133</v>
      </c>
      <c r="BI5" s="28" t="s">
        <v>200</v>
      </c>
      <c r="BJ5" s="28" t="s">
        <v>431</v>
      </c>
      <c r="BK5" s="28" t="s">
        <v>435</v>
      </c>
      <c r="BL5" s="28" t="s">
        <v>443</v>
      </c>
      <c r="BM5" s="28" t="s">
        <v>451</v>
      </c>
      <c r="BN5" s="28" t="s">
        <v>450</v>
      </c>
      <c r="BO5" s="28" t="s">
        <v>449</v>
      </c>
      <c r="BP5" s="28" t="s">
        <v>95</v>
      </c>
      <c r="BQ5" s="28" t="s">
        <v>96</v>
      </c>
      <c r="BR5" s="28" t="s">
        <v>157</v>
      </c>
      <c r="BS5" s="28" t="s">
        <v>158</v>
      </c>
      <c r="BT5" s="28" t="s">
        <v>159</v>
      </c>
      <c r="BU5" s="28" t="s">
        <v>161</v>
      </c>
      <c r="BV5" s="28" t="s">
        <v>324</v>
      </c>
      <c r="BW5" s="28"/>
      <c r="BX5" s="28" t="s">
        <v>316</v>
      </c>
      <c r="BY5" s="28" t="s">
        <v>146</v>
      </c>
      <c r="BZ5" s="28" t="s">
        <v>132</v>
      </c>
      <c r="CA5" s="71" t="s">
        <v>204</v>
      </c>
      <c r="CB5" s="28" t="s">
        <v>133</v>
      </c>
      <c r="CC5" s="28" t="s">
        <v>202</v>
      </c>
      <c r="CD5" s="28" t="s">
        <v>159</v>
      </c>
      <c r="CE5" s="28" t="s">
        <v>161</v>
      </c>
      <c r="CF5" s="28" t="s">
        <v>205</v>
      </c>
      <c r="CG5" s="28"/>
      <c r="CH5" s="28" t="s">
        <v>316</v>
      </c>
      <c r="CI5" s="28" t="s">
        <v>146</v>
      </c>
      <c r="CJ5" s="28" t="s">
        <v>132</v>
      </c>
      <c r="CK5" s="71" t="s">
        <v>323</v>
      </c>
      <c r="CL5" s="28" t="s">
        <v>133</v>
      </c>
      <c r="CM5" s="28" t="s">
        <v>209</v>
      </c>
      <c r="CN5" s="28" t="s">
        <v>159</v>
      </c>
      <c r="CO5" s="28" t="s">
        <v>161</v>
      </c>
      <c r="CP5" s="28" t="s">
        <v>207</v>
      </c>
      <c r="CQ5" s="28"/>
      <c r="CR5" s="28" t="s">
        <v>316</v>
      </c>
      <c r="CS5" s="28" t="s">
        <v>146</v>
      </c>
      <c r="CT5" s="28" t="s">
        <v>132</v>
      </c>
      <c r="CU5" s="71" t="s">
        <v>175</v>
      </c>
      <c r="CV5" s="28" t="s">
        <v>133</v>
      </c>
      <c r="CW5" s="28" t="s">
        <v>160</v>
      </c>
      <c r="CX5" s="28" t="s">
        <v>159</v>
      </c>
      <c r="CY5" s="28" t="s">
        <v>161</v>
      </c>
      <c r="CZ5" s="28" t="s">
        <v>174</v>
      </c>
      <c r="DA5" s="28"/>
      <c r="DB5" s="28" t="s">
        <v>333</v>
      </c>
      <c r="DC5" s="28" t="s">
        <v>146</v>
      </c>
      <c r="DD5" s="28" t="s">
        <v>132</v>
      </c>
      <c r="DE5" s="71" t="s">
        <v>337</v>
      </c>
      <c r="DF5" s="28" t="s">
        <v>133</v>
      </c>
      <c r="DG5" s="28" t="s">
        <v>392</v>
      </c>
      <c r="DH5" s="28" t="s">
        <v>159</v>
      </c>
      <c r="DI5" s="28" t="s">
        <v>161</v>
      </c>
      <c r="DJ5" s="28" t="s">
        <v>389</v>
      </c>
      <c r="DK5" s="28"/>
      <c r="DL5" s="28" t="s">
        <v>333</v>
      </c>
      <c r="DM5" s="28" t="s">
        <v>146</v>
      </c>
      <c r="DN5" s="28" t="s">
        <v>132</v>
      </c>
      <c r="DO5" s="28" t="s">
        <v>342</v>
      </c>
      <c r="DP5" s="71" t="s">
        <v>327</v>
      </c>
      <c r="DQ5" s="28" t="s">
        <v>133</v>
      </c>
      <c r="DR5" s="28" t="s">
        <v>392</v>
      </c>
      <c r="DS5" s="28" t="s">
        <v>159</v>
      </c>
      <c r="DT5" s="28" t="s">
        <v>161</v>
      </c>
      <c r="DU5" s="28" t="s">
        <v>390</v>
      </c>
      <c r="DV5" s="28"/>
      <c r="DW5" s="28" t="s">
        <v>332</v>
      </c>
      <c r="DX5" s="28" t="s">
        <v>146</v>
      </c>
      <c r="DY5" s="28" t="s">
        <v>132</v>
      </c>
      <c r="DZ5" s="28" t="s">
        <v>342</v>
      </c>
      <c r="EA5" s="71" t="s">
        <v>335</v>
      </c>
      <c r="EB5" s="28" t="s">
        <v>133</v>
      </c>
      <c r="EC5" s="28" t="s">
        <v>392</v>
      </c>
      <c r="ED5" s="28" t="s">
        <v>159</v>
      </c>
      <c r="EE5" s="28" t="s">
        <v>161</v>
      </c>
      <c r="EF5" s="28" t="s">
        <v>391</v>
      </c>
      <c r="EG5" s="28"/>
      <c r="EH5" s="130" t="s">
        <v>137</v>
      </c>
      <c r="EI5" s="28" t="s">
        <v>134</v>
      </c>
      <c r="EJ5" s="28" t="s">
        <v>146</v>
      </c>
      <c r="EK5" s="28" t="s">
        <v>132</v>
      </c>
      <c r="EL5" s="28" t="s">
        <v>133</v>
      </c>
      <c r="EM5" s="28" t="s">
        <v>135</v>
      </c>
      <c r="EN5" s="71" t="s">
        <v>175</v>
      </c>
      <c r="EO5" s="28" t="s">
        <v>156</v>
      </c>
      <c r="EP5" s="28" t="s">
        <v>176</v>
      </c>
      <c r="EQ5" s="28" t="s">
        <v>121</v>
      </c>
      <c r="ER5" s="28" t="s">
        <v>95</v>
      </c>
      <c r="ES5" s="28" t="s">
        <v>96</v>
      </c>
      <c r="ET5" s="28" t="s">
        <v>157</v>
      </c>
      <c r="EU5" s="28" t="s">
        <v>158</v>
      </c>
      <c r="EV5" s="28" t="s">
        <v>160</v>
      </c>
      <c r="EW5" s="28" t="s">
        <v>159</v>
      </c>
      <c r="EX5" s="28" t="s">
        <v>161</v>
      </c>
      <c r="EY5" s="28" t="s">
        <v>174</v>
      </c>
      <c r="EZ5" s="59"/>
      <c r="FA5" s="28" t="s">
        <v>146</v>
      </c>
      <c r="FB5" s="28" t="s">
        <v>132</v>
      </c>
      <c r="FC5" s="28" t="s">
        <v>133</v>
      </c>
      <c r="FD5" s="71" t="s">
        <v>199</v>
      </c>
      <c r="FE5" s="28" t="s">
        <v>200</v>
      </c>
      <c r="FF5" s="28" t="s">
        <v>159</v>
      </c>
      <c r="FG5" s="28" t="s">
        <v>161</v>
      </c>
      <c r="FH5" s="28" t="s">
        <v>201</v>
      </c>
      <c r="FI5" s="59"/>
      <c r="FJ5" s="28" t="s">
        <v>146</v>
      </c>
      <c r="FK5" s="28" t="s">
        <v>132</v>
      </c>
      <c r="FL5" s="28" t="s">
        <v>133</v>
      </c>
      <c r="FM5" s="71" t="s">
        <v>204</v>
      </c>
      <c r="FN5" s="28" t="s">
        <v>202</v>
      </c>
      <c r="FO5" s="28" t="s">
        <v>159</v>
      </c>
      <c r="FP5" s="28" t="s">
        <v>161</v>
      </c>
      <c r="FQ5" s="28" t="s">
        <v>205</v>
      </c>
      <c r="FR5" s="59"/>
      <c r="FS5" s="28" t="s">
        <v>146</v>
      </c>
      <c r="FT5" s="28" t="s">
        <v>132</v>
      </c>
      <c r="FU5" s="28" t="s">
        <v>133</v>
      </c>
      <c r="FV5" s="71" t="s">
        <v>206</v>
      </c>
      <c r="FW5" s="28" t="s">
        <v>209</v>
      </c>
      <c r="FX5" s="28" t="s">
        <v>159</v>
      </c>
      <c r="FY5" s="28" t="s">
        <v>161</v>
      </c>
      <c r="FZ5" s="28" t="s">
        <v>207</v>
      </c>
      <c r="GC5" s="1" t="s">
        <v>180</v>
      </c>
      <c r="GD5" s="2" t="s">
        <v>224</v>
      </c>
      <c r="GE5" s="2" t="s">
        <v>218</v>
      </c>
      <c r="GF5" s="2" t="s">
        <v>219</v>
      </c>
      <c r="GG5" s="2" t="s">
        <v>220</v>
      </c>
      <c r="GH5" s="2" t="s">
        <v>156</v>
      </c>
      <c r="GI5" s="2" t="s">
        <v>176</v>
      </c>
      <c r="GJ5" s="28" t="s">
        <v>431</v>
      </c>
      <c r="GK5" s="28" t="s">
        <v>435</v>
      </c>
      <c r="GL5" s="28" t="s">
        <v>443</v>
      </c>
      <c r="GM5" s="28" t="s">
        <v>451</v>
      </c>
      <c r="GN5" s="28" t="s">
        <v>450</v>
      </c>
      <c r="GO5" s="28" t="s">
        <v>449</v>
      </c>
      <c r="GP5" s="28" t="s">
        <v>95</v>
      </c>
      <c r="GQ5" s="28" t="s">
        <v>96</v>
      </c>
      <c r="GR5" s="28" t="s">
        <v>164</v>
      </c>
      <c r="GS5" s="28" t="s">
        <v>157</v>
      </c>
      <c r="GT5" s="2" t="s">
        <v>221</v>
      </c>
      <c r="GU5" s="2" t="s">
        <v>222</v>
      </c>
      <c r="GV5" s="28" t="s">
        <v>223</v>
      </c>
      <c r="GX5" s="1" t="s">
        <v>180</v>
      </c>
      <c r="GY5" s="2" t="s">
        <v>226</v>
      </c>
      <c r="GZ5" s="2" t="s">
        <v>218</v>
      </c>
      <c r="HA5" s="2" t="s">
        <v>219</v>
      </c>
      <c r="HB5" s="2" t="s">
        <v>220</v>
      </c>
      <c r="HC5" s="2" t="s">
        <v>156</v>
      </c>
      <c r="HD5" s="2" t="s">
        <v>176</v>
      </c>
      <c r="HE5" s="28" t="s">
        <v>431</v>
      </c>
      <c r="HF5" s="28" t="s">
        <v>435</v>
      </c>
      <c r="HG5" s="28" t="s">
        <v>443</v>
      </c>
      <c r="HH5" s="28" t="s">
        <v>451</v>
      </c>
      <c r="HI5" s="28" t="s">
        <v>450</v>
      </c>
      <c r="HJ5" s="28" t="s">
        <v>449</v>
      </c>
      <c r="HK5" s="28" t="s">
        <v>95</v>
      </c>
      <c r="HL5" s="28" t="s">
        <v>96</v>
      </c>
      <c r="HM5" s="28" t="s">
        <v>164</v>
      </c>
      <c r="HN5" s="28" t="s">
        <v>157</v>
      </c>
      <c r="HO5" s="2" t="s">
        <v>221</v>
      </c>
      <c r="HP5" s="2" t="s">
        <v>222</v>
      </c>
      <c r="HQ5" s="28" t="s">
        <v>225</v>
      </c>
      <c r="HS5" s="89" t="s">
        <v>180</v>
      </c>
      <c r="HT5" s="2" t="s">
        <v>245</v>
      </c>
      <c r="HU5" s="2" t="s">
        <v>218</v>
      </c>
      <c r="HV5" s="2" t="s">
        <v>219</v>
      </c>
      <c r="HW5" s="2" t="s">
        <v>220</v>
      </c>
      <c r="HX5" s="2" t="s">
        <v>156</v>
      </c>
      <c r="HY5" s="2" t="s">
        <v>176</v>
      </c>
      <c r="HZ5" s="28" t="s">
        <v>431</v>
      </c>
      <c r="IA5" s="28" t="s">
        <v>435</v>
      </c>
      <c r="IB5" s="28" t="s">
        <v>443</v>
      </c>
      <c r="IC5" s="28" t="s">
        <v>451</v>
      </c>
      <c r="ID5" s="28" t="s">
        <v>450</v>
      </c>
      <c r="IE5" s="28" t="s">
        <v>449</v>
      </c>
      <c r="IF5" s="28" t="s">
        <v>95</v>
      </c>
      <c r="IG5" s="28" t="s">
        <v>96</v>
      </c>
      <c r="IH5" s="28" t="s">
        <v>164</v>
      </c>
      <c r="II5" s="28" t="s">
        <v>157</v>
      </c>
      <c r="IJ5" s="2" t="s">
        <v>221</v>
      </c>
      <c r="IK5" s="2" t="s">
        <v>222</v>
      </c>
      <c r="IL5" s="28" t="s">
        <v>244</v>
      </c>
      <c r="IN5" s="1" t="s">
        <v>180</v>
      </c>
      <c r="IO5" s="2" t="s">
        <v>248</v>
      </c>
      <c r="IP5" s="2" t="s">
        <v>218</v>
      </c>
      <c r="IQ5" s="2" t="s">
        <v>219</v>
      </c>
      <c r="IR5" s="2" t="s">
        <v>220</v>
      </c>
      <c r="IS5" s="2" t="s">
        <v>156</v>
      </c>
      <c r="IT5" s="2" t="s">
        <v>176</v>
      </c>
      <c r="IU5" s="28" t="s">
        <v>431</v>
      </c>
      <c r="IV5" s="28" t="s">
        <v>435</v>
      </c>
      <c r="IW5" s="28" t="s">
        <v>443</v>
      </c>
      <c r="IX5" s="28" t="s">
        <v>451</v>
      </c>
      <c r="IY5" s="28" t="s">
        <v>450</v>
      </c>
      <c r="IZ5" s="28" t="s">
        <v>449</v>
      </c>
      <c r="JA5" s="28" t="s">
        <v>95</v>
      </c>
      <c r="JB5" s="28" t="s">
        <v>96</v>
      </c>
      <c r="JC5" s="28" t="s">
        <v>164</v>
      </c>
      <c r="JD5" s="28" t="s">
        <v>157</v>
      </c>
      <c r="JE5" s="2" t="s">
        <v>221</v>
      </c>
      <c r="JF5" s="2" t="s">
        <v>222</v>
      </c>
      <c r="JG5" s="28" t="s">
        <v>249</v>
      </c>
      <c r="JI5" s="156" t="s">
        <v>407</v>
      </c>
      <c r="JJ5" s="54" t="str">
        <f t="shared" ref="JJ5:JV5" si="0">AW5</f>
        <v>FGL Taxable Gross Earnings (current, that is, respective year USD)</v>
      </c>
      <c r="JK5" s="54" t="str">
        <f t="shared" si="0"/>
        <v>FGL Non-Taxable Gross Earnings (current, that is, respective year USD)</v>
      </c>
      <c r="JL5" s="54" t="str">
        <f t="shared" si="0"/>
        <v>FGL Total Gross Earnings (current, that is, respective year USD)</v>
      </c>
      <c r="JM5" s="54" t="str">
        <f t="shared" si="0"/>
        <v>Federal Poverty Level</v>
      </c>
      <c r="JN5" s="54" t="str">
        <f t="shared" si="0"/>
        <v>Taxable Gross Earnings in 2013 USD</v>
      </c>
      <c r="JO5" s="54" t="str">
        <f t="shared" si="0"/>
        <v>Non-Taxable Gross Earnings in 2013 USD</v>
      </c>
      <c r="JP5" s="54" t="str">
        <f t="shared" si="0"/>
        <v>Loan Timeline, Forbearance</v>
      </c>
      <c r="JQ5" s="54" t="str">
        <f t="shared" si="0"/>
        <v>Amount Borrowed (at the beginning of the year)</v>
      </c>
      <c r="JR5" s="54" t="str">
        <f t="shared" si="0"/>
        <v>Principal (beginning of year)</v>
      </c>
      <c r="JS5" s="54" t="str">
        <f t="shared" si="0"/>
        <v>Accrued Interest</v>
      </c>
      <c r="JT5" s="54" t="str">
        <f t="shared" si="0"/>
        <v>Standard 10 year</v>
      </c>
      <c r="JU5" s="54" t="str">
        <f t="shared" si="0"/>
        <v>End of Year Loan Balance</v>
      </c>
      <c r="JV5" s="54" t="str">
        <f t="shared" si="0"/>
        <v>Loan Payment STD in 2013 USD</v>
      </c>
      <c r="JW5" s="28" t="s">
        <v>431</v>
      </c>
      <c r="JX5" s="28" t="s">
        <v>435</v>
      </c>
      <c r="JY5" s="28" t="s">
        <v>443</v>
      </c>
      <c r="JZ5" s="28" t="s">
        <v>451</v>
      </c>
      <c r="KA5" s="28" t="s">
        <v>450</v>
      </c>
      <c r="KB5" s="28" t="s">
        <v>449</v>
      </c>
      <c r="KC5" s="28" t="s">
        <v>95</v>
      </c>
      <c r="KD5" s="28" t="s">
        <v>96</v>
      </c>
      <c r="KE5" s="54" t="str">
        <f>BR5</f>
        <v>Effective Tax Rate</v>
      </c>
      <c r="KF5" s="54" t="str">
        <f>BS5</f>
        <v>FGL Total After Tax Earnings in 2013 USD</v>
      </c>
      <c r="KG5" s="54" t="str">
        <f t="shared" ref="KG5" si="1">BT5</f>
        <v>Net Pay in 2013 USD</v>
      </c>
      <c r="KH5" s="54" t="str">
        <f t="shared" ref="KH5" si="2">BU5</f>
        <v>PV of Net Pay (Discounted)</v>
      </c>
      <c r="KI5" s="54" t="s">
        <v>409</v>
      </c>
    </row>
    <row r="6" spans="1:295" ht="14.45" x14ac:dyDescent="0.3">
      <c r="A6" s="4"/>
      <c r="B6" s="51"/>
      <c r="C6" s="4"/>
      <c r="D6" s="3"/>
      <c r="E6" s="2"/>
      <c r="F6" s="2"/>
      <c r="G6" s="2"/>
      <c r="H6" s="53"/>
      <c r="I6" s="53"/>
      <c r="J6" s="53"/>
      <c r="K6" s="53"/>
      <c r="L6" s="80"/>
      <c r="M6" s="80"/>
      <c r="N6" s="80"/>
      <c r="O6" s="80"/>
      <c r="P6" s="80"/>
      <c r="Q6" s="80" t="s">
        <v>412</v>
      </c>
      <c r="R6" s="80" t="s">
        <v>413</v>
      </c>
      <c r="S6" s="80" t="s">
        <v>414</v>
      </c>
      <c r="T6" s="53"/>
      <c r="U6" s="53"/>
      <c r="V6" s="53"/>
      <c r="W6" s="53"/>
      <c r="X6" s="53"/>
      <c r="Y6" s="53"/>
      <c r="Z6" s="3"/>
      <c r="AA6" s="4"/>
      <c r="AB6" s="4"/>
      <c r="AC6" s="53"/>
      <c r="AD6" s="53"/>
      <c r="AE6" s="53"/>
      <c r="AF6" s="53"/>
      <c r="AG6" s="53"/>
      <c r="AH6" s="80"/>
      <c r="AI6" s="80"/>
      <c r="AJ6" s="80"/>
      <c r="AK6" s="80"/>
      <c r="AL6" s="80"/>
      <c r="AM6" s="80" t="s">
        <v>412</v>
      </c>
      <c r="AN6" s="80" t="s">
        <v>413</v>
      </c>
      <c r="AO6" s="80" t="s">
        <v>414</v>
      </c>
      <c r="AP6" s="53"/>
      <c r="AQ6" s="53"/>
      <c r="AR6" s="53"/>
      <c r="AS6" s="53"/>
      <c r="AT6" s="53"/>
      <c r="AU6" s="53"/>
      <c r="AV6" s="40"/>
      <c r="AW6" s="80"/>
      <c r="AX6" s="80"/>
      <c r="AY6" s="80"/>
      <c r="AZ6" s="32"/>
      <c r="BA6" s="32"/>
      <c r="BB6" s="32"/>
      <c r="BC6" s="80"/>
      <c r="BD6" s="80"/>
      <c r="BE6" s="80"/>
      <c r="BF6" s="80"/>
      <c r="BG6" s="80"/>
      <c r="BH6" s="80"/>
      <c r="BI6" s="80"/>
      <c r="BJ6" s="80"/>
      <c r="BK6" s="80"/>
      <c r="BL6" s="80"/>
      <c r="BM6" s="80"/>
      <c r="BN6" s="80"/>
      <c r="BO6" s="80" t="s">
        <v>412</v>
      </c>
      <c r="BP6" s="80" t="s">
        <v>413</v>
      </c>
      <c r="BQ6" s="80" t="s">
        <v>414</v>
      </c>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130"/>
      <c r="EI6" s="80"/>
      <c r="EJ6" s="80"/>
      <c r="EK6" s="32"/>
      <c r="EL6" s="80"/>
      <c r="EM6" s="32"/>
      <c r="EN6" s="32"/>
      <c r="EO6" s="32"/>
      <c r="EP6" s="32"/>
      <c r="EQ6" s="53" t="s">
        <v>195</v>
      </c>
      <c r="ER6" s="53" t="s">
        <v>196</v>
      </c>
      <c r="ES6" s="53" t="s">
        <v>197</v>
      </c>
      <c r="ET6" s="53"/>
      <c r="EU6" s="53"/>
      <c r="EV6" s="53"/>
      <c r="EW6" s="53"/>
      <c r="EX6" s="53"/>
      <c r="EY6" s="53"/>
      <c r="EZ6" s="79"/>
      <c r="FA6" s="53"/>
      <c r="FB6" s="53"/>
      <c r="FC6" s="53"/>
      <c r="FD6" s="53"/>
      <c r="FE6" s="53"/>
      <c r="FF6" s="53"/>
      <c r="FG6" s="53"/>
      <c r="FH6" s="53"/>
      <c r="FI6" s="79"/>
      <c r="FJ6" s="53"/>
      <c r="FK6" s="53"/>
      <c r="FL6" s="53"/>
      <c r="FM6" s="53"/>
      <c r="FN6" s="53"/>
      <c r="FO6" s="53"/>
      <c r="FP6" s="53"/>
      <c r="FQ6" s="53"/>
      <c r="FR6" s="79"/>
      <c r="FS6" s="53"/>
      <c r="FT6" s="53"/>
      <c r="FU6" s="53"/>
      <c r="FV6" s="53"/>
      <c r="FW6" s="53"/>
      <c r="FX6" s="53"/>
      <c r="FY6" s="53"/>
      <c r="FZ6" s="53"/>
      <c r="GC6" s="3"/>
      <c r="GD6" s="2"/>
      <c r="GE6" s="2"/>
      <c r="GF6" s="53"/>
      <c r="GG6" s="53"/>
      <c r="GH6" s="53"/>
      <c r="GI6" s="53"/>
      <c r="GJ6" s="80"/>
      <c r="GK6" s="80"/>
      <c r="GL6" s="80"/>
      <c r="GM6" s="80"/>
      <c r="GN6" s="80"/>
      <c r="GO6" s="80" t="s">
        <v>412</v>
      </c>
      <c r="GP6" s="80" t="s">
        <v>413</v>
      </c>
      <c r="GQ6" s="80" t="s">
        <v>414</v>
      </c>
      <c r="GR6" s="53"/>
      <c r="GS6" s="53"/>
      <c r="GT6" s="53"/>
      <c r="GU6" s="53"/>
      <c r="GV6" s="53"/>
      <c r="GX6" s="3"/>
      <c r="GY6" s="4"/>
      <c r="GZ6" s="53"/>
      <c r="HA6" s="53"/>
      <c r="HB6" s="53"/>
      <c r="HC6" s="53"/>
      <c r="HD6" s="53"/>
      <c r="HE6" s="80"/>
      <c r="HF6" s="80"/>
      <c r="HG6" s="80"/>
      <c r="HH6" s="80"/>
      <c r="HI6" s="80"/>
      <c r="HJ6" s="80" t="s">
        <v>412</v>
      </c>
      <c r="HK6" s="80" t="s">
        <v>413</v>
      </c>
      <c r="HL6" s="80" t="s">
        <v>414</v>
      </c>
      <c r="HM6" s="53"/>
      <c r="HN6" s="53"/>
      <c r="HO6" s="53"/>
      <c r="HP6" s="53"/>
      <c r="HQ6" s="53"/>
      <c r="HS6" s="7"/>
      <c r="HZ6" s="80"/>
      <c r="IA6" s="80"/>
      <c r="IB6" s="80"/>
      <c r="IC6" s="80"/>
      <c r="ID6" s="80"/>
      <c r="IE6" s="80" t="s">
        <v>412</v>
      </c>
      <c r="IF6" s="80" t="s">
        <v>413</v>
      </c>
      <c r="IG6" s="80" t="s">
        <v>414</v>
      </c>
      <c r="IN6" s="7"/>
      <c r="IU6" s="80"/>
      <c r="IV6" s="80"/>
      <c r="IW6" s="80"/>
      <c r="IX6" s="80"/>
      <c r="IY6" s="80"/>
      <c r="IZ6" s="80" t="s">
        <v>412</v>
      </c>
      <c r="JA6" s="80" t="s">
        <v>413</v>
      </c>
      <c r="JB6" s="80" t="s">
        <v>414</v>
      </c>
      <c r="JI6" s="7"/>
      <c r="JW6" s="80"/>
      <c r="JX6" s="80"/>
      <c r="JY6" s="80"/>
      <c r="JZ6" s="80"/>
      <c r="KA6" s="80"/>
      <c r="KB6" s="80" t="s">
        <v>412</v>
      </c>
      <c r="KC6" s="80" t="s">
        <v>413</v>
      </c>
      <c r="KD6" s="80" t="s">
        <v>414</v>
      </c>
    </row>
    <row r="7" spans="1:295" ht="14.45" x14ac:dyDescent="0.3">
      <c r="A7" s="4">
        <v>2013</v>
      </c>
      <c r="B7" s="51">
        <v>1</v>
      </c>
      <c r="C7" s="4"/>
      <c r="D7" s="45">
        <v>0</v>
      </c>
      <c r="E7" s="4" t="s">
        <v>15</v>
      </c>
      <c r="F7" s="5">
        <f>InputData!$C$26*12</f>
        <v>34516.800000000003</v>
      </c>
      <c r="G7" s="5">
        <f>InputData!$C$26*12</f>
        <v>34516.800000000003</v>
      </c>
      <c r="H7" s="5">
        <f>(InputData!$H$37+InputData!$C$40)*12</f>
        <v>25411.199999999997</v>
      </c>
      <c r="I7" s="5">
        <f>G7+H7</f>
        <v>59928</v>
      </c>
      <c r="J7" s="5">
        <f>G7*((1+InputData!$C$5)/(1+InputData!$C$3))^(Ortho!$B7-Ortho!$B$7)</f>
        <v>34516.800000000003</v>
      </c>
      <c r="K7" s="5">
        <f>H7*((1+InputData!$C$5)/(1+InputData!$C$3))^(Ortho!$B7-Ortho!$B$7)</f>
        <v>25411.199999999997</v>
      </c>
      <c r="L7" s="32">
        <f>IF(J7-InputData!$C$158-InputData!$C$159&gt;=0,J7-InputData!$C$158-InputData!$C$159,0)</f>
        <v>34516.800000000003</v>
      </c>
      <c r="M7" s="32">
        <f>IF(J7-IF(J7&lt;=InputData!$C$146,InputData!$C$145,0)-MAX(InputData!$C$144,S7)&gt;=0,J7-IF(J7&lt;=InputData!$C$146,InputData!$C$145,0)-MAX(InputData!$C$144,S7),0)</f>
        <v>24516.800000000003</v>
      </c>
      <c r="N7" s="32">
        <f>IF(M7&lt;0,"Error",IF(M7&lt;=InputData!$B$170,InputData!$C$170*M7,IF(M7&lt;=InputData!$B$171,InputData!$D$170+InputData!$C$171*(M7-InputData!$B$170),IF(M7&lt;=InputData!$B$172,InputData!$D$171+InputData!$C$172*(M7-InputData!$B$171),IF(M7&lt;=InputData!$B$173,InputData!$D$172+InputData!$C$173*(M7-InputData!$B$172),IF(M7&lt;=InputData!$B$174,InputData!$D$173+InputData!$C$174*(M7-InputData!$B$173),IF(M7&lt;=InputData!$B$175,InputData!$D$174+InputData!$C$175*(M7-InputData!$B$174),InputData!$D$175+InputData!$C$176*(M7-InputData!$B$175))))))))</f>
        <v>3231.2700000000004</v>
      </c>
      <c r="O7" s="32">
        <f>IF(J7&lt;=InputData!$C$150,InputData!$C$152,IF(J7&lt;InputData!$C$151,IF(InputData!$C$152-0.25*IF(J7-InputData!$C$150&lt;=0,0,J7-InputData!$C$150)&lt;=0,0,InputData!$C$152-0.25*IF(J7-InputData!$C$150&lt;=0,0,J7-InputData!$C$150)),0))</f>
        <v>51900</v>
      </c>
      <c r="P7" s="32">
        <f>IF(J7-O7&lt;=0,0,IF(J7-O7&lt;=InputData!$C$153,InputData!$C$154*(J7-O7),InputData!$C$155*(J7-O7)-InputData!$D$154))</f>
        <v>0</v>
      </c>
      <c r="Q7" s="32">
        <f>MAX(N7,P7)</f>
        <v>3231.2700000000004</v>
      </c>
      <c r="R7" s="32">
        <f>IF(J7&gt;=0,IF(J7&lt;=InputData!$C$148,InputData!$C$147*J7,InputData!$C$147*InputData!$C$148)+InputData!$C$149*J7,0)</f>
        <v>2640.5352000000003</v>
      </c>
      <c r="S7" s="32">
        <f>IF(L7&lt;0,0,IF(L7&lt;=InputData!$B$163,InputData!$C$163*L7,IF(L7&lt;=InputData!$B$164,InputData!$D$163+InputData!$C$164*(L7-InputData!$B$163),IF(L7&lt;=InputData!$B$165,InputData!$D$164+InputData!$C$165*(L7-InputData!$B$164),InputData!$D$165+InputData!$C$166*(L7-InputData!$B$165)))))</f>
        <v>0</v>
      </c>
      <c r="T7" s="43">
        <f>(Q7+R7+S7)/J7</f>
        <v>0.17011441385064666</v>
      </c>
      <c r="U7" s="43">
        <f>(Q7+R7+S7)/(J7+K7)</f>
        <v>9.7980997196635972E-2</v>
      </c>
      <c r="V7" s="5">
        <f>J7+K7-Q7-R7-S7</f>
        <v>54056.194799999997</v>
      </c>
      <c r="W7" s="32">
        <f>V7/((1+InputData!$C$7)^(Ortho!$B7-Ortho!$B$7))</f>
        <v>54056.194799999997</v>
      </c>
      <c r="X7" s="5">
        <f>W7</f>
        <v>54056.194799999997</v>
      </c>
      <c r="Y7" s="53"/>
      <c r="Z7" s="45">
        <v>0</v>
      </c>
      <c r="AA7" s="4" t="s">
        <v>0</v>
      </c>
      <c r="AB7" s="4"/>
      <c r="AC7" s="5">
        <f>InputData!$C$67*10.5+(IntMed!G7+IntMed!H7)*45/365.25+InputData!$G$67</f>
        <v>49307.326488706363</v>
      </c>
      <c r="AD7" s="5">
        <v>0</v>
      </c>
      <c r="AE7" s="5">
        <f>AC7+AD7</f>
        <v>49307.326488706363</v>
      </c>
      <c r="AF7" s="5">
        <f>AC7*((1+InputData!$C$5)/(1+InputData!$C$3))^(Ortho!$B7-Ortho!$B$7)</f>
        <v>49307.326488706363</v>
      </c>
      <c r="AG7" s="5">
        <f>AD7*((1+InputData!$C$5)/(1+InputData!$C$3))^(Ortho!$B7-Ortho!$B$7)</f>
        <v>0</v>
      </c>
      <c r="AH7" s="32">
        <f>IF(AF7-InputData!$C$158-InputData!$C$159&gt;=0,AF7-InputData!$C$158-InputData!$C$159,0)</f>
        <v>49307.326488706363</v>
      </c>
      <c r="AI7" s="32">
        <f>IF(AF7-IF(AF7&lt;=InputData!$C$146,InputData!$C$145,0)-MAX(InputData!$C$144,AO7)&gt;=0,AF7-IF(AF7&lt;=InputData!$C$146,InputData!$C$145,0)-MAX(InputData!$C$144,AO7),0)</f>
        <v>39307.326488706363</v>
      </c>
      <c r="AJ7" s="32">
        <f>IF(AI7&lt;0,"Error",IF(AI7&lt;=InputData!$B$170,InputData!$C$170*AI7,IF(AI7&lt;=InputData!$B$171,InputData!$D$170+InputData!$C$171*(AI7-InputData!$B$170),IF(AI7&lt;=InputData!$B$172,InputData!$D$171+InputData!$C$172*(AI7-InputData!$B$171),IF(AI7&lt;=InputData!$B$173,InputData!$D$172+InputData!$C$173*(AI7-InputData!$B$172),IF(AI7&lt;=InputData!$B$174,InputData!$D$173+InputData!$C$174*(AI7-InputData!$B$173),IF(AI7&lt;=InputData!$B$175,InputData!$D$174+InputData!$C$175*(AI7-InputData!$B$174),InputData!$D$175+InputData!$C$176*(AI7-InputData!$B$175))))))))</f>
        <v>5755.5816221765908</v>
      </c>
      <c r="AK7" s="32">
        <f>IF(AF7&lt;=InputData!$C$150,InputData!$C$152,IF(AF7&lt;InputData!$C$151,IF(InputData!$C$152-0.25*IF(AF7-InputData!$C$150&lt;=0,0,AF7-InputData!$C$150)&lt;=0,0,InputData!$C$152-0.25*IF(AF7-InputData!$C$150&lt;=0,0,AF7-InputData!$C$150)),0))</f>
        <v>51900</v>
      </c>
      <c r="AL7" s="32">
        <f>IF(AF7-AK7&lt;=0,0,IF(AF7-AK7&lt;=InputData!$C$153,InputData!$C$154*(AF7-AK7),InputData!$C$155*(AF7-AK7)-InputData!$D$154))</f>
        <v>0</v>
      </c>
      <c r="AM7" s="32">
        <f>MAX(AJ7,AL7)</f>
        <v>5755.5816221765908</v>
      </c>
      <c r="AN7" s="32">
        <v>0</v>
      </c>
      <c r="AO7" s="32">
        <f>IF(AH7&lt;0,0,IF(AH7&lt;=InputData!$B$163,InputData!$C$163*AH7,IF(AH7&lt;=InputData!$B$164,InputData!$D$163+InputData!$C$164*(AH7-InputData!$B$163),IF(AH7&lt;=InputData!$B$165,InputData!$D$164+InputData!$C$165*(AH7-InputData!$B$164),InputData!$D$165+InputData!$C$166*(AH7-InputData!$B$165)))))</f>
        <v>0</v>
      </c>
      <c r="AP7" s="43">
        <f>(AM7+AN7+AO7)/AF7</f>
        <v>0.11672873043511865</v>
      </c>
      <c r="AQ7" s="43">
        <f>(AM7+AN7+AO7)/(AF7+AG7)</f>
        <v>0.11672873043511865</v>
      </c>
      <c r="AR7" s="5">
        <f>AF7+AG7-AM7-AN7-AO7</f>
        <v>43551.744866529771</v>
      </c>
      <c r="AS7" s="32">
        <f>AR7/((1+InputData!$C$7)^(Ortho!$B7-Ortho!$B$7))</f>
        <v>43551.744866529771</v>
      </c>
      <c r="AT7" s="5">
        <f>AS7</f>
        <v>43551.744866529771</v>
      </c>
      <c r="AU7" s="53"/>
      <c r="AV7" s="41" t="s">
        <v>0</v>
      </c>
      <c r="AW7" s="32">
        <v>0</v>
      </c>
      <c r="AX7" s="32">
        <f>-(BD7+BF7)</f>
        <v>-43015.05</v>
      </c>
      <c r="AY7" s="32">
        <f>AW7+AX7</f>
        <v>-43015.05</v>
      </c>
      <c r="AZ7" s="32">
        <f>InputData!$C$92</f>
        <v>11490</v>
      </c>
      <c r="BA7" s="32">
        <f>AW7/((1+InputData!$C$3)^(Ortho!$B7-Ortho!$B$7))</f>
        <v>0</v>
      </c>
      <c r="BB7" s="32">
        <f>AX7/((1+InputData!$C$3)^(Ortho!$B7-Ortho!$B$7))</f>
        <v>-43015.05</v>
      </c>
      <c r="BC7" s="32" t="s">
        <v>143</v>
      </c>
      <c r="BD7" s="118">
        <f>InputData!$C$88*9/40</f>
        <v>40500</v>
      </c>
      <c r="BE7" s="32">
        <f>BD7</f>
        <v>40500</v>
      </c>
      <c r="BF7" s="32">
        <f>BE7*InputData!$C$6</f>
        <v>2515.0500000000002</v>
      </c>
      <c r="BG7" s="32">
        <v>0</v>
      </c>
      <c r="BH7" s="32">
        <f>BE7+BF7-BG7</f>
        <v>43015.05</v>
      </c>
      <c r="BI7" s="32">
        <f>BG7/((1+InputData!$C$3)^(Ortho!$B7-Ortho!$B$7))</f>
        <v>0</v>
      </c>
      <c r="BJ7" s="32">
        <f>IF(BA7-InputData!$C$158-InputData!$C$159&gt;=0,BA7-InputData!$C$158-InputData!$C$159,0)</f>
        <v>0</v>
      </c>
      <c r="BK7" s="32">
        <f>IF(BA7-IF(BA7&lt;=InputData!$C$146,InputData!$C$145,0)-MAX(InputData!$C$144,BQ7)&gt;=0,BA7-IF(BA7&lt;=InputData!$C$146,InputData!$C$145,0)-MAX(InputData!$C$144,BQ7),0)</f>
        <v>0</v>
      </c>
      <c r="BL7" s="32">
        <f>IF(BK7&lt;0,"Error",IF(BK7&lt;=InputData!$B$170,InputData!$C$170*BK7,IF(BK7&lt;=InputData!$B$171,InputData!$D$170+InputData!$C$171*(BK7-InputData!$B$170),IF(BK7&lt;=InputData!$B$172,InputData!$D$171+InputData!$C$172*(BK7-InputData!$B$171),IF(BK7&lt;=InputData!$B$173,InputData!$D$172+InputData!$C$173*(BK7-InputData!$B$172),IF(BK7&lt;=InputData!$B$174,InputData!$D$173+InputData!$C$174*(BK7-InputData!$B$173),IF(BK7&lt;=InputData!$B$175,InputData!$D$174+InputData!$C$175*(BK7-InputData!$B$174),InputData!$D$175+InputData!$C$176*(BK7-InputData!$B$175))))))))</f>
        <v>0</v>
      </c>
      <c r="BM7" s="32">
        <f>IF(BA7&lt;=InputData!$C$150,InputData!$C$152,IF(BA7&lt;InputData!$C$151,IF(InputData!$C$152-0.25*IF(BA7-InputData!$C$150&lt;=0,0,BA7-InputData!$C$150)&lt;=0,0,InputData!$C$152-0.25*IF(BA7-InputData!$C$150&lt;=0,0,BA7-InputData!$C$150)),0))</f>
        <v>51900</v>
      </c>
      <c r="BN7" s="32">
        <f>IF(BA7-BM7&lt;=0,0,IF(BA7-BM7&lt;=InputData!$C$153,InputData!$C$154*(BA7-BM7),InputData!$C$155*(BA7-BM7)-InputData!$D$154))</f>
        <v>0</v>
      </c>
      <c r="BO7" s="32">
        <f>MAX(BL7,BN7)</f>
        <v>0</v>
      </c>
      <c r="BP7" s="32">
        <f>IF(BA7&gt;=0,IF(BA7&lt;=InputData!$C$148,InputData!$C$147*BA7,InputData!$C$147*InputData!$C$148)+InputData!$C$149*BA7,0)</f>
        <v>0</v>
      </c>
      <c r="BQ7" s="32">
        <f>IF(BJ7&lt;0,0,IF(BJ7&lt;=InputData!$B$163,InputData!$C$163*BJ7,IF(BJ7&lt;=InputData!$B$164,InputData!$D$163+InputData!$C$164*(BJ7-InputData!$B$163),IF(BJ7&lt;=InputData!$B$165,InputData!$D$164+InputData!$C$165*(BJ7-InputData!$B$164),InputData!$D$165+InputData!$C$166*(BJ7-InputData!$B$165)))))</f>
        <v>0</v>
      </c>
      <c r="BR7" s="43">
        <f>(BO7+BP7+BQ7)/(BA7+BB7)</f>
        <v>0</v>
      </c>
      <c r="BS7" s="32">
        <f>BA7+BB7-(BO7+BP7+BQ7)</f>
        <v>-43015.05</v>
      </c>
      <c r="BT7" s="32">
        <f>BS7-BI7</f>
        <v>-43015.05</v>
      </c>
      <c r="BU7" s="32">
        <f>BT7/((1+InputData!$C$7)^(Ortho!$B7-Ortho!$B$7))</f>
        <v>-43015.05</v>
      </c>
      <c r="BV7" s="5">
        <f>BU7</f>
        <v>-43015.05</v>
      </c>
      <c r="BW7" s="5"/>
      <c r="BX7" s="32" t="s">
        <v>143</v>
      </c>
      <c r="BY7" s="5">
        <f>$BE7</f>
        <v>40500</v>
      </c>
      <c r="BZ7" s="5">
        <f>$BF7</f>
        <v>2515.0500000000002</v>
      </c>
      <c r="CA7" s="5">
        <v>0</v>
      </c>
      <c r="CB7" s="5">
        <f>$BH7</f>
        <v>43015.05</v>
      </c>
      <c r="CC7" s="32">
        <f>CA7/((1+InputData!$C$3)^(Ortho!$B7-Ortho!$B$7))</f>
        <v>0</v>
      </c>
      <c r="CD7" s="5">
        <f>$BS7-CC7</f>
        <v>-43015.05</v>
      </c>
      <c r="CE7" s="32">
        <f>CD7/((1+InputData!$C$7)^(Ortho!$B7-Ortho!$B$7))</f>
        <v>-43015.05</v>
      </c>
      <c r="CF7" s="5">
        <f>CE7</f>
        <v>-43015.05</v>
      </c>
      <c r="CG7" s="5"/>
      <c r="CH7" s="32" t="s">
        <v>143</v>
      </c>
      <c r="CI7" s="5">
        <f>$BE7</f>
        <v>40500</v>
      </c>
      <c r="CJ7" s="5">
        <f>$BF7</f>
        <v>2515.0500000000002</v>
      </c>
      <c r="CK7" s="5">
        <v>0</v>
      </c>
      <c r="CL7" s="5">
        <f>$BH7</f>
        <v>43015.05</v>
      </c>
      <c r="CM7" s="32">
        <f>CK7/((1+InputData!$C$3)^(Ortho!$B7-Ortho!$B$7))</f>
        <v>0</v>
      </c>
      <c r="CN7" s="5">
        <f>$BS7-CM7</f>
        <v>-43015.05</v>
      </c>
      <c r="CO7" s="32">
        <f>CN7/((1+InputData!$C$7)^(Ortho!$B7-Ortho!$B$7))</f>
        <v>-43015.05</v>
      </c>
      <c r="CP7" s="5">
        <f>CO7</f>
        <v>-43015.05</v>
      </c>
      <c r="CQ7" s="5"/>
      <c r="CR7" s="32" t="s">
        <v>143</v>
      </c>
      <c r="CS7" s="5">
        <f>$BE7</f>
        <v>40500</v>
      </c>
      <c r="CT7" s="5">
        <f>$BF7</f>
        <v>2515.0500000000002</v>
      </c>
      <c r="CU7" s="5">
        <v>0</v>
      </c>
      <c r="CV7" s="5">
        <f>$BH7</f>
        <v>43015.05</v>
      </c>
      <c r="CW7" s="32">
        <f>CU7/((1+InputData!$C$3)^(Ortho!$B7-Ortho!$B$7))</f>
        <v>0</v>
      </c>
      <c r="CX7" s="5">
        <f>$BS7-CW7</f>
        <v>-43015.05</v>
      </c>
      <c r="CY7" s="32">
        <f>CX7/((1+InputData!$C$7)^(Ortho!$B7-Ortho!$B$7))</f>
        <v>-43015.05</v>
      </c>
      <c r="CZ7" s="5">
        <f>CY7</f>
        <v>-43015.05</v>
      </c>
      <c r="DA7" s="5"/>
      <c r="DB7" s="32" t="s">
        <v>143</v>
      </c>
      <c r="DC7" s="5">
        <f>$BE7</f>
        <v>40500</v>
      </c>
      <c r="DD7" s="5">
        <f>$BF7</f>
        <v>2515.0500000000002</v>
      </c>
      <c r="DE7" s="5">
        <v>0</v>
      </c>
      <c r="DF7" s="5">
        <f>$BH7</f>
        <v>43015.05</v>
      </c>
      <c r="DG7" s="32">
        <f>DE7/((1+InputData!$C$3)^(Ortho!$B7-Ortho!$B$7))</f>
        <v>0</v>
      </c>
      <c r="DH7" s="5">
        <f>$BS7-DG7</f>
        <v>-43015.05</v>
      </c>
      <c r="DI7" s="32">
        <f>DH7/((1+InputData!$C$7)^(Ortho!$B7-Ortho!$B$7))</f>
        <v>-43015.05</v>
      </c>
      <c r="DJ7" s="5">
        <f>DI7</f>
        <v>-43015.05</v>
      </c>
      <c r="DK7" s="5"/>
      <c r="DL7" s="32" t="s">
        <v>143</v>
      </c>
      <c r="DM7" s="5">
        <f>$BE7</f>
        <v>40500</v>
      </c>
      <c r="DN7" s="5">
        <f>$BF7</f>
        <v>2515.0500000000002</v>
      </c>
      <c r="DO7" s="5">
        <f>DN7-DP7</f>
        <v>2515.0500000000002</v>
      </c>
      <c r="DP7" s="5">
        <v>0</v>
      </c>
      <c r="DQ7" s="5">
        <f>$BH7</f>
        <v>43015.05</v>
      </c>
      <c r="DR7" s="32">
        <f>DP7/((1+InputData!$C$3)^(Ortho!$B7-Ortho!$B$7))</f>
        <v>0</v>
      </c>
      <c r="DS7" s="5">
        <f>$BS7-DR7</f>
        <v>-43015.05</v>
      </c>
      <c r="DT7" s="32">
        <f>DS7/((1+InputData!$C$7)^(Ortho!$B7-Ortho!$B$7))</f>
        <v>-43015.05</v>
      </c>
      <c r="DU7" s="5">
        <f>DT7</f>
        <v>-43015.05</v>
      </c>
      <c r="DV7" s="5"/>
      <c r="DW7" s="32" t="s">
        <v>143</v>
      </c>
      <c r="DX7" s="5">
        <f>$BE7</f>
        <v>40500</v>
      </c>
      <c r="DY7" s="5">
        <f>$BF7</f>
        <v>2515.0500000000002</v>
      </c>
      <c r="DZ7" s="5">
        <f>DY7</f>
        <v>2515.0500000000002</v>
      </c>
      <c r="EA7" s="5">
        <v>0</v>
      </c>
      <c r="EB7" s="5">
        <f>$BH7</f>
        <v>43015.05</v>
      </c>
      <c r="EC7" s="32">
        <f>EA7/((1+InputData!$C$3)^(Ortho!$B7-Ortho!$B$7))</f>
        <v>0</v>
      </c>
      <c r="ED7" s="5">
        <f>$BS7-EC7</f>
        <v>-43015.05</v>
      </c>
      <c r="EE7" s="32">
        <f>ED7/((1+InputData!$C$7)^(Ortho!$B7-Ortho!$B$7))</f>
        <v>-43015.05</v>
      </c>
      <c r="EF7" s="5">
        <f>EE7</f>
        <v>-43015.05</v>
      </c>
      <c r="EG7" s="32"/>
      <c r="EH7" s="130" t="s">
        <v>143</v>
      </c>
      <c r="EI7" s="32">
        <f>InputData!$C$88/4</f>
        <v>45000</v>
      </c>
      <c r="EJ7" s="32">
        <f>EI7</f>
        <v>45000</v>
      </c>
      <c r="EK7" s="32">
        <f>EI7*InputData!$C$6</f>
        <v>2794.5</v>
      </c>
      <c r="EL7" s="32">
        <f>EI7+EK7</f>
        <v>47794.5</v>
      </c>
      <c r="EM7" s="32">
        <f>InputData!$C$92</f>
        <v>11490</v>
      </c>
      <c r="EN7" s="32">
        <v>0</v>
      </c>
      <c r="EO7" s="32">
        <f>AW7</f>
        <v>0</v>
      </c>
      <c r="EP7" s="32">
        <f>AX7</f>
        <v>-43015.05</v>
      </c>
      <c r="EQ7" s="32">
        <v>0</v>
      </c>
      <c r="ER7" s="32">
        <v>0</v>
      </c>
      <c r="ES7" s="32">
        <v>0</v>
      </c>
      <c r="ET7" s="43"/>
      <c r="EU7" s="32">
        <f>EO7+EP7-EQ7-ER7-ES7</f>
        <v>-43015.05</v>
      </c>
      <c r="EV7" s="32">
        <f>EN7/((1+InputData!$C$3)^(Ortho!$B7-Ortho!$B$7))</f>
        <v>0</v>
      </c>
      <c r="EW7" s="32">
        <f>EU7-EV7</f>
        <v>-43015.05</v>
      </c>
      <c r="EX7" s="32">
        <f>EW7/((1+InputData!$C$7)^(Ortho!$B7-Ortho!$B$7))</f>
        <v>-43015.05</v>
      </c>
      <c r="EY7" s="5">
        <f>EX7</f>
        <v>-43015.05</v>
      </c>
      <c r="EZ7" s="79"/>
      <c r="FA7" s="32">
        <f>$EJ7</f>
        <v>45000</v>
      </c>
      <c r="FB7" s="32">
        <f>$EK7</f>
        <v>2794.5</v>
      </c>
      <c r="FC7" s="32">
        <f>$EL7</f>
        <v>47794.5</v>
      </c>
      <c r="FD7" s="32">
        <v>0</v>
      </c>
      <c r="FE7" s="32">
        <f>FD7/((1+InputData!$C$3)^(Ortho!$B7-Ortho!$B$7))</f>
        <v>0</v>
      </c>
      <c r="FF7" s="5">
        <f>$EU7-FE7</f>
        <v>-43015.05</v>
      </c>
      <c r="FG7" s="32">
        <f>FF7/((1+InputData!$C$7)^(Ortho!$B7-Ortho!$B$7))</f>
        <v>-43015.05</v>
      </c>
      <c r="FH7" s="5">
        <f>FG7</f>
        <v>-43015.05</v>
      </c>
      <c r="FI7" s="79"/>
      <c r="FJ7" s="32">
        <f>$EJ7</f>
        <v>45000</v>
      </c>
      <c r="FK7" s="32">
        <f>$EK7</f>
        <v>2794.5</v>
      </c>
      <c r="FL7" s="32">
        <f>$EL7</f>
        <v>47794.5</v>
      </c>
      <c r="FM7" s="32">
        <v>0</v>
      </c>
      <c r="FN7" s="32">
        <f>FM7/((1+InputData!$C$3)^(Ortho!$B7-Ortho!$B$7))</f>
        <v>0</v>
      </c>
      <c r="FO7" s="5">
        <f>$EU7-FN7</f>
        <v>-43015.05</v>
      </c>
      <c r="FP7" s="32">
        <f>FO7/((1+InputData!$C$7)^(Ortho!$B7-Ortho!$B$7))</f>
        <v>-43015.05</v>
      </c>
      <c r="FQ7" s="5">
        <f>FP7</f>
        <v>-43015.05</v>
      </c>
      <c r="FR7" s="79"/>
      <c r="FS7" s="32">
        <f>$EJ7</f>
        <v>45000</v>
      </c>
      <c r="FT7" s="32">
        <f>$EK7</f>
        <v>2794.5</v>
      </c>
      <c r="FU7" s="32">
        <f>$EL7</f>
        <v>47794.5</v>
      </c>
      <c r="FV7" s="32">
        <v>0</v>
      </c>
      <c r="FW7" s="32">
        <f>FV7/((1+InputData!$C$3)^(Ortho!$B7-Ortho!$B$7))</f>
        <v>0</v>
      </c>
      <c r="FX7" s="5">
        <f>$EU7-FW7</f>
        <v>-43015.05</v>
      </c>
      <c r="FY7" s="32">
        <f>FX7/((1+InputData!$C$7)^(Ortho!$B7-Ortho!$B$7))</f>
        <v>-43015.05</v>
      </c>
      <c r="FZ7" s="5">
        <f>FY7</f>
        <v>-43015.05</v>
      </c>
      <c r="GC7" s="3">
        <f t="shared" ref="GC7:GC30" si="3">D7</f>
        <v>0</v>
      </c>
      <c r="GD7" s="4" t="str">
        <f t="shared" ref="GD7:GD12" si="4">E7</f>
        <v>Med School (O1&lt;=2 yrs)</v>
      </c>
      <c r="GE7" s="5">
        <f t="shared" ref="GE7:GI12" si="5">G7</f>
        <v>34516.800000000003</v>
      </c>
      <c r="GF7" s="5">
        <f t="shared" si="5"/>
        <v>25411.199999999997</v>
      </c>
      <c r="GG7" s="5">
        <f t="shared" si="5"/>
        <v>59928</v>
      </c>
      <c r="GH7" s="5">
        <f t="shared" si="5"/>
        <v>34516.800000000003</v>
      </c>
      <c r="GI7" s="5">
        <f t="shared" si="5"/>
        <v>25411.199999999997</v>
      </c>
      <c r="GJ7" s="32">
        <f>IF(GH7-InputData!$C$158-InputData!$C$159&gt;=0,GH7-InputData!$C$158-InputData!$C$159,0)</f>
        <v>34516.800000000003</v>
      </c>
      <c r="GK7" s="32">
        <f>IF(GH7-IF(GH7&lt;=InputData!$C$146,InputData!$C$145,0)-MAX(InputData!$C$144,GQ7)&gt;=0,GH7-IF(GH7&lt;=InputData!$C$146,InputData!$C$145,0)-MAX(InputData!$C$144,GQ7),0)</f>
        <v>24516.800000000003</v>
      </c>
      <c r="GL7" s="32">
        <f>IF(GK7&lt;0,"Error",IF(GK7&lt;=InputData!$B$170,InputData!$C$170*GK7,IF(GK7&lt;=InputData!$B$171,InputData!$D$170+InputData!$C$171*(GK7-InputData!$B$170),IF(GK7&lt;=InputData!$B$172,InputData!$D$171+InputData!$C$172*(GK7-InputData!$B$171),IF(GK7&lt;=InputData!$B$173,InputData!$D$172+InputData!$C$173*(GK7-InputData!$B$172),IF(GK7&lt;=InputData!$B$174,InputData!$D$173+InputData!$C$174*(GK7-InputData!$B$173),IF(GK7&lt;=InputData!$B$175,InputData!$D$174+InputData!$C$175*(GK7-InputData!$B$174),InputData!$D$175+InputData!$C$176*(GK7-InputData!$B$175))))))))</f>
        <v>3231.2700000000004</v>
      </c>
      <c r="GM7" s="32">
        <f>IF(GH7&lt;=InputData!$C$150,InputData!$C$152,IF(GH7&lt;InputData!$C$151,IF(InputData!$C$152-0.25*IF(GH7-InputData!$C$150&lt;=0,0,GH7-InputData!$C$150)&lt;=0,0,InputData!$C$152-0.25*IF(GH7-InputData!$C$150&lt;=0,0,GH7-InputData!$C$150)),0))</f>
        <v>51900</v>
      </c>
      <c r="GN7" s="32">
        <f>IF(GH7-GM7&lt;=0,0,IF(GH7-GM7&lt;=InputData!$C$153,InputData!$C$154*(GH7-GM7),InputData!$C$155*(GH7-GM7)-InputData!$D$154))</f>
        <v>0</v>
      </c>
      <c r="GO7" s="32">
        <f>MAX(GL7,GN7)</f>
        <v>3231.2700000000004</v>
      </c>
      <c r="GP7" s="32">
        <f>IF(GH7&gt;=0,IF(GH7&lt;=InputData!$C$148,InputData!$C$147*GH7,InputData!$C$147*InputData!$C$148)+InputData!$C$149*GH7,0)</f>
        <v>2640.5352000000003</v>
      </c>
      <c r="GQ7" s="32">
        <f>IF(GJ7&lt;0,0,IF(GJ7&lt;=InputData!$B$163,InputData!$C$163*GJ7,IF(GJ7&lt;=InputData!$B$164,InputData!$D$163+InputData!$C$164*(GJ7-InputData!$B$163),IF(GJ7&lt;=InputData!$B$165,InputData!$D$164+InputData!$C$165*(GJ7-InputData!$B$164),InputData!$D$165+InputData!$C$166*(GJ7-InputData!$B$165)))))</f>
        <v>0</v>
      </c>
      <c r="GR7" s="43">
        <f>(GO7+GP7+GQ7)/GH7</f>
        <v>0.17011441385064666</v>
      </c>
      <c r="GS7" s="43">
        <f>(GO7+GP7+GQ7)/(GH7+GI7)</f>
        <v>9.7980997196635972E-2</v>
      </c>
      <c r="GT7" s="5">
        <f>GH7+GI7-GO7-GP7-GQ7</f>
        <v>54056.194799999997</v>
      </c>
      <c r="GU7" s="32">
        <f>GT7/((1+InputData!$C$7)^(Ortho!$B7-Ortho!$B$7))</f>
        <v>54056.194799999997</v>
      </c>
      <c r="GV7" s="5">
        <f>GU7</f>
        <v>54056.194799999997</v>
      </c>
      <c r="GX7" s="3">
        <f t="shared" ref="GX7:GY11" si="6">Z7</f>
        <v>0</v>
      </c>
      <c r="GY7" s="4" t="str">
        <f t="shared" si="6"/>
        <v>Med School</v>
      </c>
      <c r="GZ7" s="5">
        <f t="shared" ref="GZ7:HD11" si="7">AC7</f>
        <v>49307.326488706363</v>
      </c>
      <c r="HA7" s="5">
        <f t="shared" si="7"/>
        <v>0</v>
      </c>
      <c r="HB7" s="5">
        <f t="shared" si="7"/>
        <v>49307.326488706363</v>
      </c>
      <c r="HC7" s="5">
        <f t="shared" si="7"/>
        <v>49307.326488706363</v>
      </c>
      <c r="HD7" s="5">
        <f t="shared" si="7"/>
        <v>0</v>
      </c>
      <c r="HE7" s="32">
        <f>IF(HC7-InputData!$C$158-InputData!$C$159&gt;=0,HC7-InputData!$C$158-InputData!$C$159,0)</f>
        <v>49307.326488706363</v>
      </c>
      <c r="HF7" s="32">
        <f>IF(HC7-IF(HC7&lt;=InputData!$C$146,InputData!$C$145,0)-MAX(InputData!$C$144,HL7)&gt;=0,HC7-IF(HC7&lt;=InputData!$C$146,InputData!$C$145,0)-MAX(InputData!$C$144,HL7),0)</f>
        <v>39307.326488706363</v>
      </c>
      <c r="HG7" s="32">
        <f>IF(HF7&lt;0,"Error",IF(HF7&lt;=InputData!$B$170,InputData!$C$170*HF7,IF(HF7&lt;=InputData!$B$171,InputData!$D$170+InputData!$C$171*(HF7-InputData!$B$170),IF(HF7&lt;=InputData!$B$172,InputData!$D$171+InputData!$C$172*(HF7-InputData!$B$171),IF(HF7&lt;=InputData!$B$173,InputData!$D$172+InputData!$C$173*(HF7-InputData!$B$172),IF(HF7&lt;=InputData!$B$174,InputData!$D$173+InputData!$C$174*(HF7-InputData!$B$173),IF(HF7&lt;=InputData!$B$175,InputData!$D$174+InputData!$C$175*(HF7-InputData!$B$174),InputData!$D$175+InputData!$C$176*(HF7-InputData!$B$175))))))))</f>
        <v>5755.5816221765908</v>
      </c>
      <c r="HH7" s="32">
        <f>IF(HC7&lt;=InputData!$C$150,InputData!$C$152,IF(HC7&lt;InputData!$C$151,IF(InputData!$C$152-0.25*IF(HC7-InputData!$C$150&lt;=0,0,HC7-InputData!$C$150)&lt;=0,0,InputData!$C$152-0.25*IF(HC7-InputData!$C$150&lt;=0,0,HC7-InputData!$C$150)),0))</f>
        <v>51900</v>
      </c>
      <c r="HI7" s="32">
        <f>IF(HC7-HH7&lt;=0,0,IF(HC7-HH7&lt;=InputData!$C$153,InputData!$C$154*(HC7-HH7),InputData!$C$155*(HC7-HH7)-InputData!$D$154))</f>
        <v>0</v>
      </c>
      <c r="HJ7" s="32">
        <f>MAX(HG7,HI7)</f>
        <v>5755.5816221765908</v>
      </c>
      <c r="HK7" s="32">
        <v>0</v>
      </c>
      <c r="HL7" s="32">
        <f>IF(HE7&lt;0,0,IF(HE7&lt;=InputData!$B$163,InputData!$C$163*HE7,IF(HE7&lt;=InputData!$B$164,InputData!$D$163+InputData!$C$164*(HE7-InputData!$B$163),IF(HE7&lt;=InputData!$B$165,InputData!$D$164+InputData!$C$165*(HE7-InputData!$B$164),InputData!$D$165+InputData!$C$166*(HE7-InputData!$B$165)))))</f>
        <v>0</v>
      </c>
      <c r="HM7" s="43">
        <f>(HJ7+HK7+HL7)/HC7</f>
        <v>0.11672873043511865</v>
      </c>
      <c r="HN7" s="43">
        <f>(HJ7+HK7+HL7)/(HC7+HD7)</f>
        <v>0.11672873043511865</v>
      </c>
      <c r="HO7" s="5">
        <f>HC7+HD7-HJ7-HK7-HL7</f>
        <v>43551.744866529771</v>
      </c>
      <c r="HP7" s="32">
        <f>HO7/((1+InputData!$C$7)^(Ortho!$B7-Ortho!$B$7))</f>
        <v>43551.744866529771</v>
      </c>
      <c r="HQ7" s="5">
        <f>HP7</f>
        <v>43551.744866529771</v>
      </c>
      <c r="HS7" s="93">
        <f>D7</f>
        <v>0</v>
      </c>
      <c r="HT7" s="5" t="str">
        <f>E7</f>
        <v>Med School (O1&lt;=2 yrs)</v>
      </c>
      <c r="HU7" s="5">
        <f>G7</f>
        <v>34516.800000000003</v>
      </c>
      <c r="HV7" s="5">
        <f>H7</f>
        <v>25411.199999999997</v>
      </c>
      <c r="HW7" s="5">
        <f>I7</f>
        <v>59928</v>
      </c>
      <c r="HX7" s="5">
        <f>J7</f>
        <v>34516.800000000003</v>
      </c>
      <c r="HY7" s="5">
        <f>K7</f>
        <v>25411.199999999997</v>
      </c>
      <c r="HZ7" s="32">
        <f>IF(HX7-InputData!$C$158-InputData!$C$159&gt;=0,HX7-InputData!$C$158-InputData!$C$159,0)</f>
        <v>34516.800000000003</v>
      </c>
      <c r="IA7" s="32">
        <f>IF(HX7-IF(HX7&lt;=InputData!$C$146,InputData!$C$145,0)-MAX(InputData!$C$144,IG7)&gt;=0,HX7-IF(HX7&lt;=InputData!$C$146,InputData!$C$145,0)-MAX(InputData!$C$144,IG7),0)</f>
        <v>24516.800000000003</v>
      </c>
      <c r="IB7" s="32">
        <f>IF(IA7&lt;0,"Error",IF(IA7&lt;=InputData!$B$170,InputData!$C$170*IA7,IF(IA7&lt;=InputData!$B$171,InputData!$D$170+InputData!$C$171*(IA7-InputData!$B$170),IF(IA7&lt;=InputData!$B$172,InputData!$D$171+InputData!$C$172*(IA7-InputData!$B$171),IF(IA7&lt;=InputData!$B$173,InputData!$D$172+InputData!$C$173*(IA7-InputData!$B$172),IF(IA7&lt;=InputData!$B$174,InputData!$D$173+InputData!$C$174*(IA7-InputData!$B$173),IF(IA7&lt;=InputData!$B$175,InputData!$D$174+InputData!$C$175*(IA7-InputData!$B$174),InputData!$D$175+InputData!$C$176*(IA7-InputData!$B$175))))))))</f>
        <v>3231.2700000000004</v>
      </c>
      <c r="IC7" s="32">
        <f>IF(HX7&lt;=InputData!$C$150,InputData!$C$152,IF(HX7&lt;InputData!$C$151,IF(InputData!$C$152-0.25*IF(HX7-InputData!$C$150&lt;=0,0,HX7-InputData!$C$150)&lt;=0,0,InputData!$C$152-0.25*IF(HX7-InputData!$C$150&lt;=0,0,HX7-InputData!$C$150)),0))</f>
        <v>51900</v>
      </c>
      <c r="ID7" s="32">
        <f>IF(HX7-IC7&lt;=0,0,IF(HX7-IC7&lt;=InputData!$C$153,InputData!$C$154*(HX7-IC7),InputData!$C$155*(HX7-IC7)-InputData!$D$154))</f>
        <v>0</v>
      </c>
      <c r="IE7" s="32">
        <f>MAX(IB7,ID7)</f>
        <v>3231.2700000000004</v>
      </c>
      <c r="IF7" s="32">
        <f>IF(HX7&gt;=0,IF(HX7&lt;=InputData!$C$148,InputData!$C$147*HX7,InputData!$C$147*InputData!$C$148)+InputData!$C$149*HX7,0)</f>
        <v>2640.5352000000003</v>
      </c>
      <c r="IG7" s="32">
        <f>IF(HZ7&lt;0,0,IF(HZ7&lt;=InputData!$B$163,InputData!$C$163*HZ7,IF(HZ7&lt;=InputData!$B$164,InputData!$D$163+InputData!$C$164*(HZ7-InputData!$B$163),IF(HZ7&lt;=InputData!$B$165,InputData!$D$164+InputData!$C$165*(HZ7-InputData!$B$164),InputData!$D$165+InputData!$C$166*(HZ7-InputData!$B$165)))))</f>
        <v>0</v>
      </c>
      <c r="IH7" s="43">
        <f>(IE7+IF7+IG7)/HX7</f>
        <v>0.17011441385064666</v>
      </c>
      <c r="II7" s="43">
        <f>(IE7+IF7+IG7)/(HX7+HY7)</f>
        <v>9.7980997196635972E-2</v>
      </c>
      <c r="IJ7" s="5">
        <f>HX7+HY7-IE7-IF7-IG7</f>
        <v>54056.194799999997</v>
      </c>
      <c r="IK7" s="32">
        <f>IJ7/((1+InputData!$C$7)^(Ortho!$B7-Ortho!$B$7))</f>
        <v>54056.194799999997</v>
      </c>
      <c r="IL7" s="5">
        <f>IK7</f>
        <v>54056.194799999997</v>
      </c>
      <c r="IN7" s="93">
        <f>Z7</f>
        <v>0</v>
      </c>
      <c r="IO7" s="5" t="str">
        <f>AA7</f>
        <v>Med School</v>
      </c>
      <c r="IP7" s="5">
        <f t="shared" ref="IP7:IP19" si="8">AC7</f>
        <v>49307.326488706363</v>
      </c>
      <c r="IQ7" s="5">
        <f t="shared" ref="IQ7:IQ19" si="9">AD7</f>
        <v>0</v>
      </c>
      <c r="IR7" s="5">
        <f t="shared" ref="IR7:IR19" si="10">AE7</f>
        <v>49307.326488706363</v>
      </c>
      <c r="IS7" s="5">
        <f t="shared" ref="IS7:IS19" si="11">AF7</f>
        <v>49307.326488706363</v>
      </c>
      <c r="IT7" s="5">
        <f t="shared" ref="IT7:IT19" si="12">AG7</f>
        <v>0</v>
      </c>
      <c r="IU7" s="32">
        <f>IF(IS7-InputData!$C$158-InputData!$C$159&gt;=0,IS7-InputData!$C$158-InputData!$C$159,0)</f>
        <v>49307.326488706363</v>
      </c>
      <c r="IV7" s="32">
        <f>IF(IS7-IF(IS7&lt;=InputData!$C$146,InputData!$C$145,0)-MAX(InputData!$C$144,JB7)&gt;=0,IS7-IF(IS7&lt;=InputData!$C$146,InputData!$C$145,0)-MAX(InputData!$C$144,JB7),0)</f>
        <v>39307.326488706363</v>
      </c>
      <c r="IW7" s="32">
        <f>IF(IV7&lt;0,"Error",IF(IV7&lt;=InputData!$B$170,InputData!$C$170*IV7,IF(IV7&lt;=InputData!$B$171,InputData!$D$170+InputData!$C$171*(IV7-InputData!$B$170),IF(IV7&lt;=InputData!$B$172,InputData!$D$171+InputData!$C$172*(IV7-InputData!$B$171),IF(IV7&lt;=InputData!$B$173,InputData!$D$172+InputData!$C$173*(IV7-InputData!$B$172),IF(IV7&lt;=InputData!$B$174,InputData!$D$173+InputData!$C$174*(IV7-InputData!$B$173),IF(IV7&lt;=InputData!$B$175,InputData!$D$174+InputData!$C$175*(IV7-InputData!$B$174),InputData!$D$175+InputData!$C$176*(IV7-InputData!$B$175))))))))</f>
        <v>5755.5816221765908</v>
      </c>
      <c r="IX7" s="32">
        <f>IF(IS7&lt;=InputData!$C$150,InputData!$C$152,IF(IS7&lt;InputData!$C$151,IF(InputData!$C$152-0.25*IF(IS7-InputData!$C$150&lt;=0,0,IS7-InputData!$C$150)&lt;=0,0,InputData!$C$152-0.25*IF(IS7-InputData!$C$150&lt;=0,0,IS7-InputData!$C$150)),0))</f>
        <v>51900</v>
      </c>
      <c r="IY7" s="32">
        <f>IF(IS7-IX7&lt;=0,0,IF(IS7-IX7&lt;=InputData!$C$153,InputData!$C$154*(IS7-IX7),InputData!$C$155*(IS7-IX7)-InputData!$D$154))</f>
        <v>0</v>
      </c>
      <c r="IZ7" s="32">
        <f>MAX(IW7,IY7)</f>
        <v>5755.5816221765908</v>
      </c>
      <c r="JA7" s="32">
        <v>0</v>
      </c>
      <c r="JB7" s="32">
        <f>IF(IU7&lt;0,0,IF(IU7&lt;=InputData!$B$163,InputData!$C$163*IU7,IF(IU7&lt;=InputData!$B$164,InputData!$D$163+InputData!$C$164*(IU7-InputData!$B$163),IF(IU7&lt;=InputData!$B$165,InputData!$D$164+InputData!$C$165*(IU7-InputData!$B$164),InputData!$D$165+InputData!$C$166*(IU7-InputData!$B$165)))))</f>
        <v>0</v>
      </c>
      <c r="JC7" s="43">
        <f>(IZ7+JA7+JB7)/IS7</f>
        <v>0.11672873043511865</v>
      </c>
      <c r="JD7" s="43">
        <f>(IZ7+JA7+JB7)/(IS7+IT7)</f>
        <v>0.11672873043511865</v>
      </c>
      <c r="JE7" s="5">
        <f>IS7+IT7-IZ7-JA7-JB7</f>
        <v>43551.744866529771</v>
      </c>
      <c r="JF7" s="32">
        <f>JE7/((1+InputData!$C$7)^(Ortho!$B7-Ortho!$B$7))</f>
        <v>43551.744866529771</v>
      </c>
      <c r="JG7" s="5">
        <f>JF7</f>
        <v>43551.744866529771</v>
      </c>
      <c r="JI7" s="41" t="str">
        <f t="shared" ref="JI7:JI36" si="13">AV7</f>
        <v>Med School</v>
      </c>
      <c r="JJ7" s="5">
        <f t="shared" ref="JJ7:JJ36" si="14">AW7</f>
        <v>0</v>
      </c>
      <c r="JK7" s="32">
        <f>-(JQ7+JS7)</f>
        <v>0</v>
      </c>
      <c r="JL7" s="32">
        <f>JJ7+JK7</f>
        <v>0</v>
      </c>
      <c r="JM7" s="32">
        <f>InputData!$C$92</f>
        <v>11490</v>
      </c>
      <c r="JN7" s="32">
        <f>JJ7/((1+InputData!$C$3)^(Ortho!$B7-Ortho!$B$7))</f>
        <v>0</v>
      </c>
      <c r="JO7" s="32">
        <f>JK7/((1+InputData!$C$3)^(Ortho!$B7-Ortho!$B$7))</f>
        <v>0</v>
      </c>
      <c r="JP7" s="32" t="s">
        <v>143</v>
      </c>
      <c r="JQ7" s="118">
        <v>0</v>
      </c>
      <c r="JR7" s="32">
        <f>JQ7</f>
        <v>0</v>
      </c>
      <c r="JS7" s="32">
        <f>JR7*InputData!$C$6</f>
        <v>0</v>
      </c>
      <c r="JT7" s="32">
        <v>0</v>
      </c>
      <c r="JU7" s="32">
        <f>JR7+JS7-JT7</f>
        <v>0</v>
      </c>
      <c r="JV7" s="32">
        <f>JT7/((1+InputData!$C$3)^(Ortho!$B7-Ortho!$B$7))</f>
        <v>0</v>
      </c>
      <c r="JW7" s="32">
        <f>IF(JN7-InputData!$C$158-InputData!$C$159&gt;=0,JN7-InputData!$C$158-InputData!$C$159,0)</f>
        <v>0</v>
      </c>
      <c r="JX7" s="32">
        <f>IF(JN7-IF(JN7&lt;=InputData!$C$146,InputData!$C$145,0)-MAX(InputData!$C$144,KD7)&gt;=0,JN7-IF(JN7&lt;=InputData!$C$146,InputData!$C$145,0)-MAX(InputData!$C$144,KD7),0)</f>
        <v>0</v>
      </c>
      <c r="JY7" s="32">
        <f>IF(JX7&lt;0,"Error",IF(JX7&lt;=InputData!$B$170,InputData!$C$170*JX7,IF(JX7&lt;=InputData!$B$171,InputData!$D$170+InputData!$C$171*(JX7-InputData!$B$170),IF(JX7&lt;=InputData!$B$172,InputData!$D$171+InputData!$C$172*(JX7-InputData!$B$171),IF(JX7&lt;=InputData!$B$173,InputData!$D$172+InputData!$C$173*(JX7-InputData!$B$172),IF(JX7&lt;=InputData!$B$174,InputData!$D$173+InputData!$C$174*(JX7-InputData!$B$173),IF(JX7&lt;=InputData!$B$175,InputData!$D$174+InputData!$C$175*(JX7-InputData!$B$174),InputData!$D$175+InputData!$C$176*(JX7-InputData!$B$175))))))))</f>
        <v>0</v>
      </c>
      <c r="JZ7" s="32">
        <f>IF(JN7&lt;=InputData!$C$150,InputData!$C$152,IF(JN7&lt;InputData!$C$151,IF(InputData!$C$152-0.25*IF(JN7-InputData!$C$150&lt;=0,0,JN7-InputData!$C$150)&lt;=0,0,InputData!$C$152-0.25*IF(JN7-InputData!$C$150&lt;=0,0,JN7-InputData!$C$150)),0))</f>
        <v>51900</v>
      </c>
      <c r="KA7" s="32">
        <f>IF(JN7-JZ7&lt;=0,0,IF(JN7-JZ7&lt;=InputData!$C$153,InputData!$C$154*(JN7-JZ7),InputData!$C$155*(JN7-JZ7)-InputData!$D$154))</f>
        <v>0</v>
      </c>
      <c r="KB7" s="32">
        <f>MAX(JY7,KA7)</f>
        <v>0</v>
      </c>
      <c r="KC7" s="32">
        <f>IF(JN7&gt;=0,IF(JN7&lt;=InputData!$C$148,InputData!$C$147*JN7,InputData!$C$147*InputData!$C$148)+InputData!$C$149*JN7,0)</f>
        <v>0</v>
      </c>
      <c r="KD7" s="32">
        <f>IF(JW7&lt;0,0,IF(JW7&lt;=InputData!$B$163,InputData!$C$163*JW7,IF(JW7&lt;=InputData!$B$164,InputData!$D$163+InputData!$C$164*(JW7-InputData!$B$163),IF(JW7&lt;=InputData!$B$165,InputData!$D$164+InputData!$C$165*(JW7-InputData!$B$164),InputData!$D$165+InputData!$C$166*(JW7-InputData!$B$165)))))</f>
        <v>0</v>
      </c>
      <c r="KE7" s="43" t="e">
        <f t="shared" ref="KE7:KE35" si="15">(KB7+KC7+KD7)/(JN7+JO7)</f>
        <v>#DIV/0!</v>
      </c>
      <c r="KF7" s="32">
        <f t="shared" ref="KF7:KF35" si="16">JN7+JO7-(KB7+KC7+KD7)</f>
        <v>0</v>
      </c>
      <c r="KG7" s="32">
        <f>KF7-JV7</f>
        <v>0</v>
      </c>
      <c r="KH7" s="32">
        <f>KG7/((1+InputData!$C$7)^(Ortho!$B7-Ortho!$B$7))</f>
        <v>0</v>
      </c>
      <c r="KI7" s="5">
        <f>KH7</f>
        <v>0</v>
      </c>
    </row>
    <row r="8" spans="1:295" ht="14.45" x14ac:dyDescent="0.3">
      <c r="A8" s="4">
        <v>2014</v>
      </c>
      <c r="B8" s="51">
        <v>2</v>
      </c>
      <c r="C8" s="4"/>
      <c r="D8" s="45">
        <v>0</v>
      </c>
      <c r="E8" s="4" t="s">
        <v>15</v>
      </c>
      <c r="F8" s="5">
        <f>InputData!$C$26*12</f>
        <v>34516.800000000003</v>
      </c>
      <c r="G8" s="5">
        <f>InputData!$C$26*12</f>
        <v>34516.800000000003</v>
      </c>
      <c r="H8" s="5">
        <f>(InputData!$H$37+InputData!$C$40)*12</f>
        <v>25411.199999999997</v>
      </c>
      <c r="I8" s="5">
        <f t="shared" ref="I8:I36" si="17">G8+H8</f>
        <v>59928</v>
      </c>
      <c r="J8" s="5">
        <f>G8*((1+InputData!$C$5)/(1+InputData!$C$3))^(Ortho!$B8-Ortho!$B$7)</f>
        <v>34178.400000000001</v>
      </c>
      <c r="K8" s="5">
        <f>H8*((1+InputData!$C$5)/(1+InputData!$C$3))^(Ortho!$B8-Ortho!$B$7)</f>
        <v>25162.070588235292</v>
      </c>
      <c r="L8" s="32">
        <f>IF(J8-InputData!$C$158-InputData!$C$159&gt;=0,J8-InputData!$C$158-InputData!$C$159,0)</f>
        <v>34178.400000000001</v>
      </c>
      <c r="M8" s="32">
        <f>IF(J8-IF(J8&lt;=InputData!$C$146,InputData!$C$145,0)-MAX(InputData!$C$144,S8)&gt;=0,J8-IF(J8&lt;=InputData!$C$146,InputData!$C$145,0)-MAX(InputData!$C$144,S8),0)</f>
        <v>24178.400000000001</v>
      </c>
      <c r="N8" s="32">
        <f>IF(M8&lt;0,"Error",IF(M8&lt;=InputData!$B$170,InputData!$C$170*M8,IF(M8&lt;=InputData!$B$171,InputData!$D$170+InputData!$C$171*(M8-InputData!$B$170),IF(M8&lt;=InputData!$B$172,InputData!$D$171+InputData!$C$172*(M8-InputData!$B$171),IF(M8&lt;=InputData!$B$173,InputData!$D$172+InputData!$C$173*(M8-InputData!$B$172),IF(M8&lt;=InputData!$B$174,InputData!$D$173+InputData!$C$174*(M8-InputData!$B$173),IF(M8&lt;=InputData!$B$175,InputData!$D$174+InputData!$C$175*(M8-InputData!$B$174),InputData!$D$175+InputData!$C$176*(M8-InputData!$B$175))))))))</f>
        <v>3180.51</v>
      </c>
      <c r="O8" s="32">
        <f>IF(J8&lt;=InputData!$C$150,InputData!$C$152,IF(J8&lt;InputData!$C$151,IF(InputData!$C$152-0.25*IF(J8-InputData!$C$150&lt;=0,0,J8-InputData!$C$150)&lt;=0,0,InputData!$C$152-0.25*IF(J8-InputData!$C$150&lt;=0,0,J8-InputData!$C$150)),0))</f>
        <v>51900</v>
      </c>
      <c r="P8" s="32">
        <f>IF(J8-O8&lt;=0,0,IF(J8-O8&lt;=InputData!$C$153,InputData!$C$154*(J8-O8),InputData!$C$155*(J8-O8)-InputData!$D$154))</f>
        <v>0</v>
      </c>
      <c r="Q8" s="32">
        <f t="shared" ref="Q8:Q36" si="18">MAX(N8,P8)</f>
        <v>3180.51</v>
      </c>
      <c r="R8" s="32">
        <f>IF(J8&gt;=0,IF(J8&lt;=InputData!$C$148,InputData!$C$147*J8,InputData!$C$147*InputData!$C$148)+InputData!$C$149*J8,0)</f>
        <v>2614.6476000000002</v>
      </c>
      <c r="S8" s="32">
        <f>IF(L8&lt;0,0,IF(L8&lt;=InputData!$B$163,InputData!$C$163*L8,IF(L8&lt;=InputData!$B$164,InputData!$D$163+InputData!$C$164*(L8-InputData!$B$163),IF(L8&lt;=InputData!$B$165,InputData!$D$164+InputData!$C$165*(L8-InputData!$B$164),InputData!$D$165+InputData!$C$166*(L8-InputData!$B$165)))))</f>
        <v>0</v>
      </c>
      <c r="T8" s="43">
        <f t="shared" ref="T8:T36" si="19">(Q8+R8+S8)/J8</f>
        <v>0.16955614072045502</v>
      </c>
      <c r="U8" s="43">
        <f t="shared" ref="U8:U36" si="20">(Q8+R8+S8)/(J8+K8)</f>
        <v>9.7659447971228844E-2</v>
      </c>
      <c r="V8" s="5">
        <f t="shared" ref="V8:V36" si="21">J8+K8-Q8-R8-S8</f>
        <v>53545.312988235295</v>
      </c>
      <c r="W8" s="32">
        <f>V8/((1+InputData!$C$7)^(Ortho!$B8-Ortho!$B$7))</f>
        <v>51985.740765276983</v>
      </c>
      <c r="X8" s="5">
        <f>X7+W8</f>
        <v>106041.93556527697</v>
      </c>
      <c r="Y8" s="53"/>
      <c r="Z8" s="45">
        <v>0</v>
      </c>
      <c r="AA8" s="4" t="s">
        <v>0</v>
      </c>
      <c r="AB8" s="4"/>
      <c r="AC8" s="5">
        <f>InputData!$C$67*10.5+(IntMed!G8+IntMed!H8)*45/365.25</f>
        <v>29307.326488706363</v>
      </c>
      <c r="AD8" s="5">
        <v>0</v>
      </c>
      <c r="AE8" s="5">
        <f t="shared" ref="AE8:AE36" si="22">AC8+AD8</f>
        <v>29307.326488706363</v>
      </c>
      <c r="AF8" s="5">
        <f>AC8*((1+InputData!$C$5)/(1+InputData!$C$3))^(Ortho!$B8-Ortho!$B$7)</f>
        <v>29019.999758424929</v>
      </c>
      <c r="AG8" s="5">
        <f>AD8*((1+InputData!$C$5)/(1+InputData!$C$3))^(Ortho!$B8-Ortho!$B$7)</f>
        <v>0</v>
      </c>
      <c r="AH8" s="32">
        <f>IF(AF8-InputData!$C$158-InputData!$C$159&gt;=0,AF8-InputData!$C$158-InputData!$C$159,0)</f>
        <v>29019.999758424929</v>
      </c>
      <c r="AI8" s="32">
        <f>IF(AF8-IF(AF8&lt;=InputData!$C$146,InputData!$C$145,0)-MAX(InputData!$C$144,AO8)&gt;=0,AF8-IF(AF8&lt;=InputData!$C$146,InputData!$C$145,0)-MAX(InputData!$C$144,AO8),0)</f>
        <v>19019.999758424929</v>
      </c>
      <c r="AJ8" s="32">
        <f>IF(AI8&lt;0,"Error",IF(AI8&lt;=InputData!$B$170,InputData!$C$170*AI8,IF(AI8&lt;=InputData!$B$171,InputData!$D$170+InputData!$C$171*(AI8-InputData!$B$170),IF(AI8&lt;=InputData!$B$172,InputData!$D$171+InputData!$C$172*(AI8-InputData!$B$171),IF(AI8&lt;=InputData!$B$173,InputData!$D$172+InputData!$C$173*(AI8-InputData!$B$172),IF(AI8&lt;=InputData!$B$174,InputData!$D$173+InputData!$C$174*(AI8-InputData!$B$173),IF(AI8&lt;=InputData!$B$175,InputData!$D$174+InputData!$C$175*(AI8-InputData!$B$174),InputData!$D$175+InputData!$C$176*(AI8-InputData!$B$175))))))))</f>
        <v>2406.7499637637393</v>
      </c>
      <c r="AK8" s="32">
        <f>IF(AF8&lt;=InputData!$C$150,InputData!$C$152,IF(AF8&lt;InputData!$C$151,IF(InputData!$C$152-0.25*IF(AF8-InputData!$C$150&lt;=0,0,AF8-InputData!$C$150)&lt;=0,0,InputData!$C$152-0.25*IF(AF8-InputData!$C$150&lt;=0,0,AF8-InputData!$C$150)),0))</f>
        <v>51900</v>
      </c>
      <c r="AL8" s="32">
        <f>IF(AF8-AK8&lt;=0,0,IF(AF8-AK8&lt;=InputData!$C$153,InputData!$C$154*(AF8-AK8),InputData!$C$155*(AF8-AK8)-InputData!$D$154))</f>
        <v>0</v>
      </c>
      <c r="AM8" s="32">
        <f t="shared" ref="AM8:AM36" si="23">MAX(AJ8,AL8)</f>
        <v>2406.7499637637393</v>
      </c>
      <c r="AN8" s="32">
        <v>0</v>
      </c>
      <c r="AO8" s="32">
        <f>IF(AH8&lt;0,0,IF(AH8&lt;=InputData!$B$163,InputData!$C$163*AH8,IF(AH8&lt;=InputData!$B$164,InputData!$D$163+InputData!$C$164*(AH8-InputData!$B$163),IF(AH8&lt;=InputData!$B$165,InputData!$D$164+InputData!$C$165*(AH8-InputData!$B$164),InputData!$D$165+InputData!$C$166*(AH8-InputData!$B$165)))))</f>
        <v>0</v>
      </c>
      <c r="AP8" s="43">
        <f t="shared" ref="AP8:AP36" si="24">(AM8+AN8+AO8)/AF8</f>
        <v>8.2934182763562042E-2</v>
      </c>
      <c r="AQ8" s="43">
        <f t="shared" ref="AQ8:AQ36" si="25">(AM8+AN8+AO8)/(AF8+AG8)</f>
        <v>8.2934182763562042E-2</v>
      </c>
      <c r="AR8" s="5">
        <f t="shared" ref="AR8:AR36" si="26">AF8+AG8-AM8-AN8-AO8</f>
        <v>26613.249794661191</v>
      </c>
      <c r="AS8" s="32">
        <f>AR8/((1+InputData!$C$7)^(Ortho!$B8-Ortho!$B$7))</f>
        <v>25838.106596758436</v>
      </c>
      <c r="AT8" s="5">
        <f>AT7+AS8</f>
        <v>69389.851463288214</v>
      </c>
      <c r="AU8" s="53"/>
      <c r="AV8" s="41" t="s">
        <v>0</v>
      </c>
      <c r="AW8" s="32">
        <v>0</v>
      </c>
      <c r="AX8" s="32">
        <f t="shared" ref="AX8:AX10" si="27">-(BD8+BF8)</f>
        <v>-45530.1</v>
      </c>
      <c r="AY8" s="32">
        <f t="shared" ref="AY8:AY36" si="28">AW8+AX8</f>
        <v>-45530.1</v>
      </c>
      <c r="AZ8" s="32">
        <f>AZ7*(1+InputData!$C$8)</f>
        <v>11719.800000000001</v>
      </c>
      <c r="BA8" s="32">
        <f>AW8/((1+InputData!$C$3)^(Ortho!$B8-Ortho!$B$7))</f>
        <v>0</v>
      </c>
      <c r="BB8" s="32">
        <f>AX8/((1+InputData!$C$3)^(Ortho!$B8-Ortho!$B$7))</f>
        <v>-44637.352941176468</v>
      </c>
      <c r="BC8" s="32" t="s">
        <v>143</v>
      </c>
      <c r="BD8" s="118">
        <f>InputData!$C$88*9/40</f>
        <v>40500</v>
      </c>
      <c r="BE8" s="32">
        <f>BE7+BD8</f>
        <v>81000</v>
      </c>
      <c r="BF8" s="32">
        <f>(BE8)*InputData!$C$6</f>
        <v>5030.1000000000004</v>
      </c>
      <c r="BG8" s="32">
        <v>0</v>
      </c>
      <c r="BH8" s="32">
        <f>BH7+BD8+BF8-BG8</f>
        <v>88545.150000000009</v>
      </c>
      <c r="BI8" s="32">
        <f>BG8/((1+InputData!$C$3)^(Ortho!$B8-Ortho!$B$7))</f>
        <v>0</v>
      </c>
      <c r="BJ8" s="32">
        <f>IF(BA8-InputData!$C$158-InputData!$C$159&gt;=0,BA8-InputData!$C$158-InputData!$C$159,0)</f>
        <v>0</v>
      </c>
      <c r="BK8" s="32">
        <f>IF(BA8-IF(BA8&lt;=InputData!$C$146,InputData!$C$145,0)-MAX(InputData!$C$144,BQ8)&gt;=0,BA8-IF(BA8&lt;=InputData!$C$146,InputData!$C$145,0)-MAX(InputData!$C$144,BQ8),0)</f>
        <v>0</v>
      </c>
      <c r="BL8" s="32">
        <f>IF(BK8&lt;0,"Error",IF(BK8&lt;=InputData!$B$170,InputData!$C$170*BK8,IF(BK8&lt;=InputData!$B$171,InputData!$D$170+InputData!$C$171*(BK8-InputData!$B$170),IF(BK8&lt;=InputData!$B$172,InputData!$D$171+InputData!$C$172*(BK8-InputData!$B$171),IF(BK8&lt;=InputData!$B$173,InputData!$D$172+InputData!$C$173*(BK8-InputData!$B$172),IF(BK8&lt;=InputData!$B$174,InputData!$D$173+InputData!$C$174*(BK8-InputData!$B$173),IF(BK8&lt;=InputData!$B$175,InputData!$D$174+InputData!$C$175*(BK8-InputData!$B$174),InputData!$D$175+InputData!$C$176*(BK8-InputData!$B$175))))))))</f>
        <v>0</v>
      </c>
      <c r="BM8" s="32">
        <f>IF(BA8&lt;=InputData!$C$150,InputData!$C$152,IF(BA8&lt;InputData!$C$151,IF(InputData!$C$152-0.25*IF(BA8-InputData!$C$150&lt;=0,0,BA8-InputData!$C$150)&lt;=0,0,InputData!$C$152-0.25*IF(BA8-InputData!$C$150&lt;=0,0,BA8-InputData!$C$150)),0))</f>
        <v>51900</v>
      </c>
      <c r="BN8" s="32">
        <f>IF(BA8-BM8&lt;=0,0,IF(BA8-BM8&lt;=InputData!$C$153,InputData!$C$154*(BA8-BM8),InputData!$C$155*(BA8-BM8)-InputData!$D$154))</f>
        <v>0</v>
      </c>
      <c r="BO8" s="32">
        <f t="shared" ref="BO8:BO36" si="29">MAX(BL8,BN8)</f>
        <v>0</v>
      </c>
      <c r="BP8" s="32">
        <f>IF(BA8&gt;=0,IF(BA8&lt;=InputData!$C$148,InputData!$C$147*BA8,InputData!$C$147*InputData!$C$148)+InputData!$C$149*BA8,0)</f>
        <v>0</v>
      </c>
      <c r="BQ8" s="32">
        <f>IF(BJ8&lt;0,0,IF(BJ8&lt;=InputData!$B$163,InputData!$C$163*BJ8,IF(BJ8&lt;=InputData!$B$164,InputData!$D$163+InputData!$C$164*(BJ8-InputData!$B$163),IF(BJ8&lt;=InputData!$B$165,InputData!$D$164+InputData!$C$165*(BJ8-InputData!$B$164),InputData!$D$165+InputData!$C$166*(BJ8-InputData!$B$165)))))</f>
        <v>0</v>
      </c>
      <c r="BR8" s="43">
        <f t="shared" ref="BR8:BR36" si="30">(BO8+BP8+BQ8)/(BA8+BB8)</f>
        <v>0</v>
      </c>
      <c r="BS8" s="32">
        <f t="shared" ref="BS8:BS36" si="31">BA8+BB8-(BO8+BP8+BQ8)</f>
        <v>-44637.352941176468</v>
      </c>
      <c r="BT8" s="32">
        <f t="shared" ref="BT8:BT36" si="32">BS8-BI8</f>
        <v>-44637.352941176468</v>
      </c>
      <c r="BU8" s="32">
        <f>BT8/((1+InputData!$C$7)^(Ortho!$B8-Ortho!$B$7))</f>
        <v>-43337.235865219875</v>
      </c>
      <c r="BV8" s="5">
        <f>BV7+BU8</f>
        <v>-86352.285865219877</v>
      </c>
      <c r="BW8" s="5"/>
      <c r="BX8" s="32" t="s">
        <v>143</v>
      </c>
      <c r="BY8" s="5">
        <f t="shared" ref="BY8:BY15" si="33">$BE8</f>
        <v>81000</v>
      </c>
      <c r="BZ8" s="5">
        <f t="shared" ref="BZ8:BZ15" si="34">$BF8</f>
        <v>5030.1000000000004</v>
      </c>
      <c r="CA8" s="5">
        <v>0</v>
      </c>
      <c r="CB8" s="5">
        <f t="shared" ref="CB8:CB14" si="35">$BH8</f>
        <v>88545.150000000009</v>
      </c>
      <c r="CC8" s="32">
        <f>CA8/((1+InputData!$C$3)^(Ortho!$B8-Ortho!$B$7))</f>
        <v>0</v>
      </c>
      <c r="CD8" s="5">
        <f t="shared" ref="CD8:CD36" si="36">$BS8-CC8</f>
        <v>-44637.352941176468</v>
      </c>
      <c r="CE8" s="32">
        <f>CD8/((1+InputData!$C$7)^(Ortho!$B8-Ortho!$B$7))</f>
        <v>-43337.235865219875</v>
      </c>
      <c r="CF8" s="5">
        <f>CF7+CE8</f>
        <v>-86352.285865219877</v>
      </c>
      <c r="CG8" s="5"/>
      <c r="CH8" s="32" t="s">
        <v>143</v>
      </c>
      <c r="CI8" s="5">
        <f t="shared" ref="CI8:CI15" si="37">$BE8</f>
        <v>81000</v>
      </c>
      <c r="CJ8" s="5">
        <f t="shared" ref="CJ8:CJ15" si="38">$BF8</f>
        <v>5030.1000000000004</v>
      </c>
      <c r="CK8" s="5">
        <v>0</v>
      </c>
      <c r="CL8" s="5">
        <f t="shared" ref="CL8:CL14" si="39">$BH8</f>
        <v>88545.150000000009</v>
      </c>
      <c r="CM8" s="32">
        <f>CK8/((1+InputData!$C$3)^(Ortho!$B8-Ortho!$B$7))</f>
        <v>0</v>
      </c>
      <c r="CN8" s="5">
        <f t="shared" ref="CN8:CN36" si="40">$BS8-CM8</f>
        <v>-44637.352941176468</v>
      </c>
      <c r="CO8" s="32">
        <f>CN8/((1+InputData!$C$7)^(Ortho!$B8-Ortho!$B$7))</f>
        <v>-43337.235865219875</v>
      </c>
      <c r="CP8" s="5">
        <f>CP7+CO8</f>
        <v>-86352.285865219877</v>
      </c>
      <c r="CQ8" s="5"/>
      <c r="CR8" s="32" t="s">
        <v>143</v>
      </c>
      <c r="CS8" s="5">
        <f t="shared" ref="CS8:CS15" si="41">$BE8</f>
        <v>81000</v>
      </c>
      <c r="CT8" s="5">
        <f t="shared" ref="CT8:CT15" si="42">$BF8</f>
        <v>5030.1000000000004</v>
      </c>
      <c r="CU8" s="5">
        <v>0</v>
      </c>
      <c r="CV8" s="5">
        <f t="shared" ref="CV8:CV15" si="43">$BH8</f>
        <v>88545.150000000009</v>
      </c>
      <c r="CW8" s="32">
        <f>CU8/((1+InputData!$C$3)^(Ortho!$B8-Ortho!$B$7))</f>
        <v>0</v>
      </c>
      <c r="CX8" s="5">
        <f t="shared" ref="CX8:CX36" si="44">$BS8-CW8</f>
        <v>-44637.352941176468</v>
      </c>
      <c r="CY8" s="32">
        <f>CX8/((1+InputData!$C$7)^(Ortho!$B8-Ortho!$B$7))</f>
        <v>-43337.235865219875</v>
      </c>
      <c r="CZ8" s="5">
        <f>CZ7+CY8</f>
        <v>-86352.285865219877</v>
      </c>
      <c r="DA8" s="5"/>
      <c r="DB8" s="32" t="s">
        <v>143</v>
      </c>
      <c r="DC8" s="5">
        <f t="shared" ref="DC8:DC10" si="45">$BE8</f>
        <v>81000</v>
      </c>
      <c r="DD8" s="5">
        <f t="shared" ref="DD8:DD10" si="46">$BF8</f>
        <v>5030.1000000000004</v>
      </c>
      <c r="DE8" s="5">
        <v>0</v>
      </c>
      <c r="DF8" s="5">
        <f t="shared" ref="DF8:DF10" si="47">$BH8</f>
        <v>88545.150000000009</v>
      </c>
      <c r="DG8" s="32">
        <f>DE8/((1+InputData!$C$3)^(Ortho!$B8-Ortho!$B$7))</f>
        <v>0</v>
      </c>
      <c r="DH8" s="5">
        <f t="shared" ref="DH8:DH36" si="48">$BS8-DG8</f>
        <v>-44637.352941176468</v>
      </c>
      <c r="DI8" s="32">
        <f>DH8/((1+InputData!$C$7)^(Ortho!$B8-Ortho!$B$7))</f>
        <v>-43337.235865219875</v>
      </c>
      <c r="DJ8" s="5">
        <f>DJ7+DI8</f>
        <v>-86352.285865219877</v>
      </c>
      <c r="DK8" s="5"/>
      <c r="DL8" s="32" t="s">
        <v>143</v>
      </c>
      <c r="DM8" s="5">
        <f t="shared" ref="DM8:DM10" si="49">$BE8</f>
        <v>81000</v>
      </c>
      <c r="DN8" s="5">
        <f t="shared" ref="DN8:DN10" si="50">$BF8</f>
        <v>5030.1000000000004</v>
      </c>
      <c r="DO8" s="5">
        <f>DO7+DN8-DP8</f>
        <v>7545.1500000000005</v>
      </c>
      <c r="DP8" s="5">
        <v>0</v>
      </c>
      <c r="DQ8" s="5">
        <f t="shared" ref="DQ8:DQ10" si="51">$BH8</f>
        <v>88545.150000000009</v>
      </c>
      <c r="DR8" s="32">
        <f>DP8/((1+InputData!$C$3)^(Ortho!$B8-Ortho!$B$7))</f>
        <v>0</v>
      </c>
      <c r="DS8" s="5">
        <f t="shared" ref="DS8:DS36" si="52">$BS8-DR8</f>
        <v>-44637.352941176468</v>
      </c>
      <c r="DT8" s="32">
        <f>DS8/((1+InputData!$C$7)^(Ortho!$B8-Ortho!$B$7))</f>
        <v>-43337.235865219875</v>
      </c>
      <c r="DU8" s="5">
        <f>DU7+DT8</f>
        <v>-86352.285865219877</v>
      </c>
      <c r="DV8" s="5"/>
      <c r="DW8" s="32" t="s">
        <v>143</v>
      </c>
      <c r="DX8" s="5">
        <f t="shared" ref="DX8:DX10" si="53">$BE8</f>
        <v>81000</v>
      </c>
      <c r="DY8" s="5">
        <f t="shared" ref="DY8:DY10" si="54">$BF8</f>
        <v>5030.1000000000004</v>
      </c>
      <c r="DZ8" s="5">
        <f>DZ7+DY8</f>
        <v>7545.1500000000005</v>
      </c>
      <c r="EA8" s="5">
        <v>0</v>
      </c>
      <c r="EB8" s="5">
        <f t="shared" ref="EB8:EB10" si="55">$BH8</f>
        <v>88545.150000000009</v>
      </c>
      <c r="EC8" s="32">
        <f>EA8/((1+InputData!$C$3)^(Ortho!$B8-Ortho!$B$7))</f>
        <v>0</v>
      </c>
      <c r="ED8" s="5">
        <f t="shared" ref="ED8:ED36" si="56">$BS8-EC8</f>
        <v>-44637.352941176468</v>
      </c>
      <c r="EE8" s="32">
        <f>ED8/((1+InputData!$C$7)^(Ortho!$B8-Ortho!$B$7))</f>
        <v>-43337.235865219875</v>
      </c>
      <c r="EF8" s="5">
        <f>EF7+EE8</f>
        <v>-86352.285865219877</v>
      </c>
      <c r="EG8" s="32"/>
      <c r="EH8" s="130" t="s">
        <v>143</v>
      </c>
      <c r="EI8" s="32">
        <f>EI7*(1+InputData!$C$10)</f>
        <v>45900</v>
      </c>
      <c r="EJ8" s="32">
        <f>EJ7+EI8</f>
        <v>90900</v>
      </c>
      <c r="EK8" s="32">
        <f>(EJ8)*InputData!$C$6</f>
        <v>5644.89</v>
      </c>
      <c r="EL8" s="32">
        <f>EL7+EI8+EK8</f>
        <v>99339.39</v>
      </c>
      <c r="EM8" s="32">
        <f>EM7*(1+InputData!$C$8)</f>
        <v>11719.800000000001</v>
      </c>
      <c r="EN8" s="32">
        <v>0</v>
      </c>
      <c r="EO8" s="32">
        <f>AW8/((1+InputData!$C$3)^(Ortho!$B8-Ortho!$B$7))</f>
        <v>0</v>
      </c>
      <c r="EP8" s="32">
        <f>AX8/((1+InputData!$C$3)^(Ortho!$B8-Ortho!$B$7))</f>
        <v>-44637.352941176468</v>
      </c>
      <c r="EQ8" s="32">
        <v>0</v>
      </c>
      <c r="ER8" s="32">
        <v>0</v>
      </c>
      <c r="ES8" s="32">
        <v>0</v>
      </c>
      <c r="ET8" s="43"/>
      <c r="EU8" s="32">
        <f t="shared" ref="EU8:EU36" si="57">EO8+EP8-EQ8-ER8-ES8</f>
        <v>-44637.352941176468</v>
      </c>
      <c r="EV8" s="32">
        <f>EN8/((1+InputData!$C$3)^(Ortho!$B8-Ortho!$B$7))</f>
        <v>0</v>
      </c>
      <c r="EW8" s="32">
        <f t="shared" ref="EW8:EW36" si="58">EU8-EV8</f>
        <v>-44637.352941176468</v>
      </c>
      <c r="EX8" s="32">
        <f>EW8/((1+InputData!$C$7)^(Ortho!$B8-Ortho!$B$7))</f>
        <v>-43337.235865219875</v>
      </c>
      <c r="EY8" s="5">
        <f>EY7+EX8</f>
        <v>-86352.285865219877</v>
      </c>
      <c r="EZ8" s="79"/>
      <c r="FA8" s="32">
        <f t="shared" ref="FA8:FA15" si="59">$EJ8</f>
        <v>90900</v>
      </c>
      <c r="FB8" s="32">
        <f t="shared" ref="FB8:FB15" si="60">$EK8</f>
        <v>5644.89</v>
      </c>
      <c r="FC8" s="32">
        <f t="shared" ref="FC8:FC15" si="61">$EL8</f>
        <v>99339.39</v>
      </c>
      <c r="FD8" s="32">
        <v>0</v>
      </c>
      <c r="FE8" s="32">
        <f>FD8/((1+InputData!$C$3)^(Ortho!$B8-Ortho!$B$7))</f>
        <v>0</v>
      </c>
      <c r="FF8" s="5">
        <f t="shared" ref="FF8:FF36" si="62">$EU8-FE8</f>
        <v>-44637.352941176468</v>
      </c>
      <c r="FG8" s="32">
        <f>FF8/((1+InputData!$C$7)^(Ortho!$B8-Ortho!$B$7))</f>
        <v>-43337.235865219875</v>
      </c>
      <c r="FH8" s="5">
        <f>FH7+FG8</f>
        <v>-86352.285865219877</v>
      </c>
      <c r="FI8" s="79"/>
      <c r="FJ8" s="32">
        <f t="shared" ref="FJ8:FJ15" si="63">$EJ8</f>
        <v>90900</v>
      </c>
      <c r="FK8" s="32">
        <f t="shared" ref="FK8:FK13" si="64">$EK8</f>
        <v>5644.89</v>
      </c>
      <c r="FL8" s="32">
        <f t="shared" ref="FL8:FL13" si="65">$EL8</f>
        <v>99339.39</v>
      </c>
      <c r="FM8" s="32">
        <v>0</v>
      </c>
      <c r="FN8" s="32">
        <f>FM8/((1+InputData!$C$3)^(Ortho!$B8-Ortho!$B$7))</f>
        <v>0</v>
      </c>
      <c r="FO8" s="5">
        <f t="shared" ref="FO8:FO36" si="66">$EU8-FN8</f>
        <v>-44637.352941176468</v>
      </c>
      <c r="FP8" s="32">
        <f>FO8/((1+InputData!$C$7)^(Ortho!$B8-Ortho!$B$7))</f>
        <v>-43337.235865219875</v>
      </c>
      <c r="FQ8" s="5">
        <f>FQ7+FP8</f>
        <v>-86352.285865219877</v>
      </c>
      <c r="FR8" s="79"/>
      <c r="FS8" s="32">
        <f t="shared" ref="FS8:FS15" si="67">$EJ8</f>
        <v>90900</v>
      </c>
      <c r="FT8" s="32">
        <f t="shared" ref="FT8:FT13" si="68">$EK8</f>
        <v>5644.89</v>
      </c>
      <c r="FU8" s="32">
        <f t="shared" ref="FU8:FU13" si="69">$EL8</f>
        <v>99339.39</v>
      </c>
      <c r="FV8" s="32">
        <v>0</v>
      </c>
      <c r="FW8" s="32">
        <f>FV8/((1+InputData!$C$3)^(Ortho!$B8-Ortho!$B$7))</f>
        <v>0</v>
      </c>
      <c r="FX8" s="5">
        <f t="shared" ref="FX8:FX36" si="70">$EU8-FW8</f>
        <v>-44637.352941176468</v>
      </c>
      <c r="FY8" s="32">
        <f>FX8/((1+InputData!$C$7)^(Ortho!$B8-Ortho!$B$7))</f>
        <v>-43337.235865219875</v>
      </c>
      <c r="FZ8" s="5">
        <f>FZ7+FY8</f>
        <v>-86352.285865219877</v>
      </c>
      <c r="GC8" s="3">
        <f t="shared" si="3"/>
        <v>0</v>
      </c>
      <c r="GD8" s="4" t="str">
        <f t="shared" si="4"/>
        <v>Med School (O1&lt;=2 yrs)</v>
      </c>
      <c r="GE8" s="5">
        <f t="shared" si="5"/>
        <v>34516.800000000003</v>
      </c>
      <c r="GF8" s="5">
        <f t="shared" si="5"/>
        <v>25411.199999999997</v>
      </c>
      <c r="GG8" s="5">
        <f t="shared" si="5"/>
        <v>59928</v>
      </c>
      <c r="GH8" s="5">
        <f t="shared" si="5"/>
        <v>34178.400000000001</v>
      </c>
      <c r="GI8" s="5">
        <f t="shared" si="5"/>
        <v>25162.070588235292</v>
      </c>
      <c r="GJ8" s="32">
        <f>IF(GH8-InputData!$C$158-InputData!$C$159&gt;=0,GH8-InputData!$C$158-InputData!$C$159,0)</f>
        <v>34178.400000000001</v>
      </c>
      <c r="GK8" s="32">
        <f>IF(GH8-IF(GH8&lt;=InputData!$C$146,InputData!$C$145,0)-MAX(InputData!$C$144,GQ8)&gt;=0,GH8-IF(GH8&lt;=InputData!$C$146,InputData!$C$145,0)-MAX(InputData!$C$144,GQ8),0)</f>
        <v>24178.400000000001</v>
      </c>
      <c r="GL8" s="32">
        <f>IF(GK8&lt;0,"Error",IF(GK8&lt;=InputData!$B$170,InputData!$C$170*GK8,IF(GK8&lt;=InputData!$B$171,InputData!$D$170+InputData!$C$171*(GK8-InputData!$B$170),IF(GK8&lt;=InputData!$B$172,InputData!$D$171+InputData!$C$172*(GK8-InputData!$B$171),IF(GK8&lt;=InputData!$B$173,InputData!$D$172+InputData!$C$173*(GK8-InputData!$B$172),IF(GK8&lt;=InputData!$B$174,InputData!$D$173+InputData!$C$174*(GK8-InputData!$B$173),IF(GK8&lt;=InputData!$B$175,InputData!$D$174+InputData!$C$175*(GK8-InputData!$B$174),InputData!$D$175+InputData!$C$176*(GK8-InputData!$B$175))))))))</f>
        <v>3180.51</v>
      </c>
      <c r="GM8" s="32">
        <f>IF(GH8&lt;=InputData!$C$150,InputData!$C$152,IF(GH8&lt;InputData!$C$151,IF(InputData!$C$152-0.25*IF(GH8-InputData!$C$150&lt;=0,0,GH8-InputData!$C$150)&lt;=0,0,InputData!$C$152-0.25*IF(GH8-InputData!$C$150&lt;=0,0,GH8-InputData!$C$150)),0))</f>
        <v>51900</v>
      </c>
      <c r="GN8" s="32">
        <f>IF(GH8-GM8&lt;=0,0,IF(GH8-GM8&lt;=InputData!$C$153,InputData!$C$154*(GH8-GM8),InputData!$C$155*(GH8-GM8)-InputData!$D$154))</f>
        <v>0</v>
      </c>
      <c r="GO8" s="32">
        <f t="shared" ref="GO8:GO36" si="71">MAX(GL8,GN8)</f>
        <v>3180.51</v>
      </c>
      <c r="GP8" s="32">
        <f>IF(GH8&gt;=0,IF(GH8&lt;=InputData!$C$148,InputData!$C$147*GH8,InputData!$C$147*InputData!$C$148)+InputData!$C$149*GH8,0)</f>
        <v>2614.6476000000002</v>
      </c>
      <c r="GQ8" s="32">
        <f>IF(GJ8&lt;0,0,IF(GJ8&lt;=InputData!$B$163,InputData!$C$163*GJ8,IF(GJ8&lt;=InputData!$B$164,InputData!$D$163+InputData!$C$164*(GJ8-InputData!$B$163),IF(GJ8&lt;=InputData!$B$165,InputData!$D$164+InputData!$C$165*(GJ8-InputData!$B$164),InputData!$D$165+InputData!$C$166*(GJ8-InputData!$B$165)))))</f>
        <v>0</v>
      </c>
      <c r="GR8" s="43">
        <f t="shared" ref="GR8:GR36" si="72">(GO8+GP8+GQ8)/GH8</f>
        <v>0.16955614072045502</v>
      </c>
      <c r="GS8" s="43">
        <f t="shared" ref="GS8:GS36" si="73">(GO8+GP8+GQ8)/(GH8+GI8)</f>
        <v>9.7659447971228844E-2</v>
      </c>
      <c r="GT8" s="5">
        <f t="shared" ref="GT8:GT36" si="74">GH8+GI8-GO8-GP8-GQ8</f>
        <v>53545.312988235295</v>
      </c>
      <c r="GU8" s="32">
        <f>GT8/((1+InputData!$C$7)^(Ortho!$B8-Ortho!$B$7))</f>
        <v>51985.740765276983</v>
      </c>
      <c r="GV8" s="32">
        <f t="shared" ref="GV8:GV35" si="75">GV7+GU8</f>
        <v>106041.93556527697</v>
      </c>
      <c r="GX8" s="3">
        <f t="shared" si="6"/>
        <v>0</v>
      </c>
      <c r="GY8" s="4" t="str">
        <f t="shared" si="6"/>
        <v>Med School</v>
      </c>
      <c r="GZ8" s="5">
        <f t="shared" si="7"/>
        <v>29307.326488706363</v>
      </c>
      <c r="HA8" s="5">
        <f t="shared" si="7"/>
        <v>0</v>
      </c>
      <c r="HB8" s="5">
        <f t="shared" si="7"/>
        <v>29307.326488706363</v>
      </c>
      <c r="HC8" s="5">
        <f t="shared" si="7"/>
        <v>29019.999758424929</v>
      </c>
      <c r="HD8" s="5">
        <f t="shared" si="7"/>
        <v>0</v>
      </c>
      <c r="HE8" s="32">
        <f>IF(HC8-InputData!$C$158-InputData!$C$159&gt;=0,HC8-InputData!$C$158-InputData!$C$159,0)</f>
        <v>29019.999758424929</v>
      </c>
      <c r="HF8" s="32">
        <f>IF(HC8-IF(HC8&lt;=InputData!$C$146,InputData!$C$145,0)-MAX(InputData!$C$144,HL8)&gt;=0,HC8-IF(HC8&lt;=InputData!$C$146,InputData!$C$145,0)-MAX(InputData!$C$144,HL8),0)</f>
        <v>19019.999758424929</v>
      </c>
      <c r="HG8" s="32">
        <f>IF(HF8&lt;0,"Error",IF(HF8&lt;=InputData!$B$170,InputData!$C$170*HF8,IF(HF8&lt;=InputData!$B$171,InputData!$D$170+InputData!$C$171*(HF8-InputData!$B$170),IF(HF8&lt;=InputData!$B$172,InputData!$D$171+InputData!$C$172*(HF8-InputData!$B$171),IF(HF8&lt;=InputData!$B$173,InputData!$D$172+InputData!$C$173*(HF8-InputData!$B$172),IF(HF8&lt;=InputData!$B$174,InputData!$D$173+InputData!$C$174*(HF8-InputData!$B$173),IF(HF8&lt;=InputData!$B$175,InputData!$D$174+InputData!$C$175*(HF8-InputData!$B$174),InputData!$D$175+InputData!$C$176*(HF8-InputData!$B$175))))))))</f>
        <v>2406.7499637637393</v>
      </c>
      <c r="HH8" s="32">
        <f>IF(HC8&lt;=InputData!$C$150,InputData!$C$152,IF(HC8&lt;InputData!$C$151,IF(InputData!$C$152-0.25*IF(HC8-InputData!$C$150&lt;=0,0,HC8-InputData!$C$150)&lt;=0,0,InputData!$C$152-0.25*IF(HC8-InputData!$C$150&lt;=0,0,HC8-InputData!$C$150)),0))</f>
        <v>51900</v>
      </c>
      <c r="HI8" s="32">
        <f>IF(HC8-HH8&lt;=0,0,IF(HC8-HH8&lt;=InputData!$C$153,InputData!$C$154*(HC8-HH8),InputData!$C$155*(HC8-HH8)-InputData!$D$154))</f>
        <v>0</v>
      </c>
      <c r="HJ8" s="32">
        <f t="shared" ref="HJ8:HJ36" si="76">MAX(HG8,HI8)</f>
        <v>2406.7499637637393</v>
      </c>
      <c r="HK8" s="32">
        <v>0</v>
      </c>
      <c r="HL8" s="32">
        <f>IF(HE8&lt;0,0,IF(HE8&lt;=InputData!$B$163,InputData!$C$163*HE8,IF(HE8&lt;=InputData!$B$164,InputData!$D$163+InputData!$C$164*(HE8-InputData!$B$163),IF(HE8&lt;=InputData!$B$165,InputData!$D$164+InputData!$C$165*(HE8-InputData!$B$164),InputData!$D$165+InputData!$C$166*(HE8-InputData!$B$165)))))</f>
        <v>0</v>
      </c>
      <c r="HM8" s="43">
        <f t="shared" ref="HM8:HM36" si="77">(HJ8+HK8+HL8)/HC8</f>
        <v>8.2934182763562042E-2</v>
      </c>
      <c r="HN8" s="43">
        <f t="shared" ref="HN8:HN36" si="78">(HJ8+HK8+HL8)/(HC8+HD8)</f>
        <v>8.2934182763562042E-2</v>
      </c>
      <c r="HO8" s="5">
        <f t="shared" ref="HO8:HO36" si="79">HC8+HD8-HJ8-HK8-HL8</f>
        <v>26613.249794661191</v>
      </c>
      <c r="HP8" s="32">
        <f>HO8/((1+InputData!$C$7)^(Ortho!$B8-Ortho!$B$7))</f>
        <v>25838.106596758436</v>
      </c>
      <c r="HQ8" s="32">
        <f t="shared" ref="HQ8:HQ35" si="80">HQ7+HP8</f>
        <v>69389.851463288214</v>
      </c>
      <c r="HS8" s="93">
        <f t="shared" ref="HS8:HS22" si="81">D8</f>
        <v>0</v>
      </c>
      <c r="HT8" s="5" t="str">
        <f t="shared" ref="HT8:HT22" si="82">E8</f>
        <v>Med School (O1&lt;=2 yrs)</v>
      </c>
      <c r="HU8" s="5">
        <f t="shared" ref="HU8:HU22" si="83">G8</f>
        <v>34516.800000000003</v>
      </c>
      <c r="HV8" s="5">
        <f t="shared" ref="HV8:HV22" si="84">H8</f>
        <v>25411.199999999997</v>
      </c>
      <c r="HW8" s="5">
        <f t="shared" ref="HW8:HW22" si="85">I8</f>
        <v>59928</v>
      </c>
      <c r="HX8" s="5">
        <f t="shared" ref="HX8:HX22" si="86">J8</f>
        <v>34178.400000000001</v>
      </c>
      <c r="HY8" s="5">
        <f t="shared" ref="HY8:HY22" si="87">K8</f>
        <v>25162.070588235292</v>
      </c>
      <c r="HZ8" s="32">
        <f>IF(HX8-InputData!$C$158-InputData!$C$159&gt;=0,HX8-InputData!$C$158-InputData!$C$159,0)</f>
        <v>34178.400000000001</v>
      </c>
      <c r="IA8" s="32">
        <f>IF(HX8-IF(HX8&lt;=InputData!$C$146,InputData!$C$145,0)-MAX(InputData!$C$144,IG8)&gt;=0,HX8-IF(HX8&lt;=InputData!$C$146,InputData!$C$145,0)-MAX(InputData!$C$144,IG8),0)</f>
        <v>24178.400000000001</v>
      </c>
      <c r="IB8" s="32">
        <f>IF(IA8&lt;0,"Error",IF(IA8&lt;=InputData!$B$170,InputData!$C$170*IA8,IF(IA8&lt;=InputData!$B$171,InputData!$D$170+InputData!$C$171*(IA8-InputData!$B$170),IF(IA8&lt;=InputData!$B$172,InputData!$D$171+InputData!$C$172*(IA8-InputData!$B$171),IF(IA8&lt;=InputData!$B$173,InputData!$D$172+InputData!$C$173*(IA8-InputData!$B$172),IF(IA8&lt;=InputData!$B$174,InputData!$D$173+InputData!$C$174*(IA8-InputData!$B$173),IF(IA8&lt;=InputData!$B$175,InputData!$D$174+InputData!$C$175*(IA8-InputData!$B$174),InputData!$D$175+InputData!$C$176*(IA8-InputData!$B$175))))))))</f>
        <v>3180.51</v>
      </c>
      <c r="IC8" s="32">
        <f>IF(HX8&lt;=InputData!$C$150,InputData!$C$152,IF(HX8&lt;InputData!$C$151,IF(InputData!$C$152-0.25*IF(HX8-InputData!$C$150&lt;=0,0,HX8-InputData!$C$150)&lt;=0,0,InputData!$C$152-0.25*IF(HX8-InputData!$C$150&lt;=0,0,HX8-InputData!$C$150)),0))</f>
        <v>51900</v>
      </c>
      <c r="ID8" s="32">
        <f>IF(HX8-IC8&lt;=0,0,IF(HX8-IC8&lt;=InputData!$C$153,InputData!$C$154*(HX8-IC8),InputData!$C$155*(HX8-IC8)-InputData!$D$154))</f>
        <v>0</v>
      </c>
      <c r="IE8" s="32">
        <f t="shared" ref="IE8:IE36" si="88">MAX(IB8,ID8)</f>
        <v>3180.51</v>
      </c>
      <c r="IF8" s="32">
        <f>IF(HX8&gt;=0,IF(HX8&lt;=InputData!$C$148,InputData!$C$147*HX8,InputData!$C$147*InputData!$C$148)+InputData!$C$149*HX8,0)</f>
        <v>2614.6476000000002</v>
      </c>
      <c r="IG8" s="32">
        <f>IF(HZ8&lt;0,0,IF(HZ8&lt;=InputData!$B$163,InputData!$C$163*HZ8,IF(HZ8&lt;=InputData!$B$164,InputData!$D$163+InputData!$C$164*(HZ8-InputData!$B$163),IF(HZ8&lt;=InputData!$B$165,InputData!$D$164+InputData!$C$165*(HZ8-InputData!$B$164),InputData!$D$165+InputData!$C$166*(HZ8-InputData!$B$165)))))</f>
        <v>0</v>
      </c>
      <c r="IH8" s="43">
        <f t="shared" ref="IH8:IH36" si="89">(IE8+IF8+IG8)/HX8</f>
        <v>0.16955614072045502</v>
      </c>
      <c r="II8" s="43">
        <f t="shared" ref="II8:II36" si="90">(IE8+IF8+IG8)/(HX8+HY8)</f>
        <v>9.7659447971228844E-2</v>
      </c>
      <c r="IJ8" s="5">
        <f t="shared" ref="IJ8:IJ36" si="91">HX8+HY8-IE8-IF8-IG8</f>
        <v>53545.312988235295</v>
      </c>
      <c r="IK8" s="32">
        <f>IJ8/((1+InputData!$C$7)^(Ortho!$B8-Ortho!$B$7))</f>
        <v>51985.740765276983</v>
      </c>
      <c r="IL8" s="5">
        <f t="shared" ref="IL8:IL35" si="92">IL7+IK8</f>
        <v>106041.93556527697</v>
      </c>
      <c r="IN8" s="93">
        <f t="shared" ref="IN8:IN19" si="93">Z8</f>
        <v>0</v>
      </c>
      <c r="IO8" s="5" t="str">
        <f t="shared" ref="IO8:IO19" si="94">AA8</f>
        <v>Med School</v>
      </c>
      <c r="IP8" s="5">
        <f t="shared" si="8"/>
        <v>29307.326488706363</v>
      </c>
      <c r="IQ8" s="5">
        <f t="shared" si="9"/>
        <v>0</v>
      </c>
      <c r="IR8" s="5">
        <f t="shared" si="10"/>
        <v>29307.326488706363</v>
      </c>
      <c r="IS8" s="5">
        <f t="shared" si="11"/>
        <v>29019.999758424929</v>
      </c>
      <c r="IT8" s="5">
        <f t="shared" si="12"/>
        <v>0</v>
      </c>
      <c r="IU8" s="32">
        <f>IF(IS8-InputData!$C$158-InputData!$C$159&gt;=0,IS8-InputData!$C$158-InputData!$C$159,0)</f>
        <v>29019.999758424929</v>
      </c>
      <c r="IV8" s="32">
        <f>IF(IS8-IF(IS8&lt;=InputData!$C$146,InputData!$C$145,0)-MAX(InputData!$C$144,JB8)&gt;=0,IS8-IF(IS8&lt;=InputData!$C$146,InputData!$C$145,0)-MAX(InputData!$C$144,JB8),0)</f>
        <v>19019.999758424929</v>
      </c>
      <c r="IW8" s="32">
        <f>IF(IV8&lt;0,"Error",IF(IV8&lt;=InputData!$B$170,InputData!$C$170*IV8,IF(IV8&lt;=InputData!$B$171,InputData!$D$170+InputData!$C$171*(IV8-InputData!$B$170),IF(IV8&lt;=InputData!$B$172,InputData!$D$171+InputData!$C$172*(IV8-InputData!$B$171),IF(IV8&lt;=InputData!$B$173,InputData!$D$172+InputData!$C$173*(IV8-InputData!$B$172),IF(IV8&lt;=InputData!$B$174,InputData!$D$173+InputData!$C$174*(IV8-InputData!$B$173),IF(IV8&lt;=InputData!$B$175,InputData!$D$174+InputData!$C$175*(IV8-InputData!$B$174),InputData!$D$175+InputData!$C$176*(IV8-InputData!$B$175))))))))</f>
        <v>2406.7499637637393</v>
      </c>
      <c r="IX8" s="32">
        <f>IF(IS8&lt;=InputData!$C$150,InputData!$C$152,IF(IS8&lt;InputData!$C$151,IF(InputData!$C$152-0.25*IF(IS8-InputData!$C$150&lt;=0,0,IS8-InputData!$C$150)&lt;=0,0,InputData!$C$152-0.25*IF(IS8-InputData!$C$150&lt;=0,0,IS8-InputData!$C$150)),0))</f>
        <v>51900</v>
      </c>
      <c r="IY8" s="32">
        <f>IF(IS8-IX8&lt;=0,0,IF(IS8-IX8&lt;=InputData!$C$153,InputData!$C$154*(IS8-IX8),InputData!$C$155*(IS8-IX8)-InputData!$D$154))</f>
        <v>0</v>
      </c>
      <c r="IZ8" s="32">
        <f t="shared" ref="IZ8:IZ36" si="95">MAX(IW8,IY8)</f>
        <v>2406.7499637637393</v>
      </c>
      <c r="JA8" s="32">
        <v>0</v>
      </c>
      <c r="JB8" s="32">
        <f>IF(IU8&lt;0,0,IF(IU8&lt;=InputData!$B$163,InputData!$C$163*IU8,IF(IU8&lt;=InputData!$B$164,InputData!$D$163+InputData!$C$164*(IU8-InputData!$B$163),IF(IU8&lt;=InputData!$B$165,InputData!$D$164+InputData!$C$165*(IU8-InputData!$B$164),InputData!$D$165+InputData!$C$166*(IU8-InputData!$B$165)))))</f>
        <v>0</v>
      </c>
      <c r="JC8" s="43">
        <f t="shared" ref="JC8:JC36" si="96">(IZ8+JA8+JB8)/IS8</f>
        <v>8.2934182763562042E-2</v>
      </c>
      <c r="JD8" s="43">
        <f t="shared" ref="JD8:JD36" si="97">(IZ8+JA8+JB8)/(IS8+IT8)</f>
        <v>8.2934182763562042E-2</v>
      </c>
      <c r="JE8" s="5">
        <f t="shared" ref="JE8:JE36" si="98">IS8+IT8-IZ8-JA8-JB8</f>
        <v>26613.249794661191</v>
      </c>
      <c r="JF8" s="32">
        <f>JE8/((1+InputData!$C$7)^(Ortho!$B8-Ortho!$B$7))</f>
        <v>25838.106596758436</v>
      </c>
      <c r="JG8" s="5">
        <f t="shared" ref="JG8:JG35" si="99">JG7+JF8</f>
        <v>69389.851463288214</v>
      </c>
      <c r="JI8" s="41" t="str">
        <f t="shared" si="13"/>
        <v>Med School</v>
      </c>
      <c r="JJ8" s="5">
        <f t="shared" si="14"/>
        <v>0</v>
      </c>
      <c r="JK8" s="32">
        <f t="shared" ref="JK8:JK10" si="100">-(JQ8+JS8)</f>
        <v>0</v>
      </c>
      <c r="JL8" s="32">
        <f t="shared" ref="JL8:JL36" si="101">JJ8+JK8</f>
        <v>0</v>
      </c>
      <c r="JM8" s="32">
        <f>JM7*(1+InputData!$C$8)</f>
        <v>11719.800000000001</v>
      </c>
      <c r="JN8" s="32">
        <f>JJ8/((1+InputData!$C$3)^(Ortho!$B8-Ortho!$B$7))</f>
        <v>0</v>
      </c>
      <c r="JO8" s="32">
        <f>JK8/((1+InputData!$C$3)^(Ortho!$B8-Ortho!$B$7))</f>
        <v>0</v>
      </c>
      <c r="JP8" s="32" t="s">
        <v>143</v>
      </c>
      <c r="JQ8" s="118">
        <v>0</v>
      </c>
      <c r="JR8" s="32">
        <f>JR7+JQ8</f>
        <v>0</v>
      </c>
      <c r="JS8" s="32">
        <f>(JR8)*InputData!$C$6</f>
        <v>0</v>
      </c>
      <c r="JT8" s="32">
        <v>0</v>
      </c>
      <c r="JU8" s="32">
        <f>JU7+JQ8+JS8-JT8</f>
        <v>0</v>
      </c>
      <c r="JV8" s="32">
        <f>JT8/((1+InputData!$C$3)^(Ortho!$B8-Ortho!$B$7))</f>
        <v>0</v>
      </c>
      <c r="JW8" s="32">
        <f>IF(JN8-InputData!$C$158-InputData!$C$159&gt;=0,JN8-InputData!$C$158-InputData!$C$159,0)</f>
        <v>0</v>
      </c>
      <c r="JX8" s="32">
        <f>IF(JN8-IF(JN8&lt;=InputData!$C$146,InputData!$C$145,0)-MAX(InputData!$C$144,KD8)&gt;=0,JN8-IF(JN8&lt;=InputData!$C$146,InputData!$C$145,0)-MAX(InputData!$C$144,KD8),0)</f>
        <v>0</v>
      </c>
      <c r="JY8" s="32">
        <f>IF(JX8&lt;0,"Error",IF(JX8&lt;=InputData!$B$170,InputData!$C$170*JX8,IF(JX8&lt;=InputData!$B$171,InputData!$D$170+InputData!$C$171*(JX8-InputData!$B$170),IF(JX8&lt;=InputData!$B$172,InputData!$D$171+InputData!$C$172*(JX8-InputData!$B$171),IF(JX8&lt;=InputData!$B$173,InputData!$D$172+InputData!$C$173*(JX8-InputData!$B$172),IF(JX8&lt;=InputData!$B$174,InputData!$D$173+InputData!$C$174*(JX8-InputData!$B$173),IF(JX8&lt;=InputData!$B$175,InputData!$D$174+InputData!$C$175*(JX8-InputData!$B$174),InputData!$D$175+InputData!$C$176*(JX8-InputData!$B$175))))))))</f>
        <v>0</v>
      </c>
      <c r="JZ8" s="32">
        <f>IF(JN8&lt;=InputData!$C$150,InputData!$C$152,IF(JN8&lt;InputData!$C$151,IF(InputData!$C$152-0.25*IF(JN8-InputData!$C$150&lt;=0,0,JN8-InputData!$C$150)&lt;=0,0,InputData!$C$152-0.25*IF(JN8-InputData!$C$150&lt;=0,0,JN8-InputData!$C$150)),0))</f>
        <v>51900</v>
      </c>
      <c r="KA8" s="32">
        <f>IF(JN8-JZ8&lt;=0,0,IF(JN8-JZ8&lt;=InputData!$C$153,InputData!$C$154*(JN8-JZ8),InputData!$C$155*(JN8-JZ8)-InputData!$D$154))</f>
        <v>0</v>
      </c>
      <c r="KB8" s="32">
        <f t="shared" ref="KB8:KB36" si="102">MAX(JY8,KA8)</f>
        <v>0</v>
      </c>
      <c r="KC8" s="32">
        <f>IF(JN8&gt;=0,IF(JN8&lt;=InputData!$C$148,InputData!$C$147*JN8,InputData!$C$147*InputData!$C$148)+InputData!$C$149*JN8,0)</f>
        <v>0</v>
      </c>
      <c r="KD8" s="32">
        <f>IF(JW8&lt;0,0,IF(JW8&lt;=InputData!$B$163,InputData!$C$163*JW8,IF(JW8&lt;=InputData!$B$164,InputData!$D$163+InputData!$C$164*(JW8-InputData!$B$163),IF(JW8&lt;=InputData!$B$165,InputData!$D$164+InputData!$C$165*(JW8-InputData!$B$164),InputData!$D$165+InputData!$C$166*(JW8-InputData!$B$165)))))</f>
        <v>0</v>
      </c>
      <c r="KE8" s="43" t="e">
        <f t="shared" si="15"/>
        <v>#DIV/0!</v>
      </c>
      <c r="KF8" s="32">
        <f t="shared" si="16"/>
        <v>0</v>
      </c>
      <c r="KG8" s="32">
        <f t="shared" ref="KG8:KG36" si="103">KF8-JV8</f>
        <v>0</v>
      </c>
      <c r="KH8" s="32">
        <f>KG8/((1+InputData!$C$7)^(Ortho!$B8-Ortho!$B$7))</f>
        <v>0</v>
      </c>
      <c r="KI8" s="5">
        <f>KI7+KH8</f>
        <v>0</v>
      </c>
    </row>
    <row r="9" spans="1:295" ht="14.45" x14ac:dyDescent="0.3">
      <c r="A9" s="4">
        <v>2015</v>
      </c>
      <c r="B9" s="51">
        <v>3</v>
      </c>
      <c r="C9" s="4"/>
      <c r="D9" s="45">
        <v>0</v>
      </c>
      <c r="E9" s="4" t="s">
        <v>10</v>
      </c>
      <c r="F9" s="5">
        <f>InputData!$D$26*12</f>
        <v>35928</v>
      </c>
      <c r="G9" s="5">
        <f>InputData!$D$26*12</f>
        <v>35928</v>
      </c>
      <c r="H9" s="5">
        <f>(InputData!$H$37+InputData!$C$40)*12</f>
        <v>25411.199999999997</v>
      </c>
      <c r="I9" s="5">
        <f t="shared" si="17"/>
        <v>61339.199999999997</v>
      </c>
      <c r="J9" s="5">
        <f>G9*((1+InputData!$C$5)/(1+InputData!$C$3))^(Ortho!$B9-Ortho!$B$7)</f>
        <v>35226.98269896194</v>
      </c>
      <c r="K9" s="5">
        <f>H9*((1+InputData!$C$5)/(1+InputData!$C$3))^(Ortho!$B9-Ortho!$B$7)</f>
        <v>24915.383621683966</v>
      </c>
      <c r="L9" s="32">
        <f>IF(J9-InputData!$C$158-InputData!$C$159&gt;=0,J9-InputData!$C$158-InputData!$C$159,0)</f>
        <v>35226.98269896194</v>
      </c>
      <c r="M9" s="32">
        <f>IF(J9-IF(J9&lt;=InputData!$C$146,InputData!$C$145,0)-MAX(InputData!$C$144,S9)&gt;=0,J9-IF(J9&lt;=InputData!$C$146,InputData!$C$145,0)-MAX(InputData!$C$144,S9),0)</f>
        <v>25226.98269896194</v>
      </c>
      <c r="N9" s="32">
        <f>IF(M9&lt;0,"Error",IF(M9&lt;=InputData!$B$170,InputData!$C$170*M9,IF(M9&lt;=InputData!$B$171,InputData!$D$170+InputData!$C$171*(M9-InputData!$B$170),IF(M9&lt;=InputData!$B$172,InputData!$D$171+InputData!$C$172*(M9-InputData!$B$171),IF(M9&lt;=InputData!$B$173,InputData!$D$172+InputData!$C$173*(M9-InputData!$B$172),IF(M9&lt;=InputData!$B$174,InputData!$D$173+InputData!$C$174*(M9-InputData!$B$173),IF(M9&lt;=InputData!$B$175,InputData!$D$174+InputData!$C$175*(M9-InputData!$B$174),InputData!$D$175+InputData!$C$176*(M9-InputData!$B$175))))))))</f>
        <v>3337.7974048442907</v>
      </c>
      <c r="O9" s="32">
        <f>IF(J9&lt;=InputData!$C$150,InputData!$C$152,IF(J9&lt;InputData!$C$151,IF(InputData!$C$152-0.25*IF(J9-InputData!$C$150&lt;=0,0,J9-InputData!$C$150)&lt;=0,0,InputData!$C$152-0.25*IF(J9-InputData!$C$150&lt;=0,0,J9-InputData!$C$150)),0))</f>
        <v>51900</v>
      </c>
      <c r="P9" s="32">
        <f>IF(J9-O9&lt;=0,0,IF(J9-O9&lt;=InputData!$C$153,InputData!$C$154*(J9-O9),InputData!$C$155*(J9-O9)-InputData!$D$154))</f>
        <v>0</v>
      </c>
      <c r="Q9" s="32">
        <f t="shared" si="18"/>
        <v>3337.7974048442907</v>
      </c>
      <c r="R9" s="32">
        <f>IF(J9&gt;=0,IF(J9&lt;=InputData!$C$148,InputData!$C$147*J9,InputData!$C$147*InputData!$C$148)+InputData!$C$149*J9,0)</f>
        <v>2694.8641764705881</v>
      </c>
      <c r="S9" s="32">
        <f>IF(L9&lt;0,0,IF(L9&lt;=InputData!$B$163,InputData!$C$163*L9,IF(L9&lt;=InputData!$B$164,InputData!$D$163+InputData!$C$164*(L9-InputData!$B$163),IF(L9&lt;=InputData!$B$165,InputData!$D$164+InputData!$C$165*(L9-InputData!$B$164),InputData!$D$165+InputData!$C$166*(L9-InputData!$B$165)))))</f>
        <v>0</v>
      </c>
      <c r="T9" s="43">
        <f t="shared" si="19"/>
        <v>0.17125115803609961</v>
      </c>
      <c r="U9" s="43">
        <f t="shared" si="20"/>
        <v>0.10030635557556974</v>
      </c>
      <c r="V9" s="5">
        <f t="shared" si="21"/>
        <v>54109.70473933102</v>
      </c>
      <c r="W9" s="32">
        <f>V9/((1+InputData!$C$7)^(Ortho!$B9-Ortho!$B$7))</f>
        <v>51003.586331728744</v>
      </c>
      <c r="X9" s="5">
        <f t="shared" ref="X9:X36" si="104">X8+W9</f>
        <v>157045.52189700573</v>
      </c>
      <c r="Y9" s="53"/>
      <c r="Z9" s="45">
        <v>0</v>
      </c>
      <c r="AA9" s="4" t="s">
        <v>0</v>
      </c>
      <c r="AB9" s="4"/>
      <c r="AC9" s="5">
        <f>InputData!$C$67*10.5+(IntMed!G9+IntMed!H9)*45/365.25</f>
        <v>29481.190965092403</v>
      </c>
      <c r="AD9" s="5">
        <v>0</v>
      </c>
      <c r="AE9" s="5">
        <f t="shared" si="22"/>
        <v>29481.190965092403</v>
      </c>
      <c r="AF9" s="5">
        <f>AC9*((1+InputData!$C$5)/(1+InputData!$C$3))^(Ortho!$B9-Ortho!$B$7)</f>
        <v>28905.962037188354</v>
      </c>
      <c r="AG9" s="5">
        <f>AD9*((1+InputData!$C$5)/(1+InputData!$C$3))^(Ortho!$B9-Ortho!$B$7)</f>
        <v>0</v>
      </c>
      <c r="AH9" s="32">
        <f>IF(AF9-InputData!$C$158-InputData!$C$159&gt;=0,AF9-InputData!$C$158-InputData!$C$159,0)</f>
        <v>28905.962037188354</v>
      </c>
      <c r="AI9" s="32">
        <f>IF(AF9-IF(AF9&lt;=InputData!$C$146,InputData!$C$145,0)-MAX(InputData!$C$144,AO9)&gt;=0,AF9-IF(AF9&lt;=InputData!$C$146,InputData!$C$145,0)-MAX(InputData!$C$144,AO9),0)</f>
        <v>18905.962037188354</v>
      </c>
      <c r="AJ9" s="32">
        <f>IF(AI9&lt;0,"Error",IF(AI9&lt;=InputData!$B$170,InputData!$C$170*AI9,IF(AI9&lt;=InputData!$B$171,InputData!$D$170+InputData!$C$171*(AI9-InputData!$B$170),IF(AI9&lt;=InputData!$B$172,InputData!$D$171+InputData!$C$172*(AI9-InputData!$B$171),IF(AI9&lt;=InputData!$B$173,InputData!$D$172+InputData!$C$173*(AI9-InputData!$B$172),IF(AI9&lt;=InputData!$B$174,InputData!$D$173+InputData!$C$174*(AI9-InputData!$B$173),IF(AI9&lt;=InputData!$B$175,InputData!$D$174+InputData!$C$175*(AI9-InputData!$B$174),InputData!$D$175+InputData!$C$176*(AI9-InputData!$B$175))))))))</f>
        <v>2389.6443055782529</v>
      </c>
      <c r="AK9" s="32">
        <f>IF(AF9&lt;=InputData!$C$150,InputData!$C$152,IF(AF9&lt;InputData!$C$151,IF(InputData!$C$152-0.25*IF(AF9-InputData!$C$150&lt;=0,0,AF9-InputData!$C$150)&lt;=0,0,InputData!$C$152-0.25*IF(AF9-InputData!$C$150&lt;=0,0,AF9-InputData!$C$150)),0))</f>
        <v>51900</v>
      </c>
      <c r="AL9" s="32">
        <f>IF(AF9-AK9&lt;=0,0,IF(AF9-AK9&lt;=InputData!$C$153,InputData!$C$154*(AF9-AK9),InputData!$C$155*(AF9-AK9)-InputData!$D$154))</f>
        <v>0</v>
      </c>
      <c r="AM9" s="32">
        <f t="shared" si="23"/>
        <v>2389.6443055782529</v>
      </c>
      <c r="AN9" s="32">
        <v>0</v>
      </c>
      <c r="AO9" s="32">
        <f>IF(AH9&lt;0,0,IF(AH9&lt;=InputData!$B$163,InputData!$C$163*AH9,IF(AH9&lt;=InputData!$B$164,InputData!$D$163+InputData!$C$164*(AH9-InputData!$B$163),IF(AH9&lt;=InputData!$B$165,InputData!$D$164+InputData!$C$165*(AH9-InputData!$B$164),InputData!$D$165+InputData!$C$166*(AH9-InputData!$B$165)))))</f>
        <v>0</v>
      </c>
      <c r="AP9" s="43">
        <f t="shared" si="24"/>
        <v>8.2669599527734339E-2</v>
      </c>
      <c r="AQ9" s="43">
        <f t="shared" si="25"/>
        <v>8.2669599527734339E-2</v>
      </c>
      <c r="AR9" s="5">
        <f t="shared" si="26"/>
        <v>26516.317731610099</v>
      </c>
      <c r="AS9" s="32">
        <f>AR9/((1+InputData!$C$7)^(Ortho!$B9-Ortho!$B$7))</f>
        <v>24994.172619106514</v>
      </c>
      <c r="AT9" s="5">
        <f t="shared" ref="AT9:AT36" si="105">AT8+AS9</f>
        <v>94384.024082394724</v>
      </c>
      <c r="AU9" s="53"/>
      <c r="AV9" s="41" t="s">
        <v>0</v>
      </c>
      <c r="AW9" s="32">
        <v>0</v>
      </c>
      <c r="AX9" s="32">
        <f t="shared" si="27"/>
        <v>-57604.05</v>
      </c>
      <c r="AY9" s="32">
        <f t="shared" si="28"/>
        <v>-57604.05</v>
      </c>
      <c r="AZ9" s="32">
        <f>AZ8*(1+InputData!$C$8)</f>
        <v>11954.196000000002</v>
      </c>
      <c r="BA9" s="32">
        <f>AW9/((1+InputData!$C$3)^(Ortho!$B9-Ortho!$B$7))</f>
        <v>0</v>
      </c>
      <c r="BB9" s="32">
        <f>AX9/((1+InputData!$C$3)^(Ortho!$B9-Ortho!$B$7))</f>
        <v>-55367.214532871978</v>
      </c>
      <c r="BC9" s="32" t="s">
        <v>143</v>
      </c>
      <c r="BD9" s="118">
        <f>InputData!$C$88*11/40</f>
        <v>49500</v>
      </c>
      <c r="BE9" s="32">
        <f t="shared" ref="BE9:BE10" si="106">BE8+BD9</f>
        <v>130500</v>
      </c>
      <c r="BF9" s="32">
        <f>(BE9)*InputData!$C$6</f>
        <v>8104.05</v>
      </c>
      <c r="BG9" s="32">
        <v>0</v>
      </c>
      <c r="BH9" s="32">
        <f>BH8+BD9+BF9-BG9</f>
        <v>146149.20000000001</v>
      </c>
      <c r="BI9" s="32">
        <f>BG9/((1+InputData!$C$3)^(Ortho!$B9-Ortho!$B$7))</f>
        <v>0</v>
      </c>
      <c r="BJ9" s="32">
        <f>IF(BA9-InputData!$C$158-InputData!$C$159&gt;=0,BA9-InputData!$C$158-InputData!$C$159,0)</f>
        <v>0</v>
      </c>
      <c r="BK9" s="32">
        <f>IF(BA9-IF(BA9&lt;=InputData!$C$146,InputData!$C$145,0)-MAX(InputData!$C$144,BQ9)&gt;=0,BA9-IF(BA9&lt;=InputData!$C$146,InputData!$C$145,0)-MAX(InputData!$C$144,BQ9),0)</f>
        <v>0</v>
      </c>
      <c r="BL9" s="32">
        <f>IF(BK9&lt;0,"Error",IF(BK9&lt;=InputData!$B$170,InputData!$C$170*BK9,IF(BK9&lt;=InputData!$B$171,InputData!$D$170+InputData!$C$171*(BK9-InputData!$B$170),IF(BK9&lt;=InputData!$B$172,InputData!$D$171+InputData!$C$172*(BK9-InputData!$B$171),IF(BK9&lt;=InputData!$B$173,InputData!$D$172+InputData!$C$173*(BK9-InputData!$B$172),IF(BK9&lt;=InputData!$B$174,InputData!$D$173+InputData!$C$174*(BK9-InputData!$B$173),IF(BK9&lt;=InputData!$B$175,InputData!$D$174+InputData!$C$175*(BK9-InputData!$B$174),InputData!$D$175+InputData!$C$176*(BK9-InputData!$B$175))))))))</f>
        <v>0</v>
      </c>
      <c r="BM9" s="32">
        <f>IF(BA9&lt;=InputData!$C$150,InputData!$C$152,IF(BA9&lt;InputData!$C$151,IF(InputData!$C$152-0.25*IF(BA9-InputData!$C$150&lt;=0,0,BA9-InputData!$C$150)&lt;=0,0,InputData!$C$152-0.25*IF(BA9-InputData!$C$150&lt;=0,0,BA9-InputData!$C$150)),0))</f>
        <v>51900</v>
      </c>
      <c r="BN9" s="32">
        <f>IF(BA9-BM9&lt;=0,0,IF(BA9-BM9&lt;=InputData!$C$153,InputData!$C$154*(BA9-BM9),InputData!$C$155*(BA9-BM9)-InputData!$D$154))</f>
        <v>0</v>
      </c>
      <c r="BO9" s="32">
        <f t="shared" si="29"/>
        <v>0</v>
      </c>
      <c r="BP9" s="32">
        <f>IF(BA9&gt;=0,IF(BA9&lt;=InputData!$C$148,InputData!$C$147*BA9,InputData!$C$147*InputData!$C$148)+InputData!$C$149*BA9,0)</f>
        <v>0</v>
      </c>
      <c r="BQ9" s="32">
        <f>IF(BJ9&lt;0,0,IF(BJ9&lt;=InputData!$B$163,InputData!$C$163*BJ9,IF(BJ9&lt;=InputData!$B$164,InputData!$D$163+InputData!$C$164*(BJ9-InputData!$B$163),IF(BJ9&lt;=InputData!$B$165,InputData!$D$164+InputData!$C$165*(BJ9-InputData!$B$164),InputData!$D$165+InputData!$C$166*(BJ9-InputData!$B$165)))))</f>
        <v>0</v>
      </c>
      <c r="BR9" s="43">
        <f t="shared" si="30"/>
        <v>0</v>
      </c>
      <c r="BS9" s="32">
        <f t="shared" si="31"/>
        <v>-55367.214532871978</v>
      </c>
      <c r="BT9" s="32">
        <f t="shared" si="32"/>
        <v>-55367.214532871978</v>
      </c>
      <c r="BU9" s="32">
        <f>BT9/((1+InputData!$C$7)^(Ortho!$B9-Ortho!$B$7))</f>
        <v>-52188.909918816084</v>
      </c>
      <c r="BV9" s="5">
        <f t="shared" ref="BV9:BV36" si="107">BV8+BU9</f>
        <v>-138541.19578403595</v>
      </c>
      <c r="BW9" s="5"/>
      <c r="BX9" s="32" t="s">
        <v>143</v>
      </c>
      <c r="BY9" s="5">
        <f t="shared" si="33"/>
        <v>130500</v>
      </c>
      <c r="BZ9" s="5">
        <f t="shared" si="34"/>
        <v>8104.05</v>
      </c>
      <c r="CA9" s="5">
        <v>0</v>
      </c>
      <c r="CB9" s="5">
        <f t="shared" si="35"/>
        <v>146149.20000000001</v>
      </c>
      <c r="CC9" s="32">
        <f>CA9/((1+InputData!$C$3)^(Ortho!$B9-Ortho!$B$7))</f>
        <v>0</v>
      </c>
      <c r="CD9" s="5">
        <f t="shared" si="36"/>
        <v>-55367.214532871978</v>
      </c>
      <c r="CE9" s="32">
        <f>CD9/((1+InputData!$C$7)^(Ortho!$B9-Ortho!$B$7))</f>
        <v>-52188.909918816084</v>
      </c>
      <c r="CF9" s="5">
        <f t="shared" ref="CF9:CF36" si="108">CF8+CE9</f>
        <v>-138541.19578403595</v>
      </c>
      <c r="CG9" s="5"/>
      <c r="CH9" s="32" t="s">
        <v>143</v>
      </c>
      <c r="CI9" s="5">
        <f t="shared" si="37"/>
        <v>130500</v>
      </c>
      <c r="CJ9" s="5">
        <f t="shared" si="38"/>
        <v>8104.05</v>
      </c>
      <c r="CK9" s="5">
        <v>0</v>
      </c>
      <c r="CL9" s="5">
        <f t="shared" si="39"/>
        <v>146149.20000000001</v>
      </c>
      <c r="CM9" s="32">
        <f>CK9/((1+InputData!$C$3)^(Ortho!$B9-Ortho!$B$7))</f>
        <v>0</v>
      </c>
      <c r="CN9" s="5">
        <f t="shared" si="40"/>
        <v>-55367.214532871978</v>
      </c>
      <c r="CO9" s="32">
        <f>CN9/((1+InputData!$C$7)^(Ortho!$B9-Ortho!$B$7))</f>
        <v>-52188.909918816084</v>
      </c>
      <c r="CP9" s="5">
        <f t="shared" ref="CP9:CP36" si="109">CP8+CO9</f>
        <v>-138541.19578403595</v>
      </c>
      <c r="CQ9" s="5"/>
      <c r="CR9" s="32" t="s">
        <v>143</v>
      </c>
      <c r="CS9" s="5">
        <f t="shared" si="41"/>
        <v>130500</v>
      </c>
      <c r="CT9" s="5">
        <f t="shared" si="42"/>
        <v>8104.05</v>
      </c>
      <c r="CU9" s="5">
        <v>0</v>
      </c>
      <c r="CV9" s="5">
        <f t="shared" si="43"/>
        <v>146149.20000000001</v>
      </c>
      <c r="CW9" s="32">
        <f>CU9/((1+InputData!$C$3)^(Ortho!$B9-Ortho!$B$7))</f>
        <v>0</v>
      </c>
      <c r="CX9" s="5">
        <f t="shared" si="44"/>
        <v>-55367.214532871978</v>
      </c>
      <c r="CY9" s="32">
        <f>CX9/((1+InputData!$C$7)^(Ortho!$B9-Ortho!$B$7))</f>
        <v>-52188.909918816084</v>
      </c>
      <c r="CZ9" s="5">
        <f t="shared" ref="CZ9:CZ36" si="110">CZ8+CY9</f>
        <v>-138541.19578403595</v>
      </c>
      <c r="DA9" s="5"/>
      <c r="DB9" s="32" t="s">
        <v>143</v>
      </c>
      <c r="DC9" s="5">
        <f t="shared" si="45"/>
        <v>130500</v>
      </c>
      <c r="DD9" s="5">
        <f t="shared" si="46"/>
        <v>8104.05</v>
      </c>
      <c r="DE9" s="5">
        <v>0</v>
      </c>
      <c r="DF9" s="5">
        <f t="shared" si="47"/>
        <v>146149.20000000001</v>
      </c>
      <c r="DG9" s="32">
        <f>DE9/((1+InputData!$C$3)^(Ortho!$B9-Ortho!$B$7))</f>
        <v>0</v>
      </c>
      <c r="DH9" s="5">
        <f t="shared" si="48"/>
        <v>-55367.214532871978</v>
      </c>
      <c r="DI9" s="32">
        <f>DH9/((1+InputData!$C$7)^(Ortho!$B9-Ortho!$B$7))</f>
        <v>-52188.909918816084</v>
      </c>
      <c r="DJ9" s="5">
        <f t="shared" ref="DJ9:DJ36" si="111">DJ8+DI9</f>
        <v>-138541.19578403595</v>
      </c>
      <c r="DK9" s="5"/>
      <c r="DL9" s="32" t="s">
        <v>143</v>
      </c>
      <c r="DM9" s="5">
        <f t="shared" si="49"/>
        <v>130500</v>
      </c>
      <c r="DN9" s="5">
        <f t="shared" si="50"/>
        <v>8104.05</v>
      </c>
      <c r="DO9" s="5">
        <f t="shared" ref="DO9:DO10" si="112">DO8+DN9-DP9</f>
        <v>15649.2</v>
      </c>
      <c r="DP9" s="5">
        <v>0</v>
      </c>
      <c r="DQ9" s="5">
        <f t="shared" si="51"/>
        <v>146149.20000000001</v>
      </c>
      <c r="DR9" s="32">
        <f>DP9/((1+InputData!$C$3)^(Ortho!$B9-Ortho!$B$7))</f>
        <v>0</v>
      </c>
      <c r="DS9" s="5">
        <f t="shared" si="52"/>
        <v>-55367.214532871978</v>
      </c>
      <c r="DT9" s="32">
        <f>DS9/((1+InputData!$C$7)^(Ortho!$B9-Ortho!$B$7))</f>
        <v>-52188.909918816084</v>
      </c>
      <c r="DU9" s="5">
        <f t="shared" ref="DU9:DU36" si="113">DU8+DT9</f>
        <v>-138541.19578403595</v>
      </c>
      <c r="DV9" s="5"/>
      <c r="DW9" s="32" t="s">
        <v>143</v>
      </c>
      <c r="DX9" s="5">
        <f t="shared" si="53"/>
        <v>130500</v>
      </c>
      <c r="DY9" s="5">
        <f t="shared" si="54"/>
        <v>8104.05</v>
      </c>
      <c r="DZ9" s="5">
        <f t="shared" ref="DZ9:DZ10" si="114">DZ8+DY9</f>
        <v>15649.2</v>
      </c>
      <c r="EA9" s="5">
        <v>0</v>
      </c>
      <c r="EB9" s="5">
        <f t="shared" si="55"/>
        <v>146149.20000000001</v>
      </c>
      <c r="EC9" s="32">
        <f>EA9/((1+InputData!$C$3)^(Ortho!$B9-Ortho!$B$7))</f>
        <v>0</v>
      </c>
      <c r="ED9" s="5">
        <f t="shared" si="56"/>
        <v>-55367.214532871978</v>
      </c>
      <c r="EE9" s="32">
        <f>ED9/((1+InputData!$C$7)^(Ortho!$B9-Ortho!$B$7))</f>
        <v>-52188.909918816084</v>
      </c>
      <c r="EF9" s="5">
        <f t="shared" ref="EF9:EF36" si="115">EF8+EE9</f>
        <v>-138541.19578403595</v>
      </c>
      <c r="EG9" s="32"/>
      <c r="EH9" s="130" t="s">
        <v>143</v>
      </c>
      <c r="EI9" s="32">
        <f>EI8*(1+InputData!$C$10)</f>
        <v>46818</v>
      </c>
      <c r="EJ9" s="32">
        <f t="shared" ref="EJ9:EJ10" si="116">EJ8+EI9</f>
        <v>137718</v>
      </c>
      <c r="EK9" s="32">
        <f>(EJ9)*InputData!$C$6</f>
        <v>8552.2878000000001</v>
      </c>
      <c r="EL9" s="32">
        <f>EL8+EI9+EK9</f>
        <v>154709.6778</v>
      </c>
      <c r="EM9" s="32">
        <f>EM8*(1+InputData!$C$8)</f>
        <v>11954.196000000002</v>
      </c>
      <c r="EN9" s="32">
        <v>0</v>
      </c>
      <c r="EO9" s="32">
        <f>AW9/((1+InputData!$C$3)^(Ortho!$B9-Ortho!$B$7))</f>
        <v>0</v>
      </c>
      <c r="EP9" s="32">
        <f>AX9/((1+InputData!$C$3)^(Ortho!$B9-Ortho!$B$7))</f>
        <v>-55367.214532871978</v>
      </c>
      <c r="EQ9" s="32">
        <v>0</v>
      </c>
      <c r="ER9" s="32">
        <v>0</v>
      </c>
      <c r="ES9" s="32">
        <v>0</v>
      </c>
      <c r="ET9" s="43"/>
      <c r="EU9" s="32">
        <f t="shared" si="57"/>
        <v>-55367.214532871978</v>
      </c>
      <c r="EV9" s="32">
        <f>EN9/((1+InputData!$C$3)^(Ortho!$B9-Ortho!$B$7))</f>
        <v>0</v>
      </c>
      <c r="EW9" s="32">
        <f t="shared" si="58"/>
        <v>-55367.214532871978</v>
      </c>
      <c r="EX9" s="32">
        <f>EW9/((1+InputData!$C$7)^(Ortho!$B9-Ortho!$B$7))</f>
        <v>-52188.909918816084</v>
      </c>
      <c r="EY9" s="5">
        <f t="shared" ref="EY9:EY36" si="117">EY8+EX9</f>
        <v>-138541.19578403595</v>
      </c>
      <c r="EZ9" s="79"/>
      <c r="FA9" s="32">
        <f t="shared" si="59"/>
        <v>137718</v>
      </c>
      <c r="FB9" s="32">
        <f t="shared" si="60"/>
        <v>8552.2878000000001</v>
      </c>
      <c r="FC9" s="32">
        <f t="shared" si="61"/>
        <v>154709.6778</v>
      </c>
      <c r="FD9" s="32">
        <v>0</v>
      </c>
      <c r="FE9" s="32">
        <f>FD9/((1+InputData!$C$3)^(Ortho!$B9-Ortho!$B$7))</f>
        <v>0</v>
      </c>
      <c r="FF9" s="5">
        <f t="shared" si="62"/>
        <v>-55367.214532871978</v>
      </c>
      <c r="FG9" s="32">
        <f>FF9/((1+InputData!$C$7)^(Ortho!$B9-Ortho!$B$7))</f>
        <v>-52188.909918816084</v>
      </c>
      <c r="FH9" s="5">
        <f t="shared" ref="FH9:FH36" si="118">FH8+FG9</f>
        <v>-138541.19578403595</v>
      </c>
      <c r="FI9" s="79"/>
      <c r="FJ9" s="32">
        <f t="shared" si="63"/>
        <v>137718</v>
      </c>
      <c r="FK9" s="32">
        <f t="shared" si="64"/>
        <v>8552.2878000000001</v>
      </c>
      <c r="FL9" s="32">
        <f t="shared" si="65"/>
        <v>154709.6778</v>
      </c>
      <c r="FM9" s="32">
        <v>0</v>
      </c>
      <c r="FN9" s="32">
        <f>FM9/((1+InputData!$C$3)^(Ortho!$B9-Ortho!$B$7))</f>
        <v>0</v>
      </c>
      <c r="FO9" s="5">
        <f t="shared" si="66"/>
        <v>-55367.214532871978</v>
      </c>
      <c r="FP9" s="32">
        <f>FO9/((1+InputData!$C$7)^(Ortho!$B9-Ortho!$B$7))</f>
        <v>-52188.909918816084</v>
      </c>
      <c r="FQ9" s="5">
        <f t="shared" ref="FQ9:FQ36" si="119">FQ8+FP9</f>
        <v>-138541.19578403595</v>
      </c>
      <c r="FR9" s="79"/>
      <c r="FS9" s="32">
        <f t="shared" si="67"/>
        <v>137718</v>
      </c>
      <c r="FT9" s="32">
        <f t="shared" si="68"/>
        <v>8552.2878000000001</v>
      </c>
      <c r="FU9" s="32">
        <f t="shared" si="69"/>
        <v>154709.6778</v>
      </c>
      <c r="FV9" s="32">
        <v>0</v>
      </c>
      <c r="FW9" s="32">
        <f>FV9/((1+InputData!$C$3)^(Ortho!$B9-Ortho!$B$7))</f>
        <v>0</v>
      </c>
      <c r="FX9" s="5">
        <f t="shared" si="70"/>
        <v>-55367.214532871978</v>
      </c>
      <c r="FY9" s="32">
        <f>FX9/((1+InputData!$C$7)^(Ortho!$B9-Ortho!$B$7))</f>
        <v>-52188.909918816084</v>
      </c>
      <c r="FZ9" s="5">
        <f t="shared" ref="FZ9:FZ36" si="120">FZ8+FY9</f>
        <v>-138541.19578403595</v>
      </c>
      <c r="GC9" s="3">
        <f t="shared" si="3"/>
        <v>0</v>
      </c>
      <c r="GD9" s="4" t="str">
        <f t="shared" si="4"/>
        <v>Med School (O1&gt; 2 yrs)</v>
      </c>
      <c r="GE9" s="5">
        <f t="shared" si="5"/>
        <v>35928</v>
      </c>
      <c r="GF9" s="5">
        <f t="shared" si="5"/>
        <v>25411.199999999997</v>
      </c>
      <c r="GG9" s="5">
        <f t="shared" si="5"/>
        <v>61339.199999999997</v>
      </c>
      <c r="GH9" s="5">
        <f t="shared" si="5"/>
        <v>35226.98269896194</v>
      </c>
      <c r="GI9" s="5">
        <f t="shared" si="5"/>
        <v>24915.383621683966</v>
      </c>
      <c r="GJ9" s="32">
        <f>IF(GH9-InputData!$C$158-InputData!$C$159&gt;=0,GH9-InputData!$C$158-InputData!$C$159,0)</f>
        <v>35226.98269896194</v>
      </c>
      <c r="GK9" s="32">
        <f>IF(GH9-IF(GH9&lt;=InputData!$C$146,InputData!$C$145,0)-MAX(InputData!$C$144,GQ9)&gt;=0,GH9-IF(GH9&lt;=InputData!$C$146,InputData!$C$145,0)-MAX(InputData!$C$144,GQ9),0)</f>
        <v>25226.98269896194</v>
      </c>
      <c r="GL9" s="32">
        <f>IF(GK9&lt;0,"Error",IF(GK9&lt;=InputData!$B$170,InputData!$C$170*GK9,IF(GK9&lt;=InputData!$B$171,InputData!$D$170+InputData!$C$171*(GK9-InputData!$B$170),IF(GK9&lt;=InputData!$B$172,InputData!$D$171+InputData!$C$172*(GK9-InputData!$B$171),IF(GK9&lt;=InputData!$B$173,InputData!$D$172+InputData!$C$173*(GK9-InputData!$B$172),IF(GK9&lt;=InputData!$B$174,InputData!$D$173+InputData!$C$174*(GK9-InputData!$B$173),IF(GK9&lt;=InputData!$B$175,InputData!$D$174+InputData!$C$175*(GK9-InputData!$B$174),InputData!$D$175+InputData!$C$176*(GK9-InputData!$B$175))))))))</f>
        <v>3337.7974048442907</v>
      </c>
      <c r="GM9" s="32">
        <f>IF(GH9&lt;=InputData!$C$150,InputData!$C$152,IF(GH9&lt;InputData!$C$151,IF(InputData!$C$152-0.25*IF(GH9-InputData!$C$150&lt;=0,0,GH9-InputData!$C$150)&lt;=0,0,InputData!$C$152-0.25*IF(GH9-InputData!$C$150&lt;=0,0,GH9-InputData!$C$150)),0))</f>
        <v>51900</v>
      </c>
      <c r="GN9" s="32">
        <f>IF(GH9-GM9&lt;=0,0,IF(GH9-GM9&lt;=InputData!$C$153,InputData!$C$154*(GH9-GM9),InputData!$C$155*(GH9-GM9)-InputData!$D$154))</f>
        <v>0</v>
      </c>
      <c r="GO9" s="32">
        <f t="shared" si="71"/>
        <v>3337.7974048442907</v>
      </c>
      <c r="GP9" s="32">
        <f>IF(GH9&gt;=0,IF(GH9&lt;=InputData!$C$148,InputData!$C$147*GH9,InputData!$C$147*InputData!$C$148)+InputData!$C$149*GH9,0)</f>
        <v>2694.8641764705881</v>
      </c>
      <c r="GQ9" s="32">
        <f>IF(GJ9&lt;0,0,IF(GJ9&lt;=InputData!$B$163,InputData!$C$163*GJ9,IF(GJ9&lt;=InputData!$B$164,InputData!$D$163+InputData!$C$164*(GJ9-InputData!$B$163),IF(GJ9&lt;=InputData!$B$165,InputData!$D$164+InputData!$C$165*(GJ9-InputData!$B$164),InputData!$D$165+InputData!$C$166*(GJ9-InputData!$B$165)))))</f>
        <v>0</v>
      </c>
      <c r="GR9" s="43">
        <f t="shared" si="72"/>
        <v>0.17125115803609961</v>
      </c>
      <c r="GS9" s="43">
        <f t="shared" si="73"/>
        <v>0.10030635557556974</v>
      </c>
      <c r="GT9" s="5">
        <f t="shared" si="74"/>
        <v>54109.70473933102</v>
      </c>
      <c r="GU9" s="32">
        <f>GT9/((1+InputData!$C$7)^(Ortho!$B9-Ortho!$B$7))</f>
        <v>51003.586331728744</v>
      </c>
      <c r="GV9" s="32">
        <f t="shared" si="75"/>
        <v>157045.52189700573</v>
      </c>
      <c r="GX9" s="3">
        <f t="shared" si="6"/>
        <v>0</v>
      </c>
      <c r="GY9" s="4" t="str">
        <f t="shared" si="6"/>
        <v>Med School</v>
      </c>
      <c r="GZ9" s="5">
        <f t="shared" si="7"/>
        <v>29481.190965092403</v>
      </c>
      <c r="HA9" s="5">
        <f t="shared" si="7"/>
        <v>0</v>
      </c>
      <c r="HB9" s="5">
        <f t="shared" si="7"/>
        <v>29481.190965092403</v>
      </c>
      <c r="HC9" s="5">
        <f t="shared" si="7"/>
        <v>28905.962037188354</v>
      </c>
      <c r="HD9" s="5">
        <f t="shared" si="7"/>
        <v>0</v>
      </c>
      <c r="HE9" s="32">
        <f>IF(HC9-InputData!$C$158-InputData!$C$159&gt;=0,HC9-InputData!$C$158-InputData!$C$159,0)</f>
        <v>28905.962037188354</v>
      </c>
      <c r="HF9" s="32">
        <f>IF(HC9-IF(HC9&lt;=InputData!$C$146,InputData!$C$145,0)-MAX(InputData!$C$144,HL9)&gt;=0,HC9-IF(HC9&lt;=InputData!$C$146,InputData!$C$145,0)-MAX(InputData!$C$144,HL9),0)</f>
        <v>18905.962037188354</v>
      </c>
      <c r="HG9" s="32">
        <f>IF(HF9&lt;0,"Error",IF(HF9&lt;=InputData!$B$170,InputData!$C$170*HF9,IF(HF9&lt;=InputData!$B$171,InputData!$D$170+InputData!$C$171*(HF9-InputData!$B$170),IF(HF9&lt;=InputData!$B$172,InputData!$D$171+InputData!$C$172*(HF9-InputData!$B$171),IF(HF9&lt;=InputData!$B$173,InputData!$D$172+InputData!$C$173*(HF9-InputData!$B$172),IF(HF9&lt;=InputData!$B$174,InputData!$D$173+InputData!$C$174*(HF9-InputData!$B$173),IF(HF9&lt;=InputData!$B$175,InputData!$D$174+InputData!$C$175*(HF9-InputData!$B$174),InputData!$D$175+InputData!$C$176*(HF9-InputData!$B$175))))))))</f>
        <v>2389.6443055782529</v>
      </c>
      <c r="HH9" s="32">
        <f>IF(HC9&lt;=InputData!$C$150,InputData!$C$152,IF(HC9&lt;InputData!$C$151,IF(InputData!$C$152-0.25*IF(HC9-InputData!$C$150&lt;=0,0,HC9-InputData!$C$150)&lt;=0,0,InputData!$C$152-0.25*IF(HC9-InputData!$C$150&lt;=0,0,HC9-InputData!$C$150)),0))</f>
        <v>51900</v>
      </c>
      <c r="HI9" s="32">
        <f>IF(HC9-HH9&lt;=0,0,IF(HC9-HH9&lt;=InputData!$C$153,InputData!$C$154*(HC9-HH9),InputData!$C$155*(HC9-HH9)-InputData!$D$154))</f>
        <v>0</v>
      </c>
      <c r="HJ9" s="32">
        <f t="shared" si="76"/>
        <v>2389.6443055782529</v>
      </c>
      <c r="HK9" s="32">
        <v>0</v>
      </c>
      <c r="HL9" s="32">
        <f>IF(HE9&lt;0,0,IF(HE9&lt;=InputData!$B$163,InputData!$C$163*HE9,IF(HE9&lt;=InputData!$B$164,InputData!$D$163+InputData!$C$164*(HE9-InputData!$B$163),IF(HE9&lt;=InputData!$B$165,InputData!$D$164+InputData!$C$165*(HE9-InputData!$B$164),InputData!$D$165+InputData!$C$166*(HE9-InputData!$B$165)))))</f>
        <v>0</v>
      </c>
      <c r="HM9" s="43">
        <f t="shared" si="77"/>
        <v>8.2669599527734339E-2</v>
      </c>
      <c r="HN9" s="43">
        <f t="shared" si="78"/>
        <v>8.2669599527734339E-2</v>
      </c>
      <c r="HO9" s="5">
        <f t="shared" si="79"/>
        <v>26516.317731610099</v>
      </c>
      <c r="HP9" s="32">
        <f>HO9/((1+InputData!$C$7)^(Ortho!$B9-Ortho!$B$7))</f>
        <v>24994.172619106514</v>
      </c>
      <c r="HQ9" s="32">
        <f t="shared" si="80"/>
        <v>94384.024082394724</v>
      </c>
      <c r="HS9" s="93">
        <f t="shared" si="81"/>
        <v>0</v>
      </c>
      <c r="HT9" s="5" t="str">
        <f t="shared" si="82"/>
        <v>Med School (O1&gt; 2 yrs)</v>
      </c>
      <c r="HU9" s="5">
        <f t="shared" si="83"/>
        <v>35928</v>
      </c>
      <c r="HV9" s="5">
        <f t="shared" si="84"/>
        <v>25411.199999999997</v>
      </c>
      <c r="HW9" s="5">
        <f t="shared" si="85"/>
        <v>61339.199999999997</v>
      </c>
      <c r="HX9" s="5">
        <f t="shared" si="86"/>
        <v>35226.98269896194</v>
      </c>
      <c r="HY9" s="5">
        <f t="shared" si="87"/>
        <v>24915.383621683966</v>
      </c>
      <c r="HZ9" s="32">
        <f>IF(HX9-InputData!$C$158-InputData!$C$159&gt;=0,HX9-InputData!$C$158-InputData!$C$159,0)</f>
        <v>35226.98269896194</v>
      </c>
      <c r="IA9" s="32">
        <f>IF(HX9-IF(HX9&lt;=InputData!$C$146,InputData!$C$145,0)-MAX(InputData!$C$144,IG9)&gt;=0,HX9-IF(HX9&lt;=InputData!$C$146,InputData!$C$145,0)-MAX(InputData!$C$144,IG9),0)</f>
        <v>25226.98269896194</v>
      </c>
      <c r="IB9" s="32">
        <f>IF(IA9&lt;0,"Error",IF(IA9&lt;=InputData!$B$170,InputData!$C$170*IA9,IF(IA9&lt;=InputData!$B$171,InputData!$D$170+InputData!$C$171*(IA9-InputData!$B$170),IF(IA9&lt;=InputData!$B$172,InputData!$D$171+InputData!$C$172*(IA9-InputData!$B$171),IF(IA9&lt;=InputData!$B$173,InputData!$D$172+InputData!$C$173*(IA9-InputData!$B$172),IF(IA9&lt;=InputData!$B$174,InputData!$D$173+InputData!$C$174*(IA9-InputData!$B$173),IF(IA9&lt;=InputData!$B$175,InputData!$D$174+InputData!$C$175*(IA9-InputData!$B$174),InputData!$D$175+InputData!$C$176*(IA9-InputData!$B$175))))))))</f>
        <v>3337.7974048442907</v>
      </c>
      <c r="IC9" s="32">
        <f>IF(HX9&lt;=InputData!$C$150,InputData!$C$152,IF(HX9&lt;InputData!$C$151,IF(InputData!$C$152-0.25*IF(HX9-InputData!$C$150&lt;=0,0,HX9-InputData!$C$150)&lt;=0,0,InputData!$C$152-0.25*IF(HX9-InputData!$C$150&lt;=0,0,HX9-InputData!$C$150)),0))</f>
        <v>51900</v>
      </c>
      <c r="ID9" s="32">
        <f>IF(HX9-IC9&lt;=0,0,IF(HX9-IC9&lt;=InputData!$C$153,InputData!$C$154*(HX9-IC9),InputData!$C$155*(HX9-IC9)-InputData!$D$154))</f>
        <v>0</v>
      </c>
      <c r="IE9" s="32">
        <f t="shared" si="88"/>
        <v>3337.7974048442907</v>
      </c>
      <c r="IF9" s="32">
        <f>IF(HX9&gt;=0,IF(HX9&lt;=InputData!$C$148,InputData!$C$147*HX9,InputData!$C$147*InputData!$C$148)+InputData!$C$149*HX9,0)</f>
        <v>2694.8641764705881</v>
      </c>
      <c r="IG9" s="32">
        <f>IF(HZ9&lt;0,0,IF(HZ9&lt;=InputData!$B$163,InputData!$C$163*HZ9,IF(HZ9&lt;=InputData!$B$164,InputData!$D$163+InputData!$C$164*(HZ9-InputData!$B$163),IF(HZ9&lt;=InputData!$B$165,InputData!$D$164+InputData!$C$165*(HZ9-InputData!$B$164),InputData!$D$165+InputData!$C$166*(HZ9-InputData!$B$165)))))</f>
        <v>0</v>
      </c>
      <c r="IH9" s="43">
        <f t="shared" si="89"/>
        <v>0.17125115803609961</v>
      </c>
      <c r="II9" s="43">
        <f t="shared" si="90"/>
        <v>0.10030635557556974</v>
      </c>
      <c r="IJ9" s="5">
        <f t="shared" si="91"/>
        <v>54109.70473933102</v>
      </c>
      <c r="IK9" s="32">
        <f>IJ9/((1+InputData!$C$7)^(Ortho!$B9-Ortho!$B$7))</f>
        <v>51003.586331728744</v>
      </c>
      <c r="IL9" s="5">
        <f t="shared" si="92"/>
        <v>157045.52189700573</v>
      </c>
      <c r="IN9" s="93">
        <f t="shared" si="93"/>
        <v>0</v>
      </c>
      <c r="IO9" s="5" t="str">
        <f t="shared" si="94"/>
        <v>Med School</v>
      </c>
      <c r="IP9" s="5">
        <f t="shared" si="8"/>
        <v>29481.190965092403</v>
      </c>
      <c r="IQ9" s="5">
        <f t="shared" si="9"/>
        <v>0</v>
      </c>
      <c r="IR9" s="5">
        <f t="shared" si="10"/>
        <v>29481.190965092403</v>
      </c>
      <c r="IS9" s="5">
        <f t="shared" si="11"/>
        <v>28905.962037188354</v>
      </c>
      <c r="IT9" s="5">
        <f t="shared" si="12"/>
        <v>0</v>
      </c>
      <c r="IU9" s="32">
        <f>IF(IS9-InputData!$C$158-InputData!$C$159&gt;=0,IS9-InputData!$C$158-InputData!$C$159,0)</f>
        <v>28905.962037188354</v>
      </c>
      <c r="IV9" s="32">
        <f>IF(IS9-IF(IS9&lt;=InputData!$C$146,InputData!$C$145,0)-MAX(InputData!$C$144,JB9)&gt;=0,IS9-IF(IS9&lt;=InputData!$C$146,InputData!$C$145,0)-MAX(InputData!$C$144,JB9),0)</f>
        <v>18905.962037188354</v>
      </c>
      <c r="IW9" s="32">
        <f>IF(IV9&lt;0,"Error",IF(IV9&lt;=InputData!$B$170,InputData!$C$170*IV9,IF(IV9&lt;=InputData!$B$171,InputData!$D$170+InputData!$C$171*(IV9-InputData!$B$170),IF(IV9&lt;=InputData!$B$172,InputData!$D$171+InputData!$C$172*(IV9-InputData!$B$171),IF(IV9&lt;=InputData!$B$173,InputData!$D$172+InputData!$C$173*(IV9-InputData!$B$172),IF(IV9&lt;=InputData!$B$174,InputData!$D$173+InputData!$C$174*(IV9-InputData!$B$173),IF(IV9&lt;=InputData!$B$175,InputData!$D$174+InputData!$C$175*(IV9-InputData!$B$174),InputData!$D$175+InputData!$C$176*(IV9-InputData!$B$175))))))))</f>
        <v>2389.6443055782529</v>
      </c>
      <c r="IX9" s="32">
        <f>IF(IS9&lt;=InputData!$C$150,InputData!$C$152,IF(IS9&lt;InputData!$C$151,IF(InputData!$C$152-0.25*IF(IS9-InputData!$C$150&lt;=0,0,IS9-InputData!$C$150)&lt;=0,0,InputData!$C$152-0.25*IF(IS9-InputData!$C$150&lt;=0,0,IS9-InputData!$C$150)),0))</f>
        <v>51900</v>
      </c>
      <c r="IY9" s="32">
        <f>IF(IS9-IX9&lt;=0,0,IF(IS9-IX9&lt;=InputData!$C$153,InputData!$C$154*(IS9-IX9),InputData!$C$155*(IS9-IX9)-InputData!$D$154))</f>
        <v>0</v>
      </c>
      <c r="IZ9" s="32">
        <f t="shared" si="95"/>
        <v>2389.6443055782529</v>
      </c>
      <c r="JA9" s="32">
        <v>0</v>
      </c>
      <c r="JB9" s="32">
        <f>IF(IU9&lt;0,0,IF(IU9&lt;=InputData!$B$163,InputData!$C$163*IU9,IF(IU9&lt;=InputData!$B$164,InputData!$D$163+InputData!$C$164*(IU9-InputData!$B$163),IF(IU9&lt;=InputData!$B$165,InputData!$D$164+InputData!$C$165*(IU9-InputData!$B$164),InputData!$D$165+InputData!$C$166*(IU9-InputData!$B$165)))))</f>
        <v>0</v>
      </c>
      <c r="JC9" s="43">
        <f t="shared" si="96"/>
        <v>8.2669599527734339E-2</v>
      </c>
      <c r="JD9" s="43">
        <f t="shared" si="97"/>
        <v>8.2669599527734339E-2</v>
      </c>
      <c r="JE9" s="5">
        <f t="shared" si="98"/>
        <v>26516.317731610099</v>
      </c>
      <c r="JF9" s="32">
        <f>JE9/((1+InputData!$C$7)^(Ortho!$B9-Ortho!$B$7))</f>
        <v>24994.172619106514</v>
      </c>
      <c r="JG9" s="5">
        <f t="shared" si="99"/>
        <v>94384.024082394724</v>
      </c>
      <c r="JI9" s="41" t="str">
        <f t="shared" si="13"/>
        <v>Med School</v>
      </c>
      <c r="JJ9" s="5">
        <f t="shared" si="14"/>
        <v>0</v>
      </c>
      <c r="JK9" s="32">
        <f t="shared" si="100"/>
        <v>0</v>
      </c>
      <c r="JL9" s="32">
        <f t="shared" si="101"/>
        <v>0</v>
      </c>
      <c r="JM9" s="32">
        <f>JM8*(1+InputData!$C$8)</f>
        <v>11954.196000000002</v>
      </c>
      <c r="JN9" s="32">
        <f>JJ9/((1+InputData!$C$3)^(Ortho!$B9-Ortho!$B$7))</f>
        <v>0</v>
      </c>
      <c r="JO9" s="32">
        <f>JK9/((1+InputData!$C$3)^(Ortho!$B9-Ortho!$B$7))</f>
        <v>0</v>
      </c>
      <c r="JP9" s="32" t="s">
        <v>143</v>
      </c>
      <c r="JQ9" s="118">
        <v>0</v>
      </c>
      <c r="JR9" s="32">
        <f t="shared" ref="JR9:JR10" si="121">JR8+JQ9</f>
        <v>0</v>
      </c>
      <c r="JS9" s="32">
        <f>(JR9)*InputData!$C$6</f>
        <v>0</v>
      </c>
      <c r="JT9" s="32">
        <v>0</v>
      </c>
      <c r="JU9" s="32">
        <f>JU8+JQ9+JS9-JT9</f>
        <v>0</v>
      </c>
      <c r="JV9" s="32">
        <f>JT9/((1+InputData!$C$3)^(Ortho!$B9-Ortho!$B$7))</f>
        <v>0</v>
      </c>
      <c r="JW9" s="32">
        <f>IF(JN9-InputData!$C$158-InputData!$C$159&gt;=0,JN9-InputData!$C$158-InputData!$C$159,0)</f>
        <v>0</v>
      </c>
      <c r="JX9" s="32">
        <f>IF(JN9-IF(JN9&lt;=InputData!$C$146,InputData!$C$145,0)-MAX(InputData!$C$144,KD9)&gt;=0,JN9-IF(JN9&lt;=InputData!$C$146,InputData!$C$145,0)-MAX(InputData!$C$144,KD9),0)</f>
        <v>0</v>
      </c>
      <c r="JY9" s="32">
        <f>IF(JX9&lt;0,"Error",IF(JX9&lt;=InputData!$B$170,InputData!$C$170*JX9,IF(JX9&lt;=InputData!$B$171,InputData!$D$170+InputData!$C$171*(JX9-InputData!$B$170),IF(JX9&lt;=InputData!$B$172,InputData!$D$171+InputData!$C$172*(JX9-InputData!$B$171),IF(JX9&lt;=InputData!$B$173,InputData!$D$172+InputData!$C$173*(JX9-InputData!$B$172),IF(JX9&lt;=InputData!$B$174,InputData!$D$173+InputData!$C$174*(JX9-InputData!$B$173),IF(JX9&lt;=InputData!$B$175,InputData!$D$174+InputData!$C$175*(JX9-InputData!$B$174),InputData!$D$175+InputData!$C$176*(JX9-InputData!$B$175))))))))</f>
        <v>0</v>
      </c>
      <c r="JZ9" s="32">
        <f>IF(JN9&lt;=InputData!$C$150,InputData!$C$152,IF(JN9&lt;InputData!$C$151,IF(InputData!$C$152-0.25*IF(JN9-InputData!$C$150&lt;=0,0,JN9-InputData!$C$150)&lt;=0,0,InputData!$C$152-0.25*IF(JN9-InputData!$C$150&lt;=0,0,JN9-InputData!$C$150)),0))</f>
        <v>51900</v>
      </c>
      <c r="KA9" s="32">
        <f>IF(JN9-JZ9&lt;=0,0,IF(JN9-JZ9&lt;=InputData!$C$153,InputData!$C$154*(JN9-JZ9),InputData!$C$155*(JN9-JZ9)-InputData!$D$154))</f>
        <v>0</v>
      </c>
      <c r="KB9" s="32">
        <f t="shared" si="102"/>
        <v>0</v>
      </c>
      <c r="KC9" s="32">
        <f>IF(JN9&gt;=0,IF(JN9&lt;=InputData!$C$148,InputData!$C$147*JN9,InputData!$C$147*InputData!$C$148)+InputData!$C$149*JN9,0)</f>
        <v>0</v>
      </c>
      <c r="KD9" s="32">
        <f>IF(JW9&lt;0,0,IF(JW9&lt;=InputData!$B$163,InputData!$C$163*JW9,IF(JW9&lt;=InputData!$B$164,InputData!$D$163+InputData!$C$164*(JW9-InputData!$B$163),IF(JW9&lt;=InputData!$B$165,InputData!$D$164+InputData!$C$165*(JW9-InputData!$B$164),InputData!$D$165+InputData!$C$166*(JW9-InputData!$B$165)))))</f>
        <v>0</v>
      </c>
      <c r="KE9" s="43" t="e">
        <f t="shared" si="15"/>
        <v>#DIV/0!</v>
      </c>
      <c r="KF9" s="32">
        <f t="shared" si="16"/>
        <v>0</v>
      </c>
      <c r="KG9" s="32">
        <f t="shared" si="103"/>
        <v>0</v>
      </c>
      <c r="KH9" s="32">
        <f>KG9/((1+InputData!$C$7)^(Ortho!$B9-Ortho!$B$7))</f>
        <v>0</v>
      </c>
      <c r="KI9" s="5">
        <f t="shared" ref="KI9:KI36" si="122">KI8+KH9</f>
        <v>0</v>
      </c>
    </row>
    <row r="10" spans="1:295" ht="14.45" x14ac:dyDescent="0.3">
      <c r="A10" s="4">
        <v>2016</v>
      </c>
      <c r="B10" s="51">
        <v>4</v>
      </c>
      <c r="C10" s="4"/>
      <c r="D10" s="45">
        <v>0</v>
      </c>
      <c r="E10" s="46" t="s">
        <v>13</v>
      </c>
      <c r="F10" s="5">
        <f>InputData!$E$26*12</f>
        <v>43430.399999999994</v>
      </c>
      <c r="G10" s="5">
        <f>InputData!$E$26*12</f>
        <v>43430.399999999994</v>
      </c>
      <c r="H10" s="5">
        <f>(InputData!$H$37+InputData!$C$40)*12</f>
        <v>25411.199999999997</v>
      </c>
      <c r="I10" s="5">
        <f t="shared" si="17"/>
        <v>68841.599999999991</v>
      </c>
      <c r="J10" s="5">
        <f>G10*((1+InputData!$C$5)/(1+InputData!$C$3))^(Ortho!$B10-Ortho!$B$7)</f>
        <v>42165.517552072735</v>
      </c>
      <c r="K10" s="5">
        <f>H10*((1+InputData!$C$5)/(1+InputData!$C$3))^(Ortho!$B10-Ortho!$B$7)</f>
        <v>24671.115154804713</v>
      </c>
      <c r="L10" s="32">
        <f>IF(J10-InputData!$C$158-InputData!$C$159&gt;=0,J10-InputData!$C$158-InputData!$C$159,0)</f>
        <v>42165.517552072735</v>
      </c>
      <c r="M10" s="32">
        <f>IF(J10-IF(J10&lt;=InputData!$C$146,InputData!$C$145,0)-MAX(InputData!$C$144,S10)&gt;=0,J10-IF(J10&lt;=InputData!$C$146,InputData!$C$145,0)-MAX(InputData!$C$144,S10),0)</f>
        <v>32165.517552072735</v>
      </c>
      <c r="N10" s="32">
        <f>IF(M10&lt;0,"Error",IF(M10&lt;=InputData!$B$170,InputData!$C$170*M10,IF(M10&lt;=InputData!$B$171,InputData!$D$170+InputData!$C$171*(M10-InputData!$B$170),IF(M10&lt;=InputData!$B$172,InputData!$D$171+InputData!$C$172*(M10-InputData!$B$171),IF(M10&lt;=InputData!$B$173,InputData!$D$172+InputData!$C$173*(M10-InputData!$B$172),IF(M10&lt;=InputData!$B$174,InputData!$D$173+InputData!$C$174*(M10-InputData!$B$173),IF(M10&lt;=InputData!$B$175,InputData!$D$174+InputData!$C$175*(M10-InputData!$B$174),InputData!$D$175+InputData!$C$176*(M10-InputData!$B$175))))))))</f>
        <v>4378.5776328109096</v>
      </c>
      <c r="O10" s="32">
        <f>IF(J10&lt;=InputData!$C$150,InputData!$C$152,IF(J10&lt;InputData!$C$151,IF(InputData!$C$152-0.25*IF(J10-InputData!$C$150&lt;=0,0,J10-InputData!$C$150)&lt;=0,0,InputData!$C$152-0.25*IF(J10-InputData!$C$150&lt;=0,0,J10-InputData!$C$150)),0))</f>
        <v>51900</v>
      </c>
      <c r="P10" s="32">
        <f>IF(J10-O10&lt;=0,0,IF(J10-O10&lt;=InputData!$C$153,InputData!$C$154*(J10-O10),InputData!$C$155*(J10-O10)-InputData!$D$154))</f>
        <v>0</v>
      </c>
      <c r="Q10" s="32">
        <f t="shared" si="18"/>
        <v>4378.5776328109096</v>
      </c>
      <c r="R10" s="32">
        <f>IF(J10&gt;=0,IF(J10&lt;=InputData!$C$148,InputData!$C$147*J10,InputData!$C$147*InputData!$C$148)+InputData!$C$149*J10,0)</f>
        <v>3225.6620927335644</v>
      </c>
      <c r="S10" s="32">
        <f>IF(L10&lt;0,0,IF(L10&lt;=InputData!$B$163,InputData!$C$163*L10,IF(L10&lt;=InputData!$B$164,InputData!$D$163+InputData!$C$164*(L10-InputData!$B$163),IF(L10&lt;=InputData!$B$165,InputData!$D$164+InputData!$C$165*(L10-InputData!$B$164),InputData!$D$165+InputData!$C$166*(L10-InputData!$B$165)))))</f>
        <v>0</v>
      </c>
      <c r="T10" s="43">
        <f t="shared" si="19"/>
        <v>0.18034261564923379</v>
      </c>
      <c r="U10" s="43">
        <f t="shared" si="20"/>
        <v>0.11377353133414217</v>
      </c>
      <c r="V10" s="5">
        <f t="shared" si="21"/>
        <v>59232.392981332989</v>
      </c>
      <c r="W10" s="32">
        <f>V10/((1+InputData!$C$7)^(Ortho!$B10-Ortho!$B$7))</f>
        <v>54206.030400395517</v>
      </c>
      <c r="X10" s="5">
        <f t="shared" si="104"/>
        <v>211251.55229740124</v>
      </c>
      <c r="Y10" s="53"/>
      <c r="Z10" s="45">
        <v>0</v>
      </c>
      <c r="AA10" s="46" t="s">
        <v>0</v>
      </c>
      <c r="AB10" s="4"/>
      <c r="AC10" s="5">
        <f>InputData!$C$67*10.5+(IntMed!G10+IntMed!H10)*45/365.25</f>
        <v>30405.511293634496</v>
      </c>
      <c r="AD10" s="5">
        <v>0</v>
      </c>
      <c r="AE10" s="5">
        <f t="shared" si="22"/>
        <v>30405.511293634496</v>
      </c>
      <c r="AF10" s="5">
        <f>AC10*((1+InputData!$C$5)/(1+InputData!$C$3))^(Ortho!$B10-Ortho!$B$7)</f>
        <v>29519.970346381593</v>
      </c>
      <c r="AG10" s="5">
        <f>AD10*((1+InputData!$C$5)/(1+InputData!$C$3))^(Ortho!$B10-Ortho!$B$7)</f>
        <v>0</v>
      </c>
      <c r="AH10" s="32">
        <f>IF(AF10-InputData!$C$158-InputData!$C$159&gt;=0,AF10-InputData!$C$158-InputData!$C$159,0)</f>
        <v>29519.970346381593</v>
      </c>
      <c r="AI10" s="32">
        <f>IF(AF10-IF(AF10&lt;=InputData!$C$146,InputData!$C$145,0)-MAX(InputData!$C$144,AO10)&gt;=0,AF10-IF(AF10&lt;=InputData!$C$146,InputData!$C$145,0)-MAX(InputData!$C$144,AO10),0)</f>
        <v>19519.970346381593</v>
      </c>
      <c r="AJ10" s="32">
        <f>IF(AI10&lt;0,"Error",IF(AI10&lt;=InputData!$B$170,InputData!$C$170*AI10,IF(AI10&lt;=InputData!$B$171,InputData!$D$170+InputData!$C$171*(AI10-InputData!$B$170),IF(AI10&lt;=InputData!$B$172,InputData!$D$171+InputData!$C$172*(AI10-InputData!$B$171),IF(AI10&lt;=InputData!$B$173,InputData!$D$172+InputData!$C$173*(AI10-InputData!$B$172),IF(AI10&lt;=InputData!$B$174,InputData!$D$173+InputData!$C$174*(AI10-InputData!$B$173),IF(AI10&lt;=InputData!$B$175,InputData!$D$174+InputData!$C$175*(AI10-InputData!$B$174),InputData!$D$175+InputData!$C$176*(AI10-InputData!$B$175))))))))</f>
        <v>2481.7455519572386</v>
      </c>
      <c r="AK10" s="32">
        <f>IF(AF10&lt;=InputData!$C$150,InputData!$C$152,IF(AF10&lt;InputData!$C$151,IF(InputData!$C$152-0.25*IF(AF10-InputData!$C$150&lt;=0,0,AF10-InputData!$C$150)&lt;=0,0,InputData!$C$152-0.25*IF(AF10-InputData!$C$150&lt;=0,0,AF10-InputData!$C$150)),0))</f>
        <v>51900</v>
      </c>
      <c r="AL10" s="32">
        <f>IF(AF10-AK10&lt;=0,0,IF(AF10-AK10&lt;=InputData!$C$153,InputData!$C$154*(AF10-AK10),InputData!$C$155*(AF10-AK10)-InputData!$D$154))</f>
        <v>0</v>
      </c>
      <c r="AM10" s="32">
        <f t="shared" si="23"/>
        <v>2481.7455519572386</v>
      </c>
      <c r="AN10" s="32">
        <v>0</v>
      </c>
      <c r="AO10" s="32">
        <f>IF(AH10&lt;0,0,IF(AH10&lt;=InputData!$B$163,InputData!$C$163*AH10,IF(AH10&lt;=InputData!$B$164,InputData!$D$163+InputData!$C$164*(AH10-InputData!$B$163),IF(AH10&lt;=InputData!$B$165,InputData!$D$164+InputData!$C$165*(AH10-InputData!$B$164),InputData!$D$165+InputData!$C$166*(AH10-InputData!$B$165)))))</f>
        <v>0</v>
      </c>
      <c r="AP10" s="43">
        <f t="shared" si="24"/>
        <v>8.4070055722851977E-2</v>
      </c>
      <c r="AQ10" s="43">
        <f t="shared" si="25"/>
        <v>8.4070055722851977E-2</v>
      </c>
      <c r="AR10" s="5">
        <f t="shared" si="26"/>
        <v>27038.224794424354</v>
      </c>
      <c r="AS10" s="32">
        <f>AR10/((1+InputData!$C$7)^(Ortho!$B10-Ortho!$B$7))</f>
        <v>24743.805904333243</v>
      </c>
      <c r="AT10" s="5">
        <f t="shared" si="105"/>
        <v>119127.82998672797</v>
      </c>
      <c r="AU10" s="53"/>
      <c r="AV10" s="56" t="s">
        <v>0</v>
      </c>
      <c r="AW10" s="32">
        <v>0</v>
      </c>
      <c r="AX10" s="32">
        <f t="shared" si="27"/>
        <v>-60678</v>
      </c>
      <c r="AY10" s="32">
        <f t="shared" si="28"/>
        <v>-60678</v>
      </c>
      <c r="AZ10" s="32">
        <f>AZ9*(1+InputData!$C$8)</f>
        <v>12193.279920000003</v>
      </c>
      <c r="BA10" s="32">
        <f>AW10/((1+InputData!$C$3)^(Ortho!$B10-Ortho!$B$7))</f>
        <v>0</v>
      </c>
      <c r="BB10" s="32">
        <f>AX10/((1+InputData!$C$3)^(Ortho!$B10-Ortho!$B$7))</f>
        <v>-57178.234615645568</v>
      </c>
      <c r="BC10" s="32" t="s">
        <v>143</v>
      </c>
      <c r="BD10" s="118">
        <f>InputData!$C$88*11/40</f>
        <v>49500</v>
      </c>
      <c r="BE10" s="32">
        <f t="shared" si="106"/>
        <v>180000</v>
      </c>
      <c r="BF10" s="32">
        <f>(BE10)*InputData!$C$6</f>
        <v>11178</v>
      </c>
      <c r="BG10" s="32">
        <v>0</v>
      </c>
      <c r="BH10" s="32">
        <f>BH9+BD10+BF10-BG10</f>
        <v>206827.2</v>
      </c>
      <c r="BI10" s="32">
        <f>BG10/((1+InputData!$C$3)^(Ortho!$B10-Ortho!$B$7))</f>
        <v>0</v>
      </c>
      <c r="BJ10" s="32">
        <f>IF(BA10-InputData!$C$158-InputData!$C$159&gt;=0,BA10-InputData!$C$158-InputData!$C$159,0)</f>
        <v>0</v>
      </c>
      <c r="BK10" s="32">
        <f>IF(BA10-IF(BA10&lt;=InputData!$C$146,InputData!$C$145,0)-MAX(InputData!$C$144,BQ10)&gt;=0,BA10-IF(BA10&lt;=InputData!$C$146,InputData!$C$145,0)-MAX(InputData!$C$144,BQ10),0)</f>
        <v>0</v>
      </c>
      <c r="BL10" s="32">
        <f>IF(BK10&lt;0,"Error",IF(BK10&lt;=InputData!$B$170,InputData!$C$170*BK10,IF(BK10&lt;=InputData!$B$171,InputData!$D$170+InputData!$C$171*(BK10-InputData!$B$170),IF(BK10&lt;=InputData!$B$172,InputData!$D$171+InputData!$C$172*(BK10-InputData!$B$171),IF(BK10&lt;=InputData!$B$173,InputData!$D$172+InputData!$C$173*(BK10-InputData!$B$172),IF(BK10&lt;=InputData!$B$174,InputData!$D$173+InputData!$C$174*(BK10-InputData!$B$173),IF(BK10&lt;=InputData!$B$175,InputData!$D$174+InputData!$C$175*(BK10-InputData!$B$174),InputData!$D$175+InputData!$C$176*(BK10-InputData!$B$175))))))))</f>
        <v>0</v>
      </c>
      <c r="BM10" s="32">
        <f>IF(BA10&lt;=InputData!$C$150,InputData!$C$152,IF(BA10&lt;InputData!$C$151,IF(InputData!$C$152-0.25*IF(BA10-InputData!$C$150&lt;=0,0,BA10-InputData!$C$150)&lt;=0,0,InputData!$C$152-0.25*IF(BA10-InputData!$C$150&lt;=0,0,BA10-InputData!$C$150)),0))</f>
        <v>51900</v>
      </c>
      <c r="BN10" s="32">
        <f>IF(BA10-BM10&lt;=0,0,IF(BA10-BM10&lt;=InputData!$C$153,InputData!$C$154*(BA10-BM10),InputData!$C$155*(BA10-BM10)-InputData!$D$154))</f>
        <v>0</v>
      </c>
      <c r="BO10" s="32">
        <f t="shared" si="29"/>
        <v>0</v>
      </c>
      <c r="BP10" s="32">
        <f>IF(BA10&gt;=0,IF(BA10&lt;=InputData!$C$148,InputData!$C$147*BA10,InputData!$C$147*InputData!$C$148)+InputData!$C$149*BA10,0)</f>
        <v>0</v>
      </c>
      <c r="BQ10" s="32">
        <f>IF(BJ10&lt;0,0,IF(BJ10&lt;=InputData!$B$163,InputData!$C$163*BJ10,IF(BJ10&lt;=InputData!$B$164,InputData!$D$163+InputData!$C$164*(BJ10-InputData!$B$163),IF(BJ10&lt;=InputData!$B$165,InputData!$D$164+InputData!$C$165*(BJ10-InputData!$B$164),InputData!$D$165+InputData!$C$166*(BJ10-InputData!$B$165)))))</f>
        <v>0</v>
      </c>
      <c r="BR10" s="43">
        <f t="shared" si="30"/>
        <v>0</v>
      </c>
      <c r="BS10" s="32">
        <f t="shared" si="31"/>
        <v>-57178.234615645568</v>
      </c>
      <c r="BT10" s="32">
        <f t="shared" si="32"/>
        <v>-57178.234615645568</v>
      </c>
      <c r="BU10" s="32">
        <f>BT10/((1+InputData!$C$7)^(Ortho!$B10-Ortho!$B$7))</f>
        <v>-52326.184505046156</v>
      </c>
      <c r="BV10" s="5">
        <f t="shared" si="107"/>
        <v>-190867.38028908212</v>
      </c>
      <c r="BW10" s="5"/>
      <c r="BX10" s="134" t="s">
        <v>143</v>
      </c>
      <c r="BY10" s="5">
        <f t="shared" si="33"/>
        <v>180000</v>
      </c>
      <c r="BZ10" s="5">
        <f t="shared" si="34"/>
        <v>11178</v>
      </c>
      <c r="CA10" s="5">
        <v>0</v>
      </c>
      <c r="CB10" s="5">
        <f t="shared" si="35"/>
        <v>206827.2</v>
      </c>
      <c r="CC10" s="32">
        <f>CA10/((1+InputData!$C$3)^(Ortho!$B10-Ortho!$B$7))</f>
        <v>0</v>
      </c>
      <c r="CD10" s="5">
        <f t="shared" si="36"/>
        <v>-57178.234615645568</v>
      </c>
      <c r="CE10" s="32">
        <f>CD10/((1+InputData!$C$7)^(Ortho!$B10-Ortho!$B$7))</f>
        <v>-52326.184505046156</v>
      </c>
      <c r="CF10" s="5">
        <f t="shared" si="108"/>
        <v>-190867.38028908212</v>
      </c>
      <c r="CG10" s="5"/>
      <c r="CH10" s="134" t="s">
        <v>143</v>
      </c>
      <c r="CI10" s="5">
        <f t="shared" si="37"/>
        <v>180000</v>
      </c>
      <c r="CJ10" s="5">
        <f t="shared" si="38"/>
        <v>11178</v>
      </c>
      <c r="CK10" s="5">
        <v>0</v>
      </c>
      <c r="CL10" s="5">
        <f t="shared" si="39"/>
        <v>206827.2</v>
      </c>
      <c r="CM10" s="32">
        <f>CK10/((1+InputData!$C$3)^(Ortho!$B10-Ortho!$B$7))</f>
        <v>0</v>
      </c>
      <c r="CN10" s="5">
        <f t="shared" si="40"/>
        <v>-57178.234615645568</v>
      </c>
      <c r="CO10" s="32">
        <f>CN10/((1+InputData!$C$7)^(Ortho!$B10-Ortho!$B$7))</f>
        <v>-52326.184505046156</v>
      </c>
      <c r="CP10" s="5">
        <f t="shared" si="109"/>
        <v>-190867.38028908212</v>
      </c>
      <c r="CQ10" s="5"/>
      <c r="CR10" s="134" t="s">
        <v>143</v>
      </c>
      <c r="CS10" s="5">
        <f t="shared" si="41"/>
        <v>180000</v>
      </c>
      <c r="CT10" s="5">
        <f t="shared" si="42"/>
        <v>11178</v>
      </c>
      <c r="CU10" s="5">
        <v>0</v>
      </c>
      <c r="CV10" s="5">
        <f t="shared" si="43"/>
        <v>206827.2</v>
      </c>
      <c r="CW10" s="32">
        <f>CU10/((1+InputData!$C$3)^(Ortho!$B10-Ortho!$B$7))</f>
        <v>0</v>
      </c>
      <c r="CX10" s="5">
        <f t="shared" si="44"/>
        <v>-57178.234615645568</v>
      </c>
      <c r="CY10" s="32">
        <f>CX10/((1+InputData!$C$7)^(Ortho!$B10-Ortho!$B$7))</f>
        <v>-52326.184505046156</v>
      </c>
      <c r="CZ10" s="5">
        <f t="shared" si="110"/>
        <v>-190867.38028908212</v>
      </c>
      <c r="DA10" s="5"/>
      <c r="DB10" s="134" t="s">
        <v>143</v>
      </c>
      <c r="DC10" s="5">
        <f t="shared" si="45"/>
        <v>180000</v>
      </c>
      <c r="DD10" s="5">
        <f t="shared" si="46"/>
        <v>11178</v>
      </c>
      <c r="DE10" s="5">
        <v>0</v>
      </c>
      <c r="DF10" s="5">
        <f t="shared" si="47"/>
        <v>206827.2</v>
      </c>
      <c r="DG10" s="32">
        <f>DE10/((1+InputData!$C$3)^(Ortho!$B10-Ortho!$B$7))</f>
        <v>0</v>
      </c>
      <c r="DH10" s="5">
        <f t="shared" si="48"/>
        <v>-57178.234615645568</v>
      </c>
      <c r="DI10" s="32">
        <f>DH10/((1+InputData!$C$7)^(Ortho!$B10-Ortho!$B$7))</f>
        <v>-52326.184505046156</v>
      </c>
      <c r="DJ10" s="5">
        <f t="shared" si="111"/>
        <v>-190867.38028908212</v>
      </c>
      <c r="DK10" s="5"/>
      <c r="DL10" s="134" t="s">
        <v>143</v>
      </c>
      <c r="DM10" s="5">
        <f t="shared" si="49"/>
        <v>180000</v>
      </c>
      <c r="DN10" s="5">
        <f t="shared" si="50"/>
        <v>11178</v>
      </c>
      <c r="DO10" s="5">
        <f t="shared" si="112"/>
        <v>26827.200000000001</v>
      </c>
      <c r="DP10" s="5">
        <v>0</v>
      </c>
      <c r="DQ10" s="5">
        <f t="shared" si="51"/>
        <v>206827.2</v>
      </c>
      <c r="DR10" s="32">
        <f>DP10/((1+InputData!$C$3)^(Ortho!$B10-Ortho!$B$7))</f>
        <v>0</v>
      </c>
      <c r="DS10" s="5">
        <f t="shared" si="52"/>
        <v>-57178.234615645568</v>
      </c>
      <c r="DT10" s="32">
        <f>DS10/((1+InputData!$C$7)^(Ortho!$B10-Ortho!$B$7))</f>
        <v>-52326.184505046156</v>
      </c>
      <c r="DU10" s="5">
        <f t="shared" si="113"/>
        <v>-190867.38028908212</v>
      </c>
      <c r="DV10" s="5"/>
      <c r="DW10" s="134" t="s">
        <v>143</v>
      </c>
      <c r="DX10" s="5">
        <f t="shared" si="53"/>
        <v>180000</v>
      </c>
      <c r="DY10" s="5">
        <f t="shared" si="54"/>
        <v>11178</v>
      </c>
      <c r="DZ10" s="5">
        <f t="shared" si="114"/>
        <v>26827.200000000001</v>
      </c>
      <c r="EA10" s="5">
        <v>0</v>
      </c>
      <c r="EB10" s="5">
        <f t="shared" si="55"/>
        <v>206827.2</v>
      </c>
      <c r="EC10" s="32">
        <f>EA10/((1+InputData!$C$3)^(Ortho!$B10-Ortho!$B$7))</f>
        <v>0</v>
      </c>
      <c r="ED10" s="5">
        <f t="shared" si="56"/>
        <v>-57178.234615645568</v>
      </c>
      <c r="EE10" s="32">
        <f>ED10/((1+InputData!$C$7)^(Ortho!$B10-Ortho!$B$7))</f>
        <v>-52326.184505046156</v>
      </c>
      <c r="EF10" s="5">
        <f t="shared" si="115"/>
        <v>-190867.38028908212</v>
      </c>
      <c r="EG10" s="32"/>
      <c r="EH10" s="130" t="s">
        <v>143</v>
      </c>
      <c r="EI10" s="32">
        <f>EI9*(1+InputData!$C$10)</f>
        <v>47754.36</v>
      </c>
      <c r="EJ10" s="32">
        <f t="shared" si="116"/>
        <v>185472.36</v>
      </c>
      <c r="EK10" s="32">
        <f>(EJ10)*InputData!$C$6</f>
        <v>11517.833556</v>
      </c>
      <c r="EL10" s="32">
        <f>EL9+EI10+EK10</f>
        <v>213981.87135599999</v>
      </c>
      <c r="EM10" s="32">
        <f>EM9*(1+InputData!$C$8)</f>
        <v>12193.279920000003</v>
      </c>
      <c r="EN10" s="32">
        <v>0</v>
      </c>
      <c r="EO10" s="32">
        <f>AW10/((1+InputData!$C$3)^(Ortho!$B10-Ortho!$B$7))</f>
        <v>0</v>
      </c>
      <c r="EP10" s="32">
        <f>AX10/((1+InputData!$C$3)^(Ortho!$B10-Ortho!$B$7))</f>
        <v>-57178.234615645568</v>
      </c>
      <c r="EQ10" s="32">
        <v>0</v>
      </c>
      <c r="ER10" s="32">
        <v>0</v>
      </c>
      <c r="ES10" s="32">
        <v>0</v>
      </c>
      <c r="ET10" s="43"/>
      <c r="EU10" s="32">
        <f t="shared" si="57"/>
        <v>-57178.234615645568</v>
      </c>
      <c r="EV10" s="32">
        <f>EN10/((1+InputData!$C$3)^(Ortho!$B10-Ortho!$B$7))</f>
        <v>0</v>
      </c>
      <c r="EW10" s="32">
        <f t="shared" si="58"/>
        <v>-57178.234615645568</v>
      </c>
      <c r="EX10" s="32">
        <f>EW10/((1+InputData!$C$7)^(Ortho!$B10-Ortho!$B$7))</f>
        <v>-52326.184505046156</v>
      </c>
      <c r="EY10" s="5">
        <f t="shared" si="117"/>
        <v>-190867.38028908212</v>
      </c>
      <c r="EZ10" s="79"/>
      <c r="FA10" s="32">
        <f t="shared" si="59"/>
        <v>185472.36</v>
      </c>
      <c r="FB10" s="32">
        <f t="shared" si="60"/>
        <v>11517.833556</v>
      </c>
      <c r="FC10" s="32">
        <f t="shared" si="61"/>
        <v>213981.87135599999</v>
      </c>
      <c r="FD10" s="32">
        <v>0</v>
      </c>
      <c r="FE10" s="32">
        <f>FD10/((1+InputData!$C$3)^(Ortho!$B10-Ortho!$B$7))</f>
        <v>0</v>
      </c>
      <c r="FF10" s="5">
        <f t="shared" si="62"/>
        <v>-57178.234615645568</v>
      </c>
      <c r="FG10" s="32">
        <f>FF10/((1+InputData!$C$7)^(Ortho!$B10-Ortho!$B$7))</f>
        <v>-52326.184505046156</v>
      </c>
      <c r="FH10" s="5">
        <f t="shared" si="118"/>
        <v>-190867.38028908212</v>
      </c>
      <c r="FI10" s="79"/>
      <c r="FJ10" s="32">
        <f t="shared" si="63"/>
        <v>185472.36</v>
      </c>
      <c r="FK10" s="32">
        <f t="shared" si="64"/>
        <v>11517.833556</v>
      </c>
      <c r="FL10" s="32">
        <f t="shared" si="65"/>
        <v>213981.87135599999</v>
      </c>
      <c r="FM10" s="32">
        <v>0</v>
      </c>
      <c r="FN10" s="32">
        <f>FM10/((1+InputData!$C$3)^(Ortho!$B10-Ortho!$B$7))</f>
        <v>0</v>
      </c>
      <c r="FO10" s="5">
        <f t="shared" si="66"/>
        <v>-57178.234615645568</v>
      </c>
      <c r="FP10" s="32">
        <f>FO10/((1+InputData!$C$7)^(Ortho!$B10-Ortho!$B$7))</f>
        <v>-52326.184505046156</v>
      </c>
      <c r="FQ10" s="5">
        <f t="shared" si="119"/>
        <v>-190867.38028908212</v>
      </c>
      <c r="FR10" s="79"/>
      <c r="FS10" s="32">
        <f t="shared" si="67"/>
        <v>185472.36</v>
      </c>
      <c r="FT10" s="32">
        <f t="shared" si="68"/>
        <v>11517.833556</v>
      </c>
      <c r="FU10" s="32">
        <f t="shared" si="69"/>
        <v>213981.87135599999</v>
      </c>
      <c r="FV10" s="32">
        <v>0</v>
      </c>
      <c r="FW10" s="32">
        <f>FV10/((1+InputData!$C$3)^(Ortho!$B10-Ortho!$B$7))</f>
        <v>0</v>
      </c>
      <c r="FX10" s="5">
        <f t="shared" si="70"/>
        <v>-57178.234615645568</v>
      </c>
      <c r="FY10" s="32">
        <f>FX10/((1+InputData!$C$7)^(Ortho!$B10-Ortho!$B$7))</f>
        <v>-52326.184505046156</v>
      </c>
      <c r="FZ10" s="5">
        <f t="shared" si="120"/>
        <v>-190867.38028908212</v>
      </c>
      <c r="GC10" s="3">
        <f t="shared" si="3"/>
        <v>0</v>
      </c>
      <c r="GD10" s="46" t="str">
        <f t="shared" si="4"/>
        <v>Med School (O1 &gt; 3 yrs)</v>
      </c>
      <c r="GE10" s="5">
        <f t="shared" si="5"/>
        <v>43430.399999999994</v>
      </c>
      <c r="GF10" s="5">
        <f t="shared" si="5"/>
        <v>25411.199999999997</v>
      </c>
      <c r="GG10" s="5">
        <f t="shared" si="5"/>
        <v>68841.599999999991</v>
      </c>
      <c r="GH10" s="5">
        <f t="shared" si="5"/>
        <v>42165.517552072735</v>
      </c>
      <c r="GI10" s="5">
        <f t="shared" si="5"/>
        <v>24671.115154804713</v>
      </c>
      <c r="GJ10" s="32">
        <f>IF(GH10-InputData!$C$158-InputData!$C$159&gt;=0,GH10-InputData!$C$158-InputData!$C$159,0)</f>
        <v>42165.517552072735</v>
      </c>
      <c r="GK10" s="32">
        <f>IF(GH10-IF(GH10&lt;=InputData!$C$146,InputData!$C$145,0)-MAX(InputData!$C$144,GQ10)&gt;=0,GH10-IF(GH10&lt;=InputData!$C$146,InputData!$C$145,0)-MAX(InputData!$C$144,GQ10),0)</f>
        <v>32165.517552072735</v>
      </c>
      <c r="GL10" s="32">
        <f>IF(GK10&lt;0,"Error",IF(GK10&lt;=InputData!$B$170,InputData!$C$170*GK10,IF(GK10&lt;=InputData!$B$171,InputData!$D$170+InputData!$C$171*(GK10-InputData!$B$170),IF(GK10&lt;=InputData!$B$172,InputData!$D$171+InputData!$C$172*(GK10-InputData!$B$171),IF(GK10&lt;=InputData!$B$173,InputData!$D$172+InputData!$C$173*(GK10-InputData!$B$172),IF(GK10&lt;=InputData!$B$174,InputData!$D$173+InputData!$C$174*(GK10-InputData!$B$173),IF(GK10&lt;=InputData!$B$175,InputData!$D$174+InputData!$C$175*(GK10-InputData!$B$174),InputData!$D$175+InputData!$C$176*(GK10-InputData!$B$175))))))))</f>
        <v>4378.5776328109096</v>
      </c>
      <c r="GM10" s="32">
        <f>IF(GH10&lt;=InputData!$C$150,InputData!$C$152,IF(GH10&lt;InputData!$C$151,IF(InputData!$C$152-0.25*IF(GH10-InputData!$C$150&lt;=0,0,GH10-InputData!$C$150)&lt;=0,0,InputData!$C$152-0.25*IF(GH10-InputData!$C$150&lt;=0,0,GH10-InputData!$C$150)),0))</f>
        <v>51900</v>
      </c>
      <c r="GN10" s="32">
        <f>IF(GH10-GM10&lt;=0,0,IF(GH10-GM10&lt;=InputData!$C$153,InputData!$C$154*(GH10-GM10),InputData!$C$155*(GH10-GM10)-InputData!$D$154))</f>
        <v>0</v>
      </c>
      <c r="GO10" s="32">
        <f t="shared" si="71"/>
        <v>4378.5776328109096</v>
      </c>
      <c r="GP10" s="32">
        <f>IF(GH10&gt;=0,IF(GH10&lt;=InputData!$C$148,InputData!$C$147*GH10,InputData!$C$147*InputData!$C$148)+InputData!$C$149*GH10,0)</f>
        <v>3225.6620927335644</v>
      </c>
      <c r="GQ10" s="32">
        <f>IF(GJ10&lt;0,0,IF(GJ10&lt;=InputData!$B$163,InputData!$C$163*GJ10,IF(GJ10&lt;=InputData!$B$164,InputData!$D$163+InputData!$C$164*(GJ10-InputData!$B$163),IF(GJ10&lt;=InputData!$B$165,InputData!$D$164+InputData!$C$165*(GJ10-InputData!$B$164),InputData!$D$165+InputData!$C$166*(GJ10-InputData!$B$165)))))</f>
        <v>0</v>
      </c>
      <c r="GR10" s="43">
        <f t="shared" si="72"/>
        <v>0.18034261564923379</v>
      </c>
      <c r="GS10" s="43">
        <f t="shared" si="73"/>
        <v>0.11377353133414217</v>
      </c>
      <c r="GT10" s="5">
        <f t="shared" si="74"/>
        <v>59232.392981332989</v>
      </c>
      <c r="GU10" s="32">
        <f>GT10/((1+InputData!$C$7)^(Ortho!$B10-Ortho!$B$7))</f>
        <v>54206.030400395517</v>
      </c>
      <c r="GV10" s="32">
        <f t="shared" si="75"/>
        <v>211251.55229740124</v>
      </c>
      <c r="GX10" s="3">
        <f t="shared" si="6"/>
        <v>0</v>
      </c>
      <c r="GY10" s="46" t="str">
        <f t="shared" si="6"/>
        <v>Med School</v>
      </c>
      <c r="GZ10" s="5">
        <f t="shared" si="7"/>
        <v>30405.511293634496</v>
      </c>
      <c r="HA10" s="5">
        <f t="shared" si="7"/>
        <v>0</v>
      </c>
      <c r="HB10" s="5">
        <f t="shared" si="7"/>
        <v>30405.511293634496</v>
      </c>
      <c r="HC10" s="5">
        <f t="shared" si="7"/>
        <v>29519.970346381593</v>
      </c>
      <c r="HD10" s="5">
        <f t="shared" si="7"/>
        <v>0</v>
      </c>
      <c r="HE10" s="32">
        <f>IF(HC10-InputData!$C$158-InputData!$C$159&gt;=0,HC10-InputData!$C$158-InputData!$C$159,0)</f>
        <v>29519.970346381593</v>
      </c>
      <c r="HF10" s="32">
        <f>IF(HC10-IF(HC10&lt;=InputData!$C$146,InputData!$C$145,0)-MAX(InputData!$C$144,HL10)&gt;=0,HC10-IF(HC10&lt;=InputData!$C$146,InputData!$C$145,0)-MAX(InputData!$C$144,HL10),0)</f>
        <v>19519.970346381593</v>
      </c>
      <c r="HG10" s="32">
        <f>IF(HF10&lt;0,"Error",IF(HF10&lt;=InputData!$B$170,InputData!$C$170*HF10,IF(HF10&lt;=InputData!$B$171,InputData!$D$170+InputData!$C$171*(HF10-InputData!$B$170),IF(HF10&lt;=InputData!$B$172,InputData!$D$171+InputData!$C$172*(HF10-InputData!$B$171),IF(HF10&lt;=InputData!$B$173,InputData!$D$172+InputData!$C$173*(HF10-InputData!$B$172),IF(HF10&lt;=InputData!$B$174,InputData!$D$173+InputData!$C$174*(HF10-InputData!$B$173),IF(HF10&lt;=InputData!$B$175,InputData!$D$174+InputData!$C$175*(HF10-InputData!$B$174),InputData!$D$175+InputData!$C$176*(HF10-InputData!$B$175))))))))</f>
        <v>2481.7455519572386</v>
      </c>
      <c r="HH10" s="32">
        <f>IF(HC10&lt;=InputData!$C$150,InputData!$C$152,IF(HC10&lt;InputData!$C$151,IF(InputData!$C$152-0.25*IF(HC10-InputData!$C$150&lt;=0,0,HC10-InputData!$C$150)&lt;=0,0,InputData!$C$152-0.25*IF(HC10-InputData!$C$150&lt;=0,0,HC10-InputData!$C$150)),0))</f>
        <v>51900</v>
      </c>
      <c r="HI10" s="32">
        <f>IF(HC10-HH10&lt;=0,0,IF(HC10-HH10&lt;=InputData!$C$153,InputData!$C$154*(HC10-HH10),InputData!$C$155*(HC10-HH10)-InputData!$D$154))</f>
        <v>0</v>
      </c>
      <c r="HJ10" s="32">
        <f t="shared" si="76"/>
        <v>2481.7455519572386</v>
      </c>
      <c r="HK10" s="32">
        <v>0</v>
      </c>
      <c r="HL10" s="32">
        <f>IF(HE10&lt;0,0,IF(HE10&lt;=InputData!$B$163,InputData!$C$163*HE10,IF(HE10&lt;=InputData!$B$164,InputData!$D$163+InputData!$C$164*(HE10-InputData!$B$163),IF(HE10&lt;=InputData!$B$165,InputData!$D$164+InputData!$C$165*(HE10-InputData!$B$164),InputData!$D$165+InputData!$C$166*(HE10-InputData!$B$165)))))</f>
        <v>0</v>
      </c>
      <c r="HM10" s="43">
        <f t="shared" si="77"/>
        <v>8.4070055722851977E-2</v>
      </c>
      <c r="HN10" s="43">
        <f t="shared" si="78"/>
        <v>8.4070055722851977E-2</v>
      </c>
      <c r="HO10" s="5">
        <f t="shared" si="79"/>
        <v>27038.224794424354</v>
      </c>
      <c r="HP10" s="32">
        <f>HO10/((1+InputData!$C$7)^(Ortho!$B10-Ortho!$B$7))</f>
        <v>24743.805904333243</v>
      </c>
      <c r="HQ10" s="32">
        <f t="shared" si="80"/>
        <v>119127.82998672797</v>
      </c>
      <c r="HS10" s="93">
        <f t="shared" si="81"/>
        <v>0</v>
      </c>
      <c r="HT10" s="92" t="str">
        <f t="shared" si="82"/>
        <v>Med School (O1 &gt; 3 yrs)</v>
      </c>
      <c r="HU10" s="5">
        <f t="shared" si="83"/>
        <v>43430.399999999994</v>
      </c>
      <c r="HV10" s="5">
        <f t="shared" si="84"/>
        <v>25411.199999999997</v>
      </c>
      <c r="HW10" s="5">
        <f t="shared" si="85"/>
        <v>68841.599999999991</v>
      </c>
      <c r="HX10" s="5">
        <f t="shared" si="86"/>
        <v>42165.517552072735</v>
      </c>
      <c r="HY10" s="5">
        <f t="shared" si="87"/>
        <v>24671.115154804713</v>
      </c>
      <c r="HZ10" s="32">
        <f>IF(HX10-InputData!$C$158-InputData!$C$159&gt;=0,HX10-InputData!$C$158-InputData!$C$159,0)</f>
        <v>42165.517552072735</v>
      </c>
      <c r="IA10" s="32">
        <f>IF(HX10-IF(HX10&lt;=InputData!$C$146,InputData!$C$145,0)-MAX(InputData!$C$144,IG10)&gt;=0,HX10-IF(HX10&lt;=InputData!$C$146,InputData!$C$145,0)-MAX(InputData!$C$144,IG10),0)</f>
        <v>32165.517552072735</v>
      </c>
      <c r="IB10" s="32">
        <f>IF(IA10&lt;0,"Error",IF(IA10&lt;=InputData!$B$170,InputData!$C$170*IA10,IF(IA10&lt;=InputData!$B$171,InputData!$D$170+InputData!$C$171*(IA10-InputData!$B$170),IF(IA10&lt;=InputData!$B$172,InputData!$D$171+InputData!$C$172*(IA10-InputData!$B$171),IF(IA10&lt;=InputData!$B$173,InputData!$D$172+InputData!$C$173*(IA10-InputData!$B$172),IF(IA10&lt;=InputData!$B$174,InputData!$D$173+InputData!$C$174*(IA10-InputData!$B$173),IF(IA10&lt;=InputData!$B$175,InputData!$D$174+InputData!$C$175*(IA10-InputData!$B$174),InputData!$D$175+InputData!$C$176*(IA10-InputData!$B$175))))))))</f>
        <v>4378.5776328109096</v>
      </c>
      <c r="IC10" s="32">
        <f>IF(HX10&lt;=InputData!$C$150,InputData!$C$152,IF(HX10&lt;InputData!$C$151,IF(InputData!$C$152-0.25*IF(HX10-InputData!$C$150&lt;=0,0,HX10-InputData!$C$150)&lt;=0,0,InputData!$C$152-0.25*IF(HX10-InputData!$C$150&lt;=0,0,HX10-InputData!$C$150)),0))</f>
        <v>51900</v>
      </c>
      <c r="ID10" s="32">
        <f>IF(HX10-IC10&lt;=0,0,IF(HX10-IC10&lt;=InputData!$C$153,InputData!$C$154*(HX10-IC10),InputData!$C$155*(HX10-IC10)-InputData!$D$154))</f>
        <v>0</v>
      </c>
      <c r="IE10" s="32">
        <f t="shared" si="88"/>
        <v>4378.5776328109096</v>
      </c>
      <c r="IF10" s="32">
        <f>IF(HX10&gt;=0,IF(HX10&lt;=InputData!$C$148,InputData!$C$147*HX10,InputData!$C$147*InputData!$C$148)+InputData!$C$149*HX10,0)</f>
        <v>3225.6620927335644</v>
      </c>
      <c r="IG10" s="32">
        <f>IF(HZ10&lt;0,0,IF(HZ10&lt;=InputData!$B$163,InputData!$C$163*HZ10,IF(HZ10&lt;=InputData!$B$164,InputData!$D$163+InputData!$C$164*(HZ10-InputData!$B$163),IF(HZ10&lt;=InputData!$B$165,InputData!$D$164+InputData!$C$165*(HZ10-InputData!$B$164),InputData!$D$165+InputData!$C$166*(HZ10-InputData!$B$165)))))</f>
        <v>0</v>
      </c>
      <c r="IH10" s="43">
        <f t="shared" si="89"/>
        <v>0.18034261564923379</v>
      </c>
      <c r="II10" s="43">
        <f t="shared" si="90"/>
        <v>0.11377353133414217</v>
      </c>
      <c r="IJ10" s="5">
        <f t="shared" si="91"/>
        <v>59232.392981332989</v>
      </c>
      <c r="IK10" s="32">
        <f>IJ10/((1+InputData!$C$7)^(Ortho!$B10-Ortho!$B$7))</f>
        <v>54206.030400395517</v>
      </c>
      <c r="IL10" s="5">
        <f t="shared" si="92"/>
        <v>211251.55229740124</v>
      </c>
      <c r="IN10" s="93">
        <f t="shared" si="93"/>
        <v>0</v>
      </c>
      <c r="IO10" s="92" t="str">
        <f t="shared" si="94"/>
        <v>Med School</v>
      </c>
      <c r="IP10" s="5">
        <f t="shared" si="8"/>
        <v>30405.511293634496</v>
      </c>
      <c r="IQ10" s="5">
        <f t="shared" si="9"/>
        <v>0</v>
      </c>
      <c r="IR10" s="5">
        <f t="shared" si="10"/>
        <v>30405.511293634496</v>
      </c>
      <c r="IS10" s="5">
        <f t="shared" si="11"/>
        <v>29519.970346381593</v>
      </c>
      <c r="IT10" s="5">
        <f t="shared" si="12"/>
        <v>0</v>
      </c>
      <c r="IU10" s="32">
        <f>IF(IS10-InputData!$C$158-InputData!$C$159&gt;=0,IS10-InputData!$C$158-InputData!$C$159,0)</f>
        <v>29519.970346381593</v>
      </c>
      <c r="IV10" s="32">
        <f>IF(IS10-IF(IS10&lt;=InputData!$C$146,InputData!$C$145,0)-MAX(InputData!$C$144,JB10)&gt;=0,IS10-IF(IS10&lt;=InputData!$C$146,InputData!$C$145,0)-MAX(InputData!$C$144,JB10),0)</f>
        <v>19519.970346381593</v>
      </c>
      <c r="IW10" s="32">
        <f>IF(IV10&lt;0,"Error",IF(IV10&lt;=InputData!$B$170,InputData!$C$170*IV10,IF(IV10&lt;=InputData!$B$171,InputData!$D$170+InputData!$C$171*(IV10-InputData!$B$170),IF(IV10&lt;=InputData!$B$172,InputData!$D$171+InputData!$C$172*(IV10-InputData!$B$171),IF(IV10&lt;=InputData!$B$173,InputData!$D$172+InputData!$C$173*(IV10-InputData!$B$172),IF(IV10&lt;=InputData!$B$174,InputData!$D$173+InputData!$C$174*(IV10-InputData!$B$173),IF(IV10&lt;=InputData!$B$175,InputData!$D$174+InputData!$C$175*(IV10-InputData!$B$174),InputData!$D$175+InputData!$C$176*(IV10-InputData!$B$175))))))))</f>
        <v>2481.7455519572386</v>
      </c>
      <c r="IX10" s="32">
        <f>IF(IS10&lt;=InputData!$C$150,InputData!$C$152,IF(IS10&lt;InputData!$C$151,IF(InputData!$C$152-0.25*IF(IS10-InputData!$C$150&lt;=0,0,IS10-InputData!$C$150)&lt;=0,0,InputData!$C$152-0.25*IF(IS10-InputData!$C$150&lt;=0,0,IS10-InputData!$C$150)),0))</f>
        <v>51900</v>
      </c>
      <c r="IY10" s="32">
        <f>IF(IS10-IX10&lt;=0,0,IF(IS10-IX10&lt;=InputData!$C$153,InputData!$C$154*(IS10-IX10),InputData!$C$155*(IS10-IX10)-InputData!$D$154))</f>
        <v>0</v>
      </c>
      <c r="IZ10" s="32">
        <f t="shared" si="95"/>
        <v>2481.7455519572386</v>
      </c>
      <c r="JA10" s="32">
        <v>0</v>
      </c>
      <c r="JB10" s="32">
        <f>IF(IU10&lt;0,0,IF(IU10&lt;=InputData!$B$163,InputData!$C$163*IU10,IF(IU10&lt;=InputData!$B$164,InputData!$D$163+InputData!$C$164*(IU10-InputData!$B$163),IF(IU10&lt;=InputData!$B$165,InputData!$D$164+InputData!$C$165*(IU10-InputData!$B$164),InputData!$D$165+InputData!$C$166*(IU10-InputData!$B$165)))))</f>
        <v>0</v>
      </c>
      <c r="JC10" s="43">
        <f t="shared" si="96"/>
        <v>8.4070055722851977E-2</v>
      </c>
      <c r="JD10" s="43">
        <f t="shared" si="97"/>
        <v>8.4070055722851977E-2</v>
      </c>
      <c r="JE10" s="5">
        <f t="shared" si="98"/>
        <v>27038.224794424354</v>
      </c>
      <c r="JF10" s="32">
        <f>JE10/((1+InputData!$C$7)^(Ortho!$B10-Ortho!$B$7))</f>
        <v>24743.805904333243</v>
      </c>
      <c r="JG10" s="5">
        <f t="shared" si="99"/>
        <v>119127.82998672797</v>
      </c>
      <c r="JI10" s="56" t="str">
        <f t="shared" si="13"/>
        <v>Med School</v>
      </c>
      <c r="JJ10" s="5">
        <f t="shared" si="14"/>
        <v>0</v>
      </c>
      <c r="JK10" s="32">
        <f t="shared" si="100"/>
        <v>0</v>
      </c>
      <c r="JL10" s="32">
        <f t="shared" si="101"/>
        <v>0</v>
      </c>
      <c r="JM10" s="32">
        <f>JM9*(1+InputData!$C$8)</f>
        <v>12193.279920000003</v>
      </c>
      <c r="JN10" s="32">
        <f>JJ10/((1+InputData!$C$3)^(Ortho!$B10-Ortho!$B$7))</f>
        <v>0</v>
      </c>
      <c r="JO10" s="32">
        <f>JK10/((1+InputData!$C$3)^(Ortho!$B10-Ortho!$B$7))</f>
        <v>0</v>
      </c>
      <c r="JP10" s="32" t="s">
        <v>143</v>
      </c>
      <c r="JQ10" s="118">
        <v>0</v>
      </c>
      <c r="JR10" s="32">
        <f t="shared" si="121"/>
        <v>0</v>
      </c>
      <c r="JS10" s="32">
        <f>(JR10)*InputData!$C$6</f>
        <v>0</v>
      </c>
      <c r="JT10" s="32">
        <v>0</v>
      </c>
      <c r="JU10" s="32">
        <f>JU9+JQ10+JS10-JT10</f>
        <v>0</v>
      </c>
      <c r="JV10" s="32">
        <f>JT10/((1+InputData!$C$3)^(Ortho!$B10-Ortho!$B$7))</f>
        <v>0</v>
      </c>
      <c r="JW10" s="32">
        <f>IF(JN10-InputData!$C$158-InputData!$C$159&gt;=0,JN10-InputData!$C$158-InputData!$C$159,0)</f>
        <v>0</v>
      </c>
      <c r="JX10" s="32">
        <f>IF(JN10-IF(JN10&lt;=InputData!$C$146,InputData!$C$145,0)-MAX(InputData!$C$144,KD10)&gt;=0,JN10-IF(JN10&lt;=InputData!$C$146,InputData!$C$145,0)-MAX(InputData!$C$144,KD10),0)</f>
        <v>0</v>
      </c>
      <c r="JY10" s="32">
        <f>IF(JX10&lt;0,"Error",IF(JX10&lt;=InputData!$B$170,InputData!$C$170*JX10,IF(JX10&lt;=InputData!$B$171,InputData!$D$170+InputData!$C$171*(JX10-InputData!$B$170),IF(JX10&lt;=InputData!$B$172,InputData!$D$171+InputData!$C$172*(JX10-InputData!$B$171),IF(JX10&lt;=InputData!$B$173,InputData!$D$172+InputData!$C$173*(JX10-InputData!$B$172),IF(JX10&lt;=InputData!$B$174,InputData!$D$173+InputData!$C$174*(JX10-InputData!$B$173),IF(JX10&lt;=InputData!$B$175,InputData!$D$174+InputData!$C$175*(JX10-InputData!$B$174),InputData!$D$175+InputData!$C$176*(JX10-InputData!$B$175))))))))</f>
        <v>0</v>
      </c>
      <c r="JZ10" s="32">
        <f>IF(JN10&lt;=InputData!$C$150,InputData!$C$152,IF(JN10&lt;InputData!$C$151,IF(InputData!$C$152-0.25*IF(JN10-InputData!$C$150&lt;=0,0,JN10-InputData!$C$150)&lt;=0,0,InputData!$C$152-0.25*IF(JN10-InputData!$C$150&lt;=0,0,JN10-InputData!$C$150)),0))</f>
        <v>51900</v>
      </c>
      <c r="KA10" s="32">
        <f>IF(JN10-JZ10&lt;=0,0,IF(JN10-JZ10&lt;=InputData!$C$153,InputData!$C$154*(JN10-JZ10),InputData!$C$155*(JN10-JZ10)-InputData!$D$154))</f>
        <v>0</v>
      </c>
      <c r="KB10" s="32">
        <f t="shared" si="102"/>
        <v>0</v>
      </c>
      <c r="KC10" s="32">
        <f>IF(JN10&gt;=0,IF(JN10&lt;=InputData!$C$148,InputData!$C$147*JN10,InputData!$C$147*InputData!$C$148)+InputData!$C$149*JN10,0)</f>
        <v>0</v>
      </c>
      <c r="KD10" s="32">
        <f>IF(JW10&lt;0,0,IF(JW10&lt;=InputData!$B$163,InputData!$C$163*JW10,IF(JW10&lt;=InputData!$B$164,InputData!$D$163+InputData!$C$164*(JW10-InputData!$B$163),IF(JW10&lt;=InputData!$B$165,InputData!$D$164+InputData!$C$165*(JW10-InputData!$B$164),InputData!$D$165+InputData!$C$166*(JW10-InputData!$B$165)))))</f>
        <v>0</v>
      </c>
      <c r="KE10" s="43" t="e">
        <f t="shared" si="15"/>
        <v>#DIV/0!</v>
      </c>
      <c r="KF10" s="32">
        <f t="shared" si="16"/>
        <v>0</v>
      </c>
      <c r="KG10" s="32">
        <f t="shared" si="103"/>
        <v>0</v>
      </c>
      <c r="KH10" s="32">
        <f>KG10/((1+InputData!$C$7)^(Ortho!$B10-Ortho!$B$7))</f>
        <v>0</v>
      </c>
      <c r="KI10" s="5">
        <f t="shared" si="122"/>
        <v>0</v>
      </c>
    </row>
    <row r="11" spans="1:295" x14ac:dyDescent="0.25">
      <c r="A11" s="4">
        <v>2017</v>
      </c>
      <c r="B11" s="51">
        <v>5</v>
      </c>
      <c r="C11" s="4"/>
      <c r="D11" s="3">
        <v>1</v>
      </c>
      <c r="E11" s="97" t="s">
        <v>258</v>
      </c>
      <c r="F11" s="5">
        <f>InputData!$C$24*12</f>
        <v>46026</v>
      </c>
      <c r="G11" s="5">
        <f>(InputData!$C$24+InputData!$C$44)*12</f>
        <v>47226</v>
      </c>
      <c r="H11" s="5">
        <f>(InputData!$C$35+InputData!$C$40)*12</f>
        <v>19939.199999999997</v>
      </c>
      <c r="I11" s="5">
        <f t="shared" si="17"/>
        <v>67165.2</v>
      </c>
      <c r="J11" s="5">
        <f>G11*((1+InputData!$C$5)/(1+InputData!$C$3))^(Ortho!$B11-Ortho!$B$7)</f>
        <v>45401.05772195461</v>
      </c>
      <c r="K11" s="5">
        <f>H11*((1+InputData!$C$5)/(1+InputData!$C$3))^(Ortho!$B11-Ortho!$B$7)</f>
        <v>19168.694577766426</v>
      </c>
      <c r="L11" s="32">
        <f>IF(J11-InputData!$C$158-InputData!$C$159&gt;=0,J11-InputData!$C$158-InputData!$C$159,0)</f>
        <v>45401.05772195461</v>
      </c>
      <c r="M11" s="32">
        <f>IF(J11-IF(J11&lt;=InputData!$C$146,InputData!$C$145,0)-MAX(InputData!$C$144,S11)&gt;=0,J11-IF(J11&lt;=InputData!$C$146,InputData!$C$145,0)-MAX(InputData!$C$144,S11),0)</f>
        <v>35401.05772195461</v>
      </c>
      <c r="N11" s="32">
        <f>IF(M11&lt;0,"Error",IF(M11&lt;=InputData!$B$170,InputData!$C$170*M11,IF(M11&lt;=InputData!$B$171,InputData!$D$170+InputData!$C$171*(M11-InputData!$B$170),IF(M11&lt;=InputData!$B$172,InputData!$D$171+InputData!$C$172*(M11-InputData!$B$171),IF(M11&lt;=InputData!$B$173,InputData!$D$172+InputData!$C$173*(M11-InputData!$B$172),IF(M11&lt;=InputData!$B$174,InputData!$D$173+InputData!$C$174*(M11-InputData!$B$173),IF(M11&lt;=InputData!$B$175,InputData!$D$174+InputData!$C$175*(M11-InputData!$B$174),InputData!$D$175+InputData!$C$176*(M11-InputData!$B$175))))))))</f>
        <v>4863.9086582931914</v>
      </c>
      <c r="O11" s="32">
        <f>IF(J11&lt;=InputData!$C$150,InputData!$C$152,IF(J11&lt;InputData!$C$151,IF(InputData!$C$152-0.25*IF(J11-InputData!$C$150&lt;=0,0,J11-InputData!$C$150)&lt;=0,0,InputData!$C$152-0.25*IF(J11-InputData!$C$150&lt;=0,0,J11-InputData!$C$150)),0))</f>
        <v>51900</v>
      </c>
      <c r="P11" s="32">
        <f>IF(J11-O11&lt;=0,0,IF(J11-O11&lt;=InputData!$C$153,InputData!$C$154*(J11-O11),InputData!$C$155*(J11-O11)-InputData!$D$154))</f>
        <v>0</v>
      </c>
      <c r="Q11" s="32">
        <f t="shared" si="18"/>
        <v>4863.9086582931914</v>
      </c>
      <c r="R11" s="32">
        <f>IF(J11&gt;=0,IF(J11&lt;=InputData!$C$148,InputData!$C$147*J11,InputData!$C$147*InputData!$C$148)+InputData!$C$149*J11,0)</f>
        <v>3473.1809157295279</v>
      </c>
      <c r="S11" s="32">
        <f>IF(L11&lt;0,0,IF(L11&lt;=InputData!$B$163,InputData!$C$163*L11,IF(L11&lt;=InputData!$B$164,InputData!$D$163+InputData!$C$164*(L11-InputData!$B$163),IF(L11&lt;=InputData!$B$165,InputData!$D$164+InputData!$C$165*(L11-InputData!$B$164),InputData!$D$165+InputData!$C$166*(L11-InputData!$B$165)))))</f>
        <v>0</v>
      </c>
      <c r="T11" s="43">
        <f t="shared" si="19"/>
        <v>0.18363205599924048</v>
      </c>
      <c r="U11" s="43">
        <f t="shared" si="20"/>
        <v>0.12911757095371013</v>
      </c>
      <c r="V11" s="5">
        <f t="shared" si="21"/>
        <v>56232.662725698312</v>
      </c>
      <c r="W11" s="32">
        <f>V11/((1+InputData!$C$7)^(Ortho!$B11-Ortho!$B$7))</f>
        <v>49961.992501594294</v>
      </c>
      <c r="X11" s="5">
        <f t="shared" si="104"/>
        <v>261213.54479899554</v>
      </c>
      <c r="Y11" s="53"/>
      <c r="Z11" s="3">
        <v>1</v>
      </c>
      <c r="AA11" s="97" t="s">
        <v>258</v>
      </c>
      <c r="AB11" s="5">
        <f>F11</f>
        <v>46026</v>
      </c>
      <c r="AC11" s="5">
        <f>G11</f>
        <v>47226</v>
      </c>
      <c r="AD11" s="5">
        <f>H11</f>
        <v>19939.199999999997</v>
      </c>
      <c r="AE11" s="5">
        <f t="shared" si="22"/>
        <v>67165.2</v>
      </c>
      <c r="AF11" s="5">
        <f>AC11*((1+InputData!$C$5)/(1+InputData!$C$3))^(Ortho!$B11-Ortho!$B$7)</f>
        <v>45401.05772195461</v>
      </c>
      <c r="AG11" s="5">
        <f>AD11*((1+InputData!$C$5)/(1+InputData!$C$3))^(Ortho!$B11-Ortho!$B$7)</f>
        <v>19168.694577766426</v>
      </c>
      <c r="AH11" s="32">
        <f>IF(AF11-InputData!$C$158-InputData!$C$159&gt;=0,AF11-InputData!$C$158-InputData!$C$159,0)</f>
        <v>45401.05772195461</v>
      </c>
      <c r="AI11" s="32">
        <f>IF(AF11-IF(AF11&lt;=InputData!$C$146,InputData!$C$145,0)-MAX(InputData!$C$144,AO11)&gt;=0,AF11-IF(AF11&lt;=InputData!$C$146,InputData!$C$145,0)-MAX(InputData!$C$144,AO11),0)</f>
        <v>35401.05772195461</v>
      </c>
      <c r="AJ11" s="32">
        <f>IF(AI11&lt;0,"Error",IF(AI11&lt;=InputData!$B$170,InputData!$C$170*AI11,IF(AI11&lt;=InputData!$B$171,InputData!$D$170+InputData!$C$171*(AI11-InputData!$B$170),IF(AI11&lt;=InputData!$B$172,InputData!$D$171+InputData!$C$172*(AI11-InputData!$B$171),IF(AI11&lt;=InputData!$B$173,InputData!$D$172+InputData!$C$173*(AI11-InputData!$B$172),IF(AI11&lt;=InputData!$B$174,InputData!$D$173+InputData!$C$174*(AI11-InputData!$B$173),IF(AI11&lt;=InputData!$B$175,InputData!$D$174+InputData!$C$175*(AI11-InputData!$B$174),InputData!$D$175+InputData!$C$176*(AI11-InputData!$B$175))))))))</f>
        <v>4863.9086582931914</v>
      </c>
      <c r="AK11" s="32">
        <f>IF(AF11&lt;=InputData!$C$150,InputData!$C$152,IF(AF11&lt;InputData!$C$151,IF(InputData!$C$152-0.25*IF(AF11-InputData!$C$150&lt;=0,0,AF11-InputData!$C$150)&lt;=0,0,InputData!$C$152-0.25*IF(AF11-InputData!$C$150&lt;=0,0,AF11-InputData!$C$150)),0))</f>
        <v>51900</v>
      </c>
      <c r="AL11" s="32">
        <f>IF(AF11-AK11&lt;=0,0,IF(AF11-AK11&lt;=InputData!$C$153,InputData!$C$154*(AF11-AK11),InputData!$C$155*(AF11-AK11)-InputData!$D$154))</f>
        <v>0</v>
      </c>
      <c r="AM11" s="32">
        <f t="shared" si="23"/>
        <v>4863.9086582931914</v>
      </c>
      <c r="AN11" s="32">
        <f>IF(AF11&gt;=0,IF(AF11&lt;=InputData!$C$148,InputData!$C$147*AF11,InputData!$C$147*InputData!$C$148)+InputData!$C$149*AF11,0)</f>
        <v>3473.1809157295279</v>
      </c>
      <c r="AO11" s="32">
        <f>IF(AH11&lt;0,0,IF(AH11&lt;=InputData!$B$163,InputData!$C$163*AH11,IF(AH11&lt;=InputData!$B$164,InputData!$D$163+InputData!$C$164*(AH11-InputData!$B$163),IF(AH11&lt;=InputData!$B$165,InputData!$D$164+InputData!$C$165*(AH11-InputData!$B$164),InputData!$D$165+InputData!$C$166*(AH11-InputData!$B$165)))))</f>
        <v>0</v>
      </c>
      <c r="AP11" s="43">
        <f t="shared" si="24"/>
        <v>0.18363205599924048</v>
      </c>
      <c r="AQ11" s="43">
        <f t="shared" si="25"/>
        <v>0.12911757095371013</v>
      </c>
      <c r="AR11" s="5">
        <f t="shared" si="26"/>
        <v>56232.662725698312</v>
      </c>
      <c r="AS11" s="32">
        <f>AR11/((1+InputData!$C$7)^(Ortho!$B11-Ortho!$B$7))</f>
        <v>49961.992501594294</v>
      </c>
      <c r="AT11" s="5">
        <f t="shared" si="105"/>
        <v>169089.82248832227</v>
      </c>
      <c r="AU11" s="53"/>
      <c r="AV11" s="41" t="s">
        <v>1</v>
      </c>
      <c r="AW11" s="32">
        <f>InputData!$C$74*(1+InputData!$C$11)^(Ortho!B11-Ortho!$B$7)</f>
        <v>54353.24848224</v>
      </c>
      <c r="AX11" s="32">
        <v>0</v>
      </c>
      <c r="AY11" s="32">
        <f t="shared" si="28"/>
        <v>54353.24848224</v>
      </c>
      <c r="AZ11" s="32">
        <f>AZ10*(1+InputData!$C$8)</f>
        <v>12437.145518400002</v>
      </c>
      <c r="BA11" s="32">
        <f>AW11/((1+InputData!$C$3)^(Ortho!$B11-Ortho!$B$7))</f>
        <v>50214</v>
      </c>
      <c r="BB11" s="32">
        <f>AX11/((1+InputData!$C$3)^(Ortho!$B11-Ortho!$B$7))</f>
        <v>0</v>
      </c>
      <c r="BC11" s="126" t="s">
        <v>319</v>
      </c>
      <c r="BD11" s="32">
        <v>0</v>
      </c>
      <c r="BE11" s="118">
        <f>BE10</f>
        <v>180000</v>
      </c>
      <c r="BF11" s="118">
        <f>(0.5*BE10+0.5*(BH10+0.5*BE10*InputData!$C$6))*InputData!$C$6</f>
        <v>12184.523010000001</v>
      </c>
      <c r="BG11" s="32">
        <v>0</v>
      </c>
      <c r="BH11" s="118">
        <f>BH10+BD11+BF11-BG11</f>
        <v>219011.72301000002</v>
      </c>
      <c r="BI11" s="32">
        <f>BG11/((1+InputData!$C$3)^(Ortho!$B11-Ortho!$B$7))</f>
        <v>0</v>
      </c>
      <c r="BJ11" s="32">
        <f>IF(BA11-InputData!$C$158-InputData!$C$159&gt;=0,BA11-InputData!$C$158-InputData!$C$159,0)</f>
        <v>50214</v>
      </c>
      <c r="BK11" s="32">
        <f>IF(BA11-IF(BA11&lt;=InputData!$C$146,InputData!$C$145,0)-MAX(InputData!$C$144,BQ11)&gt;=0,BA11-IF(BA11&lt;=InputData!$C$146,InputData!$C$145,0)-MAX(InputData!$C$144,BQ11),0)</f>
        <v>40214</v>
      </c>
      <c r="BL11" s="32">
        <f>IF(BK11&lt;0,"Error",IF(BK11&lt;=InputData!$B$170,InputData!$C$170*BK11,IF(BK11&lt;=InputData!$B$171,InputData!$D$170+InputData!$C$171*(BK11-InputData!$B$170),IF(BK11&lt;=InputData!$B$172,InputData!$D$171+InputData!$C$172*(BK11-InputData!$B$171),IF(BK11&lt;=InputData!$B$173,InputData!$D$172+InputData!$C$173*(BK11-InputData!$B$172),IF(BK11&lt;=InputData!$B$174,InputData!$D$173+InputData!$C$174*(BK11-InputData!$B$173),IF(BK11&lt;=InputData!$B$175,InputData!$D$174+InputData!$C$175*(BK11-InputData!$B$174),InputData!$D$175+InputData!$C$176*(BK11-InputData!$B$175))))))))</f>
        <v>5982.25</v>
      </c>
      <c r="BM11" s="32">
        <f>IF(BA11&lt;=InputData!$C$150,InputData!$C$152,IF(BA11&lt;InputData!$C$151,IF(InputData!$C$152-0.25*IF(BA11-InputData!$C$150&lt;=0,0,BA11-InputData!$C$150)&lt;=0,0,InputData!$C$152-0.25*IF(BA11-InputData!$C$150&lt;=0,0,BA11-InputData!$C$150)),0))</f>
        <v>51900</v>
      </c>
      <c r="BN11" s="32">
        <f>IF(BA11-BM11&lt;=0,0,IF(BA11-BM11&lt;=InputData!$C$153,InputData!$C$154*(BA11-BM11),InputData!$C$155*(BA11-BM11)-InputData!$D$154))</f>
        <v>0</v>
      </c>
      <c r="BO11" s="32">
        <f t="shared" si="29"/>
        <v>5982.25</v>
      </c>
      <c r="BP11" s="32">
        <f>IF(BA11&gt;=0,IF(BA11&lt;=InputData!$C$148,InputData!$C$147*BA11,InputData!$C$147*InputData!$C$148)+InputData!$C$149*BA11,0)</f>
        <v>3841.3710000000001</v>
      </c>
      <c r="BQ11" s="32">
        <f>IF(BJ11&lt;0,0,IF(BJ11&lt;=InputData!$B$163,InputData!$C$163*BJ11,IF(BJ11&lt;=InputData!$B$164,InputData!$D$163+InputData!$C$164*(BJ11-InputData!$B$163),IF(BJ11&lt;=InputData!$B$165,InputData!$D$164+InputData!$C$165*(BJ11-InputData!$B$164),InputData!$D$165+InputData!$C$166*(BJ11-InputData!$B$165)))))</f>
        <v>0</v>
      </c>
      <c r="BR11" s="43">
        <f t="shared" si="30"/>
        <v>0.19563510176444815</v>
      </c>
      <c r="BS11" s="32">
        <f t="shared" si="31"/>
        <v>40390.379000000001</v>
      </c>
      <c r="BT11" s="32">
        <f t="shared" si="32"/>
        <v>40390.379000000001</v>
      </c>
      <c r="BU11" s="32">
        <f>BT11/((1+InputData!$C$7)^(Ortho!$B11-Ortho!$B$7))</f>
        <v>35886.328601905836</v>
      </c>
      <c r="BV11" s="5">
        <f t="shared" si="107"/>
        <v>-154981.05168717628</v>
      </c>
      <c r="BW11" s="5"/>
      <c r="BX11" s="126" t="s">
        <v>319</v>
      </c>
      <c r="BY11" s="5">
        <f t="shared" si="33"/>
        <v>180000</v>
      </c>
      <c r="BZ11" s="5">
        <f t="shared" si="34"/>
        <v>12184.523010000001</v>
      </c>
      <c r="CA11" s="5">
        <v>0</v>
      </c>
      <c r="CB11" s="5">
        <f t="shared" si="35"/>
        <v>219011.72301000002</v>
      </c>
      <c r="CC11" s="32">
        <f>CA11/((1+InputData!$C$3)^(Ortho!$B11-Ortho!$B$7))</f>
        <v>0</v>
      </c>
      <c r="CD11" s="5">
        <f t="shared" si="36"/>
        <v>40390.379000000001</v>
      </c>
      <c r="CE11" s="32">
        <f>CD11/((1+InputData!$C$7)^(Ortho!$B11-Ortho!$B$7))</f>
        <v>35886.328601905836</v>
      </c>
      <c r="CF11" s="5">
        <f t="shared" si="108"/>
        <v>-154981.05168717628</v>
      </c>
      <c r="CG11" s="5"/>
      <c r="CH11" s="126" t="s">
        <v>319</v>
      </c>
      <c r="CI11" s="5">
        <f t="shared" si="37"/>
        <v>180000</v>
      </c>
      <c r="CJ11" s="5">
        <f t="shared" si="38"/>
        <v>12184.523010000001</v>
      </c>
      <c r="CK11" s="5">
        <v>0</v>
      </c>
      <c r="CL11" s="5">
        <f t="shared" si="39"/>
        <v>219011.72301000002</v>
      </c>
      <c r="CM11" s="32">
        <f>CK11/((1+InputData!$C$3)^(Ortho!$B11-Ortho!$B$7))</f>
        <v>0</v>
      </c>
      <c r="CN11" s="5">
        <f t="shared" si="40"/>
        <v>40390.379000000001</v>
      </c>
      <c r="CO11" s="32">
        <f>CN11/((1+InputData!$C$7)^(Ortho!$B11-Ortho!$B$7))</f>
        <v>35886.328601905836</v>
      </c>
      <c r="CP11" s="5">
        <f t="shared" si="109"/>
        <v>-154981.05168717628</v>
      </c>
      <c r="CQ11" s="5"/>
      <c r="CR11" s="126" t="s">
        <v>319</v>
      </c>
      <c r="CS11" s="5">
        <f t="shared" si="41"/>
        <v>180000</v>
      </c>
      <c r="CT11" s="5">
        <f t="shared" si="42"/>
        <v>12184.523010000001</v>
      </c>
      <c r="CU11" s="5">
        <v>0</v>
      </c>
      <c r="CV11" s="5">
        <f t="shared" si="43"/>
        <v>219011.72301000002</v>
      </c>
      <c r="CW11" s="32">
        <f>CU11/((1+InputData!$C$3)^(Ortho!$B11-Ortho!$B$7))</f>
        <v>0</v>
      </c>
      <c r="CX11" s="5">
        <f t="shared" si="44"/>
        <v>40390.379000000001</v>
      </c>
      <c r="CY11" s="32">
        <f>CX11/((1+InputData!$C$7)^(Ortho!$B11-Ortho!$B$7))</f>
        <v>35886.328601905836</v>
      </c>
      <c r="CZ11" s="5">
        <f t="shared" si="110"/>
        <v>-154981.05168717628</v>
      </c>
      <c r="DA11" s="5"/>
      <c r="DB11" s="126" t="s">
        <v>328</v>
      </c>
      <c r="DC11" s="118">
        <f>DC10</f>
        <v>180000</v>
      </c>
      <c r="DD11" s="118">
        <f>(0.5*DC10+0.5*(DF10+0.5*DC10*InputData!$C$6))*InputData!$C$6</f>
        <v>12184.523010000001</v>
      </c>
      <c r="DE11" s="32">
        <f>MIN(0.5*$DD$2,DC2)</f>
        <v>14574.189981944686</v>
      </c>
      <c r="DF11" s="32">
        <f>DF10+$BD11+DD11-DE11</f>
        <v>204437.53302805533</v>
      </c>
      <c r="DG11" s="32">
        <f>DE11/((1+InputData!$C$3)^(Ortho!$B11-Ortho!$B$7))</f>
        <v>13464.298752861045</v>
      </c>
      <c r="DH11" s="5">
        <f t="shared" si="48"/>
        <v>26926.080247138954</v>
      </c>
      <c r="DI11" s="32">
        <f>DH11/((1+InputData!$C$7)^(Ortho!$B11-Ortho!$B$7))</f>
        <v>23923.473550721435</v>
      </c>
      <c r="DJ11" s="5">
        <f t="shared" si="111"/>
        <v>-166943.9067383607</v>
      </c>
      <c r="DK11" s="5"/>
      <c r="DL11" s="126" t="s">
        <v>328</v>
      </c>
      <c r="DM11" s="118">
        <f>DM10</f>
        <v>180000</v>
      </c>
      <c r="DN11" s="118">
        <f>(0.5*DM10+0.5*(DQ10+0.5*DM10*InputData!$C$6))*InputData!$C$6</f>
        <v>12184.523010000001</v>
      </c>
      <c r="DO11" s="118">
        <f>0.5*$DC$2*InputData!$C$6-DP11</f>
        <v>1240.8934793040016</v>
      </c>
      <c r="DP11" s="118">
        <f t="shared" ref="DP11:DP36" si="123">IF(0.15*($AY$11-1.5*$AZ11)&lt;=$DD$2,MIN(0.15*($AY11-1.5*$AZ11),$DD$2, DM11+DN11),"DNQ")</f>
        <v>5354.6295306959992</v>
      </c>
      <c r="DQ11" s="32">
        <f t="shared" ref="DQ11:DQ36" si="124">DQ10+$BD11+DN11-DP11</f>
        <v>213657.09347930402</v>
      </c>
      <c r="DR11" s="32">
        <f>DP11/((1+InputData!$C$3)^(Ortho!$B11-Ortho!$B$7))</f>
        <v>4946.8499999999995</v>
      </c>
      <c r="DS11" s="5">
        <f t="shared" si="52"/>
        <v>35443.529000000002</v>
      </c>
      <c r="DT11" s="32">
        <f>DS11/((1+InputData!$C$7)^(Ortho!$B11-Ortho!$B$7))</f>
        <v>31491.116448924113</v>
      </c>
      <c r="DU11" s="5">
        <f t="shared" si="113"/>
        <v>-159376.263840158</v>
      </c>
      <c r="DV11" s="5"/>
      <c r="DW11" s="126" t="s">
        <v>328</v>
      </c>
      <c r="DX11" s="118">
        <f>DX10</f>
        <v>180000</v>
      </c>
      <c r="DY11" s="118">
        <f>(0.5*DX10+0.5*(EB10+0.5*DX10*InputData!$C$6))*InputData!$C$6</f>
        <v>12184.523010000001</v>
      </c>
      <c r="DZ11" s="118">
        <f>0.5*$DC$2*InputData!$C$6-EA11</f>
        <v>3025.769989536001</v>
      </c>
      <c r="EA11" s="118">
        <f>IF(0.1*($AY$11-1.5*$AZ11)&lt;=$DD$2,MIN(0.1*($AY11-1.5*$AZ11),$DD$2, DX11+DY11),"DNQ")</f>
        <v>3569.7530204639997</v>
      </c>
      <c r="EB11" s="32">
        <f>EB10+$BD11+DY11-EA11</f>
        <v>215441.96998953601</v>
      </c>
      <c r="EC11" s="32">
        <f>EA11/((1+InputData!$C$3)^(Ortho!$B11-Ortho!$B$7))</f>
        <v>3297.8999999999996</v>
      </c>
      <c r="ED11" s="5">
        <f t="shared" si="56"/>
        <v>37092.478999999999</v>
      </c>
      <c r="EE11" s="32">
        <f>ED11/((1+InputData!$C$7)^(Ortho!$B11-Ortho!$B$7))</f>
        <v>32956.187166584685</v>
      </c>
      <c r="EF11" s="5">
        <f t="shared" si="115"/>
        <v>-157911.19312249744</v>
      </c>
      <c r="EG11" s="32"/>
      <c r="EH11" s="130" t="s">
        <v>142</v>
      </c>
      <c r="EI11" s="32">
        <v>0</v>
      </c>
      <c r="EJ11" s="32">
        <f>EJ$10</f>
        <v>185472.36</v>
      </c>
      <c r="EK11" s="32">
        <f>(EJ11)*InputData!$C$6</f>
        <v>11517.833556</v>
      </c>
      <c r="EL11" s="32">
        <f t="shared" ref="EL11:EL15" si="125">EL10+EI11+EK11</f>
        <v>225499.70491199999</v>
      </c>
      <c r="EM11" s="32">
        <f>EM10*(1+InputData!$C$8)</f>
        <v>12437.145518400002</v>
      </c>
      <c r="EN11" s="32">
        <v>0</v>
      </c>
      <c r="EO11" s="32">
        <f>AW11/((1+InputData!$C$3)^(Ortho!$B11-Ortho!$B$7))</f>
        <v>50214</v>
      </c>
      <c r="EP11" s="32">
        <f>AX11/((1+InputData!$C$3)^(Ortho!$B11-Ortho!$B$7))</f>
        <v>0</v>
      </c>
      <c r="EQ11" s="32">
        <v>6146</v>
      </c>
      <c r="ER11" s="32">
        <v>3339.23</v>
      </c>
      <c r="ES11" s="32">
        <v>0</v>
      </c>
      <c r="ET11" s="43">
        <f>(EQ11+ER11+ES11)/(EO11+EP11)</f>
        <v>0.18889612458676863</v>
      </c>
      <c r="EU11" s="32">
        <f t="shared" si="57"/>
        <v>40728.769999999997</v>
      </c>
      <c r="EV11" s="32">
        <f>EN11/((1+InputData!$C$3)^(Ortho!$B11-Ortho!$B$7))</f>
        <v>0</v>
      </c>
      <c r="EW11" s="32">
        <f t="shared" si="58"/>
        <v>40728.769999999997</v>
      </c>
      <c r="EX11" s="32">
        <f>EW11/((1+InputData!$C$7)^(Ortho!$B11-Ortho!$B$7))</f>
        <v>36186.984622537071</v>
      </c>
      <c r="EY11" s="5">
        <f t="shared" si="117"/>
        <v>-154680.39566654505</v>
      </c>
      <c r="EZ11" s="79"/>
      <c r="FA11" s="32">
        <f t="shared" si="59"/>
        <v>185472.36</v>
      </c>
      <c r="FB11" s="32">
        <f t="shared" si="60"/>
        <v>11517.833556</v>
      </c>
      <c r="FC11" s="32">
        <f t="shared" si="61"/>
        <v>225499.70491199999</v>
      </c>
      <c r="FD11" s="32">
        <v>0</v>
      </c>
      <c r="FE11" s="32">
        <f>FD11/((1+InputData!$C$3)^(Ortho!$B11-Ortho!$B$7))</f>
        <v>0</v>
      </c>
      <c r="FF11" s="5">
        <f t="shared" si="62"/>
        <v>40728.769999999997</v>
      </c>
      <c r="FG11" s="32">
        <f>FF11/((1+InputData!$C$7)^(Ortho!$B11-Ortho!$B$7))</f>
        <v>36186.984622537071</v>
      </c>
      <c r="FH11" s="5">
        <f t="shared" si="118"/>
        <v>-154680.39566654505</v>
      </c>
      <c r="FI11" s="79"/>
      <c r="FJ11" s="32">
        <f t="shared" si="63"/>
        <v>185472.36</v>
      </c>
      <c r="FK11" s="32">
        <f t="shared" si="64"/>
        <v>11517.833556</v>
      </c>
      <c r="FL11" s="32">
        <f t="shared" si="65"/>
        <v>225499.70491199999</v>
      </c>
      <c r="FM11" s="32">
        <v>0</v>
      </c>
      <c r="FN11" s="32">
        <f>FM11/((1+InputData!$C$3)^(Ortho!$B11-Ortho!$B$7))</f>
        <v>0</v>
      </c>
      <c r="FO11" s="5">
        <f t="shared" si="66"/>
        <v>40728.769999999997</v>
      </c>
      <c r="FP11" s="32">
        <f>FO11/((1+InputData!$C$7)^(Ortho!$B11-Ortho!$B$7))</f>
        <v>36186.984622537071</v>
      </c>
      <c r="FQ11" s="5">
        <f t="shared" si="119"/>
        <v>-154680.39566654505</v>
      </c>
      <c r="FR11" s="79"/>
      <c r="FS11" s="32">
        <f t="shared" si="67"/>
        <v>185472.36</v>
      </c>
      <c r="FT11" s="32">
        <f t="shared" si="68"/>
        <v>11517.833556</v>
      </c>
      <c r="FU11" s="32">
        <f t="shared" si="69"/>
        <v>225499.70491199999</v>
      </c>
      <c r="FV11" s="32">
        <v>0</v>
      </c>
      <c r="FW11" s="32">
        <f>FV11/((1+InputData!$C$3)^(Ortho!$B11-Ortho!$B$7))</f>
        <v>0</v>
      </c>
      <c r="FX11" s="5">
        <f t="shared" si="70"/>
        <v>40728.769999999997</v>
      </c>
      <c r="FY11" s="32">
        <f>FX11/((1+InputData!$C$7)^(Ortho!$B11-Ortho!$B$7))</f>
        <v>36186.984622537071</v>
      </c>
      <c r="FZ11" s="5">
        <f t="shared" si="120"/>
        <v>-154680.39566654505</v>
      </c>
      <c r="GC11" s="3">
        <f t="shared" si="3"/>
        <v>1</v>
      </c>
      <c r="GD11" s="4" t="str">
        <f t="shared" si="4"/>
        <v>Internship/Residency (O3&lt;=2 = (BP+BAH+BAS+VSP)*12)</v>
      </c>
      <c r="GE11" s="5">
        <f t="shared" si="5"/>
        <v>47226</v>
      </c>
      <c r="GF11" s="5">
        <f t="shared" si="5"/>
        <v>19939.199999999997</v>
      </c>
      <c r="GG11" s="5">
        <f t="shared" si="5"/>
        <v>67165.2</v>
      </c>
      <c r="GH11" s="5">
        <f t="shared" si="5"/>
        <v>45401.05772195461</v>
      </c>
      <c r="GI11" s="5">
        <f t="shared" si="5"/>
        <v>19168.694577766426</v>
      </c>
      <c r="GJ11" s="32">
        <f>IF(GH11-InputData!$C$158-InputData!$C$159&gt;=0,GH11-InputData!$C$158-InputData!$C$159,0)</f>
        <v>45401.05772195461</v>
      </c>
      <c r="GK11" s="32">
        <f>IF(GH11-IF(GH11&lt;=InputData!$C$146,InputData!$C$145,0)-MAX(InputData!$C$144,GQ11)&gt;=0,GH11-IF(GH11&lt;=InputData!$C$146,InputData!$C$145,0)-MAX(InputData!$C$144,GQ11),0)</f>
        <v>35401.05772195461</v>
      </c>
      <c r="GL11" s="32">
        <f>IF(GK11&lt;0,"Error",IF(GK11&lt;=InputData!$B$170,InputData!$C$170*GK11,IF(GK11&lt;=InputData!$B$171,InputData!$D$170+InputData!$C$171*(GK11-InputData!$B$170),IF(GK11&lt;=InputData!$B$172,InputData!$D$171+InputData!$C$172*(GK11-InputData!$B$171),IF(GK11&lt;=InputData!$B$173,InputData!$D$172+InputData!$C$173*(GK11-InputData!$B$172),IF(GK11&lt;=InputData!$B$174,InputData!$D$173+InputData!$C$174*(GK11-InputData!$B$173),IF(GK11&lt;=InputData!$B$175,InputData!$D$174+InputData!$C$175*(GK11-InputData!$B$174),InputData!$D$175+InputData!$C$176*(GK11-InputData!$B$175))))))))</f>
        <v>4863.9086582931914</v>
      </c>
      <c r="GM11" s="32">
        <f>IF(GH11&lt;=InputData!$C$150,InputData!$C$152,IF(GH11&lt;InputData!$C$151,IF(InputData!$C$152-0.25*IF(GH11-InputData!$C$150&lt;=0,0,GH11-InputData!$C$150)&lt;=0,0,InputData!$C$152-0.25*IF(GH11-InputData!$C$150&lt;=0,0,GH11-InputData!$C$150)),0))</f>
        <v>51900</v>
      </c>
      <c r="GN11" s="32">
        <f>IF(GH11-GM11&lt;=0,0,IF(GH11-GM11&lt;=InputData!$C$153,InputData!$C$154*(GH11-GM11),InputData!$C$155*(GH11-GM11)-InputData!$D$154))</f>
        <v>0</v>
      </c>
      <c r="GO11" s="32">
        <f t="shared" si="71"/>
        <v>4863.9086582931914</v>
      </c>
      <c r="GP11" s="32">
        <f>IF(GH11&gt;=0,IF(GH11&lt;=InputData!$C$148,InputData!$C$147*GH11,InputData!$C$147*InputData!$C$148)+InputData!$C$149*GH11,0)</f>
        <v>3473.1809157295279</v>
      </c>
      <c r="GQ11" s="32">
        <f>IF(GJ11&lt;0,0,IF(GJ11&lt;=InputData!$B$163,InputData!$C$163*GJ11,IF(GJ11&lt;=InputData!$B$164,InputData!$D$163+InputData!$C$164*(GJ11-InputData!$B$163),IF(GJ11&lt;=InputData!$B$165,InputData!$D$164+InputData!$C$165*(GJ11-InputData!$B$164),InputData!$D$165+InputData!$C$166*(GJ11-InputData!$B$165)))))</f>
        <v>0</v>
      </c>
      <c r="GR11" s="43">
        <f t="shared" si="72"/>
        <v>0.18363205599924048</v>
      </c>
      <c r="GS11" s="43">
        <f t="shared" si="73"/>
        <v>0.12911757095371013</v>
      </c>
      <c r="GT11" s="5">
        <f t="shared" si="74"/>
        <v>56232.662725698312</v>
      </c>
      <c r="GU11" s="32">
        <f>GT11/((1+InputData!$C$7)^(Ortho!$B11-Ortho!$B$7))</f>
        <v>49961.992501594294</v>
      </c>
      <c r="GV11" s="32">
        <f t="shared" si="75"/>
        <v>261213.54479899554</v>
      </c>
      <c r="GX11" s="3">
        <f t="shared" si="6"/>
        <v>1</v>
      </c>
      <c r="GY11" s="4" t="str">
        <f t="shared" si="6"/>
        <v>Internship/Residency (O3&lt;=2 = (BP+BAH+BAS+VSP)*12)</v>
      </c>
      <c r="GZ11" s="5">
        <f t="shared" si="7"/>
        <v>47226</v>
      </c>
      <c r="HA11" s="5">
        <f t="shared" si="7"/>
        <v>19939.199999999997</v>
      </c>
      <c r="HB11" s="5">
        <f t="shared" si="7"/>
        <v>67165.2</v>
      </c>
      <c r="HC11" s="5">
        <f t="shared" si="7"/>
        <v>45401.05772195461</v>
      </c>
      <c r="HD11" s="5">
        <f t="shared" si="7"/>
        <v>19168.694577766426</v>
      </c>
      <c r="HE11" s="32">
        <f>IF(HC11-InputData!$C$158-InputData!$C$159&gt;=0,HC11-InputData!$C$158-InputData!$C$159,0)</f>
        <v>45401.05772195461</v>
      </c>
      <c r="HF11" s="32">
        <f>IF(HC11-IF(HC11&lt;=InputData!$C$146,InputData!$C$145,0)-MAX(InputData!$C$144,HL11)&gt;=0,HC11-IF(HC11&lt;=InputData!$C$146,InputData!$C$145,0)-MAX(InputData!$C$144,HL11),0)</f>
        <v>35401.05772195461</v>
      </c>
      <c r="HG11" s="32">
        <f>IF(HF11&lt;0,"Error",IF(HF11&lt;=InputData!$B$170,InputData!$C$170*HF11,IF(HF11&lt;=InputData!$B$171,InputData!$D$170+InputData!$C$171*(HF11-InputData!$B$170),IF(HF11&lt;=InputData!$B$172,InputData!$D$171+InputData!$C$172*(HF11-InputData!$B$171),IF(HF11&lt;=InputData!$B$173,InputData!$D$172+InputData!$C$173*(HF11-InputData!$B$172),IF(HF11&lt;=InputData!$B$174,InputData!$D$173+InputData!$C$174*(HF11-InputData!$B$173),IF(HF11&lt;=InputData!$B$175,InputData!$D$174+InputData!$C$175*(HF11-InputData!$B$174),InputData!$D$175+InputData!$C$176*(HF11-InputData!$B$175))))))))</f>
        <v>4863.9086582931914</v>
      </c>
      <c r="HH11" s="32">
        <f>IF(HC11&lt;=InputData!$C$150,InputData!$C$152,IF(HC11&lt;InputData!$C$151,IF(InputData!$C$152-0.25*IF(HC11-InputData!$C$150&lt;=0,0,HC11-InputData!$C$150)&lt;=0,0,InputData!$C$152-0.25*IF(HC11-InputData!$C$150&lt;=0,0,HC11-InputData!$C$150)),0))</f>
        <v>51900</v>
      </c>
      <c r="HI11" s="32">
        <f>IF(HC11-HH11&lt;=0,0,IF(HC11-HH11&lt;=InputData!$C$153,InputData!$C$154*(HC11-HH11),InputData!$C$155*(HC11-HH11)-InputData!$D$154))</f>
        <v>0</v>
      </c>
      <c r="HJ11" s="32">
        <f t="shared" si="76"/>
        <v>4863.9086582931914</v>
      </c>
      <c r="HK11" s="32">
        <f>IF(HC11&gt;=0,IF(HC11&lt;=InputData!$C$148,InputData!$C$147*HC11,InputData!$C$147*InputData!$C$148)+InputData!$C$149*HC11,0)</f>
        <v>3473.1809157295279</v>
      </c>
      <c r="HL11" s="32">
        <f>IF(HE11&lt;0,0,IF(HE11&lt;=InputData!$B$163,InputData!$C$163*HE11,IF(HE11&lt;=InputData!$B$164,InputData!$D$163+InputData!$C$164*(HE11-InputData!$B$163),IF(HE11&lt;=InputData!$B$165,InputData!$D$164+InputData!$C$165*(HE11-InputData!$B$164),InputData!$D$165+InputData!$C$166*(HE11-InputData!$B$165)))))</f>
        <v>0</v>
      </c>
      <c r="HM11" s="43">
        <f t="shared" si="77"/>
        <v>0.18363205599924048</v>
      </c>
      <c r="HN11" s="43">
        <f t="shared" si="78"/>
        <v>0.12911757095371013</v>
      </c>
      <c r="HO11" s="5">
        <f t="shared" si="79"/>
        <v>56232.662725698312</v>
      </c>
      <c r="HP11" s="32">
        <f>HO11/((1+InputData!$C$7)^(Ortho!$B11-Ortho!$B$7))</f>
        <v>49961.992501594294</v>
      </c>
      <c r="HQ11" s="32">
        <f t="shared" si="80"/>
        <v>169089.82248832227</v>
      </c>
      <c r="HS11" s="93">
        <f t="shared" si="81"/>
        <v>1</v>
      </c>
      <c r="HT11" s="5" t="str">
        <f t="shared" si="82"/>
        <v>Internship/Residency (O3&lt;=2 = (BP+BAH+BAS+VSP)*12)</v>
      </c>
      <c r="HU11" s="5">
        <f t="shared" si="83"/>
        <v>47226</v>
      </c>
      <c r="HV11" s="5">
        <f t="shared" si="84"/>
        <v>19939.199999999997</v>
      </c>
      <c r="HW11" s="5">
        <f t="shared" si="85"/>
        <v>67165.2</v>
      </c>
      <c r="HX11" s="5">
        <f t="shared" si="86"/>
        <v>45401.05772195461</v>
      </c>
      <c r="HY11" s="5">
        <f t="shared" si="87"/>
        <v>19168.694577766426</v>
      </c>
      <c r="HZ11" s="32">
        <f>IF(HX11-InputData!$C$158-InputData!$C$159&gt;=0,HX11-InputData!$C$158-InputData!$C$159,0)</f>
        <v>45401.05772195461</v>
      </c>
      <c r="IA11" s="32">
        <f>IF(HX11-IF(HX11&lt;=InputData!$C$146,InputData!$C$145,0)-MAX(InputData!$C$144,IG11)&gt;=0,HX11-IF(HX11&lt;=InputData!$C$146,InputData!$C$145,0)-MAX(InputData!$C$144,IG11),0)</f>
        <v>35401.05772195461</v>
      </c>
      <c r="IB11" s="32">
        <f>IF(IA11&lt;0,"Error",IF(IA11&lt;=InputData!$B$170,InputData!$C$170*IA11,IF(IA11&lt;=InputData!$B$171,InputData!$D$170+InputData!$C$171*(IA11-InputData!$B$170),IF(IA11&lt;=InputData!$B$172,InputData!$D$171+InputData!$C$172*(IA11-InputData!$B$171),IF(IA11&lt;=InputData!$B$173,InputData!$D$172+InputData!$C$173*(IA11-InputData!$B$172),IF(IA11&lt;=InputData!$B$174,InputData!$D$173+InputData!$C$174*(IA11-InputData!$B$173),IF(IA11&lt;=InputData!$B$175,InputData!$D$174+InputData!$C$175*(IA11-InputData!$B$174),InputData!$D$175+InputData!$C$176*(IA11-InputData!$B$175))))))))</f>
        <v>4863.9086582931914</v>
      </c>
      <c r="IC11" s="32">
        <f>IF(HX11&lt;=InputData!$C$150,InputData!$C$152,IF(HX11&lt;InputData!$C$151,IF(InputData!$C$152-0.25*IF(HX11-InputData!$C$150&lt;=0,0,HX11-InputData!$C$150)&lt;=0,0,InputData!$C$152-0.25*IF(HX11-InputData!$C$150&lt;=0,0,HX11-InputData!$C$150)),0))</f>
        <v>51900</v>
      </c>
      <c r="ID11" s="32">
        <f>IF(HX11-IC11&lt;=0,0,IF(HX11-IC11&lt;=InputData!$C$153,InputData!$C$154*(HX11-IC11),InputData!$C$155*(HX11-IC11)-InputData!$D$154))</f>
        <v>0</v>
      </c>
      <c r="IE11" s="32">
        <f t="shared" si="88"/>
        <v>4863.9086582931914</v>
      </c>
      <c r="IF11" s="32">
        <f>IF(HX11&gt;=0,IF(HX11&lt;=InputData!$C$148,InputData!$C$147*HX11,InputData!$C$147*InputData!$C$148)+InputData!$C$149*HX11,0)</f>
        <v>3473.1809157295279</v>
      </c>
      <c r="IG11" s="32">
        <f>IF(HZ11&lt;0,0,IF(HZ11&lt;=InputData!$B$163,InputData!$C$163*HZ11,IF(HZ11&lt;=InputData!$B$164,InputData!$D$163+InputData!$C$164*(HZ11-InputData!$B$163),IF(HZ11&lt;=InputData!$B$165,InputData!$D$164+InputData!$C$165*(HZ11-InputData!$B$164),InputData!$D$165+InputData!$C$166*(HZ11-InputData!$B$165)))))</f>
        <v>0</v>
      </c>
      <c r="IH11" s="43">
        <f t="shared" si="89"/>
        <v>0.18363205599924048</v>
      </c>
      <c r="II11" s="43">
        <f t="shared" si="90"/>
        <v>0.12911757095371013</v>
      </c>
      <c r="IJ11" s="5">
        <f t="shared" si="91"/>
        <v>56232.662725698312</v>
      </c>
      <c r="IK11" s="32">
        <f>IJ11/((1+InputData!$C$7)^(Ortho!$B11-Ortho!$B$7))</f>
        <v>49961.992501594294</v>
      </c>
      <c r="IL11" s="5">
        <f t="shared" si="92"/>
        <v>261213.54479899554</v>
      </c>
      <c r="IN11" s="93">
        <f t="shared" si="93"/>
        <v>1</v>
      </c>
      <c r="IO11" s="5" t="str">
        <f t="shared" si="94"/>
        <v>Internship/Residency (O3&lt;=2 = (BP+BAH+BAS+VSP)*12)</v>
      </c>
      <c r="IP11" s="5">
        <f t="shared" si="8"/>
        <v>47226</v>
      </c>
      <c r="IQ11" s="5">
        <f t="shared" si="9"/>
        <v>19939.199999999997</v>
      </c>
      <c r="IR11" s="5">
        <f t="shared" si="10"/>
        <v>67165.2</v>
      </c>
      <c r="IS11" s="5">
        <f t="shared" si="11"/>
        <v>45401.05772195461</v>
      </c>
      <c r="IT11" s="5">
        <f t="shared" si="12"/>
        <v>19168.694577766426</v>
      </c>
      <c r="IU11" s="32">
        <f>IF(IS11-InputData!$C$158-InputData!$C$159&gt;=0,IS11-InputData!$C$158-InputData!$C$159,0)</f>
        <v>45401.05772195461</v>
      </c>
      <c r="IV11" s="32">
        <f>IF(IS11-IF(IS11&lt;=InputData!$C$146,InputData!$C$145,0)-MAX(InputData!$C$144,JB11)&gt;=0,IS11-IF(IS11&lt;=InputData!$C$146,InputData!$C$145,0)-MAX(InputData!$C$144,JB11),0)</f>
        <v>35401.05772195461</v>
      </c>
      <c r="IW11" s="32">
        <f>IF(IV11&lt;0,"Error",IF(IV11&lt;=InputData!$B$170,InputData!$C$170*IV11,IF(IV11&lt;=InputData!$B$171,InputData!$D$170+InputData!$C$171*(IV11-InputData!$B$170),IF(IV11&lt;=InputData!$B$172,InputData!$D$171+InputData!$C$172*(IV11-InputData!$B$171),IF(IV11&lt;=InputData!$B$173,InputData!$D$172+InputData!$C$173*(IV11-InputData!$B$172),IF(IV11&lt;=InputData!$B$174,InputData!$D$173+InputData!$C$174*(IV11-InputData!$B$173),IF(IV11&lt;=InputData!$B$175,InputData!$D$174+InputData!$C$175*(IV11-InputData!$B$174),InputData!$D$175+InputData!$C$176*(IV11-InputData!$B$175))))))))</f>
        <v>4863.9086582931914</v>
      </c>
      <c r="IX11" s="32">
        <f>IF(IS11&lt;=InputData!$C$150,InputData!$C$152,IF(IS11&lt;InputData!$C$151,IF(InputData!$C$152-0.25*IF(IS11-InputData!$C$150&lt;=0,0,IS11-InputData!$C$150)&lt;=0,0,InputData!$C$152-0.25*IF(IS11-InputData!$C$150&lt;=0,0,IS11-InputData!$C$150)),0))</f>
        <v>51900</v>
      </c>
      <c r="IY11" s="32">
        <f>IF(IS11-IX11&lt;=0,0,IF(IS11-IX11&lt;=InputData!$C$153,InputData!$C$154*(IS11-IX11),InputData!$C$155*(IS11-IX11)-InputData!$D$154))</f>
        <v>0</v>
      </c>
      <c r="IZ11" s="32">
        <f t="shared" si="95"/>
        <v>4863.9086582931914</v>
      </c>
      <c r="JA11" s="32">
        <f>IF(IS11&gt;=0,IF(IS11&lt;=InputData!$C$148,InputData!$C$147*IS11,InputData!$C$147*InputData!$C$148)+InputData!$C$149*IS11,0)</f>
        <v>3473.1809157295279</v>
      </c>
      <c r="JB11" s="32">
        <f>IF(IU11&lt;0,0,IF(IU11&lt;=InputData!$B$163,InputData!$C$163*IU11,IF(IU11&lt;=InputData!$B$164,InputData!$D$163+InputData!$C$164*(IU11-InputData!$B$163),IF(IU11&lt;=InputData!$B$165,InputData!$D$164+InputData!$C$165*(IU11-InputData!$B$164),InputData!$D$165+InputData!$C$166*(IU11-InputData!$B$165)))))</f>
        <v>0</v>
      </c>
      <c r="JC11" s="43">
        <f t="shared" si="96"/>
        <v>0.18363205599924048</v>
      </c>
      <c r="JD11" s="43">
        <f t="shared" si="97"/>
        <v>0.12911757095371013</v>
      </c>
      <c r="JE11" s="5">
        <f t="shared" si="98"/>
        <v>56232.662725698312</v>
      </c>
      <c r="JF11" s="32">
        <f>JE11/((1+InputData!$C$7)^(Ortho!$B11-Ortho!$B$7))</f>
        <v>49961.992501594294</v>
      </c>
      <c r="JG11" s="5">
        <f t="shared" si="99"/>
        <v>169089.82248832227</v>
      </c>
      <c r="JI11" s="41" t="str">
        <f t="shared" si="13"/>
        <v>Residency</v>
      </c>
      <c r="JJ11" s="5">
        <f t="shared" si="14"/>
        <v>54353.24848224</v>
      </c>
      <c r="JK11" s="32">
        <v>0</v>
      </c>
      <c r="JL11" s="32">
        <f t="shared" si="101"/>
        <v>54353.24848224</v>
      </c>
      <c r="JM11" s="32">
        <f>JM10*(1+InputData!$C$8)</f>
        <v>12437.145518400002</v>
      </c>
      <c r="JN11" s="32">
        <f>JJ11/((1+InputData!$C$3)^(Ortho!$B11-Ortho!$B$7))</f>
        <v>50214</v>
      </c>
      <c r="JO11" s="32">
        <f>JK11/((1+InputData!$C$3)^(Ortho!$B11-Ortho!$B$7))</f>
        <v>0</v>
      </c>
      <c r="JP11" s="126" t="s">
        <v>319</v>
      </c>
      <c r="JQ11" s="32">
        <v>0</v>
      </c>
      <c r="JR11" s="118">
        <f>JR10</f>
        <v>0</v>
      </c>
      <c r="JS11" s="118">
        <f>(0.5*JR10+0.5*(JU10+0.5*JR10*InputData!$C$6))*InputData!$C$6</f>
        <v>0</v>
      </c>
      <c r="JT11" s="32">
        <v>0</v>
      </c>
      <c r="JU11" s="118">
        <f>JU10+JQ11+JS11-JT11</f>
        <v>0</v>
      </c>
      <c r="JV11" s="32">
        <f>JT11/((1+InputData!$C$3)^(Ortho!$B11-Ortho!$B$7))</f>
        <v>0</v>
      </c>
      <c r="JW11" s="32">
        <f>IF(JN11-InputData!$C$158-InputData!$C$159&gt;=0,JN11-InputData!$C$158-InputData!$C$159,0)</f>
        <v>50214</v>
      </c>
      <c r="JX11" s="32">
        <f>IF(JN11-IF(JN11&lt;=InputData!$C$146,InputData!$C$145,0)-MAX(InputData!$C$144,KD11)&gt;=0,JN11-IF(JN11&lt;=InputData!$C$146,InputData!$C$145,0)-MAX(InputData!$C$144,KD11),0)</f>
        <v>40214</v>
      </c>
      <c r="JY11" s="32">
        <f>IF(JX11&lt;0,"Error",IF(JX11&lt;=InputData!$B$170,InputData!$C$170*JX11,IF(JX11&lt;=InputData!$B$171,InputData!$D$170+InputData!$C$171*(JX11-InputData!$B$170),IF(JX11&lt;=InputData!$B$172,InputData!$D$171+InputData!$C$172*(JX11-InputData!$B$171),IF(JX11&lt;=InputData!$B$173,InputData!$D$172+InputData!$C$173*(JX11-InputData!$B$172),IF(JX11&lt;=InputData!$B$174,InputData!$D$173+InputData!$C$174*(JX11-InputData!$B$173),IF(JX11&lt;=InputData!$B$175,InputData!$D$174+InputData!$C$175*(JX11-InputData!$B$174),InputData!$D$175+InputData!$C$176*(JX11-InputData!$B$175))))))))</f>
        <v>5982.25</v>
      </c>
      <c r="JZ11" s="32">
        <f>IF(JN11&lt;=InputData!$C$150,InputData!$C$152,IF(JN11&lt;InputData!$C$151,IF(InputData!$C$152-0.25*IF(JN11-InputData!$C$150&lt;=0,0,JN11-InputData!$C$150)&lt;=0,0,InputData!$C$152-0.25*IF(JN11-InputData!$C$150&lt;=0,0,JN11-InputData!$C$150)),0))</f>
        <v>51900</v>
      </c>
      <c r="KA11" s="32">
        <f>IF(JN11-JZ11&lt;=0,0,IF(JN11-JZ11&lt;=InputData!$C$153,InputData!$C$154*(JN11-JZ11),InputData!$C$155*(JN11-JZ11)-InputData!$D$154))</f>
        <v>0</v>
      </c>
      <c r="KB11" s="32">
        <f t="shared" si="102"/>
        <v>5982.25</v>
      </c>
      <c r="KC11" s="32">
        <f>IF(JN11&gt;=0,IF(JN11&lt;=InputData!$C$148,InputData!$C$147*JN11,InputData!$C$147*InputData!$C$148)+InputData!$C$149*JN11,0)</f>
        <v>3841.3710000000001</v>
      </c>
      <c r="KD11" s="32">
        <f>IF(JW11&lt;0,0,IF(JW11&lt;=InputData!$B$163,InputData!$C$163*JW11,IF(JW11&lt;=InputData!$B$164,InputData!$D$163+InputData!$C$164*(JW11-InputData!$B$163),IF(JW11&lt;=InputData!$B$165,InputData!$D$164+InputData!$C$165*(JW11-InputData!$B$164),InputData!$D$165+InputData!$C$166*(JW11-InputData!$B$165)))))</f>
        <v>0</v>
      </c>
      <c r="KE11" s="43">
        <f t="shared" si="15"/>
        <v>0.19563510176444815</v>
      </c>
      <c r="KF11" s="32">
        <f t="shared" si="16"/>
        <v>40390.379000000001</v>
      </c>
      <c r="KG11" s="32">
        <f t="shared" si="103"/>
        <v>40390.379000000001</v>
      </c>
      <c r="KH11" s="32">
        <f>KG11/((1+InputData!$C$7)^(Ortho!$B11-Ortho!$B$7))</f>
        <v>35886.328601905836</v>
      </c>
      <c r="KI11" s="5">
        <f t="shared" si="122"/>
        <v>35886.328601905836</v>
      </c>
    </row>
    <row r="12" spans="1:295" ht="14.45" x14ac:dyDescent="0.3">
      <c r="A12" s="4">
        <v>2018</v>
      </c>
      <c r="B12" s="51">
        <v>6</v>
      </c>
      <c r="C12" s="4"/>
      <c r="D12" s="3">
        <v>2</v>
      </c>
      <c r="E12" s="97" t="s">
        <v>257</v>
      </c>
      <c r="F12" s="5">
        <f>InputData!$C$24*12</f>
        <v>46026</v>
      </c>
      <c r="G12" s="5">
        <f>(InputData!$C$24+InputData!$D$45)*12</f>
        <v>51025.919999999998</v>
      </c>
      <c r="H12" s="5">
        <f>(InputData!$C$35+InputData!$C$40)*12</f>
        <v>19939.199999999997</v>
      </c>
      <c r="I12" s="5">
        <f t="shared" si="17"/>
        <v>70965.119999999995</v>
      </c>
      <c r="J12" s="5">
        <f>G12*((1+InputData!$C$5)/(1+InputData!$C$3))^(Ortho!$B12-Ortho!$B$7)</f>
        <v>48573.21545684366</v>
      </c>
      <c r="K12" s="5">
        <f>H12*((1+InputData!$C$5)/(1+InputData!$C$3))^(Ortho!$B12-Ortho!$B$7)</f>
        <v>18980.766199553032</v>
      </c>
      <c r="L12" s="32">
        <f>IF(J12-InputData!$C$158-InputData!$C$159&gt;=0,J12-InputData!$C$158-InputData!$C$159,0)</f>
        <v>48573.21545684366</v>
      </c>
      <c r="M12" s="32">
        <f>IF(J12-IF(J12&lt;=InputData!$C$146,InputData!$C$145,0)-MAX(InputData!$C$144,S12)&gt;=0,J12-IF(J12&lt;=InputData!$C$146,InputData!$C$145,0)-MAX(InputData!$C$144,S12),0)</f>
        <v>38573.21545684366</v>
      </c>
      <c r="N12" s="32">
        <f>IF(M12&lt;0,"Error",IF(M12&lt;=InputData!$B$170,InputData!$C$170*M12,IF(M12&lt;=InputData!$B$171,InputData!$D$170+InputData!$C$171*(M12-InputData!$B$170),IF(M12&lt;=InputData!$B$172,InputData!$D$171+InputData!$C$172*(M12-InputData!$B$171),IF(M12&lt;=InputData!$B$173,InputData!$D$172+InputData!$C$173*(M12-InputData!$B$172),IF(M12&lt;=InputData!$B$174,InputData!$D$173+InputData!$C$174*(M12-InputData!$B$173),IF(M12&lt;=InputData!$B$175,InputData!$D$174+InputData!$C$175*(M12-InputData!$B$174),InputData!$D$175+InputData!$C$176*(M12-InputData!$B$175))))))))</f>
        <v>5572.053864210915</v>
      </c>
      <c r="O12" s="32">
        <f>IF(J12&lt;=InputData!$C$150,InputData!$C$152,IF(J12&lt;InputData!$C$151,IF(InputData!$C$152-0.25*IF(J12-InputData!$C$150&lt;=0,0,J12-InputData!$C$150)&lt;=0,0,InputData!$C$152-0.25*IF(J12-InputData!$C$150&lt;=0,0,J12-InputData!$C$150)),0))</f>
        <v>51900</v>
      </c>
      <c r="P12" s="32">
        <f>IF(J12-O12&lt;=0,0,IF(J12-O12&lt;=InputData!$C$153,InputData!$C$154*(J12-O12),InputData!$C$155*(J12-O12)-InputData!$D$154))</f>
        <v>0</v>
      </c>
      <c r="Q12" s="32">
        <f t="shared" si="18"/>
        <v>5572.053864210915</v>
      </c>
      <c r="R12" s="32">
        <f>IF(J12&gt;=0,IF(J12&lt;=InputData!$C$148,InputData!$C$147*J12,InputData!$C$147*InputData!$C$148)+InputData!$C$149*J12,0)</f>
        <v>3715.85098244854</v>
      </c>
      <c r="S12" s="32">
        <f>IF(L12&lt;0,0,IF(L12&lt;=InputData!$B$163,InputData!$C$163*L12,IF(L12&lt;=InputData!$B$164,InputData!$D$163+InputData!$C$164*(L12-InputData!$B$163),IF(L12&lt;=InputData!$B$165,InputData!$D$164+InputData!$C$165*(L12-InputData!$B$164),InputData!$D$165+InputData!$C$166*(L12-InputData!$B$165)))))</f>
        <v>0</v>
      </c>
      <c r="T12" s="43">
        <f t="shared" si="19"/>
        <v>0.191214535815764</v>
      </c>
      <c r="U12" s="43">
        <f t="shared" si="20"/>
        <v>0.13748863677497211</v>
      </c>
      <c r="V12" s="5">
        <f t="shared" si="21"/>
        <v>58266.076809737235</v>
      </c>
      <c r="W12" s="32">
        <f>V12/((1+InputData!$C$7)^(Ortho!$B12-Ortho!$B$7))</f>
        <v>50260.829687681769</v>
      </c>
      <c r="X12" s="5">
        <f t="shared" si="104"/>
        <v>311474.37448667729</v>
      </c>
      <c r="Y12" s="53"/>
      <c r="Z12" s="3">
        <v>2</v>
      </c>
      <c r="AA12" s="97" t="s">
        <v>257</v>
      </c>
      <c r="AB12" s="5">
        <f t="shared" ref="AB12:AB30" si="126">F12</f>
        <v>46026</v>
      </c>
      <c r="AC12" s="5">
        <f t="shared" ref="AC12:AD19" si="127">G12</f>
        <v>51025.919999999998</v>
      </c>
      <c r="AD12" s="5">
        <f t="shared" si="127"/>
        <v>19939.199999999997</v>
      </c>
      <c r="AE12" s="5">
        <f t="shared" si="22"/>
        <v>70965.119999999995</v>
      </c>
      <c r="AF12" s="5">
        <f>AC12*((1+InputData!$C$5)/(1+InputData!$C$3))^(Ortho!$B12-Ortho!$B$7)</f>
        <v>48573.21545684366</v>
      </c>
      <c r="AG12" s="5">
        <f>AD12*((1+InputData!$C$5)/(1+InputData!$C$3))^(Ortho!$B12-Ortho!$B$7)</f>
        <v>18980.766199553032</v>
      </c>
      <c r="AH12" s="32">
        <f>IF(AF12-InputData!$C$158-InputData!$C$159&gt;=0,AF12-InputData!$C$158-InputData!$C$159,0)</f>
        <v>48573.21545684366</v>
      </c>
      <c r="AI12" s="32">
        <f>IF(AF12-IF(AF12&lt;=InputData!$C$146,InputData!$C$145,0)-MAX(InputData!$C$144,AO12)&gt;=0,AF12-IF(AF12&lt;=InputData!$C$146,InputData!$C$145,0)-MAX(InputData!$C$144,AO12),0)</f>
        <v>38573.21545684366</v>
      </c>
      <c r="AJ12" s="32">
        <f>IF(AI12&lt;0,"Error",IF(AI12&lt;=InputData!$B$170,InputData!$C$170*AI12,IF(AI12&lt;=InputData!$B$171,InputData!$D$170+InputData!$C$171*(AI12-InputData!$B$170),IF(AI12&lt;=InputData!$B$172,InputData!$D$171+InputData!$C$172*(AI12-InputData!$B$171),IF(AI12&lt;=InputData!$B$173,InputData!$D$172+InputData!$C$173*(AI12-InputData!$B$172),IF(AI12&lt;=InputData!$B$174,InputData!$D$173+InputData!$C$174*(AI12-InputData!$B$173),IF(AI12&lt;=InputData!$B$175,InputData!$D$174+InputData!$C$175*(AI12-InputData!$B$174),InputData!$D$175+InputData!$C$176*(AI12-InputData!$B$175))))))))</f>
        <v>5572.053864210915</v>
      </c>
      <c r="AK12" s="32">
        <f>IF(AF12&lt;=InputData!$C$150,InputData!$C$152,IF(AF12&lt;InputData!$C$151,IF(InputData!$C$152-0.25*IF(AF12-InputData!$C$150&lt;=0,0,AF12-InputData!$C$150)&lt;=0,0,InputData!$C$152-0.25*IF(AF12-InputData!$C$150&lt;=0,0,AF12-InputData!$C$150)),0))</f>
        <v>51900</v>
      </c>
      <c r="AL12" s="32">
        <f>IF(AF12-AK12&lt;=0,0,IF(AF12-AK12&lt;=InputData!$C$153,InputData!$C$154*(AF12-AK12),InputData!$C$155*(AF12-AK12)-InputData!$D$154))</f>
        <v>0</v>
      </c>
      <c r="AM12" s="32">
        <f t="shared" si="23"/>
        <v>5572.053864210915</v>
      </c>
      <c r="AN12" s="32">
        <f>IF(AF12&gt;=0,IF(AF12&lt;=InputData!$C$148,InputData!$C$147*AF12,InputData!$C$147*InputData!$C$148)+InputData!$C$149*AF12,0)</f>
        <v>3715.85098244854</v>
      </c>
      <c r="AO12" s="32">
        <f>IF(AH12&lt;0,0,IF(AH12&lt;=InputData!$B$163,InputData!$C$163*AH12,IF(AH12&lt;=InputData!$B$164,InputData!$D$163+InputData!$C$164*(AH12-InputData!$B$163),IF(AH12&lt;=InputData!$B$165,InputData!$D$164+InputData!$C$165*(AH12-InputData!$B$164),InputData!$D$165+InputData!$C$166*(AH12-InputData!$B$165)))))</f>
        <v>0</v>
      </c>
      <c r="AP12" s="43">
        <f t="shared" si="24"/>
        <v>0.191214535815764</v>
      </c>
      <c r="AQ12" s="43">
        <f t="shared" si="25"/>
        <v>0.13748863677497211</v>
      </c>
      <c r="AR12" s="5">
        <f t="shared" si="26"/>
        <v>58266.076809737235</v>
      </c>
      <c r="AS12" s="32">
        <f>AR12/((1+InputData!$C$7)^(Ortho!$B12-Ortho!$B$7))</f>
        <v>50260.829687681769</v>
      </c>
      <c r="AT12" s="5">
        <f t="shared" si="105"/>
        <v>219350.65217600405</v>
      </c>
      <c r="AU12" s="53"/>
      <c r="AV12" s="41" t="s">
        <v>1</v>
      </c>
      <c r="AW12" s="32">
        <f>AW11*(1+InputData!$C$9)</f>
        <v>57614.443391174405</v>
      </c>
      <c r="AX12" s="32">
        <v>0</v>
      </c>
      <c r="AY12" s="32">
        <f t="shared" si="28"/>
        <v>57614.443391174405</v>
      </c>
      <c r="AZ12" s="32">
        <f>AZ11*(1+InputData!$C$8)</f>
        <v>12685.888428768003</v>
      </c>
      <c r="BA12" s="32">
        <f>AW12/((1+InputData!$C$3)^(Ortho!$B12-Ortho!$B$7))</f>
        <v>52183.176470588238</v>
      </c>
      <c r="BB12" s="32">
        <f>AX12/((1+InputData!$C$3)^(Ortho!$B12-Ortho!$B$7))</f>
        <v>0</v>
      </c>
      <c r="BC12" s="32" t="s">
        <v>140</v>
      </c>
      <c r="BD12" s="32">
        <v>0</v>
      </c>
      <c r="BE12" s="118">
        <f>BH10+0.5*BE10*InputData!$C$6</f>
        <v>212416.2</v>
      </c>
      <c r="BF12" s="32">
        <f>(BE12)*InputData!$C$6</f>
        <v>13191.046020000002</v>
      </c>
      <c r="BG12" s="32">
        <v>0</v>
      </c>
      <c r="BH12" s="32">
        <f>BH11+BD12+BF12-BG12</f>
        <v>232202.76903000002</v>
      </c>
      <c r="BI12" s="32">
        <f>BG12/((1+InputData!$C$3)^(Ortho!$B12-Ortho!$B$7))</f>
        <v>0</v>
      </c>
      <c r="BJ12" s="32">
        <f>IF(BA12-InputData!$C$158-InputData!$C$159&gt;=0,BA12-InputData!$C$158-InputData!$C$159,0)</f>
        <v>52183.176470588238</v>
      </c>
      <c r="BK12" s="32">
        <f>IF(BA12-IF(BA12&lt;=InputData!$C$146,InputData!$C$145,0)-MAX(InputData!$C$144,BQ12)&gt;=0,BA12-IF(BA12&lt;=InputData!$C$146,InputData!$C$145,0)-MAX(InputData!$C$144,BQ12),0)</f>
        <v>42183.176470588238</v>
      </c>
      <c r="BL12" s="32">
        <f>IF(BK12&lt;0,"Error",IF(BK12&lt;=InputData!$B$170,InputData!$C$170*BK12,IF(BK12&lt;=InputData!$B$171,InputData!$D$170+InputData!$C$171*(BK12-InputData!$B$170),IF(BK12&lt;=InputData!$B$172,InputData!$D$171+InputData!$C$172*(BK12-InputData!$B$171),IF(BK12&lt;=InputData!$B$173,InputData!$D$172+InputData!$C$173*(BK12-InputData!$B$172),IF(BK12&lt;=InputData!$B$174,InputData!$D$173+InputData!$C$174*(BK12-InputData!$B$173),IF(BK12&lt;=InputData!$B$175,InputData!$D$174+InputData!$C$175*(BK12-InputData!$B$174),InputData!$D$175+InputData!$C$176*(BK12-InputData!$B$175))))))))</f>
        <v>6474.5441176470595</v>
      </c>
      <c r="BM12" s="32">
        <f>IF(BA12&lt;=InputData!$C$150,InputData!$C$152,IF(BA12&lt;InputData!$C$151,IF(InputData!$C$152-0.25*IF(BA12-InputData!$C$150&lt;=0,0,BA12-InputData!$C$150)&lt;=0,0,InputData!$C$152-0.25*IF(BA12-InputData!$C$150&lt;=0,0,BA12-InputData!$C$150)),0))</f>
        <v>51900</v>
      </c>
      <c r="BN12" s="32">
        <f>IF(BA12-BM12&lt;=0,0,IF(BA12-BM12&lt;=InputData!$C$153,InputData!$C$154*(BA12-BM12),InputData!$C$155*(BA12-BM12)-InputData!$D$154))</f>
        <v>73.625882352941844</v>
      </c>
      <c r="BO12" s="32">
        <f t="shared" si="29"/>
        <v>6474.5441176470595</v>
      </c>
      <c r="BP12" s="32">
        <f>IF(BA12&gt;=0,IF(BA12&lt;=InputData!$C$148,InputData!$C$147*BA12,InputData!$C$147*InputData!$C$148)+InputData!$C$149*BA12,0)</f>
        <v>3992.0129999999999</v>
      </c>
      <c r="BQ12" s="32">
        <f>IF(BJ12&lt;0,0,IF(BJ12&lt;=InputData!$B$163,InputData!$C$163*BJ12,IF(BJ12&lt;=InputData!$B$164,InputData!$D$163+InputData!$C$164*(BJ12-InputData!$B$163),IF(BJ12&lt;=InputData!$B$165,InputData!$D$164+InputData!$C$165*(BJ12-InputData!$B$164),InputData!$D$165+InputData!$C$166*(BJ12-InputData!$B$165)))))</f>
        <v>0</v>
      </c>
      <c r="BR12" s="43">
        <f t="shared" si="30"/>
        <v>0.20057339981107275</v>
      </c>
      <c r="BS12" s="32">
        <f t="shared" si="31"/>
        <v>41716.619352941183</v>
      </c>
      <c r="BT12" s="32">
        <f t="shared" si="32"/>
        <v>41716.619352941183</v>
      </c>
      <c r="BU12" s="32">
        <f>BT12/((1+InputData!$C$7)^(Ortho!$B12-Ortho!$B$7))</f>
        <v>35985.12230865749</v>
      </c>
      <c r="BV12" s="5">
        <f t="shared" si="107"/>
        <v>-118995.92937851879</v>
      </c>
      <c r="BW12" s="5"/>
      <c r="BX12" s="32" t="s">
        <v>140</v>
      </c>
      <c r="BY12" s="5">
        <f t="shared" si="33"/>
        <v>212416.2</v>
      </c>
      <c r="BZ12" s="5">
        <f t="shared" si="34"/>
        <v>13191.046020000002</v>
      </c>
      <c r="CA12" s="5">
        <v>0</v>
      </c>
      <c r="CB12" s="5">
        <f t="shared" si="35"/>
        <v>232202.76903000002</v>
      </c>
      <c r="CC12" s="32">
        <f>CA12/((1+InputData!$C$3)^(Ortho!$B12-Ortho!$B$7))</f>
        <v>0</v>
      </c>
      <c r="CD12" s="5">
        <f t="shared" si="36"/>
        <v>41716.619352941183</v>
      </c>
      <c r="CE12" s="32">
        <f>CD12/((1+InputData!$C$7)^(Ortho!$B12-Ortho!$B$7))</f>
        <v>35985.12230865749</v>
      </c>
      <c r="CF12" s="5">
        <f t="shared" si="108"/>
        <v>-118995.92937851879</v>
      </c>
      <c r="CG12" s="5"/>
      <c r="CH12" s="32" t="s">
        <v>140</v>
      </c>
      <c r="CI12" s="5">
        <f t="shared" si="37"/>
        <v>212416.2</v>
      </c>
      <c r="CJ12" s="5">
        <f t="shared" si="38"/>
        <v>13191.046020000002</v>
      </c>
      <c r="CK12" s="5">
        <v>0</v>
      </c>
      <c r="CL12" s="5">
        <f t="shared" si="39"/>
        <v>232202.76903000002</v>
      </c>
      <c r="CM12" s="32">
        <f>CK12/((1+InputData!$C$3)^(Ortho!$B12-Ortho!$B$7))</f>
        <v>0</v>
      </c>
      <c r="CN12" s="5">
        <f t="shared" si="40"/>
        <v>41716.619352941183</v>
      </c>
      <c r="CO12" s="32">
        <f>CN12/((1+InputData!$C$7)^(Ortho!$B12-Ortho!$B$7))</f>
        <v>35985.12230865749</v>
      </c>
      <c r="CP12" s="5">
        <f t="shared" si="109"/>
        <v>-118995.92937851879</v>
      </c>
      <c r="CQ12" s="5"/>
      <c r="CR12" s="32" t="s">
        <v>140</v>
      </c>
      <c r="CS12" s="5">
        <f t="shared" si="41"/>
        <v>212416.2</v>
      </c>
      <c r="CT12" s="5">
        <f t="shared" si="42"/>
        <v>13191.046020000002</v>
      </c>
      <c r="CU12" s="5">
        <v>0</v>
      </c>
      <c r="CV12" s="5">
        <f t="shared" si="43"/>
        <v>232202.76903000002</v>
      </c>
      <c r="CW12" s="32">
        <f>CU12/((1+InputData!$C$3)^(Ortho!$B12-Ortho!$B$7))</f>
        <v>0</v>
      </c>
      <c r="CX12" s="5">
        <f t="shared" si="44"/>
        <v>41716.619352941183</v>
      </c>
      <c r="CY12" s="32">
        <f>CX12/((1+InputData!$C$7)^(Ortho!$B12-Ortho!$B$7))</f>
        <v>35985.12230865749</v>
      </c>
      <c r="CZ12" s="5">
        <f t="shared" si="110"/>
        <v>-118995.92937851879</v>
      </c>
      <c r="DA12" s="5"/>
      <c r="DB12" s="32" t="s">
        <v>141</v>
      </c>
      <c r="DC12" s="5">
        <f>DF11</f>
        <v>204437.53302805533</v>
      </c>
      <c r="DD12" s="5">
        <f>DC12*InputData!$C$6</f>
        <v>12695.570801042237</v>
      </c>
      <c r="DE12" s="32">
        <f>MIN($DD$2,DC12+DD12)</f>
        <v>29148.379963889372</v>
      </c>
      <c r="DF12" s="32">
        <f>DF11+$BD12+DD12-DE12</f>
        <v>187984.72386520819</v>
      </c>
      <c r="DG12" s="32">
        <f>DE12/((1+InputData!$C$3)^(Ortho!$B12-Ortho!$B$7))</f>
        <v>26400.585789923614</v>
      </c>
      <c r="DH12" s="5">
        <f t="shared" si="48"/>
        <v>15316.033563017569</v>
      </c>
      <c r="DI12" s="32">
        <f>DH12/((1+InputData!$C$7)^(Ortho!$B12-Ortho!$B$7))</f>
        <v>13211.745093381642</v>
      </c>
      <c r="DJ12" s="5">
        <f t="shared" si="111"/>
        <v>-153732.16164497906</v>
      </c>
      <c r="DK12" s="5"/>
      <c r="DL12" s="32" t="s">
        <v>141</v>
      </c>
      <c r="DM12" s="133">
        <f>IF(0.15*($AY12-1.5*$AZ12)&lt;=$DD$2,DQ11-DO11,DQ11)</f>
        <v>212416.2</v>
      </c>
      <c r="DN12" s="5">
        <f>DM12*InputData!$C$6</f>
        <v>13191.046020000002</v>
      </c>
      <c r="DO12" s="133">
        <f>DO11+DN12-DP12</f>
        <v>8644.0978871006446</v>
      </c>
      <c r="DP12" s="32">
        <f t="shared" si="123"/>
        <v>5787.8416122033605</v>
      </c>
      <c r="DQ12" s="32">
        <f t="shared" si="124"/>
        <v>221060.29788710066</v>
      </c>
      <c r="DR12" s="32">
        <f>DP12/((1+InputData!$C$3)^(Ortho!$B12-Ortho!$B$7))</f>
        <v>5242.2264705882353</v>
      </c>
      <c r="DS12" s="5">
        <f t="shared" si="52"/>
        <v>36474.39288235295</v>
      </c>
      <c r="DT12" s="32">
        <f>DS12/((1+InputData!$C$7)^(Ortho!$B12-Ortho!$B$7))</f>
        <v>31463.131705396885</v>
      </c>
      <c r="DU12" s="5">
        <f t="shared" si="113"/>
        <v>-127913.13213476112</v>
      </c>
      <c r="DV12" s="5"/>
      <c r="DW12" s="32" t="s">
        <v>141</v>
      </c>
      <c r="DX12" s="133">
        <f>IF(0.1*($AY12-1.5*$AZ12)&lt;=$DD$2,EB11-DZ11,MIN(EB11,1.1*$DC$2))</f>
        <v>212416.2</v>
      </c>
      <c r="DY12" s="5">
        <f>DX12*InputData!$C$6</f>
        <v>13191.046020000002</v>
      </c>
      <c r="DZ12" s="133">
        <f>MAX(0,DZ11+DY12-EA12)</f>
        <v>12358.254934733763</v>
      </c>
      <c r="EA12" s="32">
        <f>IF(0.1*($AY$11-1.5*$AZ12)&lt;=$DD$2,MIN(0.1*($AY12-1.5*$AZ12),$DD$2, DX12+DY12),"DNQ")</f>
        <v>3858.5610748022405</v>
      </c>
      <c r="EB12" s="32">
        <f>EB11+$BD12+DY12-EA12</f>
        <v>224774.45493473377</v>
      </c>
      <c r="EC12" s="32">
        <f>EA12/((1+InputData!$C$3)^(Ortho!$B12-Ortho!$B$7))</f>
        <v>3494.8176470588237</v>
      </c>
      <c r="ED12" s="5">
        <f t="shared" si="56"/>
        <v>38221.801705882361</v>
      </c>
      <c r="EE12" s="32">
        <f>ED12/((1+InputData!$C$7)^(Ortho!$B12-Ortho!$B$7))</f>
        <v>32970.461906483753</v>
      </c>
      <c r="EF12" s="5">
        <f t="shared" si="115"/>
        <v>-124940.73121601369</v>
      </c>
      <c r="EG12" s="32"/>
      <c r="EH12" s="130" t="s">
        <v>140</v>
      </c>
      <c r="EI12" s="32">
        <v>0</v>
      </c>
      <c r="EJ12" s="32">
        <f t="shared" ref="EJ12:EJ15" si="128">EJ$10</f>
        <v>185472.36</v>
      </c>
      <c r="EK12" s="32">
        <f>(EJ12)*InputData!$C$6</f>
        <v>11517.833556</v>
      </c>
      <c r="EL12" s="32">
        <f t="shared" si="125"/>
        <v>237017.53846799998</v>
      </c>
      <c r="EM12" s="32">
        <f>EM11*(1+InputData!$C$8)</f>
        <v>12685.888428768003</v>
      </c>
      <c r="EN12" s="32">
        <v>0</v>
      </c>
      <c r="EO12" s="32">
        <f>AW12/((1+InputData!$C$3)^(Ortho!$B12-Ortho!$B$7))</f>
        <v>52183.176470588238</v>
      </c>
      <c r="EP12" s="32">
        <f>AX12/((1+InputData!$C$3)^(Ortho!$B12-Ortho!$B$7))</f>
        <v>0</v>
      </c>
      <c r="EQ12" s="32">
        <v>6638.3</v>
      </c>
      <c r="ER12" s="32">
        <v>3470.18</v>
      </c>
      <c r="ES12" s="32">
        <v>0</v>
      </c>
      <c r="ET12" s="43">
        <f t="shared" ref="ET12:ET36" si="129">(EQ12+ER12+ES12)/(EO12+EP12)</f>
        <v>0.19371147338448044</v>
      </c>
      <c r="EU12" s="32">
        <f t="shared" si="57"/>
        <v>42074.696470588235</v>
      </c>
      <c r="EV12" s="32">
        <f>EN12/((1+InputData!$C$3)^(Ortho!$B12-Ortho!$B$7))</f>
        <v>0</v>
      </c>
      <c r="EW12" s="32">
        <f t="shared" si="58"/>
        <v>42074.696470588235</v>
      </c>
      <c r="EX12" s="32">
        <f>EW12/((1+InputData!$C$7)^(Ortho!$B12-Ortho!$B$7))</f>
        <v>36294.002775826797</v>
      </c>
      <c r="EY12" s="5">
        <f t="shared" si="117"/>
        <v>-118386.39289071826</v>
      </c>
      <c r="EZ12" s="79"/>
      <c r="FA12" s="32">
        <f t="shared" si="59"/>
        <v>185472.36</v>
      </c>
      <c r="FB12" s="32">
        <f t="shared" si="60"/>
        <v>11517.833556</v>
      </c>
      <c r="FC12" s="32">
        <f t="shared" si="61"/>
        <v>237017.53846799998</v>
      </c>
      <c r="FD12" s="32">
        <v>0</v>
      </c>
      <c r="FE12" s="32">
        <f>FD12/((1+InputData!$C$3)^(Ortho!$B12-Ortho!$B$7))</f>
        <v>0</v>
      </c>
      <c r="FF12" s="5">
        <f t="shared" si="62"/>
        <v>42074.696470588235</v>
      </c>
      <c r="FG12" s="32">
        <f>FF12/((1+InputData!$C$7)^(Ortho!$B12-Ortho!$B$7))</f>
        <v>36294.002775826797</v>
      </c>
      <c r="FH12" s="5">
        <f t="shared" si="118"/>
        <v>-118386.39289071826</v>
      </c>
      <c r="FI12" s="79"/>
      <c r="FJ12" s="32">
        <f t="shared" si="63"/>
        <v>185472.36</v>
      </c>
      <c r="FK12" s="32">
        <f t="shared" si="64"/>
        <v>11517.833556</v>
      </c>
      <c r="FL12" s="32">
        <f t="shared" si="65"/>
        <v>237017.53846799998</v>
      </c>
      <c r="FM12" s="32">
        <v>0</v>
      </c>
      <c r="FN12" s="32">
        <f>FM12/((1+InputData!$C$3)^(Ortho!$B12-Ortho!$B$7))</f>
        <v>0</v>
      </c>
      <c r="FO12" s="5">
        <f t="shared" si="66"/>
        <v>42074.696470588235</v>
      </c>
      <c r="FP12" s="32">
        <f>FO12/((1+InputData!$C$7)^(Ortho!$B12-Ortho!$B$7))</f>
        <v>36294.002775826797</v>
      </c>
      <c r="FQ12" s="5">
        <f t="shared" si="119"/>
        <v>-118386.39289071826</v>
      </c>
      <c r="FR12" s="79"/>
      <c r="FS12" s="32">
        <f t="shared" si="67"/>
        <v>185472.36</v>
      </c>
      <c r="FT12" s="32">
        <f t="shared" si="68"/>
        <v>11517.833556</v>
      </c>
      <c r="FU12" s="32">
        <f t="shared" si="69"/>
        <v>237017.53846799998</v>
      </c>
      <c r="FV12" s="32">
        <v>0</v>
      </c>
      <c r="FW12" s="32">
        <f>FV12/((1+InputData!$C$3)^(Ortho!$B12-Ortho!$B$7))</f>
        <v>0</v>
      </c>
      <c r="FX12" s="5">
        <f t="shared" si="70"/>
        <v>42074.696470588235</v>
      </c>
      <c r="FY12" s="32">
        <f>FX12/((1+InputData!$C$7)^(Ortho!$B12-Ortho!$B$7))</f>
        <v>36294.002775826797</v>
      </c>
      <c r="FZ12" s="5">
        <f t="shared" si="120"/>
        <v>-118386.39289071826</v>
      </c>
      <c r="GC12" s="3">
        <f t="shared" si="3"/>
        <v>2</v>
      </c>
      <c r="GD12" s="4" t="str">
        <f t="shared" si="4"/>
        <v>Residency (O3&lt;=2 = (BP+BAH+BAS+VSP)*12)</v>
      </c>
      <c r="GE12" s="5">
        <f t="shared" si="5"/>
        <v>51025.919999999998</v>
      </c>
      <c r="GF12" s="5">
        <f t="shared" si="5"/>
        <v>19939.199999999997</v>
      </c>
      <c r="GG12" s="5">
        <f t="shared" si="5"/>
        <v>70965.119999999995</v>
      </c>
      <c r="GH12" s="5">
        <f t="shared" si="5"/>
        <v>48573.21545684366</v>
      </c>
      <c r="GI12" s="5">
        <f t="shared" si="5"/>
        <v>18980.766199553032</v>
      </c>
      <c r="GJ12" s="32">
        <f>IF(GH12-InputData!$C$158-InputData!$C$159&gt;=0,GH12-InputData!$C$158-InputData!$C$159,0)</f>
        <v>48573.21545684366</v>
      </c>
      <c r="GK12" s="32">
        <f>IF(GH12-IF(GH12&lt;=InputData!$C$146,InputData!$C$145,0)-MAX(InputData!$C$144,GQ12)&gt;=0,GH12-IF(GH12&lt;=InputData!$C$146,InputData!$C$145,0)-MAX(InputData!$C$144,GQ12),0)</f>
        <v>38573.21545684366</v>
      </c>
      <c r="GL12" s="32">
        <f>IF(GK12&lt;0,"Error",IF(GK12&lt;=InputData!$B$170,InputData!$C$170*GK12,IF(GK12&lt;=InputData!$B$171,InputData!$D$170+InputData!$C$171*(GK12-InputData!$B$170),IF(GK12&lt;=InputData!$B$172,InputData!$D$171+InputData!$C$172*(GK12-InputData!$B$171),IF(GK12&lt;=InputData!$B$173,InputData!$D$172+InputData!$C$173*(GK12-InputData!$B$172),IF(GK12&lt;=InputData!$B$174,InputData!$D$173+InputData!$C$174*(GK12-InputData!$B$173),IF(GK12&lt;=InputData!$B$175,InputData!$D$174+InputData!$C$175*(GK12-InputData!$B$174),InputData!$D$175+InputData!$C$176*(GK12-InputData!$B$175))))))))</f>
        <v>5572.053864210915</v>
      </c>
      <c r="GM12" s="32">
        <f>IF(GH12&lt;=InputData!$C$150,InputData!$C$152,IF(GH12&lt;InputData!$C$151,IF(InputData!$C$152-0.25*IF(GH12-InputData!$C$150&lt;=0,0,GH12-InputData!$C$150)&lt;=0,0,InputData!$C$152-0.25*IF(GH12-InputData!$C$150&lt;=0,0,GH12-InputData!$C$150)),0))</f>
        <v>51900</v>
      </c>
      <c r="GN12" s="32">
        <f>IF(GH12-GM12&lt;=0,0,IF(GH12-GM12&lt;=InputData!$C$153,InputData!$C$154*(GH12-GM12),InputData!$C$155*(GH12-GM12)-InputData!$D$154))</f>
        <v>0</v>
      </c>
      <c r="GO12" s="32">
        <f t="shared" si="71"/>
        <v>5572.053864210915</v>
      </c>
      <c r="GP12" s="32">
        <f>IF(GH12&gt;=0,IF(GH12&lt;=InputData!$C$148,InputData!$C$147*GH12,InputData!$C$147*InputData!$C$148)+InputData!$C$149*GH12,0)</f>
        <v>3715.85098244854</v>
      </c>
      <c r="GQ12" s="32">
        <f>IF(GJ12&lt;0,0,IF(GJ12&lt;=InputData!$B$163,InputData!$C$163*GJ12,IF(GJ12&lt;=InputData!$B$164,InputData!$D$163+InputData!$C$164*(GJ12-InputData!$B$163),IF(GJ12&lt;=InputData!$B$165,InputData!$D$164+InputData!$C$165*(GJ12-InputData!$B$164),InputData!$D$165+InputData!$C$166*(GJ12-InputData!$B$165)))))</f>
        <v>0</v>
      </c>
      <c r="GR12" s="43">
        <f t="shared" si="72"/>
        <v>0.191214535815764</v>
      </c>
      <c r="GS12" s="43">
        <f t="shared" si="73"/>
        <v>0.13748863677497211</v>
      </c>
      <c r="GT12" s="5">
        <f t="shared" si="74"/>
        <v>58266.076809737235</v>
      </c>
      <c r="GU12" s="32">
        <f>GT12/((1+InputData!$C$7)^(Ortho!$B12-Ortho!$B$7))</f>
        <v>50260.829687681769</v>
      </c>
      <c r="GV12" s="32">
        <f t="shared" si="75"/>
        <v>311474.37448667729</v>
      </c>
      <c r="GX12" s="3">
        <f t="shared" ref="GX12:GX30" si="130">Z12</f>
        <v>2</v>
      </c>
      <c r="GY12" s="4" t="str">
        <f t="shared" ref="GY12:GY30" si="131">AA12</f>
        <v>Residency (O3&lt;=2 = (BP+BAH+BAS+VSP)*12)</v>
      </c>
      <c r="GZ12" s="5">
        <f t="shared" ref="GZ12:GZ30" si="132">AC12</f>
        <v>51025.919999999998</v>
      </c>
      <c r="HA12" s="5">
        <f t="shared" ref="HA12:HA31" si="133">AD12</f>
        <v>19939.199999999997</v>
      </c>
      <c r="HB12" s="5">
        <f t="shared" ref="HB12:HB30" si="134">AE12</f>
        <v>70965.119999999995</v>
      </c>
      <c r="HC12" s="5">
        <f t="shared" ref="HC12:HC31" si="135">AF12</f>
        <v>48573.21545684366</v>
      </c>
      <c r="HD12" s="5">
        <f t="shared" ref="HD12:HD30" si="136">AG12</f>
        <v>18980.766199553032</v>
      </c>
      <c r="HE12" s="32">
        <f>IF(HC12-InputData!$C$158-InputData!$C$159&gt;=0,HC12-InputData!$C$158-InputData!$C$159,0)</f>
        <v>48573.21545684366</v>
      </c>
      <c r="HF12" s="32">
        <f>IF(HC12-IF(HC12&lt;=InputData!$C$146,InputData!$C$145,0)-MAX(InputData!$C$144,HL12)&gt;=0,HC12-IF(HC12&lt;=InputData!$C$146,InputData!$C$145,0)-MAX(InputData!$C$144,HL12),0)</f>
        <v>38573.21545684366</v>
      </c>
      <c r="HG12" s="32">
        <f>IF(HF12&lt;0,"Error",IF(HF12&lt;=InputData!$B$170,InputData!$C$170*HF12,IF(HF12&lt;=InputData!$B$171,InputData!$D$170+InputData!$C$171*(HF12-InputData!$B$170),IF(HF12&lt;=InputData!$B$172,InputData!$D$171+InputData!$C$172*(HF12-InputData!$B$171),IF(HF12&lt;=InputData!$B$173,InputData!$D$172+InputData!$C$173*(HF12-InputData!$B$172),IF(HF12&lt;=InputData!$B$174,InputData!$D$173+InputData!$C$174*(HF12-InputData!$B$173),IF(HF12&lt;=InputData!$B$175,InputData!$D$174+InputData!$C$175*(HF12-InputData!$B$174),InputData!$D$175+InputData!$C$176*(HF12-InputData!$B$175))))))))</f>
        <v>5572.053864210915</v>
      </c>
      <c r="HH12" s="32">
        <f>IF(HC12&lt;=InputData!$C$150,InputData!$C$152,IF(HC12&lt;InputData!$C$151,IF(InputData!$C$152-0.25*IF(HC12-InputData!$C$150&lt;=0,0,HC12-InputData!$C$150)&lt;=0,0,InputData!$C$152-0.25*IF(HC12-InputData!$C$150&lt;=0,0,HC12-InputData!$C$150)),0))</f>
        <v>51900</v>
      </c>
      <c r="HI12" s="32">
        <f>IF(HC12-HH12&lt;=0,0,IF(HC12-HH12&lt;=InputData!$C$153,InputData!$C$154*(HC12-HH12),InputData!$C$155*(HC12-HH12)-InputData!$D$154))</f>
        <v>0</v>
      </c>
      <c r="HJ12" s="32">
        <f t="shared" si="76"/>
        <v>5572.053864210915</v>
      </c>
      <c r="HK12" s="32">
        <f>IF(HC12&gt;=0,IF(HC12&lt;=InputData!$C$148,InputData!$C$147*HC12,InputData!$C$147*InputData!$C$148)+InputData!$C$149*HC12,0)</f>
        <v>3715.85098244854</v>
      </c>
      <c r="HL12" s="32">
        <f>IF(HE12&lt;0,0,IF(HE12&lt;=InputData!$B$163,InputData!$C$163*HE12,IF(HE12&lt;=InputData!$B$164,InputData!$D$163+InputData!$C$164*(HE12-InputData!$B$163),IF(HE12&lt;=InputData!$B$165,InputData!$D$164+InputData!$C$165*(HE12-InputData!$B$164),InputData!$D$165+InputData!$C$166*(HE12-InputData!$B$165)))))</f>
        <v>0</v>
      </c>
      <c r="HM12" s="43">
        <f t="shared" si="77"/>
        <v>0.191214535815764</v>
      </c>
      <c r="HN12" s="43">
        <f t="shared" si="78"/>
        <v>0.13748863677497211</v>
      </c>
      <c r="HO12" s="5">
        <f t="shared" si="79"/>
        <v>58266.076809737235</v>
      </c>
      <c r="HP12" s="32">
        <f>HO12/((1+InputData!$C$7)^(Ortho!$B12-Ortho!$B$7))</f>
        <v>50260.829687681769</v>
      </c>
      <c r="HQ12" s="32">
        <f t="shared" si="80"/>
        <v>219350.65217600405</v>
      </c>
      <c r="HS12" s="93">
        <f t="shared" si="81"/>
        <v>2</v>
      </c>
      <c r="HT12" s="5" t="str">
        <f t="shared" si="82"/>
        <v>Residency (O3&lt;=2 = (BP+BAH+BAS+VSP)*12)</v>
      </c>
      <c r="HU12" s="5">
        <f t="shared" si="83"/>
        <v>51025.919999999998</v>
      </c>
      <c r="HV12" s="5">
        <f t="shared" si="84"/>
        <v>19939.199999999997</v>
      </c>
      <c r="HW12" s="5">
        <f t="shared" si="85"/>
        <v>70965.119999999995</v>
      </c>
      <c r="HX12" s="5">
        <f t="shared" si="86"/>
        <v>48573.21545684366</v>
      </c>
      <c r="HY12" s="5">
        <f t="shared" si="87"/>
        <v>18980.766199553032</v>
      </c>
      <c r="HZ12" s="32">
        <f>IF(HX12-InputData!$C$158-InputData!$C$159&gt;=0,HX12-InputData!$C$158-InputData!$C$159,0)</f>
        <v>48573.21545684366</v>
      </c>
      <c r="IA12" s="32">
        <f>IF(HX12-IF(HX12&lt;=InputData!$C$146,InputData!$C$145,0)-MAX(InputData!$C$144,IG12)&gt;=0,HX12-IF(HX12&lt;=InputData!$C$146,InputData!$C$145,0)-MAX(InputData!$C$144,IG12),0)</f>
        <v>38573.21545684366</v>
      </c>
      <c r="IB12" s="32">
        <f>IF(IA12&lt;0,"Error",IF(IA12&lt;=InputData!$B$170,InputData!$C$170*IA12,IF(IA12&lt;=InputData!$B$171,InputData!$D$170+InputData!$C$171*(IA12-InputData!$B$170),IF(IA12&lt;=InputData!$B$172,InputData!$D$171+InputData!$C$172*(IA12-InputData!$B$171),IF(IA12&lt;=InputData!$B$173,InputData!$D$172+InputData!$C$173*(IA12-InputData!$B$172),IF(IA12&lt;=InputData!$B$174,InputData!$D$173+InputData!$C$174*(IA12-InputData!$B$173),IF(IA12&lt;=InputData!$B$175,InputData!$D$174+InputData!$C$175*(IA12-InputData!$B$174),InputData!$D$175+InputData!$C$176*(IA12-InputData!$B$175))))))))</f>
        <v>5572.053864210915</v>
      </c>
      <c r="IC12" s="32">
        <f>IF(HX12&lt;=InputData!$C$150,InputData!$C$152,IF(HX12&lt;InputData!$C$151,IF(InputData!$C$152-0.25*IF(HX12-InputData!$C$150&lt;=0,0,HX12-InputData!$C$150)&lt;=0,0,InputData!$C$152-0.25*IF(HX12-InputData!$C$150&lt;=0,0,HX12-InputData!$C$150)),0))</f>
        <v>51900</v>
      </c>
      <c r="ID12" s="32">
        <f>IF(HX12-IC12&lt;=0,0,IF(HX12-IC12&lt;=InputData!$C$153,InputData!$C$154*(HX12-IC12),InputData!$C$155*(HX12-IC12)-InputData!$D$154))</f>
        <v>0</v>
      </c>
      <c r="IE12" s="32">
        <f t="shared" si="88"/>
        <v>5572.053864210915</v>
      </c>
      <c r="IF12" s="32">
        <f>IF(HX12&gt;=0,IF(HX12&lt;=InputData!$C$148,InputData!$C$147*HX12,InputData!$C$147*InputData!$C$148)+InputData!$C$149*HX12,0)</f>
        <v>3715.85098244854</v>
      </c>
      <c r="IG12" s="32">
        <f>IF(HZ12&lt;0,0,IF(HZ12&lt;=InputData!$B$163,InputData!$C$163*HZ12,IF(HZ12&lt;=InputData!$B$164,InputData!$D$163+InputData!$C$164*(HZ12-InputData!$B$163),IF(HZ12&lt;=InputData!$B$165,InputData!$D$164+InputData!$C$165*(HZ12-InputData!$B$164),InputData!$D$165+InputData!$C$166*(HZ12-InputData!$B$165)))))</f>
        <v>0</v>
      </c>
      <c r="IH12" s="43">
        <f t="shared" si="89"/>
        <v>0.191214535815764</v>
      </c>
      <c r="II12" s="43">
        <f t="shared" si="90"/>
        <v>0.13748863677497211</v>
      </c>
      <c r="IJ12" s="5">
        <f t="shared" si="91"/>
        <v>58266.076809737235</v>
      </c>
      <c r="IK12" s="32">
        <f>IJ12/((1+InputData!$C$7)^(Ortho!$B12-Ortho!$B$7))</f>
        <v>50260.829687681769</v>
      </c>
      <c r="IL12" s="5">
        <f t="shared" si="92"/>
        <v>311474.37448667729</v>
      </c>
      <c r="IN12" s="93">
        <f t="shared" si="93"/>
        <v>2</v>
      </c>
      <c r="IO12" s="5" t="str">
        <f t="shared" si="94"/>
        <v>Residency (O3&lt;=2 = (BP+BAH+BAS+VSP)*12)</v>
      </c>
      <c r="IP12" s="5">
        <f t="shared" si="8"/>
        <v>51025.919999999998</v>
      </c>
      <c r="IQ12" s="5">
        <f t="shared" si="9"/>
        <v>19939.199999999997</v>
      </c>
      <c r="IR12" s="5">
        <f t="shared" si="10"/>
        <v>70965.119999999995</v>
      </c>
      <c r="IS12" s="5">
        <f t="shared" si="11"/>
        <v>48573.21545684366</v>
      </c>
      <c r="IT12" s="5">
        <f t="shared" si="12"/>
        <v>18980.766199553032</v>
      </c>
      <c r="IU12" s="32">
        <f>IF(IS12-InputData!$C$158-InputData!$C$159&gt;=0,IS12-InputData!$C$158-InputData!$C$159,0)</f>
        <v>48573.21545684366</v>
      </c>
      <c r="IV12" s="32">
        <f>IF(IS12-IF(IS12&lt;=InputData!$C$146,InputData!$C$145,0)-MAX(InputData!$C$144,JB12)&gt;=0,IS12-IF(IS12&lt;=InputData!$C$146,InputData!$C$145,0)-MAX(InputData!$C$144,JB12),0)</f>
        <v>38573.21545684366</v>
      </c>
      <c r="IW12" s="32">
        <f>IF(IV12&lt;0,"Error",IF(IV12&lt;=InputData!$B$170,InputData!$C$170*IV12,IF(IV12&lt;=InputData!$B$171,InputData!$D$170+InputData!$C$171*(IV12-InputData!$B$170),IF(IV12&lt;=InputData!$B$172,InputData!$D$171+InputData!$C$172*(IV12-InputData!$B$171),IF(IV12&lt;=InputData!$B$173,InputData!$D$172+InputData!$C$173*(IV12-InputData!$B$172),IF(IV12&lt;=InputData!$B$174,InputData!$D$173+InputData!$C$174*(IV12-InputData!$B$173),IF(IV12&lt;=InputData!$B$175,InputData!$D$174+InputData!$C$175*(IV12-InputData!$B$174),InputData!$D$175+InputData!$C$176*(IV12-InputData!$B$175))))))))</f>
        <v>5572.053864210915</v>
      </c>
      <c r="IX12" s="32">
        <f>IF(IS12&lt;=InputData!$C$150,InputData!$C$152,IF(IS12&lt;InputData!$C$151,IF(InputData!$C$152-0.25*IF(IS12-InputData!$C$150&lt;=0,0,IS12-InputData!$C$150)&lt;=0,0,InputData!$C$152-0.25*IF(IS12-InputData!$C$150&lt;=0,0,IS12-InputData!$C$150)),0))</f>
        <v>51900</v>
      </c>
      <c r="IY12" s="32">
        <f>IF(IS12-IX12&lt;=0,0,IF(IS12-IX12&lt;=InputData!$C$153,InputData!$C$154*(IS12-IX12),InputData!$C$155*(IS12-IX12)-InputData!$D$154))</f>
        <v>0</v>
      </c>
      <c r="IZ12" s="32">
        <f t="shared" si="95"/>
        <v>5572.053864210915</v>
      </c>
      <c r="JA12" s="32">
        <f>IF(IS12&gt;=0,IF(IS12&lt;=InputData!$C$148,InputData!$C$147*IS12,InputData!$C$147*InputData!$C$148)+InputData!$C$149*IS12,0)</f>
        <v>3715.85098244854</v>
      </c>
      <c r="JB12" s="32">
        <f>IF(IU12&lt;0,0,IF(IU12&lt;=InputData!$B$163,InputData!$C$163*IU12,IF(IU12&lt;=InputData!$B$164,InputData!$D$163+InputData!$C$164*(IU12-InputData!$B$163),IF(IU12&lt;=InputData!$B$165,InputData!$D$164+InputData!$C$165*(IU12-InputData!$B$164),InputData!$D$165+InputData!$C$166*(IU12-InputData!$B$165)))))</f>
        <v>0</v>
      </c>
      <c r="JC12" s="43">
        <f t="shared" si="96"/>
        <v>0.191214535815764</v>
      </c>
      <c r="JD12" s="43">
        <f t="shared" si="97"/>
        <v>0.13748863677497211</v>
      </c>
      <c r="JE12" s="5">
        <f t="shared" si="98"/>
        <v>58266.076809737235</v>
      </c>
      <c r="JF12" s="32">
        <f>JE12/((1+InputData!$C$7)^(Ortho!$B12-Ortho!$B$7))</f>
        <v>50260.829687681769</v>
      </c>
      <c r="JG12" s="5">
        <f t="shared" si="99"/>
        <v>219350.65217600405</v>
      </c>
      <c r="JI12" s="41" t="str">
        <f t="shared" si="13"/>
        <v>Residency</v>
      </c>
      <c r="JJ12" s="5">
        <f t="shared" si="14"/>
        <v>57614.443391174405</v>
      </c>
      <c r="JK12" s="32">
        <v>0</v>
      </c>
      <c r="JL12" s="32">
        <f t="shared" si="101"/>
        <v>57614.443391174405</v>
      </c>
      <c r="JM12" s="32">
        <f>JM11*(1+InputData!$C$8)</f>
        <v>12685.888428768003</v>
      </c>
      <c r="JN12" s="32">
        <f>JJ12/((1+InputData!$C$3)^(Ortho!$B12-Ortho!$B$7))</f>
        <v>52183.176470588238</v>
      </c>
      <c r="JO12" s="32">
        <f>JK12/((1+InputData!$C$3)^(Ortho!$B12-Ortho!$B$7))</f>
        <v>0</v>
      </c>
      <c r="JP12" s="32" t="s">
        <v>140</v>
      </c>
      <c r="JQ12" s="32">
        <v>0</v>
      </c>
      <c r="JR12" s="118">
        <f>JU10+0.5*JR10*InputData!$C$6</f>
        <v>0</v>
      </c>
      <c r="JS12" s="32">
        <f>(JR12)*InputData!$C$6</f>
        <v>0</v>
      </c>
      <c r="JT12" s="32">
        <v>0</v>
      </c>
      <c r="JU12" s="32">
        <f>JU11+JQ12+JS12-JT12</f>
        <v>0</v>
      </c>
      <c r="JV12" s="32">
        <f>JT12/((1+InputData!$C$3)^(Ortho!$B12-Ortho!$B$7))</f>
        <v>0</v>
      </c>
      <c r="JW12" s="32">
        <f>IF(JN12-InputData!$C$158-InputData!$C$159&gt;=0,JN12-InputData!$C$158-InputData!$C$159,0)</f>
        <v>52183.176470588238</v>
      </c>
      <c r="JX12" s="32">
        <f>IF(JN12-IF(JN12&lt;=InputData!$C$146,InputData!$C$145,0)-MAX(InputData!$C$144,KD12)&gt;=0,JN12-IF(JN12&lt;=InputData!$C$146,InputData!$C$145,0)-MAX(InputData!$C$144,KD12),0)</f>
        <v>42183.176470588238</v>
      </c>
      <c r="JY12" s="32">
        <f>IF(JX12&lt;0,"Error",IF(JX12&lt;=InputData!$B$170,InputData!$C$170*JX12,IF(JX12&lt;=InputData!$B$171,InputData!$D$170+InputData!$C$171*(JX12-InputData!$B$170),IF(JX12&lt;=InputData!$B$172,InputData!$D$171+InputData!$C$172*(JX12-InputData!$B$171),IF(JX12&lt;=InputData!$B$173,InputData!$D$172+InputData!$C$173*(JX12-InputData!$B$172),IF(JX12&lt;=InputData!$B$174,InputData!$D$173+InputData!$C$174*(JX12-InputData!$B$173),IF(JX12&lt;=InputData!$B$175,InputData!$D$174+InputData!$C$175*(JX12-InputData!$B$174),InputData!$D$175+InputData!$C$176*(JX12-InputData!$B$175))))))))</f>
        <v>6474.5441176470595</v>
      </c>
      <c r="JZ12" s="32">
        <f>IF(JN12&lt;=InputData!$C$150,InputData!$C$152,IF(JN12&lt;InputData!$C$151,IF(InputData!$C$152-0.25*IF(JN12-InputData!$C$150&lt;=0,0,JN12-InputData!$C$150)&lt;=0,0,InputData!$C$152-0.25*IF(JN12-InputData!$C$150&lt;=0,0,JN12-InputData!$C$150)),0))</f>
        <v>51900</v>
      </c>
      <c r="KA12" s="32">
        <f>IF(JN12-JZ12&lt;=0,0,IF(JN12-JZ12&lt;=InputData!$C$153,InputData!$C$154*(JN12-JZ12),InputData!$C$155*(JN12-JZ12)-InputData!$D$154))</f>
        <v>73.625882352941844</v>
      </c>
      <c r="KB12" s="32">
        <f t="shared" si="102"/>
        <v>6474.5441176470595</v>
      </c>
      <c r="KC12" s="32">
        <f>IF(JN12&gt;=0,IF(JN12&lt;=InputData!$C$148,InputData!$C$147*JN12,InputData!$C$147*InputData!$C$148)+InputData!$C$149*JN12,0)</f>
        <v>3992.0129999999999</v>
      </c>
      <c r="KD12" s="32">
        <f>IF(JW12&lt;0,0,IF(JW12&lt;=InputData!$B$163,InputData!$C$163*JW12,IF(JW12&lt;=InputData!$B$164,InputData!$D$163+InputData!$C$164*(JW12-InputData!$B$163),IF(JW12&lt;=InputData!$B$165,InputData!$D$164+InputData!$C$165*(JW12-InputData!$B$164),InputData!$D$165+InputData!$C$166*(JW12-InputData!$B$165)))))</f>
        <v>0</v>
      </c>
      <c r="KE12" s="43">
        <f t="shared" si="15"/>
        <v>0.20057339981107275</v>
      </c>
      <c r="KF12" s="32">
        <f t="shared" si="16"/>
        <v>41716.619352941183</v>
      </c>
      <c r="KG12" s="32">
        <f t="shared" si="103"/>
        <v>41716.619352941183</v>
      </c>
      <c r="KH12" s="32">
        <f>KG12/((1+InputData!$C$7)^(Ortho!$B12-Ortho!$B$7))</f>
        <v>35985.12230865749</v>
      </c>
      <c r="KI12" s="5">
        <f t="shared" si="122"/>
        <v>71871.450910563319</v>
      </c>
    </row>
    <row r="13" spans="1:295" ht="14.45" x14ac:dyDescent="0.3">
      <c r="A13" s="4">
        <v>2019</v>
      </c>
      <c r="B13" s="51">
        <v>7</v>
      </c>
      <c r="C13" s="4"/>
      <c r="D13" s="3">
        <v>3</v>
      </c>
      <c r="E13" s="97" t="s">
        <v>256</v>
      </c>
      <c r="F13" s="5">
        <f>InputData!$D$24*12</f>
        <v>52174.799999999996</v>
      </c>
      <c r="G13" s="5">
        <f>(InputData!$D$24+InputData!$D$45)*12</f>
        <v>57174.719999999994</v>
      </c>
      <c r="H13" s="5">
        <f>(InputData!$C$35+InputData!$C$40)*12</f>
        <v>19939.199999999997</v>
      </c>
      <c r="I13" s="5">
        <f t="shared" si="17"/>
        <v>77113.919999999984</v>
      </c>
      <c r="J13" s="5">
        <f>G13*((1+InputData!$C$5)/(1+InputData!$C$3))^(Ortho!$B13-Ortho!$B$7)</f>
        <v>53892.863362138443</v>
      </c>
      <c r="K13" s="5">
        <f>H13*((1+InputData!$C$5)/(1+InputData!$C$3))^(Ortho!$B13-Ortho!$B$7)</f>
        <v>18794.680256420157</v>
      </c>
      <c r="L13" s="32">
        <f>IF(J13-InputData!$C$158-InputData!$C$159&gt;=0,J13-InputData!$C$158-InputData!$C$159,0)</f>
        <v>53892.863362138443</v>
      </c>
      <c r="M13" s="32">
        <f>IF(J13-IF(J13&lt;=InputData!$C$146,InputData!$C$145,0)-MAX(InputData!$C$144,S13)&gt;=0,J13-IF(J13&lt;=InputData!$C$146,InputData!$C$145,0)-MAX(InputData!$C$144,S13),0)</f>
        <v>43892.863362138443</v>
      </c>
      <c r="N13" s="32">
        <f>IF(M13&lt;0,"Error",IF(M13&lt;=InputData!$B$170,InputData!$C$170*M13,IF(M13&lt;=InputData!$B$171,InputData!$D$170+InputData!$C$171*(M13-InputData!$B$170),IF(M13&lt;=InputData!$B$172,InputData!$D$171+InputData!$C$172*(M13-InputData!$B$171),IF(M13&lt;=InputData!$B$173,InputData!$D$172+InputData!$C$173*(M13-InputData!$B$172),IF(M13&lt;=InputData!$B$174,InputData!$D$173+InputData!$C$174*(M13-InputData!$B$173),IF(M13&lt;=InputData!$B$175,InputData!$D$174+InputData!$C$175*(M13-InputData!$B$174),InputData!$D$175+InputData!$C$176*(M13-InputData!$B$175))))))))</f>
        <v>6901.9658405346108</v>
      </c>
      <c r="O13" s="32">
        <f>IF(J13&lt;=InputData!$C$150,InputData!$C$152,IF(J13&lt;InputData!$C$151,IF(InputData!$C$152-0.25*IF(J13-InputData!$C$150&lt;=0,0,J13-InputData!$C$150)&lt;=0,0,InputData!$C$152-0.25*IF(J13-InputData!$C$150&lt;=0,0,J13-InputData!$C$150)),0))</f>
        <v>51900</v>
      </c>
      <c r="P13" s="32">
        <f>IF(J13-O13&lt;=0,0,IF(J13-O13&lt;=InputData!$C$153,InputData!$C$154*(J13-O13),InputData!$C$155*(J13-O13)-InputData!$D$154))</f>
        <v>518.14447415599534</v>
      </c>
      <c r="Q13" s="32">
        <f t="shared" si="18"/>
        <v>6901.9658405346108</v>
      </c>
      <c r="R13" s="32">
        <f>IF(J13&gt;=0,IF(J13&lt;=InputData!$C$148,InputData!$C$147*J13,InputData!$C$147*InputData!$C$148)+InputData!$C$149*J13,0)</f>
        <v>4122.8040472035909</v>
      </c>
      <c r="S13" s="32">
        <f>IF(L13&lt;0,0,IF(L13&lt;=InputData!$B$163,InputData!$C$163*L13,IF(L13&lt;=InputData!$B$164,InputData!$D$163+InputData!$C$164*(L13-InputData!$B$163),IF(L13&lt;=InputData!$B$165,InputData!$D$164+InputData!$C$165*(L13-InputData!$B$164),InputData!$D$165+InputData!$C$166*(L13-InputData!$B$165)))))</f>
        <v>0</v>
      </c>
      <c r="T13" s="43">
        <f t="shared" si="19"/>
        <v>0.20456827119494778</v>
      </c>
      <c r="U13" s="43">
        <f t="shared" si="20"/>
        <v>0.15167344140273514</v>
      </c>
      <c r="V13" s="5">
        <f t="shared" si="21"/>
        <v>61662.773730820394</v>
      </c>
      <c r="W13" s="32">
        <f>V13/((1+InputData!$C$7)^(Ortho!$B13-Ortho!$B$7))</f>
        <v>51641.602223008493</v>
      </c>
      <c r="X13" s="5">
        <f t="shared" si="104"/>
        <v>363115.97670968575</v>
      </c>
      <c r="Y13" s="53"/>
      <c r="Z13" s="3">
        <v>3</v>
      </c>
      <c r="AA13" s="97" t="s">
        <v>256</v>
      </c>
      <c r="AB13" s="5">
        <f t="shared" si="126"/>
        <v>52174.799999999996</v>
      </c>
      <c r="AC13" s="5">
        <f t="shared" si="127"/>
        <v>57174.719999999994</v>
      </c>
      <c r="AD13" s="5">
        <f t="shared" si="127"/>
        <v>19939.199999999997</v>
      </c>
      <c r="AE13" s="5">
        <f t="shared" si="22"/>
        <v>77113.919999999984</v>
      </c>
      <c r="AF13" s="5">
        <f>AC13*((1+InputData!$C$5)/(1+InputData!$C$3))^(Ortho!$B13-Ortho!$B$7)</f>
        <v>53892.863362138443</v>
      </c>
      <c r="AG13" s="5">
        <f>AD13*((1+InputData!$C$5)/(1+InputData!$C$3))^(Ortho!$B13-Ortho!$B$7)</f>
        <v>18794.680256420157</v>
      </c>
      <c r="AH13" s="32">
        <f>IF(AF13-InputData!$C$158-InputData!$C$159&gt;=0,AF13-InputData!$C$158-InputData!$C$159,0)</f>
        <v>53892.863362138443</v>
      </c>
      <c r="AI13" s="32">
        <f>IF(AF13-IF(AF13&lt;=InputData!$C$146,InputData!$C$145,0)-MAX(InputData!$C$144,AO13)&gt;=0,AF13-IF(AF13&lt;=InputData!$C$146,InputData!$C$145,0)-MAX(InputData!$C$144,AO13),0)</f>
        <v>43892.863362138443</v>
      </c>
      <c r="AJ13" s="32">
        <f>IF(AI13&lt;0,"Error",IF(AI13&lt;=InputData!$B$170,InputData!$C$170*AI13,IF(AI13&lt;=InputData!$B$171,InputData!$D$170+InputData!$C$171*(AI13-InputData!$B$170),IF(AI13&lt;=InputData!$B$172,InputData!$D$171+InputData!$C$172*(AI13-InputData!$B$171),IF(AI13&lt;=InputData!$B$173,InputData!$D$172+InputData!$C$173*(AI13-InputData!$B$172),IF(AI13&lt;=InputData!$B$174,InputData!$D$173+InputData!$C$174*(AI13-InputData!$B$173),IF(AI13&lt;=InputData!$B$175,InputData!$D$174+InputData!$C$175*(AI13-InputData!$B$174),InputData!$D$175+InputData!$C$176*(AI13-InputData!$B$175))))))))</f>
        <v>6901.9658405346108</v>
      </c>
      <c r="AK13" s="32">
        <f>IF(AF13&lt;=InputData!$C$150,InputData!$C$152,IF(AF13&lt;InputData!$C$151,IF(InputData!$C$152-0.25*IF(AF13-InputData!$C$150&lt;=0,0,AF13-InputData!$C$150)&lt;=0,0,InputData!$C$152-0.25*IF(AF13-InputData!$C$150&lt;=0,0,AF13-InputData!$C$150)),0))</f>
        <v>51900</v>
      </c>
      <c r="AL13" s="32">
        <f>IF(AF13-AK13&lt;=0,0,IF(AF13-AK13&lt;=InputData!$C$153,InputData!$C$154*(AF13-AK13),InputData!$C$155*(AF13-AK13)-InputData!$D$154))</f>
        <v>518.14447415599534</v>
      </c>
      <c r="AM13" s="32">
        <f t="shared" si="23"/>
        <v>6901.9658405346108</v>
      </c>
      <c r="AN13" s="32">
        <f>IF(AF13&gt;=0,IF(AF13&lt;=InputData!$C$148,InputData!$C$147*AF13,InputData!$C$147*InputData!$C$148)+InputData!$C$149*AF13,0)</f>
        <v>4122.8040472035909</v>
      </c>
      <c r="AO13" s="32">
        <f>IF(AH13&lt;0,0,IF(AH13&lt;=InputData!$B$163,InputData!$C$163*AH13,IF(AH13&lt;=InputData!$B$164,InputData!$D$163+InputData!$C$164*(AH13-InputData!$B$163),IF(AH13&lt;=InputData!$B$165,InputData!$D$164+InputData!$C$165*(AH13-InputData!$B$164),InputData!$D$165+InputData!$C$166*(AH13-InputData!$B$165)))))</f>
        <v>0</v>
      </c>
      <c r="AP13" s="43">
        <f t="shared" si="24"/>
        <v>0.20456827119494778</v>
      </c>
      <c r="AQ13" s="43">
        <f t="shared" si="25"/>
        <v>0.15167344140273514</v>
      </c>
      <c r="AR13" s="5">
        <f t="shared" si="26"/>
        <v>61662.773730820394</v>
      </c>
      <c r="AS13" s="32">
        <f>AR13/((1+InputData!$C$7)^(Ortho!$B13-Ortho!$B$7))</f>
        <v>51641.602223008493</v>
      </c>
      <c r="AT13" s="5">
        <f t="shared" si="105"/>
        <v>270992.25439901254</v>
      </c>
      <c r="AU13" s="53"/>
      <c r="AV13" s="41" t="s">
        <v>1</v>
      </c>
      <c r="AW13" s="32">
        <f>AW12*(1+InputData!$C$9)</f>
        <v>61071.309994644871</v>
      </c>
      <c r="AX13" s="32">
        <v>0</v>
      </c>
      <c r="AY13" s="32">
        <f t="shared" si="28"/>
        <v>61071.309994644871</v>
      </c>
      <c r="AZ13" s="32">
        <f>AZ12*(1+InputData!$C$8)</f>
        <v>12939.606197343363</v>
      </c>
      <c r="BA13" s="32">
        <f>AW13/((1+InputData!$C$3)^(Ortho!$B13-Ortho!$B$7))</f>
        <v>54229.57554786621</v>
      </c>
      <c r="BB13" s="32">
        <f>AX13/((1+InputData!$C$3)^(Ortho!$B13-Ortho!$B$7))</f>
        <v>0</v>
      </c>
      <c r="BC13" s="32" t="s">
        <v>140</v>
      </c>
      <c r="BD13" s="32">
        <v>0</v>
      </c>
      <c r="BE13" s="32">
        <f>$BE$12</f>
        <v>212416.2</v>
      </c>
      <c r="BF13" s="32">
        <f>(BE13)*InputData!$C$6</f>
        <v>13191.046020000002</v>
      </c>
      <c r="BG13" s="32">
        <v>0</v>
      </c>
      <c r="BH13" s="32">
        <f t="shared" ref="BH13:BH36" si="137">BH12+BD13+BF13-BG13</f>
        <v>245393.81505000003</v>
      </c>
      <c r="BI13" s="32">
        <f>BG13/((1+InputData!$C$3)^(Ortho!$B13-Ortho!$B$7))</f>
        <v>0</v>
      </c>
      <c r="BJ13" s="32">
        <f>IF(BA13-InputData!$C$158-InputData!$C$159&gt;=0,BA13-InputData!$C$158-InputData!$C$159,0)</f>
        <v>54229.57554786621</v>
      </c>
      <c r="BK13" s="32">
        <f>IF(BA13-IF(BA13&lt;=InputData!$C$146,InputData!$C$145,0)-MAX(InputData!$C$144,BQ13)&gt;=0,BA13-IF(BA13&lt;=InputData!$C$146,InputData!$C$145,0)-MAX(InputData!$C$144,BQ13),0)</f>
        <v>44229.57554786621</v>
      </c>
      <c r="BL13" s="32">
        <f>IF(BK13&lt;0,"Error",IF(BK13&lt;=InputData!$B$170,InputData!$C$170*BK13,IF(BK13&lt;=InputData!$B$171,InputData!$D$170+InputData!$C$171*(BK13-InputData!$B$170),IF(BK13&lt;=InputData!$B$172,InputData!$D$171+InputData!$C$172*(BK13-InputData!$B$171),IF(BK13&lt;=InputData!$B$173,InputData!$D$172+InputData!$C$173*(BK13-InputData!$B$172),IF(BK13&lt;=InputData!$B$174,InputData!$D$173+InputData!$C$174*(BK13-InputData!$B$173),IF(BK13&lt;=InputData!$B$175,InputData!$D$174+InputData!$C$175*(BK13-InputData!$B$174),InputData!$D$175+InputData!$C$176*(BK13-InputData!$B$175))))))))</f>
        <v>6986.1438869665526</v>
      </c>
      <c r="BM13" s="32">
        <f>IF(BA13&lt;=InputData!$C$150,InputData!$C$152,IF(BA13&lt;InputData!$C$151,IF(InputData!$C$152-0.25*IF(BA13-InputData!$C$150&lt;=0,0,BA13-InputData!$C$150)&lt;=0,0,InputData!$C$152-0.25*IF(BA13-InputData!$C$150&lt;=0,0,BA13-InputData!$C$150)),0))</f>
        <v>51900</v>
      </c>
      <c r="BN13" s="32">
        <f>IF(BA13-BM13&lt;=0,0,IF(BA13-BM13&lt;=InputData!$C$153,InputData!$C$154*(BA13-BM13),InputData!$C$155*(BA13-BM13)-InputData!$D$154))</f>
        <v>605.68964244521476</v>
      </c>
      <c r="BO13" s="32">
        <f t="shared" si="29"/>
        <v>6986.1438869665526</v>
      </c>
      <c r="BP13" s="32">
        <f>IF(BA13&gt;=0,IF(BA13&lt;=InputData!$C$148,InputData!$C$147*BA13,InputData!$C$147*InputData!$C$148)+InputData!$C$149*BA13,0)</f>
        <v>4148.5625294117654</v>
      </c>
      <c r="BQ13" s="32">
        <f>IF(BJ13&lt;0,0,IF(BJ13&lt;=InputData!$B$163,InputData!$C$163*BJ13,IF(BJ13&lt;=InputData!$B$164,InputData!$D$163+InputData!$C$164*(BJ13-InputData!$B$163),IF(BJ13&lt;=InputData!$B$165,InputData!$D$164+InputData!$C$165*(BJ13-InputData!$B$164),InputData!$D$165+InputData!$C$166*(BJ13-InputData!$B$165)))))</f>
        <v>0</v>
      </c>
      <c r="BR13" s="43">
        <f t="shared" si="30"/>
        <v>0.20532534698801341</v>
      </c>
      <c r="BS13" s="32">
        <f t="shared" si="31"/>
        <v>43094.869131487896</v>
      </c>
      <c r="BT13" s="32">
        <f t="shared" si="32"/>
        <v>43094.869131487896</v>
      </c>
      <c r="BU13" s="32">
        <f>BT13/((1+InputData!$C$7)^(Ortho!$B13-Ortho!$B$7))</f>
        <v>36091.274441463502</v>
      </c>
      <c r="BV13" s="5">
        <f t="shared" si="107"/>
        <v>-82904.654937055282</v>
      </c>
      <c r="BW13" s="5"/>
      <c r="BX13" s="32" t="s">
        <v>140</v>
      </c>
      <c r="BY13" s="5">
        <f t="shared" si="33"/>
        <v>212416.2</v>
      </c>
      <c r="BZ13" s="5">
        <f t="shared" si="34"/>
        <v>13191.046020000002</v>
      </c>
      <c r="CA13" s="5">
        <v>0</v>
      </c>
      <c r="CB13" s="5">
        <f t="shared" si="35"/>
        <v>245393.81505000003</v>
      </c>
      <c r="CC13" s="32">
        <f>CA13/((1+InputData!$C$3)^(Ortho!$B13-Ortho!$B$7))</f>
        <v>0</v>
      </c>
      <c r="CD13" s="5">
        <f t="shared" si="36"/>
        <v>43094.869131487896</v>
      </c>
      <c r="CE13" s="32">
        <f>CD13/((1+InputData!$C$7)^(Ortho!$B13-Ortho!$B$7))</f>
        <v>36091.274441463502</v>
      </c>
      <c r="CF13" s="5">
        <f t="shared" si="108"/>
        <v>-82904.654937055282</v>
      </c>
      <c r="CG13" s="5"/>
      <c r="CH13" s="32" t="s">
        <v>140</v>
      </c>
      <c r="CI13" s="5">
        <f t="shared" si="37"/>
        <v>212416.2</v>
      </c>
      <c r="CJ13" s="5">
        <f t="shared" si="38"/>
        <v>13191.046020000002</v>
      </c>
      <c r="CK13" s="5">
        <v>0</v>
      </c>
      <c r="CL13" s="5">
        <f t="shared" si="39"/>
        <v>245393.81505000003</v>
      </c>
      <c r="CM13" s="32">
        <f>CK13/((1+InputData!$C$3)^(Ortho!$B13-Ortho!$B$7))</f>
        <v>0</v>
      </c>
      <c r="CN13" s="5">
        <f t="shared" si="40"/>
        <v>43094.869131487896</v>
      </c>
      <c r="CO13" s="32">
        <f>CN13/((1+InputData!$C$7)^(Ortho!$B13-Ortho!$B$7))</f>
        <v>36091.274441463502</v>
      </c>
      <c r="CP13" s="5">
        <f t="shared" si="109"/>
        <v>-82904.654937055282</v>
      </c>
      <c r="CQ13" s="5"/>
      <c r="CR13" s="32" t="s">
        <v>140</v>
      </c>
      <c r="CS13" s="5">
        <f t="shared" si="41"/>
        <v>212416.2</v>
      </c>
      <c r="CT13" s="5">
        <f t="shared" si="42"/>
        <v>13191.046020000002</v>
      </c>
      <c r="CU13" s="5">
        <v>0</v>
      </c>
      <c r="CV13" s="5">
        <f t="shared" si="43"/>
        <v>245393.81505000003</v>
      </c>
      <c r="CW13" s="32">
        <f>CU13/((1+InputData!$C$3)^(Ortho!$B13-Ortho!$B$7))</f>
        <v>0</v>
      </c>
      <c r="CX13" s="5">
        <f t="shared" si="44"/>
        <v>43094.869131487896</v>
      </c>
      <c r="CY13" s="32">
        <f>CX13/((1+InputData!$C$7)^(Ortho!$B13-Ortho!$B$7))</f>
        <v>36091.274441463502</v>
      </c>
      <c r="CZ13" s="5">
        <f t="shared" si="110"/>
        <v>-82904.654937055282</v>
      </c>
      <c r="DA13" s="5"/>
      <c r="DB13" s="32" t="s">
        <v>141</v>
      </c>
      <c r="DC13" s="5">
        <f t="shared" ref="DC13:DC36" si="138">DF12</f>
        <v>187984.72386520819</v>
      </c>
      <c r="DD13" s="5">
        <f>DC13*InputData!$C$6</f>
        <v>11673.851352029429</v>
      </c>
      <c r="DE13" s="32">
        <f t="shared" ref="DE13:DE36" si="139">MIN($DD$2,DC13+DD13)</f>
        <v>29148.379963889372</v>
      </c>
      <c r="DF13" s="32">
        <f t="shared" ref="DF13:DF36" si="140">DF12+$BD13+DD13-DE13</f>
        <v>170510.19525334824</v>
      </c>
      <c r="DG13" s="32">
        <f>DE13/((1+InputData!$C$3)^(Ortho!$B13-Ortho!$B$7))</f>
        <v>25882.927245023151</v>
      </c>
      <c r="DH13" s="5">
        <f t="shared" si="48"/>
        <v>17211.941886464745</v>
      </c>
      <c r="DI13" s="32">
        <f>DH13/((1+InputData!$C$7)^(Ortho!$B13-Ortho!$B$7))</f>
        <v>14414.730356868184</v>
      </c>
      <c r="DJ13" s="5">
        <f t="shared" si="111"/>
        <v>-139317.43128811088</v>
      </c>
      <c r="DK13" s="5"/>
      <c r="DL13" s="32" t="s">
        <v>141</v>
      </c>
      <c r="DM13" s="133">
        <f>IF(0.15*($AY13-1.5*$AZ13)&lt;=$DD$2,DQ12-DO12,DQ12)</f>
        <v>212416.2</v>
      </c>
      <c r="DN13" s="5">
        <f>DM13*InputData!$C$6</f>
        <v>13191.046020000002</v>
      </c>
      <c r="DO13" s="133">
        <f>DO12+DN13-DP13</f>
        <v>15585.858802306171</v>
      </c>
      <c r="DP13" s="32">
        <f t="shared" si="123"/>
        <v>6249.2851047944741</v>
      </c>
      <c r="DQ13" s="32">
        <f t="shared" si="124"/>
        <v>228002.05880230619</v>
      </c>
      <c r="DR13" s="32">
        <f>DP13/((1+InputData!$C$3)^(Ortho!$B13-Ortho!$B$7))</f>
        <v>5549.186332179931</v>
      </c>
      <c r="DS13" s="5">
        <f t="shared" si="52"/>
        <v>37545.682799307964</v>
      </c>
      <c r="DT13" s="32">
        <f>DS13/((1+InputData!$C$7)^(Ortho!$B13-Ortho!$B$7))</f>
        <v>31443.9182508587</v>
      </c>
      <c r="DU13" s="5">
        <f t="shared" si="113"/>
        <v>-96469.213883902426</v>
      </c>
      <c r="DV13" s="5"/>
      <c r="DW13" s="32" t="s">
        <v>141</v>
      </c>
      <c r="DX13" s="133">
        <f t="shared" ref="DX13:DX36" si="141">IF(0.1*($AY13-1.5*$AZ13)&lt;=$DD$2,EB12-DZ12,MIN(EB12,1.1*$DC$2))</f>
        <v>212416.2</v>
      </c>
      <c r="DY13" s="5">
        <f>DX13*InputData!$C$6</f>
        <v>13191.046020000002</v>
      </c>
      <c r="DZ13" s="133">
        <f t="shared" ref="DZ13:DZ36" si="142">MAX(0,DZ12+DY13-EA13)</f>
        <v>21383.110884870781</v>
      </c>
      <c r="EA13" s="32">
        <f t="shared" ref="EA13:EA36" si="143">IF(0.1*($AY$11-1.5*$AZ13)&lt;=$DD$2,MIN(0.1*($AY13-1.5*$AZ13),$DD$2, DX13+DY13),"DNQ")</f>
        <v>4166.1900698629825</v>
      </c>
      <c r="EB13" s="32">
        <f t="shared" ref="EB13:EB36" si="144">EB12+$BD13+DY13-EA13</f>
        <v>233799.31088487079</v>
      </c>
      <c r="EC13" s="32">
        <f>EA13/((1+InputData!$C$3)^(Ortho!$B13-Ortho!$B$7))</f>
        <v>3699.4575547866202</v>
      </c>
      <c r="ED13" s="5">
        <f t="shared" si="56"/>
        <v>39395.411576701277</v>
      </c>
      <c r="EE13" s="32">
        <f>ED13/((1+InputData!$C$7)^(Ortho!$B13-Ortho!$B$7))</f>
        <v>32993.036981060301</v>
      </c>
      <c r="EF13" s="5">
        <f t="shared" si="115"/>
        <v>-91947.694234953393</v>
      </c>
      <c r="EG13" s="32"/>
      <c r="EH13" s="130" t="s">
        <v>140</v>
      </c>
      <c r="EI13" s="32">
        <v>0</v>
      </c>
      <c r="EJ13" s="32">
        <f t="shared" si="128"/>
        <v>185472.36</v>
      </c>
      <c r="EK13" s="32">
        <f>(EJ13)*InputData!$C$6</f>
        <v>11517.833556</v>
      </c>
      <c r="EL13" s="32">
        <f t="shared" si="125"/>
        <v>248535.37202399998</v>
      </c>
      <c r="EM13" s="32">
        <f>EM12*(1+InputData!$C$8)</f>
        <v>12939.606197343363</v>
      </c>
      <c r="EN13" s="32">
        <v>0</v>
      </c>
      <c r="EO13" s="32">
        <f>AW13/((1+InputData!$C$3)^(Ortho!$B13-Ortho!$B$7))</f>
        <v>54229.57554786621</v>
      </c>
      <c r="EP13" s="32">
        <f>AX13/((1+InputData!$C$3)^(Ortho!$B13-Ortho!$B$7))</f>
        <v>0</v>
      </c>
      <c r="EQ13" s="32">
        <v>7149.9</v>
      </c>
      <c r="ER13" s="32">
        <v>3606.2649999999999</v>
      </c>
      <c r="ES13" s="32">
        <v>0</v>
      </c>
      <c r="ET13" s="43">
        <f t="shared" si="129"/>
        <v>0.19834499701193448</v>
      </c>
      <c r="EU13" s="32">
        <f t="shared" si="57"/>
        <v>43473.41054786621</v>
      </c>
      <c r="EV13" s="32">
        <f>EN13/((1+InputData!$C$3)^(Ortho!$B13-Ortho!$B$7))</f>
        <v>0</v>
      </c>
      <c r="EW13" s="32">
        <f t="shared" si="58"/>
        <v>43473.41054786621</v>
      </c>
      <c r="EX13" s="32">
        <f>EW13/((1+InputData!$C$7)^(Ortho!$B13-Ortho!$B$7))</f>
        <v>36408.29691818307</v>
      </c>
      <c r="EY13" s="5">
        <f t="shared" si="117"/>
        <v>-81978.095972535186</v>
      </c>
      <c r="EZ13" s="79"/>
      <c r="FA13" s="32">
        <f t="shared" si="59"/>
        <v>185472.36</v>
      </c>
      <c r="FB13" s="32">
        <f t="shared" si="60"/>
        <v>11517.833556</v>
      </c>
      <c r="FC13" s="32">
        <f t="shared" si="61"/>
        <v>248535.37202399998</v>
      </c>
      <c r="FD13" s="32">
        <v>0</v>
      </c>
      <c r="FE13" s="32">
        <f>FD13/((1+InputData!$C$3)^(Ortho!$B13-Ortho!$B$7))</f>
        <v>0</v>
      </c>
      <c r="FF13" s="5">
        <f t="shared" si="62"/>
        <v>43473.41054786621</v>
      </c>
      <c r="FG13" s="32">
        <f>FF13/((1+InputData!$C$7)^(Ortho!$B13-Ortho!$B$7))</f>
        <v>36408.29691818307</v>
      </c>
      <c r="FH13" s="5">
        <f t="shared" si="118"/>
        <v>-81978.095972535186</v>
      </c>
      <c r="FI13" s="79"/>
      <c r="FJ13" s="32">
        <f t="shared" si="63"/>
        <v>185472.36</v>
      </c>
      <c r="FK13" s="32">
        <f t="shared" si="64"/>
        <v>11517.833556</v>
      </c>
      <c r="FL13" s="32">
        <f t="shared" si="65"/>
        <v>248535.37202399998</v>
      </c>
      <c r="FM13" s="32">
        <v>0</v>
      </c>
      <c r="FN13" s="32">
        <f>FM13/((1+InputData!$C$3)^(Ortho!$B13-Ortho!$B$7))</f>
        <v>0</v>
      </c>
      <c r="FO13" s="5">
        <f t="shared" si="66"/>
        <v>43473.41054786621</v>
      </c>
      <c r="FP13" s="32">
        <f>FO13/((1+InputData!$C$7)^(Ortho!$B13-Ortho!$B$7))</f>
        <v>36408.29691818307</v>
      </c>
      <c r="FQ13" s="5">
        <f t="shared" si="119"/>
        <v>-81978.095972535186</v>
      </c>
      <c r="FR13" s="79"/>
      <c r="FS13" s="32">
        <f t="shared" si="67"/>
        <v>185472.36</v>
      </c>
      <c r="FT13" s="32">
        <f t="shared" si="68"/>
        <v>11517.833556</v>
      </c>
      <c r="FU13" s="32">
        <f t="shared" si="69"/>
        <v>248535.37202399998</v>
      </c>
      <c r="FV13" s="32">
        <v>0</v>
      </c>
      <c r="FW13" s="32">
        <f>FV13/((1+InputData!$C$3)^(Ortho!$B13-Ortho!$B$7))</f>
        <v>0</v>
      </c>
      <c r="FX13" s="5">
        <f t="shared" si="70"/>
        <v>43473.41054786621</v>
      </c>
      <c r="FY13" s="32">
        <f>FX13/((1+InputData!$C$7)^(Ortho!$B13-Ortho!$B$7))</f>
        <v>36408.29691818307</v>
      </c>
      <c r="FZ13" s="5">
        <f t="shared" si="120"/>
        <v>-81978.095972535186</v>
      </c>
      <c r="GC13" s="3">
        <f t="shared" si="3"/>
        <v>3</v>
      </c>
      <c r="GD13" s="4" t="str">
        <f t="shared" ref="GD13:GD30" si="145">E13</f>
        <v>Residency (O3&gt;2 = (BP+BAH+BAS+VSP)*12)</v>
      </c>
      <c r="GE13" s="5">
        <f t="shared" ref="GE13:GE30" si="146">G13</f>
        <v>57174.719999999994</v>
      </c>
      <c r="GF13" s="5">
        <f t="shared" ref="GF13:GF30" si="147">H13</f>
        <v>19939.199999999997</v>
      </c>
      <c r="GG13" s="5">
        <f t="shared" ref="GG13:GG30" si="148">I13</f>
        <v>77113.919999999984</v>
      </c>
      <c r="GH13" s="5">
        <f t="shared" ref="GH13:GH30" si="149">J13</f>
        <v>53892.863362138443</v>
      </c>
      <c r="GI13" s="5">
        <f t="shared" ref="GI13:GI30" si="150">K13</f>
        <v>18794.680256420157</v>
      </c>
      <c r="GJ13" s="32">
        <f>IF(GH13-InputData!$C$158-InputData!$C$159&gt;=0,GH13-InputData!$C$158-InputData!$C$159,0)</f>
        <v>53892.863362138443</v>
      </c>
      <c r="GK13" s="32">
        <f>IF(GH13-IF(GH13&lt;=InputData!$C$146,InputData!$C$145,0)-MAX(InputData!$C$144,GQ13)&gt;=0,GH13-IF(GH13&lt;=InputData!$C$146,InputData!$C$145,0)-MAX(InputData!$C$144,GQ13),0)</f>
        <v>43892.863362138443</v>
      </c>
      <c r="GL13" s="32">
        <f>IF(GK13&lt;0,"Error",IF(GK13&lt;=InputData!$B$170,InputData!$C$170*GK13,IF(GK13&lt;=InputData!$B$171,InputData!$D$170+InputData!$C$171*(GK13-InputData!$B$170),IF(GK13&lt;=InputData!$B$172,InputData!$D$171+InputData!$C$172*(GK13-InputData!$B$171),IF(GK13&lt;=InputData!$B$173,InputData!$D$172+InputData!$C$173*(GK13-InputData!$B$172),IF(GK13&lt;=InputData!$B$174,InputData!$D$173+InputData!$C$174*(GK13-InputData!$B$173),IF(GK13&lt;=InputData!$B$175,InputData!$D$174+InputData!$C$175*(GK13-InputData!$B$174),InputData!$D$175+InputData!$C$176*(GK13-InputData!$B$175))))))))</f>
        <v>6901.9658405346108</v>
      </c>
      <c r="GM13" s="32">
        <f>IF(GH13&lt;=InputData!$C$150,InputData!$C$152,IF(GH13&lt;InputData!$C$151,IF(InputData!$C$152-0.25*IF(GH13-InputData!$C$150&lt;=0,0,GH13-InputData!$C$150)&lt;=0,0,InputData!$C$152-0.25*IF(GH13-InputData!$C$150&lt;=0,0,GH13-InputData!$C$150)),0))</f>
        <v>51900</v>
      </c>
      <c r="GN13" s="32">
        <f>IF(GH13-GM13&lt;=0,0,IF(GH13-GM13&lt;=InputData!$C$153,InputData!$C$154*(GH13-GM13),InputData!$C$155*(GH13-GM13)-InputData!$D$154))</f>
        <v>518.14447415599534</v>
      </c>
      <c r="GO13" s="32">
        <f t="shared" si="71"/>
        <v>6901.9658405346108</v>
      </c>
      <c r="GP13" s="32">
        <f>IF(GH13&gt;=0,IF(GH13&lt;=InputData!$C$148,InputData!$C$147*GH13,InputData!$C$147*InputData!$C$148)+InputData!$C$149*GH13,0)</f>
        <v>4122.8040472035909</v>
      </c>
      <c r="GQ13" s="32">
        <f>IF(GJ13&lt;0,0,IF(GJ13&lt;=InputData!$B$163,InputData!$C$163*GJ13,IF(GJ13&lt;=InputData!$B$164,InputData!$D$163+InputData!$C$164*(GJ13-InputData!$B$163),IF(GJ13&lt;=InputData!$B$165,InputData!$D$164+InputData!$C$165*(GJ13-InputData!$B$164),InputData!$D$165+InputData!$C$166*(GJ13-InputData!$B$165)))))</f>
        <v>0</v>
      </c>
      <c r="GR13" s="43">
        <f t="shared" si="72"/>
        <v>0.20456827119494778</v>
      </c>
      <c r="GS13" s="43">
        <f t="shared" si="73"/>
        <v>0.15167344140273514</v>
      </c>
      <c r="GT13" s="5">
        <f t="shared" si="74"/>
        <v>61662.773730820394</v>
      </c>
      <c r="GU13" s="32">
        <f>GT13/((1+InputData!$C$7)^(Ortho!$B13-Ortho!$B$7))</f>
        <v>51641.602223008493</v>
      </c>
      <c r="GV13" s="32">
        <f t="shared" si="75"/>
        <v>363115.97670968575</v>
      </c>
      <c r="GX13" s="3">
        <f t="shared" si="130"/>
        <v>3</v>
      </c>
      <c r="GY13" s="4" t="str">
        <f t="shared" si="131"/>
        <v>Residency (O3&gt;2 = (BP+BAH+BAS+VSP)*12)</v>
      </c>
      <c r="GZ13" s="5">
        <f t="shared" si="132"/>
        <v>57174.719999999994</v>
      </c>
      <c r="HA13" s="5">
        <f t="shared" si="133"/>
        <v>19939.199999999997</v>
      </c>
      <c r="HB13" s="5">
        <f t="shared" si="134"/>
        <v>77113.919999999984</v>
      </c>
      <c r="HC13" s="5">
        <f t="shared" si="135"/>
        <v>53892.863362138443</v>
      </c>
      <c r="HD13" s="5">
        <f t="shared" si="136"/>
        <v>18794.680256420157</v>
      </c>
      <c r="HE13" s="32">
        <f>IF(HC13-InputData!$C$158-InputData!$C$159&gt;=0,HC13-InputData!$C$158-InputData!$C$159,0)</f>
        <v>53892.863362138443</v>
      </c>
      <c r="HF13" s="32">
        <f>IF(HC13-IF(HC13&lt;=InputData!$C$146,InputData!$C$145,0)-MAX(InputData!$C$144,HL13)&gt;=0,HC13-IF(HC13&lt;=InputData!$C$146,InputData!$C$145,0)-MAX(InputData!$C$144,HL13),0)</f>
        <v>43892.863362138443</v>
      </c>
      <c r="HG13" s="32">
        <f>IF(HF13&lt;0,"Error",IF(HF13&lt;=InputData!$B$170,InputData!$C$170*HF13,IF(HF13&lt;=InputData!$B$171,InputData!$D$170+InputData!$C$171*(HF13-InputData!$B$170),IF(HF13&lt;=InputData!$B$172,InputData!$D$171+InputData!$C$172*(HF13-InputData!$B$171),IF(HF13&lt;=InputData!$B$173,InputData!$D$172+InputData!$C$173*(HF13-InputData!$B$172),IF(HF13&lt;=InputData!$B$174,InputData!$D$173+InputData!$C$174*(HF13-InputData!$B$173),IF(HF13&lt;=InputData!$B$175,InputData!$D$174+InputData!$C$175*(HF13-InputData!$B$174),InputData!$D$175+InputData!$C$176*(HF13-InputData!$B$175))))))))</f>
        <v>6901.9658405346108</v>
      </c>
      <c r="HH13" s="32">
        <f>IF(HC13&lt;=InputData!$C$150,InputData!$C$152,IF(HC13&lt;InputData!$C$151,IF(InputData!$C$152-0.25*IF(HC13-InputData!$C$150&lt;=0,0,HC13-InputData!$C$150)&lt;=0,0,InputData!$C$152-0.25*IF(HC13-InputData!$C$150&lt;=0,0,HC13-InputData!$C$150)),0))</f>
        <v>51900</v>
      </c>
      <c r="HI13" s="32">
        <f>IF(HC13-HH13&lt;=0,0,IF(HC13-HH13&lt;=InputData!$C$153,InputData!$C$154*(HC13-HH13),InputData!$C$155*(HC13-HH13)-InputData!$D$154))</f>
        <v>518.14447415599534</v>
      </c>
      <c r="HJ13" s="32">
        <f t="shared" si="76"/>
        <v>6901.9658405346108</v>
      </c>
      <c r="HK13" s="32">
        <f>IF(HC13&gt;=0,IF(HC13&lt;=InputData!$C$148,InputData!$C$147*HC13,InputData!$C$147*InputData!$C$148)+InputData!$C$149*HC13,0)</f>
        <v>4122.8040472035909</v>
      </c>
      <c r="HL13" s="32">
        <f>IF(HE13&lt;0,0,IF(HE13&lt;=InputData!$B$163,InputData!$C$163*HE13,IF(HE13&lt;=InputData!$B$164,InputData!$D$163+InputData!$C$164*(HE13-InputData!$B$163),IF(HE13&lt;=InputData!$B$165,InputData!$D$164+InputData!$C$165*(HE13-InputData!$B$164),InputData!$D$165+InputData!$C$166*(HE13-InputData!$B$165)))))</f>
        <v>0</v>
      </c>
      <c r="HM13" s="43">
        <f t="shared" si="77"/>
        <v>0.20456827119494778</v>
      </c>
      <c r="HN13" s="43">
        <f t="shared" si="78"/>
        <v>0.15167344140273514</v>
      </c>
      <c r="HO13" s="5">
        <f t="shared" si="79"/>
        <v>61662.773730820394</v>
      </c>
      <c r="HP13" s="32">
        <f>HO13/((1+InputData!$C$7)^(Ortho!$B13-Ortho!$B$7))</f>
        <v>51641.602223008493</v>
      </c>
      <c r="HQ13" s="32">
        <f t="shared" si="80"/>
        <v>270992.25439901254</v>
      </c>
      <c r="HS13" s="93">
        <f t="shared" si="81"/>
        <v>3</v>
      </c>
      <c r="HT13" s="5" t="str">
        <f t="shared" si="82"/>
        <v>Residency (O3&gt;2 = (BP+BAH+BAS+VSP)*12)</v>
      </c>
      <c r="HU13" s="5">
        <f t="shared" si="83"/>
        <v>57174.719999999994</v>
      </c>
      <c r="HV13" s="5">
        <f t="shared" si="84"/>
        <v>19939.199999999997</v>
      </c>
      <c r="HW13" s="5">
        <f t="shared" si="85"/>
        <v>77113.919999999984</v>
      </c>
      <c r="HX13" s="5">
        <f t="shared" si="86"/>
        <v>53892.863362138443</v>
      </c>
      <c r="HY13" s="5">
        <f t="shared" si="87"/>
        <v>18794.680256420157</v>
      </c>
      <c r="HZ13" s="32">
        <f>IF(HX13-InputData!$C$158-InputData!$C$159&gt;=0,HX13-InputData!$C$158-InputData!$C$159,0)</f>
        <v>53892.863362138443</v>
      </c>
      <c r="IA13" s="32">
        <f>IF(HX13-IF(HX13&lt;=InputData!$C$146,InputData!$C$145,0)-MAX(InputData!$C$144,IG13)&gt;=0,HX13-IF(HX13&lt;=InputData!$C$146,InputData!$C$145,0)-MAX(InputData!$C$144,IG13),0)</f>
        <v>43892.863362138443</v>
      </c>
      <c r="IB13" s="32">
        <f>IF(IA13&lt;0,"Error",IF(IA13&lt;=InputData!$B$170,InputData!$C$170*IA13,IF(IA13&lt;=InputData!$B$171,InputData!$D$170+InputData!$C$171*(IA13-InputData!$B$170),IF(IA13&lt;=InputData!$B$172,InputData!$D$171+InputData!$C$172*(IA13-InputData!$B$171),IF(IA13&lt;=InputData!$B$173,InputData!$D$172+InputData!$C$173*(IA13-InputData!$B$172),IF(IA13&lt;=InputData!$B$174,InputData!$D$173+InputData!$C$174*(IA13-InputData!$B$173),IF(IA13&lt;=InputData!$B$175,InputData!$D$174+InputData!$C$175*(IA13-InputData!$B$174),InputData!$D$175+InputData!$C$176*(IA13-InputData!$B$175))))))))</f>
        <v>6901.9658405346108</v>
      </c>
      <c r="IC13" s="32">
        <f>IF(HX13&lt;=InputData!$C$150,InputData!$C$152,IF(HX13&lt;InputData!$C$151,IF(InputData!$C$152-0.25*IF(HX13-InputData!$C$150&lt;=0,0,HX13-InputData!$C$150)&lt;=0,0,InputData!$C$152-0.25*IF(HX13-InputData!$C$150&lt;=0,0,HX13-InputData!$C$150)),0))</f>
        <v>51900</v>
      </c>
      <c r="ID13" s="32">
        <f>IF(HX13-IC13&lt;=0,0,IF(HX13-IC13&lt;=InputData!$C$153,InputData!$C$154*(HX13-IC13),InputData!$C$155*(HX13-IC13)-InputData!$D$154))</f>
        <v>518.14447415599534</v>
      </c>
      <c r="IE13" s="32">
        <f t="shared" si="88"/>
        <v>6901.9658405346108</v>
      </c>
      <c r="IF13" s="32">
        <f>IF(HX13&gt;=0,IF(HX13&lt;=InputData!$C$148,InputData!$C$147*HX13,InputData!$C$147*InputData!$C$148)+InputData!$C$149*HX13,0)</f>
        <v>4122.8040472035909</v>
      </c>
      <c r="IG13" s="32">
        <f>IF(HZ13&lt;0,0,IF(HZ13&lt;=InputData!$B$163,InputData!$C$163*HZ13,IF(HZ13&lt;=InputData!$B$164,InputData!$D$163+InputData!$C$164*(HZ13-InputData!$B$163),IF(HZ13&lt;=InputData!$B$165,InputData!$D$164+InputData!$C$165*(HZ13-InputData!$B$164),InputData!$D$165+InputData!$C$166*(HZ13-InputData!$B$165)))))</f>
        <v>0</v>
      </c>
      <c r="IH13" s="43">
        <f t="shared" si="89"/>
        <v>0.20456827119494778</v>
      </c>
      <c r="II13" s="43">
        <f t="shared" si="90"/>
        <v>0.15167344140273514</v>
      </c>
      <c r="IJ13" s="5">
        <f t="shared" si="91"/>
        <v>61662.773730820394</v>
      </c>
      <c r="IK13" s="32">
        <f>IJ13/((1+InputData!$C$7)^(Ortho!$B13-Ortho!$B$7))</f>
        <v>51641.602223008493</v>
      </c>
      <c r="IL13" s="5">
        <f t="shared" si="92"/>
        <v>363115.97670968575</v>
      </c>
      <c r="IN13" s="93">
        <f t="shared" si="93"/>
        <v>3</v>
      </c>
      <c r="IO13" s="5" t="str">
        <f t="shared" si="94"/>
        <v>Residency (O3&gt;2 = (BP+BAH+BAS+VSP)*12)</v>
      </c>
      <c r="IP13" s="5">
        <f t="shared" si="8"/>
        <v>57174.719999999994</v>
      </c>
      <c r="IQ13" s="5">
        <f t="shared" si="9"/>
        <v>19939.199999999997</v>
      </c>
      <c r="IR13" s="5">
        <f t="shared" si="10"/>
        <v>77113.919999999984</v>
      </c>
      <c r="IS13" s="5">
        <f t="shared" si="11"/>
        <v>53892.863362138443</v>
      </c>
      <c r="IT13" s="5">
        <f t="shared" si="12"/>
        <v>18794.680256420157</v>
      </c>
      <c r="IU13" s="32">
        <f>IF(IS13-InputData!$C$158-InputData!$C$159&gt;=0,IS13-InputData!$C$158-InputData!$C$159,0)</f>
        <v>53892.863362138443</v>
      </c>
      <c r="IV13" s="32">
        <f>IF(IS13-IF(IS13&lt;=InputData!$C$146,InputData!$C$145,0)-MAX(InputData!$C$144,JB13)&gt;=0,IS13-IF(IS13&lt;=InputData!$C$146,InputData!$C$145,0)-MAX(InputData!$C$144,JB13),0)</f>
        <v>43892.863362138443</v>
      </c>
      <c r="IW13" s="32">
        <f>IF(IV13&lt;0,"Error",IF(IV13&lt;=InputData!$B$170,InputData!$C$170*IV13,IF(IV13&lt;=InputData!$B$171,InputData!$D$170+InputData!$C$171*(IV13-InputData!$B$170),IF(IV13&lt;=InputData!$B$172,InputData!$D$171+InputData!$C$172*(IV13-InputData!$B$171),IF(IV13&lt;=InputData!$B$173,InputData!$D$172+InputData!$C$173*(IV13-InputData!$B$172),IF(IV13&lt;=InputData!$B$174,InputData!$D$173+InputData!$C$174*(IV13-InputData!$B$173),IF(IV13&lt;=InputData!$B$175,InputData!$D$174+InputData!$C$175*(IV13-InputData!$B$174),InputData!$D$175+InputData!$C$176*(IV13-InputData!$B$175))))))))</f>
        <v>6901.9658405346108</v>
      </c>
      <c r="IX13" s="32">
        <f>IF(IS13&lt;=InputData!$C$150,InputData!$C$152,IF(IS13&lt;InputData!$C$151,IF(InputData!$C$152-0.25*IF(IS13-InputData!$C$150&lt;=0,0,IS13-InputData!$C$150)&lt;=0,0,InputData!$C$152-0.25*IF(IS13-InputData!$C$150&lt;=0,0,IS13-InputData!$C$150)),0))</f>
        <v>51900</v>
      </c>
      <c r="IY13" s="32">
        <f>IF(IS13-IX13&lt;=0,0,IF(IS13-IX13&lt;=InputData!$C$153,InputData!$C$154*(IS13-IX13),InputData!$C$155*(IS13-IX13)-InputData!$D$154))</f>
        <v>518.14447415599534</v>
      </c>
      <c r="IZ13" s="32">
        <f t="shared" si="95"/>
        <v>6901.9658405346108</v>
      </c>
      <c r="JA13" s="32">
        <f>IF(IS13&gt;=0,IF(IS13&lt;=InputData!$C$148,InputData!$C$147*IS13,InputData!$C$147*InputData!$C$148)+InputData!$C$149*IS13,0)</f>
        <v>4122.8040472035909</v>
      </c>
      <c r="JB13" s="32">
        <f>IF(IU13&lt;0,0,IF(IU13&lt;=InputData!$B$163,InputData!$C$163*IU13,IF(IU13&lt;=InputData!$B$164,InputData!$D$163+InputData!$C$164*(IU13-InputData!$B$163),IF(IU13&lt;=InputData!$B$165,InputData!$D$164+InputData!$C$165*(IU13-InputData!$B$164),InputData!$D$165+InputData!$C$166*(IU13-InputData!$B$165)))))</f>
        <v>0</v>
      </c>
      <c r="JC13" s="43">
        <f t="shared" si="96"/>
        <v>0.20456827119494778</v>
      </c>
      <c r="JD13" s="43">
        <f t="shared" si="97"/>
        <v>0.15167344140273514</v>
      </c>
      <c r="JE13" s="5">
        <f t="shared" si="98"/>
        <v>61662.773730820394</v>
      </c>
      <c r="JF13" s="32">
        <f>JE13/((1+InputData!$C$7)^(Ortho!$B13-Ortho!$B$7))</f>
        <v>51641.602223008493</v>
      </c>
      <c r="JG13" s="5">
        <f t="shared" si="99"/>
        <v>270992.25439901254</v>
      </c>
      <c r="JI13" s="41" t="str">
        <f t="shared" si="13"/>
        <v>Residency</v>
      </c>
      <c r="JJ13" s="5">
        <f t="shared" si="14"/>
        <v>61071.309994644871</v>
      </c>
      <c r="JK13" s="32">
        <v>0</v>
      </c>
      <c r="JL13" s="32">
        <f t="shared" si="101"/>
        <v>61071.309994644871</v>
      </c>
      <c r="JM13" s="32">
        <f>JM12*(1+InputData!$C$8)</f>
        <v>12939.606197343363</v>
      </c>
      <c r="JN13" s="32">
        <f>JJ13/((1+InputData!$C$3)^(Ortho!$B13-Ortho!$B$7))</f>
        <v>54229.57554786621</v>
      </c>
      <c r="JO13" s="32">
        <f>JK13/((1+InputData!$C$3)^(Ortho!$B13-Ortho!$B$7))</f>
        <v>0</v>
      </c>
      <c r="JP13" s="32" t="s">
        <v>140</v>
      </c>
      <c r="JQ13" s="32">
        <v>0</v>
      </c>
      <c r="JR13" s="32">
        <f>JR12</f>
        <v>0</v>
      </c>
      <c r="JS13" s="32">
        <f>(JR13)*InputData!$C$6</f>
        <v>0</v>
      </c>
      <c r="JT13" s="32">
        <v>0</v>
      </c>
      <c r="JU13" s="32">
        <f t="shared" ref="JU13:JU36" si="151">JU12+JQ13+JS13-JT13</f>
        <v>0</v>
      </c>
      <c r="JV13" s="32">
        <f>JT13/((1+InputData!$C$3)^(Ortho!$B13-Ortho!$B$7))</f>
        <v>0</v>
      </c>
      <c r="JW13" s="32">
        <f>IF(JN13-InputData!$C$158-InputData!$C$159&gt;=0,JN13-InputData!$C$158-InputData!$C$159,0)</f>
        <v>54229.57554786621</v>
      </c>
      <c r="JX13" s="32">
        <f>IF(JN13-IF(JN13&lt;=InputData!$C$146,InputData!$C$145,0)-MAX(InputData!$C$144,KD13)&gt;=0,JN13-IF(JN13&lt;=InputData!$C$146,InputData!$C$145,0)-MAX(InputData!$C$144,KD13),0)</f>
        <v>44229.57554786621</v>
      </c>
      <c r="JY13" s="32">
        <f>IF(JX13&lt;0,"Error",IF(JX13&lt;=InputData!$B$170,InputData!$C$170*JX13,IF(JX13&lt;=InputData!$B$171,InputData!$D$170+InputData!$C$171*(JX13-InputData!$B$170),IF(JX13&lt;=InputData!$B$172,InputData!$D$171+InputData!$C$172*(JX13-InputData!$B$171),IF(JX13&lt;=InputData!$B$173,InputData!$D$172+InputData!$C$173*(JX13-InputData!$B$172),IF(JX13&lt;=InputData!$B$174,InputData!$D$173+InputData!$C$174*(JX13-InputData!$B$173),IF(JX13&lt;=InputData!$B$175,InputData!$D$174+InputData!$C$175*(JX13-InputData!$B$174),InputData!$D$175+InputData!$C$176*(JX13-InputData!$B$175))))))))</f>
        <v>6986.1438869665526</v>
      </c>
      <c r="JZ13" s="32">
        <f>IF(JN13&lt;=InputData!$C$150,InputData!$C$152,IF(JN13&lt;InputData!$C$151,IF(InputData!$C$152-0.25*IF(JN13-InputData!$C$150&lt;=0,0,JN13-InputData!$C$150)&lt;=0,0,InputData!$C$152-0.25*IF(JN13-InputData!$C$150&lt;=0,0,JN13-InputData!$C$150)),0))</f>
        <v>51900</v>
      </c>
      <c r="KA13" s="32">
        <f>IF(JN13-JZ13&lt;=0,0,IF(JN13-JZ13&lt;=InputData!$C$153,InputData!$C$154*(JN13-JZ13),InputData!$C$155*(JN13-JZ13)-InputData!$D$154))</f>
        <v>605.68964244521476</v>
      </c>
      <c r="KB13" s="32">
        <f t="shared" si="102"/>
        <v>6986.1438869665526</v>
      </c>
      <c r="KC13" s="32">
        <f>IF(JN13&gt;=0,IF(JN13&lt;=InputData!$C$148,InputData!$C$147*JN13,InputData!$C$147*InputData!$C$148)+InputData!$C$149*JN13,0)</f>
        <v>4148.5625294117654</v>
      </c>
      <c r="KD13" s="32">
        <f>IF(JW13&lt;0,0,IF(JW13&lt;=InputData!$B$163,InputData!$C$163*JW13,IF(JW13&lt;=InputData!$B$164,InputData!$D$163+InputData!$C$164*(JW13-InputData!$B$163),IF(JW13&lt;=InputData!$B$165,InputData!$D$164+InputData!$C$165*(JW13-InputData!$B$164),InputData!$D$165+InputData!$C$166*(JW13-InputData!$B$165)))))</f>
        <v>0</v>
      </c>
      <c r="KE13" s="43">
        <f t="shared" si="15"/>
        <v>0.20532534698801341</v>
      </c>
      <c r="KF13" s="32">
        <f t="shared" si="16"/>
        <v>43094.869131487896</v>
      </c>
      <c r="KG13" s="32">
        <f t="shared" si="103"/>
        <v>43094.869131487896</v>
      </c>
      <c r="KH13" s="32">
        <f>KG13/((1+InputData!$C$7)^(Ortho!$B13-Ortho!$B$7))</f>
        <v>36091.274441463502</v>
      </c>
      <c r="KI13" s="5">
        <f t="shared" si="122"/>
        <v>107962.72535202681</v>
      </c>
    </row>
    <row r="14" spans="1:295" ht="14.45" x14ac:dyDescent="0.3">
      <c r="A14" s="4">
        <v>2020</v>
      </c>
      <c r="B14" s="51">
        <v>8</v>
      </c>
      <c r="C14" s="4"/>
      <c r="D14" s="3">
        <v>4</v>
      </c>
      <c r="E14" s="4" t="s">
        <v>274</v>
      </c>
      <c r="F14" s="5">
        <f>InputData!$E$24*12</f>
        <v>56314.799999999996</v>
      </c>
      <c r="G14" s="32">
        <f>(InputData!$E$24+InputData!$D$45)*12</f>
        <v>61314.719999999994</v>
      </c>
      <c r="H14" s="32">
        <f>(InputData!$C$35+InputData!$C$40)*12</f>
        <v>19939.199999999997</v>
      </c>
      <c r="I14" s="32">
        <f t="shared" si="17"/>
        <v>81253.919999999984</v>
      </c>
      <c r="J14" s="32">
        <f>G14*((1+InputData!$C$5)/(1+InputData!$C$3))^(Ortho!$B14-Ortho!$B$7)</f>
        <v>57228.605499249563</v>
      </c>
      <c r="K14" s="32">
        <f>H14*((1+InputData!$C$5)/(1+InputData!$C$3))^(Ortho!$B14-Ortho!$B$7)</f>
        <v>18610.418685278786</v>
      </c>
      <c r="L14" s="32">
        <f>IF(J14-InputData!$C$158-InputData!$C$159&gt;=0,J14-InputData!$C$158-InputData!$C$159,0)</f>
        <v>57228.605499249563</v>
      </c>
      <c r="M14" s="32">
        <f>IF(J14-IF(J14&lt;=InputData!$C$146,InputData!$C$145,0)-MAX(InputData!$C$144,S14)&gt;=0,J14-IF(J14&lt;=InputData!$C$146,InputData!$C$145,0)-MAX(InputData!$C$144,S14),0)</f>
        <v>47228.605499249563</v>
      </c>
      <c r="N14" s="32">
        <f>IF(M14&lt;0,"Error",IF(M14&lt;=InputData!$B$170,InputData!$C$170*M14,IF(M14&lt;=InputData!$B$171,InputData!$D$170+InputData!$C$171*(M14-InputData!$B$170),IF(M14&lt;=InputData!$B$172,InputData!$D$171+InputData!$C$172*(M14-InputData!$B$171),IF(M14&lt;=InputData!$B$173,InputData!$D$172+InputData!$C$173*(M14-InputData!$B$172),IF(M14&lt;=InputData!$B$174,InputData!$D$173+InputData!$C$174*(M14-InputData!$B$173),IF(M14&lt;=InputData!$B$175,InputData!$D$174+InputData!$C$175*(M14-InputData!$B$174),InputData!$D$175+InputData!$C$176*(M14-InputData!$B$175))))))))</f>
        <v>7735.9013748123907</v>
      </c>
      <c r="O14" s="32">
        <f>IF(J14&lt;=InputData!$C$150,InputData!$C$152,IF(J14&lt;InputData!$C$151,IF(InputData!$C$152-0.25*IF(J14-InputData!$C$150&lt;=0,0,J14-InputData!$C$150)&lt;=0,0,InputData!$C$152-0.25*IF(J14-InputData!$C$150&lt;=0,0,J14-InputData!$C$150)),0))</f>
        <v>51900</v>
      </c>
      <c r="P14" s="32">
        <f>IF(J14-O14&lt;=0,0,IF(J14-O14&lt;=InputData!$C$153,InputData!$C$154*(J14-O14),InputData!$C$155*(J14-O14)-InputData!$D$154))</f>
        <v>1385.4374298048863</v>
      </c>
      <c r="Q14" s="32">
        <f t="shared" si="18"/>
        <v>7735.9013748123907</v>
      </c>
      <c r="R14" s="32">
        <f>IF(J14&gt;=0,IF(J14&lt;=InputData!$C$148,InputData!$C$147*J14,InputData!$C$147*InputData!$C$148)+InputData!$C$149*J14,0)</f>
        <v>4377.9883206925915</v>
      </c>
      <c r="S14" s="32">
        <f>IF(L14&lt;0,0,IF(L14&lt;=InputData!$B$163,InputData!$C$163*L14,IF(L14&lt;=InputData!$B$164,InputData!$D$163+InputData!$C$164*(L14-InputData!$B$163),IF(L14&lt;=InputData!$B$165,InputData!$D$164+InputData!$C$165*(L14-InputData!$B$164),InputData!$D$165+InputData!$C$166*(L14-InputData!$B$165)))))</f>
        <v>0</v>
      </c>
      <c r="T14" s="43">
        <f t="shared" si="19"/>
        <v>0.21167543031716599</v>
      </c>
      <c r="U14" s="43">
        <f t="shared" si="20"/>
        <v>0.15973161345048389</v>
      </c>
      <c r="V14" s="5">
        <f t="shared" si="21"/>
        <v>63725.134489023359</v>
      </c>
      <c r="W14" s="32">
        <f>V14/((1+InputData!$C$7)^(Ortho!$B14-Ortho!$B$7))</f>
        <v>51814.365912238478</v>
      </c>
      <c r="X14" s="5">
        <f t="shared" si="104"/>
        <v>414930.34262192424</v>
      </c>
      <c r="Y14" s="53"/>
      <c r="Z14" s="3">
        <v>4</v>
      </c>
      <c r="AA14" s="97" t="s">
        <v>274</v>
      </c>
      <c r="AB14" s="5">
        <f t="shared" si="126"/>
        <v>56314.799999999996</v>
      </c>
      <c r="AC14" s="32">
        <f t="shared" si="127"/>
        <v>61314.719999999994</v>
      </c>
      <c r="AD14" s="32">
        <f t="shared" si="127"/>
        <v>19939.199999999997</v>
      </c>
      <c r="AE14" s="32">
        <f t="shared" si="22"/>
        <v>81253.919999999984</v>
      </c>
      <c r="AF14" s="5">
        <f>AC14*((1+InputData!$C$5)/(1+InputData!$C$3))^(Ortho!$B14-Ortho!$B$7)</f>
        <v>57228.605499249563</v>
      </c>
      <c r="AG14" s="5">
        <f>AD14*((1+InputData!$C$5)/(1+InputData!$C$3))^(Ortho!$B14-Ortho!$B$7)</f>
        <v>18610.418685278786</v>
      </c>
      <c r="AH14" s="32">
        <f>IF(AF14-InputData!$C$158-InputData!$C$159&gt;=0,AF14-InputData!$C$158-InputData!$C$159,0)</f>
        <v>57228.605499249563</v>
      </c>
      <c r="AI14" s="32">
        <f>IF(AF14-IF(AF14&lt;=InputData!$C$146,InputData!$C$145,0)-MAX(InputData!$C$144,AO14)&gt;=0,AF14-IF(AF14&lt;=InputData!$C$146,InputData!$C$145,0)-MAX(InputData!$C$144,AO14),0)</f>
        <v>47228.605499249563</v>
      </c>
      <c r="AJ14" s="32">
        <f>IF(AI14&lt;0,"Error",IF(AI14&lt;=InputData!$B$170,InputData!$C$170*AI14,IF(AI14&lt;=InputData!$B$171,InputData!$D$170+InputData!$C$171*(AI14-InputData!$B$170),IF(AI14&lt;=InputData!$B$172,InputData!$D$171+InputData!$C$172*(AI14-InputData!$B$171),IF(AI14&lt;=InputData!$B$173,InputData!$D$172+InputData!$C$173*(AI14-InputData!$B$172),IF(AI14&lt;=InputData!$B$174,InputData!$D$173+InputData!$C$174*(AI14-InputData!$B$173),IF(AI14&lt;=InputData!$B$175,InputData!$D$174+InputData!$C$175*(AI14-InputData!$B$174),InputData!$D$175+InputData!$C$176*(AI14-InputData!$B$175))))))))</f>
        <v>7735.9013748123907</v>
      </c>
      <c r="AK14" s="32">
        <f>IF(AF14&lt;=InputData!$C$150,InputData!$C$152,IF(AF14&lt;InputData!$C$151,IF(InputData!$C$152-0.25*IF(AF14-InputData!$C$150&lt;=0,0,AF14-InputData!$C$150)&lt;=0,0,InputData!$C$152-0.25*IF(AF14-InputData!$C$150&lt;=0,0,AF14-InputData!$C$150)),0))</f>
        <v>51900</v>
      </c>
      <c r="AL14" s="32">
        <f>IF(AF14-AK14&lt;=0,0,IF(AF14-AK14&lt;=InputData!$C$153,InputData!$C$154*(AF14-AK14),InputData!$C$155*(AF14-AK14)-InputData!$D$154))</f>
        <v>1385.4374298048863</v>
      </c>
      <c r="AM14" s="32">
        <f t="shared" si="23"/>
        <v>7735.9013748123907</v>
      </c>
      <c r="AN14" s="32">
        <f>IF(AF14&gt;=0,IF(AF14&lt;=InputData!$C$148,InputData!$C$147*AF14,InputData!$C$147*InputData!$C$148)+InputData!$C$149*AF14,0)</f>
        <v>4377.9883206925915</v>
      </c>
      <c r="AO14" s="32">
        <f>IF(AH14&lt;0,0,IF(AH14&lt;=InputData!$B$163,InputData!$C$163*AH14,IF(AH14&lt;=InputData!$B$164,InputData!$D$163+InputData!$C$164*(AH14-InputData!$B$163),IF(AH14&lt;=InputData!$B$165,InputData!$D$164+InputData!$C$165*(AH14-InputData!$B$164),InputData!$D$165+InputData!$C$166*(AH14-InputData!$B$165)))))</f>
        <v>0</v>
      </c>
      <c r="AP14" s="43">
        <f t="shared" si="24"/>
        <v>0.21167543031716599</v>
      </c>
      <c r="AQ14" s="43">
        <f t="shared" si="25"/>
        <v>0.15973161345048389</v>
      </c>
      <c r="AR14" s="5">
        <f t="shared" si="26"/>
        <v>63725.134489023359</v>
      </c>
      <c r="AS14" s="32">
        <f>AR14/((1+InputData!$C$7)^(Ortho!$B14-Ortho!$B$7))</f>
        <v>51814.365912238478</v>
      </c>
      <c r="AT14" s="5">
        <f t="shared" si="105"/>
        <v>322806.62031125103</v>
      </c>
      <c r="AU14" s="53"/>
      <c r="AV14" s="41" t="s">
        <v>1</v>
      </c>
      <c r="AW14" s="32">
        <f>AW13*(1+InputData!$C$9)</f>
        <v>64735.58859432357</v>
      </c>
      <c r="AX14" s="32">
        <v>0</v>
      </c>
      <c r="AY14" s="32">
        <f t="shared" si="28"/>
        <v>64735.58859432357</v>
      </c>
      <c r="AZ14" s="32">
        <f>AZ13*(1+InputData!$C$8)</f>
        <v>13198.398321290229</v>
      </c>
      <c r="BA14" s="32">
        <f>AW14/((1+InputData!$C$3)^(Ortho!$B14-Ortho!$B$7))</f>
        <v>56356.225569351176</v>
      </c>
      <c r="BB14" s="32">
        <f>AX14/((1+InputData!$C$3)^(Ortho!$B14-Ortho!$B$7))</f>
        <v>0</v>
      </c>
      <c r="BC14" s="32" t="s">
        <v>140</v>
      </c>
      <c r="BD14" s="32">
        <v>0</v>
      </c>
      <c r="BE14" s="32">
        <f>$BE$12</f>
        <v>212416.2</v>
      </c>
      <c r="BF14" s="32">
        <f>(BE14)*InputData!$C$6</f>
        <v>13191.046020000002</v>
      </c>
      <c r="BG14" s="32">
        <v>0</v>
      </c>
      <c r="BH14" s="32">
        <f t="shared" si="137"/>
        <v>258584.86107000004</v>
      </c>
      <c r="BI14" s="32">
        <f>BG14/((1+InputData!$C$3)^(Ortho!$B14-Ortho!$B$7))</f>
        <v>0</v>
      </c>
      <c r="BJ14" s="32">
        <f>IF(BA14-InputData!$C$158-InputData!$C$159&gt;=0,BA14-InputData!$C$158-InputData!$C$159,0)</f>
        <v>56356.225569351176</v>
      </c>
      <c r="BK14" s="32">
        <f>IF(BA14-IF(BA14&lt;=InputData!$C$146,InputData!$C$145,0)-MAX(InputData!$C$144,BQ14)&gt;=0,BA14-IF(BA14&lt;=InputData!$C$146,InputData!$C$145,0)-MAX(InputData!$C$144,BQ14),0)</f>
        <v>46356.225569351176</v>
      </c>
      <c r="BL14" s="32">
        <f>IF(BK14&lt;0,"Error",IF(BK14&lt;=InputData!$B$170,InputData!$C$170*BK14,IF(BK14&lt;=InputData!$B$171,InputData!$D$170+InputData!$C$171*(BK14-InputData!$B$170),IF(BK14&lt;=InputData!$B$172,InputData!$D$171+InputData!$C$172*(BK14-InputData!$B$171),IF(BK14&lt;=InputData!$B$173,InputData!$D$172+InputData!$C$173*(BK14-InputData!$B$172),IF(BK14&lt;=InputData!$B$174,InputData!$D$173+InputData!$C$174*(BK14-InputData!$B$173),IF(BK14&lt;=InputData!$B$175,InputData!$D$174+InputData!$C$175*(BK14-InputData!$B$174),InputData!$D$175+InputData!$C$176*(BK14-InputData!$B$175))))))))</f>
        <v>7517.806392337794</v>
      </c>
      <c r="BM14" s="32">
        <f>IF(BA14&lt;=InputData!$C$150,InputData!$C$152,IF(BA14&lt;InputData!$C$151,IF(InputData!$C$152-0.25*IF(BA14-InputData!$C$150&lt;=0,0,BA14-InputData!$C$150)&lt;=0,0,InputData!$C$152-0.25*IF(BA14-InputData!$C$150&lt;=0,0,BA14-InputData!$C$150)),0))</f>
        <v>51900</v>
      </c>
      <c r="BN14" s="32">
        <f>IF(BA14-BM14&lt;=0,0,IF(BA14-BM14&lt;=InputData!$C$153,InputData!$C$154*(BA14-BM14),InputData!$C$155*(BA14-BM14)-InputData!$D$154))</f>
        <v>1158.6186480313058</v>
      </c>
      <c r="BO14" s="32">
        <f t="shared" si="29"/>
        <v>7517.806392337794</v>
      </c>
      <c r="BP14" s="32">
        <f>IF(BA14&gt;=0,IF(BA14&lt;=InputData!$C$148,InputData!$C$147*BA14,InputData!$C$147*InputData!$C$148)+InputData!$C$149*BA14,0)</f>
        <v>4311.251256055365</v>
      </c>
      <c r="BQ14" s="32">
        <f>IF(BJ14&lt;0,0,IF(BJ14&lt;=InputData!$B$163,InputData!$C$163*BJ14,IF(BJ14&lt;=InputData!$B$164,InputData!$D$163+InputData!$C$164*(BJ14-InputData!$B$163),IF(BJ14&lt;=InputData!$B$165,InputData!$D$164+InputData!$C$165*(BJ14-InputData!$B$164),InputData!$D$165+InputData!$C$166*(BJ14-InputData!$B$165)))))</f>
        <v>0</v>
      </c>
      <c r="BR14" s="43">
        <f t="shared" si="30"/>
        <v>0.20989797540356012</v>
      </c>
      <c r="BS14" s="32">
        <f t="shared" si="31"/>
        <v>44527.167920958018</v>
      </c>
      <c r="BT14" s="32">
        <f t="shared" si="32"/>
        <v>44527.167920958018</v>
      </c>
      <c r="BU14" s="32">
        <f>BT14/((1+InputData!$C$7)^(Ortho!$B14-Ortho!$B$7))</f>
        <v>36204.662260691053</v>
      </c>
      <c r="BV14" s="5">
        <f t="shared" si="107"/>
        <v>-46699.992676364229</v>
      </c>
      <c r="BW14" s="5"/>
      <c r="BX14" s="32" t="s">
        <v>140</v>
      </c>
      <c r="BY14" s="5">
        <f t="shared" si="33"/>
        <v>212416.2</v>
      </c>
      <c r="BZ14" s="5">
        <f t="shared" si="34"/>
        <v>13191.046020000002</v>
      </c>
      <c r="CA14" s="5">
        <v>0</v>
      </c>
      <c r="CB14" s="5">
        <f t="shared" si="35"/>
        <v>258584.86107000004</v>
      </c>
      <c r="CC14" s="32">
        <f>CA14/((1+InputData!$C$3)^(Ortho!$B14-Ortho!$B$7))</f>
        <v>0</v>
      </c>
      <c r="CD14" s="5">
        <f t="shared" si="36"/>
        <v>44527.167920958018</v>
      </c>
      <c r="CE14" s="32">
        <f>CD14/((1+InputData!$C$7)^(Ortho!$B14-Ortho!$B$7))</f>
        <v>36204.662260691053</v>
      </c>
      <c r="CF14" s="5">
        <f t="shared" si="108"/>
        <v>-46699.992676364229</v>
      </c>
      <c r="CG14" s="5"/>
      <c r="CH14" s="32" t="s">
        <v>140</v>
      </c>
      <c r="CI14" s="5">
        <f t="shared" si="37"/>
        <v>212416.2</v>
      </c>
      <c r="CJ14" s="5">
        <f t="shared" si="38"/>
        <v>13191.046020000002</v>
      </c>
      <c r="CK14" s="5">
        <v>0</v>
      </c>
      <c r="CL14" s="5">
        <f t="shared" si="39"/>
        <v>258584.86107000004</v>
      </c>
      <c r="CM14" s="32">
        <f>CK14/((1+InputData!$C$3)^(Ortho!$B14-Ortho!$B$7))</f>
        <v>0</v>
      </c>
      <c r="CN14" s="5">
        <f t="shared" si="40"/>
        <v>44527.167920958018</v>
      </c>
      <c r="CO14" s="32">
        <f>CN14/((1+InputData!$C$7)^(Ortho!$B14-Ortho!$B$7))</f>
        <v>36204.662260691053</v>
      </c>
      <c r="CP14" s="5">
        <f t="shared" si="109"/>
        <v>-46699.992676364229</v>
      </c>
      <c r="CQ14" s="5"/>
      <c r="CR14" s="32" t="s">
        <v>140</v>
      </c>
      <c r="CS14" s="5">
        <f t="shared" si="41"/>
        <v>212416.2</v>
      </c>
      <c r="CT14" s="5">
        <f t="shared" si="42"/>
        <v>13191.046020000002</v>
      </c>
      <c r="CU14" s="5">
        <v>0</v>
      </c>
      <c r="CV14" s="5">
        <f t="shared" si="43"/>
        <v>258584.86107000004</v>
      </c>
      <c r="CW14" s="32">
        <f>CU14/((1+InputData!$C$3)^(Ortho!$B14-Ortho!$B$7))</f>
        <v>0</v>
      </c>
      <c r="CX14" s="5">
        <f t="shared" si="44"/>
        <v>44527.167920958018</v>
      </c>
      <c r="CY14" s="32">
        <f>CX14/((1+InputData!$C$7)^(Ortho!$B14-Ortho!$B$7))</f>
        <v>36204.662260691053</v>
      </c>
      <c r="CZ14" s="5">
        <f t="shared" si="110"/>
        <v>-46699.992676364229</v>
      </c>
      <c r="DA14" s="5"/>
      <c r="DB14" s="32" t="s">
        <v>141</v>
      </c>
      <c r="DC14" s="5">
        <f t="shared" si="138"/>
        <v>170510.19525334824</v>
      </c>
      <c r="DD14" s="5">
        <f>DC14*InputData!$C$6</f>
        <v>10588.683125232927</v>
      </c>
      <c r="DE14" s="32">
        <f t="shared" si="139"/>
        <v>29148.379963889372</v>
      </c>
      <c r="DF14" s="32">
        <f t="shared" si="140"/>
        <v>151950.4984146918</v>
      </c>
      <c r="DG14" s="32">
        <f>DE14/((1+InputData!$C$3)^(Ortho!$B14-Ortho!$B$7))</f>
        <v>25375.418867669763</v>
      </c>
      <c r="DH14" s="5">
        <f t="shared" si="48"/>
        <v>19151.749053288255</v>
      </c>
      <c r="DI14" s="32">
        <f>DH14/((1+InputData!$C$7)^(Ortho!$B14-Ortho!$B$7))</f>
        <v>15572.124582606792</v>
      </c>
      <c r="DJ14" s="5">
        <f t="shared" si="111"/>
        <v>-123745.30670550409</v>
      </c>
      <c r="DK14" s="5"/>
      <c r="DL14" s="32" t="s">
        <v>141</v>
      </c>
      <c r="DM14" s="133">
        <f>IF(0.15*($AY14-1.5*$AZ14)&lt;=$DD$2,DQ13-DO13,DQ13)</f>
        <v>212416.2</v>
      </c>
      <c r="DN14" s="5">
        <f>DM14*InputData!$C$6</f>
        <v>13191.046020000002</v>
      </c>
      <c r="DO14" s="133">
        <f>DO13+DN14-DP14</f>
        <v>22036.206155447937</v>
      </c>
      <c r="DP14" s="32">
        <f t="shared" si="123"/>
        <v>6740.698666858234</v>
      </c>
      <c r="DQ14" s="32">
        <f t="shared" si="124"/>
        <v>234452.40615544797</v>
      </c>
      <c r="DR14" s="32">
        <f>DP14/((1+InputData!$C$3)^(Ortho!$B14-Ortho!$B$7))</f>
        <v>5868.1838354026759</v>
      </c>
      <c r="DS14" s="5">
        <f t="shared" si="52"/>
        <v>38658.984085555341</v>
      </c>
      <c r="DT14" s="32">
        <f>DS14/((1+InputData!$C$7)^(Ortho!$B14-Ortho!$B$7))</f>
        <v>31433.291797122853</v>
      </c>
      <c r="DU14" s="5">
        <f t="shared" si="113"/>
        <v>-65035.922086779574</v>
      </c>
      <c r="DV14" s="5"/>
      <c r="DW14" s="32" t="s">
        <v>141</v>
      </c>
      <c r="DX14" s="133">
        <f t="shared" si="141"/>
        <v>212416.2</v>
      </c>
      <c r="DY14" s="5">
        <f>DX14*InputData!$C$6</f>
        <v>13191.046020000002</v>
      </c>
      <c r="DZ14" s="133">
        <f t="shared" si="142"/>
        <v>30080.35779363196</v>
      </c>
      <c r="EA14" s="32">
        <f t="shared" si="143"/>
        <v>4493.7991112388227</v>
      </c>
      <c r="EB14" s="32">
        <f t="shared" si="144"/>
        <v>242496.55779363198</v>
      </c>
      <c r="EC14" s="32">
        <f>EA14/((1+InputData!$C$3)^(Ortho!$B14-Ortho!$B$7))</f>
        <v>3912.1225569351172</v>
      </c>
      <c r="ED14" s="5">
        <f t="shared" si="56"/>
        <v>40615.045364022903</v>
      </c>
      <c r="EE14" s="32">
        <f>ED14/((1+InputData!$C$7)^(Ortho!$B14-Ortho!$B$7))</f>
        <v>33023.748618312253</v>
      </c>
      <c r="EF14" s="5">
        <f t="shared" si="115"/>
        <v>-58923.94561664114</v>
      </c>
      <c r="EG14" s="32"/>
      <c r="EH14" s="130" t="s">
        <v>140</v>
      </c>
      <c r="EI14" s="32">
        <v>0</v>
      </c>
      <c r="EJ14" s="32">
        <f t="shared" si="128"/>
        <v>185472.36</v>
      </c>
      <c r="EK14" s="32">
        <f>(EJ14)*InputData!$C$6</f>
        <v>11517.833556</v>
      </c>
      <c r="EL14" s="32">
        <f t="shared" si="125"/>
        <v>260053.20557999998</v>
      </c>
      <c r="EM14" s="32">
        <f>EM13*(1+InputData!$C$8)</f>
        <v>13198.398321290229</v>
      </c>
      <c r="EN14" s="32">
        <v>0</v>
      </c>
      <c r="EO14" s="32">
        <f>AW14/((1+InputData!$C$3)^(Ortho!$B14-Ortho!$B$7))</f>
        <v>56356.225569351176</v>
      </c>
      <c r="EP14" s="32">
        <f>AX14/((1+InputData!$C$3)^(Ortho!$B14-Ortho!$B$7))</f>
        <v>0</v>
      </c>
      <c r="EQ14" s="32">
        <v>7681.56</v>
      </c>
      <c r="ER14" s="32">
        <v>3747.69</v>
      </c>
      <c r="ES14" s="32">
        <v>0</v>
      </c>
      <c r="ET14" s="43">
        <f t="shared" si="129"/>
        <v>0.20280368112898772</v>
      </c>
      <c r="EU14" s="32">
        <f t="shared" si="57"/>
        <v>44926.975569351176</v>
      </c>
      <c r="EV14" s="32">
        <f>EN14/((1+InputData!$C$3)^(Ortho!$B14-Ortho!$B$7))</f>
        <v>0</v>
      </c>
      <c r="EW14" s="32">
        <f t="shared" si="58"/>
        <v>44926.975569351176</v>
      </c>
      <c r="EX14" s="32">
        <f>EW14/((1+InputData!$C$7)^(Ortho!$B14-Ortho!$B$7))</f>
        <v>36529.742465769676</v>
      </c>
      <c r="EY14" s="5">
        <f t="shared" si="117"/>
        <v>-45448.35350676551</v>
      </c>
      <c r="EZ14" s="79"/>
      <c r="FA14" s="32">
        <f t="shared" si="59"/>
        <v>185472.36</v>
      </c>
      <c r="FB14" s="32">
        <f t="shared" si="60"/>
        <v>11517.833556</v>
      </c>
      <c r="FC14" s="32">
        <f t="shared" si="61"/>
        <v>260053.20557999998</v>
      </c>
      <c r="FD14" s="32">
        <v>0</v>
      </c>
      <c r="FE14" s="32">
        <f>FD14/((1+InputData!$C$3)^(Ortho!$B14-Ortho!$B$7))</f>
        <v>0</v>
      </c>
      <c r="FF14" s="5">
        <f t="shared" si="62"/>
        <v>44926.975569351176</v>
      </c>
      <c r="FG14" s="32">
        <f>FF14/((1+InputData!$C$7)^(Ortho!$B14-Ortho!$B$7))</f>
        <v>36529.742465769676</v>
      </c>
      <c r="FH14" s="5">
        <f t="shared" si="118"/>
        <v>-45448.35350676551</v>
      </c>
      <c r="FI14" s="79"/>
      <c r="FJ14" s="32">
        <f t="shared" si="63"/>
        <v>185472.36</v>
      </c>
      <c r="FK14" s="32">
        <f>FJ14*InputData!$C$6</f>
        <v>11517.833556</v>
      </c>
      <c r="FL14" s="32">
        <f>FL13+$EI14+FK14-FM14</f>
        <v>260053.20557999998</v>
      </c>
      <c r="FM14" s="32">
        <v>0</v>
      </c>
      <c r="FN14" s="32">
        <f>FM14/((1+InputData!$C$3)^(Ortho!$B14-Ortho!$B$7))</f>
        <v>0</v>
      </c>
      <c r="FO14" s="5">
        <f t="shared" si="66"/>
        <v>44926.975569351176</v>
      </c>
      <c r="FP14" s="32">
        <f>FO14/((1+InputData!$C$7)^(Ortho!$B14-Ortho!$B$7))</f>
        <v>36529.742465769676</v>
      </c>
      <c r="FQ14" s="5">
        <f t="shared" si="119"/>
        <v>-45448.35350676551</v>
      </c>
      <c r="FR14" s="79"/>
      <c r="FS14" s="32">
        <f t="shared" si="67"/>
        <v>185472.36</v>
      </c>
      <c r="FT14" s="32">
        <f>FS14*InputData!$C$6</f>
        <v>11517.833556</v>
      </c>
      <c r="FU14" s="32">
        <f>FU13+$EI14+FT14-FV14</f>
        <v>260053.20557999998</v>
      </c>
      <c r="FV14" s="32">
        <v>0</v>
      </c>
      <c r="FW14" s="32">
        <f>FV14/((1+InputData!$C$3)^(Ortho!$B14-Ortho!$B$7))</f>
        <v>0</v>
      </c>
      <c r="FX14" s="5">
        <f t="shared" si="70"/>
        <v>44926.975569351176</v>
      </c>
      <c r="FY14" s="32">
        <f>FX14/((1+InputData!$C$7)^(Ortho!$B14-Ortho!$B$7))</f>
        <v>36529.742465769676</v>
      </c>
      <c r="FZ14" s="5">
        <f t="shared" si="120"/>
        <v>-45448.35350676551</v>
      </c>
      <c r="GC14" s="3">
        <f t="shared" si="3"/>
        <v>4</v>
      </c>
      <c r="GD14" s="4" t="str">
        <f t="shared" si="145"/>
        <v>Residency (O3&gt;3 = (BP+BAH+BAS+VSP)*12)</v>
      </c>
      <c r="GE14" s="5">
        <f t="shared" si="146"/>
        <v>61314.719999999994</v>
      </c>
      <c r="GF14" s="5">
        <f t="shared" si="147"/>
        <v>19939.199999999997</v>
      </c>
      <c r="GG14" s="5">
        <f t="shared" si="148"/>
        <v>81253.919999999984</v>
      </c>
      <c r="GH14" s="5">
        <f t="shared" si="149"/>
        <v>57228.605499249563</v>
      </c>
      <c r="GI14" s="5">
        <f t="shared" si="150"/>
        <v>18610.418685278786</v>
      </c>
      <c r="GJ14" s="32">
        <f>IF(GH14-InputData!$C$158-InputData!$C$159&gt;=0,GH14-InputData!$C$158-InputData!$C$159,0)</f>
        <v>57228.605499249563</v>
      </c>
      <c r="GK14" s="32">
        <f>IF(GH14-IF(GH14&lt;=InputData!$C$146,InputData!$C$145,0)-MAX(InputData!$C$144,GQ14)&gt;=0,GH14-IF(GH14&lt;=InputData!$C$146,InputData!$C$145,0)-MAX(InputData!$C$144,GQ14),0)</f>
        <v>47228.605499249563</v>
      </c>
      <c r="GL14" s="32">
        <f>IF(GK14&lt;0,"Error",IF(GK14&lt;=InputData!$B$170,InputData!$C$170*GK14,IF(GK14&lt;=InputData!$B$171,InputData!$D$170+InputData!$C$171*(GK14-InputData!$B$170),IF(GK14&lt;=InputData!$B$172,InputData!$D$171+InputData!$C$172*(GK14-InputData!$B$171),IF(GK14&lt;=InputData!$B$173,InputData!$D$172+InputData!$C$173*(GK14-InputData!$B$172),IF(GK14&lt;=InputData!$B$174,InputData!$D$173+InputData!$C$174*(GK14-InputData!$B$173),IF(GK14&lt;=InputData!$B$175,InputData!$D$174+InputData!$C$175*(GK14-InputData!$B$174),InputData!$D$175+InputData!$C$176*(GK14-InputData!$B$175))))))))</f>
        <v>7735.9013748123907</v>
      </c>
      <c r="GM14" s="32">
        <f>IF(GH14&lt;=InputData!$C$150,InputData!$C$152,IF(GH14&lt;InputData!$C$151,IF(InputData!$C$152-0.25*IF(GH14-InputData!$C$150&lt;=0,0,GH14-InputData!$C$150)&lt;=0,0,InputData!$C$152-0.25*IF(GH14-InputData!$C$150&lt;=0,0,GH14-InputData!$C$150)),0))</f>
        <v>51900</v>
      </c>
      <c r="GN14" s="32">
        <f>IF(GH14-GM14&lt;=0,0,IF(GH14-GM14&lt;=InputData!$C$153,InputData!$C$154*(GH14-GM14),InputData!$C$155*(GH14-GM14)-InputData!$D$154))</f>
        <v>1385.4374298048863</v>
      </c>
      <c r="GO14" s="32">
        <f t="shared" si="71"/>
        <v>7735.9013748123907</v>
      </c>
      <c r="GP14" s="32">
        <f>IF(GH14&gt;=0,IF(GH14&lt;=InputData!$C$148,InputData!$C$147*GH14,InputData!$C$147*InputData!$C$148)+InputData!$C$149*GH14,0)</f>
        <v>4377.9883206925915</v>
      </c>
      <c r="GQ14" s="32">
        <f>IF(GJ14&lt;0,0,IF(GJ14&lt;=InputData!$B$163,InputData!$C$163*GJ14,IF(GJ14&lt;=InputData!$B$164,InputData!$D$163+InputData!$C$164*(GJ14-InputData!$B$163),IF(GJ14&lt;=InputData!$B$165,InputData!$D$164+InputData!$C$165*(GJ14-InputData!$B$164),InputData!$D$165+InputData!$C$166*(GJ14-InputData!$B$165)))))</f>
        <v>0</v>
      </c>
      <c r="GR14" s="43">
        <f t="shared" si="72"/>
        <v>0.21167543031716599</v>
      </c>
      <c r="GS14" s="43">
        <f t="shared" si="73"/>
        <v>0.15973161345048389</v>
      </c>
      <c r="GT14" s="5">
        <f t="shared" si="74"/>
        <v>63725.134489023359</v>
      </c>
      <c r="GU14" s="32">
        <f>GT14/((1+InputData!$C$7)^(Ortho!$B14-Ortho!$B$7))</f>
        <v>51814.365912238478</v>
      </c>
      <c r="GV14" s="32">
        <f t="shared" si="75"/>
        <v>414930.34262192424</v>
      </c>
      <c r="GX14" s="3">
        <f t="shared" si="130"/>
        <v>4</v>
      </c>
      <c r="GY14" s="4" t="str">
        <f t="shared" si="131"/>
        <v>Residency (O3&gt;3 = (BP+BAH+BAS+VSP)*12)</v>
      </c>
      <c r="GZ14" s="5">
        <f t="shared" si="132"/>
        <v>61314.719999999994</v>
      </c>
      <c r="HA14" s="5">
        <f t="shared" si="133"/>
        <v>19939.199999999997</v>
      </c>
      <c r="HB14" s="5">
        <f t="shared" si="134"/>
        <v>81253.919999999984</v>
      </c>
      <c r="HC14" s="5">
        <f t="shared" si="135"/>
        <v>57228.605499249563</v>
      </c>
      <c r="HD14" s="5">
        <f t="shared" si="136"/>
        <v>18610.418685278786</v>
      </c>
      <c r="HE14" s="32">
        <f>IF(HC14-InputData!$C$158-InputData!$C$159&gt;=0,HC14-InputData!$C$158-InputData!$C$159,0)</f>
        <v>57228.605499249563</v>
      </c>
      <c r="HF14" s="32">
        <f>IF(HC14-IF(HC14&lt;=InputData!$C$146,InputData!$C$145,0)-MAX(InputData!$C$144,HL14)&gt;=0,HC14-IF(HC14&lt;=InputData!$C$146,InputData!$C$145,0)-MAX(InputData!$C$144,HL14),0)</f>
        <v>47228.605499249563</v>
      </c>
      <c r="HG14" s="32">
        <f>IF(HF14&lt;0,"Error",IF(HF14&lt;=InputData!$B$170,InputData!$C$170*HF14,IF(HF14&lt;=InputData!$B$171,InputData!$D$170+InputData!$C$171*(HF14-InputData!$B$170),IF(HF14&lt;=InputData!$B$172,InputData!$D$171+InputData!$C$172*(HF14-InputData!$B$171),IF(HF14&lt;=InputData!$B$173,InputData!$D$172+InputData!$C$173*(HF14-InputData!$B$172),IF(HF14&lt;=InputData!$B$174,InputData!$D$173+InputData!$C$174*(HF14-InputData!$B$173),IF(HF14&lt;=InputData!$B$175,InputData!$D$174+InputData!$C$175*(HF14-InputData!$B$174),InputData!$D$175+InputData!$C$176*(HF14-InputData!$B$175))))))))</f>
        <v>7735.9013748123907</v>
      </c>
      <c r="HH14" s="32">
        <f>IF(HC14&lt;=InputData!$C$150,InputData!$C$152,IF(HC14&lt;InputData!$C$151,IF(InputData!$C$152-0.25*IF(HC14-InputData!$C$150&lt;=0,0,HC14-InputData!$C$150)&lt;=0,0,InputData!$C$152-0.25*IF(HC14-InputData!$C$150&lt;=0,0,HC14-InputData!$C$150)),0))</f>
        <v>51900</v>
      </c>
      <c r="HI14" s="32">
        <f>IF(HC14-HH14&lt;=0,0,IF(HC14-HH14&lt;=InputData!$C$153,InputData!$C$154*(HC14-HH14),InputData!$C$155*(HC14-HH14)-InputData!$D$154))</f>
        <v>1385.4374298048863</v>
      </c>
      <c r="HJ14" s="32">
        <f t="shared" si="76"/>
        <v>7735.9013748123907</v>
      </c>
      <c r="HK14" s="32">
        <f>IF(HC14&gt;=0,IF(HC14&lt;=InputData!$C$148,InputData!$C$147*HC14,InputData!$C$147*InputData!$C$148)+InputData!$C$149*HC14,0)</f>
        <v>4377.9883206925915</v>
      </c>
      <c r="HL14" s="32">
        <f>IF(HE14&lt;0,0,IF(HE14&lt;=InputData!$B$163,InputData!$C$163*HE14,IF(HE14&lt;=InputData!$B$164,InputData!$D$163+InputData!$C$164*(HE14-InputData!$B$163),IF(HE14&lt;=InputData!$B$165,InputData!$D$164+InputData!$C$165*(HE14-InputData!$B$164),InputData!$D$165+InputData!$C$166*(HE14-InputData!$B$165)))))</f>
        <v>0</v>
      </c>
      <c r="HM14" s="43">
        <f t="shared" si="77"/>
        <v>0.21167543031716599</v>
      </c>
      <c r="HN14" s="43">
        <f t="shared" si="78"/>
        <v>0.15973161345048389</v>
      </c>
      <c r="HO14" s="5">
        <f t="shared" si="79"/>
        <v>63725.134489023359</v>
      </c>
      <c r="HP14" s="32">
        <f>HO14/((1+InputData!$C$7)^(Ortho!$B14-Ortho!$B$7))</f>
        <v>51814.365912238478</v>
      </c>
      <c r="HQ14" s="32">
        <f t="shared" si="80"/>
        <v>322806.62031125103</v>
      </c>
      <c r="HS14" s="93">
        <f t="shared" si="81"/>
        <v>4</v>
      </c>
      <c r="HT14" s="5" t="str">
        <f t="shared" si="82"/>
        <v>Residency (O3&gt;3 = (BP+BAH+BAS+VSP)*12)</v>
      </c>
      <c r="HU14" s="5">
        <f t="shared" si="83"/>
        <v>61314.719999999994</v>
      </c>
      <c r="HV14" s="5">
        <f t="shared" si="84"/>
        <v>19939.199999999997</v>
      </c>
      <c r="HW14" s="5">
        <f t="shared" si="85"/>
        <v>81253.919999999984</v>
      </c>
      <c r="HX14" s="5">
        <f t="shared" si="86"/>
        <v>57228.605499249563</v>
      </c>
      <c r="HY14" s="5">
        <f t="shared" si="87"/>
        <v>18610.418685278786</v>
      </c>
      <c r="HZ14" s="32">
        <f>IF(HX14-InputData!$C$158-InputData!$C$159&gt;=0,HX14-InputData!$C$158-InputData!$C$159,0)</f>
        <v>57228.605499249563</v>
      </c>
      <c r="IA14" s="32">
        <f>IF(HX14-IF(HX14&lt;=InputData!$C$146,InputData!$C$145,0)-MAX(InputData!$C$144,IG14)&gt;=0,HX14-IF(HX14&lt;=InputData!$C$146,InputData!$C$145,0)-MAX(InputData!$C$144,IG14),0)</f>
        <v>47228.605499249563</v>
      </c>
      <c r="IB14" s="32">
        <f>IF(IA14&lt;0,"Error",IF(IA14&lt;=InputData!$B$170,InputData!$C$170*IA14,IF(IA14&lt;=InputData!$B$171,InputData!$D$170+InputData!$C$171*(IA14-InputData!$B$170),IF(IA14&lt;=InputData!$B$172,InputData!$D$171+InputData!$C$172*(IA14-InputData!$B$171),IF(IA14&lt;=InputData!$B$173,InputData!$D$172+InputData!$C$173*(IA14-InputData!$B$172),IF(IA14&lt;=InputData!$B$174,InputData!$D$173+InputData!$C$174*(IA14-InputData!$B$173),IF(IA14&lt;=InputData!$B$175,InputData!$D$174+InputData!$C$175*(IA14-InputData!$B$174),InputData!$D$175+InputData!$C$176*(IA14-InputData!$B$175))))))))</f>
        <v>7735.9013748123907</v>
      </c>
      <c r="IC14" s="32">
        <f>IF(HX14&lt;=InputData!$C$150,InputData!$C$152,IF(HX14&lt;InputData!$C$151,IF(InputData!$C$152-0.25*IF(HX14-InputData!$C$150&lt;=0,0,HX14-InputData!$C$150)&lt;=0,0,InputData!$C$152-0.25*IF(HX14-InputData!$C$150&lt;=0,0,HX14-InputData!$C$150)),0))</f>
        <v>51900</v>
      </c>
      <c r="ID14" s="32">
        <f>IF(HX14-IC14&lt;=0,0,IF(HX14-IC14&lt;=InputData!$C$153,InputData!$C$154*(HX14-IC14),InputData!$C$155*(HX14-IC14)-InputData!$D$154))</f>
        <v>1385.4374298048863</v>
      </c>
      <c r="IE14" s="32">
        <f t="shared" si="88"/>
        <v>7735.9013748123907</v>
      </c>
      <c r="IF14" s="32">
        <f>IF(HX14&gt;=0,IF(HX14&lt;=InputData!$C$148,InputData!$C$147*HX14,InputData!$C$147*InputData!$C$148)+InputData!$C$149*HX14,0)</f>
        <v>4377.9883206925915</v>
      </c>
      <c r="IG14" s="32">
        <f>IF(HZ14&lt;0,0,IF(HZ14&lt;=InputData!$B$163,InputData!$C$163*HZ14,IF(HZ14&lt;=InputData!$B$164,InputData!$D$163+InputData!$C$164*(HZ14-InputData!$B$163),IF(HZ14&lt;=InputData!$B$165,InputData!$D$164+InputData!$C$165*(HZ14-InputData!$B$164),InputData!$D$165+InputData!$C$166*(HZ14-InputData!$B$165)))))</f>
        <v>0</v>
      </c>
      <c r="IH14" s="43">
        <f t="shared" si="89"/>
        <v>0.21167543031716599</v>
      </c>
      <c r="II14" s="43">
        <f t="shared" si="90"/>
        <v>0.15973161345048389</v>
      </c>
      <c r="IJ14" s="5">
        <f t="shared" si="91"/>
        <v>63725.134489023359</v>
      </c>
      <c r="IK14" s="32">
        <f>IJ14/((1+InputData!$C$7)^(Ortho!$B14-Ortho!$B$7))</f>
        <v>51814.365912238478</v>
      </c>
      <c r="IL14" s="5">
        <f t="shared" si="92"/>
        <v>414930.34262192424</v>
      </c>
      <c r="IN14" s="93">
        <f t="shared" si="93"/>
        <v>4</v>
      </c>
      <c r="IO14" s="5" t="str">
        <f t="shared" si="94"/>
        <v>Residency (O3&gt;3 = (BP+BAH+BAS+VSP)*12)</v>
      </c>
      <c r="IP14" s="5">
        <f t="shared" si="8"/>
        <v>61314.719999999994</v>
      </c>
      <c r="IQ14" s="5">
        <f t="shared" si="9"/>
        <v>19939.199999999997</v>
      </c>
      <c r="IR14" s="5">
        <f t="shared" si="10"/>
        <v>81253.919999999984</v>
      </c>
      <c r="IS14" s="5">
        <f t="shared" si="11"/>
        <v>57228.605499249563</v>
      </c>
      <c r="IT14" s="5">
        <f t="shared" si="12"/>
        <v>18610.418685278786</v>
      </c>
      <c r="IU14" s="32">
        <f>IF(IS14-InputData!$C$158-InputData!$C$159&gt;=0,IS14-InputData!$C$158-InputData!$C$159,0)</f>
        <v>57228.605499249563</v>
      </c>
      <c r="IV14" s="32">
        <f>IF(IS14-IF(IS14&lt;=InputData!$C$146,InputData!$C$145,0)-MAX(InputData!$C$144,JB14)&gt;=0,IS14-IF(IS14&lt;=InputData!$C$146,InputData!$C$145,0)-MAX(InputData!$C$144,JB14),0)</f>
        <v>47228.605499249563</v>
      </c>
      <c r="IW14" s="32">
        <f>IF(IV14&lt;0,"Error",IF(IV14&lt;=InputData!$B$170,InputData!$C$170*IV14,IF(IV14&lt;=InputData!$B$171,InputData!$D$170+InputData!$C$171*(IV14-InputData!$B$170),IF(IV14&lt;=InputData!$B$172,InputData!$D$171+InputData!$C$172*(IV14-InputData!$B$171),IF(IV14&lt;=InputData!$B$173,InputData!$D$172+InputData!$C$173*(IV14-InputData!$B$172),IF(IV14&lt;=InputData!$B$174,InputData!$D$173+InputData!$C$174*(IV14-InputData!$B$173),IF(IV14&lt;=InputData!$B$175,InputData!$D$174+InputData!$C$175*(IV14-InputData!$B$174),InputData!$D$175+InputData!$C$176*(IV14-InputData!$B$175))))))))</f>
        <v>7735.9013748123907</v>
      </c>
      <c r="IX14" s="32">
        <f>IF(IS14&lt;=InputData!$C$150,InputData!$C$152,IF(IS14&lt;InputData!$C$151,IF(InputData!$C$152-0.25*IF(IS14-InputData!$C$150&lt;=0,0,IS14-InputData!$C$150)&lt;=0,0,InputData!$C$152-0.25*IF(IS14-InputData!$C$150&lt;=0,0,IS14-InputData!$C$150)),0))</f>
        <v>51900</v>
      </c>
      <c r="IY14" s="32">
        <f>IF(IS14-IX14&lt;=0,0,IF(IS14-IX14&lt;=InputData!$C$153,InputData!$C$154*(IS14-IX14),InputData!$C$155*(IS14-IX14)-InputData!$D$154))</f>
        <v>1385.4374298048863</v>
      </c>
      <c r="IZ14" s="32">
        <f t="shared" si="95"/>
        <v>7735.9013748123907</v>
      </c>
      <c r="JA14" s="32">
        <f>IF(IS14&gt;=0,IF(IS14&lt;=InputData!$C$148,InputData!$C$147*IS14,InputData!$C$147*InputData!$C$148)+InputData!$C$149*IS14,0)</f>
        <v>4377.9883206925915</v>
      </c>
      <c r="JB14" s="32">
        <f>IF(IU14&lt;0,0,IF(IU14&lt;=InputData!$B$163,InputData!$C$163*IU14,IF(IU14&lt;=InputData!$B$164,InputData!$D$163+InputData!$C$164*(IU14-InputData!$B$163),IF(IU14&lt;=InputData!$B$165,InputData!$D$164+InputData!$C$165*(IU14-InputData!$B$164),InputData!$D$165+InputData!$C$166*(IU14-InputData!$B$165)))))</f>
        <v>0</v>
      </c>
      <c r="JC14" s="43">
        <f t="shared" si="96"/>
        <v>0.21167543031716599</v>
      </c>
      <c r="JD14" s="43">
        <f t="shared" si="97"/>
        <v>0.15973161345048389</v>
      </c>
      <c r="JE14" s="5">
        <f t="shared" si="98"/>
        <v>63725.134489023359</v>
      </c>
      <c r="JF14" s="32">
        <f>JE14/((1+InputData!$C$7)^(Ortho!$B14-Ortho!$B$7))</f>
        <v>51814.365912238478</v>
      </c>
      <c r="JG14" s="5">
        <f t="shared" si="99"/>
        <v>322806.62031125103</v>
      </c>
      <c r="JI14" s="41" t="str">
        <f t="shared" si="13"/>
        <v>Residency</v>
      </c>
      <c r="JJ14" s="5">
        <f t="shared" si="14"/>
        <v>64735.58859432357</v>
      </c>
      <c r="JK14" s="32">
        <v>0</v>
      </c>
      <c r="JL14" s="32">
        <f t="shared" si="101"/>
        <v>64735.58859432357</v>
      </c>
      <c r="JM14" s="32">
        <f>JM13*(1+InputData!$C$8)</f>
        <v>13198.398321290229</v>
      </c>
      <c r="JN14" s="32">
        <f>JJ14/((1+InputData!$C$3)^(Ortho!$B14-Ortho!$B$7))</f>
        <v>56356.225569351176</v>
      </c>
      <c r="JO14" s="32">
        <f>JK14/((1+InputData!$C$3)^(Ortho!$B14-Ortho!$B$7))</f>
        <v>0</v>
      </c>
      <c r="JP14" s="32" t="s">
        <v>140</v>
      </c>
      <c r="JQ14" s="32">
        <v>0</v>
      </c>
      <c r="JR14" s="32">
        <f>JR12</f>
        <v>0</v>
      </c>
      <c r="JS14" s="32">
        <f>(JR14)*InputData!$C$6</f>
        <v>0</v>
      </c>
      <c r="JT14" s="32">
        <v>0</v>
      </c>
      <c r="JU14" s="32">
        <f t="shared" si="151"/>
        <v>0</v>
      </c>
      <c r="JV14" s="32">
        <f>JT14/((1+InputData!$C$3)^(Ortho!$B14-Ortho!$B$7))</f>
        <v>0</v>
      </c>
      <c r="JW14" s="32">
        <f>IF(JN14-InputData!$C$158-InputData!$C$159&gt;=0,JN14-InputData!$C$158-InputData!$C$159,0)</f>
        <v>56356.225569351176</v>
      </c>
      <c r="JX14" s="32">
        <f>IF(JN14-IF(JN14&lt;=InputData!$C$146,InputData!$C$145,0)-MAX(InputData!$C$144,KD14)&gt;=0,JN14-IF(JN14&lt;=InputData!$C$146,InputData!$C$145,0)-MAX(InputData!$C$144,KD14),0)</f>
        <v>46356.225569351176</v>
      </c>
      <c r="JY14" s="32">
        <f>IF(JX14&lt;0,"Error",IF(JX14&lt;=InputData!$B$170,InputData!$C$170*JX14,IF(JX14&lt;=InputData!$B$171,InputData!$D$170+InputData!$C$171*(JX14-InputData!$B$170),IF(JX14&lt;=InputData!$B$172,InputData!$D$171+InputData!$C$172*(JX14-InputData!$B$171),IF(JX14&lt;=InputData!$B$173,InputData!$D$172+InputData!$C$173*(JX14-InputData!$B$172),IF(JX14&lt;=InputData!$B$174,InputData!$D$173+InputData!$C$174*(JX14-InputData!$B$173),IF(JX14&lt;=InputData!$B$175,InputData!$D$174+InputData!$C$175*(JX14-InputData!$B$174),InputData!$D$175+InputData!$C$176*(JX14-InputData!$B$175))))))))</f>
        <v>7517.806392337794</v>
      </c>
      <c r="JZ14" s="32">
        <f>IF(JN14&lt;=InputData!$C$150,InputData!$C$152,IF(JN14&lt;InputData!$C$151,IF(InputData!$C$152-0.25*IF(JN14-InputData!$C$150&lt;=0,0,JN14-InputData!$C$150)&lt;=0,0,InputData!$C$152-0.25*IF(JN14-InputData!$C$150&lt;=0,0,JN14-InputData!$C$150)),0))</f>
        <v>51900</v>
      </c>
      <c r="KA14" s="32">
        <f>IF(JN14-JZ14&lt;=0,0,IF(JN14-JZ14&lt;=InputData!$C$153,InputData!$C$154*(JN14-JZ14),InputData!$C$155*(JN14-JZ14)-InputData!$D$154))</f>
        <v>1158.6186480313058</v>
      </c>
      <c r="KB14" s="32">
        <f t="shared" si="102"/>
        <v>7517.806392337794</v>
      </c>
      <c r="KC14" s="32">
        <f>IF(JN14&gt;=0,IF(JN14&lt;=InputData!$C$148,InputData!$C$147*JN14,InputData!$C$147*InputData!$C$148)+InputData!$C$149*JN14,0)</f>
        <v>4311.251256055365</v>
      </c>
      <c r="KD14" s="32">
        <f>IF(JW14&lt;0,0,IF(JW14&lt;=InputData!$B$163,InputData!$C$163*JW14,IF(JW14&lt;=InputData!$B$164,InputData!$D$163+InputData!$C$164*(JW14-InputData!$B$163),IF(JW14&lt;=InputData!$B$165,InputData!$D$164+InputData!$C$165*(JW14-InputData!$B$164),InputData!$D$165+InputData!$C$166*(JW14-InputData!$B$165)))))</f>
        <v>0</v>
      </c>
      <c r="KE14" s="43">
        <f t="shared" si="15"/>
        <v>0.20989797540356012</v>
      </c>
      <c r="KF14" s="32">
        <f t="shared" si="16"/>
        <v>44527.167920958018</v>
      </c>
      <c r="KG14" s="32">
        <f t="shared" si="103"/>
        <v>44527.167920958018</v>
      </c>
      <c r="KH14" s="32">
        <f>KG14/((1+InputData!$C$7)^(Ortho!$B14-Ortho!$B$7))</f>
        <v>36204.662260691053</v>
      </c>
      <c r="KI14" s="5">
        <f t="shared" si="122"/>
        <v>144167.38761271787</v>
      </c>
    </row>
    <row r="15" spans="1:295" ht="14.45" x14ac:dyDescent="0.3">
      <c r="A15" s="4">
        <v>2021</v>
      </c>
      <c r="B15" s="51">
        <v>9</v>
      </c>
      <c r="C15" s="4"/>
      <c r="D15" s="3">
        <v>5</v>
      </c>
      <c r="E15" s="46" t="s">
        <v>275</v>
      </c>
      <c r="F15" s="5">
        <f>InputData!$F$24*12</f>
        <v>61398</v>
      </c>
      <c r="G15" s="32">
        <f>(InputData!$F$24+InputData!$D$45)*12</f>
        <v>66397.919999999998</v>
      </c>
      <c r="H15" s="32">
        <f>(InputData!$C$35+InputData!$C$40)*12</f>
        <v>19939.199999999997</v>
      </c>
      <c r="I15" s="32">
        <f t="shared" si="17"/>
        <v>86337.12</v>
      </c>
      <c r="J15" s="32">
        <f>G15*((1+InputData!$C$5)/(1+InputData!$C$3))^(Ortho!$B15-Ortho!$B$7)</f>
        <v>61365.473684213866</v>
      </c>
      <c r="K15" s="32">
        <f>H15*((1+InputData!$C$5)/(1+InputData!$C$3))^(Ortho!$B15-Ortho!$B$7)</f>
        <v>18427.963600128995</v>
      </c>
      <c r="L15" s="32">
        <f>IF(J15-InputData!$C$158-InputData!$C$159&gt;=0,J15-InputData!$C$158-InputData!$C$159,0)</f>
        <v>61365.473684213866</v>
      </c>
      <c r="M15" s="32">
        <f>IF(J15-IF(J15&lt;=InputData!$C$146,InputData!$C$145,0)-MAX(InputData!$C$144,S15)&gt;=0,J15-IF(J15&lt;=InputData!$C$146,InputData!$C$145,0)-MAX(InputData!$C$144,S15),0)</f>
        <v>51365.473684213866</v>
      </c>
      <c r="N15" s="32">
        <f>IF(M15&lt;0,"Error",IF(M15&lt;=InputData!$B$170,InputData!$C$170*M15,IF(M15&lt;=InputData!$B$171,InputData!$D$170+InputData!$C$171*(M15-InputData!$B$170),IF(M15&lt;=InputData!$B$172,InputData!$D$171+InputData!$C$172*(M15-InputData!$B$171),IF(M15&lt;=InputData!$B$173,InputData!$D$172+InputData!$C$173*(M15-InputData!$B$172),IF(M15&lt;=InputData!$B$174,InputData!$D$173+InputData!$C$174*(M15-InputData!$B$173),IF(M15&lt;=InputData!$B$175,InputData!$D$174+InputData!$C$175*(M15-InputData!$B$174),InputData!$D$175+InputData!$C$176*(M15-InputData!$B$175))))))))</f>
        <v>8770.1184210534666</v>
      </c>
      <c r="O15" s="32">
        <f>IF(J15&lt;=InputData!$C$150,InputData!$C$152,IF(J15&lt;InputData!$C$151,IF(InputData!$C$152-0.25*IF(J15-InputData!$C$150&lt;=0,0,J15-InputData!$C$150)&lt;=0,0,InputData!$C$152-0.25*IF(J15-InputData!$C$150&lt;=0,0,J15-InputData!$C$150)),0))</f>
        <v>51900</v>
      </c>
      <c r="P15" s="32">
        <f>IF(J15-O15&lt;=0,0,IF(J15-O15&lt;=InputData!$C$153,InputData!$C$154*(J15-O15),InputData!$C$155*(J15-O15)-InputData!$D$154))</f>
        <v>2461.0231578956054</v>
      </c>
      <c r="Q15" s="32">
        <f t="shared" si="18"/>
        <v>8770.1184210534666</v>
      </c>
      <c r="R15" s="32">
        <f>IF(J15&gt;=0,IF(J15&lt;=InputData!$C$148,InputData!$C$147*J15,InputData!$C$147*InputData!$C$148)+InputData!$C$149*J15,0)</f>
        <v>4694.4587368423608</v>
      </c>
      <c r="S15" s="32">
        <f>IF(L15&lt;0,0,IF(L15&lt;=InputData!$B$163,InputData!$C$163*L15,IF(L15&lt;=InputData!$B$164,InputData!$D$163+InputData!$C$164*(L15-InputData!$B$163),IF(L15&lt;=InputData!$B$165,InputData!$D$164+InputData!$C$165*(L15-InputData!$B$164),InputData!$D$165+InputData!$C$166*(L15-InputData!$B$165)))))</f>
        <v>0</v>
      </c>
      <c r="T15" s="43">
        <f t="shared" si="19"/>
        <v>0.21941616921567997</v>
      </c>
      <c r="U15" s="43">
        <f t="shared" si="20"/>
        <v>0.16874291440679492</v>
      </c>
      <c r="V15" s="5">
        <f t="shared" si="21"/>
        <v>66328.86012644702</v>
      </c>
      <c r="W15" s="32">
        <f>V15/((1+InputData!$C$7)^(Ortho!$B15-Ortho!$B$7))</f>
        <v>52360.614685334687</v>
      </c>
      <c r="X15" s="5">
        <f t="shared" si="104"/>
        <v>467290.95730725891</v>
      </c>
      <c r="Y15" s="53"/>
      <c r="Z15" s="3">
        <v>5</v>
      </c>
      <c r="AA15" s="96" t="s">
        <v>275</v>
      </c>
      <c r="AB15" s="5">
        <f t="shared" si="126"/>
        <v>61398</v>
      </c>
      <c r="AC15" s="32">
        <f t="shared" si="127"/>
        <v>66397.919999999998</v>
      </c>
      <c r="AD15" s="32">
        <f t="shared" si="127"/>
        <v>19939.199999999997</v>
      </c>
      <c r="AE15" s="32">
        <f t="shared" si="22"/>
        <v>86337.12</v>
      </c>
      <c r="AF15" s="5">
        <f>AC15*((1+InputData!$C$5)/(1+InputData!$C$3))^(Ortho!$B15-Ortho!$B$7)</f>
        <v>61365.473684213866</v>
      </c>
      <c r="AG15" s="5">
        <f>AD15*((1+InputData!$C$5)/(1+InputData!$C$3))^(Ortho!$B15-Ortho!$B$7)</f>
        <v>18427.963600128995</v>
      </c>
      <c r="AH15" s="32">
        <f>IF(AF15-InputData!$C$158-InputData!$C$159&gt;=0,AF15-InputData!$C$158-InputData!$C$159,0)</f>
        <v>61365.473684213866</v>
      </c>
      <c r="AI15" s="32">
        <f>IF(AF15-IF(AF15&lt;=InputData!$C$146,InputData!$C$145,0)-MAX(InputData!$C$144,AO15)&gt;=0,AF15-IF(AF15&lt;=InputData!$C$146,InputData!$C$145,0)-MAX(InputData!$C$144,AO15),0)</f>
        <v>51365.473684213866</v>
      </c>
      <c r="AJ15" s="32">
        <f>IF(AI15&lt;0,"Error",IF(AI15&lt;=InputData!$B$170,InputData!$C$170*AI15,IF(AI15&lt;=InputData!$B$171,InputData!$D$170+InputData!$C$171*(AI15-InputData!$B$170),IF(AI15&lt;=InputData!$B$172,InputData!$D$171+InputData!$C$172*(AI15-InputData!$B$171),IF(AI15&lt;=InputData!$B$173,InputData!$D$172+InputData!$C$173*(AI15-InputData!$B$172),IF(AI15&lt;=InputData!$B$174,InputData!$D$173+InputData!$C$174*(AI15-InputData!$B$173),IF(AI15&lt;=InputData!$B$175,InputData!$D$174+InputData!$C$175*(AI15-InputData!$B$174),InputData!$D$175+InputData!$C$176*(AI15-InputData!$B$175))))))))</f>
        <v>8770.1184210534666</v>
      </c>
      <c r="AK15" s="32">
        <f>IF(AF15&lt;=InputData!$C$150,InputData!$C$152,IF(AF15&lt;InputData!$C$151,IF(InputData!$C$152-0.25*IF(AF15-InputData!$C$150&lt;=0,0,AF15-InputData!$C$150)&lt;=0,0,InputData!$C$152-0.25*IF(AF15-InputData!$C$150&lt;=0,0,AF15-InputData!$C$150)),0))</f>
        <v>51900</v>
      </c>
      <c r="AL15" s="32">
        <f>IF(AF15-AK15&lt;=0,0,IF(AF15-AK15&lt;=InputData!$C$153,InputData!$C$154*(AF15-AK15),InputData!$C$155*(AF15-AK15)-InputData!$D$154))</f>
        <v>2461.0231578956054</v>
      </c>
      <c r="AM15" s="32">
        <f t="shared" si="23"/>
        <v>8770.1184210534666</v>
      </c>
      <c r="AN15" s="32">
        <f>IF(AF15&gt;=0,IF(AF15&lt;=InputData!$C$148,InputData!$C$147*AF15,InputData!$C$147*InputData!$C$148)+InputData!$C$149*AF15,0)</f>
        <v>4694.4587368423608</v>
      </c>
      <c r="AO15" s="32">
        <f>IF(AH15&lt;0,0,IF(AH15&lt;=InputData!$B$163,InputData!$C$163*AH15,IF(AH15&lt;=InputData!$B$164,InputData!$D$163+InputData!$C$164*(AH15-InputData!$B$163),IF(AH15&lt;=InputData!$B$165,InputData!$D$164+InputData!$C$165*(AH15-InputData!$B$164),InputData!$D$165+InputData!$C$166*(AH15-InputData!$B$165)))))</f>
        <v>0</v>
      </c>
      <c r="AP15" s="43">
        <f t="shared" si="24"/>
        <v>0.21941616921567997</v>
      </c>
      <c r="AQ15" s="43">
        <f t="shared" si="25"/>
        <v>0.16874291440679492</v>
      </c>
      <c r="AR15" s="5">
        <f t="shared" si="26"/>
        <v>66328.86012644702</v>
      </c>
      <c r="AS15" s="32">
        <f>AR15/((1+InputData!$C$7)^(Ortho!$B15-Ortho!$B$7))</f>
        <v>52360.614685334687</v>
      </c>
      <c r="AT15" s="5">
        <f t="shared" si="105"/>
        <v>375167.2349965857</v>
      </c>
      <c r="AU15" s="53"/>
      <c r="AV15" s="56" t="s">
        <v>1</v>
      </c>
      <c r="AW15" s="32">
        <f>AW14*(1+InputData!$C$9)</f>
        <v>68619.723909982989</v>
      </c>
      <c r="AX15" s="32">
        <v>0</v>
      </c>
      <c r="AY15" s="32">
        <f t="shared" si="28"/>
        <v>68619.723909982989</v>
      </c>
      <c r="AZ15" s="32">
        <f>AZ14*(1+InputData!$C$8)</f>
        <v>13462.366287716035</v>
      </c>
      <c r="BA15" s="32">
        <f>AW15/((1+InputData!$C$3)^(Ortho!$B15-Ortho!$B$7))</f>
        <v>58566.273630894357</v>
      </c>
      <c r="BB15" s="32">
        <f>AX15/((1+InputData!$C$3)^(Ortho!$B15-Ortho!$B$7))</f>
        <v>0</v>
      </c>
      <c r="BC15" s="32" t="s">
        <v>140</v>
      </c>
      <c r="BD15" s="32">
        <v>0</v>
      </c>
      <c r="BE15" s="32">
        <f>$BE$12</f>
        <v>212416.2</v>
      </c>
      <c r="BF15" s="32">
        <f>(BE15)*InputData!$C$6</f>
        <v>13191.046020000002</v>
      </c>
      <c r="BG15" s="32">
        <v>0</v>
      </c>
      <c r="BH15" s="32">
        <f t="shared" si="137"/>
        <v>271775.90709000005</v>
      </c>
      <c r="BI15" s="32">
        <f>BG15/((1+InputData!$C$3)^(Ortho!$B15-Ortho!$B$7))</f>
        <v>0</v>
      </c>
      <c r="BJ15" s="32">
        <f>IF(BA15-InputData!$C$158-InputData!$C$159&gt;=0,BA15-InputData!$C$158-InputData!$C$159,0)</f>
        <v>58566.273630894357</v>
      </c>
      <c r="BK15" s="32">
        <f>IF(BA15-IF(BA15&lt;=InputData!$C$146,InputData!$C$145,0)-MAX(InputData!$C$144,BQ15)&gt;=0,BA15-IF(BA15&lt;=InputData!$C$146,InputData!$C$145,0)-MAX(InputData!$C$144,BQ15),0)</f>
        <v>48566.273630894357</v>
      </c>
      <c r="BL15" s="32">
        <f>IF(BK15&lt;0,"Error",IF(BK15&lt;=InputData!$B$170,InputData!$C$170*BK15,IF(BK15&lt;=InputData!$B$171,InputData!$D$170+InputData!$C$171*(BK15-InputData!$B$170),IF(BK15&lt;=InputData!$B$172,InputData!$D$171+InputData!$C$172*(BK15-InputData!$B$171),IF(BK15&lt;=InputData!$B$173,InputData!$D$172+InputData!$C$173*(BK15-InputData!$B$172),IF(BK15&lt;=InputData!$B$174,InputData!$D$173+InputData!$C$174*(BK15-InputData!$B$173),IF(BK15&lt;=InputData!$B$175,InputData!$D$174+InputData!$C$175*(BK15-InputData!$B$174),InputData!$D$175+InputData!$C$176*(BK15-InputData!$B$175))))))))</f>
        <v>8070.3184077235892</v>
      </c>
      <c r="BM15" s="32">
        <f>IF(BA15&lt;=InputData!$C$150,InputData!$C$152,IF(BA15&lt;InputData!$C$151,IF(InputData!$C$152-0.25*IF(BA15-InputData!$C$150&lt;=0,0,BA15-InputData!$C$150)&lt;=0,0,InputData!$C$152-0.25*IF(BA15-InputData!$C$150&lt;=0,0,BA15-InputData!$C$150)),0))</f>
        <v>51900</v>
      </c>
      <c r="BN15" s="32">
        <f>IF(BA15-BM15&lt;=0,0,IF(BA15-BM15&lt;=InputData!$C$153,InputData!$C$154*(BA15-BM15),InputData!$C$155*(BA15-BM15)-InputData!$D$154))</f>
        <v>1733.2311440325327</v>
      </c>
      <c r="BO15" s="32">
        <f t="shared" si="29"/>
        <v>8070.3184077235892</v>
      </c>
      <c r="BP15" s="32">
        <f>IF(BA15&gt;=0,IF(BA15&lt;=InputData!$C$148,InputData!$C$147*BA15,InputData!$C$147*InputData!$C$148)+InputData!$C$149*BA15,0)</f>
        <v>4480.3199327634184</v>
      </c>
      <c r="BQ15" s="32">
        <f>IF(BJ15&lt;0,0,IF(BJ15&lt;=InputData!$B$163,InputData!$C$163*BJ15,IF(BJ15&lt;=InputData!$B$164,InputData!$D$163+InputData!$C$164*(BJ15-InputData!$B$163),IF(BJ15&lt;=InputData!$B$165,InputData!$D$164+InputData!$C$165*(BJ15-InputData!$B$164),InputData!$D$165+InputData!$C$166*(BJ15-InputData!$B$165)))))</f>
        <v>0</v>
      </c>
      <c r="BR15" s="43">
        <f t="shared" si="30"/>
        <v>0.21429805180342576</v>
      </c>
      <c r="BS15" s="32">
        <f t="shared" si="31"/>
        <v>46015.63529040735</v>
      </c>
      <c r="BT15" s="32">
        <f t="shared" si="32"/>
        <v>46015.63529040735</v>
      </c>
      <c r="BU15" s="32">
        <f>BT15/((1+InputData!$C$7)^(Ortho!$B15-Ortho!$B$7))</f>
        <v>36325.167421069789</v>
      </c>
      <c r="BV15" s="5">
        <f t="shared" si="107"/>
        <v>-10374.82525529444</v>
      </c>
      <c r="BW15" s="5"/>
      <c r="BX15" s="134" t="s">
        <v>140</v>
      </c>
      <c r="BY15" s="5">
        <f t="shared" si="33"/>
        <v>212416.2</v>
      </c>
      <c r="BZ15" s="5">
        <f t="shared" si="34"/>
        <v>13191.046020000002</v>
      </c>
      <c r="CA15" s="5">
        <v>0</v>
      </c>
      <c r="CB15" s="32">
        <f>CB14+$BD15+BZ15-CA15</f>
        <v>271775.90709000005</v>
      </c>
      <c r="CC15" s="32">
        <f>CA15/((1+InputData!$C$3)^(Ortho!$B15-Ortho!$B$7))</f>
        <v>0</v>
      </c>
      <c r="CD15" s="5">
        <f t="shared" si="36"/>
        <v>46015.63529040735</v>
      </c>
      <c r="CE15" s="32">
        <f>CD15/((1+InputData!$C$7)^(Ortho!$B15-Ortho!$B$7))</f>
        <v>36325.167421069789</v>
      </c>
      <c r="CF15" s="5">
        <f t="shared" si="108"/>
        <v>-10374.82525529444</v>
      </c>
      <c r="CG15" s="5"/>
      <c r="CH15" s="134" t="s">
        <v>140</v>
      </c>
      <c r="CI15" s="5">
        <f t="shared" si="37"/>
        <v>212416.2</v>
      </c>
      <c r="CJ15" s="5">
        <f t="shared" si="38"/>
        <v>13191.046020000002</v>
      </c>
      <c r="CK15" s="5">
        <v>0</v>
      </c>
      <c r="CL15" s="32">
        <f>CL14+$BD15+CJ15-CK15</f>
        <v>271775.90709000005</v>
      </c>
      <c r="CM15" s="32">
        <f>CK15/((1+InputData!$C$3)^(Ortho!$B15-Ortho!$B$7))</f>
        <v>0</v>
      </c>
      <c r="CN15" s="5">
        <f t="shared" si="40"/>
        <v>46015.63529040735</v>
      </c>
      <c r="CO15" s="32">
        <f>CN15/((1+InputData!$C$7)^(Ortho!$B15-Ortho!$B$7))</f>
        <v>36325.167421069789</v>
      </c>
      <c r="CP15" s="5">
        <f t="shared" si="109"/>
        <v>-10374.82525529444</v>
      </c>
      <c r="CQ15" s="5"/>
      <c r="CR15" s="134" t="s">
        <v>140</v>
      </c>
      <c r="CS15" s="5">
        <f t="shared" si="41"/>
        <v>212416.2</v>
      </c>
      <c r="CT15" s="5">
        <f t="shared" si="42"/>
        <v>13191.046020000002</v>
      </c>
      <c r="CU15" s="5">
        <v>0</v>
      </c>
      <c r="CV15" s="5">
        <f t="shared" si="43"/>
        <v>271775.90709000005</v>
      </c>
      <c r="CW15" s="32">
        <f>CU15/((1+InputData!$C$3)^(Ortho!$B15-Ortho!$B$7))</f>
        <v>0</v>
      </c>
      <c r="CX15" s="5">
        <f t="shared" si="44"/>
        <v>46015.63529040735</v>
      </c>
      <c r="CY15" s="32">
        <f>CX15/((1+InputData!$C$7)^(Ortho!$B15-Ortho!$B$7))</f>
        <v>36325.167421069789</v>
      </c>
      <c r="CZ15" s="5">
        <f t="shared" si="110"/>
        <v>-10374.82525529444</v>
      </c>
      <c r="DA15" s="5"/>
      <c r="DB15" s="134" t="s">
        <v>141</v>
      </c>
      <c r="DC15" s="5">
        <f t="shared" si="138"/>
        <v>151950.4984146918</v>
      </c>
      <c r="DD15" s="5">
        <f>DC15*InputData!$C$6</f>
        <v>9436.1259515523616</v>
      </c>
      <c r="DE15" s="32">
        <f t="shared" si="139"/>
        <v>29148.379963889372</v>
      </c>
      <c r="DF15" s="32">
        <f t="shared" si="140"/>
        <v>132238.24440235479</v>
      </c>
      <c r="DG15" s="32">
        <f>DE15/((1+InputData!$C$3)^(Ortho!$B15-Ortho!$B$7))</f>
        <v>24877.861634970352</v>
      </c>
      <c r="DH15" s="5">
        <f t="shared" si="48"/>
        <v>21137.773655436999</v>
      </c>
      <c r="DI15" s="32">
        <f>DH15/((1+InputData!$C$7)^(Ortho!$B15-Ortho!$B$7))</f>
        <v>16686.353716439804</v>
      </c>
      <c r="DJ15" s="5">
        <f t="shared" si="111"/>
        <v>-107058.95298906429</v>
      </c>
      <c r="DK15" s="5"/>
      <c r="DL15" s="134" t="s">
        <v>141</v>
      </c>
      <c r="DM15" s="133">
        <f>IF(0.15*($AY15-1.5*$AZ15)&lt;=$DD$2,DQ14-DO14,DQ14)</f>
        <v>212416.20000000004</v>
      </c>
      <c r="DN15" s="5">
        <f>DM15*InputData!$C$6</f>
        <v>13191.046020000003</v>
      </c>
      <c r="DO15" s="133">
        <f>DO14+DN15-DP15</f>
        <v>27963.326003686598</v>
      </c>
      <c r="DP15" s="32">
        <f t="shared" si="123"/>
        <v>7263.9261717613408</v>
      </c>
      <c r="DQ15" s="32">
        <f t="shared" si="124"/>
        <v>240379.52600368665</v>
      </c>
      <c r="DR15" s="32">
        <f>DP15/((1+InputData!$C$3)^(Ortho!$B15-Ortho!$B$7))</f>
        <v>6199.6910446341535</v>
      </c>
      <c r="DS15" s="5">
        <f t="shared" si="52"/>
        <v>39815.944245773193</v>
      </c>
      <c r="DT15" s="32">
        <f>DS15/((1+InputData!$C$7)^(Ortho!$B15-Ortho!$B$7))</f>
        <v>31431.074060542174</v>
      </c>
      <c r="DU15" s="5">
        <f t="shared" si="113"/>
        <v>-33604.8480262374</v>
      </c>
      <c r="DV15" s="5"/>
      <c r="DW15" s="32" t="s">
        <v>141</v>
      </c>
      <c r="DX15" s="135">
        <f t="shared" si="141"/>
        <v>212416.2</v>
      </c>
      <c r="DY15" s="5">
        <f>DX15*InputData!$C$6</f>
        <v>13191.046020000002</v>
      </c>
      <c r="DZ15" s="133">
        <f t="shared" si="142"/>
        <v>38428.786365791064</v>
      </c>
      <c r="EA15" s="32">
        <f t="shared" si="143"/>
        <v>4842.6174478408939</v>
      </c>
      <c r="EB15" s="32">
        <f t="shared" si="144"/>
        <v>250844.98636579109</v>
      </c>
      <c r="EC15" s="32">
        <f>EA15/((1+InputData!$C$3)^(Ortho!$B15-Ortho!$B$7))</f>
        <v>4133.1273630894357</v>
      </c>
      <c r="ED15" s="5">
        <f t="shared" si="56"/>
        <v>41882.507927317914</v>
      </c>
      <c r="EE15" s="32">
        <f>ED15/((1+InputData!$C$7)^(Ortho!$B15-Ortho!$B$7))</f>
        <v>33062.438514051377</v>
      </c>
      <c r="EF15" s="5">
        <f t="shared" si="115"/>
        <v>-25861.507102589763</v>
      </c>
      <c r="EG15" s="32"/>
      <c r="EH15" s="130" t="s">
        <v>140</v>
      </c>
      <c r="EI15" s="32">
        <v>0</v>
      </c>
      <c r="EJ15" s="32">
        <f t="shared" si="128"/>
        <v>185472.36</v>
      </c>
      <c r="EK15" s="32">
        <f>(EJ15)*InputData!$C$6</f>
        <v>11517.833556</v>
      </c>
      <c r="EL15" s="32">
        <f t="shared" si="125"/>
        <v>271571.03913599998</v>
      </c>
      <c r="EM15" s="32">
        <f>EM14*(1+InputData!$C$8)</f>
        <v>13462.366287716035</v>
      </c>
      <c r="EN15" s="32">
        <v>0</v>
      </c>
      <c r="EO15" s="32">
        <f>AW15/((1+InputData!$C$3)^(Ortho!$B15-Ortho!$B$7))</f>
        <v>58566.273630894357</v>
      </c>
      <c r="EP15" s="32">
        <f>AX15/((1+InputData!$C$3)^(Ortho!$B15-Ortho!$B$7))</f>
        <v>0</v>
      </c>
      <c r="EQ15" s="32">
        <v>8234.07</v>
      </c>
      <c r="ER15" s="32">
        <v>3894.6550000000002</v>
      </c>
      <c r="ES15" s="32">
        <v>0</v>
      </c>
      <c r="ET15" s="43">
        <f t="shared" si="129"/>
        <v>0.20709401927190335</v>
      </c>
      <c r="EU15" s="32">
        <f t="shared" si="57"/>
        <v>46437.548630894358</v>
      </c>
      <c r="EV15" s="32">
        <f>EN15/((1+InputData!$C$3)^(Ortho!$B15-Ortho!$B$7))</f>
        <v>0</v>
      </c>
      <c r="EW15" s="32">
        <f t="shared" si="58"/>
        <v>46437.548630894358</v>
      </c>
      <c r="EX15" s="32">
        <f>EW15/((1+InputData!$C$7)^(Ortho!$B15-Ortho!$B$7))</f>
        <v>36658.229708130471</v>
      </c>
      <c r="EY15" s="5">
        <f t="shared" si="117"/>
        <v>-8790.1237986350388</v>
      </c>
      <c r="EZ15" s="79"/>
      <c r="FA15" s="32">
        <f t="shared" si="59"/>
        <v>185472.36</v>
      </c>
      <c r="FB15" s="32">
        <f t="shared" si="60"/>
        <v>11517.833556</v>
      </c>
      <c r="FC15" s="32">
        <f t="shared" si="61"/>
        <v>271571.03913599998</v>
      </c>
      <c r="FD15" s="32">
        <v>0</v>
      </c>
      <c r="FE15" s="32">
        <f>FD15/((1+InputData!$C$3)^(Ortho!$B15-Ortho!$B$7))</f>
        <v>0</v>
      </c>
      <c r="FF15" s="5">
        <f t="shared" si="62"/>
        <v>46437.548630894358</v>
      </c>
      <c r="FG15" s="32">
        <f>FF15/((1+InputData!$C$7)^(Ortho!$B15-Ortho!$B$7))</f>
        <v>36658.229708130471</v>
      </c>
      <c r="FH15" s="5">
        <f t="shared" si="118"/>
        <v>-8790.1237986350388</v>
      </c>
      <c r="FI15" s="79"/>
      <c r="FJ15" s="32">
        <f t="shared" si="63"/>
        <v>185472.36</v>
      </c>
      <c r="FK15" s="32">
        <f>FJ15*InputData!$C$6</f>
        <v>11517.833556</v>
      </c>
      <c r="FL15" s="32">
        <f>FL14+$EI15+FK15-FM15</f>
        <v>271571.03913599998</v>
      </c>
      <c r="FM15" s="32">
        <v>0</v>
      </c>
      <c r="FN15" s="32">
        <f>FM15/((1+InputData!$C$3)^(Ortho!$B15-Ortho!$B$7))</f>
        <v>0</v>
      </c>
      <c r="FO15" s="5">
        <f t="shared" si="66"/>
        <v>46437.548630894358</v>
      </c>
      <c r="FP15" s="32">
        <f>FO15/((1+InputData!$C$7)^(Ortho!$B15-Ortho!$B$7))</f>
        <v>36658.229708130471</v>
      </c>
      <c r="FQ15" s="5">
        <f t="shared" si="119"/>
        <v>-8790.1237986350388</v>
      </c>
      <c r="FR15" s="79"/>
      <c r="FS15" s="32">
        <f t="shared" si="67"/>
        <v>185472.36</v>
      </c>
      <c r="FT15" s="32">
        <f>FS15*InputData!$C$6</f>
        <v>11517.833556</v>
      </c>
      <c r="FU15" s="32">
        <f>FU14+$EI15+FT15-FV15</f>
        <v>271571.03913599998</v>
      </c>
      <c r="FV15" s="32">
        <v>0</v>
      </c>
      <c r="FW15" s="32">
        <f>FV15/((1+InputData!$C$3)^(Ortho!$B15-Ortho!$B$7))</f>
        <v>0</v>
      </c>
      <c r="FX15" s="5">
        <f t="shared" si="70"/>
        <v>46437.548630894358</v>
      </c>
      <c r="FY15" s="32">
        <f>FX15/((1+InputData!$C$7)^(Ortho!$B15-Ortho!$B$7))</f>
        <v>36658.229708130471</v>
      </c>
      <c r="FZ15" s="5">
        <f t="shared" si="120"/>
        <v>-8790.1237986350388</v>
      </c>
      <c r="GC15" s="3">
        <f t="shared" si="3"/>
        <v>5</v>
      </c>
      <c r="GD15" s="46" t="str">
        <f t="shared" si="145"/>
        <v>Residency (O3&gt;4 = (BP+BAH+BAS+VSP)*12)</v>
      </c>
      <c r="GE15" s="5">
        <f t="shared" si="146"/>
        <v>66397.919999999998</v>
      </c>
      <c r="GF15" s="5">
        <f t="shared" si="147"/>
        <v>19939.199999999997</v>
      </c>
      <c r="GG15" s="5">
        <f t="shared" si="148"/>
        <v>86337.12</v>
      </c>
      <c r="GH15" s="5">
        <f t="shared" si="149"/>
        <v>61365.473684213866</v>
      </c>
      <c r="GI15" s="5">
        <f t="shared" si="150"/>
        <v>18427.963600128995</v>
      </c>
      <c r="GJ15" s="32">
        <f>IF(GH15-InputData!$C$158-InputData!$C$159&gt;=0,GH15-InputData!$C$158-InputData!$C$159,0)</f>
        <v>61365.473684213866</v>
      </c>
      <c r="GK15" s="32">
        <f>IF(GH15-IF(GH15&lt;=InputData!$C$146,InputData!$C$145,0)-MAX(InputData!$C$144,GQ15)&gt;=0,GH15-IF(GH15&lt;=InputData!$C$146,InputData!$C$145,0)-MAX(InputData!$C$144,GQ15),0)</f>
        <v>51365.473684213866</v>
      </c>
      <c r="GL15" s="32">
        <f>IF(GK15&lt;0,"Error",IF(GK15&lt;=InputData!$B$170,InputData!$C$170*GK15,IF(GK15&lt;=InputData!$B$171,InputData!$D$170+InputData!$C$171*(GK15-InputData!$B$170),IF(GK15&lt;=InputData!$B$172,InputData!$D$171+InputData!$C$172*(GK15-InputData!$B$171),IF(GK15&lt;=InputData!$B$173,InputData!$D$172+InputData!$C$173*(GK15-InputData!$B$172),IF(GK15&lt;=InputData!$B$174,InputData!$D$173+InputData!$C$174*(GK15-InputData!$B$173),IF(GK15&lt;=InputData!$B$175,InputData!$D$174+InputData!$C$175*(GK15-InputData!$B$174),InputData!$D$175+InputData!$C$176*(GK15-InputData!$B$175))))))))</f>
        <v>8770.1184210534666</v>
      </c>
      <c r="GM15" s="32">
        <f>IF(GH15&lt;=InputData!$C$150,InputData!$C$152,IF(GH15&lt;InputData!$C$151,IF(InputData!$C$152-0.25*IF(GH15-InputData!$C$150&lt;=0,0,GH15-InputData!$C$150)&lt;=0,0,InputData!$C$152-0.25*IF(GH15-InputData!$C$150&lt;=0,0,GH15-InputData!$C$150)),0))</f>
        <v>51900</v>
      </c>
      <c r="GN15" s="32">
        <f>IF(GH15-GM15&lt;=0,0,IF(GH15-GM15&lt;=InputData!$C$153,InputData!$C$154*(GH15-GM15),InputData!$C$155*(GH15-GM15)-InputData!$D$154))</f>
        <v>2461.0231578956054</v>
      </c>
      <c r="GO15" s="32">
        <f t="shared" si="71"/>
        <v>8770.1184210534666</v>
      </c>
      <c r="GP15" s="32">
        <f>IF(GH15&gt;=0,IF(GH15&lt;=InputData!$C$148,InputData!$C$147*GH15,InputData!$C$147*InputData!$C$148)+InputData!$C$149*GH15,0)</f>
        <v>4694.4587368423608</v>
      </c>
      <c r="GQ15" s="32">
        <f>IF(GJ15&lt;0,0,IF(GJ15&lt;=InputData!$B$163,InputData!$C$163*GJ15,IF(GJ15&lt;=InputData!$B$164,InputData!$D$163+InputData!$C$164*(GJ15-InputData!$B$163),IF(GJ15&lt;=InputData!$B$165,InputData!$D$164+InputData!$C$165*(GJ15-InputData!$B$164),InputData!$D$165+InputData!$C$166*(GJ15-InputData!$B$165)))))</f>
        <v>0</v>
      </c>
      <c r="GR15" s="43">
        <f t="shared" si="72"/>
        <v>0.21941616921567997</v>
      </c>
      <c r="GS15" s="43">
        <f t="shared" si="73"/>
        <v>0.16874291440679492</v>
      </c>
      <c r="GT15" s="5">
        <f t="shared" si="74"/>
        <v>66328.86012644702</v>
      </c>
      <c r="GU15" s="32">
        <f>GT15/((1+InputData!$C$7)^(Ortho!$B15-Ortho!$B$7))</f>
        <v>52360.614685334687</v>
      </c>
      <c r="GV15" s="32">
        <f t="shared" si="75"/>
        <v>467290.95730725891</v>
      </c>
      <c r="GX15" s="3">
        <f t="shared" si="130"/>
        <v>5</v>
      </c>
      <c r="GY15" s="46" t="str">
        <f t="shared" si="131"/>
        <v>Residency (O3&gt;4 = (BP+BAH+BAS+VSP)*12)</v>
      </c>
      <c r="GZ15" s="5">
        <f t="shared" si="132"/>
        <v>66397.919999999998</v>
      </c>
      <c r="HA15" s="5">
        <f t="shared" si="133"/>
        <v>19939.199999999997</v>
      </c>
      <c r="HB15" s="5">
        <f t="shared" si="134"/>
        <v>86337.12</v>
      </c>
      <c r="HC15" s="5">
        <f t="shared" si="135"/>
        <v>61365.473684213866</v>
      </c>
      <c r="HD15" s="5">
        <f t="shared" si="136"/>
        <v>18427.963600128995</v>
      </c>
      <c r="HE15" s="32">
        <f>IF(HC15-InputData!$C$158-InputData!$C$159&gt;=0,HC15-InputData!$C$158-InputData!$C$159,0)</f>
        <v>61365.473684213866</v>
      </c>
      <c r="HF15" s="32">
        <f>IF(HC15-IF(HC15&lt;=InputData!$C$146,InputData!$C$145,0)-MAX(InputData!$C$144,HL15)&gt;=0,HC15-IF(HC15&lt;=InputData!$C$146,InputData!$C$145,0)-MAX(InputData!$C$144,HL15),0)</f>
        <v>51365.473684213866</v>
      </c>
      <c r="HG15" s="32">
        <f>IF(HF15&lt;0,"Error",IF(HF15&lt;=InputData!$B$170,InputData!$C$170*HF15,IF(HF15&lt;=InputData!$B$171,InputData!$D$170+InputData!$C$171*(HF15-InputData!$B$170),IF(HF15&lt;=InputData!$B$172,InputData!$D$171+InputData!$C$172*(HF15-InputData!$B$171),IF(HF15&lt;=InputData!$B$173,InputData!$D$172+InputData!$C$173*(HF15-InputData!$B$172),IF(HF15&lt;=InputData!$B$174,InputData!$D$173+InputData!$C$174*(HF15-InputData!$B$173),IF(HF15&lt;=InputData!$B$175,InputData!$D$174+InputData!$C$175*(HF15-InputData!$B$174),InputData!$D$175+InputData!$C$176*(HF15-InputData!$B$175))))))))</f>
        <v>8770.1184210534666</v>
      </c>
      <c r="HH15" s="32">
        <f>IF(HC15&lt;=InputData!$C$150,InputData!$C$152,IF(HC15&lt;InputData!$C$151,IF(InputData!$C$152-0.25*IF(HC15-InputData!$C$150&lt;=0,0,HC15-InputData!$C$150)&lt;=0,0,InputData!$C$152-0.25*IF(HC15-InputData!$C$150&lt;=0,0,HC15-InputData!$C$150)),0))</f>
        <v>51900</v>
      </c>
      <c r="HI15" s="32">
        <f>IF(HC15-HH15&lt;=0,0,IF(HC15-HH15&lt;=InputData!$C$153,InputData!$C$154*(HC15-HH15),InputData!$C$155*(HC15-HH15)-InputData!$D$154))</f>
        <v>2461.0231578956054</v>
      </c>
      <c r="HJ15" s="32">
        <f t="shared" si="76"/>
        <v>8770.1184210534666</v>
      </c>
      <c r="HK15" s="32">
        <f>IF(HC15&gt;=0,IF(HC15&lt;=InputData!$C$148,InputData!$C$147*HC15,InputData!$C$147*InputData!$C$148)+InputData!$C$149*HC15,0)</f>
        <v>4694.4587368423608</v>
      </c>
      <c r="HL15" s="32">
        <f>IF(HE15&lt;0,0,IF(HE15&lt;=InputData!$B$163,InputData!$C$163*HE15,IF(HE15&lt;=InputData!$B$164,InputData!$D$163+InputData!$C$164*(HE15-InputData!$B$163),IF(HE15&lt;=InputData!$B$165,InputData!$D$164+InputData!$C$165*(HE15-InputData!$B$164),InputData!$D$165+InputData!$C$166*(HE15-InputData!$B$165)))))</f>
        <v>0</v>
      </c>
      <c r="HM15" s="43">
        <f t="shared" si="77"/>
        <v>0.21941616921567997</v>
      </c>
      <c r="HN15" s="43">
        <f t="shared" si="78"/>
        <v>0.16874291440679492</v>
      </c>
      <c r="HO15" s="5">
        <f t="shared" si="79"/>
        <v>66328.86012644702</v>
      </c>
      <c r="HP15" s="32">
        <f>HO15/((1+InputData!$C$7)^(Ortho!$B15-Ortho!$B$7))</f>
        <v>52360.614685334687</v>
      </c>
      <c r="HQ15" s="32">
        <f t="shared" si="80"/>
        <v>375167.2349965857</v>
      </c>
      <c r="HS15" s="93">
        <f t="shared" si="81"/>
        <v>5</v>
      </c>
      <c r="HT15" s="92" t="str">
        <f t="shared" si="82"/>
        <v>Residency (O3&gt;4 = (BP+BAH+BAS+VSP)*12)</v>
      </c>
      <c r="HU15" s="5">
        <f t="shared" si="83"/>
        <v>66397.919999999998</v>
      </c>
      <c r="HV15" s="5">
        <f t="shared" si="84"/>
        <v>19939.199999999997</v>
      </c>
      <c r="HW15" s="5">
        <f t="shared" si="85"/>
        <v>86337.12</v>
      </c>
      <c r="HX15" s="5">
        <f t="shared" si="86"/>
        <v>61365.473684213866</v>
      </c>
      <c r="HY15" s="5">
        <f t="shared" si="87"/>
        <v>18427.963600128995</v>
      </c>
      <c r="HZ15" s="32">
        <f>IF(HX15-InputData!$C$158-InputData!$C$159&gt;=0,HX15-InputData!$C$158-InputData!$C$159,0)</f>
        <v>61365.473684213866</v>
      </c>
      <c r="IA15" s="32">
        <f>IF(HX15-IF(HX15&lt;=InputData!$C$146,InputData!$C$145,0)-MAX(InputData!$C$144,IG15)&gt;=0,HX15-IF(HX15&lt;=InputData!$C$146,InputData!$C$145,0)-MAX(InputData!$C$144,IG15),0)</f>
        <v>51365.473684213866</v>
      </c>
      <c r="IB15" s="32">
        <f>IF(IA15&lt;0,"Error",IF(IA15&lt;=InputData!$B$170,InputData!$C$170*IA15,IF(IA15&lt;=InputData!$B$171,InputData!$D$170+InputData!$C$171*(IA15-InputData!$B$170),IF(IA15&lt;=InputData!$B$172,InputData!$D$171+InputData!$C$172*(IA15-InputData!$B$171),IF(IA15&lt;=InputData!$B$173,InputData!$D$172+InputData!$C$173*(IA15-InputData!$B$172),IF(IA15&lt;=InputData!$B$174,InputData!$D$173+InputData!$C$174*(IA15-InputData!$B$173),IF(IA15&lt;=InputData!$B$175,InputData!$D$174+InputData!$C$175*(IA15-InputData!$B$174),InputData!$D$175+InputData!$C$176*(IA15-InputData!$B$175))))))))</f>
        <v>8770.1184210534666</v>
      </c>
      <c r="IC15" s="32">
        <f>IF(HX15&lt;=InputData!$C$150,InputData!$C$152,IF(HX15&lt;InputData!$C$151,IF(InputData!$C$152-0.25*IF(HX15-InputData!$C$150&lt;=0,0,HX15-InputData!$C$150)&lt;=0,0,InputData!$C$152-0.25*IF(HX15-InputData!$C$150&lt;=0,0,HX15-InputData!$C$150)),0))</f>
        <v>51900</v>
      </c>
      <c r="ID15" s="32">
        <f>IF(HX15-IC15&lt;=0,0,IF(HX15-IC15&lt;=InputData!$C$153,InputData!$C$154*(HX15-IC15),InputData!$C$155*(HX15-IC15)-InputData!$D$154))</f>
        <v>2461.0231578956054</v>
      </c>
      <c r="IE15" s="32">
        <f t="shared" si="88"/>
        <v>8770.1184210534666</v>
      </c>
      <c r="IF15" s="32">
        <f>IF(HX15&gt;=0,IF(HX15&lt;=InputData!$C$148,InputData!$C$147*HX15,InputData!$C$147*InputData!$C$148)+InputData!$C$149*HX15,0)</f>
        <v>4694.4587368423608</v>
      </c>
      <c r="IG15" s="32">
        <f>IF(HZ15&lt;0,0,IF(HZ15&lt;=InputData!$B$163,InputData!$C$163*HZ15,IF(HZ15&lt;=InputData!$B$164,InputData!$D$163+InputData!$C$164*(HZ15-InputData!$B$163),IF(HZ15&lt;=InputData!$B$165,InputData!$D$164+InputData!$C$165*(HZ15-InputData!$B$164),InputData!$D$165+InputData!$C$166*(HZ15-InputData!$B$165)))))</f>
        <v>0</v>
      </c>
      <c r="IH15" s="43">
        <f t="shared" si="89"/>
        <v>0.21941616921567997</v>
      </c>
      <c r="II15" s="43">
        <f t="shared" si="90"/>
        <v>0.16874291440679492</v>
      </c>
      <c r="IJ15" s="5">
        <f t="shared" si="91"/>
        <v>66328.86012644702</v>
      </c>
      <c r="IK15" s="32">
        <f>IJ15/((1+InputData!$C$7)^(Ortho!$B15-Ortho!$B$7))</f>
        <v>52360.614685334687</v>
      </c>
      <c r="IL15" s="5">
        <f t="shared" si="92"/>
        <v>467290.95730725891</v>
      </c>
      <c r="IN15" s="93">
        <f t="shared" si="93"/>
        <v>5</v>
      </c>
      <c r="IO15" s="92" t="str">
        <f t="shared" si="94"/>
        <v>Residency (O3&gt;4 = (BP+BAH+BAS+VSP)*12)</v>
      </c>
      <c r="IP15" s="5">
        <f t="shared" si="8"/>
        <v>66397.919999999998</v>
      </c>
      <c r="IQ15" s="5">
        <f t="shared" si="9"/>
        <v>19939.199999999997</v>
      </c>
      <c r="IR15" s="5">
        <f t="shared" si="10"/>
        <v>86337.12</v>
      </c>
      <c r="IS15" s="5">
        <f t="shared" si="11"/>
        <v>61365.473684213866</v>
      </c>
      <c r="IT15" s="5">
        <f t="shared" si="12"/>
        <v>18427.963600128995</v>
      </c>
      <c r="IU15" s="32">
        <f>IF(IS15-InputData!$C$158-InputData!$C$159&gt;=0,IS15-InputData!$C$158-InputData!$C$159,0)</f>
        <v>61365.473684213866</v>
      </c>
      <c r="IV15" s="32">
        <f>IF(IS15-IF(IS15&lt;=InputData!$C$146,InputData!$C$145,0)-MAX(InputData!$C$144,JB15)&gt;=0,IS15-IF(IS15&lt;=InputData!$C$146,InputData!$C$145,0)-MAX(InputData!$C$144,JB15),0)</f>
        <v>51365.473684213866</v>
      </c>
      <c r="IW15" s="32">
        <f>IF(IV15&lt;0,"Error",IF(IV15&lt;=InputData!$B$170,InputData!$C$170*IV15,IF(IV15&lt;=InputData!$B$171,InputData!$D$170+InputData!$C$171*(IV15-InputData!$B$170),IF(IV15&lt;=InputData!$B$172,InputData!$D$171+InputData!$C$172*(IV15-InputData!$B$171),IF(IV15&lt;=InputData!$B$173,InputData!$D$172+InputData!$C$173*(IV15-InputData!$B$172),IF(IV15&lt;=InputData!$B$174,InputData!$D$173+InputData!$C$174*(IV15-InputData!$B$173),IF(IV15&lt;=InputData!$B$175,InputData!$D$174+InputData!$C$175*(IV15-InputData!$B$174),InputData!$D$175+InputData!$C$176*(IV15-InputData!$B$175))))))))</f>
        <v>8770.1184210534666</v>
      </c>
      <c r="IX15" s="32">
        <f>IF(IS15&lt;=InputData!$C$150,InputData!$C$152,IF(IS15&lt;InputData!$C$151,IF(InputData!$C$152-0.25*IF(IS15-InputData!$C$150&lt;=0,0,IS15-InputData!$C$150)&lt;=0,0,InputData!$C$152-0.25*IF(IS15-InputData!$C$150&lt;=0,0,IS15-InputData!$C$150)),0))</f>
        <v>51900</v>
      </c>
      <c r="IY15" s="32">
        <f>IF(IS15-IX15&lt;=0,0,IF(IS15-IX15&lt;=InputData!$C$153,InputData!$C$154*(IS15-IX15),InputData!$C$155*(IS15-IX15)-InputData!$D$154))</f>
        <v>2461.0231578956054</v>
      </c>
      <c r="IZ15" s="32">
        <f t="shared" si="95"/>
        <v>8770.1184210534666</v>
      </c>
      <c r="JA15" s="32">
        <f>IF(IS15&gt;=0,IF(IS15&lt;=InputData!$C$148,InputData!$C$147*IS15,InputData!$C$147*InputData!$C$148)+InputData!$C$149*IS15,0)</f>
        <v>4694.4587368423608</v>
      </c>
      <c r="JB15" s="32">
        <f>IF(IU15&lt;0,0,IF(IU15&lt;=InputData!$B$163,InputData!$C$163*IU15,IF(IU15&lt;=InputData!$B$164,InputData!$D$163+InputData!$C$164*(IU15-InputData!$B$163),IF(IU15&lt;=InputData!$B$165,InputData!$D$164+InputData!$C$165*(IU15-InputData!$B$164),InputData!$D$165+InputData!$C$166*(IU15-InputData!$B$165)))))</f>
        <v>0</v>
      </c>
      <c r="JC15" s="43">
        <f t="shared" si="96"/>
        <v>0.21941616921567997</v>
      </c>
      <c r="JD15" s="43">
        <f t="shared" si="97"/>
        <v>0.16874291440679492</v>
      </c>
      <c r="JE15" s="5">
        <f t="shared" si="98"/>
        <v>66328.86012644702</v>
      </c>
      <c r="JF15" s="32">
        <f>JE15/((1+InputData!$C$7)^(Ortho!$B15-Ortho!$B$7))</f>
        <v>52360.614685334687</v>
      </c>
      <c r="JG15" s="5">
        <f t="shared" si="99"/>
        <v>375167.2349965857</v>
      </c>
      <c r="JI15" s="56" t="str">
        <f t="shared" si="13"/>
        <v>Residency</v>
      </c>
      <c r="JJ15" s="5">
        <f t="shared" si="14"/>
        <v>68619.723909982989</v>
      </c>
      <c r="JK15" s="32">
        <v>0</v>
      </c>
      <c r="JL15" s="32">
        <f t="shared" si="101"/>
        <v>68619.723909982989</v>
      </c>
      <c r="JM15" s="32">
        <f>JM14*(1+InputData!$C$8)</f>
        <v>13462.366287716035</v>
      </c>
      <c r="JN15" s="32">
        <f>JJ15/((1+InputData!$C$3)^(Ortho!$B15-Ortho!$B$7))</f>
        <v>58566.273630894357</v>
      </c>
      <c r="JO15" s="32">
        <f>JK15/((1+InputData!$C$3)^(Ortho!$B15-Ortho!$B$7))</f>
        <v>0</v>
      </c>
      <c r="JP15" s="32" t="s">
        <v>140</v>
      </c>
      <c r="JQ15" s="32">
        <v>0</v>
      </c>
      <c r="JR15" s="32">
        <f>JR13</f>
        <v>0</v>
      </c>
      <c r="JS15" s="32">
        <f>(JR15)*InputData!$C$6</f>
        <v>0</v>
      </c>
      <c r="JT15" s="32">
        <v>0</v>
      </c>
      <c r="JU15" s="32">
        <f t="shared" si="151"/>
        <v>0</v>
      </c>
      <c r="JV15" s="32">
        <f>JT15/((1+InputData!$C$3)^(Ortho!$B15-Ortho!$B$7))</f>
        <v>0</v>
      </c>
      <c r="JW15" s="32">
        <f>IF(JN15-InputData!$C$158-InputData!$C$159&gt;=0,JN15-InputData!$C$158-InputData!$C$159,0)</f>
        <v>58566.273630894357</v>
      </c>
      <c r="JX15" s="32">
        <f>IF(JN15-IF(JN15&lt;=InputData!$C$146,InputData!$C$145,0)-MAX(InputData!$C$144,KD15)&gt;=0,JN15-IF(JN15&lt;=InputData!$C$146,InputData!$C$145,0)-MAX(InputData!$C$144,KD15),0)</f>
        <v>48566.273630894357</v>
      </c>
      <c r="JY15" s="32">
        <f>IF(JX15&lt;0,"Error",IF(JX15&lt;=InputData!$B$170,InputData!$C$170*JX15,IF(JX15&lt;=InputData!$B$171,InputData!$D$170+InputData!$C$171*(JX15-InputData!$B$170),IF(JX15&lt;=InputData!$B$172,InputData!$D$171+InputData!$C$172*(JX15-InputData!$B$171),IF(JX15&lt;=InputData!$B$173,InputData!$D$172+InputData!$C$173*(JX15-InputData!$B$172),IF(JX15&lt;=InputData!$B$174,InputData!$D$173+InputData!$C$174*(JX15-InputData!$B$173),IF(JX15&lt;=InputData!$B$175,InputData!$D$174+InputData!$C$175*(JX15-InputData!$B$174),InputData!$D$175+InputData!$C$176*(JX15-InputData!$B$175))))))))</f>
        <v>8070.3184077235892</v>
      </c>
      <c r="JZ15" s="32">
        <f>IF(JN15&lt;=InputData!$C$150,InputData!$C$152,IF(JN15&lt;InputData!$C$151,IF(InputData!$C$152-0.25*IF(JN15-InputData!$C$150&lt;=0,0,JN15-InputData!$C$150)&lt;=0,0,InputData!$C$152-0.25*IF(JN15-InputData!$C$150&lt;=0,0,JN15-InputData!$C$150)),0))</f>
        <v>51900</v>
      </c>
      <c r="KA15" s="32">
        <f>IF(JN15-JZ15&lt;=0,0,IF(JN15-JZ15&lt;=InputData!$C$153,InputData!$C$154*(JN15-JZ15),InputData!$C$155*(JN15-JZ15)-InputData!$D$154))</f>
        <v>1733.2311440325327</v>
      </c>
      <c r="KB15" s="32">
        <f t="shared" si="102"/>
        <v>8070.3184077235892</v>
      </c>
      <c r="KC15" s="32">
        <f>IF(JN15&gt;=0,IF(JN15&lt;=InputData!$C$148,InputData!$C$147*JN15,InputData!$C$147*InputData!$C$148)+InputData!$C$149*JN15,0)</f>
        <v>4480.3199327634184</v>
      </c>
      <c r="KD15" s="32">
        <f>IF(JW15&lt;0,0,IF(JW15&lt;=InputData!$B$163,InputData!$C$163*JW15,IF(JW15&lt;=InputData!$B$164,InputData!$D$163+InputData!$C$164*(JW15-InputData!$B$163),IF(JW15&lt;=InputData!$B$165,InputData!$D$164+InputData!$C$165*(JW15-InputData!$B$164),InputData!$D$165+InputData!$C$166*(JW15-InputData!$B$165)))))</f>
        <v>0</v>
      </c>
      <c r="KE15" s="43">
        <f t="shared" si="15"/>
        <v>0.21429805180342576</v>
      </c>
      <c r="KF15" s="32">
        <f t="shared" si="16"/>
        <v>46015.63529040735</v>
      </c>
      <c r="KG15" s="32">
        <f t="shared" si="103"/>
        <v>46015.63529040735</v>
      </c>
      <c r="KH15" s="32">
        <f>KG15/((1+InputData!$C$7)^(Ortho!$B15-Ortho!$B$7))</f>
        <v>36325.167421069789</v>
      </c>
      <c r="KI15" s="5">
        <f t="shared" si="122"/>
        <v>180492.55503378765</v>
      </c>
    </row>
    <row r="16" spans="1:295" ht="14.45" x14ac:dyDescent="0.3">
      <c r="A16" s="4">
        <v>2022</v>
      </c>
      <c r="B16" s="51">
        <v>10</v>
      </c>
      <c r="C16" s="4"/>
      <c r="D16" s="3">
        <v>6</v>
      </c>
      <c r="E16" s="4" t="s">
        <v>273</v>
      </c>
      <c r="F16" s="5">
        <f>InputData!$F$24*12</f>
        <v>61398</v>
      </c>
      <c r="G16" s="32">
        <f>(InputData!$F$24+InputData!$D$45)*12+InputData!$J$50</f>
        <v>81397.919999999998</v>
      </c>
      <c r="H16" s="32">
        <f>(InputData!$C$35+InputData!$C$40)*12</f>
        <v>19939.199999999997</v>
      </c>
      <c r="I16" s="32">
        <f t="shared" si="17"/>
        <v>101337.12</v>
      </c>
      <c r="J16" s="32">
        <f>G16*((1+InputData!$C$5)/(1+InputData!$C$3))^(Ortho!$B16-Ortho!$B$7)</f>
        <v>74491.055060082363</v>
      </c>
      <c r="K16" s="32">
        <f>H16*((1+InputData!$C$5)/(1+InputData!$C$3))^(Ortho!$B16-Ortho!$B$7)</f>
        <v>18247.297290323808</v>
      </c>
      <c r="L16" s="32">
        <f>IF(J16-InputData!$C$158-InputData!$C$159&gt;=0,J16-InputData!$C$158-InputData!$C$159,0)</f>
        <v>74491.055060082363</v>
      </c>
      <c r="M16" s="32">
        <f>IF(J16-IF(J16&lt;=InputData!$C$146,InputData!$C$145,0)-MAX(InputData!$C$144,S16)&gt;=0,J16-IF(J16&lt;=InputData!$C$146,InputData!$C$145,0)-MAX(InputData!$C$144,S16),0)</f>
        <v>64491.055060082363</v>
      </c>
      <c r="N16" s="32">
        <f>IF(M16&lt;0,"Error",IF(M16&lt;=InputData!$B$170,InputData!$C$170*M16,IF(M16&lt;=InputData!$B$171,InputData!$D$170+InputData!$C$171*(M16-InputData!$B$170),IF(M16&lt;=InputData!$B$172,InputData!$D$171+InputData!$C$172*(M16-InputData!$B$171),IF(M16&lt;=InputData!$B$173,InputData!$D$172+InputData!$C$173*(M16-InputData!$B$172),IF(M16&lt;=InputData!$B$174,InputData!$D$173+InputData!$C$174*(M16-InputData!$B$173),IF(M16&lt;=InputData!$B$175,InputData!$D$174+InputData!$C$175*(M16-InputData!$B$174),InputData!$D$175+InputData!$C$176*(M16-InputData!$B$175))))))))</f>
        <v>12051.513765020591</v>
      </c>
      <c r="O16" s="32">
        <f>IF(J16&lt;=InputData!$C$150,InputData!$C$152,IF(J16&lt;InputData!$C$151,IF(InputData!$C$152-0.25*IF(J16-InputData!$C$150&lt;=0,0,J16-InputData!$C$150)&lt;=0,0,InputData!$C$152-0.25*IF(J16-InputData!$C$150&lt;=0,0,J16-InputData!$C$150)),0))</f>
        <v>51900</v>
      </c>
      <c r="P16" s="32">
        <f>IF(J16-O16&lt;=0,0,IF(J16-O16&lt;=InputData!$C$153,InputData!$C$154*(J16-O16),InputData!$C$155*(J16-O16)-InputData!$D$154))</f>
        <v>5873.6743156214143</v>
      </c>
      <c r="Q16" s="32">
        <f t="shared" si="18"/>
        <v>12051.513765020591</v>
      </c>
      <c r="R16" s="32">
        <f>IF(J16&gt;=0,IF(J16&lt;=InputData!$C$148,InputData!$C$147*J16,InputData!$C$147*InputData!$C$148)+InputData!$C$149*J16,0)</f>
        <v>5698.5657120963015</v>
      </c>
      <c r="S16" s="32">
        <f>IF(L16&lt;0,0,IF(L16&lt;=InputData!$B$163,InputData!$C$163*L16,IF(L16&lt;=InputData!$B$164,InputData!$D$163+InputData!$C$164*(L16-InputData!$B$163),IF(L16&lt;=InputData!$B$165,InputData!$D$164+InputData!$C$165*(L16-InputData!$B$164),InputData!$D$165+InputData!$C$166*(L16-InputData!$B$165)))))</f>
        <v>0</v>
      </c>
      <c r="T16" s="43">
        <f t="shared" si="19"/>
        <v>0.2382847103293165</v>
      </c>
      <c r="U16" s="43">
        <f t="shared" si="20"/>
        <v>0.19139955614101603</v>
      </c>
      <c r="V16" s="5">
        <f t="shared" si="21"/>
        <v>74988.272873289287</v>
      </c>
      <c r="W16" s="32">
        <f>V16/((1+InputData!$C$7)^(Ortho!$B16-Ortho!$B$7))</f>
        <v>57472.267059638616</v>
      </c>
      <c r="X16" s="5">
        <f t="shared" si="104"/>
        <v>524763.22436689748</v>
      </c>
      <c r="Y16" s="53"/>
      <c r="Z16" s="3">
        <v>6</v>
      </c>
      <c r="AA16" s="4" t="s">
        <v>273</v>
      </c>
      <c r="AB16" s="5">
        <f t="shared" si="126"/>
        <v>61398</v>
      </c>
      <c r="AC16" s="32">
        <f t="shared" si="127"/>
        <v>81397.919999999998</v>
      </c>
      <c r="AD16" s="32">
        <f t="shared" si="127"/>
        <v>19939.199999999997</v>
      </c>
      <c r="AE16" s="32">
        <f t="shared" si="22"/>
        <v>101337.12</v>
      </c>
      <c r="AF16" s="5">
        <f>AC16*((1+InputData!$C$5)/(1+InputData!$C$3))^(Ortho!$B16-Ortho!$B$7)</f>
        <v>74491.055060082363</v>
      </c>
      <c r="AG16" s="5">
        <f>AD16*((1+InputData!$C$5)/(1+InputData!$C$3))^(Ortho!$B16-Ortho!$B$7)</f>
        <v>18247.297290323808</v>
      </c>
      <c r="AH16" s="32">
        <f>IF(AF16-InputData!$C$158-InputData!$C$159&gt;=0,AF16-InputData!$C$158-InputData!$C$159,0)</f>
        <v>74491.055060082363</v>
      </c>
      <c r="AI16" s="32">
        <f>IF(AF16-IF(AF16&lt;=InputData!$C$146,InputData!$C$145,0)-MAX(InputData!$C$144,AO16)&gt;=0,AF16-IF(AF16&lt;=InputData!$C$146,InputData!$C$145,0)-MAX(InputData!$C$144,AO16),0)</f>
        <v>64491.055060082363</v>
      </c>
      <c r="AJ16" s="32">
        <f>IF(AI16&lt;0,"Error",IF(AI16&lt;=InputData!$B$170,InputData!$C$170*AI16,IF(AI16&lt;=InputData!$B$171,InputData!$D$170+InputData!$C$171*(AI16-InputData!$B$170),IF(AI16&lt;=InputData!$B$172,InputData!$D$171+InputData!$C$172*(AI16-InputData!$B$171),IF(AI16&lt;=InputData!$B$173,InputData!$D$172+InputData!$C$173*(AI16-InputData!$B$172),IF(AI16&lt;=InputData!$B$174,InputData!$D$173+InputData!$C$174*(AI16-InputData!$B$173),IF(AI16&lt;=InputData!$B$175,InputData!$D$174+InputData!$C$175*(AI16-InputData!$B$174),InputData!$D$175+InputData!$C$176*(AI16-InputData!$B$175))))))))</f>
        <v>12051.513765020591</v>
      </c>
      <c r="AK16" s="32">
        <f>IF(AF16&lt;=InputData!$C$150,InputData!$C$152,IF(AF16&lt;InputData!$C$151,IF(InputData!$C$152-0.25*IF(AF16-InputData!$C$150&lt;=0,0,AF16-InputData!$C$150)&lt;=0,0,InputData!$C$152-0.25*IF(AF16-InputData!$C$150&lt;=0,0,AF16-InputData!$C$150)),0))</f>
        <v>51900</v>
      </c>
      <c r="AL16" s="32">
        <f>IF(AF16-AK16&lt;=0,0,IF(AF16-AK16&lt;=InputData!$C$153,InputData!$C$154*(AF16-AK16),InputData!$C$155*(AF16-AK16)-InputData!$D$154))</f>
        <v>5873.6743156214143</v>
      </c>
      <c r="AM16" s="32">
        <f t="shared" si="23"/>
        <v>12051.513765020591</v>
      </c>
      <c r="AN16" s="32">
        <f>IF(AF16&gt;=0,IF(AF16&lt;=InputData!$C$148,InputData!$C$147*AF16,InputData!$C$147*InputData!$C$148)+InputData!$C$149*AF16,0)</f>
        <v>5698.5657120963015</v>
      </c>
      <c r="AO16" s="32">
        <f>IF(AH16&lt;0,0,IF(AH16&lt;=InputData!$B$163,InputData!$C$163*AH16,IF(AH16&lt;=InputData!$B$164,InputData!$D$163+InputData!$C$164*(AH16-InputData!$B$163),IF(AH16&lt;=InputData!$B$165,InputData!$D$164+InputData!$C$165*(AH16-InputData!$B$164),InputData!$D$165+InputData!$C$166*(AH16-InputData!$B$165)))))</f>
        <v>0</v>
      </c>
      <c r="AP16" s="43">
        <f t="shared" si="24"/>
        <v>0.2382847103293165</v>
      </c>
      <c r="AQ16" s="43">
        <f t="shared" si="25"/>
        <v>0.19139955614101603</v>
      </c>
      <c r="AR16" s="5">
        <f t="shared" si="26"/>
        <v>74988.272873289287</v>
      </c>
      <c r="AS16" s="32">
        <f>AR16/((1+InputData!$C$7)^(Ortho!$B16-Ortho!$B$7))</f>
        <v>57472.267059638616</v>
      </c>
      <c r="AT16" s="5">
        <f t="shared" si="105"/>
        <v>432639.50205622433</v>
      </c>
      <c r="AU16" s="53"/>
      <c r="AV16" s="41" t="s">
        <v>109</v>
      </c>
      <c r="AW16" s="32">
        <f>InputData!$C$85*(1+InputData!$C$12)^(Ortho!B16-Ortho!$B$7)</f>
        <v>488816.76241789758</v>
      </c>
      <c r="AX16" s="32">
        <v>0</v>
      </c>
      <c r="AY16" s="32">
        <f t="shared" si="28"/>
        <v>488816.76241789758</v>
      </c>
      <c r="AZ16" s="32">
        <f>AZ15*(1+InputData!$C$8)</f>
        <v>13731.613613470356</v>
      </c>
      <c r="BA16" s="32">
        <f>AW16/((1+InputData!$C$3)^(Ortho!$B16-Ortho!$B$7))</f>
        <v>409020</v>
      </c>
      <c r="BB16" s="32">
        <f>AX16/((1+InputData!$C$3)^(Ortho!$B16-Ortho!$B$7))</f>
        <v>0</v>
      </c>
      <c r="BC16" s="60" t="s">
        <v>144</v>
      </c>
      <c r="BD16" s="32">
        <v>0</v>
      </c>
      <c r="BE16" s="118">
        <f t="shared" ref="BE16:BE36" si="152">BH15+BD16</f>
        <v>271775.90709000005</v>
      </c>
      <c r="BF16" s="32">
        <f>(BE16)*InputData!$C$6</f>
        <v>16877.283830289005</v>
      </c>
      <c r="BG16" s="32">
        <f>MIN($BE$16*InputData!$C$6/(1-(1+InputData!$C$6)^(-10)), BE16+BF16)</f>
        <v>37293.894744798265</v>
      </c>
      <c r="BH16" s="118">
        <f t="shared" si="137"/>
        <v>251359.29617549083</v>
      </c>
      <c r="BI16" s="32">
        <f>BG16/((1+InputData!$C$3)^(Ortho!$B16-Ortho!$B$7))</f>
        <v>31205.862812610612</v>
      </c>
      <c r="BJ16" s="32">
        <f>IF(BA16-InputData!$C$158-InputData!$C$159&gt;=0,BA16-InputData!$C$158-InputData!$C$159,0)</f>
        <v>409020</v>
      </c>
      <c r="BK16" s="32">
        <f>IF(BA16-IF(BA16&lt;=InputData!$C$146,InputData!$C$145,0)-MAX(InputData!$C$144,BQ16)&gt;=0,BA16-IF(BA16&lt;=InputData!$C$146,InputData!$C$145,0)-MAX(InputData!$C$144,BQ16),0)</f>
        <v>402920</v>
      </c>
      <c r="BL16" s="32">
        <f>IF(BK16&lt;0,"Error",IF(BK16&lt;=InputData!$B$170,InputData!$C$170*BK16,IF(BK16&lt;=InputData!$B$171,InputData!$D$170+InputData!$C$171*(BK16-InputData!$B$170),IF(BK16&lt;=InputData!$B$172,InputData!$D$171+InputData!$C$172*(BK16-InputData!$B$171),IF(BK16&lt;=InputData!$B$173,InputData!$D$172+InputData!$C$173*(BK16-InputData!$B$172),IF(BK16&lt;=InputData!$B$174,InputData!$D$173+InputData!$C$174*(BK16-InputData!$B$173),IF(BK16&lt;=InputData!$B$175,InputData!$D$174+InputData!$C$175*(BK16-InputData!$B$174),InputData!$D$175+InputData!$C$176*(BK16-InputData!$B$175))))))))</f>
        <v>117320.07</v>
      </c>
      <c r="BM16" s="32">
        <f>IF(BA16&lt;=InputData!$C$150,InputData!$C$152,IF(BA16&lt;InputData!$C$151,IF(InputData!$C$152-0.25*IF(BA16-InputData!$C$150&lt;=0,0,BA16-InputData!$C$150)&lt;=0,0,InputData!$C$152-0.25*IF(BA16-InputData!$C$150&lt;=0,0,BA16-InputData!$C$150)),0))</f>
        <v>0</v>
      </c>
      <c r="BN16" s="32">
        <f>IF(BA16-BM16&lt;=0,0,IF(BA16-BM16&lt;=InputData!$C$153,InputData!$C$154*(BA16-BM16),InputData!$C$155*(BA16-BM16)-InputData!$D$154))</f>
        <v>110935.6</v>
      </c>
      <c r="BO16" s="32">
        <f t="shared" si="29"/>
        <v>117320.07</v>
      </c>
      <c r="BP16" s="32">
        <f>IF(BA16&gt;=0,IF(BA16&lt;=InputData!$C$148,InputData!$C$147*BA16,InputData!$C$147*InputData!$C$148)+InputData!$C$149*BA16,0)</f>
        <v>12980.189999999999</v>
      </c>
      <c r="BQ16" s="32">
        <f>IF(BJ16&lt;0,0,IF(BJ16&lt;=InputData!$B$163,InputData!$C$163*BJ16,IF(BJ16&lt;=InputData!$B$164,InputData!$D$163+InputData!$C$164*(BJ16-InputData!$B$163),IF(BJ16&lt;=InputData!$B$165,InputData!$D$164+InputData!$C$165*(BJ16-InputData!$B$164),InputData!$D$165+InputData!$C$166*(BJ16-InputData!$B$165)))))</f>
        <v>0</v>
      </c>
      <c r="BR16" s="43">
        <f t="shared" si="30"/>
        <v>0.31856696494058973</v>
      </c>
      <c r="BS16" s="32">
        <f t="shared" si="31"/>
        <v>278719.74</v>
      </c>
      <c r="BT16" s="32">
        <f t="shared" si="32"/>
        <v>247513.87718738939</v>
      </c>
      <c r="BU16" s="32">
        <f>BT16/((1+InputData!$C$7)^(Ortho!$B16-Ortho!$B$7))</f>
        <v>189698.77696366076</v>
      </c>
      <c r="BV16" s="5">
        <f t="shared" si="107"/>
        <v>179323.95170836631</v>
      </c>
      <c r="BW16" s="5"/>
      <c r="BX16" s="60" t="s">
        <v>144</v>
      </c>
      <c r="BY16" s="5">
        <f t="shared" ref="BY16:BY36" si="153">CB15</f>
        <v>271775.90709000005</v>
      </c>
      <c r="BZ16" s="32">
        <f>(BY16)*InputData!$C$6</f>
        <v>16877.283830289005</v>
      </c>
      <c r="CA16" s="32">
        <f>MIN($BY$16*InputData!$C$6/(1-(1+InputData!$C$6)^(-25)), BY16+BZ16)</f>
        <v>21686.214673809533</v>
      </c>
      <c r="CB16" s="32">
        <f t="shared" ref="CB16:CB36" si="154">CB15+$BD16+BZ16-CA16</f>
        <v>266966.97624647955</v>
      </c>
      <c r="CC16" s="32">
        <f>CA16/((1+InputData!$C$3)^(Ortho!$B16-Ortho!$B$7))</f>
        <v>18146.054325155041</v>
      </c>
      <c r="CD16" s="5">
        <f t="shared" si="36"/>
        <v>260573.68567484495</v>
      </c>
      <c r="CE16" s="32">
        <f>CD16/((1+InputData!$C$7)^(Ortho!$B16-Ortho!$B$7))</f>
        <v>199708.03270965003</v>
      </c>
      <c r="CF16" s="5">
        <f t="shared" si="108"/>
        <v>189333.20745435558</v>
      </c>
      <c r="CG16" s="5"/>
      <c r="CH16" s="60" t="s">
        <v>144</v>
      </c>
      <c r="CI16" s="5">
        <f t="shared" ref="CI16:CI36" si="155">CL15</f>
        <v>271775.90709000005</v>
      </c>
      <c r="CJ16" s="32">
        <f>(CI16)*InputData!$C$6</f>
        <v>16877.283830289005</v>
      </c>
      <c r="CK16" s="118" t="str">
        <f>IF(0.15*($AY$16-1.5*$AZ16)&lt;=$BG$16,MIN(0.15*($AY16-1.5*$AZ16),$BG$16, CI16+CJ16),"DNQ")</f>
        <v>DNQ</v>
      </c>
      <c r="CL16" s="32" t="e">
        <f t="shared" ref="CL16:CL36" si="156">CL15+$BD16+CJ16-CK16</f>
        <v>#VALUE!</v>
      </c>
      <c r="CM16" s="32" t="e">
        <f>CK16/((1+InputData!$C$3)^(Ortho!$B16-Ortho!$B$7))</f>
        <v>#VALUE!</v>
      </c>
      <c r="CN16" s="5" t="e">
        <f t="shared" si="40"/>
        <v>#VALUE!</v>
      </c>
      <c r="CO16" s="32" t="e">
        <f>CN16/((1+InputData!$C$7)^(Ortho!$B16-Ortho!$B$7))</f>
        <v>#VALUE!</v>
      </c>
      <c r="CP16" s="5" t="e">
        <f t="shared" si="109"/>
        <v>#VALUE!</v>
      </c>
      <c r="CQ16" s="5"/>
      <c r="CR16" s="60" t="s">
        <v>144</v>
      </c>
      <c r="CS16" s="5">
        <f t="shared" ref="CS16:CS36" si="157">CV15</f>
        <v>271775.90709000005</v>
      </c>
      <c r="CT16" s="32">
        <f>(CS16)*InputData!$C$6</f>
        <v>16877.283830289005</v>
      </c>
      <c r="CU16" s="32" t="str">
        <f>IF(0.1*($AY$16-1.5*$AZ16)&lt;=$BG$16,MIN(0.1*($AY16-1.5*$AZ16),$BG$16,CS16+CT16),"DNQ")</f>
        <v>DNQ</v>
      </c>
      <c r="CV16" s="32" t="e">
        <f t="shared" ref="CV16:CV36" si="158">CV15+$BD16+CT16-CU16</f>
        <v>#VALUE!</v>
      </c>
      <c r="CW16" s="32" t="e">
        <f>CU16/((1+InputData!$C$3)^(Ortho!$B16-Ortho!$B$7))</f>
        <v>#VALUE!</v>
      </c>
      <c r="CX16" s="5" t="e">
        <f t="shared" si="44"/>
        <v>#VALUE!</v>
      </c>
      <c r="CY16" s="32" t="e">
        <f>CX16/((1+InputData!$C$7)^(Ortho!$B16-Ortho!$B$7))</f>
        <v>#VALUE!</v>
      </c>
      <c r="CZ16" s="5" t="e">
        <f t="shared" si="110"/>
        <v>#VALUE!</v>
      </c>
      <c r="DA16" s="5"/>
      <c r="DB16" s="32" t="s">
        <v>141</v>
      </c>
      <c r="DC16" s="5">
        <f t="shared" si="138"/>
        <v>132238.24440235479</v>
      </c>
      <c r="DD16" s="5">
        <f>DC16*InputData!$C$6</f>
        <v>8211.9949773862318</v>
      </c>
      <c r="DE16" s="32">
        <f t="shared" si="139"/>
        <v>29148.379963889372</v>
      </c>
      <c r="DF16" s="32">
        <f t="shared" si="140"/>
        <v>111301.85941585165</v>
      </c>
      <c r="DG16" s="32">
        <f>DE16/((1+InputData!$C$3)^(Ortho!$B16-Ortho!$B$7))</f>
        <v>24390.060426441523</v>
      </c>
      <c r="DH16" s="5">
        <f t="shared" si="48"/>
        <v>254329.67957355847</v>
      </c>
      <c r="DI16" s="32">
        <f>DH16/((1+InputData!$C$7)^(Ortho!$B16-Ortho!$B$7))</f>
        <v>194922.52195676838</v>
      </c>
      <c r="DJ16" s="5">
        <f t="shared" si="111"/>
        <v>87863.568967704094</v>
      </c>
      <c r="DK16" s="5"/>
      <c r="DL16" s="32" t="s">
        <v>141</v>
      </c>
      <c r="DM16" s="32">
        <f t="shared" ref="DM16:DM36" si="159">IF(0.15*($AY16-1.5*$AZ16)&lt;=$DD$2,DQ15-DO15,DQ15)</f>
        <v>240379.52600368665</v>
      </c>
      <c r="DN16" s="5">
        <f>DM16*InputData!$C$6</f>
        <v>14927.568564828942</v>
      </c>
      <c r="DO16" s="32">
        <f t="shared" ref="DO16:DO36" si="160">MAX(0,DN16-DP16)</f>
        <v>0</v>
      </c>
      <c r="DP16" s="32">
        <f t="shared" si="123"/>
        <v>29148.379963889372</v>
      </c>
      <c r="DQ16" s="32">
        <f t="shared" si="124"/>
        <v>226158.71460462624</v>
      </c>
      <c r="DR16" s="32">
        <f>DP16/((1+InputData!$C$3)^(Ortho!$B16-Ortho!$B$7))</f>
        <v>24390.060426441523</v>
      </c>
      <c r="DS16" s="5">
        <f t="shared" si="52"/>
        <v>254329.67957355847</v>
      </c>
      <c r="DT16" s="32">
        <f>DS16/((1+InputData!$C$7)^(Ortho!$B16-Ortho!$B$7))</f>
        <v>194922.52195676838</v>
      </c>
      <c r="DU16" s="5">
        <f t="shared" si="113"/>
        <v>161317.67393053099</v>
      </c>
      <c r="DV16" s="5"/>
      <c r="DW16" s="32" t="s">
        <v>141</v>
      </c>
      <c r="DX16" s="133">
        <f t="shared" si="141"/>
        <v>233657.82000000004</v>
      </c>
      <c r="DY16" s="5">
        <f>DX16*InputData!$C$6</f>
        <v>14510.150622000003</v>
      </c>
      <c r="DZ16" s="133">
        <f t="shared" si="142"/>
        <v>23790.557023901692</v>
      </c>
      <c r="EA16" s="32">
        <f t="shared" si="143"/>
        <v>29148.379963889372</v>
      </c>
      <c r="EB16" s="32">
        <f t="shared" si="144"/>
        <v>236206.75702390174</v>
      </c>
      <c r="EC16" s="32">
        <f>EA16/((1+InputData!$C$3)^(Ortho!$B16-Ortho!$B$7))</f>
        <v>24390.060426441523</v>
      </c>
      <c r="ED16" s="5">
        <f t="shared" si="56"/>
        <v>254329.67957355847</v>
      </c>
      <c r="EE16" s="32">
        <f>ED16/((1+InputData!$C$7)^(Ortho!$B16-Ortho!$B$7))</f>
        <v>194922.52195676838</v>
      </c>
      <c r="EF16" s="5">
        <f t="shared" si="115"/>
        <v>169061.01485417862</v>
      </c>
      <c r="EG16" s="32"/>
      <c r="EH16" s="130" t="s">
        <v>144</v>
      </c>
      <c r="EI16" s="32">
        <v>0</v>
      </c>
      <c r="EJ16" s="60">
        <f>EL15</f>
        <v>271571.03913599998</v>
      </c>
      <c r="EK16" s="32">
        <f>(EJ16)*InputData!$C$6</f>
        <v>16864.5615303456</v>
      </c>
      <c r="EL16" s="32">
        <f>EL15+EI16+EK16-EN16</f>
        <v>251169.81850884345</v>
      </c>
      <c r="EM16" s="32">
        <f>EM15*(1+InputData!$C$8)</f>
        <v>13731.613613470356</v>
      </c>
      <c r="EN16" s="32">
        <f>MIN(0.1*(AW16-1.5*EM16),$FD$16,EJ16+EK16)</f>
        <v>37265.782157502101</v>
      </c>
      <c r="EO16" s="32">
        <f>AW16/((1+InputData!$C$3)^(Ortho!$B16-Ortho!$B$7))</f>
        <v>409020</v>
      </c>
      <c r="EP16" s="32">
        <f>AX16/((1+InputData!$C$3)^(Ortho!$B16-Ortho!$B$7))</f>
        <v>0</v>
      </c>
      <c r="EQ16" s="32">
        <v>8808.25</v>
      </c>
      <c r="ER16" s="32">
        <v>4047.39</v>
      </c>
      <c r="ES16" s="32">
        <v>0</v>
      </c>
      <c r="ET16" s="43">
        <f t="shared" si="129"/>
        <v>3.1430345704366536E-2</v>
      </c>
      <c r="EU16" s="32">
        <f t="shared" si="57"/>
        <v>396164.36</v>
      </c>
      <c r="EV16" s="32">
        <f>EN16/((1+InputData!$C$3)^(Ortho!$B16-Ortho!$B$7))</f>
        <v>31182.339457153241</v>
      </c>
      <c r="EW16" s="32">
        <f t="shared" si="58"/>
        <v>364982.02054284676</v>
      </c>
      <c r="EX16" s="32">
        <f>EW16/((1+InputData!$C$7)^(Ortho!$B16-Ortho!$B$7))</f>
        <v>279728.32754862314</v>
      </c>
      <c r="EY16" s="5">
        <f t="shared" si="117"/>
        <v>270938.20374998811</v>
      </c>
      <c r="EZ16" s="79"/>
      <c r="FA16" s="60">
        <f t="shared" ref="FA16:FA36" si="161">FC15</f>
        <v>271571.03913599998</v>
      </c>
      <c r="FB16" s="32">
        <f>FA16*InputData!$C$6</f>
        <v>16864.5615303456</v>
      </c>
      <c r="FC16" s="32">
        <f t="shared" ref="FC16:FC36" si="162">FC15+$EI16+FB16-FD16</f>
        <v>251169.81850884345</v>
      </c>
      <c r="FD16" s="32">
        <f>MIN($EJ$16*InputData!$C$6/(1-(1+InputData!$C$6)^(-10)), FA16+FB16)</f>
        <v>37265.782157502101</v>
      </c>
      <c r="FE16" s="32">
        <f>FD16/((1+InputData!$C$3)^(Ortho!$B16-Ortho!$B$7))</f>
        <v>31182.339457153241</v>
      </c>
      <c r="FF16" s="5">
        <f t="shared" si="62"/>
        <v>364982.02054284676</v>
      </c>
      <c r="FG16" s="32">
        <f>FF16/((1+InputData!$C$7)^(Ortho!$B16-Ortho!$B$7))</f>
        <v>279728.32754862314</v>
      </c>
      <c r="FH16" s="5">
        <f t="shared" si="118"/>
        <v>270938.20374998811</v>
      </c>
      <c r="FI16" s="79"/>
      <c r="FJ16" s="60">
        <f t="shared" ref="FJ16:FJ36" si="163">FL15</f>
        <v>271571.03913599998</v>
      </c>
      <c r="FK16" s="32">
        <f>FJ16*InputData!$C$6</f>
        <v>16864.5615303456</v>
      </c>
      <c r="FL16" s="32">
        <f t="shared" ref="FL16:FL36" si="164">FL15+$EI16+FK16-FM16</f>
        <v>266765.73332250281</v>
      </c>
      <c r="FM16" s="32">
        <f>MIN($EJ$16*InputData!$C$6/(1-(1+InputData!$C$6)^(-25)), FJ16+FK16)</f>
        <v>21669.867343842721</v>
      </c>
      <c r="FN16" s="32">
        <f>FM16/((1+InputData!$C$3)^(Ortho!$B16-Ortho!$B$7))</f>
        <v>18132.375610722356</v>
      </c>
      <c r="FO16" s="5">
        <f t="shared" si="66"/>
        <v>378031.98438927764</v>
      </c>
      <c r="FP16" s="32">
        <f>FO16/((1+InputData!$C$7)^(Ortho!$B16-Ortho!$B$7))</f>
        <v>289730.03819700715</v>
      </c>
      <c r="FQ16" s="5">
        <f t="shared" si="119"/>
        <v>280939.91439837212</v>
      </c>
      <c r="FR16" s="79"/>
      <c r="FS16" s="60">
        <f t="shared" ref="FS16:FS36" si="165">FU15</f>
        <v>271571.03913599998</v>
      </c>
      <c r="FT16" s="32">
        <f>FS16*InputData!$C$6</f>
        <v>16864.5615303456</v>
      </c>
      <c r="FU16" s="32">
        <f t="shared" ref="FU16:FU36" si="166">FU15+$EI16+FT16-FV16</f>
        <v>251169.81850884345</v>
      </c>
      <c r="FV16" s="5">
        <f>MIN(0.15*($AW16-1.5*$EM16),$FD$16, FS16+FT16)</f>
        <v>37265.782157502101</v>
      </c>
      <c r="FW16" s="32">
        <f>FV16/((1+InputData!$C$3)^(Ortho!$B16-Ortho!$B$7))</f>
        <v>31182.339457153241</v>
      </c>
      <c r="FX16" s="5">
        <f t="shared" si="70"/>
        <v>364982.02054284676</v>
      </c>
      <c r="FY16" s="32">
        <f>FX16/((1+InputData!$C$7)^(Ortho!$B16-Ortho!$B$7))</f>
        <v>279728.32754862314</v>
      </c>
      <c r="FZ16" s="5">
        <f t="shared" si="120"/>
        <v>270938.20374998811</v>
      </c>
      <c r="GC16" s="3">
        <f t="shared" si="3"/>
        <v>6</v>
      </c>
      <c r="GD16" s="4" t="str">
        <f t="shared" si="145"/>
        <v>Service (O3&gt;4 = (BP+BAH+BAS+VSP)*12)+ASP</v>
      </c>
      <c r="GE16" s="5">
        <f t="shared" si="146"/>
        <v>81397.919999999998</v>
      </c>
      <c r="GF16" s="5">
        <f t="shared" si="147"/>
        <v>19939.199999999997</v>
      </c>
      <c r="GG16" s="5">
        <f t="shared" si="148"/>
        <v>101337.12</v>
      </c>
      <c r="GH16" s="5">
        <f t="shared" si="149"/>
        <v>74491.055060082363</v>
      </c>
      <c r="GI16" s="5">
        <f t="shared" si="150"/>
        <v>18247.297290323808</v>
      </c>
      <c r="GJ16" s="32">
        <f>IF(GH16-InputData!$C$158-InputData!$C$159&gt;=0,GH16-InputData!$C$158-InputData!$C$159,0)</f>
        <v>74491.055060082363</v>
      </c>
      <c r="GK16" s="32">
        <f>IF(GH16-IF(GH16&lt;=InputData!$C$146,InputData!$C$145,0)-MAX(InputData!$C$144,GQ16)&gt;=0,GH16-IF(GH16&lt;=InputData!$C$146,InputData!$C$145,0)-MAX(InputData!$C$144,GQ16),0)</f>
        <v>64491.055060082363</v>
      </c>
      <c r="GL16" s="32">
        <f>IF(GK16&lt;0,"Error",IF(GK16&lt;=InputData!$B$170,InputData!$C$170*GK16,IF(GK16&lt;=InputData!$B$171,InputData!$D$170+InputData!$C$171*(GK16-InputData!$B$170),IF(GK16&lt;=InputData!$B$172,InputData!$D$171+InputData!$C$172*(GK16-InputData!$B$171),IF(GK16&lt;=InputData!$B$173,InputData!$D$172+InputData!$C$173*(GK16-InputData!$B$172),IF(GK16&lt;=InputData!$B$174,InputData!$D$173+InputData!$C$174*(GK16-InputData!$B$173),IF(GK16&lt;=InputData!$B$175,InputData!$D$174+InputData!$C$175*(GK16-InputData!$B$174),InputData!$D$175+InputData!$C$176*(GK16-InputData!$B$175))))))))</f>
        <v>12051.513765020591</v>
      </c>
      <c r="GM16" s="32">
        <f>IF(GH16&lt;=InputData!$C$150,InputData!$C$152,IF(GH16&lt;InputData!$C$151,IF(InputData!$C$152-0.25*IF(GH16-InputData!$C$150&lt;=0,0,GH16-InputData!$C$150)&lt;=0,0,InputData!$C$152-0.25*IF(GH16-InputData!$C$150&lt;=0,0,GH16-InputData!$C$150)),0))</f>
        <v>51900</v>
      </c>
      <c r="GN16" s="32">
        <f>IF(GH16-GM16&lt;=0,0,IF(GH16-GM16&lt;=InputData!$C$153,InputData!$C$154*(GH16-GM16),InputData!$C$155*(GH16-GM16)-InputData!$D$154))</f>
        <v>5873.6743156214143</v>
      </c>
      <c r="GO16" s="32">
        <f t="shared" si="71"/>
        <v>12051.513765020591</v>
      </c>
      <c r="GP16" s="32">
        <f>IF(GH16&gt;=0,IF(GH16&lt;=InputData!$C$148,InputData!$C$147*GH16,InputData!$C$147*InputData!$C$148)+InputData!$C$149*GH16,0)</f>
        <v>5698.5657120963015</v>
      </c>
      <c r="GQ16" s="32">
        <f>IF(GJ16&lt;0,0,IF(GJ16&lt;=InputData!$B$163,InputData!$C$163*GJ16,IF(GJ16&lt;=InputData!$B$164,InputData!$D$163+InputData!$C$164*(GJ16-InputData!$B$163),IF(GJ16&lt;=InputData!$B$165,InputData!$D$164+InputData!$C$165*(GJ16-InputData!$B$164),InputData!$D$165+InputData!$C$166*(GJ16-InputData!$B$165)))))</f>
        <v>0</v>
      </c>
      <c r="GR16" s="43">
        <f t="shared" si="72"/>
        <v>0.2382847103293165</v>
      </c>
      <c r="GS16" s="43">
        <f t="shared" si="73"/>
        <v>0.19139955614101603</v>
      </c>
      <c r="GT16" s="5">
        <f t="shared" si="74"/>
        <v>74988.272873289287</v>
      </c>
      <c r="GU16" s="32">
        <f>GT16/((1+InputData!$C$7)^(Ortho!$B16-Ortho!$B$7))</f>
        <v>57472.267059638616</v>
      </c>
      <c r="GV16" s="32">
        <f t="shared" si="75"/>
        <v>524763.22436689748</v>
      </c>
      <c r="GX16" s="3">
        <f t="shared" si="130"/>
        <v>6</v>
      </c>
      <c r="GY16" s="4" t="str">
        <f t="shared" si="131"/>
        <v>Service (O3&gt;4 = (BP+BAH+BAS+VSP)*12)+ASP</v>
      </c>
      <c r="GZ16" s="5">
        <f t="shared" si="132"/>
        <v>81397.919999999998</v>
      </c>
      <c r="HA16" s="5">
        <f t="shared" si="133"/>
        <v>19939.199999999997</v>
      </c>
      <c r="HB16" s="5">
        <f t="shared" si="134"/>
        <v>101337.12</v>
      </c>
      <c r="HC16" s="5">
        <f t="shared" si="135"/>
        <v>74491.055060082363</v>
      </c>
      <c r="HD16" s="5">
        <f t="shared" si="136"/>
        <v>18247.297290323808</v>
      </c>
      <c r="HE16" s="32">
        <f>IF(HC16-InputData!$C$158-InputData!$C$159&gt;=0,HC16-InputData!$C$158-InputData!$C$159,0)</f>
        <v>74491.055060082363</v>
      </c>
      <c r="HF16" s="32">
        <f>IF(HC16-IF(HC16&lt;=InputData!$C$146,InputData!$C$145,0)-MAX(InputData!$C$144,HL16)&gt;=0,HC16-IF(HC16&lt;=InputData!$C$146,InputData!$C$145,0)-MAX(InputData!$C$144,HL16),0)</f>
        <v>64491.055060082363</v>
      </c>
      <c r="HG16" s="32">
        <f>IF(HF16&lt;0,"Error",IF(HF16&lt;=InputData!$B$170,InputData!$C$170*HF16,IF(HF16&lt;=InputData!$B$171,InputData!$D$170+InputData!$C$171*(HF16-InputData!$B$170),IF(HF16&lt;=InputData!$B$172,InputData!$D$171+InputData!$C$172*(HF16-InputData!$B$171),IF(HF16&lt;=InputData!$B$173,InputData!$D$172+InputData!$C$173*(HF16-InputData!$B$172),IF(HF16&lt;=InputData!$B$174,InputData!$D$173+InputData!$C$174*(HF16-InputData!$B$173),IF(HF16&lt;=InputData!$B$175,InputData!$D$174+InputData!$C$175*(HF16-InputData!$B$174),InputData!$D$175+InputData!$C$176*(HF16-InputData!$B$175))))))))</f>
        <v>12051.513765020591</v>
      </c>
      <c r="HH16" s="32">
        <f>IF(HC16&lt;=InputData!$C$150,InputData!$C$152,IF(HC16&lt;InputData!$C$151,IF(InputData!$C$152-0.25*IF(HC16-InputData!$C$150&lt;=0,0,HC16-InputData!$C$150)&lt;=0,0,InputData!$C$152-0.25*IF(HC16-InputData!$C$150&lt;=0,0,HC16-InputData!$C$150)),0))</f>
        <v>51900</v>
      </c>
      <c r="HI16" s="32">
        <f>IF(HC16-HH16&lt;=0,0,IF(HC16-HH16&lt;=InputData!$C$153,InputData!$C$154*(HC16-HH16),InputData!$C$155*(HC16-HH16)-InputData!$D$154))</f>
        <v>5873.6743156214143</v>
      </c>
      <c r="HJ16" s="32">
        <f t="shared" si="76"/>
        <v>12051.513765020591</v>
      </c>
      <c r="HK16" s="32">
        <f>IF(HC16&gt;=0,IF(HC16&lt;=InputData!$C$148,InputData!$C$147*HC16,InputData!$C$147*InputData!$C$148)+InputData!$C$149*HC16,0)</f>
        <v>5698.5657120963015</v>
      </c>
      <c r="HL16" s="32">
        <f>IF(HE16&lt;0,0,IF(HE16&lt;=InputData!$B$163,InputData!$C$163*HE16,IF(HE16&lt;=InputData!$B$164,InputData!$D$163+InputData!$C$164*(HE16-InputData!$B$163),IF(HE16&lt;=InputData!$B$165,InputData!$D$164+InputData!$C$165*(HE16-InputData!$B$164),InputData!$D$165+InputData!$C$166*(HE16-InputData!$B$165)))))</f>
        <v>0</v>
      </c>
      <c r="HM16" s="43">
        <f t="shared" si="77"/>
        <v>0.2382847103293165</v>
      </c>
      <c r="HN16" s="43">
        <f t="shared" si="78"/>
        <v>0.19139955614101603</v>
      </c>
      <c r="HO16" s="5">
        <f t="shared" si="79"/>
        <v>74988.272873289287</v>
      </c>
      <c r="HP16" s="32">
        <f>HO16/((1+InputData!$C$7)^(Ortho!$B16-Ortho!$B$7))</f>
        <v>57472.267059638616</v>
      </c>
      <c r="HQ16" s="32">
        <f t="shared" si="80"/>
        <v>432639.50205622433</v>
      </c>
      <c r="HS16" s="93">
        <f t="shared" si="81"/>
        <v>6</v>
      </c>
      <c r="HT16" s="100" t="str">
        <f t="shared" si="82"/>
        <v>Service (O3&gt;4 = (BP+BAH+BAS+VSP)*12)+ASP</v>
      </c>
      <c r="HU16" s="5">
        <f t="shared" si="83"/>
        <v>81397.919999999998</v>
      </c>
      <c r="HV16" s="5">
        <f t="shared" si="84"/>
        <v>19939.199999999997</v>
      </c>
      <c r="HW16" s="5">
        <f t="shared" si="85"/>
        <v>101337.12</v>
      </c>
      <c r="HX16" s="5">
        <f t="shared" si="86"/>
        <v>74491.055060082363</v>
      </c>
      <c r="HY16" s="5">
        <f t="shared" si="87"/>
        <v>18247.297290323808</v>
      </c>
      <c r="HZ16" s="32">
        <f>IF(HX16-InputData!$C$158-InputData!$C$159&gt;=0,HX16-InputData!$C$158-InputData!$C$159,0)</f>
        <v>74491.055060082363</v>
      </c>
      <c r="IA16" s="32">
        <f>IF(HX16-IF(HX16&lt;=InputData!$C$146,InputData!$C$145,0)-MAX(InputData!$C$144,IG16)&gt;=0,HX16-IF(HX16&lt;=InputData!$C$146,InputData!$C$145,0)-MAX(InputData!$C$144,IG16),0)</f>
        <v>64491.055060082363</v>
      </c>
      <c r="IB16" s="32">
        <f>IF(IA16&lt;0,"Error",IF(IA16&lt;=InputData!$B$170,InputData!$C$170*IA16,IF(IA16&lt;=InputData!$B$171,InputData!$D$170+InputData!$C$171*(IA16-InputData!$B$170),IF(IA16&lt;=InputData!$B$172,InputData!$D$171+InputData!$C$172*(IA16-InputData!$B$171),IF(IA16&lt;=InputData!$B$173,InputData!$D$172+InputData!$C$173*(IA16-InputData!$B$172),IF(IA16&lt;=InputData!$B$174,InputData!$D$173+InputData!$C$174*(IA16-InputData!$B$173),IF(IA16&lt;=InputData!$B$175,InputData!$D$174+InputData!$C$175*(IA16-InputData!$B$174),InputData!$D$175+InputData!$C$176*(IA16-InputData!$B$175))))))))</f>
        <v>12051.513765020591</v>
      </c>
      <c r="IC16" s="32">
        <f>IF(HX16&lt;=InputData!$C$150,InputData!$C$152,IF(HX16&lt;InputData!$C$151,IF(InputData!$C$152-0.25*IF(HX16-InputData!$C$150&lt;=0,0,HX16-InputData!$C$150)&lt;=0,0,InputData!$C$152-0.25*IF(HX16-InputData!$C$150&lt;=0,0,HX16-InputData!$C$150)),0))</f>
        <v>51900</v>
      </c>
      <c r="ID16" s="32">
        <f>IF(HX16-IC16&lt;=0,0,IF(HX16-IC16&lt;=InputData!$C$153,InputData!$C$154*(HX16-IC16),InputData!$C$155*(HX16-IC16)-InputData!$D$154))</f>
        <v>5873.6743156214143</v>
      </c>
      <c r="IE16" s="32">
        <f t="shared" si="88"/>
        <v>12051.513765020591</v>
      </c>
      <c r="IF16" s="32">
        <f>IF(HX16&gt;=0,IF(HX16&lt;=InputData!$C$148,InputData!$C$147*HX16,InputData!$C$147*InputData!$C$148)+InputData!$C$149*HX16,0)</f>
        <v>5698.5657120963015</v>
      </c>
      <c r="IG16" s="32">
        <f>IF(HZ16&lt;0,0,IF(HZ16&lt;=InputData!$B$163,InputData!$C$163*HZ16,IF(HZ16&lt;=InputData!$B$164,InputData!$D$163+InputData!$C$164*(HZ16-InputData!$B$163),IF(HZ16&lt;=InputData!$B$165,InputData!$D$164+InputData!$C$165*(HZ16-InputData!$B$164),InputData!$D$165+InputData!$C$166*(HZ16-InputData!$B$165)))))</f>
        <v>0</v>
      </c>
      <c r="IH16" s="43">
        <f t="shared" si="89"/>
        <v>0.2382847103293165</v>
      </c>
      <c r="II16" s="43">
        <f t="shared" si="90"/>
        <v>0.19139955614101603</v>
      </c>
      <c r="IJ16" s="5">
        <f t="shared" si="91"/>
        <v>74988.272873289287</v>
      </c>
      <c r="IK16" s="32">
        <f>IJ16/((1+InputData!$C$7)^(Ortho!$B16-Ortho!$B$7))</f>
        <v>57472.267059638616</v>
      </c>
      <c r="IL16" s="5">
        <f t="shared" si="92"/>
        <v>524763.22436689748</v>
      </c>
      <c r="IN16" s="93">
        <f t="shared" si="93"/>
        <v>6</v>
      </c>
      <c r="IO16" s="100" t="str">
        <f t="shared" si="94"/>
        <v>Service (O3&gt;4 = (BP+BAH+BAS+VSP)*12)+ASP</v>
      </c>
      <c r="IP16" s="5">
        <f t="shared" si="8"/>
        <v>81397.919999999998</v>
      </c>
      <c r="IQ16" s="5">
        <f t="shared" si="9"/>
        <v>19939.199999999997</v>
      </c>
      <c r="IR16" s="5">
        <f t="shared" si="10"/>
        <v>101337.12</v>
      </c>
      <c r="IS16" s="5">
        <f t="shared" si="11"/>
        <v>74491.055060082363</v>
      </c>
      <c r="IT16" s="5">
        <f t="shared" si="12"/>
        <v>18247.297290323808</v>
      </c>
      <c r="IU16" s="32">
        <f>IF(IS16-InputData!$C$158-InputData!$C$159&gt;=0,IS16-InputData!$C$158-InputData!$C$159,0)</f>
        <v>74491.055060082363</v>
      </c>
      <c r="IV16" s="32">
        <f>IF(IS16-IF(IS16&lt;=InputData!$C$146,InputData!$C$145,0)-MAX(InputData!$C$144,JB16)&gt;=0,IS16-IF(IS16&lt;=InputData!$C$146,InputData!$C$145,0)-MAX(InputData!$C$144,JB16),0)</f>
        <v>64491.055060082363</v>
      </c>
      <c r="IW16" s="32">
        <f>IF(IV16&lt;0,"Error",IF(IV16&lt;=InputData!$B$170,InputData!$C$170*IV16,IF(IV16&lt;=InputData!$B$171,InputData!$D$170+InputData!$C$171*(IV16-InputData!$B$170),IF(IV16&lt;=InputData!$B$172,InputData!$D$171+InputData!$C$172*(IV16-InputData!$B$171),IF(IV16&lt;=InputData!$B$173,InputData!$D$172+InputData!$C$173*(IV16-InputData!$B$172),IF(IV16&lt;=InputData!$B$174,InputData!$D$173+InputData!$C$174*(IV16-InputData!$B$173),IF(IV16&lt;=InputData!$B$175,InputData!$D$174+InputData!$C$175*(IV16-InputData!$B$174),InputData!$D$175+InputData!$C$176*(IV16-InputData!$B$175))))))))</f>
        <v>12051.513765020591</v>
      </c>
      <c r="IX16" s="32">
        <f>IF(IS16&lt;=InputData!$C$150,InputData!$C$152,IF(IS16&lt;InputData!$C$151,IF(InputData!$C$152-0.25*IF(IS16-InputData!$C$150&lt;=0,0,IS16-InputData!$C$150)&lt;=0,0,InputData!$C$152-0.25*IF(IS16-InputData!$C$150&lt;=0,0,IS16-InputData!$C$150)),0))</f>
        <v>51900</v>
      </c>
      <c r="IY16" s="32">
        <f>IF(IS16-IX16&lt;=0,0,IF(IS16-IX16&lt;=InputData!$C$153,InputData!$C$154*(IS16-IX16),InputData!$C$155*(IS16-IX16)-InputData!$D$154))</f>
        <v>5873.6743156214143</v>
      </c>
      <c r="IZ16" s="32">
        <f t="shared" si="95"/>
        <v>12051.513765020591</v>
      </c>
      <c r="JA16" s="32">
        <f>IF(IS16&gt;=0,IF(IS16&lt;=InputData!$C$148,InputData!$C$147*IS16,InputData!$C$147*InputData!$C$148)+InputData!$C$149*IS16,0)</f>
        <v>5698.5657120963015</v>
      </c>
      <c r="JB16" s="32">
        <f>IF(IU16&lt;0,0,IF(IU16&lt;=InputData!$B$163,InputData!$C$163*IU16,IF(IU16&lt;=InputData!$B$164,InputData!$D$163+InputData!$C$164*(IU16-InputData!$B$163),IF(IU16&lt;=InputData!$B$165,InputData!$D$164+InputData!$C$165*(IU16-InputData!$B$164),InputData!$D$165+InputData!$C$166*(IU16-InputData!$B$165)))))</f>
        <v>0</v>
      </c>
      <c r="JC16" s="43">
        <f t="shared" si="96"/>
        <v>0.2382847103293165</v>
      </c>
      <c r="JD16" s="43">
        <f t="shared" si="97"/>
        <v>0.19139955614101603</v>
      </c>
      <c r="JE16" s="5">
        <f t="shared" si="98"/>
        <v>74988.272873289287</v>
      </c>
      <c r="JF16" s="32">
        <f>JE16/((1+InputData!$C$7)^(Ortho!$B16-Ortho!$B$7))</f>
        <v>57472.267059638616</v>
      </c>
      <c r="JG16" s="5">
        <f t="shared" si="99"/>
        <v>432639.50205622433</v>
      </c>
      <c r="JI16" s="41" t="str">
        <f t="shared" si="13"/>
        <v>Private Practice</v>
      </c>
      <c r="JJ16" s="5">
        <f t="shared" si="14"/>
        <v>488816.76241789758</v>
      </c>
      <c r="JK16" s="32">
        <v>0</v>
      </c>
      <c r="JL16" s="32">
        <f t="shared" si="101"/>
        <v>488816.76241789758</v>
      </c>
      <c r="JM16" s="32">
        <f>JM15*(1+InputData!$C$8)</f>
        <v>13731.613613470356</v>
      </c>
      <c r="JN16" s="32">
        <f>JJ16/((1+InputData!$C$3)^(Ortho!$B16-Ortho!$B$7))</f>
        <v>409020</v>
      </c>
      <c r="JO16" s="32">
        <f>JK16/((1+InputData!$C$3)^(Ortho!$B16-Ortho!$B$7))</f>
        <v>0</v>
      </c>
      <c r="JP16" s="60" t="s">
        <v>144</v>
      </c>
      <c r="JQ16" s="32">
        <v>0</v>
      </c>
      <c r="JR16" s="118">
        <f t="shared" ref="JR16:JR36" si="167">JU15+JQ16</f>
        <v>0</v>
      </c>
      <c r="JS16" s="32">
        <f>(JR16)*InputData!$C$6</f>
        <v>0</v>
      </c>
      <c r="JT16" s="32">
        <f>MIN($BE$16*InputData!$C$6/(1-(1+InputData!$C$6)^(-10)), JR16+JS16)</f>
        <v>0</v>
      </c>
      <c r="JU16" s="118">
        <f t="shared" si="151"/>
        <v>0</v>
      </c>
      <c r="JV16" s="32">
        <f>JT16/((1+InputData!$C$3)^(Ortho!$B16-Ortho!$B$7))</f>
        <v>0</v>
      </c>
      <c r="JW16" s="32">
        <f>IF(JN16-InputData!$C$158-InputData!$C$159&gt;=0,JN16-InputData!$C$158-InputData!$C$159,0)</f>
        <v>409020</v>
      </c>
      <c r="JX16" s="32">
        <f>IF(JN16-IF(JN16&lt;=InputData!$C$146,InputData!$C$145,0)-MAX(InputData!$C$144,KD16)&gt;=0,JN16-IF(JN16&lt;=InputData!$C$146,InputData!$C$145,0)-MAX(InputData!$C$144,KD16),0)</f>
        <v>402920</v>
      </c>
      <c r="JY16" s="32">
        <f>IF(JX16&lt;0,"Error",IF(JX16&lt;=InputData!$B$170,InputData!$C$170*JX16,IF(JX16&lt;=InputData!$B$171,InputData!$D$170+InputData!$C$171*(JX16-InputData!$B$170),IF(JX16&lt;=InputData!$B$172,InputData!$D$171+InputData!$C$172*(JX16-InputData!$B$171),IF(JX16&lt;=InputData!$B$173,InputData!$D$172+InputData!$C$173*(JX16-InputData!$B$172),IF(JX16&lt;=InputData!$B$174,InputData!$D$173+InputData!$C$174*(JX16-InputData!$B$173),IF(JX16&lt;=InputData!$B$175,InputData!$D$174+InputData!$C$175*(JX16-InputData!$B$174),InputData!$D$175+InputData!$C$176*(JX16-InputData!$B$175))))))))</f>
        <v>117320.07</v>
      </c>
      <c r="JZ16" s="32">
        <f>IF(JN16&lt;=InputData!$C$150,InputData!$C$152,IF(JN16&lt;InputData!$C$151,IF(InputData!$C$152-0.25*IF(JN16-InputData!$C$150&lt;=0,0,JN16-InputData!$C$150)&lt;=0,0,InputData!$C$152-0.25*IF(JN16-InputData!$C$150&lt;=0,0,JN16-InputData!$C$150)),0))</f>
        <v>0</v>
      </c>
      <c r="KA16" s="32">
        <f>IF(JN16-JZ16&lt;=0,0,IF(JN16-JZ16&lt;=InputData!$C$153,InputData!$C$154*(JN16-JZ16),InputData!$C$155*(JN16-JZ16)-InputData!$D$154))</f>
        <v>110935.6</v>
      </c>
      <c r="KB16" s="32">
        <f t="shared" si="102"/>
        <v>117320.07</v>
      </c>
      <c r="KC16" s="32">
        <f>IF(JN16&gt;=0,IF(JN16&lt;=InputData!$C$148,InputData!$C$147*JN16,InputData!$C$147*InputData!$C$148)+InputData!$C$149*JN16,0)</f>
        <v>12980.189999999999</v>
      </c>
      <c r="KD16" s="32">
        <f>IF(JW16&lt;0,0,IF(JW16&lt;=InputData!$B$163,InputData!$C$163*JW16,IF(JW16&lt;=InputData!$B$164,InputData!$D$163+InputData!$C$164*(JW16-InputData!$B$163),IF(JW16&lt;=InputData!$B$165,InputData!$D$164+InputData!$C$165*(JW16-InputData!$B$164),InputData!$D$165+InputData!$C$166*(JW16-InputData!$B$165)))))</f>
        <v>0</v>
      </c>
      <c r="KE16" s="43">
        <f t="shared" si="15"/>
        <v>0.31856696494058973</v>
      </c>
      <c r="KF16" s="32">
        <f t="shared" si="16"/>
        <v>278719.74</v>
      </c>
      <c r="KG16" s="32">
        <f t="shared" si="103"/>
        <v>278719.74</v>
      </c>
      <c r="KH16" s="32">
        <f>KG16/((1+InputData!$C$7)^(Ortho!$B16-Ortho!$B$7))</f>
        <v>213615.47237046529</v>
      </c>
      <c r="KI16" s="5">
        <f t="shared" si="122"/>
        <v>394108.02740425291</v>
      </c>
    </row>
    <row r="17" spans="1:295" ht="14.45" x14ac:dyDescent="0.3">
      <c r="A17" s="4">
        <v>2023</v>
      </c>
      <c r="B17" s="51">
        <v>11</v>
      </c>
      <c r="C17" s="4"/>
      <c r="D17" s="3">
        <v>7</v>
      </c>
      <c r="E17" s="4" t="s">
        <v>20</v>
      </c>
      <c r="F17" s="5">
        <f>InputData!$G$23*12</f>
        <v>69296.399999999994</v>
      </c>
      <c r="G17" s="32">
        <f>(InputData!$G$23+InputData!$E$45+InputData!$C$50)*12+InputData!$J$50</f>
        <v>98796.36</v>
      </c>
      <c r="H17" s="32">
        <f>(InputData!$C$34+InputData!$C$40)*12</f>
        <v>20659.199999999997</v>
      </c>
      <c r="I17" s="32">
        <f t="shared" si="17"/>
        <v>119455.56</v>
      </c>
      <c r="J17" s="32">
        <f>G17*((1+InputData!$C$5)/(1+InputData!$C$3))^(Ortho!$B17-Ortho!$B$7)</f>
        <v>89526.779922880974</v>
      </c>
      <c r="K17" s="32">
        <f>H17*((1+InputData!$C$5)/(1+InputData!$C$3))^(Ortho!$B17-Ortho!$B$7)</f>
        <v>18720.848134311655</v>
      </c>
      <c r="L17" s="32">
        <f>IF(J17-InputData!$C$158-InputData!$C$159&gt;=0,J17-InputData!$C$158-InputData!$C$159,0)</f>
        <v>89526.779922880974</v>
      </c>
      <c r="M17" s="32">
        <f>IF(J17-IF(J17&lt;=InputData!$C$146,InputData!$C$145,0)-MAX(InputData!$C$144,S17)&gt;=0,J17-IF(J17&lt;=InputData!$C$146,InputData!$C$145,0)-MAX(InputData!$C$144,S17),0)</f>
        <v>79526.779922880974</v>
      </c>
      <c r="N17" s="32">
        <f>IF(M17&lt;0,"Error",IF(M17&lt;=InputData!$B$170,InputData!$C$170*M17,IF(M17&lt;=InputData!$B$171,InputData!$D$170+InputData!$C$171*(M17-InputData!$B$170),IF(M17&lt;=InputData!$B$172,InputData!$D$171+InputData!$C$172*(M17-InputData!$B$171),IF(M17&lt;=InputData!$B$173,InputData!$D$172+InputData!$C$173*(M17-InputData!$B$172),IF(M17&lt;=InputData!$B$174,InputData!$D$173+InputData!$C$174*(M17-InputData!$B$173),IF(M17&lt;=InputData!$B$175,InputData!$D$174+InputData!$C$175*(M17-InputData!$B$174),InputData!$D$175+InputData!$C$176*(M17-InputData!$B$175))))))))</f>
        <v>15810.444980720244</v>
      </c>
      <c r="O17" s="32">
        <f>IF(J17&lt;=InputData!$C$150,InputData!$C$152,IF(J17&lt;InputData!$C$151,IF(InputData!$C$152-0.25*IF(J17-InputData!$C$150&lt;=0,0,J17-InputData!$C$150)&lt;=0,0,InputData!$C$152-0.25*IF(J17-InputData!$C$150&lt;=0,0,J17-InputData!$C$150)),0))</f>
        <v>51900</v>
      </c>
      <c r="P17" s="32">
        <f>IF(J17-O17&lt;=0,0,IF(J17-O17&lt;=InputData!$C$153,InputData!$C$154*(J17-O17),InputData!$C$155*(J17-O17)-InputData!$D$154))</f>
        <v>9782.9627799490536</v>
      </c>
      <c r="Q17" s="32">
        <f t="shared" si="18"/>
        <v>15810.444980720244</v>
      </c>
      <c r="R17" s="32">
        <f>IF(J17&gt;=0,IF(J17&lt;=InputData!$C$148,InputData!$C$147*J17,InputData!$C$147*InputData!$C$148)+InputData!$C$149*J17,0)</f>
        <v>6848.7986641003954</v>
      </c>
      <c r="S17" s="32">
        <f>IF(L17&lt;0,0,IF(L17&lt;=InputData!$B$163,InputData!$C$163*L17,IF(L17&lt;=InputData!$B$164,InputData!$D$163+InputData!$C$164*(L17-InputData!$B$163),IF(L17&lt;=InputData!$B$165,InputData!$D$164+InputData!$C$165*(L17-InputData!$B$164),InputData!$D$165+InputData!$C$166*(L17-InputData!$B$165)))))</f>
        <v>0</v>
      </c>
      <c r="T17" s="43">
        <f t="shared" si="19"/>
        <v>0.25310017476714203</v>
      </c>
      <c r="U17" s="43">
        <f t="shared" si="20"/>
        <v>0.20932785365836032</v>
      </c>
      <c r="V17" s="5">
        <f t="shared" si="21"/>
        <v>85588.38441237199</v>
      </c>
      <c r="W17" s="32">
        <f>V17/((1+InputData!$C$7)^(Ortho!$B17-Ortho!$B$7))</f>
        <v>63685.796027087723</v>
      </c>
      <c r="X17" s="5">
        <f t="shared" si="104"/>
        <v>588449.02039398521</v>
      </c>
      <c r="Y17" s="53"/>
      <c r="Z17" s="3">
        <v>7</v>
      </c>
      <c r="AA17" s="4" t="s">
        <v>20</v>
      </c>
      <c r="AB17" s="5">
        <f t="shared" si="126"/>
        <v>69296.399999999994</v>
      </c>
      <c r="AC17" s="32">
        <f t="shared" si="127"/>
        <v>98796.36</v>
      </c>
      <c r="AD17" s="32">
        <f t="shared" si="127"/>
        <v>20659.199999999997</v>
      </c>
      <c r="AE17" s="32">
        <f t="shared" si="22"/>
        <v>119455.56</v>
      </c>
      <c r="AF17" s="5">
        <f>AC17*((1+InputData!$C$5)/(1+InputData!$C$3))^(Ortho!$B17-Ortho!$B$7)</f>
        <v>89526.779922880974</v>
      </c>
      <c r="AG17" s="5">
        <f>AD17*((1+InputData!$C$5)/(1+InputData!$C$3))^(Ortho!$B17-Ortho!$B$7)</f>
        <v>18720.848134311655</v>
      </c>
      <c r="AH17" s="32">
        <f>IF(AF17-InputData!$C$158-InputData!$C$159&gt;=0,AF17-InputData!$C$158-InputData!$C$159,0)</f>
        <v>89526.779922880974</v>
      </c>
      <c r="AI17" s="32">
        <f>IF(AF17-IF(AF17&lt;=InputData!$C$146,InputData!$C$145,0)-MAX(InputData!$C$144,AO17)&gt;=0,AF17-IF(AF17&lt;=InputData!$C$146,InputData!$C$145,0)-MAX(InputData!$C$144,AO17),0)</f>
        <v>79526.779922880974</v>
      </c>
      <c r="AJ17" s="32">
        <f>IF(AI17&lt;0,"Error",IF(AI17&lt;=InputData!$B$170,InputData!$C$170*AI17,IF(AI17&lt;=InputData!$B$171,InputData!$D$170+InputData!$C$171*(AI17-InputData!$B$170),IF(AI17&lt;=InputData!$B$172,InputData!$D$171+InputData!$C$172*(AI17-InputData!$B$171),IF(AI17&lt;=InputData!$B$173,InputData!$D$172+InputData!$C$173*(AI17-InputData!$B$172),IF(AI17&lt;=InputData!$B$174,InputData!$D$173+InputData!$C$174*(AI17-InputData!$B$173),IF(AI17&lt;=InputData!$B$175,InputData!$D$174+InputData!$C$175*(AI17-InputData!$B$174),InputData!$D$175+InputData!$C$176*(AI17-InputData!$B$175))))))))</f>
        <v>15810.444980720244</v>
      </c>
      <c r="AK17" s="32">
        <f>IF(AF17&lt;=InputData!$C$150,InputData!$C$152,IF(AF17&lt;InputData!$C$151,IF(InputData!$C$152-0.25*IF(AF17-InputData!$C$150&lt;=0,0,AF17-InputData!$C$150)&lt;=0,0,InputData!$C$152-0.25*IF(AF17-InputData!$C$150&lt;=0,0,AF17-InputData!$C$150)),0))</f>
        <v>51900</v>
      </c>
      <c r="AL17" s="32">
        <f>IF(AF17-AK17&lt;=0,0,IF(AF17-AK17&lt;=InputData!$C$153,InputData!$C$154*(AF17-AK17),InputData!$C$155*(AF17-AK17)-InputData!$D$154))</f>
        <v>9782.9627799490536</v>
      </c>
      <c r="AM17" s="32">
        <f t="shared" si="23"/>
        <v>15810.444980720244</v>
      </c>
      <c r="AN17" s="32">
        <f>IF(AF17&gt;=0,IF(AF17&lt;=InputData!$C$148,InputData!$C$147*AF17,InputData!$C$147*InputData!$C$148)+InputData!$C$149*AF17,0)</f>
        <v>6848.7986641003954</v>
      </c>
      <c r="AO17" s="32">
        <f>IF(AH17&lt;0,0,IF(AH17&lt;=InputData!$B$163,InputData!$C$163*AH17,IF(AH17&lt;=InputData!$B$164,InputData!$D$163+InputData!$C$164*(AH17-InputData!$B$163),IF(AH17&lt;=InputData!$B$165,InputData!$D$164+InputData!$C$165*(AH17-InputData!$B$164),InputData!$D$165+InputData!$C$166*(AH17-InputData!$B$165)))))</f>
        <v>0</v>
      </c>
      <c r="AP17" s="43">
        <f t="shared" si="24"/>
        <v>0.25310017476714203</v>
      </c>
      <c r="AQ17" s="43">
        <f t="shared" si="25"/>
        <v>0.20932785365836032</v>
      </c>
      <c r="AR17" s="5">
        <f t="shared" si="26"/>
        <v>85588.38441237199</v>
      </c>
      <c r="AS17" s="32">
        <f>AR17/((1+InputData!$C$7)^(Ortho!$B17-Ortho!$B$7))</f>
        <v>63685.796027087723</v>
      </c>
      <c r="AT17" s="5">
        <f t="shared" si="105"/>
        <v>496325.29808331205</v>
      </c>
      <c r="AU17" s="53"/>
      <c r="AV17" s="41" t="s">
        <v>109</v>
      </c>
      <c r="AW17" s="32">
        <f>InputData!$C$85*(1+InputData!$C$12)^(Ortho!B17-Ortho!$B$7)</f>
        <v>498593.09766625555</v>
      </c>
      <c r="AX17" s="32">
        <v>0</v>
      </c>
      <c r="AY17" s="32">
        <f t="shared" si="28"/>
        <v>498593.09766625555</v>
      </c>
      <c r="AZ17" s="32">
        <f>AZ16*(1+InputData!$C$8)</f>
        <v>14006.245885739763</v>
      </c>
      <c r="BA17" s="32">
        <f>AW17/((1+InputData!$C$3)^(Ortho!$B17-Ortho!$B$7))</f>
        <v>409020</v>
      </c>
      <c r="BB17" s="32">
        <f>AX17/((1+InputData!$C$3)^(Ortho!$B17-Ortho!$B$7))</f>
        <v>0</v>
      </c>
      <c r="BC17" s="32" t="s">
        <v>141</v>
      </c>
      <c r="BD17" s="32">
        <v>0</v>
      </c>
      <c r="BE17" s="32">
        <f t="shared" si="152"/>
        <v>251359.29617549083</v>
      </c>
      <c r="BF17" s="32">
        <f>(BE17)*InputData!$C$6</f>
        <v>15609.412292497982</v>
      </c>
      <c r="BG17" s="32">
        <f>MIN($BE$16*InputData!$C$6/(1-(1+InputData!$C$6)^(-10)), BE17+BF17)</f>
        <v>37293.894744798265</v>
      </c>
      <c r="BH17" s="32">
        <f t="shared" si="137"/>
        <v>229674.81372319057</v>
      </c>
      <c r="BI17" s="32">
        <f>BG17/((1+InputData!$C$3)^(Ortho!$B17-Ortho!$B$7))</f>
        <v>30593.983149618245</v>
      </c>
      <c r="BJ17" s="32">
        <f>IF(BA17-InputData!$C$158-InputData!$C$159&gt;=0,BA17-InputData!$C$158-InputData!$C$159,0)</f>
        <v>409020</v>
      </c>
      <c r="BK17" s="32">
        <f>IF(BA17-IF(BA17&lt;=InputData!$C$146,InputData!$C$145,0)-MAX(InputData!$C$144,BQ17)&gt;=0,BA17-IF(BA17&lt;=InputData!$C$146,InputData!$C$145,0)-MAX(InputData!$C$144,BQ17),0)</f>
        <v>402920</v>
      </c>
      <c r="BL17" s="32">
        <f>IF(BK17&lt;0,"Error",IF(BK17&lt;=InputData!$B$170,InputData!$C$170*BK17,IF(BK17&lt;=InputData!$B$171,InputData!$D$170+InputData!$C$171*(BK17-InputData!$B$170),IF(BK17&lt;=InputData!$B$172,InputData!$D$171+InputData!$C$172*(BK17-InputData!$B$171),IF(BK17&lt;=InputData!$B$173,InputData!$D$172+InputData!$C$173*(BK17-InputData!$B$172),IF(BK17&lt;=InputData!$B$174,InputData!$D$173+InputData!$C$174*(BK17-InputData!$B$173),IF(BK17&lt;=InputData!$B$175,InputData!$D$174+InputData!$C$175*(BK17-InputData!$B$174),InputData!$D$175+InputData!$C$176*(BK17-InputData!$B$175))))))))</f>
        <v>117320.07</v>
      </c>
      <c r="BM17" s="32">
        <f>IF(BA17&lt;=InputData!$C$150,InputData!$C$152,IF(BA17&lt;InputData!$C$151,IF(InputData!$C$152-0.25*IF(BA17-InputData!$C$150&lt;=0,0,BA17-InputData!$C$150)&lt;=0,0,InputData!$C$152-0.25*IF(BA17-InputData!$C$150&lt;=0,0,BA17-InputData!$C$150)),0))</f>
        <v>0</v>
      </c>
      <c r="BN17" s="32">
        <f>IF(BA17-BM17&lt;=0,0,IF(BA17-BM17&lt;=InputData!$C$153,InputData!$C$154*(BA17-BM17),InputData!$C$155*(BA17-BM17)-InputData!$D$154))</f>
        <v>110935.6</v>
      </c>
      <c r="BO17" s="32">
        <f t="shared" si="29"/>
        <v>117320.07</v>
      </c>
      <c r="BP17" s="32">
        <f>IF(BA17&gt;=0,IF(BA17&lt;=InputData!$C$148,InputData!$C$147*BA17,InputData!$C$147*InputData!$C$148)+InputData!$C$149*BA17,0)</f>
        <v>12980.189999999999</v>
      </c>
      <c r="BQ17" s="32">
        <f>IF(BJ17&lt;0,0,IF(BJ17&lt;=InputData!$B$163,InputData!$C$163*BJ17,IF(BJ17&lt;=InputData!$B$164,InputData!$D$163+InputData!$C$164*(BJ17-InputData!$B$163),IF(BJ17&lt;=InputData!$B$165,InputData!$D$164+InputData!$C$165*(BJ17-InputData!$B$164),InputData!$D$165+InputData!$C$166*(BJ17-InputData!$B$165)))))</f>
        <v>0</v>
      </c>
      <c r="BR17" s="43">
        <f t="shared" si="30"/>
        <v>0.31856696494058973</v>
      </c>
      <c r="BS17" s="32">
        <f t="shared" si="31"/>
        <v>278719.74</v>
      </c>
      <c r="BT17" s="32">
        <f t="shared" si="32"/>
        <v>248125.75685038173</v>
      </c>
      <c r="BU17" s="32">
        <f>BT17/((1+InputData!$C$7)^(Ortho!$B17-Ortho!$B$7))</f>
        <v>184628.86580151346</v>
      </c>
      <c r="BV17" s="5">
        <f t="shared" si="107"/>
        <v>363952.81750987977</v>
      </c>
      <c r="BW17" s="5"/>
      <c r="BX17" s="32" t="s">
        <v>141</v>
      </c>
      <c r="BY17" s="5">
        <f t="shared" si="153"/>
        <v>266966.97624647955</v>
      </c>
      <c r="BZ17" s="32">
        <f>(BY17)*InputData!$C$6</f>
        <v>16578.649224906381</v>
      </c>
      <c r="CA17" s="32">
        <f>MIN($BY$16*InputData!$C$6/(1-(1+InputData!$C$6)^(-25)), BY17+BZ17)</f>
        <v>21686.214673809533</v>
      </c>
      <c r="CB17" s="32">
        <f t="shared" si="154"/>
        <v>261859.41079757642</v>
      </c>
      <c r="CC17" s="32">
        <f>CA17/((1+InputData!$C$3)^(Ortho!$B17-Ortho!$B$7))</f>
        <v>17790.249338387297</v>
      </c>
      <c r="CD17" s="5">
        <f t="shared" si="36"/>
        <v>260929.49066161268</v>
      </c>
      <c r="CE17" s="32">
        <f>CD17/((1+InputData!$C$7)^(Ortho!$B17-Ortho!$B$7))</f>
        <v>194156.04621840786</v>
      </c>
      <c r="CF17" s="5">
        <f t="shared" si="108"/>
        <v>383489.25367276347</v>
      </c>
      <c r="CG17" s="5"/>
      <c r="CH17" s="32" t="s">
        <v>141</v>
      </c>
      <c r="CI17" s="5" t="e">
        <f t="shared" si="155"/>
        <v>#VALUE!</v>
      </c>
      <c r="CJ17" s="32" t="e">
        <f>(CI17)*InputData!$C$6</f>
        <v>#VALUE!</v>
      </c>
      <c r="CK17" s="5" t="str">
        <f t="shared" ref="CK17:CK36" si="168">IF(0.15*($AY$16-1.5*$AZ17)&lt;=$BG$16,MIN(0.15*($AY17-1.5*$AZ17),$BG$16, CI17+CJ17),"DNQ")</f>
        <v>DNQ</v>
      </c>
      <c r="CL17" s="32" t="e">
        <f t="shared" si="156"/>
        <v>#VALUE!</v>
      </c>
      <c r="CM17" s="32" t="e">
        <f>CK17/((1+InputData!$C$3)^(Ortho!$B17-Ortho!$B$7))</f>
        <v>#VALUE!</v>
      </c>
      <c r="CN17" s="5" t="e">
        <f t="shared" si="40"/>
        <v>#VALUE!</v>
      </c>
      <c r="CO17" s="32" t="e">
        <f>CN17/((1+InputData!$C$7)^(Ortho!$B17-Ortho!$B$7))</f>
        <v>#VALUE!</v>
      </c>
      <c r="CP17" s="5" t="e">
        <f t="shared" si="109"/>
        <v>#VALUE!</v>
      </c>
      <c r="CQ17" s="5"/>
      <c r="CR17" s="32" t="s">
        <v>141</v>
      </c>
      <c r="CS17" s="5" t="e">
        <f t="shared" si="157"/>
        <v>#VALUE!</v>
      </c>
      <c r="CT17" s="32" t="e">
        <f>(CS17)*InputData!$C$6</f>
        <v>#VALUE!</v>
      </c>
      <c r="CU17" s="32" t="str">
        <f t="shared" ref="CU17:CU36" si="169">IF(0.1*($AY$16-1.5*$AZ17)&lt;=$BG$16,MIN(0.1*($AY17-1.5*$AZ17),$BG$16,CS17+CT17),"DNQ")</f>
        <v>DNQ</v>
      </c>
      <c r="CV17" s="32" t="e">
        <f t="shared" si="158"/>
        <v>#VALUE!</v>
      </c>
      <c r="CW17" s="32" t="e">
        <f>CU17/((1+InputData!$C$3)^(Ortho!$B17-Ortho!$B$7))</f>
        <v>#VALUE!</v>
      </c>
      <c r="CX17" s="5" t="e">
        <f t="shared" si="44"/>
        <v>#VALUE!</v>
      </c>
      <c r="CY17" s="32" t="e">
        <f>CX17/((1+InputData!$C$7)^(Ortho!$B17-Ortho!$B$7))</f>
        <v>#VALUE!</v>
      </c>
      <c r="CZ17" s="5" t="e">
        <f t="shared" si="110"/>
        <v>#VALUE!</v>
      </c>
      <c r="DA17" s="5"/>
      <c r="DB17" s="32" t="s">
        <v>141</v>
      </c>
      <c r="DC17" s="5">
        <f t="shared" si="138"/>
        <v>111301.85941585165</v>
      </c>
      <c r="DD17" s="5">
        <f>DC17*InputData!$C$6</f>
        <v>6911.8454697243878</v>
      </c>
      <c r="DE17" s="32">
        <f t="shared" si="139"/>
        <v>29148.379963889372</v>
      </c>
      <c r="DF17" s="32">
        <f t="shared" si="140"/>
        <v>89065.324921686668</v>
      </c>
      <c r="DG17" s="32">
        <f>DE17/((1+InputData!$C$3)^(Ortho!$B17-Ortho!$B$7))</f>
        <v>23911.823947491688</v>
      </c>
      <c r="DH17" s="5">
        <f t="shared" si="48"/>
        <v>254807.91605250831</v>
      </c>
      <c r="DI17" s="32">
        <f>DH17/((1+InputData!$C$7)^(Ortho!$B17-Ortho!$B$7))</f>
        <v>189601.01980218702</v>
      </c>
      <c r="DJ17" s="5">
        <f t="shared" si="111"/>
        <v>277464.58876989112</v>
      </c>
      <c r="DK17" s="5"/>
      <c r="DL17" s="32" t="s">
        <v>141</v>
      </c>
      <c r="DM17" s="32">
        <f t="shared" si="159"/>
        <v>226158.71460462624</v>
      </c>
      <c r="DN17" s="5">
        <f>DM17*InputData!$C$6</f>
        <v>14044.456176947289</v>
      </c>
      <c r="DO17" s="32">
        <f t="shared" si="160"/>
        <v>0</v>
      </c>
      <c r="DP17" s="32">
        <f t="shared" si="123"/>
        <v>29148.379963889372</v>
      </c>
      <c r="DQ17" s="32">
        <f t="shared" si="124"/>
        <v>211054.79081768414</v>
      </c>
      <c r="DR17" s="32">
        <f>DP17/((1+InputData!$C$3)^(Ortho!$B17-Ortho!$B$7))</f>
        <v>23911.823947491688</v>
      </c>
      <c r="DS17" s="5">
        <f t="shared" si="52"/>
        <v>254807.91605250831</v>
      </c>
      <c r="DT17" s="32">
        <f>DS17/((1+InputData!$C$7)^(Ortho!$B17-Ortho!$B$7))</f>
        <v>189601.01980218702</v>
      </c>
      <c r="DU17" s="5">
        <f t="shared" si="113"/>
        <v>350918.69373271801</v>
      </c>
      <c r="DV17" s="5"/>
      <c r="DW17" s="32" t="s">
        <v>141</v>
      </c>
      <c r="DX17" s="133">
        <f t="shared" si="141"/>
        <v>233657.82000000004</v>
      </c>
      <c r="DY17" s="5">
        <f>DX17*InputData!$C$6</f>
        <v>14510.150622000003</v>
      </c>
      <c r="DZ17" s="133">
        <f t="shared" si="142"/>
        <v>9152.3276820123247</v>
      </c>
      <c r="EA17" s="32">
        <f t="shared" si="143"/>
        <v>29148.379963889372</v>
      </c>
      <c r="EB17" s="32">
        <f t="shared" si="144"/>
        <v>221568.52768201238</v>
      </c>
      <c r="EC17" s="32">
        <f>EA17/((1+InputData!$C$3)^(Ortho!$B17-Ortho!$B$7))</f>
        <v>23911.823947491688</v>
      </c>
      <c r="ED17" s="5">
        <f t="shared" si="56"/>
        <v>254807.91605250831</v>
      </c>
      <c r="EE17" s="32">
        <f>ED17/((1+InputData!$C$7)^(Ortho!$B17-Ortho!$B$7))</f>
        <v>189601.01980218702</v>
      </c>
      <c r="EF17" s="5">
        <f t="shared" si="115"/>
        <v>358662.03465636563</v>
      </c>
      <c r="EG17" s="32"/>
      <c r="EH17" s="130" t="s">
        <v>141</v>
      </c>
      <c r="EI17" s="32">
        <v>0</v>
      </c>
      <c r="EJ17" s="32">
        <f>EJ16-(EN16-EK16)</f>
        <v>251169.81850884348</v>
      </c>
      <c r="EK17" s="32">
        <f>(EJ17)*InputData!$C$6</f>
        <v>15597.645729399181</v>
      </c>
      <c r="EL17" s="32">
        <f>EL16+EI17+EK17-EN17</f>
        <v>229501.68208074055</v>
      </c>
      <c r="EM17" s="32">
        <f>EM16*(1+InputData!$C$8)</f>
        <v>14006.245885739763</v>
      </c>
      <c r="EN17" s="32">
        <f t="shared" ref="EN17:EN36" si="170">MIN(0.1*(AW17-1.5*EM17),$FD$16,EJ17+EK17)</f>
        <v>37265.782157502101</v>
      </c>
      <c r="EO17" s="32">
        <f>AW17/((1+InputData!$C$3)^(Ortho!$B17-Ortho!$B$7))</f>
        <v>409020</v>
      </c>
      <c r="EP17" s="32">
        <f>AX17/((1+InputData!$C$3)^(Ortho!$B17-Ortho!$B$7))</f>
        <v>0</v>
      </c>
      <c r="EQ17" s="32">
        <v>85260.5</v>
      </c>
      <c r="ER17" s="32">
        <v>10292.700000000001</v>
      </c>
      <c r="ES17" s="32">
        <v>0</v>
      </c>
      <c r="ET17" s="43">
        <f t="shared" si="129"/>
        <v>0.23361498215246199</v>
      </c>
      <c r="EU17" s="32">
        <f t="shared" si="57"/>
        <v>313466.8</v>
      </c>
      <c r="EV17" s="32">
        <f>EN17/((1+InputData!$C$3)^(Ortho!$B17-Ortho!$B$7))</f>
        <v>30570.921036424745</v>
      </c>
      <c r="EW17" s="32">
        <f t="shared" si="58"/>
        <v>282895.87896357523</v>
      </c>
      <c r="EX17" s="32">
        <f>EW17/((1+InputData!$C$7)^(Ortho!$B17-Ortho!$B$7))</f>
        <v>210501.10208615681</v>
      </c>
      <c r="EY17" s="5">
        <f t="shared" si="117"/>
        <v>481439.30583614495</v>
      </c>
      <c r="EZ17" s="79"/>
      <c r="FA17" s="32">
        <f t="shared" si="161"/>
        <v>251169.81850884345</v>
      </c>
      <c r="FB17" s="32">
        <f>FA17*InputData!$C$6</f>
        <v>15597.645729399179</v>
      </c>
      <c r="FC17" s="32">
        <f t="shared" si="162"/>
        <v>229501.68208074055</v>
      </c>
      <c r="FD17" s="32">
        <f>MIN($EJ$16*InputData!$C$6/(1-(1+InputData!$C$6)^(-10)), FA17+FB17)</f>
        <v>37265.782157502101</v>
      </c>
      <c r="FE17" s="32">
        <f>FD17/((1+InputData!$C$3)^(Ortho!$B17-Ortho!$B$7))</f>
        <v>30570.921036424745</v>
      </c>
      <c r="FF17" s="5">
        <f t="shared" si="62"/>
        <v>282895.87896357523</v>
      </c>
      <c r="FG17" s="32">
        <f>FF17/((1+InputData!$C$7)^(Ortho!$B17-Ortho!$B$7))</f>
        <v>210501.10208615681</v>
      </c>
      <c r="FH17" s="5">
        <f t="shared" si="118"/>
        <v>481439.30583614495</v>
      </c>
      <c r="FI17" s="79"/>
      <c r="FJ17" s="32">
        <f t="shared" si="163"/>
        <v>266765.73332250281</v>
      </c>
      <c r="FK17" s="32">
        <f>FJ17*InputData!$C$6</f>
        <v>16566.152039327426</v>
      </c>
      <c r="FL17" s="32">
        <f t="shared" si="164"/>
        <v>261662.01801798752</v>
      </c>
      <c r="FM17" s="32">
        <f>MIN($EJ$16*InputData!$C$6/(1-(1+InputData!$C$6)^(-25)), FJ17+FK17)</f>
        <v>21669.867343842721</v>
      </c>
      <c r="FN17" s="32">
        <f>FM17/((1+InputData!$C$3)^(Ortho!$B17-Ortho!$B$7))</f>
        <v>17776.838834041522</v>
      </c>
      <c r="FO17" s="5">
        <f t="shared" si="66"/>
        <v>295689.96116595849</v>
      </c>
      <c r="FP17" s="32">
        <f>FO17/((1+InputData!$C$7)^(Ortho!$B17-Ortho!$B$7))</f>
        <v>220021.10079963869</v>
      </c>
      <c r="FQ17" s="5">
        <f t="shared" si="119"/>
        <v>500961.01519801083</v>
      </c>
      <c r="FR17" s="79"/>
      <c r="FS17" s="32">
        <f t="shared" si="165"/>
        <v>251169.81850884345</v>
      </c>
      <c r="FT17" s="32">
        <f>FS17*InputData!$C$6</f>
        <v>15597.645729399179</v>
      </c>
      <c r="FU17" s="32">
        <f t="shared" si="166"/>
        <v>229501.68208074055</v>
      </c>
      <c r="FV17" s="5">
        <f t="shared" ref="FV17:FV36" si="171">MIN(0.15*($AW17-1.5*$EM17),$FD$16, FS17+FT17)</f>
        <v>37265.782157502101</v>
      </c>
      <c r="FW17" s="32">
        <f>FV17/((1+InputData!$C$3)^(Ortho!$B17-Ortho!$B$7))</f>
        <v>30570.921036424745</v>
      </c>
      <c r="FX17" s="5">
        <f t="shared" si="70"/>
        <v>282895.87896357523</v>
      </c>
      <c r="FY17" s="32">
        <f>FX17/((1+InputData!$C$7)^(Ortho!$B17-Ortho!$B$7))</f>
        <v>210501.10208615681</v>
      </c>
      <c r="FZ17" s="5">
        <f t="shared" si="120"/>
        <v>481439.30583614495</v>
      </c>
      <c r="GC17" s="3">
        <f t="shared" si="3"/>
        <v>7</v>
      </c>
      <c r="GD17" s="4" t="str">
        <f t="shared" si="145"/>
        <v>Service (O4&gt;6 = (BP+BAH+BAS+VSP+BCPSP)*12)+ASP</v>
      </c>
      <c r="GE17" s="5">
        <f t="shared" si="146"/>
        <v>98796.36</v>
      </c>
      <c r="GF17" s="5">
        <f t="shared" si="147"/>
        <v>20659.199999999997</v>
      </c>
      <c r="GG17" s="5">
        <f t="shared" si="148"/>
        <v>119455.56</v>
      </c>
      <c r="GH17" s="5">
        <f t="shared" si="149"/>
        <v>89526.779922880974</v>
      </c>
      <c r="GI17" s="5">
        <f t="shared" si="150"/>
        <v>18720.848134311655</v>
      </c>
      <c r="GJ17" s="32">
        <f>IF(GH17-InputData!$C$158-InputData!$C$159&gt;=0,GH17-InputData!$C$158-InputData!$C$159,0)</f>
        <v>89526.779922880974</v>
      </c>
      <c r="GK17" s="32">
        <f>IF(GH17-IF(GH17&lt;=InputData!$C$146,InputData!$C$145,0)-MAX(InputData!$C$144,GQ17)&gt;=0,GH17-IF(GH17&lt;=InputData!$C$146,InputData!$C$145,0)-MAX(InputData!$C$144,GQ17),0)</f>
        <v>79526.779922880974</v>
      </c>
      <c r="GL17" s="32">
        <f>IF(GK17&lt;0,"Error",IF(GK17&lt;=InputData!$B$170,InputData!$C$170*GK17,IF(GK17&lt;=InputData!$B$171,InputData!$D$170+InputData!$C$171*(GK17-InputData!$B$170),IF(GK17&lt;=InputData!$B$172,InputData!$D$171+InputData!$C$172*(GK17-InputData!$B$171),IF(GK17&lt;=InputData!$B$173,InputData!$D$172+InputData!$C$173*(GK17-InputData!$B$172),IF(GK17&lt;=InputData!$B$174,InputData!$D$173+InputData!$C$174*(GK17-InputData!$B$173),IF(GK17&lt;=InputData!$B$175,InputData!$D$174+InputData!$C$175*(GK17-InputData!$B$174),InputData!$D$175+InputData!$C$176*(GK17-InputData!$B$175))))))))</f>
        <v>15810.444980720244</v>
      </c>
      <c r="GM17" s="32">
        <f>IF(GH17&lt;=InputData!$C$150,InputData!$C$152,IF(GH17&lt;InputData!$C$151,IF(InputData!$C$152-0.25*IF(GH17-InputData!$C$150&lt;=0,0,GH17-InputData!$C$150)&lt;=0,0,InputData!$C$152-0.25*IF(GH17-InputData!$C$150&lt;=0,0,GH17-InputData!$C$150)),0))</f>
        <v>51900</v>
      </c>
      <c r="GN17" s="32">
        <f>IF(GH17-GM17&lt;=0,0,IF(GH17-GM17&lt;=InputData!$C$153,InputData!$C$154*(GH17-GM17),InputData!$C$155*(GH17-GM17)-InputData!$D$154))</f>
        <v>9782.9627799490536</v>
      </c>
      <c r="GO17" s="32">
        <f t="shared" si="71"/>
        <v>15810.444980720244</v>
      </c>
      <c r="GP17" s="32">
        <f>IF(GH17&gt;=0,IF(GH17&lt;=InputData!$C$148,InputData!$C$147*GH17,InputData!$C$147*InputData!$C$148)+InputData!$C$149*GH17,0)</f>
        <v>6848.7986641003954</v>
      </c>
      <c r="GQ17" s="32">
        <f>IF(GJ17&lt;0,0,IF(GJ17&lt;=InputData!$B$163,InputData!$C$163*GJ17,IF(GJ17&lt;=InputData!$B$164,InputData!$D$163+InputData!$C$164*(GJ17-InputData!$B$163),IF(GJ17&lt;=InputData!$B$165,InputData!$D$164+InputData!$C$165*(GJ17-InputData!$B$164),InputData!$D$165+InputData!$C$166*(GJ17-InputData!$B$165)))))</f>
        <v>0</v>
      </c>
      <c r="GR17" s="43">
        <f t="shared" si="72"/>
        <v>0.25310017476714203</v>
      </c>
      <c r="GS17" s="43">
        <f t="shared" si="73"/>
        <v>0.20932785365836032</v>
      </c>
      <c r="GT17" s="5">
        <f t="shared" si="74"/>
        <v>85588.38441237199</v>
      </c>
      <c r="GU17" s="32">
        <f>GT17/((1+InputData!$C$7)^(Ortho!$B17-Ortho!$B$7))</f>
        <v>63685.796027087723</v>
      </c>
      <c r="GV17" s="32">
        <f t="shared" si="75"/>
        <v>588449.02039398521</v>
      </c>
      <c r="GX17" s="3">
        <f t="shared" si="130"/>
        <v>7</v>
      </c>
      <c r="GY17" s="4" t="str">
        <f t="shared" si="131"/>
        <v>Service (O4&gt;6 = (BP+BAH+BAS+VSP+BCPSP)*12)+ASP</v>
      </c>
      <c r="GZ17" s="5">
        <f t="shared" si="132"/>
        <v>98796.36</v>
      </c>
      <c r="HA17" s="5">
        <f t="shared" si="133"/>
        <v>20659.199999999997</v>
      </c>
      <c r="HB17" s="5">
        <f t="shared" si="134"/>
        <v>119455.56</v>
      </c>
      <c r="HC17" s="5">
        <f t="shared" si="135"/>
        <v>89526.779922880974</v>
      </c>
      <c r="HD17" s="5">
        <f t="shared" si="136"/>
        <v>18720.848134311655</v>
      </c>
      <c r="HE17" s="32">
        <f>IF(HC17-InputData!$C$158-InputData!$C$159&gt;=0,HC17-InputData!$C$158-InputData!$C$159,0)</f>
        <v>89526.779922880974</v>
      </c>
      <c r="HF17" s="32">
        <f>IF(HC17-IF(HC17&lt;=InputData!$C$146,InputData!$C$145,0)-MAX(InputData!$C$144,HL17)&gt;=0,HC17-IF(HC17&lt;=InputData!$C$146,InputData!$C$145,0)-MAX(InputData!$C$144,HL17),0)</f>
        <v>79526.779922880974</v>
      </c>
      <c r="HG17" s="32">
        <f>IF(HF17&lt;0,"Error",IF(HF17&lt;=InputData!$B$170,InputData!$C$170*HF17,IF(HF17&lt;=InputData!$B$171,InputData!$D$170+InputData!$C$171*(HF17-InputData!$B$170),IF(HF17&lt;=InputData!$B$172,InputData!$D$171+InputData!$C$172*(HF17-InputData!$B$171),IF(HF17&lt;=InputData!$B$173,InputData!$D$172+InputData!$C$173*(HF17-InputData!$B$172),IF(HF17&lt;=InputData!$B$174,InputData!$D$173+InputData!$C$174*(HF17-InputData!$B$173),IF(HF17&lt;=InputData!$B$175,InputData!$D$174+InputData!$C$175*(HF17-InputData!$B$174),InputData!$D$175+InputData!$C$176*(HF17-InputData!$B$175))))))))</f>
        <v>15810.444980720244</v>
      </c>
      <c r="HH17" s="32">
        <f>IF(HC17&lt;=InputData!$C$150,InputData!$C$152,IF(HC17&lt;InputData!$C$151,IF(InputData!$C$152-0.25*IF(HC17-InputData!$C$150&lt;=0,0,HC17-InputData!$C$150)&lt;=0,0,InputData!$C$152-0.25*IF(HC17-InputData!$C$150&lt;=0,0,HC17-InputData!$C$150)),0))</f>
        <v>51900</v>
      </c>
      <c r="HI17" s="32">
        <f>IF(HC17-HH17&lt;=0,0,IF(HC17-HH17&lt;=InputData!$C$153,InputData!$C$154*(HC17-HH17),InputData!$C$155*(HC17-HH17)-InputData!$D$154))</f>
        <v>9782.9627799490536</v>
      </c>
      <c r="HJ17" s="32">
        <f t="shared" si="76"/>
        <v>15810.444980720244</v>
      </c>
      <c r="HK17" s="32">
        <f>IF(HC17&gt;=0,IF(HC17&lt;=InputData!$C$148,InputData!$C$147*HC17,InputData!$C$147*InputData!$C$148)+InputData!$C$149*HC17,0)</f>
        <v>6848.7986641003954</v>
      </c>
      <c r="HL17" s="32">
        <f>IF(HE17&lt;0,0,IF(HE17&lt;=InputData!$B$163,InputData!$C$163*HE17,IF(HE17&lt;=InputData!$B$164,InputData!$D$163+InputData!$C$164*(HE17-InputData!$B$163),IF(HE17&lt;=InputData!$B$165,InputData!$D$164+InputData!$C$165*(HE17-InputData!$B$164),InputData!$D$165+InputData!$C$166*(HE17-InputData!$B$165)))))</f>
        <v>0</v>
      </c>
      <c r="HM17" s="43">
        <f t="shared" si="77"/>
        <v>0.25310017476714203</v>
      </c>
      <c r="HN17" s="43">
        <f t="shared" si="78"/>
        <v>0.20932785365836032</v>
      </c>
      <c r="HO17" s="5">
        <f t="shared" si="79"/>
        <v>85588.38441237199</v>
      </c>
      <c r="HP17" s="32">
        <f>HO17/((1+InputData!$C$7)^(Ortho!$B17-Ortho!$B$7))</f>
        <v>63685.796027087723</v>
      </c>
      <c r="HQ17" s="32">
        <f t="shared" si="80"/>
        <v>496325.29808331205</v>
      </c>
      <c r="HS17" s="93">
        <f t="shared" si="81"/>
        <v>7</v>
      </c>
      <c r="HT17" s="5" t="str">
        <f t="shared" si="82"/>
        <v>Service (O4&gt;6 = (BP+BAH+BAS+VSP+BCPSP)*12)+ASP</v>
      </c>
      <c r="HU17" s="5">
        <f t="shared" si="83"/>
        <v>98796.36</v>
      </c>
      <c r="HV17" s="5">
        <f t="shared" si="84"/>
        <v>20659.199999999997</v>
      </c>
      <c r="HW17" s="5">
        <f t="shared" si="85"/>
        <v>119455.56</v>
      </c>
      <c r="HX17" s="5">
        <f t="shared" si="86"/>
        <v>89526.779922880974</v>
      </c>
      <c r="HY17" s="5">
        <f t="shared" si="87"/>
        <v>18720.848134311655</v>
      </c>
      <c r="HZ17" s="32">
        <f>IF(HX17-InputData!$C$158-InputData!$C$159&gt;=0,HX17-InputData!$C$158-InputData!$C$159,0)</f>
        <v>89526.779922880974</v>
      </c>
      <c r="IA17" s="32">
        <f>IF(HX17-IF(HX17&lt;=InputData!$C$146,InputData!$C$145,0)-MAX(InputData!$C$144,IG17)&gt;=0,HX17-IF(HX17&lt;=InputData!$C$146,InputData!$C$145,0)-MAX(InputData!$C$144,IG17),0)</f>
        <v>79526.779922880974</v>
      </c>
      <c r="IB17" s="32">
        <f>IF(IA17&lt;0,"Error",IF(IA17&lt;=InputData!$B$170,InputData!$C$170*IA17,IF(IA17&lt;=InputData!$B$171,InputData!$D$170+InputData!$C$171*(IA17-InputData!$B$170),IF(IA17&lt;=InputData!$B$172,InputData!$D$171+InputData!$C$172*(IA17-InputData!$B$171),IF(IA17&lt;=InputData!$B$173,InputData!$D$172+InputData!$C$173*(IA17-InputData!$B$172),IF(IA17&lt;=InputData!$B$174,InputData!$D$173+InputData!$C$174*(IA17-InputData!$B$173),IF(IA17&lt;=InputData!$B$175,InputData!$D$174+InputData!$C$175*(IA17-InputData!$B$174),InputData!$D$175+InputData!$C$176*(IA17-InputData!$B$175))))))))</f>
        <v>15810.444980720244</v>
      </c>
      <c r="IC17" s="32">
        <f>IF(HX17&lt;=InputData!$C$150,InputData!$C$152,IF(HX17&lt;InputData!$C$151,IF(InputData!$C$152-0.25*IF(HX17-InputData!$C$150&lt;=0,0,HX17-InputData!$C$150)&lt;=0,0,InputData!$C$152-0.25*IF(HX17-InputData!$C$150&lt;=0,0,HX17-InputData!$C$150)),0))</f>
        <v>51900</v>
      </c>
      <c r="ID17" s="32">
        <f>IF(HX17-IC17&lt;=0,0,IF(HX17-IC17&lt;=InputData!$C$153,InputData!$C$154*(HX17-IC17),InputData!$C$155*(HX17-IC17)-InputData!$D$154))</f>
        <v>9782.9627799490536</v>
      </c>
      <c r="IE17" s="32">
        <f t="shared" si="88"/>
        <v>15810.444980720244</v>
      </c>
      <c r="IF17" s="32">
        <f>IF(HX17&gt;=0,IF(HX17&lt;=InputData!$C$148,InputData!$C$147*HX17,InputData!$C$147*InputData!$C$148)+InputData!$C$149*HX17,0)</f>
        <v>6848.7986641003954</v>
      </c>
      <c r="IG17" s="32">
        <f>IF(HZ17&lt;0,0,IF(HZ17&lt;=InputData!$B$163,InputData!$C$163*HZ17,IF(HZ17&lt;=InputData!$B$164,InputData!$D$163+InputData!$C$164*(HZ17-InputData!$B$163),IF(HZ17&lt;=InputData!$B$165,InputData!$D$164+InputData!$C$165*(HZ17-InputData!$B$164),InputData!$D$165+InputData!$C$166*(HZ17-InputData!$B$165)))))</f>
        <v>0</v>
      </c>
      <c r="IH17" s="43">
        <f t="shared" si="89"/>
        <v>0.25310017476714203</v>
      </c>
      <c r="II17" s="43">
        <f t="shared" si="90"/>
        <v>0.20932785365836032</v>
      </c>
      <c r="IJ17" s="5">
        <f t="shared" si="91"/>
        <v>85588.38441237199</v>
      </c>
      <c r="IK17" s="32">
        <f>IJ17/((1+InputData!$C$7)^(Ortho!$B17-Ortho!$B$7))</f>
        <v>63685.796027087723</v>
      </c>
      <c r="IL17" s="5">
        <f t="shared" si="92"/>
        <v>588449.02039398521</v>
      </c>
      <c r="IN17" s="93">
        <f t="shared" si="93"/>
        <v>7</v>
      </c>
      <c r="IO17" s="5" t="str">
        <f t="shared" si="94"/>
        <v>Service (O4&gt;6 = (BP+BAH+BAS+VSP+BCPSP)*12)+ASP</v>
      </c>
      <c r="IP17" s="5">
        <f t="shared" si="8"/>
        <v>98796.36</v>
      </c>
      <c r="IQ17" s="5">
        <f t="shared" si="9"/>
        <v>20659.199999999997</v>
      </c>
      <c r="IR17" s="5">
        <f t="shared" si="10"/>
        <v>119455.56</v>
      </c>
      <c r="IS17" s="5">
        <f t="shared" si="11"/>
        <v>89526.779922880974</v>
      </c>
      <c r="IT17" s="5">
        <f t="shared" si="12"/>
        <v>18720.848134311655</v>
      </c>
      <c r="IU17" s="32">
        <f>IF(IS17-InputData!$C$158-InputData!$C$159&gt;=0,IS17-InputData!$C$158-InputData!$C$159,0)</f>
        <v>89526.779922880974</v>
      </c>
      <c r="IV17" s="32">
        <f>IF(IS17-IF(IS17&lt;=InputData!$C$146,InputData!$C$145,0)-MAX(InputData!$C$144,JB17)&gt;=0,IS17-IF(IS17&lt;=InputData!$C$146,InputData!$C$145,0)-MAX(InputData!$C$144,JB17),0)</f>
        <v>79526.779922880974</v>
      </c>
      <c r="IW17" s="32">
        <f>IF(IV17&lt;0,"Error",IF(IV17&lt;=InputData!$B$170,InputData!$C$170*IV17,IF(IV17&lt;=InputData!$B$171,InputData!$D$170+InputData!$C$171*(IV17-InputData!$B$170),IF(IV17&lt;=InputData!$B$172,InputData!$D$171+InputData!$C$172*(IV17-InputData!$B$171),IF(IV17&lt;=InputData!$B$173,InputData!$D$172+InputData!$C$173*(IV17-InputData!$B$172),IF(IV17&lt;=InputData!$B$174,InputData!$D$173+InputData!$C$174*(IV17-InputData!$B$173),IF(IV17&lt;=InputData!$B$175,InputData!$D$174+InputData!$C$175*(IV17-InputData!$B$174),InputData!$D$175+InputData!$C$176*(IV17-InputData!$B$175))))))))</f>
        <v>15810.444980720244</v>
      </c>
      <c r="IX17" s="32">
        <f>IF(IS17&lt;=InputData!$C$150,InputData!$C$152,IF(IS17&lt;InputData!$C$151,IF(InputData!$C$152-0.25*IF(IS17-InputData!$C$150&lt;=0,0,IS17-InputData!$C$150)&lt;=0,0,InputData!$C$152-0.25*IF(IS17-InputData!$C$150&lt;=0,0,IS17-InputData!$C$150)),0))</f>
        <v>51900</v>
      </c>
      <c r="IY17" s="32">
        <f>IF(IS17-IX17&lt;=0,0,IF(IS17-IX17&lt;=InputData!$C$153,InputData!$C$154*(IS17-IX17),InputData!$C$155*(IS17-IX17)-InputData!$D$154))</f>
        <v>9782.9627799490536</v>
      </c>
      <c r="IZ17" s="32">
        <f t="shared" si="95"/>
        <v>15810.444980720244</v>
      </c>
      <c r="JA17" s="32">
        <f>IF(IS17&gt;=0,IF(IS17&lt;=InputData!$C$148,InputData!$C$147*IS17,InputData!$C$147*InputData!$C$148)+InputData!$C$149*IS17,0)</f>
        <v>6848.7986641003954</v>
      </c>
      <c r="JB17" s="32">
        <f>IF(IU17&lt;0,0,IF(IU17&lt;=InputData!$B$163,InputData!$C$163*IU17,IF(IU17&lt;=InputData!$B$164,InputData!$D$163+InputData!$C$164*(IU17-InputData!$B$163),IF(IU17&lt;=InputData!$B$165,InputData!$D$164+InputData!$C$165*(IU17-InputData!$B$164),InputData!$D$165+InputData!$C$166*(IU17-InputData!$B$165)))))</f>
        <v>0</v>
      </c>
      <c r="JC17" s="43">
        <f t="shared" si="96"/>
        <v>0.25310017476714203</v>
      </c>
      <c r="JD17" s="43">
        <f t="shared" si="97"/>
        <v>0.20932785365836032</v>
      </c>
      <c r="JE17" s="5">
        <f t="shared" si="98"/>
        <v>85588.38441237199</v>
      </c>
      <c r="JF17" s="32">
        <f>JE17/((1+InputData!$C$7)^(Ortho!$B17-Ortho!$B$7))</f>
        <v>63685.796027087723</v>
      </c>
      <c r="JG17" s="5">
        <f t="shared" si="99"/>
        <v>496325.29808331205</v>
      </c>
      <c r="JI17" s="41" t="str">
        <f t="shared" si="13"/>
        <v>Private Practice</v>
      </c>
      <c r="JJ17" s="5">
        <f t="shared" si="14"/>
        <v>498593.09766625555</v>
      </c>
      <c r="JK17" s="32">
        <v>0</v>
      </c>
      <c r="JL17" s="32">
        <f t="shared" si="101"/>
        <v>498593.09766625555</v>
      </c>
      <c r="JM17" s="32">
        <f>JM16*(1+InputData!$C$8)</f>
        <v>14006.245885739763</v>
      </c>
      <c r="JN17" s="32">
        <f>JJ17/((1+InputData!$C$3)^(Ortho!$B17-Ortho!$B$7))</f>
        <v>409020</v>
      </c>
      <c r="JO17" s="32">
        <f>JK17/((1+InputData!$C$3)^(Ortho!$B17-Ortho!$B$7))</f>
        <v>0</v>
      </c>
      <c r="JP17" s="32" t="s">
        <v>141</v>
      </c>
      <c r="JQ17" s="32">
        <v>0</v>
      </c>
      <c r="JR17" s="32">
        <f t="shared" si="167"/>
        <v>0</v>
      </c>
      <c r="JS17" s="32">
        <f>(JR17)*InputData!$C$6</f>
        <v>0</v>
      </c>
      <c r="JT17" s="32">
        <f>MIN($BE$16*InputData!$C$6/(1-(1+InputData!$C$6)^(-10)), JR17+JS17)</f>
        <v>0</v>
      </c>
      <c r="JU17" s="32">
        <f t="shared" si="151"/>
        <v>0</v>
      </c>
      <c r="JV17" s="32">
        <f>JT17/((1+InputData!$C$3)^(Ortho!$B17-Ortho!$B$7))</f>
        <v>0</v>
      </c>
      <c r="JW17" s="32">
        <f>IF(JN17-InputData!$C$158-InputData!$C$159&gt;=0,JN17-InputData!$C$158-InputData!$C$159,0)</f>
        <v>409020</v>
      </c>
      <c r="JX17" s="32">
        <f>IF(JN17-IF(JN17&lt;=InputData!$C$146,InputData!$C$145,0)-MAX(InputData!$C$144,KD17)&gt;=0,JN17-IF(JN17&lt;=InputData!$C$146,InputData!$C$145,0)-MAX(InputData!$C$144,KD17),0)</f>
        <v>402920</v>
      </c>
      <c r="JY17" s="32">
        <f>IF(JX17&lt;0,"Error",IF(JX17&lt;=InputData!$B$170,InputData!$C$170*JX17,IF(JX17&lt;=InputData!$B$171,InputData!$D$170+InputData!$C$171*(JX17-InputData!$B$170),IF(JX17&lt;=InputData!$B$172,InputData!$D$171+InputData!$C$172*(JX17-InputData!$B$171),IF(JX17&lt;=InputData!$B$173,InputData!$D$172+InputData!$C$173*(JX17-InputData!$B$172),IF(JX17&lt;=InputData!$B$174,InputData!$D$173+InputData!$C$174*(JX17-InputData!$B$173),IF(JX17&lt;=InputData!$B$175,InputData!$D$174+InputData!$C$175*(JX17-InputData!$B$174),InputData!$D$175+InputData!$C$176*(JX17-InputData!$B$175))))))))</f>
        <v>117320.07</v>
      </c>
      <c r="JZ17" s="32">
        <f>IF(JN17&lt;=InputData!$C$150,InputData!$C$152,IF(JN17&lt;InputData!$C$151,IF(InputData!$C$152-0.25*IF(JN17-InputData!$C$150&lt;=0,0,JN17-InputData!$C$150)&lt;=0,0,InputData!$C$152-0.25*IF(JN17-InputData!$C$150&lt;=0,0,JN17-InputData!$C$150)),0))</f>
        <v>0</v>
      </c>
      <c r="KA17" s="32">
        <f>IF(JN17-JZ17&lt;=0,0,IF(JN17-JZ17&lt;=InputData!$C$153,InputData!$C$154*(JN17-JZ17),InputData!$C$155*(JN17-JZ17)-InputData!$D$154))</f>
        <v>110935.6</v>
      </c>
      <c r="KB17" s="32">
        <f t="shared" si="102"/>
        <v>117320.07</v>
      </c>
      <c r="KC17" s="32">
        <f>IF(JN17&gt;=0,IF(JN17&lt;=InputData!$C$148,InputData!$C$147*JN17,InputData!$C$147*InputData!$C$148)+InputData!$C$149*JN17,0)</f>
        <v>12980.189999999999</v>
      </c>
      <c r="KD17" s="32">
        <f>IF(JW17&lt;0,0,IF(JW17&lt;=InputData!$B$163,InputData!$C$163*JW17,IF(JW17&lt;=InputData!$B$164,InputData!$D$163+InputData!$C$164*(JW17-InputData!$B$163),IF(JW17&lt;=InputData!$B$165,InputData!$D$164+InputData!$C$165*(JW17-InputData!$B$164),InputData!$D$165+InputData!$C$166*(JW17-InputData!$B$165)))))</f>
        <v>0</v>
      </c>
      <c r="KE17" s="43">
        <f t="shared" si="15"/>
        <v>0.31856696494058973</v>
      </c>
      <c r="KF17" s="32">
        <f t="shared" si="16"/>
        <v>278719.74</v>
      </c>
      <c r="KG17" s="32">
        <f t="shared" si="103"/>
        <v>278719.74</v>
      </c>
      <c r="KH17" s="32">
        <f>KG17/((1+InputData!$C$7)^(Ortho!$B17-Ortho!$B$7))</f>
        <v>207393.66249559735</v>
      </c>
      <c r="KI17" s="5">
        <f t="shared" si="122"/>
        <v>601501.68989985029</v>
      </c>
    </row>
    <row r="18" spans="1:295" ht="14.45" x14ac:dyDescent="0.3">
      <c r="A18" s="4">
        <v>2024</v>
      </c>
      <c r="B18" s="51">
        <v>12</v>
      </c>
      <c r="C18" s="4"/>
      <c r="D18" s="3">
        <v>8</v>
      </c>
      <c r="E18" s="4" t="s">
        <v>20</v>
      </c>
      <c r="F18" s="5">
        <f>InputData!$G$23*12</f>
        <v>69296.399999999994</v>
      </c>
      <c r="G18" s="32">
        <f>(InputData!$G$23+InputData!$E$45+InputData!$C$50)*12+InputData!$J$50</f>
        <v>98796.36</v>
      </c>
      <c r="H18" s="32">
        <f>(InputData!$C$34+InputData!$C$40)*12</f>
        <v>20659.199999999997</v>
      </c>
      <c r="I18" s="32">
        <f t="shared" si="17"/>
        <v>119455.56</v>
      </c>
      <c r="J18" s="32">
        <f>G18*((1+InputData!$C$5)/(1+InputData!$C$3))^(Ortho!$B18-Ortho!$B$7)</f>
        <v>88649.066394225287</v>
      </c>
      <c r="K18" s="32">
        <f>H18*((1+InputData!$C$5)/(1+InputData!$C$3))^(Ortho!$B18-Ortho!$B$7)</f>
        <v>18537.310407504676</v>
      </c>
      <c r="L18" s="32">
        <f>IF(J18-InputData!$C$158-InputData!$C$159&gt;=0,J18-InputData!$C$158-InputData!$C$159,0)</f>
        <v>88649.066394225287</v>
      </c>
      <c r="M18" s="32">
        <f>IF(J18-IF(J18&lt;=InputData!$C$146,InputData!$C$145,0)-MAX(InputData!$C$144,S18)&gt;=0,J18-IF(J18&lt;=InputData!$C$146,InputData!$C$145,0)-MAX(InputData!$C$144,S18),0)</f>
        <v>78649.066394225287</v>
      </c>
      <c r="N18" s="32">
        <f>IF(M18&lt;0,"Error",IF(M18&lt;=InputData!$B$170,InputData!$C$170*M18,IF(M18&lt;=InputData!$B$171,InputData!$D$170+InputData!$C$171*(M18-InputData!$B$170),IF(M18&lt;=InputData!$B$172,InputData!$D$171+InputData!$C$172*(M18-InputData!$B$171),IF(M18&lt;=InputData!$B$173,InputData!$D$172+InputData!$C$173*(M18-InputData!$B$172),IF(M18&lt;=InputData!$B$174,InputData!$D$173+InputData!$C$174*(M18-InputData!$B$173),IF(M18&lt;=InputData!$B$175,InputData!$D$174+InputData!$C$175*(M18-InputData!$B$174),InputData!$D$175+InputData!$C$176*(M18-InputData!$B$175))))))))</f>
        <v>15591.016598556322</v>
      </c>
      <c r="O18" s="32">
        <f>IF(J18&lt;=InputData!$C$150,InputData!$C$152,IF(J18&lt;InputData!$C$151,IF(InputData!$C$152-0.25*IF(J18-InputData!$C$150&lt;=0,0,J18-InputData!$C$150)&lt;=0,0,InputData!$C$152-0.25*IF(J18-InputData!$C$150&lt;=0,0,J18-InputData!$C$150)),0))</f>
        <v>51900</v>
      </c>
      <c r="P18" s="32">
        <f>IF(J18-O18&lt;=0,0,IF(J18-O18&lt;=InputData!$C$153,InputData!$C$154*(J18-O18),InputData!$C$155*(J18-O18)-InputData!$D$154))</f>
        <v>9554.7572624985751</v>
      </c>
      <c r="Q18" s="32">
        <f t="shared" si="18"/>
        <v>15591.016598556322</v>
      </c>
      <c r="R18" s="32">
        <f>IF(J18&gt;=0,IF(J18&lt;=InputData!$C$148,InputData!$C$147*J18,InputData!$C$147*InputData!$C$148)+InputData!$C$149*J18,0)</f>
        <v>6781.6535791582337</v>
      </c>
      <c r="S18" s="32">
        <f>IF(L18&lt;0,0,IF(L18&lt;=InputData!$B$163,InputData!$C$163*L18,IF(L18&lt;=InputData!$B$164,InputData!$D$163+InputData!$C$164*(L18-InputData!$B$163),IF(L18&lt;=InputData!$B$165,InputData!$D$164+InputData!$C$165*(L18-InputData!$B$164),InputData!$D$165+InputData!$C$166*(L18-InputData!$B$165)))))</f>
        <v>0</v>
      </c>
      <c r="T18" s="43">
        <f t="shared" si="19"/>
        <v>0.25237344382424248</v>
      </c>
      <c r="U18" s="43">
        <f t="shared" si="20"/>
        <v>0.20872680694393494</v>
      </c>
      <c r="V18" s="5">
        <f t="shared" si="21"/>
        <v>84813.706624015409</v>
      </c>
      <c r="W18" s="32">
        <f>V18/((1+InputData!$C$7)^(Ortho!$B18-Ortho!$B$7))</f>
        <v>61271.226212394111</v>
      </c>
      <c r="X18" s="5">
        <f t="shared" si="104"/>
        <v>649720.24660637928</v>
      </c>
      <c r="Y18" s="53"/>
      <c r="Z18" s="3">
        <v>8</v>
      </c>
      <c r="AA18" s="4" t="s">
        <v>211</v>
      </c>
      <c r="AB18" s="5">
        <f t="shared" si="126"/>
        <v>69296.399999999994</v>
      </c>
      <c r="AC18" s="32">
        <f t="shared" si="127"/>
        <v>98796.36</v>
      </c>
      <c r="AD18" s="32">
        <f t="shared" si="127"/>
        <v>20659.199999999997</v>
      </c>
      <c r="AE18" s="32">
        <f t="shared" si="22"/>
        <v>119455.56</v>
      </c>
      <c r="AF18" s="5">
        <f>AC18*((1+InputData!$C$5)/(1+InputData!$C$3))^(Ortho!$B18-Ortho!$B$7)</f>
        <v>88649.066394225287</v>
      </c>
      <c r="AG18" s="5">
        <f>AD18*((1+InputData!$C$5)/(1+InputData!$C$3))^(Ortho!$B18-Ortho!$B$7)</f>
        <v>18537.310407504676</v>
      </c>
      <c r="AH18" s="32">
        <f>IF(AF18-InputData!$C$158-InputData!$C$159&gt;=0,AF18-InputData!$C$158-InputData!$C$159,0)</f>
        <v>88649.066394225287</v>
      </c>
      <c r="AI18" s="32">
        <f>IF(AF18-IF(AF18&lt;=InputData!$C$146,InputData!$C$145,0)-MAX(InputData!$C$144,AO18)&gt;=0,AF18-IF(AF18&lt;=InputData!$C$146,InputData!$C$145,0)-MAX(InputData!$C$144,AO18),0)</f>
        <v>78649.066394225287</v>
      </c>
      <c r="AJ18" s="32">
        <f>IF(AI18&lt;0,"Error",IF(AI18&lt;=InputData!$B$170,InputData!$C$170*AI18,IF(AI18&lt;=InputData!$B$171,InputData!$D$170+InputData!$C$171*(AI18-InputData!$B$170),IF(AI18&lt;=InputData!$B$172,InputData!$D$171+InputData!$C$172*(AI18-InputData!$B$171),IF(AI18&lt;=InputData!$B$173,InputData!$D$172+InputData!$C$173*(AI18-InputData!$B$172),IF(AI18&lt;=InputData!$B$174,InputData!$D$173+InputData!$C$174*(AI18-InputData!$B$173),IF(AI18&lt;=InputData!$B$175,InputData!$D$174+InputData!$C$175*(AI18-InputData!$B$174),InputData!$D$175+InputData!$C$176*(AI18-InputData!$B$175))))))))</f>
        <v>15591.016598556322</v>
      </c>
      <c r="AK18" s="32">
        <f>IF(AF18&lt;=InputData!$C$150,InputData!$C$152,IF(AF18&lt;InputData!$C$151,IF(InputData!$C$152-0.25*IF(AF18-InputData!$C$150&lt;=0,0,AF18-InputData!$C$150)&lt;=0,0,InputData!$C$152-0.25*IF(AF18-InputData!$C$150&lt;=0,0,AF18-InputData!$C$150)),0))</f>
        <v>51900</v>
      </c>
      <c r="AL18" s="32">
        <f>IF(AF18-AK18&lt;=0,0,IF(AF18-AK18&lt;=InputData!$C$153,InputData!$C$154*(AF18-AK18),InputData!$C$155*(AF18-AK18)-InputData!$D$154))</f>
        <v>9554.7572624985751</v>
      </c>
      <c r="AM18" s="32">
        <f t="shared" si="23"/>
        <v>15591.016598556322</v>
      </c>
      <c r="AN18" s="32">
        <f>IF(AF18&gt;=0,IF(AF18&lt;=InputData!$C$148,InputData!$C$147*AF18,InputData!$C$147*InputData!$C$148)+InputData!$C$149*AF18,0)</f>
        <v>6781.6535791582337</v>
      </c>
      <c r="AO18" s="32">
        <f>IF(AH18&lt;0,0,IF(AH18&lt;=InputData!$B$163,InputData!$C$163*AH18,IF(AH18&lt;=InputData!$B$164,InputData!$D$163+InputData!$C$164*(AH18-InputData!$B$163),IF(AH18&lt;=InputData!$B$165,InputData!$D$164+InputData!$C$165*(AH18-InputData!$B$164),InputData!$D$165+InputData!$C$166*(AH18-InputData!$B$165)))))</f>
        <v>0</v>
      </c>
      <c r="AP18" s="43">
        <f t="shared" si="24"/>
        <v>0.25237344382424248</v>
      </c>
      <c r="AQ18" s="43">
        <f t="shared" si="25"/>
        <v>0.20872680694393494</v>
      </c>
      <c r="AR18" s="5">
        <f t="shared" si="26"/>
        <v>84813.706624015409</v>
      </c>
      <c r="AS18" s="32">
        <f>AR18/((1+InputData!$C$7)^(Ortho!$B18-Ortho!$B$7))</f>
        <v>61271.226212394111</v>
      </c>
      <c r="AT18" s="5">
        <f t="shared" si="105"/>
        <v>557596.52429570619</v>
      </c>
      <c r="AU18" s="53"/>
      <c r="AV18" s="41" t="s">
        <v>109</v>
      </c>
      <c r="AW18" s="32">
        <f>$AW$17*(1+InputData!$C$3+InputData!$C$4)^(Ortho!$B18-Ortho!$B$17)</f>
        <v>513550.8905962432</v>
      </c>
      <c r="AX18" s="32">
        <v>0</v>
      </c>
      <c r="AY18" s="32">
        <f t="shared" si="28"/>
        <v>513550.8905962432</v>
      </c>
      <c r="AZ18" s="32">
        <f>AZ17*(1+InputData!$C$8)</f>
        <v>14286.370803454558</v>
      </c>
      <c r="BA18" s="32">
        <f>AW18/((1+InputData!$C$3)^(Ortho!$B18-Ortho!$B$7))</f>
        <v>413030.00000000006</v>
      </c>
      <c r="BB18" s="32">
        <f>AX18/((1+InputData!$C$3)^(Ortho!$B18-Ortho!$B$7))</f>
        <v>0</v>
      </c>
      <c r="BC18" s="32" t="s">
        <v>141</v>
      </c>
      <c r="BD18" s="32">
        <v>0</v>
      </c>
      <c r="BE18" s="32">
        <f t="shared" si="152"/>
        <v>229674.81372319057</v>
      </c>
      <c r="BF18" s="32">
        <f>(BE18)*InputData!$C$6</f>
        <v>14262.805932210134</v>
      </c>
      <c r="BG18" s="32">
        <f>MIN($BE$16*InputData!$C$6/(1-(1+InputData!$C$6)^(-10)), BE18+BF18)</f>
        <v>37293.894744798265</v>
      </c>
      <c r="BH18" s="32">
        <f t="shared" si="137"/>
        <v>206643.72491060244</v>
      </c>
      <c r="BI18" s="32">
        <f>BG18/((1+InputData!$C$3)^(Ortho!$B18-Ortho!$B$7))</f>
        <v>29994.101127076716</v>
      </c>
      <c r="BJ18" s="32">
        <f>IF(BA18-InputData!$C$158-InputData!$C$159&gt;=0,BA18-InputData!$C$158-InputData!$C$159,0)</f>
        <v>413030.00000000006</v>
      </c>
      <c r="BK18" s="32">
        <f>IF(BA18-IF(BA18&lt;=InputData!$C$146,InputData!$C$145,0)-MAX(InputData!$C$144,BQ18)&gt;=0,BA18-IF(BA18&lt;=InputData!$C$146,InputData!$C$145,0)-MAX(InputData!$C$144,BQ18),0)</f>
        <v>406930.00000000006</v>
      </c>
      <c r="BL18" s="32">
        <f>IF(BK18&lt;0,"Error",IF(BK18&lt;=InputData!$B$170,InputData!$C$170*BK18,IF(BK18&lt;=InputData!$B$171,InputData!$D$170+InputData!$C$171*(BK18-InputData!$B$170),IF(BK18&lt;=InputData!$B$172,InputData!$D$171+InputData!$C$172*(BK18-InputData!$B$171),IF(BK18&lt;=InputData!$B$173,InputData!$D$172+InputData!$C$173*(BK18-InputData!$B$172),IF(BK18&lt;=InputData!$B$174,InputData!$D$173+InputData!$C$174*(BK18-InputData!$B$173),IF(BK18&lt;=InputData!$B$175,InputData!$D$174+InputData!$C$175*(BK18-InputData!$B$174),InputData!$D$175+InputData!$C$176*(BK18-InputData!$B$175))))))))</f>
        <v>118908.03000000003</v>
      </c>
      <c r="BM18" s="32">
        <f>IF(BA18&lt;=InputData!$C$150,InputData!$C$152,IF(BA18&lt;InputData!$C$151,IF(InputData!$C$152-0.25*IF(BA18-InputData!$C$150&lt;=0,0,BA18-InputData!$C$150)&lt;=0,0,InputData!$C$152-0.25*IF(BA18-InputData!$C$150&lt;=0,0,BA18-InputData!$C$150)),0))</f>
        <v>0</v>
      </c>
      <c r="BN18" s="32">
        <f>IF(BA18-BM18&lt;=0,0,IF(BA18-BM18&lt;=InputData!$C$153,InputData!$C$154*(BA18-BM18),InputData!$C$155*(BA18-BM18)-InputData!$D$154))</f>
        <v>112058.40000000002</v>
      </c>
      <c r="BO18" s="32">
        <f t="shared" si="29"/>
        <v>118908.03000000003</v>
      </c>
      <c r="BP18" s="32">
        <f>IF(BA18&gt;=0,IF(BA18&lt;=InputData!$C$148,InputData!$C$147*BA18,InputData!$C$147*InputData!$C$148)+InputData!$C$149*BA18,0)</f>
        <v>13038.335000000001</v>
      </c>
      <c r="BQ18" s="32">
        <f>IF(BJ18&lt;0,0,IF(BJ18&lt;=InputData!$B$163,InputData!$C$163*BJ18,IF(BJ18&lt;=InputData!$B$164,InputData!$D$163+InputData!$C$164*(BJ18-InputData!$B$163),IF(BJ18&lt;=InputData!$B$165,InputData!$D$164+InputData!$C$165*(BJ18-InputData!$B$164),InputData!$D$165+InputData!$C$166*(BJ18-InputData!$B$165)))))</f>
        <v>0</v>
      </c>
      <c r="BR18" s="43">
        <f t="shared" si="30"/>
        <v>0.31945951867903061</v>
      </c>
      <c r="BS18" s="32">
        <f t="shared" si="31"/>
        <v>281083.63500000001</v>
      </c>
      <c r="BT18" s="32">
        <f t="shared" si="32"/>
        <v>251089.53387292329</v>
      </c>
      <c r="BU18" s="32">
        <f>BT18/((1+InputData!$C$7)^(Ortho!$B18-Ortho!$B$7))</f>
        <v>181392.42160106541</v>
      </c>
      <c r="BV18" s="5">
        <f t="shared" si="107"/>
        <v>545345.23911094514</v>
      </c>
      <c r="BW18" s="5"/>
      <c r="BX18" s="32" t="s">
        <v>141</v>
      </c>
      <c r="BY18" s="5">
        <f t="shared" si="153"/>
        <v>261859.41079757642</v>
      </c>
      <c r="BZ18" s="32">
        <f>(BY18)*InputData!$C$6</f>
        <v>16261.469410529497</v>
      </c>
      <c r="CA18" s="32">
        <f>MIN($BY$16*InputData!$C$6/(1-(1+InputData!$C$6)^(-25)), BY18+BZ18)</f>
        <v>21686.214673809533</v>
      </c>
      <c r="CB18" s="32">
        <f t="shared" si="154"/>
        <v>256434.66553429636</v>
      </c>
      <c r="CC18" s="32">
        <f>CA18/((1+InputData!$C$3)^(Ortho!$B18-Ortho!$B$7))</f>
        <v>17441.420919987548</v>
      </c>
      <c r="CD18" s="5">
        <f t="shared" si="36"/>
        <v>263642.21408001246</v>
      </c>
      <c r="CE18" s="32">
        <f>CD18/((1+InputData!$C$7)^(Ortho!$B18-Ortho!$B$7))</f>
        <v>190460.74486100679</v>
      </c>
      <c r="CF18" s="5">
        <f t="shared" si="108"/>
        <v>573949.99853377021</v>
      </c>
      <c r="CG18" s="5"/>
      <c r="CH18" s="32" t="s">
        <v>141</v>
      </c>
      <c r="CI18" s="5" t="e">
        <f t="shared" si="155"/>
        <v>#VALUE!</v>
      </c>
      <c r="CJ18" s="32" t="e">
        <f>(CI18)*InputData!$C$6</f>
        <v>#VALUE!</v>
      </c>
      <c r="CK18" s="5" t="str">
        <f t="shared" si="168"/>
        <v>DNQ</v>
      </c>
      <c r="CL18" s="32" t="e">
        <f t="shared" si="156"/>
        <v>#VALUE!</v>
      </c>
      <c r="CM18" s="32" t="e">
        <f>CK18/((1+InputData!$C$3)^(Ortho!$B18-Ortho!$B$7))</f>
        <v>#VALUE!</v>
      </c>
      <c r="CN18" s="5" t="e">
        <f t="shared" si="40"/>
        <v>#VALUE!</v>
      </c>
      <c r="CO18" s="32" t="e">
        <f>CN18/((1+InputData!$C$7)^(Ortho!$B18-Ortho!$B$7))</f>
        <v>#VALUE!</v>
      </c>
      <c r="CP18" s="5" t="e">
        <f t="shared" si="109"/>
        <v>#VALUE!</v>
      </c>
      <c r="CQ18" s="5"/>
      <c r="CR18" s="32" t="s">
        <v>141</v>
      </c>
      <c r="CS18" s="5" t="e">
        <f t="shared" si="157"/>
        <v>#VALUE!</v>
      </c>
      <c r="CT18" s="32" t="e">
        <f>(CS18)*InputData!$C$6</f>
        <v>#VALUE!</v>
      </c>
      <c r="CU18" s="32" t="str">
        <f t="shared" si="169"/>
        <v>DNQ</v>
      </c>
      <c r="CV18" s="32" t="e">
        <f t="shared" si="158"/>
        <v>#VALUE!</v>
      </c>
      <c r="CW18" s="32" t="e">
        <f>CU18/((1+InputData!$C$3)^(Ortho!$B18-Ortho!$B$7))</f>
        <v>#VALUE!</v>
      </c>
      <c r="CX18" s="5" t="e">
        <f t="shared" si="44"/>
        <v>#VALUE!</v>
      </c>
      <c r="CY18" s="32" t="e">
        <f>CX18/((1+InputData!$C$7)^(Ortho!$B18-Ortho!$B$7))</f>
        <v>#VALUE!</v>
      </c>
      <c r="CZ18" s="5" t="e">
        <f t="shared" si="110"/>
        <v>#VALUE!</v>
      </c>
      <c r="DA18" s="5"/>
      <c r="DB18" s="32" t="s">
        <v>141</v>
      </c>
      <c r="DC18" s="5">
        <f t="shared" si="138"/>
        <v>89065.324921686668</v>
      </c>
      <c r="DD18" s="5">
        <f>DC18*InputData!$C$6</f>
        <v>5530.9566776367419</v>
      </c>
      <c r="DE18" s="32">
        <f t="shared" si="139"/>
        <v>29148.379963889372</v>
      </c>
      <c r="DF18" s="32">
        <f t="shared" si="140"/>
        <v>65447.901635434042</v>
      </c>
      <c r="DG18" s="32">
        <f>DE18/((1+InputData!$C$3)^(Ortho!$B18-Ortho!$B$7))</f>
        <v>23442.964654403619</v>
      </c>
      <c r="DH18" s="5">
        <f t="shared" si="48"/>
        <v>257640.67034559639</v>
      </c>
      <c r="DI18" s="32">
        <f>DH18/((1+InputData!$C$7)^(Ortho!$B18-Ortho!$B$7))</f>
        <v>186125.10197482663</v>
      </c>
      <c r="DJ18" s="5">
        <f t="shared" si="111"/>
        <v>463589.69074471772</v>
      </c>
      <c r="DK18" s="5"/>
      <c r="DL18" s="32" t="s">
        <v>141</v>
      </c>
      <c r="DM18" s="32">
        <f t="shared" si="159"/>
        <v>211054.79081768414</v>
      </c>
      <c r="DN18" s="5">
        <f>DM18*InputData!$C$6</f>
        <v>13106.502509778185</v>
      </c>
      <c r="DO18" s="32">
        <f t="shared" si="160"/>
        <v>0</v>
      </c>
      <c r="DP18" s="32">
        <f t="shared" si="123"/>
        <v>29148.379963889372</v>
      </c>
      <c r="DQ18" s="32">
        <f t="shared" si="124"/>
        <v>195012.91336357297</v>
      </c>
      <c r="DR18" s="32">
        <f>DP18/((1+InputData!$C$3)^(Ortho!$B18-Ortho!$B$7))</f>
        <v>23442.964654403619</v>
      </c>
      <c r="DS18" s="5">
        <f t="shared" si="52"/>
        <v>257640.67034559639</v>
      </c>
      <c r="DT18" s="32">
        <f>DS18/((1+InputData!$C$7)^(Ortho!$B18-Ortho!$B$7))</f>
        <v>186125.10197482663</v>
      </c>
      <c r="DU18" s="5">
        <f t="shared" si="113"/>
        <v>537043.79570754466</v>
      </c>
      <c r="DV18" s="5"/>
      <c r="DW18" s="32" t="s">
        <v>141</v>
      </c>
      <c r="DX18" s="133">
        <f t="shared" si="141"/>
        <v>221568.52768201238</v>
      </c>
      <c r="DY18" s="5">
        <f>DX18*InputData!$C$6</f>
        <v>13759.405569052969</v>
      </c>
      <c r="DZ18" s="133">
        <f t="shared" si="142"/>
        <v>0</v>
      </c>
      <c r="EA18" s="32">
        <f t="shared" si="143"/>
        <v>29148.379963889372</v>
      </c>
      <c r="EB18" s="32">
        <f t="shared" si="144"/>
        <v>206179.55328717598</v>
      </c>
      <c r="EC18" s="32">
        <f>EA18/((1+InputData!$C$3)^(Ortho!$B18-Ortho!$B$7))</f>
        <v>23442.964654403619</v>
      </c>
      <c r="ED18" s="5">
        <f t="shared" si="56"/>
        <v>257640.67034559639</v>
      </c>
      <c r="EE18" s="32">
        <f>ED18/((1+InputData!$C$7)^(Ortho!$B18-Ortho!$B$7))</f>
        <v>186125.10197482663</v>
      </c>
      <c r="EF18" s="5">
        <f t="shared" si="115"/>
        <v>544787.13663119229</v>
      </c>
      <c r="EG18" s="32"/>
      <c r="EH18" s="130" t="s">
        <v>141</v>
      </c>
      <c r="EI18" s="32">
        <v>0</v>
      </c>
      <c r="EJ18" s="32">
        <f>EJ17-(EN17-EK17)</f>
        <v>229501.68208074057</v>
      </c>
      <c r="EK18" s="32">
        <f>(EJ18)*InputData!$C$6</f>
        <v>14252.05445721399</v>
      </c>
      <c r="EL18" s="32">
        <f t="shared" ref="EL18:EL36" si="172">EL17+EI18+EK18-EN18</f>
        <v>206487.95438045243</v>
      </c>
      <c r="EM18" s="32">
        <f>EM17*(1+InputData!$C$8)</f>
        <v>14286.370803454558</v>
      </c>
      <c r="EN18" s="32">
        <f t="shared" si="170"/>
        <v>37265.782157502101</v>
      </c>
      <c r="EO18" s="32">
        <f>AW18/((1+InputData!$C$3)^(Ortho!$B18-Ortho!$B$7))</f>
        <v>413030.00000000006</v>
      </c>
      <c r="EP18" s="32">
        <f>AX18/((1+InputData!$C$3)^(Ortho!$B18-Ortho!$B$7))</f>
        <v>0</v>
      </c>
      <c r="EQ18" s="32">
        <v>86279.62</v>
      </c>
      <c r="ER18" s="32">
        <v>10337.48</v>
      </c>
      <c r="ES18" s="32">
        <v>0</v>
      </c>
      <c r="ET18" s="43">
        <f t="shared" si="129"/>
        <v>0.23392271747814924</v>
      </c>
      <c r="EU18" s="32">
        <f t="shared" si="57"/>
        <v>316412.90000000008</v>
      </c>
      <c r="EV18" s="32">
        <f>EN18/((1+InputData!$C$3)^(Ortho!$B18-Ortho!$B$7))</f>
        <v>29971.491212181129</v>
      </c>
      <c r="EW18" s="32">
        <f t="shared" si="58"/>
        <v>286441.40878781897</v>
      </c>
      <c r="EX18" s="32">
        <f>EW18/((1+InputData!$C$7)^(Ortho!$B18-Ortho!$B$7))</f>
        <v>206931.36820724412</v>
      </c>
      <c r="EY18" s="5">
        <f t="shared" si="117"/>
        <v>688370.67404338904</v>
      </c>
      <c r="EZ18" s="79"/>
      <c r="FA18" s="32">
        <f t="shared" si="161"/>
        <v>229501.68208074055</v>
      </c>
      <c r="FB18" s="32">
        <f>FA18*InputData!$C$6</f>
        <v>14252.054457213988</v>
      </c>
      <c r="FC18" s="32">
        <f t="shared" si="162"/>
        <v>206487.95438045243</v>
      </c>
      <c r="FD18" s="32">
        <f>MIN($EJ$16*InputData!$C$6/(1-(1+InputData!$C$6)^(-10)), FA18+FB18)</f>
        <v>37265.782157502101</v>
      </c>
      <c r="FE18" s="32">
        <f>FD18/((1+InputData!$C$3)^(Ortho!$B18-Ortho!$B$7))</f>
        <v>29971.491212181129</v>
      </c>
      <c r="FF18" s="5">
        <f t="shared" si="62"/>
        <v>286441.40878781897</v>
      </c>
      <c r="FG18" s="32">
        <f>FF18/((1+InputData!$C$7)^(Ortho!$B18-Ortho!$B$7))</f>
        <v>206931.36820724412</v>
      </c>
      <c r="FH18" s="5">
        <f t="shared" si="118"/>
        <v>688370.67404338904</v>
      </c>
      <c r="FI18" s="79"/>
      <c r="FJ18" s="32">
        <f t="shared" si="163"/>
        <v>261662.01801798752</v>
      </c>
      <c r="FK18" s="32">
        <f>FJ18*InputData!$C$6</f>
        <v>16249.211318917025</v>
      </c>
      <c r="FL18" s="32">
        <f t="shared" si="164"/>
        <v>256241.36199306182</v>
      </c>
      <c r="FM18" s="32">
        <f>MIN($EJ$16*InputData!$C$6/(1-(1+InputData!$C$6)^(-25)), FJ18+FK18)</f>
        <v>21669.867343842721</v>
      </c>
      <c r="FN18" s="32">
        <f>FM18/((1+InputData!$C$3)^(Ortho!$B18-Ortho!$B$7))</f>
        <v>17428.273366707381</v>
      </c>
      <c r="FO18" s="5">
        <f t="shared" si="66"/>
        <v>298984.6266332927</v>
      </c>
      <c r="FP18" s="32">
        <f>FO18/((1+InputData!$C$7)^(Ortho!$B18-Ortho!$B$7))</f>
        <v>215992.85565582762</v>
      </c>
      <c r="FQ18" s="5">
        <f t="shared" si="119"/>
        <v>716953.87085383851</v>
      </c>
      <c r="FR18" s="79"/>
      <c r="FS18" s="32">
        <f t="shared" si="165"/>
        <v>229501.68208074055</v>
      </c>
      <c r="FT18" s="32">
        <f>FS18*InputData!$C$6</f>
        <v>14252.054457213988</v>
      </c>
      <c r="FU18" s="32">
        <f t="shared" si="166"/>
        <v>206487.95438045243</v>
      </c>
      <c r="FV18" s="5">
        <f t="shared" si="171"/>
        <v>37265.782157502101</v>
      </c>
      <c r="FW18" s="32">
        <f>FV18/((1+InputData!$C$3)^(Ortho!$B18-Ortho!$B$7))</f>
        <v>29971.491212181129</v>
      </c>
      <c r="FX18" s="5">
        <f t="shared" si="70"/>
        <v>286441.40878781897</v>
      </c>
      <c r="FY18" s="32">
        <f>FX18/((1+InputData!$C$7)^(Ortho!$B18-Ortho!$B$7))</f>
        <v>206931.36820724412</v>
      </c>
      <c r="FZ18" s="5">
        <f t="shared" si="120"/>
        <v>688370.67404338904</v>
      </c>
      <c r="GC18" s="3">
        <f t="shared" si="3"/>
        <v>8</v>
      </c>
      <c r="GD18" s="4" t="str">
        <f t="shared" si="145"/>
        <v>Service (O4&gt;6 = (BP+BAH+BAS+VSP+BCPSP)*12)+ASP</v>
      </c>
      <c r="GE18" s="5">
        <f t="shared" si="146"/>
        <v>98796.36</v>
      </c>
      <c r="GF18" s="5">
        <f t="shared" si="147"/>
        <v>20659.199999999997</v>
      </c>
      <c r="GG18" s="5">
        <f t="shared" si="148"/>
        <v>119455.56</v>
      </c>
      <c r="GH18" s="5">
        <f t="shared" si="149"/>
        <v>88649.066394225287</v>
      </c>
      <c r="GI18" s="5">
        <f t="shared" si="150"/>
        <v>18537.310407504676</v>
      </c>
      <c r="GJ18" s="32">
        <f>IF(GH18-InputData!$C$158-InputData!$C$159&gt;=0,GH18-InputData!$C$158-InputData!$C$159,0)</f>
        <v>88649.066394225287</v>
      </c>
      <c r="GK18" s="32">
        <f>IF(GH18-IF(GH18&lt;=InputData!$C$146,InputData!$C$145,0)-MAX(InputData!$C$144,GQ18)&gt;=0,GH18-IF(GH18&lt;=InputData!$C$146,InputData!$C$145,0)-MAX(InputData!$C$144,GQ18),0)</f>
        <v>78649.066394225287</v>
      </c>
      <c r="GL18" s="32">
        <f>IF(GK18&lt;0,"Error",IF(GK18&lt;=InputData!$B$170,InputData!$C$170*GK18,IF(GK18&lt;=InputData!$B$171,InputData!$D$170+InputData!$C$171*(GK18-InputData!$B$170),IF(GK18&lt;=InputData!$B$172,InputData!$D$171+InputData!$C$172*(GK18-InputData!$B$171),IF(GK18&lt;=InputData!$B$173,InputData!$D$172+InputData!$C$173*(GK18-InputData!$B$172),IF(GK18&lt;=InputData!$B$174,InputData!$D$173+InputData!$C$174*(GK18-InputData!$B$173),IF(GK18&lt;=InputData!$B$175,InputData!$D$174+InputData!$C$175*(GK18-InputData!$B$174),InputData!$D$175+InputData!$C$176*(GK18-InputData!$B$175))))))))</f>
        <v>15591.016598556322</v>
      </c>
      <c r="GM18" s="32">
        <f>IF(GH18&lt;=InputData!$C$150,InputData!$C$152,IF(GH18&lt;InputData!$C$151,IF(InputData!$C$152-0.25*IF(GH18-InputData!$C$150&lt;=0,0,GH18-InputData!$C$150)&lt;=0,0,InputData!$C$152-0.25*IF(GH18-InputData!$C$150&lt;=0,0,GH18-InputData!$C$150)),0))</f>
        <v>51900</v>
      </c>
      <c r="GN18" s="32">
        <f>IF(GH18-GM18&lt;=0,0,IF(GH18-GM18&lt;=InputData!$C$153,InputData!$C$154*(GH18-GM18),InputData!$C$155*(GH18-GM18)-InputData!$D$154))</f>
        <v>9554.7572624985751</v>
      </c>
      <c r="GO18" s="32">
        <f t="shared" si="71"/>
        <v>15591.016598556322</v>
      </c>
      <c r="GP18" s="32">
        <f>IF(GH18&gt;=0,IF(GH18&lt;=InputData!$C$148,InputData!$C$147*GH18,InputData!$C$147*InputData!$C$148)+InputData!$C$149*GH18,0)</f>
        <v>6781.6535791582337</v>
      </c>
      <c r="GQ18" s="32">
        <f>IF(GJ18&lt;0,0,IF(GJ18&lt;=InputData!$B$163,InputData!$C$163*GJ18,IF(GJ18&lt;=InputData!$B$164,InputData!$D$163+InputData!$C$164*(GJ18-InputData!$B$163),IF(GJ18&lt;=InputData!$B$165,InputData!$D$164+InputData!$C$165*(GJ18-InputData!$B$164),InputData!$D$165+InputData!$C$166*(GJ18-InputData!$B$165)))))</f>
        <v>0</v>
      </c>
      <c r="GR18" s="43">
        <f t="shared" si="72"/>
        <v>0.25237344382424248</v>
      </c>
      <c r="GS18" s="43">
        <f t="shared" si="73"/>
        <v>0.20872680694393494</v>
      </c>
      <c r="GT18" s="5">
        <f t="shared" si="74"/>
        <v>84813.706624015409</v>
      </c>
      <c r="GU18" s="32">
        <f>GT18/((1+InputData!$C$7)^(Ortho!$B18-Ortho!$B$7))</f>
        <v>61271.226212394111</v>
      </c>
      <c r="GV18" s="32">
        <f t="shared" si="75"/>
        <v>649720.24660637928</v>
      </c>
      <c r="GX18" s="3">
        <f t="shared" si="130"/>
        <v>8</v>
      </c>
      <c r="GY18" s="4" t="str">
        <f t="shared" si="131"/>
        <v>Service (O4&gt;6 = (BP+BAH+BAS+VSP+BCPSP)*12+ASP)</v>
      </c>
      <c r="GZ18" s="5">
        <f t="shared" si="132"/>
        <v>98796.36</v>
      </c>
      <c r="HA18" s="5">
        <f t="shared" si="133"/>
        <v>20659.199999999997</v>
      </c>
      <c r="HB18" s="5">
        <f t="shared" si="134"/>
        <v>119455.56</v>
      </c>
      <c r="HC18" s="5">
        <f t="shared" si="135"/>
        <v>88649.066394225287</v>
      </c>
      <c r="HD18" s="5">
        <f t="shared" si="136"/>
        <v>18537.310407504676</v>
      </c>
      <c r="HE18" s="32">
        <f>IF(HC18-InputData!$C$158-InputData!$C$159&gt;=0,HC18-InputData!$C$158-InputData!$C$159,0)</f>
        <v>88649.066394225287</v>
      </c>
      <c r="HF18" s="32">
        <f>IF(HC18-IF(HC18&lt;=InputData!$C$146,InputData!$C$145,0)-MAX(InputData!$C$144,HL18)&gt;=0,HC18-IF(HC18&lt;=InputData!$C$146,InputData!$C$145,0)-MAX(InputData!$C$144,HL18),0)</f>
        <v>78649.066394225287</v>
      </c>
      <c r="HG18" s="32">
        <f>IF(HF18&lt;0,"Error",IF(HF18&lt;=InputData!$B$170,InputData!$C$170*HF18,IF(HF18&lt;=InputData!$B$171,InputData!$D$170+InputData!$C$171*(HF18-InputData!$B$170),IF(HF18&lt;=InputData!$B$172,InputData!$D$171+InputData!$C$172*(HF18-InputData!$B$171),IF(HF18&lt;=InputData!$B$173,InputData!$D$172+InputData!$C$173*(HF18-InputData!$B$172),IF(HF18&lt;=InputData!$B$174,InputData!$D$173+InputData!$C$174*(HF18-InputData!$B$173),IF(HF18&lt;=InputData!$B$175,InputData!$D$174+InputData!$C$175*(HF18-InputData!$B$174),InputData!$D$175+InputData!$C$176*(HF18-InputData!$B$175))))))))</f>
        <v>15591.016598556322</v>
      </c>
      <c r="HH18" s="32">
        <f>IF(HC18&lt;=InputData!$C$150,InputData!$C$152,IF(HC18&lt;InputData!$C$151,IF(InputData!$C$152-0.25*IF(HC18-InputData!$C$150&lt;=0,0,HC18-InputData!$C$150)&lt;=0,0,InputData!$C$152-0.25*IF(HC18-InputData!$C$150&lt;=0,0,HC18-InputData!$C$150)),0))</f>
        <v>51900</v>
      </c>
      <c r="HI18" s="32">
        <f>IF(HC18-HH18&lt;=0,0,IF(HC18-HH18&lt;=InputData!$C$153,InputData!$C$154*(HC18-HH18),InputData!$C$155*(HC18-HH18)-InputData!$D$154))</f>
        <v>9554.7572624985751</v>
      </c>
      <c r="HJ18" s="32">
        <f t="shared" si="76"/>
        <v>15591.016598556322</v>
      </c>
      <c r="HK18" s="32">
        <f>IF(HC18&gt;=0,IF(HC18&lt;=InputData!$C$148,InputData!$C$147*HC18,InputData!$C$147*InputData!$C$148)+InputData!$C$149*HC18,0)</f>
        <v>6781.6535791582337</v>
      </c>
      <c r="HL18" s="32">
        <f>IF(HE18&lt;0,0,IF(HE18&lt;=InputData!$B$163,InputData!$C$163*HE18,IF(HE18&lt;=InputData!$B$164,InputData!$D$163+InputData!$C$164*(HE18-InputData!$B$163),IF(HE18&lt;=InputData!$B$165,InputData!$D$164+InputData!$C$165*(HE18-InputData!$B$164),InputData!$D$165+InputData!$C$166*(HE18-InputData!$B$165)))))</f>
        <v>0</v>
      </c>
      <c r="HM18" s="43">
        <f t="shared" si="77"/>
        <v>0.25237344382424248</v>
      </c>
      <c r="HN18" s="43">
        <f t="shared" si="78"/>
        <v>0.20872680694393494</v>
      </c>
      <c r="HO18" s="5">
        <f t="shared" si="79"/>
        <v>84813.706624015409</v>
      </c>
      <c r="HP18" s="32">
        <f>HO18/((1+InputData!$C$7)^(Ortho!$B18-Ortho!$B$7))</f>
        <v>61271.226212394111</v>
      </c>
      <c r="HQ18" s="32">
        <f t="shared" si="80"/>
        <v>557596.52429570619</v>
      </c>
      <c r="HS18" s="93">
        <f t="shared" si="81"/>
        <v>8</v>
      </c>
      <c r="HT18" s="5" t="str">
        <f t="shared" si="82"/>
        <v>Service (O4&gt;6 = (BP+BAH+BAS+VSP+BCPSP)*12)+ASP</v>
      </c>
      <c r="HU18" s="5">
        <f t="shared" si="83"/>
        <v>98796.36</v>
      </c>
      <c r="HV18" s="5">
        <f t="shared" si="84"/>
        <v>20659.199999999997</v>
      </c>
      <c r="HW18" s="5">
        <f t="shared" si="85"/>
        <v>119455.56</v>
      </c>
      <c r="HX18" s="5">
        <f t="shared" si="86"/>
        <v>88649.066394225287</v>
      </c>
      <c r="HY18" s="5">
        <f t="shared" si="87"/>
        <v>18537.310407504676</v>
      </c>
      <c r="HZ18" s="32">
        <f>IF(HX18-InputData!$C$158-InputData!$C$159&gt;=0,HX18-InputData!$C$158-InputData!$C$159,0)</f>
        <v>88649.066394225287</v>
      </c>
      <c r="IA18" s="32">
        <f>IF(HX18-IF(HX18&lt;=InputData!$C$146,InputData!$C$145,0)-MAX(InputData!$C$144,IG18)&gt;=0,HX18-IF(HX18&lt;=InputData!$C$146,InputData!$C$145,0)-MAX(InputData!$C$144,IG18),0)</f>
        <v>78649.066394225287</v>
      </c>
      <c r="IB18" s="32">
        <f>IF(IA18&lt;0,"Error",IF(IA18&lt;=InputData!$B$170,InputData!$C$170*IA18,IF(IA18&lt;=InputData!$B$171,InputData!$D$170+InputData!$C$171*(IA18-InputData!$B$170),IF(IA18&lt;=InputData!$B$172,InputData!$D$171+InputData!$C$172*(IA18-InputData!$B$171),IF(IA18&lt;=InputData!$B$173,InputData!$D$172+InputData!$C$173*(IA18-InputData!$B$172),IF(IA18&lt;=InputData!$B$174,InputData!$D$173+InputData!$C$174*(IA18-InputData!$B$173),IF(IA18&lt;=InputData!$B$175,InputData!$D$174+InputData!$C$175*(IA18-InputData!$B$174),InputData!$D$175+InputData!$C$176*(IA18-InputData!$B$175))))))))</f>
        <v>15591.016598556322</v>
      </c>
      <c r="IC18" s="32">
        <f>IF(HX18&lt;=InputData!$C$150,InputData!$C$152,IF(HX18&lt;InputData!$C$151,IF(InputData!$C$152-0.25*IF(HX18-InputData!$C$150&lt;=0,0,HX18-InputData!$C$150)&lt;=0,0,InputData!$C$152-0.25*IF(HX18-InputData!$C$150&lt;=0,0,HX18-InputData!$C$150)),0))</f>
        <v>51900</v>
      </c>
      <c r="ID18" s="32">
        <f>IF(HX18-IC18&lt;=0,0,IF(HX18-IC18&lt;=InputData!$C$153,InputData!$C$154*(HX18-IC18),InputData!$C$155*(HX18-IC18)-InputData!$D$154))</f>
        <v>9554.7572624985751</v>
      </c>
      <c r="IE18" s="32">
        <f t="shared" si="88"/>
        <v>15591.016598556322</v>
      </c>
      <c r="IF18" s="32">
        <f>IF(HX18&gt;=0,IF(HX18&lt;=InputData!$C$148,InputData!$C$147*HX18,InputData!$C$147*InputData!$C$148)+InputData!$C$149*HX18,0)</f>
        <v>6781.6535791582337</v>
      </c>
      <c r="IG18" s="32">
        <f>IF(HZ18&lt;0,0,IF(HZ18&lt;=InputData!$B$163,InputData!$C$163*HZ18,IF(HZ18&lt;=InputData!$B$164,InputData!$D$163+InputData!$C$164*(HZ18-InputData!$B$163),IF(HZ18&lt;=InputData!$B$165,InputData!$D$164+InputData!$C$165*(HZ18-InputData!$B$164),InputData!$D$165+InputData!$C$166*(HZ18-InputData!$B$165)))))</f>
        <v>0</v>
      </c>
      <c r="IH18" s="43">
        <f t="shared" si="89"/>
        <v>0.25237344382424248</v>
      </c>
      <c r="II18" s="43">
        <f t="shared" si="90"/>
        <v>0.20872680694393494</v>
      </c>
      <c r="IJ18" s="5">
        <f t="shared" si="91"/>
        <v>84813.706624015409</v>
      </c>
      <c r="IK18" s="32">
        <f>IJ18/((1+InputData!$C$7)^(Ortho!$B18-Ortho!$B$7))</f>
        <v>61271.226212394111</v>
      </c>
      <c r="IL18" s="5">
        <f t="shared" si="92"/>
        <v>649720.24660637928</v>
      </c>
      <c r="IN18" s="93">
        <f t="shared" si="93"/>
        <v>8</v>
      </c>
      <c r="IO18" s="5" t="str">
        <f t="shared" si="94"/>
        <v>Service (O4&gt;6 = (BP+BAH+BAS+VSP+BCPSP)*12+ASP)</v>
      </c>
      <c r="IP18" s="5">
        <f t="shared" si="8"/>
        <v>98796.36</v>
      </c>
      <c r="IQ18" s="5">
        <f t="shared" si="9"/>
        <v>20659.199999999997</v>
      </c>
      <c r="IR18" s="5">
        <f t="shared" si="10"/>
        <v>119455.56</v>
      </c>
      <c r="IS18" s="5">
        <f t="shared" si="11"/>
        <v>88649.066394225287</v>
      </c>
      <c r="IT18" s="5">
        <f t="shared" si="12"/>
        <v>18537.310407504676</v>
      </c>
      <c r="IU18" s="32">
        <f>IF(IS18-InputData!$C$158-InputData!$C$159&gt;=0,IS18-InputData!$C$158-InputData!$C$159,0)</f>
        <v>88649.066394225287</v>
      </c>
      <c r="IV18" s="32">
        <f>IF(IS18-IF(IS18&lt;=InputData!$C$146,InputData!$C$145,0)-MAX(InputData!$C$144,JB18)&gt;=0,IS18-IF(IS18&lt;=InputData!$C$146,InputData!$C$145,0)-MAX(InputData!$C$144,JB18),0)</f>
        <v>78649.066394225287</v>
      </c>
      <c r="IW18" s="32">
        <f>IF(IV18&lt;0,"Error",IF(IV18&lt;=InputData!$B$170,InputData!$C$170*IV18,IF(IV18&lt;=InputData!$B$171,InputData!$D$170+InputData!$C$171*(IV18-InputData!$B$170),IF(IV18&lt;=InputData!$B$172,InputData!$D$171+InputData!$C$172*(IV18-InputData!$B$171),IF(IV18&lt;=InputData!$B$173,InputData!$D$172+InputData!$C$173*(IV18-InputData!$B$172),IF(IV18&lt;=InputData!$B$174,InputData!$D$173+InputData!$C$174*(IV18-InputData!$B$173),IF(IV18&lt;=InputData!$B$175,InputData!$D$174+InputData!$C$175*(IV18-InputData!$B$174),InputData!$D$175+InputData!$C$176*(IV18-InputData!$B$175))))))))</f>
        <v>15591.016598556322</v>
      </c>
      <c r="IX18" s="32">
        <f>IF(IS18&lt;=InputData!$C$150,InputData!$C$152,IF(IS18&lt;InputData!$C$151,IF(InputData!$C$152-0.25*IF(IS18-InputData!$C$150&lt;=0,0,IS18-InputData!$C$150)&lt;=0,0,InputData!$C$152-0.25*IF(IS18-InputData!$C$150&lt;=0,0,IS18-InputData!$C$150)),0))</f>
        <v>51900</v>
      </c>
      <c r="IY18" s="32">
        <f>IF(IS18-IX18&lt;=0,0,IF(IS18-IX18&lt;=InputData!$C$153,InputData!$C$154*(IS18-IX18),InputData!$C$155*(IS18-IX18)-InputData!$D$154))</f>
        <v>9554.7572624985751</v>
      </c>
      <c r="IZ18" s="32">
        <f t="shared" si="95"/>
        <v>15591.016598556322</v>
      </c>
      <c r="JA18" s="32">
        <f>IF(IS18&gt;=0,IF(IS18&lt;=InputData!$C$148,InputData!$C$147*IS18,InputData!$C$147*InputData!$C$148)+InputData!$C$149*IS18,0)</f>
        <v>6781.6535791582337</v>
      </c>
      <c r="JB18" s="32">
        <f>IF(IU18&lt;0,0,IF(IU18&lt;=InputData!$B$163,InputData!$C$163*IU18,IF(IU18&lt;=InputData!$B$164,InputData!$D$163+InputData!$C$164*(IU18-InputData!$B$163),IF(IU18&lt;=InputData!$B$165,InputData!$D$164+InputData!$C$165*(IU18-InputData!$B$164),InputData!$D$165+InputData!$C$166*(IU18-InputData!$B$165)))))</f>
        <v>0</v>
      </c>
      <c r="JC18" s="43">
        <f t="shared" si="96"/>
        <v>0.25237344382424248</v>
      </c>
      <c r="JD18" s="43">
        <f t="shared" si="97"/>
        <v>0.20872680694393494</v>
      </c>
      <c r="JE18" s="5">
        <f t="shared" si="98"/>
        <v>84813.706624015409</v>
      </c>
      <c r="JF18" s="32">
        <f>JE18/((1+InputData!$C$7)^(Ortho!$B18-Ortho!$B$7))</f>
        <v>61271.226212394111</v>
      </c>
      <c r="JG18" s="5">
        <f t="shared" si="99"/>
        <v>557596.52429570619</v>
      </c>
      <c r="JI18" s="41" t="str">
        <f t="shared" si="13"/>
        <v>Private Practice</v>
      </c>
      <c r="JJ18" s="5">
        <f t="shared" si="14"/>
        <v>513550.8905962432</v>
      </c>
      <c r="JK18" s="32">
        <v>0</v>
      </c>
      <c r="JL18" s="32">
        <f t="shared" si="101"/>
        <v>513550.8905962432</v>
      </c>
      <c r="JM18" s="32">
        <f>JM17*(1+InputData!$C$8)</f>
        <v>14286.370803454558</v>
      </c>
      <c r="JN18" s="32">
        <f>JJ18/((1+InputData!$C$3)^(Ortho!$B18-Ortho!$B$7))</f>
        <v>413030.00000000006</v>
      </c>
      <c r="JO18" s="32">
        <f>JK18/((1+InputData!$C$3)^(Ortho!$B18-Ortho!$B$7))</f>
        <v>0</v>
      </c>
      <c r="JP18" s="32" t="s">
        <v>141</v>
      </c>
      <c r="JQ18" s="32">
        <v>0</v>
      </c>
      <c r="JR18" s="32">
        <f t="shared" si="167"/>
        <v>0</v>
      </c>
      <c r="JS18" s="32">
        <f>(JR18)*InputData!$C$6</f>
        <v>0</v>
      </c>
      <c r="JT18" s="32">
        <f>MIN($BE$16*InputData!$C$6/(1-(1+InputData!$C$6)^(-10)), JR18+JS18)</f>
        <v>0</v>
      </c>
      <c r="JU18" s="32">
        <f t="shared" si="151"/>
        <v>0</v>
      </c>
      <c r="JV18" s="32">
        <f>JT18/((1+InputData!$C$3)^(Ortho!$B18-Ortho!$B$7))</f>
        <v>0</v>
      </c>
      <c r="JW18" s="32">
        <f>IF(JN18-InputData!$C$158-InputData!$C$159&gt;=0,JN18-InputData!$C$158-InputData!$C$159,0)</f>
        <v>413030.00000000006</v>
      </c>
      <c r="JX18" s="32">
        <f>IF(JN18-IF(JN18&lt;=InputData!$C$146,InputData!$C$145,0)-MAX(InputData!$C$144,KD18)&gt;=0,JN18-IF(JN18&lt;=InputData!$C$146,InputData!$C$145,0)-MAX(InputData!$C$144,KD18),0)</f>
        <v>406930.00000000006</v>
      </c>
      <c r="JY18" s="32">
        <f>IF(JX18&lt;0,"Error",IF(JX18&lt;=InputData!$B$170,InputData!$C$170*JX18,IF(JX18&lt;=InputData!$B$171,InputData!$D$170+InputData!$C$171*(JX18-InputData!$B$170),IF(JX18&lt;=InputData!$B$172,InputData!$D$171+InputData!$C$172*(JX18-InputData!$B$171),IF(JX18&lt;=InputData!$B$173,InputData!$D$172+InputData!$C$173*(JX18-InputData!$B$172),IF(JX18&lt;=InputData!$B$174,InputData!$D$173+InputData!$C$174*(JX18-InputData!$B$173),IF(JX18&lt;=InputData!$B$175,InputData!$D$174+InputData!$C$175*(JX18-InputData!$B$174),InputData!$D$175+InputData!$C$176*(JX18-InputData!$B$175))))))))</f>
        <v>118908.03000000003</v>
      </c>
      <c r="JZ18" s="32">
        <f>IF(JN18&lt;=InputData!$C$150,InputData!$C$152,IF(JN18&lt;InputData!$C$151,IF(InputData!$C$152-0.25*IF(JN18-InputData!$C$150&lt;=0,0,JN18-InputData!$C$150)&lt;=0,0,InputData!$C$152-0.25*IF(JN18-InputData!$C$150&lt;=0,0,JN18-InputData!$C$150)),0))</f>
        <v>0</v>
      </c>
      <c r="KA18" s="32">
        <f>IF(JN18-JZ18&lt;=0,0,IF(JN18-JZ18&lt;=InputData!$C$153,InputData!$C$154*(JN18-JZ18),InputData!$C$155*(JN18-JZ18)-InputData!$D$154))</f>
        <v>112058.40000000002</v>
      </c>
      <c r="KB18" s="32">
        <f t="shared" si="102"/>
        <v>118908.03000000003</v>
      </c>
      <c r="KC18" s="32">
        <f>IF(JN18&gt;=0,IF(JN18&lt;=InputData!$C$148,InputData!$C$147*JN18,InputData!$C$147*InputData!$C$148)+InputData!$C$149*JN18,0)</f>
        <v>13038.335000000001</v>
      </c>
      <c r="KD18" s="32">
        <f>IF(JW18&lt;0,0,IF(JW18&lt;=InputData!$B$163,InputData!$C$163*JW18,IF(JW18&lt;=InputData!$B$164,InputData!$D$163+InputData!$C$164*(JW18-InputData!$B$163),IF(JW18&lt;=InputData!$B$165,InputData!$D$164+InputData!$C$165*(JW18-InputData!$B$164),InputData!$D$165+InputData!$C$166*(JW18-InputData!$B$165)))))</f>
        <v>0</v>
      </c>
      <c r="KE18" s="43">
        <f t="shared" si="15"/>
        <v>0.31945951867903061</v>
      </c>
      <c r="KF18" s="32">
        <f t="shared" si="16"/>
        <v>281083.63500000001</v>
      </c>
      <c r="KG18" s="32">
        <f t="shared" si="103"/>
        <v>281083.63500000001</v>
      </c>
      <c r="KH18" s="32">
        <f>KG18/((1+InputData!$C$7)^(Ortho!$B18-Ortho!$B$7))</f>
        <v>203060.79842772055</v>
      </c>
      <c r="KI18" s="5">
        <f t="shared" si="122"/>
        <v>804562.48832757084</v>
      </c>
    </row>
    <row r="19" spans="1:295" ht="14.45" x14ac:dyDescent="0.3">
      <c r="A19" s="4">
        <v>2025</v>
      </c>
      <c r="B19" s="51">
        <v>13</v>
      </c>
      <c r="C19" s="4"/>
      <c r="D19" s="3">
        <v>9</v>
      </c>
      <c r="E19" s="4" t="s">
        <v>21</v>
      </c>
      <c r="F19" s="5">
        <f>InputData!$H$23*12</f>
        <v>73317.600000000006</v>
      </c>
      <c r="G19" s="32">
        <f>(InputData!$H$23+InputData!$F$45+InputData!$C$50)*12+InputData!$J$50</f>
        <v>102317.52</v>
      </c>
      <c r="H19" s="32">
        <f>(InputData!$C$34+InputData!$C$40)*12</f>
        <v>20659.199999999997</v>
      </c>
      <c r="I19" s="32">
        <f t="shared" si="17"/>
        <v>122976.72</v>
      </c>
      <c r="J19" s="32">
        <f>G19*((1+InputData!$C$5)/(1+InputData!$C$3))^(Ortho!$B19-Ortho!$B$7)</f>
        <v>90908.486892120462</v>
      </c>
      <c r="K19" s="32">
        <f>H19*((1+InputData!$C$5)/(1+InputData!$C$3))^(Ortho!$B19-Ortho!$B$7)</f>
        <v>18355.5720701762</v>
      </c>
      <c r="L19" s="32">
        <f>IF(J19-InputData!$C$158-InputData!$C$159&gt;=0,J19-InputData!$C$158-InputData!$C$159,0)</f>
        <v>90908.486892120462</v>
      </c>
      <c r="M19" s="32">
        <f>IF(J19-IF(J19&lt;=InputData!$C$146,InputData!$C$145,0)-MAX(InputData!$C$144,S19)&gt;=0,J19-IF(J19&lt;=InputData!$C$146,InputData!$C$145,0)-MAX(InputData!$C$144,S19),0)</f>
        <v>80908.486892120462</v>
      </c>
      <c r="N19" s="32">
        <f>IF(M19&lt;0,"Error",IF(M19&lt;=InputData!$B$170,InputData!$C$170*M19,IF(M19&lt;=InputData!$B$171,InputData!$D$170+InputData!$C$171*(M19-InputData!$B$170),IF(M19&lt;=InputData!$B$172,InputData!$D$171+InputData!$C$172*(M19-InputData!$B$171),IF(M19&lt;=InputData!$B$173,InputData!$D$172+InputData!$C$173*(M19-InputData!$B$172),IF(M19&lt;=InputData!$B$174,InputData!$D$173+InputData!$C$174*(M19-InputData!$B$173),IF(M19&lt;=InputData!$B$175,InputData!$D$174+InputData!$C$175*(M19-InputData!$B$174),InputData!$D$175+InputData!$C$176*(M19-InputData!$B$175))))))))</f>
        <v>16155.871723030115</v>
      </c>
      <c r="O19" s="32">
        <f>IF(J19&lt;=InputData!$C$150,InputData!$C$152,IF(J19&lt;InputData!$C$151,IF(InputData!$C$152-0.25*IF(J19-InputData!$C$150&lt;=0,0,J19-InputData!$C$150)&lt;=0,0,InputData!$C$152-0.25*IF(J19-InputData!$C$150&lt;=0,0,J19-InputData!$C$150)),0))</f>
        <v>51900</v>
      </c>
      <c r="P19" s="32">
        <f>IF(J19-O19&lt;=0,0,IF(J19-O19&lt;=InputData!$C$153,InputData!$C$154*(J19-O19),InputData!$C$155*(J19-O19)-InputData!$D$154))</f>
        <v>10142.206591951321</v>
      </c>
      <c r="Q19" s="32">
        <f t="shared" si="18"/>
        <v>16155.871723030115</v>
      </c>
      <c r="R19" s="32">
        <f>IF(J19&gt;=0,IF(J19&lt;=InputData!$C$148,InputData!$C$147*J19,InputData!$C$147*InputData!$C$148)+InputData!$C$149*J19,0)</f>
        <v>6954.4992472472159</v>
      </c>
      <c r="S19" s="32">
        <f>IF(L19&lt;0,0,IF(L19&lt;=InputData!$B$163,InputData!$C$163*L19,IF(L19&lt;=InputData!$B$164,InputData!$D$163+InputData!$C$164*(L19-InputData!$B$163),IF(L19&lt;=InputData!$B$165,InputData!$D$164+InputData!$C$165*(L19-InputData!$B$164),InputData!$D$165+InputData!$C$166*(L19-InputData!$B$165)))))</f>
        <v>0</v>
      </c>
      <c r="T19" s="43">
        <f t="shared" si="19"/>
        <v>0.25421576973008042</v>
      </c>
      <c r="U19" s="43">
        <f t="shared" si="20"/>
        <v>0.21150935806120783</v>
      </c>
      <c r="V19" s="5">
        <f t="shared" si="21"/>
        <v>86153.687992019331</v>
      </c>
      <c r="W19" s="32">
        <f>V19/((1+InputData!$C$7)^(Ortho!$B19-Ortho!$B$7))</f>
        <v>60426.463362025315</v>
      </c>
      <c r="X19" s="5">
        <f t="shared" si="104"/>
        <v>710146.70996840461</v>
      </c>
      <c r="Y19" s="53"/>
      <c r="Z19" s="3">
        <v>9</v>
      </c>
      <c r="AA19" s="46" t="s">
        <v>212</v>
      </c>
      <c r="AB19" s="5">
        <f t="shared" si="126"/>
        <v>73317.600000000006</v>
      </c>
      <c r="AC19" s="32">
        <f t="shared" si="127"/>
        <v>102317.52</v>
      </c>
      <c r="AD19" s="32">
        <f t="shared" si="127"/>
        <v>20659.199999999997</v>
      </c>
      <c r="AE19" s="32">
        <f t="shared" si="22"/>
        <v>122976.72</v>
      </c>
      <c r="AF19" s="5">
        <f>AC19*((1+InputData!$C$5)/(1+InputData!$C$3))^(Ortho!$B19-Ortho!$B$7)</f>
        <v>90908.486892120462</v>
      </c>
      <c r="AG19" s="5">
        <f>AD19*((1+InputData!$C$5)/(1+InputData!$C$3))^(Ortho!$B19-Ortho!$B$7)</f>
        <v>18355.5720701762</v>
      </c>
      <c r="AH19" s="32">
        <f>IF(AF19-InputData!$C$158-InputData!$C$159&gt;=0,AF19-InputData!$C$158-InputData!$C$159,0)</f>
        <v>90908.486892120462</v>
      </c>
      <c r="AI19" s="32">
        <f>IF(AF19-IF(AF19&lt;=InputData!$C$146,InputData!$C$145,0)-MAX(InputData!$C$144,AO19)&gt;=0,AF19-IF(AF19&lt;=InputData!$C$146,InputData!$C$145,0)-MAX(InputData!$C$144,AO19),0)</f>
        <v>80908.486892120462</v>
      </c>
      <c r="AJ19" s="32">
        <f>IF(AI19&lt;0,"Error",IF(AI19&lt;=InputData!$B$170,InputData!$C$170*AI19,IF(AI19&lt;=InputData!$B$171,InputData!$D$170+InputData!$C$171*(AI19-InputData!$B$170),IF(AI19&lt;=InputData!$B$172,InputData!$D$171+InputData!$C$172*(AI19-InputData!$B$171),IF(AI19&lt;=InputData!$B$173,InputData!$D$172+InputData!$C$173*(AI19-InputData!$B$172),IF(AI19&lt;=InputData!$B$174,InputData!$D$173+InputData!$C$174*(AI19-InputData!$B$173),IF(AI19&lt;=InputData!$B$175,InputData!$D$174+InputData!$C$175*(AI19-InputData!$B$174),InputData!$D$175+InputData!$C$176*(AI19-InputData!$B$175))))))))</f>
        <v>16155.871723030115</v>
      </c>
      <c r="AK19" s="32">
        <f>IF(AF19&lt;=InputData!$C$150,InputData!$C$152,IF(AF19&lt;InputData!$C$151,IF(InputData!$C$152-0.25*IF(AF19-InputData!$C$150&lt;=0,0,AF19-InputData!$C$150)&lt;=0,0,InputData!$C$152-0.25*IF(AF19-InputData!$C$150&lt;=0,0,AF19-InputData!$C$150)),0))</f>
        <v>51900</v>
      </c>
      <c r="AL19" s="32">
        <f>IF(AF19-AK19&lt;=0,0,IF(AF19-AK19&lt;=InputData!$C$153,InputData!$C$154*(AF19-AK19),InputData!$C$155*(AF19-AK19)-InputData!$D$154))</f>
        <v>10142.206591951321</v>
      </c>
      <c r="AM19" s="32">
        <f t="shared" si="23"/>
        <v>16155.871723030115</v>
      </c>
      <c r="AN19" s="32">
        <f>IF(AF19&gt;=0,IF(AF19&lt;=InputData!$C$148,InputData!$C$147*AF19,InputData!$C$147*InputData!$C$148)+InputData!$C$149*AF19,0)</f>
        <v>6954.4992472472159</v>
      </c>
      <c r="AO19" s="32">
        <f>IF(AH19&lt;0,0,IF(AH19&lt;=InputData!$B$163,InputData!$C$163*AH19,IF(AH19&lt;=InputData!$B$164,InputData!$D$163+InputData!$C$164*(AH19-InputData!$B$163),IF(AH19&lt;=InputData!$B$165,InputData!$D$164+InputData!$C$165*(AH19-InputData!$B$164),InputData!$D$165+InputData!$C$166*(AH19-InputData!$B$165)))))</f>
        <v>0</v>
      </c>
      <c r="AP19" s="43">
        <f t="shared" si="24"/>
        <v>0.25421576973008042</v>
      </c>
      <c r="AQ19" s="43">
        <f t="shared" si="25"/>
        <v>0.21150935806120783</v>
      </c>
      <c r="AR19" s="5">
        <f t="shared" si="26"/>
        <v>86153.687992019331</v>
      </c>
      <c r="AS19" s="32">
        <f>AR19/((1+InputData!$C$7)^(Ortho!$B19-Ortho!$B$7))</f>
        <v>60426.463362025315</v>
      </c>
      <c r="AT19" s="5">
        <f t="shared" si="105"/>
        <v>618022.98765773152</v>
      </c>
      <c r="AU19" s="53"/>
      <c r="AV19" s="41" t="s">
        <v>109</v>
      </c>
      <c r="AW19" s="32">
        <f>$AW$17*(1+InputData!$C$3+InputData!$C$4)^(Ortho!$B19-Ortho!$B$17)</f>
        <v>528957.41731413046</v>
      </c>
      <c r="AX19" s="32">
        <v>0</v>
      </c>
      <c r="AY19" s="32">
        <f t="shared" si="28"/>
        <v>528957.41731413046</v>
      </c>
      <c r="AZ19" s="32">
        <f>AZ18*(1+InputData!$C$8)</f>
        <v>14572.09821952365</v>
      </c>
      <c r="BA19" s="32">
        <f>AW19/((1+InputData!$C$3)^(Ortho!$B19-Ortho!$B$7))</f>
        <v>417079.31372549018</v>
      </c>
      <c r="BB19" s="32">
        <f>AX19/((1+InputData!$C$3)^(Ortho!$B19-Ortho!$B$7))</f>
        <v>0</v>
      </c>
      <c r="BC19" s="32" t="s">
        <v>141</v>
      </c>
      <c r="BD19" s="32">
        <v>0</v>
      </c>
      <c r="BE19" s="32">
        <f t="shared" si="152"/>
        <v>206643.72491060244</v>
      </c>
      <c r="BF19" s="32">
        <f>(BE19)*InputData!$C$6</f>
        <v>12832.575316948412</v>
      </c>
      <c r="BG19" s="32">
        <f>MIN($BE$16*InputData!$C$6/(1-(1+InputData!$C$6)^(-10)), BE19+BF19)</f>
        <v>37293.894744798265</v>
      </c>
      <c r="BH19" s="32">
        <f t="shared" si="137"/>
        <v>182182.4054827526</v>
      </c>
      <c r="BI19" s="32">
        <f>BG19/((1+InputData!$C$3)^(Ortho!$B19-Ortho!$B$7))</f>
        <v>29405.981497134031</v>
      </c>
      <c r="BJ19" s="32">
        <f>IF(BA19-InputData!$C$158-InputData!$C$159&gt;=0,BA19-InputData!$C$158-InputData!$C$159,0)</f>
        <v>417079.31372549018</v>
      </c>
      <c r="BK19" s="32">
        <f>IF(BA19-IF(BA19&lt;=InputData!$C$146,InputData!$C$145,0)-MAX(InputData!$C$144,BQ19)&gt;=0,BA19-IF(BA19&lt;=InputData!$C$146,InputData!$C$145,0)-MAX(InputData!$C$144,BQ19),0)</f>
        <v>410979.31372549018</v>
      </c>
      <c r="BL19" s="32">
        <f>IF(BK19&lt;0,"Error",IF(BK19&lt;=InputData!$B$170,InputData!$C$170*BK19,IF(BK19&lt;=InputData!$B$171,InputData!$D$170+InputData!$C$171*(BK19-InputData!$B$170),IF(BK19&lt;=InputData!$B$172,InputData!$D$171+InputData!$C$172*(BK19-InputData!$B$171),IF(BK19&lt;=InputData!$B$173,InputData!$D$172+InputData!$C$173*(BK19-InputData!$B$172),IF(BK19&lt;=InputData!$B$174,InputData!$D$173+InputData!$C$174*(BK19-InputData!$B$173),IF(BK19&lt;=InputData!$B$175,InputData!$D$174+InputData!$C$175*(BK19-InputData!$B$174),InputData!$D$175+InputData!$C$176*(BK19-InputData!$B$175))))))))</f>
        <v>120511.55823529411</v>
      </c>
      <c r="BM19" s="32">
        <f>IF(BA19&lt;=InputData!$C$150,InputData!$C$152,IF(BA19&lt;InputData!$C$151,IF(InputData!$C$152-0.25*IF(BA19-InputData!$C$150&lt;=0,0,BA19-InputData!$C$150)&lt;=0,0,InputData!$C$152-0.25*IF(BA19-InputData!$C$150&lt;=0,0,BA19-InputData!$C$150)),0))</f>
        <v>0</v>
      </c>
      <c r="BN19" s="32">
        <f>IF(BA19-BM19&lt;=0,0,IF(BA19-BM19&lt;=InputData!$C$153,InputData!$C$154*(BA19-BM19),InputData!$C$155*(BA19-BM19)-InputData!$D$154))</f>
        <v>113192.20784313726</v>
      </c>
      <c r="BO19" s="32">
        <f t="shared" si="29"/>
        <v>120511.55823529411</v>
      </c>
      <c r="BP19" s="32">
        <f>IF(BA19&gt;=0,IF(BA19&lt;=InputData!$C$148,InputData!$C$147*BA19,InputData!$C$147*InputData!$C$148)+InputData!$C$149*BA19,0)</f>
        <v>13097.050049019606</v>
      </c>
      <c r="BQ19" s="32">
        <f>IF(BJ19&lt;0,0,IF(BJ19&lt;=InputData!$B$163,InputData!$C$163*BJ19,IF(BJ19&lt;=InputData!$B$164,InputData!$D$163+InputData!$C$164*(BJ19-InputData!$B$163),IF(BJ19&lt;=InputData!$B$165,InputData!$D$164+InputData!$C$165*(BJ19-InputData!$B$164),InputData!$D$165+InputData!$C$166*(BJ19-InputData!$B$165)))))</f>
        <v>0</v>
      </c>
      <c r="BR19" s="43">
        <f t="shared" si="30"/>
        <v>0.32034340684719537</v>
      </c>
      <c r="BS19" s="32">
        <f t="shared" si="31"/>
        <v>283470.70544117643</v>
      </c>
      <c r="BT19" s="32">
        <f t="shared" si="32"/>
        <v>254064.7239440424</v>
      </c>
      <c r="BU19" s="32">
        <f>BT19/((1+InputData!$C$7)^(Ortho!$B19-Ortho!$B$7))</f>
        <v>178195.88564113327</v>
      </c>
      <c r="BV19" s="5">
        <f t="shared" si="107"/>
        <v>723541.12475207844</v>
      </c>
      <c r="BW19" s="5"/>
      <c r="BX19" s="32" t="s">
        <v>141</v>
      </c>
      <c r="BY19" s="5">
        <f t="shared" si="153"/>
        <v>256434.66553429636</v>
      </c>
      <c r="BZ19" s="32">
        <f>(BY19)*InputData!$C$6</f>
        <v>15924.592729679805</v>
      </c>
      <c r="CA19" s="32">
        <f>MIN($BY$16*InputData!$C$6/(1-(1+InputData!$C$6)^(-25)), BY19+BZ19)</f>
        <v>21686.214673809533</v>
      </c>
      <c r="CB19" s="32">
        <f t="shared" si="154"/>
        <v>250673.04359016666</v>
      </c>
      <c r="CC19" s="32">
        <f>CA19/((1+InputData!$C$3)^(Ortho!$B19-Ortho!$B$7))</f>
        <v>17099.432274497594</v>
      </c>
      <c r="CD19" s="5">
        <f t="shared" si="36"/>
        <v>266371.27316667885</v>
      </c>
      <c r="CE19" s="32">
        <f>CD19/((1+InputData!$C$7)^(Ortho!$B19-Ortho!$B$7))</f>
        <v>186827.45166049496</v>
      </c>
      <c r="CF19" s="5">
        <f t="shared" si="108"/>
        <v>760777.45019426523</v>
      </c>
      <c r="CG19" s="5"/>
      <c r="CH19" s="32" t="s">
        <v>141</v>
      </c>
      <c r="CI19" s="5" t="e">
        <f t="shared" si="155"/>
        <v>#VALUE!</v>
      </c>
      <c r="CJ19" s="32" t="e">
        <f>(CI19)*InputData!$C$6</f>
        <v>#VALUE!</v>
      </c>
      <c r="CK19" s="5" t="str">
        <f t="shared" si="168"/>
        <v>DNQ</v>
      </c>
      <c r="CL19" s="32" t="e">
        <f t="shared" si="156"/>
        <v>#VALUE!</v>
      </c>
      <c r="CM19" s="32" t="e">
        <f>CK19/((1+InputData!$C$3)^(Ortho!$B19-Ortho!$B$7))</f>
        <v>#VALUE!</v>
      </c>
      <c r="CN19" s="5" t="e">
        <f t="shared" si="40"/>
        <v>#VALUE!</v>
      </c>
      <c r="CO19" s="32" t="e">
        <f>CN19/((1+InputData!$C$7)^(Ortho!$B19-Ortho!$B$7))</f>
        <v>#VALUE!</v>
      </c>
      <c r="CP19" s="5" t="e">
        <f t="shared" si="109"/>
        <v>#VALUE!</v>
      </c>
      <c r="CQ19" s="5"/>
      <c r="CR19" s="32" t="s">
        <v>141</v>
      </c>
      <c r="CS19" s="5" t="e">
        <f t="shared" si="157"/>
        <v>#VALUE!</v>
      </c>
      <c r="CT19" s="32" t="e">
        <f>(CS19)*InputData!$C$6</f>
        <v>#VALUE!</v>
      </c>
      <c r="CU19" s="32" t="str">
        <f t="shared" si="169"/>
        <v>DNQ</v>
      </c>
      <c r="CV19" s="32" t="e">
        <f t="shared" si="158"/>
        <v>#VALUE!</v>
      </c>
      <c r="CW19" s="32" t="e">
        <f>CU19/((1+InputData!$C$3)^(Ortho!$B19-Ortho!$B$7))</f>
        <v>#VALUE!</v>
      </c>
      <c r="CX19" s="5" t="e">
        <f t="shared" si="44"/>
        <v>#VALUE!</v>
      </c>
      <c r="CY19" s="32" t="e">
        <f>CX19/((1+InputData!$C$7)^(Ortho!$B19-Ortho!$B$7))</f>
        <v>#VALUE!</v>
      </c>
      <c r="CZ19" s="5" t="e">
        <f t="shared" si="110"/>
        <v>#VALUE!</v>
      </c>
      <c r="DA19" s="5"/>
      <c r="DB19" s="32" t="s">
        <v>141</v>
      </c>
      <c r="DC19" s="5">
        <f t="shared" si="138"/>
        <v>65447.901635434042</v>
      </c>
      <c r="DD19" s="5">
        <f>DC19*InputData!$C$6</f>
        <v>4064.3146915604543</v>
      </c>
      <c r="DE19" s="32">
        <f t="shared" si="139"/>
        <v>29148.379963889372</v>
      </c>
      <c r="DF19" s="32">
        <f t="shared" si="140"/>
        <v>40363.836363105132</v>
      </c>
      <c r="DG19" s="32">
        <f>DE19/((1+InputData!$C$3)^(Ortho!$B19-Ortho!$B$7))</f>
        <v>22983.298680787859</v>
      </c>
      <c r="DH19" s="5">
        <f t="shared" si="48"/>
        <v>260487.40676038858</v>
      </c>
      <c r="DI19" s="32">
        <f>DH19/((1+InputData!$C$7)^(Ortho!$B19-Ortho!$B$7))</f>
        <v>182700.62614537962</v>
      </c>
      <c r="DJ19" s="5">
        <f t="shared" si="111"/>
        <v>646290.31689009734</v>
      </c>
      <c r="DK19" s="5"/>
      <c r="DL19" s="32" t="s">
        <v>141</v>
      </c>
      <c r="DM19" s="32">
        <f t="shared" si="159"/>
        <v>195012.91336357297</v>
      </c>
      <c r="DN19" s="5">
        <f>DM19*InputData!$C$6</f>
        <v>12110.301919877882</v>
      </c>
      <c r="DO19" s="32">
        <f t="shared" si="160"/>
        <v>0</v>
      </c>
      <c r="DP19" s="32">
        <f t="shared" si="123"/>
        <v>29148.379963889372</v>
      </c>
      <c r="DQ19" s="32">
        <f t="shared" si="124"/>
        <v>177974.83531956148</v>
      </c>
      <c r="DR19" s="32">
        <f>DP19/((1+InputData!$C$3)^(Ortho!$B19-Ortho!$B$7))</f>
        <v>22983.298680787859</v>
      </c>
      <c r="DS19" s="5">
        <f t="shared" si="52"/>
        <v>260487.40676038858</v>
      </c>
      <c r="DT19" s="32">
        <f>DS19/((1+InputData!$C$7)^(Ortho!$B19-Ortho!$B$7))</f>
        <v>182700.62614537962</v>
      </c>
      <c r="DU19" s="5">
        <f t="shared" si="113"/>
        <v>719744.42185292428</v>
      </c>
      <c r="DV19" s="5"/>
      <c r="DW19" s="32" t="s">
        <v>141</v>
      </c>
      <c r="DX19" s="133">
        <f t="shared" si="141"/>
        <v>206179.55328717598</v>
      </c>
      <c r="DY19" s="5">
        <f>DX19*InputData!$C$6</f>
        <v>12803.750259133629</v>
      </c>
      <c r="DZ19" s="133">
        <f t="shared" si="142"/>
        <v>0</v>
      </c>
      <c r="EA19" s="32">
        <f t="shared" si="143"/>
        <v>29148.379963889372</v>
      </c>
      <c r="EB19" s="32">
        <f t="shared" si="144"/>
        <v>189834.92358242025</v>
      </c>
      <c r="EC19" s="32">
        <f>EA19/((1+InputData!$C$3)^(Ortho!$B19-Ortho!$B$7))</f>
        <v>22983.298680787859</v>
      </c>
      <c r="ED19" s="5">
        <f t="shared" si="56"/>
        <v>260487.40676038858</v>
      </c>
      <c r="EE19" s="32">
        <f>ED19/((1+InputData!$C$7)^(Ortho!$B19-Ortho!$B$7))</f>
        <v>182700.62614537962</v>
      </c>
      <c r="EF19" s="5">
        <f t="shared" si="115"/>
        <v>727487.76277657191</v>
      </c>
      <c r="EG19" s="32"/>
      <c r="EH19" s="130" t="s">
        <v>141</v>
      </c>
      <c r="EI19" s="32">
        <v>0</v>
      </c>
      <c r="EJ19" s="32">
        <f t="shared" ref="EJ19:EJ36" si="173">EJ18-(EN18-EK18)</f>
        <v>206487.95438045246</v>
      </c>
      <c r="EK19" s="32">
        <f>(EJ19)*InputData!$C$6</f>
        <v>12822.901967026099</v>
      </c>
      <c r="EL19" s="32">
        <f t="shared" si="172"/>
        <v>182045.07418997641</v>
      </c>
      <c r="EM19" s="32">
        <f>EM18*(1+InputData!$C$8)</f>
        <v>14572.09821952365</v>
      </c>
      <c r="EN19" s="32">
        <f t="shared" si="170"/>
        <v>37265.782157502101</v>
      </c>
      <c r="EO19" s="32">
        <f>AW19/((1+InputData!$C$3)^(Ortho!$B19-Ortho!$B$7))</f>
        <v>417079.31372549018</v>
      </c>
      <c r="EP19" s="32">
        <f>AX19/((1+InputData!$C$3)^(Ortho!$B19-Ortho!$B$7))</f>
        <v>0</v>
      </c>
      <c r="EQ19" s="32">
        <v>87308.73</v>
      </c>
      <c r="ER19" s="32">
        <v>10382.700000000001</v>
      </c>
      <c r="ES19" s="32">
        <v>0</v>
      </c>
      <c r="ET19" s="43">
        <f t="shared" si="129"/>
        <v>0.23422746414198267</v>
      </c>
      <c r="EU19" s="32">
        <f t="shared" si="57"/>
        <v>319387.88372549019</v>
      </c>
      <c r="EV19" s="32">
        <f>EN19/((1+InputData!$C$3)^(Ortho!$B19-Ortho!$B$7))</f>
        <v>29383.814913903061</v>
      </c>
      <c r="EW19" s="32">
        <f t="shared" si="58"/>
        <v>290004.06881158712</v>
      </c>
      <c r="EX19" s="32">
        <f>EW19/((1+InputData!$C$7)^(Ortho!$B19-Ortho!$B$7))</f>
        <v>203403.01903854572</v>
      </c>
      <c r="EY19" s="5">
        <f t="shared" si="117"/>
        <v>891773.6930819347</v>
      </c>
      <c r="EZ19" s="79"/>
      <c r="FA19" s="32">
        <f t="shared" si="161"/>
        <v>206487.95438045243</v>
      </c>
      <c r="FB19" s="32">
        <f>FA19*InputData!$C$6</f>
        <v>12822.901967026097</v>
      </c>
      <c r="FC19" s="32">
        <f t="shared" si="162"/>
        <v>182045.07418997641</v>
      </c>
      <c r="FD19" s="32">
        <f>MIN($EJ$16*InputData!$C$6/(1-(1+InputData!$C$6)^(-10)), FA19+FB19)</f>
        <v>37265.782157502101</v>
      </c>
      <c r="FE19" s="32">
        <f>FD19/((1+InputData!$C$3)^(Ortho!$B19-Ortho!$B$7))</f>
        <v>29383.814913903061</v>
      </c>
      <c r="FF19" s="5">
        <f t="shared" si="62"/>
        <v>290004.06881158712</v>
      </c>
      <c r="FG19" s="32">
        <f>FF19/((1+InputData!$C$7)^(Ortho!$B19-Ortho!$B$7))</f>
        <v>203403.01903854572</v>
      </c>
      <c r="FH19" s="5">
        <f t="shared" si="118"/>
        <v>891773.6930819347</v>
      </c>
      <c r="FI19" s="79"/>
      <c r="FJ19" s="32">
        <f t="shared" si="163"/>
        <v>256241.36199306182</v>
      </c>
      <c r="FK19" s="32">
        <f>FJ19*InputData!$C$6</f>
        <v>15912.588579769139</v>
      </c>
      <c r="FL19" s="32">
        <f t="shared" si="164"/>
        <v>250484.08322898825</v>
      </c>
      <c r="FM19" s="32">
        <f>MIN($EJ$16*InputData!$C$6/(1-(1+InputData!$C$6)^(-25)), FJ19+FK19)</f>
        <v>21669.867343842721</v>
      </c>
      <c r="FN19" s="32">
        <f>FM19/((1+InputData!$C$3)^(Ortho!$B19-Ortho!$B$7))</f>
        <v>17086.542516379781</v>
      </c>
      <c r="FO19" s="5">
        <f t="shared" si="66"/>
        <v>302301.3412091104</v>
      </c>
      <c r="FP19" s="32">
        <f>FO19/((1+InputData!$C$7)^(Ortho!$B19-Ortho!$B$7))</f>
        <v>212028.07847942098</v>
      </c>
      <c r="FQ19" s="5">
        <f t="shared" si="119"/>
        <v>928981.94933325949</v>
      </c>
      <c r="FR19" s="79"/>
      <c r="FS19" s="32">
        <f t="shared" si="165"/>
        <v>206487.95438045243</v>
      </c>
      <c r="FT19" s="32">
        <f>FS19*InputData!$C$6</f>
        <v>12822.901967026097</v>
      </c>
      <c r="FU19" s="32">
        <f t="shared" si="166"/>
        <v>182045.07418997641</v>
      </c>
      <c r="FV19" s="5">
        <f t="shared" si="171"/>
        <v>37265.782157502101</v>
      </c>
      <c r="FW19" s="32">
        <f>FV19/((1+InputData!$C$3)^(Ortho!$B19-Ortho!$B$7))</f>
        <v>29383.814913903061</v>
      </c>
      <c r="FX19" s="5">
        <f t="shared" si="70"/>
        <v>290004.06881158712</v>
      </c>
      <c r="FY19" s="32">
        <f>FX19/((1+InputData!$C$7)^(Ortho!$B19-Ortho!$B$7))</f>
        <v>203403.01903854572</v>
      </c>
      <c r="FZ19" s="5">
        <f t="shared" si="120"/>
        <v>891773.6930819347</v>
      </c>
      <c r="GC19" s="3">
        <f t="shared" si="3"/>
        <v>9</v>
      </c>
      <c r="GD19" s="4" t="str">
        <f t="shared" si="145"/>
        <v>Service (O4&gt;8 = (BP+BAH+BAS+VSP+BCPSP)*12)+ASP</v>
      </c>
      <c r="GE19" s="5">
        <f t="shared" si="146"/>
        <v>102317.52</v>
      </c>
      <c r="GF19" s="5">
        <f t="shared" si="147"/>
        <v>20659.199999999997</v>
      </c>
      <c r="GG19" s="5">
        <f t="shared" si="148"/>
        <v>122976.72</v>
      </c>
      <c r="GH19" s="5">
        <f t="shared" si="149"/>
        <v>90908.486892120462</v>
      </c>
      <c r="GI19" s="5">
        <f t="shared" si="150"/>
        <v>18355.5720701762</v>
      </c>
      <c r="GJ19" s="32">
        <f>IF(GH19-InputData!$C$158-InputData!$C$159&gt;=0,GH19-InputData!$C$158-InputData!$C$159,0)</f>
        <v>90908.486892120462</v>
      </c>
      <c r="GK19" s="32">
        <f>IF(GH19-IF(GH19&lt;=InputData!$C$146,InputData!$C$145,0)-MAX(InputData!$C$144,GQ19)&gt;=0,GH19-IF(GH19&lt;=InputData!$C$146,InputData!$C$145,0)-MAX(InputData!$C$144,GQ19),0)</f>
        <v>80908.486892120462</v>
      </c>
      <c r="GL19" s="32">
        <f>IF(GK19&lt;0,"Error",IF(GK19&lt;=InputData!$B$170,InputData!$C$170*GK19,IF(GK19&lt;=InputData!$B$171,InputData!$D$170+InputData!$C$171*(GK19-InputData!$B$170),IF(GK19&lt;=InputData!$B$172,InputData!$D$171+InputData!$C$172*(GK19-InputData!$B$171),IF(GK19&lt;=InputData!$B$173,InputData!$D$172+InputData!$C$173*(GK19-InputData!$B$172),IF(GK19&lt;=InputData!$B$174,InputData!$D$173+InputData!$C$174*(GK19-InputData!$B$173),IF(GK19&lt;=InputData!$B$175,InputData!$D$174+InputData!$C$175*(GK19-InputData!$B$174),InputData!$D$175+InputData!$C$176*(GK19-InputData!$B$175))))))))</f>
        <v>16155.871723030115</v>
      </c>
      <c r="GM19" s="32">
        <f>IF(GH19&lt;=InputData!$C$150,InputData!$C$152,IF(GH19&lt;InputData!$C$151,IF(InputData!$C$152-0.25*IF(GH19-InputData!$C$150&lt;=0,0,GH19-InputData!$C$150)&lt;=0,0,InputData!$C$152-0.25*IF(GH19-InputData!$C$150&lt;=0,0,GH19-InputData!$C$150)),0))</f>
        <v>51900</v>
      </c>
      <c r="GN19" s="32">
        <f>IF(GH19-GM19&lt;=0,0,IF(GH19-GM19&lt;=InputData!$C$153,InputData!$C$154*(GH19-GM19),InputData!$C$155*(GH19-GM19)-InputData!$D$154))</f>
        <v>10142.206591951321</v>
      </c>
      <c r="GO19" s="32">
        <f t="shared" si="71"/>
        <v>16155.871723030115</v>
      </c>
      <c r="GP19" s="32">
        <f>IF(GH19&gt;=0,IF(GH19&lt;=InputData!$C$148,InputData!$C$147*GH19,InputData!$C$147*InputData!$C$148)+InputData!$C$149*GH19,0)</f>
        <v>6954.4992472472159</v>
      </c>
      <c r="GQ19" s="32">
        <f>IF(GJ19&lt;0,0,IF(GJ19&lt;=InputData!$B$163,InputData!$C$163*GJ19,IF(GJ19&lt;=InputData!$B$164,InputData!$D$163+InputData!$C$164*(GJ19-InputData!$B$163),IF(GJ19&lt;=InputData!$B$165,InputData!$D$164+InputData!$C$165*(GJ19-InputData!$B$164),InputData!$D$165+InputData!$C$166*(GJ19-InputData!$B$165)))))</f>
        <v>0</v>
      </c>
      <c r="GR19" s="43">
        <f t="shared" si="72"/>
        <v>0.25421576973008042</v>
      </c>
      <c r="GS19" s="43">
        <f t="shared" si="73"/>
        <v>0.21150935806120783</v>
      </c>
      <c r="GT19" s="5">
        <f t="shared" si="74"/>
        <v>86153.687992019331</v>
      </c>
      <c r="GU19" s="32">
        <f>GT19/((1+InputData!$C$7)^(Ortho!$B19-Ortho!$B$7))</f>
        <v>60426.463362025315</v>
      </c>
      <c r="GV19" s="32">
        <f t="shared" si="75"/>
        <v>710146.70996840461</v>
      </c>
      <c r="GX19" s="3">
        <f t="shared" si="130"/>
        <v>9</v>
      </c>
      <c r="GY19" s="46" t="str">
        <f t="shared" si="131"/>
        <v>Service (O4&gt;8 = (BP+BAH+BAS+VSP+BCPSP)*12+ASP)</v>
      </c>
      <c r="GZ19" s="5">
        <f t="shared" si="132"/>
        <v>102317.52</v>
      </c>
      <c r="HA19" s="5">
        <f t="shared" si="133"/>
        <v>20659.199999999997</v>
      </c>
      <c r="HB19" s="5">
        <f t="shared" si="134"/>
        <v>122976.72</v>
      </c>
      <c r="HC19" s="5">
        <f t="shared" si="135"/>
        <v>90908.486892120462</v>
      </c>
      <c r="HD19" s="5">
        <f t="shared" si="136"/>
        <v>18355.5720701762</v>
      </c>
      <c r="HE19" s="32">
        <f>IF(HC19-InputData!$C$158-InputData!$C$159&gt;=0,HC19-InputData!$C$158-InputData!$C$159,0)</f>
        <v>90908.486892120462</v>
      </c>
      <c r="HF19" s="32">
        <f>IF(HC19-IF(HC19&lt;=InputData!$C$146,InputData!$C$145,0)-MAX(InputData!$C$144,HL19)&gt;=0,HC19-IF(HC19&lt;=InputData!$C$146,InputData!$C$145,0)-MAX(InputData!$C$144,HL19),0)</f>
        <v>80908.486892120462</v>
      </c>
      <c r="HG19" s="32">
        <f>IF(HF19&lt;0,"Error",IF(HF19&lt;=InputData!$B$170,InputData!$C$170*HF19,IF(HF19&lt;=InputData!$B$171,InputData!$D$170+InputData!$C$171*(HF19-InputData!$B$170),IF(HF19&lt;=InputData!$B$172,InputData!$D$171+InputData!$C$172*(HF19-InputData!$B$171),IF(HF19&lt;=InputData!$B$173,InputData!$D$172+InputData!$C$173*(HF19-InputData!$B$172),IF(HF19&lt;=InputData!$B$174,InputData!$D$173+InputData!$C$174*(HF19-InputData!$B$173),IF(HF19&lt;=InputData!$B$175,InputData!$D$174+InputData!$C$175*(HF19-InputData!$B$174),InputData!$D$175+InputData!$C$176*(HF19-InputData!$B$175))))))))</f>
        <v>16155.871723030115</v>
      </c>
      <c r="HH19" s="32">
        <f>IF(HC19&lt;=InputData!$C$150,InputData!$C$152,IF(HC19&lt;InputData!$C$151,IF(InputData!$C$152-0.25*IF(HC19-InputData!$C$150&lt;=0,0,HC19-InputData!$C$150)&lt;=0,0,InputData!$C$152-0.25*IF(HC19-InputData!$C$150&lt;=0,0,HC19-InputData!$C$150)),0))</f>
        <v>51900</v>
      </c>
      <c r="HI19" s="32">
        <f>IF(HC19-HH19&lt;=0,0,IF(HC19-HH19&lt;=InputData!$C$153,InputData!$C$154*(HC19-HH19),InputData!$C$155*(HC19-HH19)-InputData!$D$154))</f>
        <v>10142.206591951321</v>
      </c>
      <c r="HJ19" s="32">
        <f t="shared" si="76"/>
        <v>16155.871723030115</v>
      </c>
      <c r="HK19" s="32">
        <f>IF(HC19&gt;=0,IF(HC19&lt;=InputData!$C$148,InputData!$C$147*HC19,InputData!$C$147*InputData!$C$148)+InputData!$C$149*HC19,0)</f>
        <v>6954.4992472472159</v>
      </c>
      <c r="HL19" s="32">
        <f>IF(HE19&lt;0,0,IF(HE19&lt;=InputData!$B$163,InputData!$C$163*HE19,IF(HE19&lt;=InputData!$B$164,InputData!$D$163+InputData!$C$164*(HE19-InputData!$B$163),IF(HE19&lt;=InputData!$B$165,InputData!$D$164+InputData!$C$165*(HE19-InputData!$B$164),InputData!$D$165+InputData!$C$166*(HE19-InputData!$B$165)))))</f>
        <v>0</v>
      </c>
      <c r="HM19" s="43">
        <f t="shared" si="77"/>
        <v>0.25421576973008042</v>
      </c>
      <c r="HN19" s="43">
        <f t="shared" si="78"/>
        <v>0.21150935806120783</v>
      </c>
      <c r="HO19" s="5">
        <f t="shared" si="79"/>
        <v>86153.687992019331</v>
      </c>
      <c r="HP19" s="32">
        <f>HO19/((1+InputData!$C$7)^(Ortho!$B19-Ortho!$B$7))</f>
        <v>60426.463362025315</v>
      </c>
      <c r="HQ19" s="32">
        <f t="shared" si="80"/>
        <v>618022.98765773152</v>
      </c>
      <c r="HS19" s="93">
        <f t="shared" si="81"/>
        <v>9</v>
      </c>
      <c r="HT19" s="5" t="str">
        <f t="shared" si="82"/>
        <v>Service (O4&gt;8 = (BP+BAH+BAS+VSP+BCPSP)*12)+ASP</v>
      </c>
      <c r="HU19" s="5">
        <f t="shared" si="83"/>
        <v>102317.52</v>
      </c>
      <c r="HV19" s="5">
        <f t="shared" si="84"/>
        <v>20659.199999999997</v>
      </c>
      <c r="HW19" s="5">
        <f t="shared" si="85"/>
        <v>122976.72</v>
      </c>
      <c r="HX19" s="5">
        <f t="shared" si="86"/>
        <v>90908.486892120462</v>
      </c>
      <c r="HY19" s="5">
        <f t="shared" si="87"/>
        <v>18355.5720701762</v>
      </c>
      <c r="HZ19" s="32">
        <f>IF(HX19-InputData!$C$158-InputData!$C$159&gt;=0,HX19-InputData!$C$158-InputData!$C$159,0)</f>
        <v>90908.486892120462</v>
      </c>
      <c r="IA19" s="32">
        <f>IF(HX19-IF(HX19&lt;=InputData!$C$146,InputData!$C$145,0)-MAX(InputData!$C$144,IG19)&gt;=0,HX19-IF(HX19&lt;=InputData!$C$146,InputData!$C$145,0)-MAX(InputData!$C$144,IG19),0)</f>
        <v>80908.486892120462</v>
      </c>
      <c r="IB19" s="32">
        <f>IF(IA19&lt;0,"Error",IF(IA19&lt;=InputData!$B$170,InputData!$C$170*IA19,IF(IA19&lt;=InputData!$B$171,InputData!$D$170+InputData!$C$171*(IA19-InputData!$B$170),IF(IA19&lt;=InputData!$B$172,InputData!$D$171+InputData!$C$172*(IA19-InputData!$B$171),IF(IA19&lt;=InputData!$B$173,InputData!$D$172+InputData!$C$173*(IA19-InputData!$B$172),IF(IA19&lt;=InputData!$B$174,InputData!$D$173+InputData!$C$174*(IA19-InputData!$B$173),IF(IA19&lt;=InputData!$B$175,InputData!$D$174+InputData!$C$175*(IA19-InputData!$B$174),InputData!$D$175+InputData!$C$176*(IA19-InputData!$B$175))))))))</f>
        <v>16155.871723030115</v>
      </c>
      <c r="IC19" s="32">
        <f>IF(HX19&lt;=InputData!$C$150,InputData!$C$152,IF(HX19&lt;InputData!$C$151,IF(InputData!$C$152-0.25*IF(HX19-InputData!$C$150&lt;=0,0,HX19-InputData!$C$150)&lt;=0,0,InputData!$C$152-0.25*IF(HX19-InputData!$C$150&lt;=0,0,HX19-InputData!$C$150)),0))</f>
        <v>51900</v>
      </c>
      <c r="ID19" s="32">
        <f>IF(HX19-IC19&lt;=0,0,IF(HX19-IC19&lt;=InputData!$C$153,InputData!$C$154*(HX19-IC19),InputData!$C$155*(HX19-IC19)-InputData!$D$154))</f>
        <v>10142.206591951321</v>
      </c>
      <c r="IE19" s="32">
        <f t="shared" si="88"/>
        <v>16155.871723030115</v>
      </c>
      <c r="IF19" s="32">
        <f>IF(HX19&gt;=0,IF(HX19&lt;=InputData!$C$148,InputData!$C$147*HX19,InputData!$C$147*InputData!$C$148)+InputData!$C$149*HX19,0)</f>
        <v>6954.4992472472159</v>
      </c>
      <c r="IG19" s="32">
        <f>IF(HZ19&lt;0,0,IF(HZ19&lt;=InputData!$B$163,InputData!$C$163*HZ19,IF(HZ19&lt;=InputData!$B$164,InputData!$D$163+InputData!$C$164*(HZ19-InputData!$B$163),IF(HZ19&lt;=InputData!$B$165,InputData!$D$164+InputData!$C$165*(HZ19-InputData!$B$164),InputData!$D$165+InputData!$C$166*(HZ19-InputData!$B$165)))))</f>
        <v>0</v>
      </c>
      <c r="IH19" s="43">
        <f t="shared" si="89"/>
        <v>0.25421576973008042</v>
      </c>
      <c r="II19" s="43">
        <f t="shared" si="90"/>
        <v>0.21150935806120783</v>
      </c>
      <c r="IJ19" s="5">
        <f t="shared" si="91"/>
        <v>86153.687992019331</v>
      </c>
      <c r="IK19" s="32">
        <f>IJ19/((1+InputData!$C$7)^(Ortho!$B19-Ortho!$B$7))</f>
        <v>60426.463362025315</v>
      </c>
      <c r="IL19" s="5">
        <f t="shared" si="92"/>
        <v>710146.70996840461</v>
      </c>
      <c r="IN19" s="93">
        <f t="shared" si="93"/>
        <v>9</v>
      </c>
      <c r="IO19" s="92" t="str">
        <f t="shared" si="94"/>
        <v>Service (O4&gt;8 = (BP+BAH+BAS+VSP+BCPSP)*12+ASP)</v>
      </c>
      <c r="IP19" s="5">
        <f t="shared" si="8"/>
        <v>102317.52</v>
      </c>
      <c r="IQ19" s="5">
        <f t="shared" si="9"/>
        <v>20659.199999999997</v>
      </c>
      <c r="IR19" s="5">
        <f t="shared" si="10"/>
        <v>122976.72</v>
      </c>
      <c r="IS19" s="5">
        <f t="shared" si="11"/>
        <v>90908.486892120462</v>
      </c>
      <c r="IT19" s="5">
        <f t="shared" si="12"/>
        <v>18355.5720701762</v>
      </c>
      <c r="IU19" s="32">
        <f>IF(IS19-InputData!$C$158-InputData!$C$159&gt;=0,IS19-InputData!$C$158-InputData!$C$159,0)</f>
        <v>90908.486892120462</v>
      </c>
      <c r="IV19" s="32">
        <f>IF(IS19-IF(IS19&lt;=InputData!$C$146,InputData!$C$145,0)-MAX(InputData!$C$144,JB19)&gt;=0,IS19-IF(IS19&lt;=InputData!$C$146,InputData!$C$145,0)-MAX(InputData!$C$144,JB19),0)</f>
        <v>80908.486892120462</v>
      </c>
      <c r="IW19" s="32">
        <f>IF(IV19&lt;0,"Error",IF(IV19&lt;=InputData!$B$170,InputData!$C$170*IV19,IF(IV19&lt;=InputData!$B$171,InputData!$D$170+InputData!$C$171*(IV19-InputData!$B$170),IF(IV19&lt;=InputData!$B$172,InputData!$D$171+InputData!$C$172*(IV19-InputData!$B$171),IF(IV19&lt;=InputData!$B$173,InputData!$D$172+InputData!$C$173*(IV19-InputData!$B$172),IF(IV19&lt;=InputData!$B$174,InputData!$D$173+InputData!$C$174*(IV19-InputData!$B$173),IF(IV19&lt;=InputData!$B$175,InputData!$D$174+InputData!$C$175*(IV19-InputData!$B$174),InputData!$D$175+InputData!$C$176*(IV19-InputData!$B$175))))))))</f>
        <v>16155.871723030115</v>
      </c>
      <c r="IX19" s="32">
        <f>IF(IS19&lt;=InputData!$C$150,InputData!$C$152,IF(IS19&lt;InputData!$C$151,IF(InputData!$C$152-0.25*IF(IS19-InputData!$C$150&lt;=0,0,IS19-InputData!$C$150)&lt;=0,0,InputData!$C$152-0.25*IF(IS19-InputData!$C$150&lt;=0,0,IS19-InputData!$C$150)),0))</f>
        <v>51900</v>
      </c>
      <c r="IY19" s="32">
        <f>IF(IS19-IX19&lt;=0,0,IF(IS19-IX19&lt;=InputData!$C$153,InputData!$C$154*(IS19-IX19),InputData!$C$155*(IS19-IX19)-InputData!$D$154))</f>
        <v>10142.206591951321</v>
      </c>
      <c r="IZ19" s="32">
        <f t="shared" si="95"/>
        <v>16155.871723030115</v>
      </c>
      <c r="JA19" s="32">
        <f>IF(IS19&gt;=0,IF(IS19&lt;=InputData!$C$148,InputData!$C$147*IS19,InputData!$C$147*InputData!$C$148)+InputData!$C$149*IS19,0)</f>
        <v>6954.4992472472159</v>
      </c>
      <c r="JB19" s="32">
        <f>IF(IU19&lt;0,0,IF(IU19&lt;=InputData!$B$163,InputData!$C$163*IU19,IF(IU19&lt;=InputData!$B$164,InputData!$D$163+InputData!$C$164*(IU19-InputData!$B$163),IF(IU19&lt;=InputData!$B$165,InputData!$D$164+InputData!$C$165*(IU19-InputData!$B$164),InputData!$D$165+InputData!$C$166*(IU19-InputData!$B$165)))))</f>
        <v>0</v>
      </c>
      <c r="JC19" s="43">
        <f t="shared" si="96"/>
        <v>0.25421576973008042</v>
      </c>
      <c r="JD19" s="43">
        <f t="shared" si="97"/>
        <v>0.21150935806120783</v>
      </c>
      <c r="JE19" s="5">
        <f t="shared" si="98"/>
        <v>86153.687992019331</v>
      </c>
      <c r="JF19" s="32">
        <f>JE19/((1+InputData!$C$7)^(Ortho!$B19-Ortho!$B$7))</f>
        <v>60426.463362025315</v>
      </c>
      <c r="JG19" s="5">
        <f t="shared" si="99"/>
        <v>618022.98765773152</v>
      </c>
      <c r="JI19" s="41" t="str">
        <f t="shared" si="13"/>
        <v>Private Practice</v>
      </c>
      <c r="JJ19" s="5">
        <f t="shared" si="14"/>
        <v>528957.41731413046</v>
      </c>
      <c r="JK19" s="32">
        <v>0</v>
      </c>
      <c r="JL19" s="32">
        <f t="shared" si="101"/>
        <v>528957.41731413046</v>
      </c>
      <c r="JM19" s="32">
        <f>JM18*(1+InputData!$C$8)</f>
        <v>14572.09821952365</v>
      </c>
      <c r="JN19" s="32">
        <f>JJ19/((1+InputData!$C$3)^(Ortho!$B19-Ortho!$B$7))</f>
        <v>417079.31372549018</v>
      </c>
      <c r="JO19" s="32">
        <f>JK19/((1+InputData!$C$3)^(Ortho!$B19-Ortho!$B$7))</f>
        <v>0</v>
      </c>
      <c r="JP19" s="32" t="s">
        <v>141</v>
      </c>
      <c r="JQ19" s="32">
        <v>0</v>
      </c>
      <c r="JR19" s="32">
        <f t="shared" si="167"/>
        <v>0</v>
      </c>
      <c r="JS19" s="32">
        <f>(JR19)*InputData!$C$6</f>
        <v>0</v>
      </c>
      <c r="JT19" s="32">
        <f>MIN($BE$16*InputData!$C$6/(1-(1+InputData!$C$6)^(-10)), JR19+JS19)</f>
        <v>0</v>
      </c>
      <c r="JU19" s="32">
        <f t="shared" si="151"/>
        <v>0</v>
      </c>
      <c r="JV19" s="32">
        <f>JT19/((1+InputData!$C$3)^(Ortho!$B19-Ortho!$B$7))</f>
        <v>0</v>
      </c>
      <c r="JW19" s="32">
        <f>IF(JN19-InputData!$C$158-InputData!$C$159&gt;=0,JN19-InputData!$C$158-InputData!$C$159,0)</f>
        <v>417079.31372549018</v>
      </c>
      <c r="JX19" s="32">
        <f>IF(JN19-IF(JN19&lt;=InputData!$C$146,InputData!$C$145,0)-MAX(InputData!$C$144,KD19)&gt;=0,JN19-IF(JN19&lt;=InputData!$C$146,InputData!$C$145,0)-MAX(InputData!$C$144,KD19),0)</f>
        <v>410979.31372549018</v>
      </c>
      <c r="JY19" s="32">
        <f>IF(JX19&lt;0,"Error",IF(JX19&lt;=InputData!$B$170,InputData!$C$170*JX19,IF(JX19&lt;=InputData!$B$171,InputData!$D$170+InputData!$C$171*(JX19-InputData!$B$170),IF(JX19&lt;=InputData!$B$172,InputData!$D$171+InputData!$C$172*(JX19-InputData!$B$171),IF(JX19&lt;=InputData!$B$173,InputData!$D$172+InputData!$C$173*(JX19-InputData!$B$172),IF(JX19&lt;=InputData!$B$174,InputData!$D$173+InputData!$C$174*(JX19-InputData!$B$173),IF(JX19&lt;=InputData!$B$175,InputData!$D$174+InputData!$C$175*(JX19-InputData!$B$174),InputData!$D$175+InputData!$C$176*(JX19-InputData!$B$175))))))))</f>
        <v>120511.55823529411</v>
      </c>
      <c r="JZ19" s="32">
        <f>IF(JN19&lt;=InputData!$C$150,InputData!$C$152,IF(JN19&lt;InputData!$C$151,IF(InputData!$C$152-0.25*IF(JN19-InputData!$C$150&lt;=0,0,JN19-InputData!$C$150)&lt;=0,0,InputData!$C$152-0.25*IF(JN19-InputData!$C$150&lt;=0,0,JN19-InputData!$C$150)),0))</f>
        <v>0</v>
      </c>
      <c r="KA19" s="32">
        <f>IF(JN19-JZ19&lt;=0,0,IF(JN19-JZ19&lt;=InputData!$C$153,InputData!$C$154*(JN19-JZ19),InputData!$C$155*(JN19-JZ19)-InputData!$D$154))</f>
        <v>113192.20784313726</v>
      </c>
      <c r="KB19" s="32">
        <f t="shared" si="102"/>
        <v>120511.55823529411</v>
      </c>
      <c r="KC19" s="32">
        <f>IF(JN19&gt;=0,IF(JN19&lt;=InputData!$C$148,InputData!$C$147*JN19,InputData!$C$147*InputData!$C$148)+InputData!$C$149*JN19,0)</f>
        <v>13097.050049019606</v>
      </c>
      <c r="KD19" s="32">
        <f>IF(JW19&lt;0,0,IF(JW19&lt;=InputData!$B$163,InputData!$C$163*JW19,IF(JW19&lt;=InputData!$B$164,InputData!$D$163+InputData!$C$164*(JW19-InputData!$B$163),IF(JW19&lt;=InputData!$B$165,InputData!$D$164+InputData!$C$165*(JW19-InputData!$B$164),InputData!$D$165+InputData!$C$166*(JW19-InputData!$B$165)))))</f>
        <v>0</v>
      </c>
      <c r="KE19" s="43">
        <f t="shared" si="15"/>
        <v>0.32034340684719537</v>
      </c>
      <c r="KF19" s="32">
        <f t="shared" si="16"/>
        <v>283470.70544117643</v>
      </c>
      <c r="KG19" s="32">
        <f t="shared" si="103"/>
        <v>283470.70544117643</v>
      </c>
      <c r="KH19" s="32">
        <f>KG19/((1+InputData!$C$7)^(Ortho!$B19-Ortho!$B$7))</f>
        <v>198820.64942054992</v>
      </c>
      <c r="KI19" s="5">
        <f t="shared" si="122"/>
        <v>1003383.1377481208</v>
      </c>
    </row>
    <row r="20" spans="1:295" ht="14.45" x14ac:dyDescent="0.3">
      <c r="A20" s="4">
        <v>2026</v>
      </c>
      <c r="B20" s="51">
        <v>14</v>
      </c>
      <c r="C20" s="4"/>
      <c r="D20" s="3">
        <v>10</v>
      </c>
      <c r="E20" s="4" t="s">
        <v>21</v>
      </c>
      <c r="F20" s="5">
        <f>InputData!$H$23*12</f>
        <v>73317.600000000006</v>
      </c>
      <c r="G20" s="32">
        <f>(InputData!$H$23+InputData!$F$45+InputData!$C$50)*12+InputData!$J$50</f>
        <v>102317.52</v>
      </c>
      <c r="H20" s="32">
        <f>(InputData!$C$34+InputData!$C$40)*12</f>
        <v>20659.199999999997</v>
      </c>
      <c r="I20" s="32">
        <f t="shared" si="17"/>
        <v>122976.72</v>
      </c>
      <c r="J20" s="32">
        <f>G20*((1+InputData!$C$5)/(1+InputData!$C$3))^(Ortho!$B20-Ortho!$B$7)</f>
        <v>90017.227216707513</v>
      </c>
      <c r="K20" s="32">
        <f>H20*((1+InputData!$C$5)/(1+InputData!$C$3))^(Ortho!$B20-Ortho!$B$7)</f>
        <v>18175.615481252906</v>
      </c>
      <c r="L20" s="32">
        <f>IF(J20-InputData!$C$158-InputData!$C$159&gt;=0,J20-InputData!$C$158-InputData!$C$159,0)</f>
        <v>90017.227216707513</v>
      </c>
      <c r="M20" s="32">
        <f>IF(J20-IF(J20&lt;=InputData!$C$146,InputData!$C$145,0)-MAX(InputData!$C$144,S20)&gt;=0,J20-IF(J20&lt;=InputData!$C$146,InputData!$C$145,0)-MAX(InputData!$C$144,S20),0)</f>
        <v>80017.227216707513</v>
      </c>
      <c r="N20" s="32">
        <f>IF(M20&lt;0,"Error",IF(M20&lt;=InputData!$B$170,InputData!$C$170*M20,IF(M20&lt;=InputData!$B$171,InputData!$D$170+InputData!$C$171*(M20-InputData!$B$170),IF(M20&lt;=InputData!$B$172,InputData!$D$171+InputData!$C$172*(M20-InputData!$B$171),IF(M20&lt;=InputData!$B$173,InputData!$D$172+InputData!$C$173*(M20-InputData!$B$172),IF(M20&lt;=InputData!$B$174,InputData!$D$173+InputData!$C$174*(M20-InputData!$B$173),IF(M20&lt;=InputData!$B$175,InputData!$D$174+InputData!$C$175*(M20-InputData!$B$174),InputData!$D$175+InputData!$C$176*(M20-InputData!$B$175))))))))</f>
        <v>15933.056804176878</v>
      </c>
      <c r="O20" s="32">
        <f>IF(J20&lt;=InputData!$C$150,InputData!$C$152,IF(J20&lt;InputData!$C$151,IF(InputData!$C$152-0.25*IF(J20-InputData!$C$150&lt;=0,0,J20-InputData!$C$150)&lt;=0,0,InputData!$C$152-0.25*IF(J20-InputData!$C$150&lt;=0,0,J20-InputData!$C$150)),0))</f>
        <v>51900</v>
      </c>
      <c r="P20" s="32">
        <f>IF(J20-O20&lt;=0,0,IF(J20-O20&lt;=InputData!$C$153,InputData!$C$154*(J20-O20),InputData!$C$155*(J20-O20)-InputData!$D$154))</f>
        <v>9910.4790763439541</v>
      </c>
      <c r="Q20" s="32">
        <f t="shared" si="18"/>
        <v>15933.056804176878</v>
      </c>
      <c r="R20" s="32">
        <f>IF(J20&gt;=0,IF(J20&lt;=InputData!$C$148,InputData!$C$147*J20,InputData!$C$147*InputData!$C$148)+InputData!$C$149*J20,0)</f>
        <v>6886.317882078125</v>
      </c>
      <c r="S20" s="32">
        <f>IF(L20&lt;0,0,IF(L20&lt;=InputData!$B$163,InputData!$C$163*L20,IF(L20&lt;=InputData!$B$164,InputData!$D$163+InputData!$C$164*(L20-InputData!$B$163),IF(L20&lt;=InputData!$B$165,InputData!$D$164+InputData!$C$165*(L20-InputData!$B$164),InputData!$D$165+InputData!$C$166*(L20-InputData!$B$165)))))</f>
        <v>0</v>
      </c>
      <c r="T20" s="43">
        <f t="shared" si="19"/>
        <v>0.25350008428186344</v>
      </c>
      <c r="U20" s="43">
        <f t="shared" si="20"/>
        <v>0.21091390259482645</v>
      </c>
      <c r="V20" s="5">
        <f t="shared" si="21"/>
        <v>85373.468011705409</v>
      </c>
      <c r="W20" s="32">
        <f>V20/((1+InputData!$C$7)^(Ortho!$B20-Ortho!$B$7))</f>
        <v>58135.17744243551</v>
      </c>
      <c r="X20" s="5">
        <f t="shared" si="104"/>
        <v>768281.88741084014</v>
      </c>
      <c r="Y20" s="53"/>
      <c r="Z20" s="3">
        <v>10</v>
      </c>
      <c r="AA20" s="4" t="s">
        <v>278</v>
      </c>
      <c r="AB20" s="5">
        <f t="shared" si="126"/>
        <v>73317.600000000006</v>
      </c>
      <c r="AC20" s="32">
        <f>G20+InputData!$D$61+InputData!$J$61</f>
        <v>202317.52000000002</v>
      </c>
      <c r="AD20" s="32">
        <f t="shared" ref="AD20:AD36" si="174">H20</f>
        <v>20659.199999999997</v>
      </c>
      <c r="AE20" s="32">
        <f t="shared" si="22"/>
        <v>222976.72000000003</v>
      </c>
      <c r="AF20" s="5">
        <f>AC20*((1+InputData!$C$5)/(1+InputData!$C$3))^(Ortho!$B20-Ortho!$B$7)</f>
        <v>177995.53945170651</v>
      </c>
      <c r="AG20" s="5">
        <f>AD20*((1+InputData!$C$5)/(1+InputData!$C$3))^(Ortho!$B20-Ortho!$B$7)</f>
        <v>18175.615481252906</v>
      </c>
      <c r="AH20" s="32">
        <f>IF(AF20-InputData!$C$158-InputData!$C$159&gt;=0,AF20-InputData!$C$158-InputData!$C$159,0)</f>
        <v>177995.53945170651</v>
      </c>
      <c r="AI20" s="32">
        <f>IF(AF20-IF(AF20&lt;=InputData!$C$146,InputData!$C$145,0)-MAX(InputData!$C$144,AO20)&gt;=0,AF20-IF(AF20&lt;=InputData!$C$146,InputData!$C$145,0)-MAX(InputData!$C$144,AO20),0)</f>
        <v>171895.53945170651</v>
      </c>
      <c r="AJ20" s="32">
        <f>IF(AI20&lt;0,"Error",IF(AI20&lt;=InputData!$B$170,InputData!$C$170*AI20,IF(AI20&lt;=InputData!$B$171,InputData!$D$170+InputData!$C$171*(AI20-InputData!$B$170),IF(AI20&lt;=InputData!$B$172,InputData!$D$171+InputData!$C$172*(AI20-InputData!$B$171),IF(AI20&lt;=InputData!$B$173,InputData!$D$172+InputData!$C$173*(AI20-InputData!$B$172),IF(AI20&lt;=InputData!$B$174,InputData!$D$173+InputData!$C$174*(AI20-InputData!$B$173),IF(AI20&lt;=InputData!$B$175,InputData!$D$174+InputData!$C$175*(AI20-InputData!$B$174),InputData!$D$175+InputData!$C$176*(AI20-InputData!$B$175))))))))</f>
        <v>41424.001046477832</v>
      </c>
      <c r="AK20" s="32">
        <f>IF(AF20&lt;=InputData!$C$150,InputData!$C$152,IF(AF20&lt;InputData!$C$151,IF(InputData!$C$152-0.25*IF(AF20-InputData!$C$150&lt;=0,0,AF20-InputData!$C$150)&lt;=0,0,InputData!$C$152-0.25*IF(AF20-InputData!$C$150&lt;=0,0,AF20-InputData!$C$150)),0))</f>
        <v>36251.115137073371</v>
      </c>
      <c r="AL20" s="32">
        <f>IF(AF20-AK20&lt;=0,0,IF(AF20-AK20&lt;=InputData!$C$153,InputData!$C$154*(AF20-AK20),InputData!$C$155*(AF20-AK20)-InputData!$D$154))</f>
        <v>36853.550321804614</v>
      </c>
      <c r="AM20" s="32">
        <f t="shared" si="23"/>
        <v>41424.001046477832</v>
      </c>
      <c r="AN20" s="32">
        <f>IF(AF20&gt;=0,IF(AF20&lt;=InputData!$C$148,InputData!$C$147*AF20,InputData!$C$147*InputData!$C$148)+InputData!$C$149*AF20,0)</f>
        <v>9630.3353220497447</v>
      </c>
      <c r="AO20" s="32">
        <f>IF(AH20&lt;0,0,IF(AH20&lt;=InputData!$B$163,InputData!$C$163*AH20,IF(AH20&lt;=InputData!$B$164,InputData!$D$163+InputData!$C$164*(AH20-InputData!$B$163),IF(AH20&lt;=InputData!$B$165,InputData!$D$164+InputData!$C$165*(AH20-InputData!$B$164),InputData!$D$165+InputData!$C$166*(AH20-InputData!$B$165)))))</f>
        <v>0</v>
      </c>
      <c r="AP20" s="43">
        <f t="shared" si="24"/>
        <v>0.2868293021600104</v>
      </c>
      <c r="AQ20" s="43">
        <f t="shared" si="25"/>
        <v>0.26025404390352475</v>
      </c>
      <c r="AR20" s="5">
        <f t="shared" si="26"/>
        <v>145116.81856443186</v>
      </c>
      <c r="AS20" s="32">
        <f>AR20/((1+InputData!$C$7)^(Ortho!$B20-Ortho!$B$7))</f>
        <v>98817.492056996751</v>
      </c>
      <c r="AT20" s="5">
        <f t="shared" si="105"/>
        <v>716840.47971472831</v>
      </c>
      <c r="AU20" s="53"/>
      <c r="AV20" s="41" t="s">
        <v>109</v>
      </c>
      <c r="AW20" s="32">
        <f>$AW$17*(1+InputData!$C$3+InputData!$C$4)^(Ortho!$B20-Ortho!$B$17)</f>
        <v>544826.13983355439</v>
      </c>
      <c r="AX20" s="32">
        <v>0</v>
      </c>
      <c r="AY20" s="32">
        <f t="shared" si="28"/>
        <v>544826.13983355439</v>
      </c>
      <c r="AZ20" s="32">
        <f>AZ19*(1+InputData!$C$8)</f>
        <v>14863.540183914123</v>
      </c>
      <c r="BA20" s="32">
        <f>AW20/((1+InputData!$C$3)^(Ortho!$B20-Ortho!$B$7))</f>
        <v>421168.32660515187</v>
      </c>
      <c r="BB20" s="32">
        <f>AX20/((1+InputData!$C$3)^(Ortho!$B20-Ortho!$B$7))</f>
        <v>0</v>
      </c>
      <c r="BC20" s="32" t="s">
        <v>141</v>
      </c>
      <c r="BD20" s="32">
        <v>0</v>
      </c>
      <c r="BE20" s="32">
        <f t="shared" si="152"/>
        <v>182182.4054827526</v>
      </c>
      <c r="BF20" s="32">
        <f>(BE20)*InputData!$C$6</f>
        <v>11313.527380478938</v>
      </c>
      <c r="BG20" s="32">
        <f>MIN($BE$16*InputData!$C$6/(1-(1+InputData!$C$6)^(-10)), BE20+BF20)</f>
        <v>37293.894744798265</v>
      </c>
      <c r="BH20" s="32">
        <f t="shared" si="137"/>
        <v>156202.03811843327</v>
      </c>
      <c r="BI20" s="32">
        <f>BG20/((1+InputData!$C$3)^(Ortho!$B20-Ortho!$B$7))</f>
        <v>28829.393624641209</v>
      </c>
      <c r="BJ20" s="32">
        <f>IF(BA20-InputData!$C$158-InputData!$C$159&gt;=0,BA20-InputData!$C$158-InputData!$C$159,0)</f>
        <v>421168.32660515187</v>
      </c>
      <c r="BK20" s="32">
        <f>IF(BA20-IF(BA20&lt;=InputData!$C$146,InputData!$C$145,0)-MAX(InputData!$C$144,BQ20)&gt;=0,BA20-IF(BA20&lt;=InputData!$C$146,InputData!$C$145,0)-MAX(InputData!$C$144,BQ20),0)</f>
        <v>415068.32660515187</v>
      </c>
      <c r="BL20" s="32">
        <f>IF(BK20&lt;0,"Error",IF(BK20&lt;=InputData!$B$170,InputData!$C$170*BK20,IF(BK20&lt;=InputData!$B$171,InputData!$D$170+InputData!$C$171*(BK20-InputData!$B$170),IF(BK20&lt;=InputData!$B$172,InputData!$D$171+InputData!$C$172*(BK20-InputData!$B$171),IF(BK20&lt;=InputData!$B$173,InputData!$D$172+InputData!$C$173*(BK20-InputData!$B$172),IF(BK20&lt;=InputData!$B$174,InputData!$D$173+InputData!$C$174*(BK20-InputData!$B$173),IF(BK20&lt;=InputData!$B$175,InputData!$D$174+InputData!$C$175*(BK20-InputData!$B$174),InputData!$D$175+InputData!$C$176*(BK20-InputData!$B$175))))))))</f>
        <v>122130.80733564014</v>
      </c>
      <c r="BM20" s="32">
        <f>IF(BA20&lt;=InputData!$C$150,InputData!$C$152,IF(BA20&lt;InputData!$C$151,IF(InputData!$C$152-0.25*IF(BA20-InputData!$C$150&lt;=0,0,BA20-InputData!$C$150)&lt;=0,0,InputData!$C$152-0.25*IF(BA20-InputData!$C$150&lt;=0,0,BA20-InputData!$C$150)),0))</f>
        <v>0</v>
      </c>
      <c r="BN20" s="32">
        <f>IF(BA20-BM20&lt;=0,0,IF(BA20-BM20&lt;=InputData!$C$153,InputData!$C$154*(BA20-BM20),InputData!$C$155*(BA20-BM20)-InputData!$D$154))</f>
        <v>114337.13144944253</v>
      </c>
      <c r="BO20" s="32">
        <f t="shared" si="29"/>
        <v>122130.80733564014</v>
      </c>
      <c r="BP20" s="32">
        <f>IF(BA20&gt;=0,IF(BA20&lt;=InputData!$C$148,InputData!$C$147*BA20,InputData!$C$147*InputData!$C$148)+InputData!$C$149*BA20,0)</f>
        <v>13156.340735774702</v>
      </c>
      <c r="BQ20" s="32">
        <f>IF(BJ20&lt;0,0,IF(BJ20&lt;=InputData!$B$163,InputData!$C$163*BJ20,IF(BJ20&lt;=InputData!$B$164,InputData!$D$163+InputData!$C$164*(BJ20-InputData!$B$163),IF(BJ20&lt;=InputData!$B$165,InputData!$D$164+InputData!$C$165*(BJ20-InputData!$B$164),InputData!$D$165+InputData!$C$166*(BJ20-InputData!$B$165)))))</f>
        <v>0</v>
      </c>
      <c r="BR20" s="43">
        <f t="shared" si="30"/>
        <v>0.32121871357683424</v>
      </c>
      <c r="BS20" s="32">
        <f t="shared" si="31"/>
        <v>285881.17853373702</v>
      </c>
      <c r="BT20" s="32">
        <f t="shared" si="32"/>
        <v>257051.78490909582</v>
      </c>
      <c r="BU20" s="32">
        <f>BT20/((1+InputData!$C$7)^(Ortho!$B20-Ortho!$B$7))</f>
        <v>175039.75738148694</v>
      </c>
      <c r="BV20" s="5">
        <f t="shared" si="107"/>
        <v>898580.88213356538</v>
      </c>
      <c r="BW20" s="5"/>
      <c r="BX20" s="32" t="s">
        <v>141</v>
      </c>
      <c r="BY20" s="5">
        <f t="shared" si="153"/>
        <v>250673.04359016666</v>
      </c>
      <c r="BZ20" s="32">
        <f>(BY20)*InputData!$C$6</f>
        <v>15566.796006949351</v>
      </c>
      <c r="CA20" s="32">
        <f>MIN($BY$16*InputData!$C$6/(1-(1+InputData!$C$6)^(-25)), BY20+BZ20)</f>
        <v>21686.214673809533</v>
      </c>
      <c r="CB20" s="32">
        <f t="shared" si="154"/>
        <v>244553.62492330646</v>
      </c>
      <c r="CC20" s="32">
        <f>CA20/((1+InputData!$C$3)^(Ortho!$B20-Ortho!$B$7))</f>
        <v>16764.149288723132</v>
      </c>
      <c r="CD20" s="5">
        <f t="shared" si="36"/>
        <v>269117.02924501389</v>
      </c>
      <c r="CE20" s="32">
        <f>CD20/((1+InputData!$C$7)^(Ortho!$B20-Ortho!$B$7))</f>
        <v>183255.60167937545</v>
      </c>
      <c r="CF20" s="5">
        <f t="shared" si="108"/>
        <v>944033.05187364062</v>
      </c>
      <c r="CG20" s="5"/>
      <c r="CH20" s="32" t="s">
        <v>141</v>
      </c>
      <c r="CI20" s="5" t="e">
        <f t="shared" si="155"/>
        <v>#VALUE!</v>
      </c>
      <c r="CJ20" s="32" t="e">
        <f>(CI20)*InputData!$C$6</f>
        <v>#VALUE!</v>
      </c>
      <c r="CK20" s="5" t="str">
        <f t="shared" si="168"/>
        <v>DNQ</v>
      </c>
      <c r="CL20" s="32" t="e">
        <f t="shared" si="156"/>
        <v>#VALUE!</v>
      </c>
      <c r="CM20" s="32" t="e">
        <f>CK20/((1+InputData!$C$3)^(Ortho!$B20-Ortho!$B$7))</f>
        <v>#VALUE!</v>
      </c>
      <c r="CN20" s="5" t="e">
        <f t="shared" si="40"/>
        <v>#VALUE!</v>
      </c>
      <c r="CO20" s="32" t="e">
        <f>CN20/((1+InputData!$C$7)^(Ortho!$B20-Ortho!$B$7))</f>
        <v>#VALUE!</v>
      </c>
      <c r="CP20" s="5" t="e">
        <f t="shared" si="109"/>
        <v>#VALUE!</v>
      </c>
      <c r="CQ20" s="5"/>
      <c r="CR20" s="32" t="s">
        <v>141</v>
      </c>
      <c r="CS20" s="5" t="e">
        <f t="shared" si="157"/>
        <v>#VALUE!</v>
      </c>
      <c r="CT20" s="32" t="e">
        <f>(CS20)*InputData!$C$6</f>
        <v>#VALUE!</v>
      </c>
      <c r="CU20" s="32" t="str">
        <f t="shared" si="169"/>
        <v>DNQ</v>
      </c>
      <c r="CV20" s="32" t="e">
        <f t="shared" si="158"/>
        <v>#VALUE!</v>
      </c>
      <c r="CW20" s="32" t="e">
        <f>CU20/((1+InputData!$C$3)^(Ortho!$B20-Ortho!$B$7))</f>
        <v>#VALUE!</v>
      </c>
      <c r="CX20" s="5" t="e">
        <f t="shared" si="44"/>
        <v>#VALUE!</v>
      </c>
      <c r="CY20" s="32" t="e">
        <f>CX20/((1+InputData!$C$7)^(Ortho!$B20-Ortho!$B$7))</f>
        <v>#VALUE!</v>
      </c>
      <c r="CZ20" s="5" t="e">
        <f t="shared" si="110"/>
        <v>#VALUE!</v>
      </c>
      <c r="DA20" s="5"/>
      <c r="DB20" s="32" t="s">
        <v>141</v>
      </c>
      <c r="DC20" s="5">
        <f t="shared" si="138"/>
        <v>40363.836363105132</v>
      </c>
      <c r="DD20" s="5">
        <f>DC20*InputData!$C$6</f>
        <v>2506.5942381488289</v>
      </c>
      <c r="DE20" s="32">
        <f t="shared" si="139"/>
        <v>29148.379963889372</v>
      </c>
      <c r="DF20" s="32">
        <f t="shared" si="140"/>
        <v>13722.050637364588</v>
      </c>
      <c r="DG20" s="32">
        <f>DE20/((1+InputData!$C$3)^(Ortho!$B20-Ortho!$B$7))</f>
        <v>22532.645765478293</v>
      </c>
      <c r="DH20" s="5">
        <f t="shared" si="48"/>
        <v>263348.53276825871</v>
      </c>
      <c r="DI20" s="32">
        <f>DH20/((1+InputData!$C$7)^(Ortho!$B20-Ortho!$B$7))</f>
        <v>179327.5362737831</v>
      </c>
      <c r="DJ20" s="5">
        <f t="shared" si="111"/>
        <v>825617.85316388041</v>
      </c>
      <c r="DK20" s="5"/>
      <c r="DL20" s="32" t="s">
        <v>141</v>
      </c>
      <c r="DM20" s="32">
        <f t="shared" si="159"/>
        <v>177974.83531956148</v>
      </c>
      <c r="DN20" s="5">
        <f>DM20*InputData!$C$6</f>
        <v>11052.237273344768</v>
      </c>
      <c r="DO20" s="32">
        <f t="shared" si="160"/>
        <v>0</v>
      </c>
      <c r="DP20" s="32">
        <f t="shared" si="123"/>
        <v>29148.379963889372</v>
      </c>
      <c r="DQ20" s="32">
        <f t="shared" si="124"/>
        <v>159878.69262901688</v>
      </c>
      <c r="DR20" s="32">
        <f>DP20/((1+InputData!$C$3)^(Ortho!$B20-Ortho!$B$7))</f>
        <v>22532.645765478293</v>
      </c>
      <c r="DS20" s="5">
        <f t="shared" si="52"/>
        <v>263348.53276825871</v>
      </c>
      <c r="DT20" s="32">
        <f>DS20/((1+InputData!$C$7)^(Ortho!$B20-Ortho!$B$7))</f>
        <v>179327.5362737831</v>
      </c>
      <c r="DU20" s="5">
        <f t="shared" si="113"/>
        <v>899071.95812670735</v>
      </c>
      <c r="DV20" s="5"/>
      <c r="DW20" s="32" t="s">
        <v>141</v>
      </c>
      <c r="DX20" s="133">
        <f t="shared" si="141"/>
        <v>189834.92358242025</v>
      </c>
      <c r="DY20" s="5">
        <f>DX20*InputData!$C$6</f>
        <v>11788.748754468297</v>
      </c>
      <c r="DZ20" s="133">
        <f t="shared" si="142"/>
        <v>0</v>
      </c>
      <c r="EA20" s="32">
        <f t="shared" si="143"/>
        <v>29148.379963889372</v>
      </c>
      <c r="EB20" s="32">
        <f t="shared" si="144"/>
        <v>172475.29237299919</v>
      </c>
      <c r="EC20" s="32">
        <f>EA20/((1+InputData!$C$3)^(Ortho!$B20-Ortho!$B$7))</f>
        <v>22532.645765478293</v>
      </c>
      <c r="ED20" s="5">
        <f t="shared" si="56"/>
        <v>263348.53276825871</v>
      </c>
      <c r="EE20" s="32">
        <f>ED20/((1+InputData!$C$7)^(Ortho!$B20-Ortho!$B$7))</f>
        <v>179327.5362737831</v>
      </c>
      <c r="EF20" s="5">
        <f t="shared" si="115"/>
        <v>906815.29905035498</v>
      </c>
      <c r="EG20" s="32"/>
      <c r="EH20" s="130" t="s">
        <v>141</v>
      </c>
      <c r="EI20" s="32">
        <v>0</v>
      </c>
      <c r="EJ20" s="32">
        <f t="shared" si="173"/>
        <v>182045.07418997644</v>
      </c>
      <c r="EK20" s="32">
        <f>(EJ20)*InputData!$C$6</f>
        <v>11304.999107197538</v>
      </c>
      <c r="EL20" s="32">
        <f t="shared" si="172"/>
        <v>156084.29113967184</v>
      </c>
      <c r="EM20" s="32">
        <f>EM19*(1+InputData!$C$8)</f>
        <v>14863.540183914123</v>
      </c>
      <c r="EN20" s="32">
        <f t="shared" si="170"/>
        <v>37265.782157502101</v>
      </c>
      <c r="EO20" s="32">
        <f>AW20/((1+InputData!$C$3)^(Ortho!$B20-Ortho!$B$7))</f>
        <v>421168.32660515187</v>
      </c>
      <c r="EP20" s="32">
        <f>AX20/((1+InputData!$C$3)^(Ortho!$B20-Ortho!$B$7))</f>
        <v>0</v>
      </c>
      <c r="EQ20" s="32">
        <v>88347.92</v>
      </c>
      <c r="ER20" s="32">
        <v>10428.36</v>
      </c>
      <c r="ES20" s="32">
        <v>0</v>
      </c>
      <c r="ET20" s="43">
        <f t="shared" si="129"/>
        <v>0.23452922207182836</v>
      </c>
      <c r="EU20" s="32">
        <f t="shared" si="57"/>
        <v>322392.0466051519</v>
      </c>
      <c r="EV20" s="32">
        <f>EN20/((1+InputData!$C$3)^(Ortho!$B20-Ortho!$B$7))</f>
        <v>28807.661680297122</v>
      </c>
      <c r="EW20" s="32">
        <f t="shared" si="58"/>
        <v>293584.38492485479</v>
      </c>
      <c r="EX20" s="32">
        <f>EW20/((1+InputData!$C$7)^(Ortho!$B20-Ortho!$B$7))</f>
        <v>199916.6803156528</v>
      </c>
      <c r="EY20" s="5">
        <f t="shared" si="117"/>
        <v>1091690.3733975876</v>
      </c>
      <c r="EZ20" s="79"/>
      <c r="FA20" s="32">
        <f t="shared" si="161"/>
        <v>182045.07418997641</v>
      </c>
      <c r="FB20" s="32">
        <f>FA20*InputData!$C$6</f>
        <v>11304.999107197536</v>
      </c>
      <c r="FC20" s="32">
        <f t="shared" si="162"/>
        <v>156084.29113967184</v>
      </c>
      <c r="FD20" s="32">
        <f>MIN($EJ$16*InputData!$C$6/(1-(1+InputData!$C$6)^(-10)), FA20+FB20)</f>
        <v>37265.782157502101</v>
      </c>
      <c r="FE20" s="32">
        <f>FD20/((1+InputData!$C$3)^(Ortho!$B20-Ortho!$B$7))</f>
        <v>28807.661680297122</v>
      </c>
      <c r="FF20" s="5">
        <f t="shared" si="62"/>
        <v>293584.38492485479</v>
      </c>
      <c r="FG20" s="32">
        <f>FF20/((1+InputData!$C$7)^(Ortho!$B20-Ortho!$B$7))</f>
        <v>199916.6803156528</v>
      </c>
      <c r="FH20" s="5">
        <f t="shared" si="118"/>
        <v>1091690.3733975876</v>
      </c>
      <c r="FI20" s="79"/>
      <c r="FJ20" s="32">
        <f t="shared" si="163"/>
        <v>250484.08322898825</v>
      </c>
      <c r="FK20" s="32">
        <f>FJ20*InputData!$C$6</f>
        <v>15555.061568520172</v>
      </c>
      <c r="FL20" s="32">
        <f t="shared" si="164"/>
        <v>244369.27745366571</v>
      </c>
      <c r="FM20" s="32">
        <f>MIN($EJ$16*InputData!$C$6/(1-(1+InputData!$C$6)^(-25)), FJ20+FK20)</f>
        <v>21669.867343842721</v>
      </c>
      <c r="FN20" s="32">
        <f>FM20/((1+InputData!$C$3)^(Ortho!$B20-Ortho!$B$7))</f>
        <v>16751.512270960571</v>
      </c>
      <c r="FO20" s="5">
        <f t="shared" si="66"/>
        <v>305640.53433419135</v>
      </c>
      <c r="FP20" s="32">
        <f>FO20/((1+InputData!$C$7)^(Ortho!$B20-Ortho!$B$7))</f>
        <v>208126.33141109851</v>
      </c>
      <c r="FQ20" s="5">
        <f t="shared" si="119"/>
        <v>1137108.280744358</v>
      </c>
      <c r="FR20" s="79"/>
      <c r="FS20" s="32">
        <f t="shared" si="165"/>
        <v>182045.07418997641</v>
      </c>
      <c r="FT20" s="32">
        <f>FS20*InputData!$C$6</f>
        <v>11304.999107197536</v>
      </c>
      <c r="FU20" s="32">
        <f t="shared" si="166"/>
        <v>156084.29113967184</v>
      </c>
      <c r="FV20" s="5">
        <f t="shared" si="171"/>
        <v>37265.782157502101</v>
      </c>
      <c r="FW20" s="32">
        <f>FV20/((1+InputData!$C$3)^(Ortho!$B20-Ortho!$B$7))</f>
        <v>28807.661680297122</v>
      </c>
      <c r="FX20" s="5">
        <f t="shared" si="70"/>
        <v>293584.38492485479</v>
      </c>
      <c r="FY20" s="32">
        <f>FX20/((1+InputData!$C$7)^(Ortho!$B20-Ortho!$B$7))</f>
        <v>199916.6803156528</v>
      </c>
      <c r="FZ20" s="5">
        <f t="shared" si="120"/>
        <v>1091690.3733975876</v>
      </c>
      <c r="GC20" s="3">
        <f t="shared" si="3"/>
        <v>10</v>
      </c>
      <c r="GD20" s="4" t="str">
        <f t="shared" si="145"/>
        <v>Service (O4&gt;8 = (BP+BAH+BAS+VSP+BCPSP)*12)+ASP</v>
      </c>
      <c r="GE20" s="5">
        <f t="shared" si="146"/>
        <v>102317.52</v>
      </c>
      <c r="GF20" s="5">
        <f t="shared" si="147"/>
        <v>20659.199999999997</v>
      </c>
      <c r="GG20" s="5">
        <f t="shared" si="148"/>
        <v>122976.72</v>
      </c>
      <c r="GH20" s="5">
        <f t="shared" si="149"/>
        <v>90017.227216707513</v>
      </c>
      <c r="GI20" s="5">
        <f t="shared" si="150"/>
        <v>18175.615481252906</v>
      </c>
      <c r="GJ20" s="32">
        <f>IF(GH20-InputData!$C$158-InputData!$C$159&gt;=0,GH20-InputData!$C$158-InputData!$C$159,0)</f>
        <v>90017.227216707513</v>
      </c>
      <c r="GK20" s="32">
        <f>IF(GH20-IF(GH20&lt;=InputData!$C$146,InputData!$C$145,0)-MAX(InputData!$C$144,GQ20)&gt;=0,GH20-IF(GH20&lt;=InputData!$C$146,InputData!$C$145,0)-MAX(InputData!$C$144,GQ20),0)</f>
        <v>80017.227216707513</v>
      </c>
      <c r="GL20" s="32">
        <f>IF(GK20&lt;0,"Error",IF(GK20&lt;=InputData!$B$170,InputData!$C$170*GK20,IF(GK20&lt;=InputData!$B$171,InputData!$D$170+InputData!$C$171*(GK20-InputData!$B$170),IF(GK20&lt;=InputData!$B$172,InputData!$D$171+InputData!$C$172*(GK20-InputData!$B$171),IF(GK20&lt;=InputData!$B$173,InputData!$D$172+InputData!$C$173*(GK20-InputData!$B$172),IF(GK20&lt;=InputData!$B$174,InputData!$D$173+InputData!$C$174*(GK20-InputData!$B$173),IF(GK20&lt;=InputData!$B$175,InputData!$D$174+InputData!$C$175*(GK20-InputData!$B$174),InputData!$D$175+InputData!$C$176*(GK20-InputData!$B$175))))))))</f>
        <v>15933.056804176878</v>
      </c>
      <c r="GM20" s="32">
        <f>IF(GH20&lt;=InputData!$C$150,InputData!$C$152,IF(GH20&lt;InputData!$C$151,IF(InputData!$C$152-0.25*IF(GH20-InputData!$C$150&lt;=0,0,GH20-InputData!$C$150)&lt;=0,0,InputData!$C$152-0.25*IF(GH20-InputData!$C$150&lt;=0,0,GH20-InputData!$C$150)),0))</f>
        <v>51900</v>
      </c>
      <c r="GN20" s="32">
        <f>IF(GH20-GM20&lt;=0,0,IF(GH20-GM20&lt;=InputData!$C$153,InputData!$C$154*(GH20-GM20),InputData!$C$155*(GH20-GM20)-InputData!$D$154))</f>
        <v>9910.4790763439541</v>
      </c>
      <c r="GO20" s="32">
        <f t="shared" si="71"/>
        <v>15933.056804176878</v>
      </c>
      <c r="GP20" s="32">
        <f>IF(GH20&gt;=0,IF(GH20&lt;=InputData!$C$148,InputData!$C$147*GH20,InputData!$C$147*InputData!$C$148)+InputData!$C$149*GH20,0)</f>
        <v>6886.317882078125</v>
      </c>
      <c r="GQ20" s="32">
        <f>IF(GJ20&lt;0,0,IF(GJ20&lt;=InputData!$B$163,InputData!$C$163*GJ20,IF(GJ20&lt;=InputData!$B$164,InputData!$D$163+InputData!$C$164*(GJ20-InputData!$B$163),IF(GJ20&lt;=InputData!$B$165,InputData!$D$164+InputData!$C$165*(GJ20-InputData!$B$164),InputData!$D$165+InputData!$C$166*(GJ20-InputData!$B$165)))))</f>
        <v>0</v>
      </c>
      <c r="GR20" s="43">
        <f t="shared" si="72"/>
        <v>0.25350008428186344</v>
      </c>
      <c r="GS20" s="43">
        <f t="shared" si="73"/>
        <v>0.21091390259482645</v>
      </c>
      <c r="GT20" s="5">
        <f t="shared" si="74"/>
        <v>85373.468011705409</v>
      </c>
      <c r="GU20" s="32">
        <f>GT20/((1+InputData!$C$7)^(Ortho!$B20-Ortho!$B$7))</f>
        <v>58135.17744243551</v>
      </c>
      <c r="GV20" s="32">
        <f t="shared" si="75"/>
        <v>768281.88741084014</v>
      </c>
      <c r="GX20" s="3">
        <f t="shared" si="130"/>
        <v>10</v>
      </c>
      <c r="GY20" s="122" t="str">
        <f t="shared" si="131"/>
        <v>Multi-Year (O4&gt;8 = (BP+BAH+BAS+VSP+BCPSP)*12+ASP)+ISP+MSP</v>
      </c>
      <c r="GZ20" s="5">
        <f t="shared" si="132"/>
        <v>202317.52000000002</v>
      </c>
      <c r="HA20" s="5">
        <f t="shared" si="133"/>
        <v>20659.199999999997</v>
      </c>
      <c r="HB20" s="5">
        <f t="shared" si="134"/>
        <v>222976.72000000003</v>
      </c>
      <c r="HC20" s="5">
        <f t="shared" si="135"/>
        <v>177995.53945170651</v>
      </c>
      <c r="HD20" s="5">
        <f t="shared" si="136"/>
        <v>18175.615481252906</v>
      </c>
      <c r="HE20" s="32">
        <f>IF(HC20-InputData!$C$158-InputData!$C$159&gt;=0,HC20-InputData!$C$158-InputData!$C$159,0)</f>
        <v>177995.53945170651</v>
      </c>
      <c r="HF20" s="32">
        <f>IF(HC20-IF(HC20&lt;=InputData!$C$146,InputData!$C$145,0)-MAX(InputData!$C$144,HL20)&gt;=0,HC20-IF(HC20&lt;=InputData!$C$146,InputData!$C$145,0)-MAX(InputData!$C$144,HL20),0)</f>
        <v>171895.53945170651</v>
      </c>
      <c r="HG20" s="32">
        <f>IF(HF20&lt;0,"Error",IF(HF20&lt;=InputData!$B$170,InputData!$C$170*HF20,IF(HF20&lt;=InputData!$B$171,InputData!$D$170+InputData!$C$171*(HF20-InputData!$B$170),IF(HF20&lt;=InputData!$B$172,InputData!$D$171+InputData!$C$172*(HF20-InputData!$B$171),IF(HF20&lt;=InputData!$B$173,InputData!$D$172+InputData!$C$173*(HF20-InputData!$B$172),IF(HF20&lt;=InputData!$B$174,InputData!$D$173+InputData!$C$174*(HF20-InputData!$B$173),IF(HF20&lt;=InputData!$B$175,InputData!$D$174+InputData!$C$175*(HF20-InputData!$B$174),InputData!$D$175+InputData!$C$176*(HF20-InputData!$B$175))))))))</f>
        <v>41424.001046477832</v>
      </c>
      <c r="HH20" s="32">
        <f>IF(HC20&lt;=InputData!$C$150,InputData!$C$152,IF(HC20&lt;InputData!$C$151,IF(InputData!$C$152-0.25*IF(HC20-InputData!$C$150&lt;=0,0,HC20-InputData!$C$150)&lt;=0,0,InputData!$C$152-0.25*IF(HC20-InputData!$C$150&lt;=0,0,HC20-InputData!$C$150)),0))</f>
        <v>36251.115137073371</v>
      </c>
      <c r="HI20" s="32">
        <f>IF(HC20-HH20&lt;=0,0,IF(HC20-HH20&lt;=InputData!$C$153,InputData!$C$154*(HC20-HH20),InputData!$C$155*(HC20-HH20)-InputData!$D$154))</f>
        <v>36853.550321804614</v>
      </c>
      <c r="HJ20" s="32">
        <f t="shared" si="76"/>
        <v>41424.001046477832</v>
      </c>
      <c r="HK20" s="32">
        <f>IF(HC20&gt;=0,IF(HC20&lt;=InputData!$C$148,InputData!$C$147*HC20,InputData!$C$147*InputData!$C$148)+InputData!$C$149*HC20,0)</f>
        <v>9630.3353220497447</v>
      </c>
      <c r="HL20" s="32">
        <f>IF(HE20&lt;0,0,IF(HE20&lt;=InputData!$B$163,InputData!$C$163*HE20,IF(HE20&lt;=InputData!$B$164,InputData!$D$163+InputData!$C$164*(HE20-InputData!$B$163),IF(HE20&lt;=InputData!$B$165,InputData!$D$164+InputData!$C$165*(HE20-InputData!$B$164),InputData!$D$165+InputData!$C$166*(HE20-InputData!$B$165)))))</f>
        <v>0</v>
      </c>
      <c r="HM20" s="43">
        <f t="shared" si="77"/>
        <v>0.2868293021600104</v>
      </c>
      <c r="HN20" s="43">
        <f t="shared" si="78"/>
        <v>0.26025404390352475</v>
      </c>
      <c r="HO20" s="5">
        <f t="shared" si="79"/>
        <v>145116.81856443186</v>
      </c>
      <c r="HP20" s="32">
        <f>HO20/((1+InputData!$C$7)^(Ortho!$B20-Ortho!$B$7))</f>
        <v>98817.492056996751</v>
      </c>
      <c r="HQ20" s="32">
        <f t="shared" si="80"/>
        <v>716840.47971472831</v>
      </c>
      <c r="HS20" s="93">
        <f t="shared" si="81"/>
        <v>10</v>
      </c>
      <c r="HT20" s="5" t="str">
        <f t="shared" si="82"/>
        <v>Service (O4&gt;8 = (BP+BAH+BAS+VSP+BCPSP)*12)+ASP</v>
      </c>
      <c r="HU20" s="5">
        <f t="shared" si="83"/>
        <v>102317.52</v>
      </c>
      <c r="HV20" s="5">
        <f t="shared" si="84"/>
        <v>20659.199999999997</v>
      </c>
      <c r="HW20" s="5">
        <f t="shared" si="85"/>
        <v>122976.72</v>
      </c>
      <c r="HX20" s="5">
        <f t="shared" si="86"/>
        <v>90017.227216707513</v>
      </c>
      <c r="HY20" s="5">
        <f t="shared" si="87"/>
        <v>18175.615481252906</v>
      </c>
      <c r="HZ20" s="32">
        <f>IF(HX20-InputData!$C$158-InputData!$C$159&gt;=0,HX20-InputData!$C$158-InputData!$C$159,0)</f>
        <v>90017.227216707513</v>
      </c>
      <c r="IA20" s="32">
        <f>IF(HX20-IF(HX20&lt;=InputData!$C$146,InputData!$C$145,0)-MAX(InputData!$C$144,IG20)&gt;=0,HX20-IF(HX20&lt;=InputData!$C$146,InputData!$C$145,0)-MAX(InputData!$C$144,IG20),0)</f>
        <v>80017.227216707513</v>
      </c>
      <c r="IB20" s="32">
        <f>IF(IA20&lt;0,"Error",IF(IA20&lt;=InputData!$B$170,InputData!$C$170*IA20,IF(IA20&lt;=InputData!$B$171,InputData!$D$170+InputData!$C$171*(IA20-InputData!$B$170),IF(IA20&lt;=InputData!$B$172,InputData!$D$171+InputData!$C$172*(IA20-InputData!$B$171),IF(IA20&lt;=InputData!$B$173,InputData!$D$172+InputData!$C$173*(IA20-InputData!$B$172),IF(IA20&lt;=InputData!$B$174,InputData!$D$173+InputData!$C$174*(IA20-InputData!$B$173),IF(IA20&lt;=InputData!$B$175,InputData!$D$174+InputData!$C$175*(IA20-InputData!$B$174),InputData!$D$175+InputData!$C$176*(IA20-InputData!$B$175))))))))</f>
        <v>15933.056804176878</v>
      </c>
      <c r="IC20" s="32">
        <f>IF(HX20&lt;=InputData!$C$150,InputData!$C$152,IF(HX20&lt;InputData!$C$151,IF(InputData!$C$152-0.25*IF(HX20-InputData!$C$150&lt;=0,0,HX20-InputData!$C$150)&lt;=0,0,InputData!$C$152-0.25*IF(HX20-InputData!$C$150&lt;=0,0,HX20-InputData!$C$150)),0))</f>
        <v>51900</v>
      </c>
      <c r="ID20" s="32">
        <f>IF(HX20-IC20&lt;=0,0,IF(HX20-IC20&lt;=InputData!$C$153,InputData!$C$154*(HX20-IC20),InputData!$C$155*(HX20-IC20)-InputData!$D$154))</f>
        <v>9910.4790763439541</v>
      </c>
      <c r="IE20" s="32">
        <f t="shared" si="88"/>
        <v>15933.056804176878</v>
      </c>
      <c r="IF20" s="32">
        <f>IF(HX20&gt;=0,IF(HX20&lt;=InputData!$C$148,InputData!$C$147*HX20,InputData!$C$147*InputData!$C$148)+InputData!$C$149*HX20,0)</f>
        <v>6886.317882078125</v>
      </c>
      <c r="IG20" s="32">
        <f>IF(HZ20&lt;0,0,IF(HZ20&lt;=InputData!$B$163,InputData!$C$163*HZ20,IF(HZ20&lt;=InputData!$B$164,InputData!$D$163+InputData!$C$164*(HZ20-InputData!$B$163),IF(HZ20&lt;=InputData!$B$165,InputData!$D$164+InputData!$C$165*(HZ20-InputData!$B$164),InputData!$D$165+InputData!$C$166*(HZ20-InputData!$B$165)))))</f>
        <v>0</v>
      </c>
      <c r="IH20" s="43">
        <f t="shared" si="89"/>
        <v>0.25350008428186344</v>
      </c>
      <c r="II20" s="43">
        <f t="shared" si="90"/>
        <v>0.21091390259482645</v>
      </c>
      <c r="IJ20" s="5">
        <f t="shared" si="91"/>
        <v>85373.468011705409</v>
      </c>
      <c r="IK20" s="32">
        <f>IJ20/((1+InputData!$C$7)^(Ortho!$B20-Ortho!$B$7))</f>
        <v>58135.17744243551</v>
      </c>
      <c r="IL20" s="5">
        <f t="shared" si="92"/>
        <v>768281.88741084014</v>
      </c>
      <c r="IN20" s="227"/>
      <c r="IO20" s="53" t="s">
        <v>109</v>
      </c>
      <c r="IP20" s="32">
        <f>MIN(InputData!$C$13+InputData!$E$13*($B20-$B$20),1)*Ortho!AW20</f>
        <v>490343.52585019899</v>
      </c>
      <c r="IQ20" s="32">
        <f>MIN(InputData!$C$13+InputData!$E$13*($B20-$B$20),1)*Ortho!AX20</f>
        <v>0</v>
      </c>
      <c r="IR20" s="32">
        <f>MIN(InputData!$C$13+InputData!$E$13*($B20-$B$20),1)*Ortho!AY20</f>
        <v>490343.52585019899</v>
      </c>
      <c r="IS20" s="32">
        <f>MIN(InputData!$C$13+InputData!$E$13*($B20-$B$20),1)*Ortho!EO20</f>
        <v>379051.49394463672</v>
      </c>
      <c r="IT20" s="32">
        <f>MIN(InputData!$C$13+InputData!$E$13*($B20-$B$20),1)*Ortho!EP20</f>
        <v>0</v>
      </c>
      <c r="IU20" s="32">
        <f>IF(IS20-InputData!$C$158-InputData!$C$159&gt;=0,IS20-InputData!$C$158-InputData!$C$159,0)</f>
        <v>379051.49394463672</v>
      </c>
      <c r="IV20" s="32">
        <f>IF(IS20-IF(IS20&lt;=InputData!$C$146,InputData!$C$145,0)-MAX(InputData!$C$144,JB20)&gt;=0,IS20-IF(IS20&lt;=InputData!$C$146,InputData!$C$145,0)-MAX(InputData!$C$144,JB20),0)</f>
        <v>372951.49394463672</v>
      </c>
      <c r="IW20" s="32">
        <f>IF(IV20&lt;0,"Error",IF(IV20&lt;=InputData!$B$170,InputData!$C$170*IV20,IF(IV20&lt;=InputData!$B$171,InputData!$D$170+InputData!$C$171*(IV20-InputData!$B$170),IF(IV20&lt;=InputData!$B$172,InputData!$D$171+InputData!$C$172*(IV20-InputData!$B$171),IF(IV20&lt;=InputData!$B$173,InputData!$D$172+InputData!$C$173*(IV20-InputData!$B$172),IF(IV20&lt;=InputData!$B$174,InputData!$D$173+InputData!$C$174*(IV20-InputData!$B$173),IF(IV20&lt;=InputData!$B$175,InputData!$D$174+InputData!$C$175*(IV20-InputData!$B$174),InputData!$D$175+InputData!$C$176*(IV20-InputData!$B$175))))))))</f>
        <v>107204.74300173012</v>
      </c>
      <c r="IX20" s="32">
        <f>IF(IS20&lt;=InputData!$C$150,InputData!$C$152,IF(IS20&lt;InputData!$C$151,IF(InputData!$C$152-0.25*IF(IS20-InputData!$C$150&lt;=0,0,IS20-InputData!$C$150)&lt;=0,0,InputData!$C$152-0.25*IF(IS20-InputData!$C$150&lt;=0,0,IS20-InputData!$C$150)),0))</f>
        <v>0</v>
      </c>
      <c r="IY20" s="32">
        <f>IF(IS20-IX20&lt;=0,0,IF(IS20-IX20&lt;=InputData!$C$153,InputData!$C$154*(IS20-IX20),InputData!$C$155*(IS20-IX20)-InputData!$D$154))</f>
        <v>102544.41830449829</v>
      </c>
      <c r="IZ20" s="32">
        <f t="shared" si="95"/>
        <v>107204.74300173012</v>
      </c>
      <c r="JA20" s="32">
        <f>IF(IS20&gt;=0,IF(IS20&lt;=InputData!$C$148,InputData!$C$147*IS20,InputData!$C$147*InputData!$C$148)+InputData!$C$149*IS20,0)</f>
        <v>12545.646662197232</v>
      </c>
      <c r="JB20" s="32">
        <f>IF(IU20&lt;0,0,IF(IU20&lt;=InputData!$B$163,InputData!$C$163*IU20,IF(IU20&lt;=InputData!$B$164,InputData!$D$163+InputData!$C$164*(IU20-InputData!$B$163),IF(IU20&lt;=InputData!$B$165,InputData!$D$164+InputData!$C$165*(IU20-InputData!$B$164),InputData!$D$165+InputData!$C$166*(IU20-InputData!$B$165)))))</f>
        <v>0</v>
      </c>
      <c r="JC20" s="43">
        <f t="shared" si="96"/>
        <v>0.31592116526895364</v>
      </c>
      <c r="JD20" s="43">
        <f t="shared" si="97"/>
        <v>0.31592116526895364</v>
      </c>
      <c r="JE20" s="5">
        <f t="shared" si="98"/>
        <v>259301.10428070938</v>
      </c>
      <c r="JF20" s="32">
        <f>JE20/((1+InputData!$C$7)^(Ortho!$B20-Ortho!$B$7))</f>
        <v>176571.4344216598</v>
      </c>
      <c r="JG20" s="5">
        <f t="shared" si="99"/>
        <v>794594.42207939131</v>
      </c>
      <c r="JI20" s="41" t="str">
        <f t="shared" si="13"/>
        <v>Private Practice</v>
      </c>
      <c r="JJ20" s="5">
        <f t="shared" si="14"/>
        <v>544826.13983355439</v>
      </c>
      <c r="JK20" s="32">
        <v>0</v>
      </c>
      <c r="JL20" s="32">
        <f t="shared" si="101"/>
        <v>544826.13983355439</v>
      </c>
      <c r="JM20" s="32">
        <f>JM19*(1+InputData!$C$8)</f>
        <v>14863.540183914123</v>
      </c>
      <c r="JN20" s="32">
        <f>JJ20/((1+InputData!$C$3)^(Ortho!$B20-Ortho!$B$7))</f>
        <v>421168.32660515187</v>
      </c>
      <c r="JO20" s="32">
        <f>JK20/((1+InputData!$C$3)^(Ortho!$B20-Ortho!$B$7))</f>
        <v>0</v>
      </c>
      <c r="JP20" s="32" t="s">
        <v>141</v>
      </c>
      <c r="JQ20" s="32">
        <v>0</v>
      </c>
      <c r="JR20" s="32">
        <f t="shared" si="167"/>
        <v>0</v>
      </c>
      <c r="JS20" s="32">
        <f>(JR20)*InputData!$C$6</f>
        <v>0</v>
      </c>
      <c r="JT20" s="32">
        <f>MIN($BE$16*InputData!$C$6/(1-(1+InputData!$C$6)^(-10)), JR20+JS20)</f>
        <v>0</v>
      </c>
      <c r="JU20" s="32">
        <f t="shared" si="151"/>
        <v>0</v>
      </c>
      <c r="JV20" s="32">
        <f>JT20/((1+InputData!$C$3)^(Ortho!$B20-Ortho!$B$7))</f>
        <v>0</v>
      </c>
      <c r="JW20" s="32">
        <f>IF(JN20-InputData!$C$158-InputData!$C$159&gt;=0,JN20-InputData!$C$158-InputData!$C$159,0)</f>
        <v>421168.32660515187</v>
      </c>
      <c r="JX20" s="32">
        <f>IF(JN20-IF(JN20&lt;=InputData!$C$146,InputData!$C$145,0)-MAX(InputData!$C$144,KD20)&gt;=0,JN20-IF(JN20&lt;=InputData!$C$146,InputData!$C$145,0)-MAX(InputData!$C$144,KD20),0)</f>
        <v>415068.32660515187</v>
      </c>
      <c r="JY20" s="32">
        <f>IF(JX20&lt;0,"Error",IF(JX20&lt;=InputData!$B$170,InputData!$C$170*JX20,IF(JX20&lt;=InputData!$B$171,InputData!$D$170+InputData!$C$171*(JX20-InputData!$B$170),IF(JX20&lt;=InputData!$B$172,InputData!$D$171+InputData!$C$172*(JX20-InputData!$B$171),IF(JX20&lt;=InputData!$B$173,InputData!$D$172+InputData!$C$173*(JX20-InputData!$B$172),IF(JX20&lt;=InputData!$B$174,InputData!$D$173+InputData!$C$174*(JX20-InputData!$B$173),IF(JX20&lt;=InputData!$B$175,InputData!$D$174+InputData!$C$175*(JX20-InputData!$B$174),InputData!$D$175+InputData!$C$176*(JX20-InputData!$B$175))))))))</f>
        <v>122130.80733564014</v>
      </c>
      <c r="JZ20" s="32">
        <f>IF(JN20&lt;=InputData!$C$150,InputData!$C$152,IF(JN20&lt;InputData!$C$151,IF(InputData!$C$152-0.25*IF(JN20-InputData!$C$150&lt;=0,0,JN20-InputData!$C$150)&lt;=0,0,InputData!$C$152-0.25*IF(JN20-InputData!$C$150&lt;=0,0,JN20-InputData!$C$150)),0))</f>
        <v>0</v>
      </c>
      <c r="KA20" s="32">
        <f>IF(JN20-JZ20&lt;=0,0,IF(JN20-JZ20&lt;=InputData!$C$153,InputData!$C$154*(JN20-JZ20),InputData!$C$155*(JN20-JZ20)-InputData!$D$154))</f>
        <v>114337.13144944253</v>
      </c>
      <c r="KB20" s="32">
        <f t="shared" si="102"/>
        <v>122130.80733564014</v>
      </c>
      <c r="KC20" s="32">
        <f>IF(JN20&gt;=0,IF(JN20&lt;=InputData!$C$148,InputData!$C$147*JN20,InputData!$C$147*InputData!$C$148)+InputData!$C$149*JN20,0)</f>
        <v>13156.340735774702</v>
      </c>
      <c r="KD20" s="32">
        <f>IF(JW20&lt;0,0,IF(JW20&lt;=InputData!$B$163,InputData!$C$163*JW20,IF(JW20&lt;=InputData!$B$164,InputData!$D$163+InputData!$C$164*(JW20-InputData!$B$163),IF(JW20&lt;=InputData!$B$165,InputData!$D$164+InputData!$C$165*(JW20-InputData!$B$164),InputData!$D$165+InputData!$C$166*(JW20-InputData!$B$165)))))</f>
        <v>0</v>
      </c>
      <c r="KE20" s="43">
        <f t="shared" si="15"/>
        <v>0.32121871357683424</v>
      </c>
      <c r="KF20" s="32">
        <f t="shared" si="16"/>
        <v>285881.17853373702</v>
      </c>
      <c r="KG20" s="32">
        <f t="shared" si="103"/>
        <v>285881.17853373702</v>
      </c>
      <c r="KH20" s="32">
        <f>KG20/((1+InputData!$C$7)^(Ortho!$B20-Ortho!$B$7))</f>
        <v>194671.17160137717</v>
      </c>
      <c r="KI20" s="5">
        <f t="shared" si="122"/>
        <v>1198054.309349498</v>
      </c>
    </row>
    <row r="21" spans="1:295" ht="14.45" x14ac:dyDescent="0.3">
      <c r="A21" s="4">
        <v>2027</v>
      </c>
      <c r="B21" s="51">
        <v>15</v>
      </c>
      <c r="C21" s="4"/>
      <c r="D21" s="3">
        <v>11</v>
      </c>
      <c r="E21" s="4" t="s">
        <v>213</v>
      </c>
      <c r="F21" s="5">
        <f>InputData!$I$23*12</f>
        <v>78332.399999999994</v>
      </c>
      <c r="G21" s="32">
        <f>(InputData!$I$23+InputData!$G$45+InputData!$D$50)*12+InputData!$J$50</f>
        <v>107832.23999999999</v>
      </c>
      <c r="H21" s="32">
        <f>(InputData!$C$34+InputData!$C$40)*12</f>
        <v>20659.199999999997</v>
      </c>
      <c r="I21" s="32">
        <f t="shared" si="17"/>
        <v>128491.43999999999</v>
      </c>
      <c r="J21" s="32">
        <f>G21*((1+InputData!$C$5)/(1+InputData!$C$3))^(Ortho!$B21-Ortho!$B$7)</f>
        <v>93938.896710946457</v>
      </c>
      <c r="K21" s="32">
        <f>H21*((1+InputData!$C$5)/(1+InputData!$C$3))^(Ortho!$B21-Ortho!$B$7)</f>
        <v>17997.423172613169</v>
      </c>
      <c r="L21" s="32">
        <f>IF(J21-InputData!$C$158-InputData!$C$159&gt;=0,J21-InputData!$C$158-InputData!$C$159,0)</f>
        <v>93938.896710946457</v>
      </c>
      <c r="M21" s="32">
        <f>IF(J21-IF(J21&lt;=InputData!$C$146,InputData!$C$145,0)-MAX(InputData!$C$144,S21)&gt;=0,J21-IF(J21&lt;=InputData!$C$146,InputData!$C$145,0)-MAX(InputData!$C$144,S21),0)</f>
        <v>83938.896710946457</v>
      </c>
      <c r="N21" s="32">
        <f>IF(M21&lt;0,"Error",IF(M21&lt;=InputData!$B$170,InputData!$C$170*M21,IF(M21&lt;=InputData!$B$171,InputData!$D$170+InputData!$C$171*(M21-InputData!$B$170),IF(M21&lt;=InputData!$B$172,InputData!$D$171+InputData!$C$172*(M21-InputData!$B$171),IF(M21&lt;=InputData!$B$173,InputData!$D$172+InputData!$C$173*(M21-InputData!$B$172),IF(M21&lt;=InputData!$B$174,InputData!$D$173+InputData!$C$174*(M21-InputData!$B$173),IF(M21&lt;=InputData!$B$175,InputData!$D$174+InputData!$C$175*(M21-InputData!$B$174),InputData!$D$175+InputData!$C$176*(M21-InputData!$B$175))))))))</f>
        <v>16913.474177736614</v>
      </c>
      <c r="O21" s="32">
        <f>IF(J21&lt;=InputData!$C$150,InputData!$C$152,IF(J21&lt;InputData!$C$151,IF(InputData!$C$152-0.25*IF(J21-InputData!$C$150&lt;=0,0,J21-InputData!$C$150)&lt;=0,0,InputData!$C$152-0.25*IF(J21-InputData!$C$150&lt;=0,0,J21-InputData!$C$150)),0))</f>
        <v>51900</v>
      </c>
      <c r="P21" s="32">
        <f>IF(J21-O21&lt;=0,0,IF(J21-O21&lt;=InputData!$C$153,InputData!$C$154*(J21-O21),InputData!$C$155*(J21-O21)-InputData!$D$154))</f>
        <v>10930.11314484608</v>
      </c>
      <c r="Q21" s="32">
        <f t="shared" si="18"/>
        <v>16913.474177736614</v>
      </c>
      <c r="R21" s="32">
        <f>IF(J21&gt;=0,IF(J21&lt;=InputData!$C$148,InputData!$C$147*J21,InputData!$C$147*InputData!$C$148)+InputData!$C$149*J21,0)</f>
        <v>7186.3255983874042</v>
      </c>
      <c r="S21" s="32">
        <f>IF(L21&lt;0,0,IF(L21&lt;=InputData!$B$163,InputData!$C$163*L21,IF(L21&lt;=InputData!$B$164,InputData!$D$163+InputData!$C$164*(L21-InputData!$B$163),IF(L21&lt;=InputData!$B$165,InputData!$D$164+InputData!$C$165*(L21-InputData!$B$164),InputData!$D$165+InputData!$C$166*(L21-InputData!$B$165)))))</f>
        <v>0</v>
      </c>
      <c r="T21" s="43">
        <f t="shared" si="19"/>
        <v>0.2565476136075987</v>
      </c>
      <c r="U21" s="43">
        <f t="shared" si="20"/>
        <v>0.2152991969111861</v>
      </c>
      <c r="V21" s="5">
        <f t="shared" si="21"/>
        <v>87836.520107435616</v>
      </c>
      <c r="W21" s="32">
        <f>V21/((1+InputData!$C$7)^(Ortho!$B21-Ortho!$B$7))</f>
        <v>58070.287444170863</v>
      </c>
      <c r="X21" s="5">
        <f t="shared" si="104"/>
        <v>826352.17485501105</v>
      </c>
      <c r="Y21" s="53"/>
      <c r="Z21" s="3">
        <v>11</v>
      </c>
      <c r="AA21" s="97" t="s">
        <v>262</v>
      </c>
      <c r="AB21" s="5">
        <f t="shared" si="126"/>
        <v>78332.399999999994</v>
      </c>
      <c r="AC21" s="32">
        <f>G21+InputData!$D$61+InputData!$J$61</f>
        <v>207832.24</v>
      </c>
      <c r="AD21" s="32">
        <f t="shared" si="174"/>
        <v>20659.199999999997</v>
      </c>
      <c r="AE21" s="32">
        <f t="shared" si="22"/>
        <v>228491.44</v>
      </c>
      <c r="AF21" s="5">
        <f>AC21*((1+InputData!$C$5)/(1+InputData!$C$3))^(Ortho!$B21-Ortho!$B$7)</f>
        <v>181054.67647305329</v>
      </c>
      <c r="AG21" s="5">
        <f>AD21*((1+InputData!$C$5)/(1+InputData!$C$3))^(Ortho!$B21-Ortho!$B$7)</f>
        <v>17997.423172613169</v>
      </c>
      <c r="AH21" s="32">
        <f>IF(AF21-InputData!$C$158-InputData!$C$159&gt;=0,AF21-InputData!$C$158-InputData!$C$159,0)</f>
        <v>181054.67647305329</v>
      </c>
      <c r="AI21" s="32">
        <f>IF(AF21-IF(AF21&lt;=InputData!$C$146,InputData!$C$145,0)-MAX(InputData!$C$144,AO21)&gt;=0,AF21-IF(AF21&lt;=InputData!$C$146,InputData!$C$145,0)-MAX(InputData!$C$144,AO21),0)</f>
        <v>174954.67647305329</v>
      </c>
      <c r="AJ21" s="32">
        <f>IF(AI21&lt;0,"Error",IF(AI21&lt;=InputData!$B$170,InputData!$C$170*AI21,IF(AI21&lt;=InputData!$B$171,InputData!$D$170+InputData!$C$171*(AI21-InputData!$B$170),IF(AI21&lt;=InputData!$B$172,InputData!$D$171+InputData!$C$172*(AI21-InputData!$B$171),IF(AI21&lt;=InputData!$B$173,InputData!$D$172+InputData!$C$173*(AI21-InputData!$B$172),IF(AI21&lt;=InputData!$B$174,InputData!$D$173+InputData!$C$174*(AI21-InputData!$B$173),IF(AI21&lt;=InputData!$B$175,InputData!$D$174+InputData!$C$175*(AI21-InputData!$B$174),InputData!$D$175+InputData!$C$176*(AI21-InputData!$B$175))))))))</f>
        <v>42280.559412454924</v>
      </c>
      <c r="AK21" s="32">
        <f>IF(AF21&lt;=InputData!$C$150,InputData!$C$152,IF(AF21&lt;InputData!$C$151,IF(InputData!$C$152-0.25*IF(AF21-InputData!$C$150&lt;=0,0,AF21-InputData!$C$150)&lt;=0,0,InputData!$C$152-0.25*IF(AF21-InputData!$C$150&lt;=0,0,AF21-InputData!$C$150)),0))</f>
        <v>35486.330881736678</v>
      </c>
      <c r="AL21" s="32">
        <f>IF(AF21-AK21&lt;=0,0,IF(AF21-AK21&lt;=InputData!$C$153,InputData!$C$154*(AF21-AK21),InputData!$C$155*(AF21-AK21)-InputData!$D$154))</f>
        <v>37847.76985374232</v>
      </c>
      <c r="AM21" s="32">
        <f t="shared" si="23"/>
        <v>42280.559412454924</v>
      </c>
      <c r="AN21" s="32">
        <f>IF(AF21&gt;=0,IF(AF21&lt;=InputData!$C$148,InputData!$C$147*AF21,InputData!$C$147*InputData!$C$148)+InputData!$C$149*AF21,0)</f>
        <v>9674.6928088592722</v>
      </c>
      <c r="AO21" s="32">
        <f>IF(AH21&lt;0,0,IF(AH21&lt;=InputData!$B$163,InputData!$C$163*AH21,IF(AH21&lt;=InputData!$B$164,InputData!$D$163+InputData!$C$164*(AH21-InputData!$B$163),IF(AH21&lt;=InputData!$B$165,InputData!$D$164+InputData!$C$165*(AH21-InputData!$B$164),InputData!$D$165+InputData!$C$166*(AH21-InputData!$B$165)))))</f>
        <v>0</v>
      </c>
      <c r="AP21" s="43">
        <f t="shared" si="24"/>
        <v>0.28695890784708228</v>
      </c>
      <c r="AQ21" s="43">
        <f t="shared" si="25"/>
        <v>0.26101333426675716</v>
      </c>
      <c r="AR21" s="5">
        <f t="shared" si="26"/>
        <v>147096.84742435225</v>
      </c>
      <c r="AS21" s="32">
        <f>AR21/((1+InputData!$C$7)^(Ortho!$B21-Ortho!$B$7))</f>
        <v>97248.345012023972</v>
      </c>
      <c r="AT21" s="5">
        <f t="shared" si="105"/>
        <v>814088.82472675224</v>
      </c>
      <c r="AU21" s="53"/>
      <c r="AV21" s="41" t="s">
        <v>109</v>
      </c>
      <c r="AW21" s="32">
        <f>$AW$17*(1+InputData!$C$3+InputData!$C$4)^(Ortho!$B21-Ortho!$B$17)</f>
        <v>561170.92402856098</v>
      </c>
      <c r="AX21" s="32">
        <v>0</v>
      </c>
      <c r="AY21" s="32">
        <f t="shared" si="28"/>
        <v>561170.92402856098</v>
      </c>
      <c r="AZ21" s="32">
        <f>AZ20*(1+InputData!$C$8)</f>
        <v>15160.810987592406</v>
      </c>
      <c r="BA21" s="32">
        <f>AW21/((1+InputData!$C$3)^(Ortho!$B21-Ortho!$B$7))</f>
        <v>425297.42784637876</v>
      </c>
      <c r="BB21" s="32">
        <f>AX21/((1+InputData!$C$3)^(Ortho!$B21-Ortho!$B$7))</f>
        <v>0</v>
      </c>
      <c r="BC21" s="32" t="s">
        <v>141</v>
      </c>
      <c r="BD21" s="32">
        <v>0</v>
      </c>
      <c r="BE21" s="32">
        <f t="shared" si="152"/>
        <v>156202.03811843327</v>
      </c>
      <c r="BF21" s="32">
        <f>(BE21)*InputData!$C$6</f>
        <v>9700.1465671547066</v>
      </c>
      <c r="BG21" s="32">
        <f>MIN($BE$16*InputData!$C$6/(1-(1+InputData!$C$6)^(-10)), BE21+BF21)</f>
        <v>37293.894744798265</v>
      </c>
      <c r="BH21" s="32">
        <f t="shared" si="137"/>
        <v>128608.28994078971</v>
      </c>
      <c r="BI21" s="32">
        <f>BG21/((1+InputData!$C$3)^(Ortho!$B21-Ortho!$B$7))</f>
        <v>28264.111396707063</v>
      </c>
      <c r="BJ21" s="32">
        <f>IF(BA21-InputData!$C$158-InputData!$C$159&gt;=0,BA21-InputData!$C$158-InputData!$C$159,0)</f>
        <v>425297.42784637876</v>
      </c>
      <c r="BK21" s="32">
        <f>IF(BA21-IF(BA21&lt;=InputData!$C$146,InputData!$C$145,0)-MAX(InputData!$C$144,BQ21)&gt;=0,BA21-IF(BA21&lt;=InputData!$C$146,InputData!$C$145,0)-MAX(InputData!$C$144,BQ21),0)</f>
        <v>419197.42784637876</v>
      </c>
      <c r="BL21" s="32">
        <f>IF(BK21&lt;0,"Error",IF(BK21&lt;=InputData!$B$170,InputData!$C$170*BK21,IF(BK21&lt;=InputData!$B$171,InputData!$D$170+InputData!$C$171*(BK21-InputData!$B$170),IF(BK21&lt;=InputData!$B$172,InputData!$D$171+InputData!$C$172*(BK21-InputData!$B$171),IF(BK21&lt;=InputData!$B$173,InputData!$D$172+InputData!$C$173*(BK21-InputData!$B$172),IF(BK21&lt;=InputData!$B$174,InputData!$D$173+InputData!$C$174*(BK21-InputData!$B$173),IF(BK21&lt;=InputData!$B$175,InputData!$D$174+InputData!$C$175*(BK21-InputData!$B$174),InputData!$D$175+InputData!$C$176*(BK21-InputData!$B$175))))))))</f>
        <v>123765.931427166</v>
      </c>
      <c r="BM21" s="32">
        <f>IF(BA21&lt;=InputData!$C$150,InputData!$C$152,IF(BA21&lt;InputData!$C$151,IF(InputData!$C$152-0.25*IF(BA21-InputData!$C$150&lt;=0,0,BA21-InputData!$C$150)&lt;=0,0,InputData!$C$152-0.25*IF(BA21-InputData!$C$150&lt;=0,0,BA21-InputData!$C$150)),0))</f>
        <v>0</v>
      </c>
      <c r="BN21" s="32">
        <f>IF(BA21-BM21&lt;=0,0,IF(BA21-BM21&lt;=InputData!$C$153,InputData!$C$154*(BA21-BM21),InputData!$C$155*(BA21-BM21)-InputData!$D$154))</f>
        <v>115493.27979698607</v>
      </c>
      <c r="BO21" s="32">
        <f t="shared" si="29"/>
        <v>123765.931427166</v>
      </c>
      <c r="BP21" s="32">
        <f>IF(BA21&gt;=0,IF(BA21&lt;=InputData!$C$148,InputData!$C$147*BA21,InputData!$C$147*InputData!$C$148)+InputData!$C$149*BA21,0)</f>
        <v>13216.212703772493</v>
      </c>
      <c r="BQ21" s="32">
        <f>IF(BJ21&lt;0,0,IF(BJ21&lt;=InputData!$B$163,InputData!$C$163*BJ21,IF(BJ21&lt;=InputData!$B$164,InputData!$D$163+InputData!$C$164*(BJ21-InputData!$B$163),IF(BJ21&lt;=InputData!$B$165,InputData!$D$164+InputData!$C$165*(BJ21-InputData!$B$164),InputData!$D$165+InputData!$C$166*(BJ21-InputData!$B$165)))))</f>
        <v>0</v>
      </c>
      <c r="BR21" s="43">
        <f t="shared" si="30"/>
        <v>0.32208552218288433</v>
      </c>
      <c r="BS21" s="32">
        <f t="shared" si="31"/>
        <v>288315.28371544031</v>
      </c>
      <c r="BT21" s="32">
        <f t="shared" si="32"/>
        <v>260051.17231873324</v>
      </c>
      <c r="BU21" s="32">
        <f>BT21/((1+InputData!$C$7)^(Ortho!$B21-Ortho!$B$7))</f>
        <v>171924.46044392057</v>
      </c>
      <c r="BV21" s="5">
        <f t="shared" si="107"/>
        <v>1070505.3425774858</v>
      </c>
      <c r="BW21" s="5"/>
      <c r="BX21" s="32" t="s">
        <v>141</v>
      </c>
      <c r="BY21" s="5">
        <f t="shared" si="153"/>
        <v>244553.62492330646</v>
      </c>
      <c r="BZ21" s="32">
        <f>(BY21)*InputData!$C$6</f>
        <v>15186.780107737331</v>
      </c>
      <c r="CA21" s="32">
        <f>MIN($BY$16*InputData!$C$6/(1-(1+InputData!$C$6)^(-25)), BY21+BZ21)</f>
        <v>21686.214673809533</v>
      </c>
      <c r="CB21" s="32">
        <f t="shared" si="154"/>
        <v>238054.19035723427</v>
      </c>
      <c r="CC21" s="32">
        <f>CA21/((1+InputData!$C$3)^(Ortho!$B21-Ortho!$B$7))</f>
        <v>16435.440479140325</v>
      </c>
      <c r="CD21" s="5">
        <f t="shared" si="36"/>
        <v>271879.84323629999</v>
      </c>
      <c r="CE21" s="32">
        <f>CD21/((1+InputData!$C$7)^(Ortho!$B21-Ortho!$B$7))</f>
        <v>179744.6054066928</v>
      </c>
      <c r="CF21" s="5">
        <f t="shared" si="108"/>
        <v>1123777.6572803333</v>
      </c>
      <c r="CG21" s="5"/>
      <c r="CH21" s="32" t="s">
        <v>141</v>
      </c>
      <c r="CI21" s="5" t="e">
        <f t="shared" si="155"/>
        <v>#VALUE!</v>
      </c>
      <c r="CJ21" s="32" t="e">
        <f>(CI21)*InputData!$C$6</f>
        <v>#VALUE!</v>
      </c>
      <c r="CK21" s="5" t="str">
        <f t="shared" si="168"/>
        <v>DNQ</v>
      </c>
      <c r="CL21" s="32" t="e">
        <f t="shared" si="156"/>
        <v>#VALUE!</v>
      </c>
      <c r="CM21" s="32" t="e">
        <f>CK21/((1+InputData!$C$3)^(Ortho!$B21-Ortho!$B$7))</f>
        <v>#VALUE!</v>
      </c>
      <c r="CN21" s="5" t="e">
        <f t="shared" si="40"/>
        <v>#VALUE!</v>
      </c>
      <c r="CO21" s="32" t="e">
        <f>CN21/((1+InputData!$C$7)^(Ortho!$B21-Ortho!$B$7))</f>
        <v>#VALUE!</v>
      </c>
      <c r="CP21" s="5" t="e">
        <f t="shared" si="109"/>
        <v>#VALUE!</v>
      </c>
      <c r="CQ21" s="5"/>
      <c r="CR21" s="32" t="s">
        <v>141</v>
      </c>
      <c r="CS21" s="5" t="e">
        <f t="shared" si="157"/>
        <v>#VALUE!</v>
      </c>
      <c r="CT21" s="32" t="e">
        <f>(CS21)*InputData!$C$6</f>
        <v>#VALUE!</v>
      </c>
      <c r="CU21" s="32" t="str">
        <f t="shared" si="169"/>
        <v>DNQ</v>
      </c>
      <c r="CV21" s="32" t="e">
        <f t="shared" si="158"/>
        <v>#VALUE!</v>
      </c>
      <c r="CW21" s="32" t="e">
        <f>CU21/((1+InputData!$C$3)^(Ortho!$B21-Ortho!$B$7))</f>
        <v>#VALUE!</v>
      </c>
      <c r="CX21" s="5" t="e">
        <f t="shared" si="44"/>
        <v>#VALUE!</v>
      </c>
      <c r="CY21" s="32" t="e">
        <f>CX21/((1+InputData!$C$7)^(Ortho!$B21-Ortho!$B$7))</f>
        <v>#VALUE!</v>
      </c>
      <c r="CZ21" s="5" t="e">
        <f t="shared" si="110"/>
        <v>#VALUE!</v>
      </c>
      <c r="DA21" s="5"/>
      <c r="DB21" s="32" t="s">
        <v>141</v>
      </c>
      <c r="DC21" s="5">
        <f t="shared" si="138"/>
        <v>13722.050637364588</v>
      </c>
      <c r="DD21" s="5">
        <f>DC21*InputData!$C$6</f>
        <v>852.13934458034089</v>
      </c>
      <c r="DE21" s="32">
        <f t="shared" si="139"/>
        <v>14574.189981944928</v>
      </c>
      <c r="DF21" s="32">
        <f t="shared" si="140"/>
        <v>0</v>
      </c>
      <c r="DG21" s="32">
        <f>DE21/((1+InputData!$C$3)^(Ortho!$B21-Ortho!$B$7))</f>
        <v>11045.414590920915</v>
      </c>
      <c r="DH21" s="5">
        <f t="shared" si="48"/>
        <v>277269.86912451941</v>
      </c>
      <c r="DI21" s="32">
        <f>DH21/((1+InputData!$C$7)^(Ortho!$B21-Ortho!$B$7))</f>
        <v>183308.04749521799</v>
      </c>
      <c r="DJ21" s="5">
        <f t="shared" si="111"/>
        <v>1008925.9006590984</v>
      </c>
      <c r="DK21" s="5"/>
      <c r="DL21" s="32" t="s">
        <v>141</v>
      </c>
      <c r="DM21" s="32">
        <f t="shared" si="159"/>
        <v>159878.69262901688</v>
      </c>
      <c r="DN21" s="5">
        <f>DM21*InputData!$C$6</f>
        <v>9928.4668122619478</v>
      </c>
      <c r="DO21" s="32">
        <f t="shared" si="160"/>
        <v>0</v>
      </c>
      <c r="DP21" s="32">
        <f t="shared" si="123"/>
        <v>29148.379963889372</v>
      </c>
      <c r="DQ21" s="32">
        <f t="shared" si="124"/>
        <v>140658.77947738947</v>
      </c>
      <c r="DR21" s="32">
        <f>DP21/((1+InputData!$C$3)^(Ortho!$B21-Ortho!$B$7))</f>
        <v>22090.829181841462</v>
      </c>
      <c r="DS21" s="5">
        <f t="shared" si="52"/>
        <v>266224.45453359885</v>
      </c>
      <c r="DT21" s="32">
        <f>DS21/((1+InputData!$C$7)^(Ortho!$B21-Ortho!$B$7))</f>
        <v>176005.72723651162</v>
      </c>
      <c r="DU21" s="5">
        <f t="shared" si="113"/>
        <v>1075077.6853632189</v>
      </c>
      <c r="DV21" s="5"/>
      <c r="DW21" s="32" t="s">
        <v>141</v>
      </c>
      <c r="DX21" s="133">
        <f t="shared" si="141"/>
        <v>172475.29237299919</v>
      </c>
      <c r="DY21" s="5">
        <f>DX21*InputData!$C$6</f>
        <v>10710.715656363251</v>
      </c>
      <c r="DZ21" s="133">
        <f t="shared" si="142"/>
        <v>0</v>
      </c>
      <c r="EA21" s="32">
        <f t="shared" si="143"/>
        <v>29148.379963889372</v>
      </c>
      <c r="EB21" s="32">
        <f t="shared" si="144"/>
        <v>154037.62806547308</v>
      </c>
      <c r="EC21" s="32">
        <f>EA21/((1+InputData!$C$3)^(Ortho!$B21-Ortho!$B$7))</f>
        <v>22090.829181841462</v>
      </c>
      <c r="ED21" s="5">
        <f t="shared" si="56"/>
        <v>266224.45453359885</v>
      </c>
      <c r="EE21" s="32">
        <f>ED21/((1+InputData!$C$7)^(Ortho!$B21-Ortho!$B$7))</f>
        <v>176005.72723651162</v>
      </c>
      <c r="EF21" s="5">
        <f t="shared" si="115"/>
        <v>1082821.0262868665</v>
      </c>
      <c r="EG21" s="32"/>
      <c r="EH21" s="130" t="s">
        <v>141</v>
      </c>
      <c r="EI21" s="32">
        <v>0</v>
      </c>
      <c r="EJ21" s="32">
        <f t="shared" si="173"/>
        <v>156084.29113967187</v>
      </c>
      <c r="EK21" s="32">
        <f>(EJ21)*InputData!$C$6</f>
        <v>9692.8344797736227</v>
      </c>
      <c r="EL21" s="32">
        <f t="shared" si="172"/>
        <v>128511.34346194335</v>
      </c>
      <c r="EM21" s="32">
        <f>EM20*(1+InputData!$C$8)</f>
        <v>15160.810987592406</v>
      </c>
      <c r="EN21" s="32">
        <f t="shared" si="170"/>
        <v>37265.782157502101</v>
      </c>
      <c r="EO21" s="32">
        <f>AW21/((1+InputData!$C$3)^(Ortho!$B21-Ortho!$B$7))</f>
        <v>425297.42784637876</v>
      </c>
      <c r="EP21" s="32">
        <f>AX21/((1+InputData!$C$3)^(Ortho!$B21-Ortho!$B$7))</f>
        <v>0</v>
      </c>
      <c r="EQ21" s="32">
        <v>89397.31</v>
      </c>
      <c r="ER21" s="32">
        <v>10474.469999999999</v>
      </c>
      <c r="ES21" s="32">
        <v>0</v>
      </c>
      <c r="ET21" s="43">
        <f t="shared" si="129"/>
        <v>0.23482808373831637</v>
      </c>
      <c r="EU21" s="32">
        <f t="shared" si="57"/>
        <v>325425.64784637879</v>
      </c>
      <c r="EV21" s="32">
        <f>EN21/((1+InputData!$C$3)^(Ortho!$B21-Ortho!$B$7))</f>
        <v>28242.805568918742</v>
      </c>
      <c r="EW21" s="32">
        <f t="shared" si="58"/>
        <v>297182.84227746003</v>
      </c>
      <c r="EX21" s="32">
        <f>EW21/((1+InputData!$C$7)^(Ortho!$B21-Ortho!$B$7))</f>
        <v>196472.86861341516</v>
      </c>
      <c r="EY21" s="5">
        <f t="shared" si="117"/>
        <v>1288163.2420110027</v>
      </c>
      <c r="EZ21" s="79"/>
      <c r="FA21" s="32">
        <f t="shared" si="161"/>
        <v>156084.29113967184</v>
      </c>
      <c r="FB21" s="32">
        <f>FA21*InputData!$C$6</f>
        <v>9692.8344797736208</v>
      </c>
      <c r="FC21" s="32">
        <f t="shared" si="162"/>
        <v>128511.34346194335</v>
      </c>
      <c r="FD21" s="32">
        <f>MIN($EJ$16*InputData!$C$6/(1-(1+InputData!$C$6)^(-10)), FA21+FB21)</f>
        <v>37265.782157502101</v>
      </c>
      <c r="FE21" s="32">
        <f>FD21/((1+InputData!$C$3)^(Ortho!$B21-Ortho!$B$7))</f>
        <v>28242.805568918742</v>
      </c>
      <c r="FF21" s="5">
        <f t="shared" si="62"/>
        <v>297182.84227746003</v>
      </c>
      <c r="FG21" s="32">
        <f>FF21/((1+InputData!$C$7)^(Ortho!$B21-Ortho!$B$7))</f>
        <v>196472.86861341516</v>
      </c>
      <c r="FH21" s="5">
        <f t="shared" si="118"/>
        <v>1288163.2420110027</v>
      </c>
      <c r="FI21" s="79"/>
      <c r="FJ21" s="32">
        <f t="shared" si="163"/>
        <v>244369.27745366571</v>
      </c>
      <c r="FK21" s="32">
        <f>FJ21*InputData!$C$6</f>
        <v>15175.332129872641</v>
      </c>
      <c r="FL21" s="32">
        <f t="shared" si="164"/>
        <v>237874.74223969562</v>
      </c>
      <c r="FM21" s="32">
        <f>MIN($EJ$16*InputData!$C$6/(1-(1+InputData!$C$6)^(-25)), FJ21+FK21)</f>
        <v>21669.867343842721</v>
      </c>
      <c r="FN21" s="32">
        <f>FM21/((1+InputData!$C$3)^(Ortho!$B21-Ortho!$B$7))</f>
        <v>16423.051246039773</v>
      </c>
      <c r="FO21" s="5">
        <f t="shared" si="66"/>
        <v>309002.59660033905</v>
      </c>
      <c r="FP21" s="32">
        <f>FO21/((1+InputData!$C$7)^(Ortho!$B21-Ortho!$B$7))</f>
        <v>204287.1186566721</v>
      </c>
      <c r="FQ21" s="5">
        <f t="shared" si="119"/>
        <v>1341395.39940103</v>
      </c>
      <c r="FR21" s="79"/>
      <c r="FS21" s="32">
        <f t="shared" si="165"/>
        <v>156084.29113967184</v>
      </c>
      <c r="FT21" s="32">
        <f>FS21*InputData!$C$6</f>
        <v>9692.8344797736208</v>
      </c>
      <c r="FU21" s="32">
        <f t="shared" si="166"/>
        <v>128511.34346194335</v>
      </c>
      <c r="FV21" s="5">
        <f t="shared" si="171"/>
        <v>37265.782157502101</v>
      </c>
      <c r="FW21" s="32">
        <f>FV21/((1+InputData!$C$3)^(Ortho!$B21-Ortho!$B$7))</f>
        <v>28242.805568918742</v>
      </c>
      <c r="FX21" s="5">
        <f t="shared" si="70"/>
        <v>297182.84227746003</v>
      </c>
      <c r="FY21" s="32">
        <f>FX21/((1+InputData!$C$7)^(Ortho!$B21-Ortho!$B$7))</f>
        <v>196472.86861341516</v>
      </c>
      <c r="FZ21" s="5">
        <f t="shared" si="120"/>
        <v>1288163.2420110027</v>
      </c>
      <c r="GC21" s="3">
        <f t="shared" si="3"/>
        <v>11</v>
      </c>
      <c r="GD21" s="4" t="str">
        <f t="shared" si="145"/>
        <v>Service (O4&gt;10 = (BP+BAH+BAS+VSP+BCPSP)*12+ASP)</v>
      </c>
      <c r="GE21" s="5">
        <f t="shared" si="146"/>
        <v>107832.23999999999</v>
      </c>
      <c r="GF21" s="5">
        <f t="shared" si="147"/>
        <v>20659.199999999997</v>
      </c>
      <c r="GG21" s="5">
        <f t="shared" si="148"/>
        <v>128491.43999999999</v>
      </c>
      <c r="GH21" s="5">
        <f t="shared" si="149"/>
        <v>93938.896710946457</v>
      </c>
      <c r="GI21" s="5">
        <f t="shared" si="150"/>
        <v>17997.423172613169</v>
      </c>
      <c r="GJ21" s="32">
        <f>IF(GH21-InputData!$C$158-InputData!$C$159&gt;=0,GH21-InputData!$C$158-InputData!$C$159,0)</f>
        <v>93938.896710946457</v>
      </c>
      <c r="GK21" s="32">
        <f>IF(GH21-IF(GH21&lt;=InputData!$C$146,InputData!$C$145,0)-MAX(InputData!$C$144,GQ21)&gt;=0,GH21-IF(GH21&lt;=InputData!$C$146,InputData!$C$145,0)-MAX(InputData!$C$144,GQ21),0)</f>
        <v>83938.896710946457</v>
      </c>
      <c r="GL21" s="32">
        <f>IF(GK21&lt;0,"Error",IF(GK21&lt;=InputData!$B$170,InputData!$C$170*GK21,IF(GK21&lt;=InputData!$B$171,InputData!$D$170+InputData!$C$171*(GK21-InputData!$B$170),IF(GK21&lt;=InputData!$B$172,InputData!$D$171+InputData!$C$172*(GK21-InputData!$B$171),IF(GK21&lt;=InputData!$B$173,InputData!$D$172+InputData!$C$173*(GK21-InputData!$B$172),IF(GK21&lt;=InputData!$B$174,InputData!$D$173+InputData!$C$174*(GK21-InputData!$B$173),IF(GK21&lt;=InputData!$B$175,InputData!$D$174+InputData!$C$175*(GK21-InputData!$B$174),InputData!$D$175+InputData!$C$176*(GK21-InputData!$B$175))))))))</f>
        <v>16913.474177736614</v>
      </c>
      <c r="GM21" s="32">
        <f>IF(GH21&lt;=InputData!$C$150,InputData!$C$152,IF(GH21&lt;InputData!$C$151,IF(InputData!$C$152-0.25*IF(GH21-InputData!$C$150&lt;=0,0,GH21-InputData!$C$150)&lt;=0,0,InputData!$C$152-0.25*IF(GH21-InputData!$C$150&lt;=0,0,GH21-InputData!$C$150)),0))</f>
        <v>51900</v>
      </c>
      <c r="GN21" s="32">
        <f>IF(GH21-GM21&lt;=0,0,IF(GH21-GM21&lt;=InputData!$C$153,InputData!$C$154*(GH21-GM21),InputData!$C$155*(GH21-GM21)-InputData!$D$154))</f>
        <v>10930.11314484608</v>
      </c>
      <c r="GO21" s="32">
        <f t="shared" si="71"/>
        <v>16913.474177736614</v>
      </c>
      <c r="GP21" s="32">
        <f>IF(GH21&gt;=0,IF(GH21&lt;=InputData!$C$148,InputData!$C$147*GH21,InputData!$C$147*InputData!$C$148)+InputData!$C$149*GH21,0)</f>
        <v>7186.3255983874042</v>
      </c>
      <c r="GQ21" s="32">
        <f>IF(GJ21&lt;0,0,IF(GJ21&lt;=InputData!$B$163,InputData!$C$163*GJ21,IF(GJ21&lt;=InputData!$B$164,InputData!$D$163+InputData!$C$164*(GJ21-InputData!$B$163),IF(GJ21&lt;=InputData!$B$165,InputData!$D$164+InputData!$C$165*(GJ21-InputData!$B$164),InputData!$D$165+InputData!$C$166*(GJ21-InputData!$B$165)))))</f>
        <v>0</v>
      </c>
      <c r="GR21" s="43">
        <f t="shared" si="72"/>
        <v>0.2565476136075987</v>
      </c>
      <c r="GS21" s="43">
        <f t="shared" si="73"/>
        <v>0.2152991969111861</v>
      </c>
      <c r="GT21" s="5">
        <f t="shared" si="74"/>
        <v>87836.520107435616</v>
      </c>
      <c r="GU21" s="32">
        <f>GT21/((1+InputData!$C$7)^(Ortho!$B21-Ortho!$B$7))</f>
        <v>58070.287444170863</v>
      </c>
      <c r="GV21" s="32">
        <f t="shared" si="75"/>
        <v>826352.17485501105</v>
      </c>
      <c r="GX21" s="3">
        <f t="shared" si="130"/>
        <v>11</v>
      </c>
      <c r="GY21" s="122" t="str">
        <f t="shared" si="131"/>
        <v>Multi-Year (O4&gt;10 = (BP+BAH+BAS+VSP+BCPSP)*12+ASP+ISP+MSP)</v>
      </c>
      <c r="GZ21" s="5">
        <f t="shared" si="132"/>
        <v>207832.24</v>
      </c>
      <c r="HA21" s="5">
        <f t="shared" si="133"/>
        <v>20659.199999999997</v>
      </c>
      <c r="HB21" s="5">
        <f t="shared" si="134"/>
        <v>228491.44</v>
      </c>
      <c r="HC21" s="5">
        <f t="shared" si="135"/>
        <v>181054.67647305329</v>
      </c>
      <c r="HD21" s="5">
        <f t="shared" si="136"/>
        <v>17997.423172613169</v>
      </c>
      <c r="HE21" s="32">
        <f>IF(HC21-InputData!$C$158-InputData!$C$159&gt;=0,HC21-InputData!$C$158-InputData!$C$159,0)</f>
        <v>181054.67647305329</v>
      </c>
      <c r="HF21" s="32">
        <f>IF(HC21-IF(HC21&lt;=InputData!$C$146,InputData!$C$145,0)-MAX(InputData!$C$144,HL21)&gt;=0,HC21-IF(HC21&lt;=InputData!$C$146,InputData!$C$145,0)-MAX(InputData!$C$144,HL21),0)</f>
        <v>174954.67647305329</v>
      </c>
      <c r="HG21" s="32">
        <f>IF(HF21&lt;0,"Error",IF(HF21&lt;=InputData!$B$170,InputData!$C$170*HF21,IF(HF21&lt;=InputData!$B$171,InputData!$D$170+InputData!$C$171*(HF21-InputData!$B$170),IF(HF21&lt;=InputData!$B$172,InputData!$D$171+InputData!$C$172*(HF21-InputData!$B$171),IF(HF21&lt;=InputData!$B$173,InputData!$D$172+InputData!$C$173*(HF21-InputData!$B$172),IF(HF21&lt;=InputData!$B$174,InputData!$D$173+InputData!$C$174*(HF21-InputData!$B$173),IF(HF21&lt;=InputData!$B$175,InputData!$D$174+InputData!$C$175*(HF21-InputData!$B$174),InputData!$D$175+InputData!$C$176*(HF21-InputData!$B$175))))))))</f>
        <v>42280.559412454924</v>
      </c>
      <c r="HH21" s="32">
        <f>IF(HC21&lt;=InputData!$C$150,InputData!$C$152,IF(HC21&lt;InputData!$C$151,IF(InputData!$C$152-0.25*IF(HC21-InputData!$C$150&lt;=0,0,HC21-InputData!$C$150)&lt;=0,0,InputData!$C$152-0.25*IF(HC21-InputData!$C$150&lt;=0,0,HC21-InputData!$C$150)),0))</f>
        <v>35486.330881736678</v>
      </c>
      <c r="HI21" s="32">
        <f>IF(HC21-HH21&lt;=0,0,IF(HC21-HH21&lt;=InputData!$C$153,InputData!$C$154*(HC21-HH21),InputData!$C$155*(HC21-HH21)-InputData!$D$154))</f>
        <v>37847.76985374232</v>
      </c>
      <c r="HJ21" s="32">
        <f t="shared" si="76"/>
        <v>42280.559412454924</v>
      </c>
      <c r="HK21" s="32">
        <f>IF(HC21&gt;=0,IF(HC21&lt;=InputData!$C$148,InputData!$C$147*HC21,InputData!$C$147*InputData!$C$148)+InputData!$C$149*HC21,0)</f>
        <v>9674.6928088592722</v>
      </c>
      <c r="HL21" s="32">
        <f>IF(HE21&lt;0,0,IF(HE21&lt;=InputData!$B$163,InputData!$C$163*HE21,IF(HE21&lt;=InputData!$B$164,InputData!$D$163+InputData!$C$164*(HE21-InputData!$B$163),IF(HE21&lt;=InputData!$B$165,InputData!$D$164+InputData!$C$165*(HE21-InputData!$B$164),InputData!$D$165+InputData!$C$166*(HE21-InputData!$B$165)))))</f>
        <v>0</v>
      </c>
      <c r="HM21" s="43">
        <f t="shared" si="77"/>
        <v>0.28695890784708228</v>
      </c>
      <c r="HN21" s="43">
        <f t="shared" si="78"/>
        <v>0.26101333426675716</v>
      </c>
      <c r="HO21" s="5">
        <f t="shared" si="79"/>
        <v>147096.84742435225</v>
      </c>
      <c r="HP21" s="32">
        <f>HO21/((1+InputData!$C$7)^(Ortho!$B21-Ortho!$B$7))</f>
        <v>97248.345012023972</v>
      </c>
      <c r="HQ21" s="32">
        <f t="shared" si="80"/>
        <v>814088.82472675224</v>
      </c>
      <c r="HS21" s="93">
        <f t="shared" si="81"/>
        <v>11</v>
      </c>
      <c r="HT21" s="5" t="str">
        <f t="shared" si="82"/>
        <v>Service (O4&gt;10 = (BP+BAH+BAS+VSP+BCPSP)*12+ASP)</v>
      </c>
      <c r="HU21" s="5">
        <f t="shared" si="83"/>
        <v>107832.23999999999</v>
      </c>
      <c r="HV21" s="5">
        <f t="shared" si="84"/>
        <v>20659.199999999997</v>
      </c>
      <c r="HW21" s="5">
        <f t="shared" si="85"/>
        <v>128491.43999999999</v>
      </c>
      <c r="HX21" s="5">
        <f t="shared" si="86"/>
        <v>93938.896710946457</v>
      </c>
      <c r="HY21" s="5">
        <f t="shared" si="87"/>
        <v>17997.423172613169</v>
      </c>
      <c r="HZ21" s="32">
        <f>IF(HX21-InputData!$C$158-InputData!$C$159&gt;=0,HX21-InputData!$C$158-InputData!$C$159,0)</f>
        <v>93938.896710946457</v>
      </c>
      <c r="IA21" s="32">
        <f>IF(HX21-IF(HX21&lt;=InputData!$C$146,InputData!$C$145,0)-MAX(InputData!$C$144,IG21)&gt;=0,HX21-IF(HX21&lt;=InputData!$C$146,InputData!$C$145,0)-MAX(InputData!$C$144,IG21),0)</f>
        <v>83938.896710946457</v>
      </c>
      <c r="IB21" s="32">
        <f>IF(IA21&lt;0,"Error",IF(IA21&lt;=InputData!$B$170,InputData!$C$170*IA21,IF(IA21&lt;=InputData!$B$171,InputData!$D$170+InputData!$C$171*(IA21-InputData!$B$170),IF(IA21&lt;=InputData!$B$172,InputData!$D$171+InputData!$C$172*(IA21-InputData!$B$171),IF(IA21&lt;=InputData!$B$173,InputData!$D$172+InputData!$C$173*(IA21-InputData!$B$172),IF(IA21&lt;=InputData!$B$174,InputData!$D$173+InputData!$C$174*(IA21-InputData!$B$173),IF(IA21&lt;=InputData!$B$175,InputData!$D$174+InputData!$C$175*(IA21-InputData!$B$174),InputData!$D$175+InputData!$C$176*(IA21-InputData!$B$175))))))))</f>
        <v>16913.474177736614</v>
      </c>
      <c r="IC21" s="32">
        <f>IF(HX21&lt;=InputData!$C$150,InputData!$C$152,IF(HX21&lt;InputData!$C$151,IF(InputData!$C$152-0.25*IF(HX21-InputData!$C$150&lt;=0,0,HX21-InputData!$C$150)&lt;=0,0,InputData!$C$152-0.25*IF(HX21-InputData!$C$150&lt;=0,0,HX21-InputData!$C$150)),0))</f>
        <v>51900</v>
      </c>
      <c r="ID21" s="32">
        <f>IF(HX21-IC21&lt;=0,0,IF(HX21-IC21&lt;=InputData!$C$153,InputData!$C$154*(HX21-IC21),InputData!$C$155*(HX21-IC21)-InputData!$D$154))</f>
        <v>10930.11314484608</v>
      </c>
      <c r="IE21" s="32">
        <f t="shared" si="88"/>
        <v>16913.474177736614</v>
      </c>
      <c r="IF21" s="32">
        <f>IF(HX21&gt;=0,IF(HX21&lt;=InputData!$C$148,InputData!$C$147*HX21,InputData!$C$147*InputData!$C$148)+InputData!$C$149*HX21,0)</f>
        <v>7186.3255983874042</v>
      </c>
      <c r="IG21" s="32">
        <f>IF(HZ21&lt;0,0,IF(HZ21&lt;=InputData!$B$163,InputData!$C$163*HZ21,IF(HZ21&lt;=InputData!$B$164,InputData!$D$163+InputData!$C$164*(HZ21-InputData!$B$163),IF(HZ21&lt;=InputData!$B$165,InputData!$D$164+InputData!$C$165*(HZ21-InputData!$B$164),InputData!$D$165+InputData!$C$166*(HZ21-InputData!$B$165)))))</f>
        <v>0</v>
      </c>
      <c r="IH21" s="43">
        <f t="shared" si="89"/>
        <v>0.2565476136075987</v>
      </c>
      <c r="II21" s="43">
        <f t="shared" si="90"/>
        <v>0.2152991969111861</v>
      </c>
      <c r="IJ21" s="5">
        <f t="shared" si="91"/>
        <v>87836.520107435616</v>
      </c>
      <c r="IK21" s="32">
        <f>IJ21/((1+InputData!$C$7)^(Ortho!$B21-Ortho!$B$7))</f>
        <v>58070.287444170863</v>
      </c>
      <c r="IL21" s="5">
        <f t="shared" si="92"/>
        <v>826352.17485501105</v>
      </c>
      <c r="IN21" s="227"/>
      <c r="IO21" s="53" t="s">
        <v>109</v>
      </c>
      <c r="IP21" s="32">
        <f>MIN(InputData!$C$13+InputData!$E$13*($B21-$B$20),1)*Ortho!AW21</f>
        <v>505053.83162570489</v>
      </c>
      <c r="IQ21" s="32">
        <f>MIN(InputData!$C$13+InputData!$E$13*($B21-$B$20),1)*Ortho!AX21</f>
        <v>0</v>
      </c>
      <c r="IR21" s="32">
        <f>MIN(InputData!$C$13+InputData!$E$13*($B21-$B$20),1)*Ortho!AY21</f>
        <v>505053.83162570489</v>
      </c>
      <c r="IS21" s="32">
        <f>MIN(InputData!$C$13+InputData!$E$13*($B21-$B$20),1)*Ortho!EO21</f>
        <v>382767.68506174092</v>
      </c>
      <c r="IT21" s="32">
        <f>MIN(InputData!$C$13+InputData!$E$13*($B21-$B$20),1)*Ortho!EP21</f>
        <v>0</v>
      </c>
      <c r="IU21" s="32">
        <f>IF(IS21-InputData!$C$158-InputData!$C$159&gt;=0,IS21-InputData!$C$158-InputData!$C$159,0)</f>
        <v>382767.68506174092</v>
      </c>
      <c r="IV21" s="32">
        <f>IF(IS21-IF(IS21&lt;=InputData!$C$146,InputData!$C$145,0)-MAX(InputData!$C$144,JB21)&gt;=0,IS21-IF(IS21&lt;=InputData!$C$146,InputData!$C$145,0)-MAX(InputData!$C$144,JB21),0)</f>
        <v>376667.68506174092</v>
      </c>
      <c r="IW21" s="32">
        <f>IF(IV21&lt;0,"Error",IF(IV21&lt;=InputData!$B$170,InputData!$C$170*IV21,IF(IV21&lt;=InputData!$B$171,InputData!$D$170+InputData!$C$171*(IV21-InputData!$B$170),IF(IV21&lt;=InputData!$B$172,InputData!$D$171+InputData!$C$172*(IV21-InputData!$B$171),IF(IV21&lt;=InputData!$B$173,InputData!$D$172+InputData!$C$173*(IV21-InputData!$B$172),IF(IV21&lt;=InputData!$B$174,InputData!$D$173+InputData!$C$174*(IV21-InputData!$B$173),IF(IV21&lt;=InputData!$B$175,InputData!$D$174+InputData!$C$175*(IV21-InputData!$B$174),InputData!$D$175+InputData!$C$176*(IV21-InputData!$B$175))))))))</f>
        <v>108431.0860703745</v>
      </c>
      <c r="IX21" s="32">
        <f>IF(IS21&lt;=InputData!$C$150,InputData!$C$152,IF(IS21&lt;InputData!$C$151,IF(InputData!$C$152-0.25*IF(IS21-InputData!$C$150&lt;=0,0,IS21-InputData!$C$150)&lt;=0,0,InputData!$C$152-0.25*IF(IS21-InputData!$C$150&lt;=0,0,IS21-InputData!$C$150)),0))</f>
        <v>0</v>
      </c>
      <c r="IY21" s="32">
        <f>IF(IS21-IX21&lt;=0,0,IF(IS21-IX21&lt;=InputData!$C$153,InputData!$C$154*(IS21-IX21),InputData!$C$155*(IS21-IX21)-InputData!$D$154))</f>
        <v>103584.95181728747</v>
      </c>
      <c r="IZ21" s="32">
        <f t="shared" si="95"/>
        <v>108431.0860703745</v>
      </c>
      <c r="JA21" s="32">
        <f>IF(IS21&gt;=0,IF(IS21&lt;=InputData!$C$148,InputData!$C$147*IS21,InputData!$C$147*InputData!$C$148)+InputData!$C$149*IS21,0)</f>
        <v>12599.531433395243</v>
      </c>
      <c r="JB21" s="32">
        <f>IF(IU21&lt;0,0,IF(IU21&lt;=InputData!$B$163,InputData!$C$163*IU21,IF(IU21&lt;=InputData!$B$164,InputData!$D$163+InputData!$C$164*(IU21-InputData!$B$163),IF(IU21&lt;=InputData!$B$165,InputData!$D$164+InputData!$C$165*(IU21-InputData!$B$164),InputData!$D$165+InputData!$C$166*(IU21-InputData!$B$165)))))</f>
        <v>0</v>
      </c>
      <c r="JC21" s="43">
        <f t="shared" si="96"/>
        <v>0.31619862968381812</v>
      </c>
      <c r="JD21" s="43">
        <f t="shared" si="97"/>
        <v>0.31619862968381812</v>
      </c>
      <c r="JE21" s="5">
        <f t="shared" si="98"/>
        <v>261737.0675579712</v>
      </c>
      <c r="JF21" s="32">
        <f>JE21/((1+InputData!$C$7)^(Ortho!$B21-Ortho!$B$7))</f>
        <v>173039.03580532564</v>
      </c>
      <c r="JG21" s="5">
        <f t="shared" si="99"/>
        <v>967633.45788471692</v>
      </c>
      <c r="JI21" s="41" t="str">
        <f t="shared" si="13"/>
        <v>Private Practice</v>
      </c>
      <c r="JJ21" s="5">
        <f t="shared" si="14"/>
        <v>561170.92402856098</v>
      </c>
      <c r="JK21" s="32">
        <v>0</v>
      </c>
      <c r="JL21" s="32">
        <f t="shared" si="101"/>
        <v>561170.92402856098</v>
      </c>
      <c r="JM21" s="32">
        <f>JM20*(1+InputData!$C$8)</f>
        <v>15160.810987592406</v>
      </c>
      <c r="JN21" s="32">
        <f>JJ21/((1+InputData!$C$3)^(Ortho!$B21-Ortho!$B$7))</f>
        <v>425297.42784637876</v>
      </c>
      <c r="JO21" s="32">
        <f>JK21/((1+InputData!$C$3)^(Ortho!$B21-Ortho!$B$7))</f>
        <v>0</v>
      </c>
      <c r="JP21" s="32" t="s">
        <v>141</v>
      </c>
      <c r="JQ21" s="32">
        <v>0</v>
      </c>
      <c r="JR21" s="32">
        <f t="shared" si="167"/>
        <v>0</v>
      </c>
      <c r="JS21" s="32">
        <f>(JR21)*InputData!$C$6</f>
        <v>0</v>
      </c>
      <c r="JT21" s="32">
        <f>MIN($BE$16*InputData!$C$6/(1-(1+InputData!$C$6)^(-10)), JR21+JS21)</f>
        <v>0</v>
      </c>
      <c r="JU21" s="32">
        <f t="shared" si="151"/>
        <v>0</v>
      </c>
      <c r="JV21" s="32">
        <f>JT21/((1+InputData!$C$3)^(Ortho!$B21-Ortho!$B$7))</f>
        <v>0</v>
      </c>
      <c r="JW21" s="32">
        <f>IF(JN21-InputData!$C$158-InputData!$C$159&gt;=0,JN21-InputData!$C$158-InputData!$C$159,0)</f>
        <v>425297.42784637876</v>
      </c>
      <c r="JX21" s="32">
        <f>IF(JN21-IF(JN21&lt;=InputData!$C$146,InputData!$C$145,0)-MAX(InputData!$C$144,KD21)&gt;=0,JN21-IF(JN21&lt;=InputData!$C$146,InputData!$C$145,0)-MAX(InputData!$C$144,KD21),0)</f>
        <v>419197.42784637876</v>
      </c>
      <c r="JY21" s="32">
        <f>IF(JX21&lt;0,"Error",IF(JX21&lt;=InputData!$B$170,InputData!$C$170*JX21,IF(JX21&lt;=InputData!$B$171,InputData!$D$170+InputData!$C$171*(JX21-InputData!$B$170),IF(JX21&lt;=InputData!$B$172,InputData!$D$171+InputData!$C$172*(JX21-InputData!$B$171),IF(JX21&lt;=InputData!$B$173,InputData!$D$172+InputData!$C$173*(JX21-InputData!$B$172),IF(JX21&lt;=InputData!$B$174,InputData!$D$173+InputData!$C$174*(JX21-InputData!$B$173),IF(JX21&lt;=InputData!$B$175,InputData!$D$174+InputData!$C$175*(JX21-InputData!$B$174),InputData!$D$175+InputData!$C$176*(JX21-InputData!$B$175))))))))</f>
        <v>123765.931427166</v>
      </c>
      <c r="JZ21" s="32">
        <f>IF(JN21&lt;=InputData!$C$150,InputData!$C$152,IF(JN21&lt;InputData!$C$151,IF(InputData!$C$152-0.25*IF(JN21-InputData!$C$150&lt;=0,0,JN21-InputData!$C$150)&lt;=0,0,InputData!$C$152-0.25*IF(JN21-InputData!$C$150&lt;=0,0,JN21-InputData!$C$150)),0))</f>
        <v>0</v>
      </c>
      <c r="KA21" s="32">
        <f>IF(JN21-JZ21&lt;=0,0,IF(JN21-JZ21&lt;=InputData!$C$153,InputData!$C$154*(JN21-JZ21),InputData!$C$155*(JN21-JZ21)-InputData!$D$154))</f>
        <v>115493.27979698607</v>
      </c>
      <c r="KB21" s="32">
        <f t="shared" si="102"/>
        <v>123765.931427166</v>
      </c>
      <c r="KC21" s="32">
        <f>IF(JN21&gt;=0,IF(JN21&lt;=InputData!$C$148,InputData!$C$147*JN21,InputData!$C$147*InputData!$C$148)+InputData!$C$149*JN21,0)</f>
        <v>13216.212703772493</v>
      </c>
      <c r="KD21" s="32">
        <f>IF(JW21&lt;0,0,IF(JW21&lt;=InputData!$B$163,InputData!$C$163*JW21,IF(JW21&lt;=InputData!$B$164,InputData!$D$163+InputData!$C$164*(JW21-InputData!$B$163),IF(JW21&lt;=InputData!$B$165,InputData!$D$164+InputData!$C$165*(JW21-InputData!$B$164),InputData!$D$165+InputData!$C$166*(JW21-InputData!$B$165)))))</f>
        <v>0</v>
      </c>
      <c r="KE21" s="43">
        <f t="shared" si="15"/>
        <v>0.32208552218288433</v>
      </c>
      <c r="KF21" s="32">
        <f t="shared" si="16"/>
        <v>288315.28371544031</v>
      </c>
      <c r="KG21" s="32">
        <f t="shared" si="103"/>
        <v>288315.28371544031</v>
      </c>
      <c r="KH21" s="32">
        <f>KG21/((1+InputData!$C$7)^(Ortho!$B21-Ortho!$B$7))</f>
        <v>190610.3677539246</v>
      </c>
      <c r="KI21" s="5">
        <f t="shared" si="122"/>
        <v>1388664.6771034226</v>
      </c>
    </row>
    <row r="22" spans="1:295" ht="14.45" x14ac:dyDescent="0.3">
      <c r="A22" s="4">
        <v>2028</v>
      </c>
      <c r="B22" s="51">
        <v>16</v>
      </c>
      <c r="C22" s="4"/>
      <c r="D22" s="3">
        <v>12</v>
      </c>
      <c r="E22" s="46" t="s">
        <v>213</v>
      </c>
      <c r="F22" s="5">
        <f>InputData!$I$23*12</f>
        <v>78332.399999999994</v>
      </c>
      <c r="G22" s="32">
        <f>(InputData!$I$23+InputData!$G$45+InputData!$D$50)*12+InputData!$J$50</f>
        <v>107832.23999999999</v>
      </c>
      <c r="H22" s="32">
        <f>(InputData!$C$34+InputData!$C$40)*12</f>
        <v>20659.199999999997</v>
      </c>
      <c r="I22" s="32">
        <f t="shared" si="17"/>
        <v>128491.43999999999</v>
      </c>
      <c r="J22" s="32">
        <f>G22*((1+InputData!$C$5)/(1+InputData!$C$3))^(Ortho!$B22-Ortho!$B$7)</f>
        <v>93017.927135348946</v>
      </c>
      <c r="K22" s="32">
        <f>H22*((1+InputData!$C$5)/(1+InputData!$C$3))^(Ortho!$B22-Ortho!$B$7)</f>
        <v>17820.977847391474</v>
      </c>
      <c r="L22" s="32">
        <f>IF(J22-InputData!$C$158-InputData!$C$159&gt;=0,J22-InputData!$C$158-InputData!$C$159,0)</f>
        <v>93017.927135348946</v>
      </c>
      <c r="M22" s="32">
        <f>IF(J22-IF(J22&lt;=InputData!$C$146,InputData!$C$145,0)-MAX(InputData!$C$144,S22)&gt;=0,J22-IF(J22&lt;=InputData!$C$146,InputData!$C$145,0)-MAX(InputData!$C$144,S22),0)</f>
        <v>83017.927135348946</v>
      </c>
      <c r="N22" s="32">
        <f>IF(M22&lt;0,"Error",IF(M22&lt;=InputData!$B$170,InputData!$C$170*M22,IF(M22&lt;=InputData!$B$171,InputData!$D$170+InputData!$C$171*(M22-InputData!$B$170),IF(M22&lt;=InputData!$B$172,InputData!$D$171+InputData!$C$172*(M22-InputData!$B$171),IF(M22&lt;=InputData!$B$173,InputData!$D$172+InputData!$C$173*(M22-InputData!$B$172),IF(M22&lt;=InputData!$B$174,InputData!$D$173+InputData!$C$174*(M22-InputData!$B$173),IF(M22&lt;=InputData!$B$175,InputData!$D$174+InputData!$C$175*(M22-InputData!$B$174),InputData!$D$175+InputData!$C$176*(M22-InputData!$B$175))))))))</f>
        <v>16683.231783837236</v>
      </c>
      <c r="O22" s="32">
        <f>IF(J22&lt;=InputData!$C$150,InputData!$C$152,IF(J22&lt;InputData!$C$151,IF(InputData!$C$152-0.25*IF(J22-InputData!$C$150&lt;=0,0,J22-InputData!$C$150)&lt;=0,0,InputData!$C$152-0.25*IF(J22-InputData!$C$150&lt;=0,0,J22-InputData!$C$150)),0))</f>
        <v>51900</v>
      </c>
      <c r="P22" s="32">
        <f>IF(J22-O22&lt;=0,0,IF(J22-O22&lt;=InputData!$C$153,InputData!$C$154*(J22-O22),InputData!$C$155*(J22-O22)-InputData!$D$154))</f>
        <v>10690.661055190727</v>
      </c>
      <c r="Q22" s="32">
        <f t="shared" si="18"/>
        <v>16683.231783837236</v>
      </c>
      <c r="R22" s="32">
        <f>IF(J22&gt;=0,IF(J22&lt;=InputData!$C$148,InputData!$C$147*J22,InputData!$C$147*InputData!$C$148)+InputData!$C$149*J22,0)</f>
        <v>7115.871425854195</v>
      </c>
      <c r="S22" s="32">
        <f>IF(L22&lt;0,0,IF(L22&lt;=InputData!$B$163,InputData!$C$163*L22,IF(L22&lt;=InputData!$B$164,InputData!$D$163+InputData!$C$164*(L22-InputData!$B$163),IF(L22&lt;=InputData!$B$165,InputData!$D$164+InputData!$C$165*(L22-InputData!$B$164),InputData!$D$165+InputData!$C$166*(L22-InputData!$B$165)))))</f>
        <v>0</v>
      </c>
      <c r="T22" s="43">
        <f t="shared" si="19"/>
        <v>0.25585501572252545</v>
      </c>
      <c r="U22" s="43">
        <f t="shared" si="20"/>
        <v>0.21471795678058506</v>
      </c>
      <c r="V22" s="5">
        <f t="shared" si="21"/>
        <v>87039.801773048996</v>
      </c>
      <c r="W22" s="32">
        <f>V22/((1+InputData!$C$7)^(Ortho!$B22-Ortho!$B$7))</f>
        <v>55867.536667073509</v>
      </c>
      <c r="X22" s="5">
        <f t="shared" si="104"/>
        <v>882219.71152208454</v>
      </c>
      <c r="Y22" s="53"/>
      <c r="Z22" s="3">
        <v>12</v>
      </c>
      <c r="AA22" s="97" t="s">
        <v>262</v>
      </c>
      <c r="AB22" s="5">
        <f t="shared" si="126"/>
        <v>78332.399999999994</v>
      </c>
      <c r="AC22" s="32">
        <f>G22+InputData!$D$61+InputData!$J$61</f>
        <v>207832.24</v>
      </c>
      <c r="AD22" s="32">
        <f t="shared" si="174"/>
        <v>20659.199999999997</v>
      </c>
      <c r="AE22" s="32">
        <f t="shared" si="22"/>
        <v>228491.44</v>
      </c>
      <c r="AF22" s="5">
        <f>AC22*((1+InputData!$C$5)/(1+InputData!$C$3))^(Ortho!$B22-Ortho!$B$7)</f>
        <v>179279.63062527828</v>
      </c>
      <c r="AG22" s="5">
        <f>AD22*((1+InputData!$C$5)/(1+InputData!$C$3))^(Ortho!$B22-Ortho!$B$7)</f>
        <v>17820.977847391474</v>
      </c>
      <c r="AH22" s="32">
        <f>IF(AF22-InputData!$C$158-InputData!$C$159&gt;=0,AF22-InputData!$C$158-InputData!$C$159,0)</f>
        <v>179279.63062527828</v>
      </c>
      <c r="AI22" s="32">
        <f>IF(AF22-IF(AF22&lt;=InputData!$C$146,InputData!$C$145,0)-MAX(InputData!$C$144,AO22)&gt;=0,AF22-IF(AF22&lt;=InputData!$C$146,InputData!$C$145,0)-MAX(InputData!$C$144,AO22),0)</f>
        <v>173179.63062527828</v>
      </c>
      <c r="AJ22" s="32">
        <f>IF(AI22&lt;0,"Error",IF(AI22&lt;=InputData!$B$170,InputData!$C$170*AI22,IF(AI22&lt;=InputData!$B$171,InputData!$D$170+InputData!$C$171*(AI22-InputData!$B$170),IF(AI22&lt;=InputData!$B$172,InputData!$D$171+InputData!$C$172*(AI22-InputData!$B$171),IF(AI22&lt;=InputData!$B$173,InputData!$D$172+InputData!$C$173*(AI22-InputData!$B$172),IF(AI22&lt;=InputData!$B$174,InputData!$D$173+InputData!$C$174*(AI22-InputData!$B$173),IF(AI22&lt;=InputData!$B$175,InputData!$D$174+InputData!$C$175*(AI22-InputData!$B$174),InputData!$D$175+InputData!$C$176*(AI22-InputData!$B$175))))))))</f>
        <v>41783.546575077926</v>
      </c>
      <c r="AK22" s="32">
        <f>IF(AF22&lt;=InputData!$C$150,InputData!$C$152,IF(AF22&lt;InputData!$C$151,IF(InputData!$C$152-0.25*IF(AF22-InputData!$C$150&lt;=0,0,AF22-InputData!$C$150)&lt;=0,0,InputData!$C$152-0.25*IF(AF22-InputData!$C$150&lt;=0,0,AF22-InputData!$C$150)),0))</f>
        <v>35930.09234368043</v>
      </c>
      <c r="AL22" s="32">
        <f>IF(AF22-AK22&lt;=0,0,IF(AF22-AK22&lt;=InputData!$C$153,InputData!$C$154*(AF22-AK22),InputData!$C$155*(AF22-AK22)-InputData!$D$154))</f>
        <v>37270.879953215437</v>
      </c>
      <c r="AM22" s="32">
        <f t="shared" si="23"/>
        <v>41783.546575077926</v>
      </c>
      <c r="AN22" s="32">
        <f>IF(AF22&gt;=0,IF(AF22&lt;=InputData!$C$148,InputData!$C$147*AF22,InputData!$C$147*InputData!$C$148)+InputData!$C$149*AF22,0)</f>
        <v>9648.9546440665345</v>
      </c>
      <c r="AO22" s="32">
        <f>IF(AH22&lt;0,0,IF(AH22&lt;=InputData!$B$163,InputData!$C$163*AH22,IF(AH22&lt;=InputData!$B$164,InputData!$D$163+InputData!$C$164*(AH22-InputData!$B$163),IF(AH22&lt;=InputData!$B$165,InputData!$D$164+InputData!$C$165*(AH22-InputData!$B$164),InputData!$D$165+InputData!$C$166*(AH22-InputData!$B$165)))))</f>
        <v>0</v>
      </c>
      <c r="AP22" s="43">
        <f t="shared" si="24"/>
        <v>0.28688424356834058</v>
      </c>
      <c r="AQ22" s="43">
        <f t="shared" si="25"/>
        <v>0.26094542080663419</v>
      </c>
      <c r="AR22" s="5">
        <f t="shared" si="26"/>
        <v>145668.10725352529</v>
      </c>
      <c r="AS22" s="32">
        <f>AR22/((1+InputData!$C$7)^(Ortho!$B22-Ortho!$B$7))</f>
        <v>93498.814995341672</v>
      </c>
      <c r="AT22" s="5">
        <f t="shared" si="105"/>
        <v>907587.63972209394</v>
      </c>
      <c r="AU22" s="53"/>
      <c r="AV22" s="41" t="s">
        <v>109</v>
      </c>
      <c r="AW22" s="32">
        <f>$AW$17*(1+InputData!$C$3+InputData!$C$4)^(Ortho!$B22-Ortho!$B$17)</f>
        <v>578006.05174941779</v>
      </c>
      <c r="AX22" s="32">
        <v>0</v>
      </c>
      <c r="AY22" s="32">
        <f t="shared" si="28"/>
        <v>578006.05174941779</v>
      </c>
      <c r="AZ22" s="32">
        <f>AZ21*(1+InputData!$C$8)</f>
        <v>15464.027207344254</v>
      </c>
      <c r="BA22" s="32">
        <f>AW22/((1+InputData!$C$3)^(Ortho!$B22-Ortho!$B$7))</f>
        <v>429467.01047232375</v>
      </c>
      <c r="BB22" s="32">
        <f>AX22/((1+InputData!$C$3)^(Ortho!$B22-Ortho!$B$7))</f>
        <v>0</v>
      </c>
      <c r="BC22" s="32" t="s">
        <v>141</v>
      </c>
      <c r="BD22" s="32">
        <v>0</v>
      </c>
      <c r="BE22" s="32">
        <f t="shared" si="152"/>
        <v>128608.28994078971</v>
      </c>
      <c r="BF22" s="32">
        <f>(BE22)*InputData!$C$6</f>
        <v>7986.5748053230409</v>
      </c>
      <c r="BG22" s="32">
        <f>MIN($BE$16*InputData!$C$6/(1-(1+InputData!$C$6)^(-10)), BE22+BF22)</f>
        <v>37293.894744798265</v>
      </c>
      <c r="BH22" s="32">
        <f t="shared" si="137"/>
        <v>99300.97000131449</v>
      </c>
      <c r="BI22" s="32">
        <f>BG22/((1+InputData!$C$3)^(Ortho!$B22-Ortho!$B$7))</f>
        <v>27709.913134026541</v>
      </c>
      <c r="BJ22" s="32">
        <f>IF(BA22-InputData!$C$158-InputData!$C$159&gt;=0,BA22-InputData!$C$158-InputData!$C$159,0)</f>
        <v>429467.01047232375</v>
      </c>
      <c r="BK22" s="32">
        <f>IF(BA22-IF(BA22&lt;=InputData!$C$146,InputData!$C$145,0)-MAX(InputData!$C$144,BQ22)&gt;=0,BA22-IF(BA22&lt;=InputData!$C$146,InputData!$C$145,0)-MAX(InputData!$C$144,BQ22),0)</f>
        <v>423367.01047232375</v>
      </c>
      <c r="BL22" s="32">
        <f>IF(BK22&lt;0,"Error",IF(BK22&lt;=InputData!$B$170,InputData!$C$170*BK22,IF(BK22&lt;=InputData!$B$171,InputData!$D$170+InputData!$C$171*(BK22-InputData!$B$170),IF(BK22&lt;=InputData!$B$172,InputData!$D$171+InputData!$C$172*(BK22-InputData!$B$171),IF(BK22&lt;=InputData!$B$173,InputData!$D$172+InputData!$C$173*(BK22-InputData!$B$172),IF(BK22&lt;=InputData!$B$174,InputData!$D$173+InputData!$C$174*(BK22-InputData!$B$173),IF(BK22&lt;=InputData!$B$175,InputData!$D$174+InputData!$C$175*(BK22-InputData!$B$174),InputData!$D$175+InputData!$C$176*(BK22-InputData!$B$175))))))))</f>
        <v>125417.0861470402</v>
      </c>
      <c r="BM22" s="32">
        <f>IF(BA22&lt;=InputData!$C$150,InputData!$C$152,IF(BA22&lt;InputData!$C$151,IF(InputData!$C$152-0.25*IF(BA22-InputData!$C$150&lt;=0,0,BA22-InputData!$C$150)&lt;=0,0,InputData!$C$152-0.25*IF(BA22-InputData!$C$150&lt;=0,0,BA22-InputData!$C$150)),0))</f>
        <v>0</v>
      </c>
      <c r="BN22" s="32">
        <f>IF(BA22-BM22&lt;=0,0,IF(BA22-BM22&lt;=InputData!$C$153,InputData!$C$154*(BA22-BM22),InputData!$C$155*(BA22-BM22)-InputData!$D$154))</f>
        <v>116660.76293225065</v>
      </c>
      <c r="BO22" s="32">
        <f t="shared" si="29"/>
        <v>125417.0861470402</v>
      </c>
      <c r="BP22" s="32">
        <f>IF(BA22&gt;=0,IF(BA22&lt;=InputData!$C$148,InputData!$C$147*BA22,InputData!$C$147*InputData!$C$148)+InputData!$C$149*BA22,0)</f>
        <v>13276.671651848694</v>
      </c>
      <c r="BQ22" s="32">
        <f>IF(BJ22&lt;0,0,IF(BJ22&lt;=InputData!$B$163,InputData!$C$163*BJ22,IF(BJ22&lt;=InputData!$B$164,InputData!$D$163+InputData!$C$164*(BJ22-InputData!$B$163),IF(BJ22&lt;=InputData!$B$165,InputData!$D$164+InputData!$C$165*(BJ22-InputData!$B$164),InputData!$D$165+InputData!$C$166*(BJ22-InputData!$B$165)))))</f>
        <v>0</v>
      </c>
      <c r="BR22" s="43">
        <f t="shared" si="30"/>
        <v>0.32294391517140003</v>
      </c>
      <c r="BS22" s="32">
        <f t="shared" si="31"/>
        <v>290773.25267343485</v>
      </c>
      <c r="BT22" s="32">
        <f t="shared" si="32"/>
        <v>263063.33953940833</v>
      </c>
      <c r="BU22" s="32">
        <f>BT22/((1+InputData!$C$7)^(Ortho!$B22-Ortho!$B$7))</f>
        <v>168850.34740544859</v>
      </c>
      <c r="BV22" s="5">
        <f t="shared" si="107"/>
        <v>1239355.6899829344</v>
      </c>
      <c r="BW22" s="5"/>
      <c r="BX22" s="32" t="s">
        <v>141</v>
      </c>
      <c r="BY22" s="5">
        <f t="shared" si="153"/>
        <v>238054.19035723427</v>
      </c>
      <c r="BZ22" s="32">
        <f>(BY22)*InputData!$C$6</f>
        <v>14783.165221184248</v>
      </c>
      <c r="CA22" s="32">
        <f>MIN($BY$16*InputData!$C$6/(1-(1+InputData!$C$6)^(-25)), BY22+BZ22)</f>
        <v>21686.214673809533</v>
      </c>
      <c r="CB22" s="32">
        <f t="shared" si="154"/>
        <v>231151.140904609</v>
      </c>
      <c r="CC22" s="32">
        <f>CA22/((1+InputData!$C$3)^(Ortho!$B22-Ortho!$B$7))</f>
        <v>16113.176940333655</v>
      </c>
      <c r="CD22" s="5">
        <f t="shared" si="36"/>
        <v>274660.07573310117</v>
      </c>
      <c r="CE22" s="32">
        <f>CD22/((1+InputData!$C$7)^(Ortho!$B22-Ortho!$B$7))</f>
        <v>176293.85108217827</v>
      </c>
      <c r="CF22" s="5">
        <f t="shared" si="108"/>
        <v>1300071.5083625116</v>
      </c>
      <c r="CG22" s="5"/>
      <c r="CH22" s="32" t="s">
        <v>141</v>
      </c>
      <c r="CI22" s="5" t="e">
        <f t="shared" si="155"/>
        <v>#VALUE!</v>
      </c>
      <c r="CJ22" s="32" t="e">
        <f>(CI22)*InputData!$C$6</f>
        <v>#VALUE!</v>
      </c>
      <c r="CK22" s="5" t="str">
        <f t="shared" si="168"/>
        <v>DNQ</v>
      </c>
      <c r="CL22" s="32" t="e">
        <f t="shared" si="156"/>
        <v>#VALUE!</v>
      </c>
      <c r="CM22" s="32" t="e">
        <f>CK22/((1+InputData!$C$3)^(Ortho!$B22-Ortho!$B$7))</f>
        <v>#VALUE!</v>
      </c>
      <c r="CN22" s="5" t="e">
        <f t="shared" si="40"/>
        <v>#VALUE!</v>
      </c>
      <c r="CO22" s="32" t="e">
        <f>CN22/((1+InputData!$C$7)^(Ortho!$B22-Ortho!$B$7))</f>
        <v>#VALUE!</v>
      </c>
      <c r="CP22" s="5" t="e">
        <f t="shared" si="109"/>
        <v>#VALUE!</v>
      </c>
      <c r="CQ22" s="5"/>
      <c r="CR22" s="32" t="s">
        <v>141</v>
      </c>
      <c r="CS22" s="5" t="e">
        <f t="shared" si="157"/>
        <v>#VALUE!</v>
      </c>
      <c r="CT22" s="32" t="e">
        <f>(CS22)*InputData!$C$6</f>
        <v>#VALUE!</v>
      </c>
      <c r="CU22" s="32" t="str">
        <f t="shared" si="169"/>
        <v>DNQ</v>
      </c>
      <c r="CV22" s="32" t="e">
        <f t="shared" si="158"/>
        <v>#VALUE!</v>
      </c>
      <c r="CW22" s="32" t="e">
        <f>CU22/((1+InputData!$C$3)^(Ortho!$B22-Ortho!$B$7))</f>
        <v>#VALUE!</v>
      </c>
      <c r="CX22" s="5" t="e">
        <f t="shared" si="44"/>
        <v>#VALUE!</v>
      </c>
      <c r="CY22" s="32" t="e">
        <f>CX22/((1+InputData!$C$7)^(Ortho!$B22-Ortho!$B$7))</f>
        <v>#VALUE!</v>
      </c>
      <c r="CZ22" s="5" t="e">
        <f t="shared" si="110"/>
        <v>#VALUE!</v>
      </c>
      <c r="DA22" s="5"/>
      <c r="DB22" s="32" t="s">
        <v>141</v>
      </c>
      <c r="DC22" s="5">
        <f t="shared" si="138"/>
        <v>0</v>
      </c>
      <c r="DD22" s="5">
        <f>DC22*InputData!$C$6</f>
        <v>0</v>
      </c>
      <c r="DE22" s="32">
        <f t="shared" si="139"/>
        <v>0</v>
      </c>
      <c r="DF22" s="32">
        <f t="shared" si="140"/>
        <v>0</v>
      </c>
      <c r="DG22" s="32">
        <f>DE22/((1+InputData!$C$3)^(Ortho!$B22-Ortho!$B$7))</f>
        <v>0</v>
      </c>
      <c r="DH22" s="5">
        <f t="shared" si="48"/>
        <v>290773.25267343485</v>
      </c>
      <c r="DI22" s="32">
        <f>DH22/((1+InputData!$C$7)^(Ortho!$B22-Ortho!$B$7))</f>
        <v>186636.28621184872</v>
      </c>
      <c r="DJ22" s="5">
        <f t="shared" si="111"/>
        <v>1195562.186870947</v>
      </c>
      <c r="DK22" s="5"/>
      <c r="DL22" s="32" t="s">
        <v>141</v>
      </c>
      <c r="DM22" s="32">
        <f t="shared" si="159"/>
        <v>140658.77947738947</v>
      </c>
      <c r="DN22" s="5">
        <f>DM22*InputData!$C$6</f>
        <v>8734.9102055458861</v>
      </c>
      <c r="DO22" s="32">
        <f t="shared" si="160"/>
        <v>0</v>
      </c>
      <c r="DP22" s="32">
        <f t="shared" si="123"/>
        <v>29148.379963889372</v>
      </c>
      <c r="DQ22" s="32">
        <f t="shared" si="124"/>
        <v>120245.309719046</v>
      </c>
      <c r="DR22" s="32">
        <f>DP22/((1+InputData!$C$3)^(Ortho!$B22-Ortho!$B$7))</f>
        <v>21657.675668472028</v>
      </c>
      <c r="DS22" s="5">
        <f t="shared" si="52"/>
        <v>269115.57700496283</v>
      </c>
      <c r="DT22" s="32">
        <f>DS22/((1+InputData!$C$7)^(Ortho!$B22-Ortho!$B$7))</f>
        <v>172735.04833119677</v>
      </c>
      <c r="DU22" s="5">
        <f t="shared" si="113"/>
        <v>1247812.7336944155</v>
      </c>
      <c r="DV22" s="5"/>
      <c r="DW22" s="32" t="s">
        <v>141</v>
      </c>
      <c r="DX22" s="133">
        <f t="shared" si="141"/>
        <v>154037.62806547308</v>
      </c>
      <c r="DY22" s="5">
        <f>DX22*InputData!$C$6</f>
        <v>9565.7367028658791</v>
      </c>
      <c r="DZ22" s="133">
        <f t="shared" si="142"/>
        <v>0</v>
      </c>
      <c r="EA22" s="32">
        <f t="shared" si="143"/>
        <v>29148.379963889372</v>
      </c>
      <c r="EB22" s="32">
        <f t="shared" si="144"/>
        <v>134454.9848044496</v>
      </c>
      <c r="EC22" s="32">
        <f>EA22/((1+InputData!$C$3)^(Ortho!$B22-Ortho!$B$7))</f>
        <v>21657.675668472028</v>
      </c>
      <c r="ED22" s="5">
        <f t="shared" si="56"/>
        <v>269115.57700496283</v>
      </c>
      <c r="EE22" s="32">
        <f>ED22/((1+InputData!$C$7)^(Ortho!$B22-Ortho!$B$7))</f>
        <v>172735.04833119677</v>
      </c>
      <c r="EF22" s="5">
        <f t="shared" si="115"/>
        <v>1255556.0746180634</v>
      </c>
      <c r="EG22" s="32"/>
      <c r="EH22" s="130" t="s">
        <v>141</v>
      </c>
      <c r="EI22" s="32">
        <v>0</v>
      </c>
      <c r="EJ22" s="32">
        <f t="shared" si="173"/>
        <v>128511.34346194338</v>
      </c>
      <c r="EK22" s="32">
        <f>(EJ22)*InputData!$C$6</f>
        <v>7980.5544289866848</v>
      </c>
      <c r="EL22" s="32">
        <f t="shared" si="172"/>
        <v>99226.115733427927</v>
      </c>
      <c r="EM22" s="32">
        <f>EM21*(1+InputData!$C$8)</f>
        <v>15464.027207344254</v>
      </c>
      <c r="EN22" s="32">
        <f t="shared" si="170"/>
        <v>37265.782157502101</v>
      </c>
      <c r="EO22" s="32">
        <f>AW22/((1+InputData!$C$3)^(Ortho!$B22-Ortho!$B$7))</f>
        <v>429467.01047232375</v>
      </c>
      <c r="EP22" s="32">
        <f>AX22/((1+InputData!$C$3)^(Ortho!$B22-Ortho!$B$7))</f>
        <v>0</v>
      </c>
      <c r="EQ22" s="32">
        <v>90456.99</v>
      </c>
      <c r="ER22" s="32">
        <v>10521.03</v>
      </c>
      <c r="ES22" s="32">
        <v>0</v>
      </c>
      <c r="ET22" s="43">
        <f t="shared" si="129"/>
        <v>0.23512404337866449</v>
      </c>
      <c r="EU22" s="32">
        <f t="shared" si="57"/>
        <v>328488.99047232373</v>
      </c>
      <c r="EV22" s="32">
        <f>EN22/((1+InputData!$C$3)^(Ortho!$B22-Ortho!$B$7))</f>
        <v>27689.025067567403</v>
      </c>
      <c r="EW22" s="32">
        <f t="shared" si="58"/>
        <v>300799.96540475631</v>
      </c>
      <c r="EX22" s="32">
        <f>EW22/((1+InputData!$C$7)^(Ortho!$B22-Ortho!$B$7))</f>
        <v>193072.05157156219</v>
      </c>
      <c r="EY22" s="5">
        <f t="shared" si="117"/>
        <v>1481235.2935825649</v>
      </c>
      <c r="EZ22" s="79"/>
      <c r="FA22" s="32">
        <f t="shared" si="161"/>
        <v>128511.34346194335</v>
      </c>
      <c r="FB22" s="32">
        <f>FA22*InputData!$C$6</f>
        <v>7980.554428986683</v>
      </c>
      <c r="FC22" s="32">
        <f t="shared" si="162"/>
        <v>99226.115733427927</v>
      </c>
      <c r="FD22" s="32">
        <f>MIN($EJ$16*InputData!$C$6/(1-(1+InputData!$C$6)^(-10)), FA22+FB22)</f>
        <v>37265.782157502101</v>
      </c>
      <c r="FE22" s="32">
        <f>FD22/((1+InputData!$C$3)^(Ortho!$B22-Ortho!$B$7))</f>
        <v>27689.025067567403</v>
      </c>
      <c r="FF22" s="5">
        <f t="shared" si="62"/>
        <v>300799.96540475631</v>
      </c>
      <c r="FG22" s="32">
        <f>FF22/((1+InputData!$C$7)^(Ortho!$B22-Ortho!$B$7))</f>
        <v>193072.05157156219</v>
      </c>
      <c r="FH22" s="5">
        <f t="shared" si="118"/>
        <v>1481235.2935825649</v>
      </c>
      <c r="FI22" s="79"/>
      <c r="FJ22" s="32">
        <f t="shared" si="163"/>
        <v>237874.74223969562</v>
      </c>
      <c r="FK22" s="32">
        <f>FJ22*InputData!$C$6</f>
        <v>14772.021493085098</v>
      </c>
      <c r="FL22" s="32">
        <f t="shared" si="164"/>
        <v>230976.89638893801</v>
      </c>
      <c r="FM22" s="32">
        <f>MIN($EJ$16*InputData!$C$6/(1-(1+InputData!$C$6)^(-25)), FJ22+FK22)</f>
        <v>21669.867343842721</v>
      </c>
      <c r="FN22" s="32">
        <f>FM22/((1+InputData!$C$3)^(Ortho!$B22-Ortho!$B$7))</f>
        <v>16101.030633372331</v>
      </c>
      <c r="FO22" s="5">
        <f t="shared" si="66"/>
        <v>312387.95983895141</v>
      </c>
      <c r="FP22" s="32">
        <f>FO22/((1+InputData!$C$7)^(Ortho!$B22-Ortho!$B$7))</f>
        <v>200509.94424551699</v>
      </c>
      <c r="FQ22" s="5">
        <f t="shared" si="119"/>
        <v>1541905.3436465471</v>
      </c>
      <c r="FR22" s="79"/>
      <c r="FS22" s="32">
        <f t="shared" si="165"/>
        <v>128511.34346194335</v>
      </c>
      <c r="FT22" s="32">
        <f>FS22*InputData!$C$6</f>
        <v>7980.554428986683</v>
      </c>
      <c r="FU22" s="32">
        <f t="shared" si="166"/>
        <v>99226.115733427927</v>
      </c>
      <c r="FV22" s="5">
        <f t="shared" si="171"/>
        <v>37265.782157502101</v>
      </c>
      <c r="FW22" s="32">
        <f>FV22/((1+InputData!$C$3)^(Ortho!$B22-Ortho!$B$7))</f>
        <v>27689.025067567403</v>
      </c>
      <c r="FX22" s="5">
        <f t="shared" si="70"/>
        <v>300799.96540475631</v>
      </c>
      <c r="FY22" s="32">
        <f>FX22/((1+InputData!$C$7)^(Ortho!$B22-Ortho!$B$7))</f>
        <v>193072.05157156219</v>
      </c>
      <c r="FZ22" s="5">
        <f t="shared" si="120"/>
        <v>1481235.2935825649</v>
      </c>
      <c r="GC22" s="3">
        <f t="shared" si="3"/>
        <v>12</v>
      </c>
      <c r="GD22" s="46" t="str">
        <f t="shared" si="145"/>
        <v>Service (O4&gt;10 = (BP+BAH+BAS+VSP+BCPSP)*12+ASP)</v>
      </c>
      <c r="GE22" s="5">
        <f t="shared" si="146"/>
        <v>107832.23999999999</v>
      </c>
      <c r="GF22" s="5">
        <f t="shared" si="147"/>
        <v>20659.199999999997</v>
      </c>
      <c r="GG22" s="5">
        <f t="shared" si="148"/>
        <v>128491.43999999999</v>
      </c>
      <c r="GH22" s="5">
        <f t="shared" si="149"/>
        <v>93017.927135348946</v>
      </c>
      <c r="GI22" s="5">
        <f t="shared" si="150"/>
        <v>17820.977847391474</v>
      </c>
      <c r="GJ22" s="32">
        <f>IF(GH22-InputData!$C$158-InputData!$C$159&gt;=0,GH22-InputData!$C$158-InputData!$C$159,0)</f>
        <v>93017.927135348946</v>
      </c>
      <c r="GK22" s="32">
        <f>IF(GH22-IF(GH22&lt;=InputData!$C$146,InputData!$C$145,0)-MAX(InputData!$C$144,GQ22)&gt;=0,GH22-IF(GH22&lt;=InputData!$C$146,InputData!$C$145,0)-MAX(InputData!$C$144,GQ22),0)</f>
        <v>83017.927135348946</v>
      </c>
      <c r="GL22" s="32">
        <f>IF(GK22&lt;0,"Error",IF(GK22&lt;=InputData!$B$170,InputData!$C$170*GK22,IF(GK22&lt;=InputData!$B$171,InputData!$D$170+InputData!$C$171*(GK22-InputData!$B$170),IF(GK22&lt;=InputData!$B$172,InputData!$D$171+InputData!$C$172*(GK22-InputData!$B$171),IF(GK22&lt;=InputData!$B$173,InputData!$D$172+InputData!$C$173*(GK22-InputData!$B$172),IF(GK22&lt;=InputData!$B$174,InputData!$D$173+InputData!$C$174*(GK22-InputData!$B$173),IF(GK22&lt;=InputData!$B$175,InputData!$D$174+InputData!$C$175*(GK22-InputData!$B$174),InputData!$D$175+InputData!$C$176*(GK22-InputData!$B$175))))))))</f>
        <v>16683.231783837236</v>
      </c>
      <c r="GM22" s="32">
        <f>IF(GH22&lt;=InputData!$C$150,InputData!$C$152,IF(GH22&lt;InputData!$C$151,IF(InputData!$C$152-0.25*IF(GH22-InputData!$C$150&lt;=0,0,GH22-InputData!$C$150)&lt;=0,0,InputData!$C$152-0.25*IF(GH22-InputData!$C$150&lt;=0,0,GH22-InputData!$C$150)),0))</f>
        <v>51900</v>
      </c>
      <c r="GN22" s="32">
        <f>IF(GH22-GM22&lt;=0,0,IF(GH22-GM22&lt;=InputData!$C$153,InputData!$C$154*(GH22-GM22),InputData!$C$155*(GH22-GM22)-InputData!$D$154))</f>
        <v>10690.661055190727</v>
      </c>
      <c r="GO22" s="32">
        <f t="shared" si="71"/>
        <v>16683.231783837236</v>
      </c>
      <c r="GP22" s="32">
        <f>IF(GH22&gt;=0,IF(GH22&lt;=InputData!$C$148,InputData!$C$147*GH22,InputData!$C$147*InputData!$C$148)+InputData!$C$149*GH22,0)</f>
        <v>7115.871425854195</v>
      </c>
      <c r="GQ22" s="32">
        <f>IF(GJ22&lt;0,0,IF(GJ22&lt;=InputData!$B$163,InputData!$C$163*GJ22,IF(GJ22&lt;=InputData!$B$164,InputData!$D$163+InputData!$C$164*(GJ22-InputData!$B$163),IF(GJ22&lt;=InputData!$B$165,InputData!$D$164+InputData!$C$165*(GJ22-InputData!$B$164),InputData!$D$165+InputData!$C$166*(GJ22-InputData!$B$165)))))</f>
        <v>0</v>
      </c>
      <c r="GR22" s="43">
        <f t="shared" si="72"/>
        <v>0.25585501572252545</v>
      </c>
      <c r="GS22" s="43">
        <f t="shared" si="73"/>
        <v>0.21471795678058506</v>
      </c>
      <c r="GT22" s="5">
        <f t="shared" si="74"/>
        <v>87039.801773048996</v>
      </c>
      <c r="GU22" s="32">
        <f>GT22/((1+InputData!$C$7)^(Ortho!$B22-Ortho!$B$7))</f>
        <v>55867.536667073509</v>
      </c>
      <c r="GV22" s="32">
        <f t="shared" si="75"/>
        <v>882219.71152208454</v>
      </c>
      <c r="GX22" s="3">
        <f t="shared" si="130"/>
        <v>12</v>
      </c>
      <c r="GY22" s="122" t="str">
        <f t="shared" si="131"/>
        <v>Multi-Year (O4&gt;10 = (BP+BAH+BAS+VSP+BCPSP)*12+ASP+ISP+MSP)</v>
      </c>
      <c r="GZ22" s="5">
        <f t="shared" si="132"/>
        <v>207832.24</v>
      </c>
      <c r="HA22" s="5">
        <f t="shared" si="133"/>
        <v>20659.199999999997</v>
      </c>
      <c r="HB22" s="5">
        <f t="shared" si="134"/>
        <v>228491.44</v>
      </c>
      <c r="HC22" s="5">
        <f t="shared" si="135"/>
        <v>179279.63062527828</v>
      </c>
      <c r="HD22" s="5">
        <f t="shared" si="136"/>
        <v>17820.977847391474</v>
      </c>
      <c r="HE22" s="32">
        <f>IF(HC22-InputData!$C$158-InputData!$C$159&gt;=0,HC22-InputData!$C$158-InputData!$C$159,0)</f>
        <v>179279.63062527828</v>
      </c>
      <c r="HF22" s="32">
        <f>IF(HC22-IF(HC22&lt;=InputData!$C$146,InputData!$C$145,0)-MAX(InputData!$C$144,HL22)&gt;=0,HC22-IF(HC22&lt;=InputData!$C$146,InputData!$C$145,0)-MAX(InputData!$C$144,HL22),0)</f>
        <v>173179.63062527828</v>
      </c>
      <c r="HG22" s="32">
        <f>IF(HF22&lt;0,"Error",IF(HF22&lt;=InputData!$B$170,InputData!$C$170*HF22,IF(HF22&lt;=InputData!$B$171,InputData!$D$170+InputData!$C$171*(HF22-InputData!$B$170),IF(HF22&lt;=InputData!$B$172,InputData!$D$171+InputData!$C$172*(HF22-InputData!$B$171),IF(HF22&lt;=InputData!$B$173,InputData!$D$172+InputData!$C$173*(HF22-InputData!$B$172),IF(HF22&lt;=InputData!$B$174,InputData!$D$173+InputData!$C$174*(HF22-InputData!$B$173),IF(HF22&lt;=InputData!$B$175,InputData!$D$174+InputData!$C$175*(HF22-InputData!$B$174),InputData!$D$175+InputData!$C$176*(HF22-InputData!$B$175))))))))</f>
        <v>41783.546575077926</v>
      </c>
      <c r="HH22" s="32">
        <f>IF(HC22&lt;=InputData!$C$150,InputData!$C$152,IF(HC22&lt;InputData!$C$151,IF(InputData!$C$152-0.25*IF(HC22-InputData!$C$150&lt;=0,0,HC22-InputData!$C$150)&lt;=0,0,InputData!$C$152-0.25*IF(HC22-InputData!$C$150&lt;=0,0,HC22-InputData!$C$150)),0))</f>
        <v>35930.09234368043</v>
      </c>
      <c r="HI22" s="32">
        <f>IF(HC22-HH22&lt;=0,0,IF(HC22-HH22&lt;=InputData!$C$153,InputData!$C$154*(HC22-HH22),InputData!$C$155*(HC22-HH22)-InputData!$D$154))</f>
        <v>37270.879953215437</v>
      </c>
      <c r="HJ22" s="32">
        <f t="shared" si="76"/>
        <v>41783.546575077926</v>
      </c>
      <c r="HK22" s="32">
        <f>IF(HC22&gt;=0,IF(HC22&lt;=InputData!$C$148,InputData!$C$147*HC22,InputData!$C$147*InputData!$C$148)+InputData!$C$149*HC22,0)</f>
        <v>9648.9546440665345</v>
      </c>
      <c r="HL22" s="32">
        <f>IF(HE22&lt;0,0,IF(HE22&lt;=InputData!$B$163,InputData!$C$163*HE22,IF(HE22&lt;=InputData!$B$164,InputData!$D$163+InputData!$C$164*(HE22-InputData!$B$163),IF(HE22&lt;=InputData!$B$165,InputData!$D$164+InputData!$C$165*(HE22-InputData!$B$164),InputData!$D$165+InputData!$C$166*(HE22-InputData!$B$165)))))</f>
        <v>0</v>
      </c>
      <c r="HM22" s="43">
        <f t="shared" si="77"/>
        <v>0.28688424356834058</v>
      </c>
      <c r="HN22" s="43">
        <f t="shared" si="78"/>
        <v>0.26094542080663419</v>
      </c>
      <c r="HO22" s="5">
        <f t="shared" si="79"/>
        <v>145668.10725352529</v>
      </c>
      <c r="HP22" s="32">
        <f>HO22/((1+InputData!$C$7)^(Ortho!$B22-Ortho!$B$7))</f>
        <v>93498.814995341672</v>
      </c>
      <c r="HQ22" s="32">
        <f t="shared" si="80"/>
        <v>907587.63972209394</v>
      </c>
      <c r="HS22" s="93">
        <f t="shared" si="81"/>
        <v>12</v>
      </c>
      <c r="HT22" s="92" t="str">
        <f t="shared" si="82"/>
        <v>Service (O4&gt;10 = (BP+BAH+BAS+VSP+BCPSP)*12+ASP)</v>
      </c>
      <c r="HU22" s="5">
        <f t="shared" si="83"/>
        <v>107832.23999999999</v>
      </c>
      <c r="HV22" s="5">
        <f t="shared" si="84"/>
        <v>20659.199999999997</v>
      </c>
      <c r="HW22" s="5">
        <f t="shared" si="85"/>
        <v>128491.43999999999</v>
      </c>
      <c r="HX22" s="5">
        <f t="shared" si="86"/>
        <v>93017.927135348946</v>
      </c>
      <c r="HY22" s="5">
        <f t="shared" si="87"/>
        <v>17820.977847391474</v>
      </c>
      <c r="HZ22" s="32">
        <f>IF(HX22-InputData!$C$158-InputData!$C$159&gt;=0,HX22-InputData!$C$158-InputData!$C$159,0)</f>
        <v>93017.927135348946</v>
      </c>
      <c r="IA22" s="32">
        <f>IF(HX22-IF(HX22&lt;=InputData!$C$146,InputData!$C$145,0)-MAX(InputData!$C$144,IG22)&gt;=0,HX22-IF(HX22&lt;=InputData!$C$146,InputData!$C$145,0)-MAX(InputData!$C$144,IG22),0)</f>
        <v>83017.927135348946</v>
      </c>
      <c r="IB22" s="32">
        <f>IF(IA22&lt;0,"Error",IF(IA22&lt;=InputData!$B$170,InputData!$C$170*IA22,IF(IA22&lt;=InputData!$B$171,InputData!$D$170+InputData!$C$171*(IA22-InputData!$B$170),IF(IA22&lt;=InputData!$B$172,InputData!$D$171+InputData!$C$172*(IA22-InputData!$B$171),IF(IA22&lt;=InputData!$B$173,InputData!$D$172+InputData!$C$173*(IA22-InputData!$B$172),IF(IA22&lt;=InputData!$B$174,InputData!$D$173+InputData!$C$174*(IA22-InputData!$B$173),IF(IA22&lt;=InputData!$B$175,InputData!$D$174+InputData!$C$175*(IA22-InputData!$B$174),InputData!$D$175+InputData!$C$176*(IA22-InputData!$B$175))))))))</f>
        <v>16683.231783837236</v>
      </c>
      <c r="IC22" s="32">
        <f>IF(HX22&lt;=InputData!$C$150,InputData!$C$152,IF(HX22&lt;InputData!$C$151,IF(InputData!$C$152-0.25*IF(HX22-InputData!$C$150&lt;=0,0,HX22-InputData!$C$150)&lt;=0,0,InputData!$C$152-0.25*IF(HX22-InputData!$C$150&lt;=0,0,HX22-InputData!$C$150)),0))</f>
        <v>51900</v>
      </c>
      <c r="ID22" s="32">
        <f>IF(HX22-IC22&lt;=0,0,IF(HX22-IC22&lt;=InputData!$C$153,InputData!$C$154*(HX22-IC22),InputData!$C$155*(HX22-IC22)-InputData!$D$154))</f>
        <v>10690.661055190727</v>
      </c>
      <c r="IE22" s="32">
        <f t="shared" si="88"/>
        <v>16683.231783837236</v>
      </c>
      <c r="IF22" s="32">
        <f>IF(HX22&gt;=0,IF(HX22&lt;=InputData!$C$148,InputData!$C$147*HX22,InputData!$C$147*InputData!$C$148)+InputData!$C$149*HX22,0)</f>
        <v>7115.871425854195</v>
      </c>
      <c r="IG22" s="32">
        <f>IF(HZ22&lt;0,0,IF(HZ22&lt;=InputData!$B$163,InputData!$C$163*HZ22,IF(HZ22&lt;=InputData!$B$164,InputData!$D$163+InputData!$C$164*(HZ22-InputData!$B$163),IF(HZ22&lt;=InputData!$B$165,InputData!$D$164+InputData!$C$165*(HZ22-InputData!$B$164),InputData!$D$165+InputData!$C$166*(HZ22-InputData!$B$165)))))</f>
        <v>0</v>
      </c>
      <c r="IH22" s="43">
        <f t="shared" si="89"/>
        <v>0.25585501572252545</v>
      </c>
      <c r="II22" s="43">
        <f t="shared" si="90"/>
        <v>0.21471795678058506</v>
      </c>
      <c r="IJ22" s="5">
        <f t="shared" si="91"/>
        <v>87039.801773048996</v>
      </c>
      <c r="IK22" s="32">
        <f>IJ22/((1+InputData!$C$7)^(Ortho!$B22-Ortho!$B$7))</f>
        <v>55867.536667073509</v>
      </c>
      <c r="IL22" s="5">
        <f t="shared" si="92"/>
        <v>882219.71152208454</v>
      </c>
      <c r="IN22" s="227"/>
      <c r="IO22" s="53" t="s">
        <v>109</v>
      </c>
      <c r="IP22" s="32">
        <f>MIN(InputData!$C$13+InputData!$E$13*($B22-$B$20),1)*Ortho!AW22</f>
        <v>520205.44657447602</v>
      </c>
      <c r="IQ22" s="32">
        <f>MIN(InputData!$C$13+InputData!$E$13*($B22-$B$20),1)*Ortho!AX22</f>
        <v>0</v>
      </c>
      <c r="IR22" s="32">
        <f>MIN(InputData!$C$13+InputData!$E$13*($B22-$B$20),1)*Ortho!AY22</f>
        <v>520205.44657447602</v>
      </c>
      <c r="IS22" s="32">
        <f>MIN(InputData!$C$13+InputData!$E$13*($B22-$B$20),1)*Ortho!EO22</f>
        <v>386520.30942509137</v>
      </c>
      <c r="IT22" s="32">
        <f>MIN(InputData!$C$13+InputData!$E$13*($B22-$B$20),1)*Ortho!EP22</f>
        <v>0</v>
      </c>
      <c r="IU22" s="32">
        <f>IF(IS22-InputData!$C$158-InputData!$C$159&gt;=0,IS22-InputData!$C$158-InputData!$C$159,0)</f>
        <v>386520.30942509137</v>
      </c>
      <c r="IV22" s="32">
        <f>IF(IS22-IF(IS22&lt;=InputData!$C$146,InputData!$C$145,0)-MAX(InputData!$C$144,JB22)&gt;=0,IS22-IF(IS22&lt;=InputData!$C$146,InputData!$C$145,0)-MAX(InputData!$C$144,JB22),0)</f>
        <v>380420.30942509137</v>
      </c>
      <c r="IW22" s="32">
        <f>IF(IV22&lt;0,"Error",IF(IV22&lt;=InputData!$B$170,InputData!$C$170*IV22,IF(IV22&lt;=InputData!$B$171,InputData!$D$170+InputData!$C$171*(IV22-InputData!$B$170),IF(IV22&lt;=InputData!$B$172,InputData!$D$171+InputData!$C$172*(IV22-InputData!$B$171),IF(IV22&lt;=InputData!$B$173,InputData!$D$172+InputData!$C$173*(IV22-InputData!$B$172),IF(IV22&lt;=InputData!$B$174,InputData!$D$173+InputData!$C$174*(IV22-InputData!$B$173),IF(IV22&lt;=InputData!$B$175,InputData!$D$174+InputData!$C$175*(IV22-InputData!$B$174),InputData!$D$175+InputData!$C$176*(IV22-InputData!$B$175))))))))</f>
        <v>109669.45211028017</v>
      </c>
      <c r="IX22" s="32">
        <f>IF(IS22&lt;=InputData!$C$150,InputData!$C$152,IF(IS22&lt;InputData!$C$151,IF(InputData!$C$152-0.25*IF(IS22-InputData!$C$150&lt;=0,0,IS22-InputData!$C$150)&lt;=0,0,InputData!$C$152-0.25*IF(IS22-InputData!$C$150&lt;=0,0,IS22-InputData!$C$150)),0))</f>
        <v>0</v>
      </c>
      <c r="IY22" s="32">
        <f>IF(IS22-IX22&lt;=0,0,IF(IS22-IX22&lt;=InputData!$C$153,InputData!$C$154*(IS22-IX22),InputData!$C$155*(IS22-IX22)-InputData!$D$154))</f>
        <v>104635.68663902559</v>
      </c>
      <c r="IZ22" s="32">
        <f t="shared" si="95"/>
        <v>109669.45211028017</v>
      </c>
      <c r="JA22" s="32">
        <f>IF(IS22&gt;=0,IF(IS22&lt;=InputData!$C$148,InputData!$C$147*IS22,InputData!$C$147*InputData!$C$148)+InputData!$C$149*IS22,0)</f>
        <v>12653.944486663826</v>
      </c>
      <c r="JB22" s="32">
        <f>IF(IU22&lt;0,0,IF(IU22&lt;=InputData!$B$163,InputData!$C$163*IU22,IF(IU22&lt;=InputData!$B$164,InputData!$D$163+InputData!$C$164*(IU22-InputData!$B$163),IF(IU22&lt;=InputData!$B$165,InputData!$D$164+InputData!$C$165*(IU22-InputData!$B$164),InputData!$D$165+InputData!$C$166*(IU22-InputData!$B$165)))))</f>
        <v>0</v>
      </c>
      <c r="JC22" s="43">
        <f t="shared" si="96"/>
        <v>0.31647340026941218</v>
      </c>
      <c r="JD22" s="43">
        <f t="shared" si="97"/>
        <v>0.31647340026941218</v>
      </c>
      <c r="JE22" s="5">
        <f t="shared" si="98"/>
        <v>264196.91282814735</v>
      </c>
      <c r="JF22" s="32">
        <f>JE22/((1+InputData!$C$7)^(Ortho!$B22-Ortho!$B$7))</f>
        <v>169577.94496407552</v>
      </c>
      <c r="JG22" s="5">
        <f t="shared" si="99"/>
        <v>1137211.4028487925</v>
      </c>
      <c r="JI22" s="41" t="str">
        <f t="shared" si="13"/>
        <v>Private Practice</v>
      </c>
      <c r="JJ22" s="5">
        <f t="shared" si="14"/>
        <v>578006.05174941779</v>
      </c>
      <c r="JK22" s="32">
        <v>0</v>
      </c>
      <c r="JL22" s="32">
        <f t="shared" si="101"/>
        <v>578006.05174941779</v>
      </c>
      <c r="JM22" s="32">
        <f>JM21*(1+InputData!$C$8)</f>
        <v>15464.027207344254</v>
      </c>
      <c r="JN22" s="32">
        <f>JJ22/((1+InputData!$C$3)^(Ortho!$B22-Ortho!$B$7))</f>
        <v>429467.01047232375</v>
      </c>
      <c r="JO22" s="32">
        <f>JK22/((1+InputData!$C$3)^(Ortho!$B22-Ortho!$B$7))</f>
        <v>0</v>
      </c>
      <c r="JP22" s="32" t="s">
        <v>141</v>
      </c>
      <c r="JQ22" s="32">
        <v>0</v>
      </c>
      <c r="JR22" s="32">
        <f t="shared" si="167"/>
        <v>0</v>
      </c>
      <c r="JS22" s="32">
        <f>(JR22)*InputData!$C$6</f>
        <v>0</v>
      </c>
      <c r="JT22" s="32">
        <f>MIN($BE$16*InputData!$C$6/(1-(1+InputData!$C$6)^(-10)), JR22+JS22)</f>
        <v>0</v>
      </c>
      <c r="JU22" s="32">
        <f t="shared" si="151"/>
        <v>0</v>
      </c>
      <c r="JV22" s="32">
        <f>JT22/((1+InputData!$C$3)^(Ortho!$B22-Ortho!$B$7))</f>
        <v>0</v>
      </c>
      <c r="JW22" s="32">
        <f>IF(JN22-InputData!$C$158-InputData!$C$159&gt;=0,JN22-InputData!$C$158-InputData!$C$159,0)</f>
        <v>429467.01047232375</v>
      </c>
      <c r="JX22" s="32">
        <f>IF(JN22-IF(JN22&lt;=InputData!$C$146,InputData!$C$145,0)-MAX(InputData!$C$144,KD22)&gt;=0,JN22-IF(JN22&lt;=InputData!$C$146,InputData!$C$145,0)-MAX(InputData!$C$144,KD22),0)</f>
        <v>423367.01047232375</v>
      </c>
      <c r="JY22" s="32">
        <f>IF(JX22&lt;0,"Error",IF(JX22&lt;=InputData!$B$170,InputData!$C$170*JX22,IF(JX22&lt;=InputData!$B$171,InputData!$D$170+InputData!$C$171*(JX22-InputData!$B$170),IF(JX22&lt;=InputData!$B$172,InputData!$D$171+InputData!$C$172*(JX22-InputData!$B$171),IF(JX22&lt;=InputData!$B$173,InputData!$D$172+InputData!$C$173*(JX22-InputData!$B$172),IF(JX22&lt;=InputData!$B$174,InputData!$D$173+InputData!$C$174*(JX22-InputData!$B$173),IF(JX22&lt;=InputData!$B$175,InputData!$D$174+InputData!$C$175*(JX22-InputData!$B$174),InputData!$D$175+InputData!$C$176*(JX22-InputData!$B$175))))))))</f>
        <v>125417.0861470402</v>
      </c>
      <c r="JZ22" s="32">
        <f>IF(JN22&lt;=InputData!$C$150,InputData!$C$152,IF(JN22&lt;InputData!$C$151,IF(InputData!$C$152-0.25*IF(JN22-InputData!$C$150&lt;=0,0,JN22-InputData!$C$150)&lt;=0,0,InputData!$C$152-0.25*IF(JN22-InputData!$C$150&lt;=0,0,JN22-InputData!$C$150)),0))</f>
        <v>0</v>
      </c>
      <c r="KA22" s="32">
        <f>IF(JN22-JZ22&lt;=0,0,IF(JN22-JZ22&lt;=InputData!$C$153,InputData!$C$154*(JN22-JZ22),InputData!$C$155*(JN22-JZ22)-InputData!$D$154))</f>
        <v>116660.76293225065</v>
      </c>
      <c r="KB22" s="32">
        <f t="shared" si="102"/>
        <v>125417.0861470402</v>
      </c>
      <c r="KC22" s="32">
        <f>IF(JN22&gt;=0,IF(JN22&lt;=InputData!$C$148,InputData!$C$147*JN22,InputData!$C$147*InputData!$C$148)+InputData!$C$149*JN22,0)</f>
        <v>13276.671651848694</v>
      </c>
      <c r="KD22" s="32">
        <f>IF(JW22&lt;0,0,IF(JW22&lt;=InputData!$B$163,InputData!$C$163*JW22,IF(JW22&lt;=InputData!$B$164,InputData!$D$163+InputData!$C$164*(JW22-InputData!$B$163),IF(JW22&lt;=InputData!$B$165,InputData!$D$164+InputData!$C$165*(JW22-InputData!$B$164),InputData!$D$165+InputData!$C$166*(JW22-InputData!$B$165)))))</f>
        <v>0</v>
      </c>
      <c r="KE22" s="43">
        <f t="shared" si="15"/>
        <v>0.32294391517140003</v>
      </c>
      <c r="KF22" s="32">
        <f t="shared" si="16"/>
        <v>290773.25267343485</v>
      </c>
      <c r="KG22" s="32">
        <f t="shared" si="103"/>
        <v>290773.25267343485</v>
      </c>
      <c r="KH22" s="32">
        <f>KG22/((1+InputData!$C$7)^(Ortho!$B22-Ortho!$B$7))</f>
        <v>186636.28621184872</v>
      </c>
      <c r="KI22" s="5">
        <f t="shared" si="122"/>
        <v>1575300.9633152713</v>
      </c>
    </row>
    <row r="23" spans="1:295" ht="14.45" x14ac:dyDescent="0.3">
      <c r="A23" s="4">
        <v>2029</v>
      </c>
      <c r="B23" s="51">
        <v>17</v>
      </c>
      <c r="C23" s="4"/>
      <c r="D23" s="3">
        <v>13</v>
      </c>
      <c r="E23" s="4" t="s">
        <v>263</v>
      </c>
      <c r="F23" s="5">
        <f>InputData!$J$22*12</f>
        <v>85420.799999999988</v>
      </c>
      <c r="G23" s="32">
        <f>(InputData!$J$22+InputData!$H$45+InputData!$E$50)*12+InputData!$J$50+InputData!$D$61+InputData!$J$61</f>
        <v>214420.72</v>
      </c>
      <c r="H23" s="32">
        <f>(InputData!$C$33+InputData!$C$40)*12</f>
        <v>21019.199999999997</v>
      </c>
      <c r="I23" s="32">
        <f t="shared" si="17"/>
        <v>235439.91999999998</v>
      </c>
      <c r="J23" s="32">
        <f>G23*((1+InputData!$C$5)/(1+InputData!$C$3))^(Ortho!$B23-Ortho!$B$7)</f>
        <v>183149.60329847579</v>
      </c>
      <c r="K23" s="32">
        <f>H23*((1+InputData!$C$5)/(1+InputData!$C$3))^(Ortho!$B23-Ortho!$B$7)</f>
        <v>17953.759980151739</v>
      </c>
      <c r="L23" s="32">
        <f>IF(J23-InputData!$C$158-InputData!$C$159&gt;=0,J23-InputData!$C$158-InputData!$C$159,0)</f>
        <v>183149.60329847579</v>
      </c>
      <c r="M23" s="32">
        <f>IF(J23-IF(J23&lt;=InputData!$C$146,InputData!$C$145,0)-MAX(InputData!$C$144,S23)&gt;=0,J23-IF(J23&lt;=InputData!$C$146,InputData!$C$145,0)-MAX(InputData!$C$144,S23),0)</f>
        <v>177049.60329847579</v>
      </c>
      <c r="N23" s="32">
        <f>IF(M23&lt;0,"Error",IF(M23&lt;=InputData!$B$170,InputData!$C$170*M23,IF(M23&lt;=InputData!$B$171,InputData!$D$170+InputData!$C$171*(M23-InputData!$B$170),IF(M23&lt;=InputData!$B$172,InputData!$D$171+InputData!$C$172*(M23-InputData!$B$171),IF(M23&lt;=InputData!$B$173,InputData!$D$172+InputData!$C$173*(M23-InputData!$B$172),IF(M23&lt;=InputData!$B$174,InputData!$D$173+InputData!$C$174*(M23-InputData!$B$173),IF(M23&lt;=InputData!$B$175,InputData!$D$174+InputData!$C$175*(M23-InputData!$B$174),InputData!$D$175+InputData!$C$176*(M23-InputData!$B$175))))))))</f>
        <v>42867.13892357322</v>
      </c>
      <c r="O23" s="32">
        <f>IF(J23&lt;=InputData!$C$150,InputData!$C$152,IF(J23&lt;InputData!$C$151,IF(InputData!$C$152-0.25*IF(J23-InputData!$C$150&lt;=0,0,J23-InputData!$C$150)&lt;=0,0,InputData!$C$152-0.25*IF(J23-InputData!$C$150&lt;=0,0,J23-InputData!$C$150)),0))</f>
        <v>34962.599175381052</v>
      </c>
      <c r="P23" s="32">
        <f>IF(J23-O23&lt;=0,0,IF(J23-O23&lt;=InputData!$C$153,InputData!$C$154*(J23-O23),InputData!$C$155*(J23-O23)-InputData!$D$154))</f>
        <v>38528.621072004629</v>
      </c>
      <c r="Q23" s="32">
        <f t="shared" si="18"/>
        <v>42867.13892357322</v>
      </c>
      <c r="R23" s="32">
        <f>IF(J23&gt;=0,IF(J23&lt;=InputData!$C$148,InputData!$C$147*J23,InputData!$C$147*InputData!$C$148)+InputData!$C$149*J23,0)</f>
        <v>9705.0692478278979</v>
      </c>
      <c r="S23" s="32">
        <f>IF(L23&lt;0,0,IF(L23&lt;=InputData!$B$163,InputData!$C$163*L23,IF(L23&lt;=InputData!$B$164,InputData!$D$163+InputData!$C$164*(L23-InputData!$B$163),IF(L23&lt;=InputData!$B$165,InputData!$D$164+InputData!$C$165*(L23-InputData!$B$164),InputData!$D$165+InputData!$C$166*(L23-InputData!$B$165)))))</f>
        <v>0</v>
      </c>
      <c r="T23" s="43">
        <f t="shared" si="19"/>
        <v>0.28704516539806574</v>
      </c>
      <c r="U23" s="43">
        <f t="shared" si="20"/>
        <v>0.2614188411089009</v>
      </c>
      <c r="V23" s="5">
        <f t="shared" si="21"/>
        <v>148531.15510722643</v>
      </c>
      <c r="W23" s="32">
        <f>V23/((1+InputData!$C$7)^(Ortho!$B23-Ortho!$B$7))</f>
        <v>92559.705306998352</v>
      </c>
      <c r="X23" s="5">
        <f t="shared" si="104"/>
        <v>974779.41682908288</v>
      </c>
      <c r="Y23" s="53"/>
      <c r="Z23" s="3">
        <v>13</v>
      </c>
      <c r="AA23" s="97" t="s">
        <v>263</v>
      </c>
      <c r="AB23" s="5">
        <f t="shared" si="126"/>
        <v>85420.799999999988</v>
      </c>
      <c r="AC23" s="32">
        <f t="shared" ref="AC23:AC30" si="175">G23</f>
        <v>214420.72</v>
      </c>
      <c r="AD23" s="32">
        <f t="shared" si="174"/>
        <v>21019.199999999997</v>
      </c>
      <c r="AE23" s="32">
        <f t="shared" si="22"/>
        <v>235439.91999999998</v>
      </c>
      <c r="AF23" s="5">
        <f>AC23*((1+InputData!$C$5)/(1+InputData!$C$3))^(Ortho!$B23-Ortho!$B$7)</f>
        <v>183149.60329847579</v>
      </c>
      <c r="AG23" s="5">
        <f>AD23*((1+InputData!$C$5)/(1+InputData!$C$3))^(Ortho!$B23-Ortho!$B$7)</f>
        <v>17953.759980151739</v>
      </c>
      <c r="AH23" s="32">
        <f>IF(AF23-InputData!$C$158-InputData!$C$159&gt;=0,AF23-InputData!$C$158-InputData!$C$159,0)</f>
        <v>183149.60329847579</v>
      </c>
      <c r="AI23" s="32">
        <f>IF(AF23-IF(AF23&lt;=InputData!$C$146,InputData!$C$145,0)-MAX(InputData!$C$144,AO23)&gt;=0,AF23-IF(AF23&lt;=InputData!$C$146,InputData!$C$145,0)-MAX(InputData!$C$144,AO23),0)</f>
        <v>177049.60329847579</v>
      </c>
      <c r="AJ23" s="32">
        <f>IF(AI23&lt;0,"Error",IF(AI23&lt;=InputData!$B$170,InputData!$C$170*AI23,IF(AI23&lt;=InputData!$B$171,InputData!$D$170+InputData!$C$171*(AI23-InputData!$B$170),IF(AI23&lt;=InputData!$B$172,InputData!$D$171+InputData!$C$172*(AI23-InputData!$B$171),IF(AI23&lt;=InputData!$B$173,InputData!$D$172+InputData!$C$173*(AI23-InputData!$B$172),IF(AI23&lt;=InputData!$B$174,InputData!$D$173+InputData!$C$174*(AI23-InputData!$B$173),IF(AI23&lt;=InputData!$B$175,InputData!$D$174+InputData!$C$175*(AI23-InputData!$B$174),InputData!$D$175+InputData!$C$176*(AI23-InputData!$B$175))))))))</f>
        <v>42867.13892357322</v>
      </c>
      <c r="AK23" s="32">
        <f>IF(AF23&lt;=InputData!$C$150,InputData!$C$152,IF(AF23&lt;InputData!$C$151,IF(InputData!$C$152-0.25*IF(AF23-InputData!$C$150&lt;=0,0,AF23-InputData!$C$150)&lt;=0,0,InputData!$C$152-0.25*IF(AF23-InputData!$C$150&lt;=0,0,AF23-InputData!$C$150)),0))</f>
        <v>34962.599175381052</v>
      </c>
      <c r="AL23" s="32">
        <f>IF(AF23-AK23&lt;=0,0,IF(AF23-AK23&lt;=InputData!$C$153,InputData!$C$154*(AF23-AK23),InputData!$C$155*(AF23-AK23)-InputData!$D$154))</f>
        <v>38528.621072004629</v>
      </c>
      <c r="AM23" s="32">
        <f t="shared" si="23"/>
        <v>42867.13892357322</v>
      </c>
      <c r="AN23" s="32">
        <f>IF(AF23&gt;=0,IF(AF23&lt;=InputData!$C$148,InputData!$C$147*AF23,InputData!$C$147*InputData!$C$148)+InputData!$C$149*AF23,0)</f>
        <v>9705.0692478278979</v>
      </c>
      <c r="AO23" s="32">
        <f>IF(AH23&lt;0,0,IF(AH23&lt;=InputData!$B$163,InputData!$C$163*AH23,IF(AH23&lt;=InputData!$B$164,InputData!$D$163+InputData!$C$164*(AH23-InputData!$B$163),IF(AH23&lt;=InputData!$B$165,InputData!$D$164+InputData!$C$165*(AH23-InputData!$B$164),InputData!$D$165+InputData!$C$166*(AH23-InputData!$B$165)))))</f>
        <v>0</v>
      </c>
      <c r="AP23" s="43">
        <f t="shared" si="24"/>
        <v>0.28704516539806574</v>
      </c>
      <c r="AQ23" s="43">
        <f t="shared" si="25"/>
        <v>0.2614188411089009</v>
      </c>
      <c r="AR23" s="5">
        <f t="shared" si="26"/>
        <v>148531.15510722643</v>
      </c>
      <c r="AS23" s="32">
        <f>AR23/((1+InputData!$C$7)^(Ortho!$B23-Ortho!$B$7))</f>
        <v>92559.705306998352</v>
      </c>
      <c r="AT23" s="5">
        <f t="shared" si="105"/>
        <v>1000147.3450290923</v>
      </c>
      <c r="AU23" s="53"/>
      <c r="AV23" s="41" t="s">
        <v>109</v>
      </c>
      <c r="AW23" s="32">
        <f>$AW$17*(1+InputData!$C$3+InputData!$C$4)^(Ortho!$B23-Ortho!$B$17)</f>
        <v>595346.23330190033</v>
      </c>
      <c r="AX23" s="32">
        <v>0</v>
      </c>
      <c r="AY23" s="32">
        <f t="shared" si="28"/>
        <v>595346.23330190033</v>
      </c>
      <c r="AZ23" s="32">
        <f>AZ22*(1+InputData!$C$8)</f>
        <v>15773.307751491138</v>
      </c>
      <c r="BA23" s="32">
        <f>AW23/((1+InputData!$C$3)^(Ortho!$B23-Ortho!$B$7))</f>
        <v>433677.47135930724</v>
      </c>
      <c r="BB23" s="32">
        <f>AX23/((1+InputData!$C$3)^(Ortho!$B23-Ortho!$B$7))</f>
        <v>0</v>
      </c>
      <c r="BC23" s="32" t="s">
        <v>141</v>
      </c>
      <c r="BD23" s="32">
        <v>0</v>
      </c>
      <c r="BE23" s="32">
        <f t="shared" si="152"/>
        <v>99300.97000131449</v>
      </c>
      <c r="BF23" s="32">
        <f>(BE23)*InputData!$C$6</f>
        <v>6166.5902370816302</v>
      </c>
      <c r="BG23" s="32">
        <f>MIN($BE$16*InputData!$C$6/(1-(1+InputData!$C$6)^(-10)), BE23+BF23)</f>
        <v>37293.894744798265</v>
      </c>
      <c r="BH23" s="32">
        <f t="shared" si="137"/>
        <v>68173.665493597859</v>
      </c>
      <c r="BI23" s="32">
        <f>BG23/((1+InputData!$C$3)^(Ortho!$B23-Ortho!$B$7))</f>
        <v>27166.581503947586</v>
      </c>
      <c r="BJ23" s="32">
        <f>IF(BA23-InputData!$C$158-InputData!$C$159&gt;=0,BA23-InputData!$C$158-InputData!$C$159,0)</f>
        <v>433677.47135930724</v>
      </c>
      <c r="BK23" s="32">
        <f>IF(BA23-IF(BA23&lt;=InputData!$C$146,InputData!$C$145,0)-MAX(InputData!$C$144,BQ23)&gt;=0,BA23-IF(BA23&lt;=InputData!$C$146,InputData!$C$145,0)-MAX(InputData!$C$144,BQ23),0)</f>
        <v>427577.47135930724</v>
      </c>
      <c r="BL23" s="32">
        <f>IF(BK23&lt;0,"Error",IF(BK23&lt;=InputData!$B$170,InputData!$C$170*BK23,IF(BK23&lt;=InputData!$B$171,InputData!$D$170+InputData!$C$171*(BK23-InputData!$B$170),IF(BK23&lt;=InputData!$B$172,InputData!$D$171+InputData!$C$172*(BK23-InputData!$B$171),IF(BK23&lt;=InputData!$B$173,InputData!$D$172+InputData!$C$173*(BK23-InputData!$B$172),IF(BK23&lt;=InputData!$B$174,InputData!$D$173+InputData!$C$174*(BK23-InputData!$B$173),IF(BK23&lt;=InputData!$B$175,InputData!$D$174+InputData!$C$175*(BK23-InputData!$B$174),InputData!$D$175+InputData!$C$176*(BK23-InputData!$B$175))))))))</f>
        <v>127084.42865828567</v>
      </c>
      <c r="BM23" s="32">
        <f>IF(BA23&lt;=InputData!$C$150,InputData!$C$152,IF(BA23&lt;InputData!$C$151,IF(InputData!$C$152-0.25*IF(BA23-InputData!$C$150&lt;=0,0,BA23-InputData!$C$150)&lt;=0,0,InputData!$C$152-0.25*IF(BA23-InputData!$C$150&lt;=0,0,BA23-InputData!$C$150)),0))</f>
        <v>0</v>
      </c>
      <c r="BN23" s="32">
        <f>IF(BA23-BM23&lt;=0,0,IF(BA23-BM23&lt;=InputData!$C$153,InputData!$C$154*(BA23-BM23),InputData!$C$155*(BA23-BM23)-InputData!$D$154))</f>
        <v>117839.69198060603</v>
      </c>
      <c r="BO23" s="32">
        <f t="shared" si="29"/>
        <v>127084.42865828567</v>
      </c>
      <c r="BP23" s="32">
        <f>IF(BA23&gt;=0,IF(BA23&lt;=InputData!$C$148,InputData!$C$147*BA23,InputData!$C$147*InputData!$C$148)+InputData!$C$149*BA23,0)</f>
        <v>13337.723334709954</v>
      </c>
      <c r="BQ23" s="32">
        <f>IF(BJ23&lt;0,0,IF(BJ23&lt;=InputData!$B$163,InputData!$C$163*BJ23,IF(BJ23&lt;=InputData!$B$164,InputData!$D$163+InputData!$C$164*(BJ23-InputData!$B$163),IF(BJ23&lt;=InputData!$B$165,InputData!$D$164+InputData!$C$165*(BJ23-InputData!$B$164),InputData!$D$165+InputData!$C$166*(BJ23-InputData!$B$165)))))</f>
        <v>0</v>
      </c>
      <c r="BR23" s="43">
        <f t="shared" si="30"/>
        <v>0.32379397424740591</v>
      </c>
      <c r="BS23" s="32">
        <f t="shared" si="31"/>
        <v>293255.3193663116</v>
      </c>
      <c r="BT23" s="32">
        <f t="shared" si="32"/>
        <v>266088.73786236404</v>
      </c>
      <c r="BU23" s="32">
        <f>BT23/((1+InputData!$C$7)^(Ortho!$B23-Ortho!$B$7))</f>
        <v>165817.70433463276</v>
      </c>
      <c r="BV23" s="5">
        <f t="shared" si="107"/>
        <v>1405173.3943175671</v>
      </c>
      <c r="BW23" s="5"/>
      <c r="BX23" s="32" t="s">
        <v>141</v>
      </c>
      <c r="BY23" s="5">
        <f t="shared" si="153"/>
        <v>231151.140904609</v>
      </c>
      <c r="BZ23" s="32">
        <f>(BY23)*InputData!$C$6</f>
        <v>14354.485850176219</v>
      </c>
      <c r="CA23" s="32">
        <f>MIN($BY$16*InputData!$C$6/(1-(1+InputData!$C$6)^(-25)), BY23+BZ23)</f>
        <v>21686.214673809533</v>
      </c>
      <c r="CB23" s="32">
        <f t="shared" si="154"/>
        <v>223819.41208097569</v>
      </c>
      <c r="CC23" s="32">
        <f>CA23/((1+InputData!$C$3)^(Ortho!$B23-Ortho!$B$7))</f>
        <v>15797.232294444757</v>
      </c>
      <c r="CD23" s="5">
        <f t="shared" si="36"/>
        <v>277458.08707186684</v>
      </c>
      <c r="CE23" s="32">
        <f>CD23/((1+InputData!$C$7)^(Ortho!$B23-Ortho!$B$7))</f>
        <v>172902.70688244325</v>
      </c>
      <c r="CF23" s="5">
        <f t="shared" si="108"/>
        <v>1472974.2152449549</v>
      </c>
      <c r="CG23" s="5"/>
      <c r="CH23" s="32" t="s">
        <v>141</v>
      </c>
      <c r="CI23" s="5" t="e">
        <f t="shared" si="155"/>
        <v>#VALUE!</v>
      </c>
      <c r="CJ23" s="32" t="e">
        <f>(CI23)*InputData!$C$6</f>
        <v>#VALUE!</v>
      </c>
      <c r="CK23" s="5" t="str">
        <f t="shared" si="168"/>
        <v>DNQ</v>
      </c>
      <c r="CL23" s="32" t="e">
        <f t="shared" si="156"/>
        <v>#VALUE!</v>
      </c>
      <c r="CM23" s="32" t="e">
        <f>CK23/((1+InputData!$C$3)^(Ortho!$B23-Ortho!$B$7))</f>
        <v>#VALUE!</v>
      </c>
      <c r="CN23" s="5" t="e">
        <f t="shared" si="40"/>
        <v>#VALUE!</v>
      </c>
      <c r="CO23" s="32" t="e">
        <f>CN23/((1+InputData!$C$7)^(Ortho!$B23-Ortho!$B$7))</f>
        <v>#VALUE!</v>
      </c>
      <c r="CP23" s="5" t="e">
        <f t="shared" si="109"/>
        <v>#VALUE!</v>
      </c>
      <c r="CQ23" s="5"/>
      <c r="CR23" s="32" t="s">
        <v>141</v>
      </c>
      <c r="CS23" s="5" t="e">
        <f t="shared" si="157"/>
        <v>#VALUE!</v>
      </c>
      <c r="CT23" s="32" t="e">
        <f>(CS23)*InputData!$C$6</f>
        <v>#VALUE!</v>
      </c>
      <c r="CU23" s="32" t="str">
        <f t="shared" si="169"/>
        <v>DNQ</v>
      </c>
      <c r="CV23" s="32" t="e">
        <f t="shared" si="158"/>
        <v>#VALUE!</v>
      </c>
      <c r="CW23" s="32" t="e">
        <f>CU23/((1+InputData!$C$3)^(Ortho!$B23-Ortho!$B$7))</f>
        <v>#VALUE!</v>
      </c>
      <c r="CX23" s="5" t="e">
        <f t="shared" si="44"/>
        <v>#VALUE!</v>
      </c>
      <c r="CY23" s="32" t="e">
        <f>CX23/((1+InputData!$C$7)^(Ortho!$B23-Ortho!$B$7))</f>
        <v>#VALUE!</v>
      </c>
      <c r="CZ23" s="5" t="e">
        <f t="shared" si="110"/>
        <v>#VALUE!</v>
      </c>
      <c r="DA23" s="5"/>
      <c r="DB23" s="32" t="s">
        <v>141</v>
      </c>
      <c r="DC23" s="5">
        <f t="shared" si="138"/>
        <v>0</v>
      </c>
      <c r="DD23" s="5">
        <f>DC23*InputData!$C$6</f>
        <v>0</v>
      </c>
      <c r="DE23" s="32">
        <f t="shared" si="139"/>
        <v>0</v>
      </c>
      <c r="DF23" s="32">
        <f t="shared" si="140"/>
        <v>0</v>
      </c>
      <c r="DG23" s="32">
        <f>DE23/((1+InputData!$C$3)^(Ortho!$B23-Ortho!$B$7))</f>
        <v>0</v>
      </c>
      <c r="DH23" s="5">
        <f t="shared" si="48"/>
        <v>293255.3193663116</v>
      </c>
      <c r="DI23" s="32">
        <f>DH23/((1+InputData!$C$7)^(Ortho!$B23-Ortho!$B$7))</f>
        <v>182747.01977952154</v>
      </c>
      <c r="DJ23" s="5">
        <f t="shared" si="111"/>
        <v>1378309.2066504685</v>
      </c>
      <c r="DK23" s="5"/>
      <c r="DL23" s="32" t="s">
        <v>141</v>
      </c>
      <c r="DM23" s="32">
        <f t="shared" si="159"/>
        <v>120245.309719046</v>
      </c>
      <c r="DN23" s="5">
        <f>DM23*InputData!$C$6</f>
        <v>7467.2337335527563</v>
      </c>
      <c r="DO23" s="32">
        <f t="shared" si="160"/>
        <v>0</v>
      </c>
      <c r="DP23" s="32">
        <f t="shared" si="123"/>
        <v>29148.379963889372</v>
      </c>
      <c r="DQ23" s="32">
        <f t="shared" si="124"/>
        <v>98564.163488709382</v>
      </c>
      <c r="DR23" s="32">
        <f>DP23/((1+InputData!$C$3)^(Ortho!$B23-Ortho!$B$7))</f>
        <v>21233.015361247082</v>
      </c>
      <c r="DS23" s="5">
        <f t="shared" si="52"/>
        <v>272022.30400506454</v>
      </c>
      <c r="DT23" s="32">
        <f>DS23/((1+InputData!$C$7)^(Ortho!$B23-Ortho!$B$7))</f>
        <v>169515.30658643952</v>
      </c>
      <c r="DU23" s="5">
        <f t="shared" si="113"/>
        <v>1417328.040280855</v>
      </c>
      <c r="DV23" s="5"/>
      <c r="DW23" s="32" t="s">
        <v>141</v>
      </c>
      <c r="DX23" s="133">
        <f t="shared" si="141"/>
        <v>134454.9848044496</v>
      </c>
      <c r="DY23" s="5">
        <f>DX23*InputData!$C$6</f>
        <v>8349.6545563563213</v>
      </c>
      <c r="DZ23" s="133">
        <f t="shared" si="142"/>
        <v>0</v>
      </c>
      <c r="EA23" s="32">
        <f t="shared" si="143"/>
        <v>29148.379963889372</v>
      </c>
      <c r="EB23" s="32">
        <f t="shared" si="144"/>
        <v>113656.25939691655</v>
      </c>
      <c r="EC23" s="32">
        <f>EA23/((1+InputData!$C$3)^(Ortho!$B23-Ortho!$B$7))</f>
        <v>21233.015361247082</v>
      </c>
      <c r="ED23" s="5">
        <f t="shared" si="56"/>
        <v>272022.30400506454</v>
      </c>
      <c r="EE23" s="32">
        <f>ED23/((1+InputData!$C$7)^(Ortho!$B23-Ortho!$B$7))</f>
        <v>169515.30658643952</v>
      </c>
      <c r="EF23" s="5">
        <f t="shared" si="115"/>
        <v>1425071.3812045029</v>
      </c>
      <c r="EG23" s="32"/>
      <c r="EH23" s="130" t="s">
        <v>141</v>
      </c>
      <c r="EI23" s="32">
        <v>0</v>
      </c>
      <c r="EJ23" s="32">
        <f t="shared" si="173"/>
        <v>99226.115733427971</v>
      </c>
      <c r="EK23" s="32">
        <f>(EJ23)*InputData!$C$6</f>
        <v>6161.9417870458774</v>
      </c>
      <c r="EL23" s="32">
        <f t="shared" si="172"/>
        <v>68122.275362971704</v>
      </c>
      <c r="EM23" s="32">
        <f>EM22*(1+InputData!$C$8)</f>
        <v>15773.307751491138</v>
      </c>
      <c r="EN23" s="32">
        <f t="shared" si="170"/>
        <v>37265.782157502101</v>
      </c>
      <c r="EO23" s="32">
        <f>AW23/((1+InputData!$C$3)^(Ortho!$B23-Ortho!$B$7))</f>
        <v>433677.47135930724</v>
      </c>
      <c r="EP23" s="32">
        <f>AX23/((1+InputData!$C$3)^(Ortho!$B23-Ortho!$B$7))</f>
        <v>0</v>
      </c>
      <c r="EQ23" s="32">
        <v>91527.05</v>
      </c>
      <c r="ER23" s="32">
        <v>10568.05</v>
      </c>
      <c r="ES23" s="32">
        <v>0</v>
      </c>
      <c r="ET23" s="43">
        <f t="shared" si="129"/>
        <v>0.23541711696481676</v>
      </c>
      <c r="EU23" s="32">
        <f t="shared" si="57"/>
        <v>331582.37135930726</v>
      </c>
      <c r="EV23" s="32">
        <f>EN23/((1+InputData!$C$3)^(Ortho!$B23-Ortho!$B$7))</f>
        <v>27146.103007419017</v>
      </c>
      <c r="EW23" s="32">
        <f t="shared" si="58"/>
        <v>304436.26835188823</v>
      </c>
      <c r="EX23" s="32">
        <f>EW23/((1+InputData!$C$7)^(Ortho!$B23-Ortho!$B$7))</f>
        <v>189714.61753643956</v>
      </c>
      <c r="EY23" s="5">
        <f t="shared" si="117"/>
        <v>1670949.9111190045</v>
      </c>
      <c r="EZ23" s="79"/>
      <c r="FA23" s="32">
        <f t="shared" si="161"/>
        <v>99226.115733427927</v>
      </c>
      <c r="FB23" s="32">
        <f>FA23*InputData!$C$6</f>
        <v>6161.9417870458747</v>
      </c>
      <c r="FC23" s="32">
        <f t="shared" si="162"/>
        <v>68122.275362971704</v>
      </c>
      <c r="FD23" s="32">
        <f>MIN($EJ$16*InputData!$C$6/(1-(1+InputData!$C$6)^(-10)), FA23+FB23)</f>
        <v>37265.782157502101</v>
      </c>
      <c r="FE23" s="32">
        <f>FD23/((1+InputData!$C$3)^(Ortho!$B23-Ortho!$B$7))</f>
        <v>27146.103007419017</v>
      </c>
      <c r="FF23" s="5">
        <f t="shared" si="62"/>
        <v>304436.26835188823</v>
      </c>
      <c r="FG23" s="32">
        <f>FF23/((1+InputData!$C$7)^(Ortho!$B23-Ortho!$B$7))</f>
        <v>189714.61753643956</v>
      </c>
      <c r="FH23" s="5">
        <f t="shared" si="118"/>
        <v>1670949.9111190045</v>
      </c>
      <c r="FI23" s="79"/>
      <c r="FJ23" s="32">
        <f t="shared" si="163"/>
        <v>230976.89638893801</v>
      </c>
      <c r="FK23" s="32">
        <f>FJ23*InputData!$C$6</f>
        <v>14343.66526575305</v>
      </c>
      <c r="FL23" s="32">
        <f t="shared" si="164"/>
        <v>223650.69431084834</v>
      </c>
      <c r="FM23" s="32">
        <f>MIN($EJ$16*InputData!$C$6/(1-(1+InputData!$C$6)^(-25)), FJ23+FK23)</f>
        <v>21669.867343842721</v>
      </c>
      <c r="FN23" s="32">
        <f>FM23/((1+InputData!$C$3)^(Ortho!$B23-Ortho!$B$7))</f>
        <v>15785.324150365028</v>
      </c>
      <c r="FO23" s="5">
        <f t="shared" si="66"/>
        <v>315797.04720894224</v>
      </c>
      <c r="FP23" s="32">
        <f>FO23/((1+InputData!$C$7)^(Ortho!$B23-Ortho!$B$7))</f>
        <v>196794.27932394651</v>
      </c>
      <c r="FQ23" s="5">
        <f t="shared" si="119"/>
        <v>1738699.6229704935</v>
      </c>
      <c r="FR23" s="79"/>
      <c r="FS23" s="32">
        <f t="shared" si="165"/>
        <v>99226.115733427927</v>
      </c>
      <c r="FT23" s="32">
        <f>FS23*InputData!$C$6</f>
        <v>6161.9417870458747</v>
      </c>
      <c r="FU23" s="32">
        <f t="shared" si="166"/>
        <v>68122.275362971704</v>
      </c>
      <c r="FV23" s="5">
        <f t="shared" si="171"/>
        <v>37265.782157502101</v>
      </c>
      <c r="FW23" s="32">
        <f>FV23/((1+InputData!$C$3)^(Ortho!$B23-Ortho!$B$7))</f>
        <v>27146.103007419017</v>
      </c>
      <c r="FX23" s="5">
        <f t="shared" si="70"/>
        <v>304436.26835188823</v>
      </c>
      <c r="FY23" s="32">
        <f>FX23/((1+InputData!$C$7)^(Ortho!$B23-Ortho!$B$7))</f>
        <v>189714.61753643956</v>
      </c>
      <c r="FZ23" s="5">
        <f t="shared" si="120"/>
        <v>1670949.9111190045</v>
      </c>
      <c r="GC23" s="3">
        <f t="shared" si="3"/>
        <v>13</v>
      </c>
      <c r="GD23" s="122" t="str">
        <f t="shared" si="145"/>
        <v>Multi-Year (O5&gt;12 = (BP+BAH+BAS+VSP+BCPSP)*12+ASP+ISP+MSP)</v>
      </c>
      <c r="GE23" s="5">
        <f t="shared" si="146"/>
        <v>214420.72</v>
      </c>
      <c r="GF23" s="5">
        <f t="shared" si="147"/>
        <v>21019.199999999997</v>
      </c>
      <c r="GG23" s="5">
        <f t="shared" si="148"/>
        <v>235439.91999999998</v>
      </c>
      <c r="GH23" s="5">
        <f t="shared" si="149"/>
        <v>183149.60329847579</v>
      </c>
      <c r="GI23" s="5">
        <f t="shared" si="150"/>
        <v>17953.759980151739</v>
      </c>
      <c r="GJ23" s="32">
        <f>IF(GH23-InputData!$C$158-InputData!$C$159&gt;=0,GH23-InputData!$C$158-InputData!$C$159,0)</f>
        <v>183149.60329847579</v>
      </c>
      <c r="GK23" s="32">
        <f>IF(GH23-IF(GH23&lt;=InputData!$C$146,InputData!$C$145,0)-MAX(InputData!$C$144,GQ23)&gt;=0,GH23-IF(GH23&lt;=InputData!$C$146,InputData!$C$145,0)-MAX(InputData!$C$144,GQ23),0)</f>
        <v>177049.60329847579</v>
      </c>
      <c r="GL23" s="32">
        <f>IF(GK23&lt;0,"Error",IF(GK23&lt;=InputData!$B$170,InputData!$C$170*GK23,IF(GK23&lt;=InputData!$B$171,InputData!$D$170+InputData!$C$171*(GK23-InputData!$B$170),IF(GK23&lt;=InputData!$B$172,InputData!$D$171+InputData!$C$172*(GK23-InputData!$B$171),IF(GK23&lt;=InputData!$B$173,InputData!$D$172+InputData!$C$173*(GK23-InputData!$B$172),IF(GK23&lt;=InputData!$B$174,InputData!$D$173+InputData!$C$174*(GK23-InputData!$B$173),IF(GK23&lt;=InputData!$B$175,InputData!$D$174+InputData!$C$175*(GK23-InputData!$B$174),InputData!$D$175+InputData!$C$176*(GK23-InputData!$B$175))))))))</f>
        <v>42867.13892357322</v>
      </c>
      <c r="GM23" s="32">
        <f>IF(GH23&lt;=InputData!$C$150,InputData!$C$152,IF(GH23&lt;InputData!$C$151,IF(InputData!$C$152-0.25*IF(GH23-InputData!$C$150&lt;=0,0,GH23-InputData!$C$150)&lt;=0,0,InputData!$C$152-0.25*IF(GH23-InputData!$C$150&lt;=0,0,GH23-InputData!$C$150)),0))</f>
        <v>34962.599175381052</v>
      </c>
      <c r="GN23" s="32">
        <f>IF(GH23-GM23&lt;=0,0,IF(GH23-GM23&lt;=InputData!$C$153,InputData!$C$154*(GH23-GM23),InputData!$C$155*(GH23-GM23)-InputData!$D$154))</f>
        <v>38528.621072004629</v>
      </c>
      <c r="GO23" s="32">
        <f t="shared" si="71"/>
        <v>42867.13892357322</v>
      </c>
      <c r="GP23" s="32">
        <f>IF(GH23&gt;=0,IF(GH23&lt;=InputData!$C$148,InputData!$C$147*GH23,InputData!$C$147*InputData!$C$148)+InputData!$C$149*GH23,0)</f>
        <v>9705.0692478278979</v>
      </c>
      <c r="GQ23" s="32">
        <f>IF(GJ23&lt;0,0,IF(GJ23&lt;=InputData!$B$163,InputData!$C$163*GJ23,IF(GJ23&lt;=InputData!$B$164,InputData!$D$163+InputData!$C$164*(GJ23-InputData!$B$163),IF(GJ23&lt;=InputData!$B$165,InputData!$D$164+InputData!$C$165*(GJ23-InputData!$B$164),InputData!$D$165+InputData!$C$166*(GJ23-InputData!$B$165)))))</f>
        <v>0</v>
      </c>
      <c r="GR23" s="43">
        <f t="shared" si="72"/>
        <v>0.28704516539806574</v>
      </c>
      <c r="GS23" s="43">
        <f t="shared" si="73"/>
        <v>0.2614188411089009</v>
      </c>
      <c r="GT23" s="5">
        <f t="shared" si="74"/>
        <v>148531.15510722643</v>
      </c>
      <c r="GU23" s="32">
        <f>GT23/((1+InputData!$C$7)^(Ortho!$B23-Ortho!$B$7))</f>
        <v>92559.705306998352</v>
      </c>
      <c r="GV23" s="32">
        <f t="shared" si="75"/>
        <v>974779.41682908288</v>
      </c>
      <c r="GX23" s="3">
        <f t="shared" si="130"/>
        <v>13</v>
      </c>
      <c r="GY23" s="122" t="str">
        <f t="shared" si="131"/>
        <v>Multi-Year (O5&gt;12 = (BP+BAH+BAS+VSP+BCPSP)*12+ASP+ISP+MSP)</v>
      </c>
      <c r="GZ23" s="5">
        <f t="shared" si="132"/>
        <v>214420.72</v>
      </c>
      <c r="HA23" s="5">
        <f t="shared" si="133"/>
        <v>21019.199999999997</v>
      </c>
      <c r="HB23" s="5">
        <f t="shared" si="134"/>
        <v>235439.91999999998</v>
      </c>
      <c r="HC23" s="5">
        <f t="shared" si="135"/>
        <v>183149.60329847579</v>
      </c>
      <c r="HD23" s="5">
        <f t="shared" si="136"/>
        <v>17953.759980151739</v>
      </c>
      <c r="HE23" s="32">
        <f>IF(HC23-InputData!$C$158-InputData!$C$159&gt;=0,HC23-InputData!$C$158-InputData!$C$159,0)</f>
        <v>183149.60329847579</v>
      </c>
      <c r="HF23" s="32">
        <f>IF(HC23-IF(HC23&lt;=InputData!$C$146,InputData!$C$145,0)-MAX(InputData!$C$144,HL23)&gt;=0,HC23-IF(HC23&lt;=InputData!$C$146,InputData!$C$145,0)-MAX(InputData!$C$144,HL23),0)</f>
        <v>177049.60329847579</v>
      </c>
      <c r="HG23" s="32">
        <f>IF(HF23&lt;0,"Error",IF(HF23&lt;=InputData!$B$170,InputData!$C$170*HF23,IF(HF23&lt;=InputData!$B$171,InputData!$D$170+InputData!$C$171*(HF23-InputData!$B$170),IF(HF23&lt;=InputData!$B$172,InputData!$D$171+InputData!$C$172*(HF23-InputData!$B$171),IF(HF23&lt;=InputData!$B$173,InputData!$D$172+InputData!$C$173*(HF23-InputData!$B$172),IF(HF23&lt;=InputData!$B$174,InputData!$D$173+InputData!$C$174*(HF23-InputData!$B$173),IF(HF23&lt;=InputData!$B$175,InputData!$D$174+InputData!$C$175*(HF23-InputData!$B$174),InputData!$D$175+InputData!$C$176*(HF23-InputData!$B$175))))))))</f>
        <v>42867.13892357322</v>
      </c>
      <c r="HH23" s="32">
        <f>IF(HC23&lt;=InputData!$C$150,InputData!$C$152,IF(HC23&lt;InputData!$C$151,IF(InputData!$C$152-0.25*IF(HC23-InputData!$C$150&lt;=0,0,HC23-InputData!$C$150)&lt;=0,0,InputData!$C$152-0.25*IF(HC23-InputData!$C$150&lt;=0,0,HC23-InputData!$C$150)),0))</f>
        <v>34962.599175381052</v>
      </c>
      <c r="HI23" s="32">
        <f>IF(HC23-HH23&lt;=0,0,IF(HC23-HH23&lt;=InputData!$C$153,InputData!$C$154*(HC23-HH23),InputData!$C$155*(HC23-HH23)-InputData!$D$154))</f>
        <v>38528.621072004629</v>
      </c>
      <c r="HJ23" s="32">
        <f t="shared" si="76"/>
        <v>42867.13892357322</v>
      </c>
      <c r="HK23" s="32">
        <f>IF(HC23&gt;=0,IF(HC23&lt;=InputData!$C$148,InputData!$C$147*HC23,InputData!$C$147*InputData!$C$148)+InputData!$C$149*HC23,0)</f>
        <v>9705.0692478278979</v>
      </c>
      <c r="HL23" s="32">
        <f>IF(HE23&lt;0,0,IF(HE23&lt;=InputData!$B$163,InputData!$C$163*HE23,IF(HE23&lt;=InputData!$B$164,InputData!$D$163+InputData!$C$164*(HE23-InputData!$B$163),IF(HE23&lt;=InputData!$B$165,InputData!$D$164+InputData!$C$165*(HE23-InputData!$B$164),InputData!$D$165+InputData!$C$166*(HE23-InputData!$B$165)))))</f>
        <v>0</v>
      </c>
      <c r="HM23" s="43">
        <f t="shared" si="77"/>
        <v>0.28704516539806574</v>
      </c>
      <c r="HN23" s="43">
        <f t="shared" si="78"/>
        <v>0.2614188411089009</v>
      </c>
      <c r="HO23" s="5">
        <f t="shared" si="79"/>
        <v>148531.15510722643</v>
      </c>
      <c r="HP23" s="32">
        <f>HO23/((1+InputData!$C$7)^(Ortho!$B23-Ortho!$B$7))</f>
        <v>92559.705306998352</v>
      </c>
      <c r="HQ23" s="32">
        <f t="shared" si="80"/>
        <v>1000147.3450290923</v>
      </c>
      <c r="HS23" s="41"/>
      <c r="HT23" s="53" t="s">
        <v>109</v>
      </c>
      <c r="HU23" s="32">
        <f>MIN(InputData!$C$13+InputData!$E$13*($B23-$B$23),1)*Ortho!AW23</f>
        <v>535811.60997171036</v>
      </c>
      <c r="HV23" s="32">
        <f>MIN(InputData!$C$13+InputData!$E$13*($B23-$B$23),1)*Ortho!AX23</f>
        <v>0</v>
      </c>
      <c r="HW23" s="32">
        <f>MIN(InputData!$C$13+InputData!$E$13*($B23-$B$23),1)*Ortho!AY23</f>
        <v>535811.60997171036</v>
      </c>
      <c r="HX23" s="32">
        <f>MIN(InputData!$C$13+InputData!$E$13*($B23-$B$23),1)*Ortho!EO23</f>
        <v>390309.72422337654</v>
      </c>
      <c r="HY23" s="32">
        <f>MIN(InputData!$C$13+InputData!$E$13*($B23-$B$23),1)*Ortho!EP23</f>
        <v>0</v>
      </c>
      <c r="HZ23" s="32">
        <f>IF(HX23-InputData!$C$158-InputData!$C$159&gt;=0,HX23-InputData!$C$158-InputData!$C$159,0)</f>
        <v>390309.72422337654</v>
      </c>
      <c r="IA23" s="32">
        <f>IF(HX23-IF(HX23&lt;=InputData!$C$146,InputData!$C$145,0)-MAX(InputData!$C$144,IG23)&gt;=0,HX23-IF(HX23&lt;=InputData!$C$146,InputData!$C$145,0)-MAX(InputData!$C$144,IG23),0)</f>
        <v>384209.72422337654</v>
      </c>
      <c r="IB23" s="32">
        <f>IF(IA23&lt;0,"Error",IF(IA23&lt;=InputData!$B$170,InputData!$C$170*IA23,IF(IA23&lt;=InputData!$B$171,InputData!$D$170+InputData!$C$171*(IA23-InputData!$B$170),IF(IA23&lt;=InputData!$B$172,InputData!$D$171+InputData!$C$172*(IA23-InputData!$B$171),IF(IA23&lt;=InputData!$B$173,InputData!$D$172+InputData!$C$173*(IA23-InputData!$B$172),IF(IA23&lt;=InputData!$B$174,InputData!$D$173+InputData!$C$174*(IA23-InputData!$B$173),IF(IA23&lt;=InputData!$B$175,InputData!$D$174+InputData!$C$175*(IA23-InputData!$B$174),InputData!$D$175+InputData!$C$176*(IA23-InputData!$B$175))))))))</f>
        <v>110919.95899371426</v>
      </c>
      <c r="IC23" s="32">
        <f>IF(HX23&lt;=InputData!$C$150,InputData!$C$152,IF(HX23&lt;InputData!$C$151,IF(InputData!$C$152-0.25*IF(HX23-InputData!$C$150&lt;=0,0,HX23-InputData!$C$150)&lt;=0,0,InputData!$C$152-0.25*IF(HX23-InputData!$C$150&lt;=0,0,HX23-InputData!$C$150)),0))</f>
        <v>0</v>
      </c>
      <c r="ID23" s="32">
        <f>IF(HX23-IC23&lt;=0,0,IF(HX23-IC23&lt;=InputData!$C$153,InputData!$C$154*(HX23-IC23),InputData!$C$155*(HX23-IC23)-InputData!$D$154))</f>
        <v>105696.72278254545</v>
      </c>
      <c r="IE23" s="32">
        <f t="shared" si="88"/>
        <v>110919.95899371426</v>
      </c>
      <c r="IF23" s="32">
        <f>IF(HX23&gt;=0,IF(HX23&lt;=InputData!$C$148,InputData!$C$147*HX23,InputData!$C$147*InputData!$C$148)+InputData!$C$149*HX23,0)</f>
        <v>12708.891001238961</v>
      </c>
      <c r="IG23" s="32">
        <f>IF(HZ23&lt;0,0,IF(HZ23&lt;=InputData!$B$163,InputData!$C$163*HZ23,IF(HZ23&lt;=InputData!$B$164,InputData!$D$163+InputData!$C$164*(HZ23-InputData!$B$163),IF(HZ23&lt;=InputData!$B$165,InputData!$D$164+InputData!$C$165*(HZ23-InputData!$B$164),InputData!$D$165+InputData!$C$166*(HZ23-InputData!$B$165)))))</f>
        <v>0</v>
      </c>
      <c r="IH23" s="43">
        <f t="shared" si="89"/>
        <v>0.31674550317941785</v>
      </c>
      <c r="II23" s="43">
        <f t="shared" si="90"/>
        <v>0.31674550317941785</v>
      </c>
      <c r="IJ23" s="5">
        <f t="shared" si="91"/>
        <v>266680.87422842334</v>
      </c>
      <c r="IK23" s="32">
        <f>IJ23/((1+InputData!$C$7)^(Ortho!$B23-Ortho!$B$7))</f>
        <v>166186.70414147087</v>
      </c>
      <c r="IL23" s="5">
        <f t="shared" si="92"/>
        <v>1048406.4156635554</v>
      </c>
      <c r="IN23" s="227"/>
      <c r="IO23" s="53" t="s">
        <v>109</v>
      </c>
      <c r="IP23" s="32">
        <f>MIN(InputData!$C$13+InputData!$E$13*($B23-$B$20),1)*Ortho!AW23</f>
        <v>535811.60997171036</v>
      </c>
      <c r="IQ23" s="32">
        <f>MIN(InputData!$C$13+InputData!$E$13*($B23-$B$20),1)*Ortho!AX23</f>
        <v>0</v>
      </c>
      <c r="IR23" s="32">
        <f>MIN(InputData!$C$13+InputData!$E$13*($B23-$B$20),1)*Ortho!AY23</f>
        <v>535811.60997171036</v>
      </c>
      <c r="IS23" s="32">
        <f>MIN(InputData!$C$13+InputData!$E$13*($B23-$B$20),1)*Ortho!EO23</f>
        <v>390309.72422337654</v>
      </c>
      <c r="IT23" s="32">
        <f>MIN(InputData!$C$13+InputData!$E$13*($B23-$B$20),1)*Ortho!EP23</f>
        <v>0</v>
      </c>
      <c r="IU23" s="32">
        <f>IF(IS23-InputData!$C$158-InputData!$C$159&gt;=0,IS23-InputData!$C$158-InputData!$C$159,0)</f>
        <v>390309.72422337654</v>
      </c>
      <c r="IV23" s="32">
        <f>IF(IS23-IF(IS23&lt;=InputData!$C$146,InputData!$C$145,0)-MAX(InputData!$C$144,JB23)&gt;=0,IS23-IF(IS23&lt;=InputData!$C$146,InputData!$C$145,0)-MAX(InputData!$C$144,JB23),0)</f>
        <v>384209.72422337654</v>
      </c>
      <c r="IW23" s="32">
        <f>IF(IV23&lt;0,"Error",IF(IV23&lt;=InputData!$B$170,InputData!$C$170*IV23,IF(IV23&lt;=InputData!$B$171,InputData!$D$170+InputData!$C$171*(IV23-InputData!$B$170),IF(IV23&lt;=InputData!$B$172,InputData!$D$171+InputData!$C$172*(IV23-InputData!$B$171),IF(IV23&lt;=InputData!$B$173,InputData!$D$172+InputData!$C$173*(IV23-InputData!$B$172),IF(IV23&lt;=InputData!$B$174,InputData!$D$173+InputData!$C$174*(IV23-InputData!$B$173),IF(IV23&lt;=InputData!$B$175,InputData!$D$174+InputData!$C$175*(IV23-InputData!$B$174),InputData!$D$175+InputData!$C$176*(IV23-InputData!$B$175))))))))</f>
        <v>110919.95899371426</v>
      </c>
      <c r="IX23" s="32">
        <f>IF(IS23&lt;=InputData!$C$150,InputData!$C$152,IF(IS23&lt;InputData!$C$151,IF(InputData!$C$152-0.25*IF(IS23-InputData!$C$150&lt;=0,0,IS23-InputData!$C$150)&lt;=0,0,InputData!$C$152-0.25*IF(IS23-InputData!$C$150&lt;=0,0,IS23-InputData!$C$150)),0))</f>
        <v>0</v>
      </c>
      <c r="IY23" s="32">
        <f>IF(IS23-IX23&lt;=0,0,IF(IS23-IX23&lt;=InputData!$C$153,InputData!$C$154*(IS23-IX23),InputData!$C$155*(IS23-IX23)-InputData!$D$154))</f>
        <v>105696.72278254545</v>
      </c>
      <c r="IZ23" s="32">
        <f t="shared" si="95"/>
        <v>110919.95899371426</v>
      </c>
      <c r="JA23" s="32">
        <f>IF(IS23&gt;=0,IF(IS23&lt;=InputData!$C$148,InputData!$C$147*IS23,InputData!$C$147*InputData!$C$148)+InputData!$C$149*IS23,0)</f>
        <v>12708.891001238961</v>
      </c>
      <c r="JB23" s="32">
        <f>IF(IU23&lt;0,0,IF(IU23&lt;=InputData!$B$163,InputData!$C$163*IU23,IF(IU23&lt;=InputData!$B$164,InputData!$D$163+InputData!$C$164*(IU23-InputData!$B$163),IF(IU23&lt;=InputData!$B$165,InputData!$D$164+InputData!$C$165*(IU23-InputData!$B$164),InputData!$D$165+InputData!$C$166*(IU23-InputData!$B$165)))))</f>
        <v>0</v>
      </c>
      <c r="JC23" s="43">
        <f t="shared" si="96"/>
        <v>0.31674550317941785</v>
      </c>
      <c r="JD23" s="43">
        <f t="shared" si="97"/>
        <v>0.31674550317941785</v>
      </c>
      <c r="JE23" s="5">
        <f t="shared" si="98"/>
        <v>266680.87422842334</v>
      </c>
      <c r="JF23" s="32">
        <f>JE23/((1+InputData!$C$7)^(Ortho!$B23-Ortho!$B$7))</f>
        <v>166186.70414147087</v>
      </c>
      <c r="JG23" s="5">
        <f t="shared" si="99"/>
        <v>1303398.1069902633</v>
      </c>
      <c r="JI23" s="41" t="str">
        <f t="shared" si="13"/>
        <v>Private Practice</v>
      </c>
      <c r="JJ23" s="5">
        <f t="shared" si="14"/>
        <v>595346.23330190033</v>
      </c>
      <c r="JK23" s="32">
        <v>0</v>
      </c>
      <c r="JL23" s="32">
        <f t="shared" si="101"/>
        <v>595346.23330190033</v>
      </c>
      <c r="JM23" s="32">
        <f>JM22*(1+InputData!$C$8)</f>
        <v>15773.307751491138</v>
      </c>
      <c r="JN23" s="32">
        <f>JJ23/((1+InputData!$C$3)^(Ortho!$B23-Ortho!$B$7))</f>
        <v>433677.47135930724</v>
      </c>
      <c r="JO23" s="32">
        <f>JK23/((1+InputData!$C$3)^(Ortho!$B23-Ortho!$B$7))</f>
        <v>0</v>
      </c>
      <c r="JP23" s="32" t="s">
        <v>141</v>
      </c>
      <c r="JQ23" s="32">
        <v>0</v>
      </c>
      <c r="JR23" s="32">
        <f t="shared" si="167"/>
        <v>0</v>
      </c>
      <c r="JS23" s="32">
        <f>(JR23)*InputData!$C$6</f>
        <v>0</v>
      </c>
      <c r="JT23" s="32">
        <f>MIN($BE$16*InputData!$C$6/(1-(1+InputData!$C$6)^(-10)), JR23+JS23)</f>
        <v>0</v>
      </c>
      <c r="JU23" s="32">
        <f t="shared" si="151"/>
        <v>0</v>
      </c>
      <c r="JV23" s="32">
        <f>JT23/((1+InputData!$C$3)^(Ortho!$B23-Ortho!$B$7))</f>
        <v>0</v>
      </c>
      <c r="JW23" s="32">
        <f>IF(JN23-InputData!$C$158-InputData!$C$159&gt;=0,JN23-InputData!$C$158-InputData!$C$159,0)</f>
        <v>433677.47135930724</v>
      </c>
      <c r="JX23" s="32">
        <f>IF(JN23-IF(JN23&lt;=InputData!$C$146,InputData!$C$145,0)-MAX(InputData!$C$144,KD23)&gt;=0,JN23-IF(JN23&lt;=InputData!$C$146,InputData!$C$145,0)-MAX(InputData!$C$144,KD23),0)</f>
        <v>427577.47135930724</v>
      </c>
      <c r="JY23" s="32">
        <f>IF(JX23&lt;0,"Error",IF(JX23&lt;=InputData!$B$170,InputData!$C$170*JX23,IF(JX23&lt;=InputData!$B$171,InputData!$D$170+InputData!$C$171*(JX23-InputData!$B$170),IF(JX23&lt;=InputData!$B$172,InputData!$D$171+InputData!$C$172*(JX23-InputData!$B$171),IF(JX23&lt;=InputData!$B$173,InputData!$D$172+InputData!$C$173*(JX23-InputData!$B$172),IF(JX23&lt;=InputData!$B$174,InputData!$D$173+InputData!$C$174*(JX23-InputData!$B$173),IF(JX23&lt;=InputData!$B$175,InputData!$D$174+InputData!$C$175*(JX23-InputData!$B$174),InputData!$D$175+InputData!$C$176*(JX23-InputData!$B$175))))))))</f>
        <v>127084.42865828567</v>
      </c>
      <c r="JZ23" s="32">
        <f>IF(JN23&lt;=InputData!$C$150,InputData!$C$152,IF(JN23&lt;InputData!$C$151,IF(InputData!$C$152-0.25*IF(JN23-InputData!$C$150&lt;=0,0,JN23-InputData!$C$150)&lt;=0,0,InputData!$C$152-0.25*IF(JN23-InputData!$C$150&lt;=0,0,JN23-InputData!$C$150)),0))</f>
        <v>0</v>
      </c>
      <c r="KA23" s="32">
        <f>IF(JN23-JZ23&lt;=0,0,IF(JN23-JZ23&lt;=InputData!$C$153,InputData!$C$154*(JN23-JZ23),InputData!$C$155*(JN23-JZ23)-InputData!$D$154))</f>
        <v>117839.69198060603</v>
      </c>
      <c r="KB23" s="32">
        <f t="shared" si="102"/>
        <v>127084.42865828567</v>
      </c>
      <c r="KC23" s="32">
        <f>IF(JN23&gt;=0,IF(JN23&lt;=InputData!$C$148,InputData!$C$147*JN23,InputData!$C$147*InputData!$C$148)+InputData!$C$149*JN23,0)</f>
        <v>13337.723334709954</v>
      </c>
      <c r="KD23" s="32">
        <f>IF(JW23&lt;0,0,IF(JW23&lt;=InputData!$B$163,InputData!$C$163*JW23,IF(JW23&lt;=InputData!$B$164,InputData!$D$163+InputData!$C$164*(JW23-InputData!$B$163),IF(JW23&lt;=InputData!$B$165,InputData!$D$164+InputData!$C$165*(JW23-InputData!$B$164),InputData!$D$165+InputData!$C$166*(JW23-InputData!$B$165)))))</f>
        <v>0</v>
      </c>
      <c r="KE23" s="43">
        <f t="shared" si="15"/>
        <v>0.32379397424740591</v>
      </c>
      <c r="KF23" s="32">
        <f t="shared" si="16"/>
        <v>293255.3193663116</v>
      </c>
      <c r="KG23" s="32">
        <f t="shared" si="103"/>
        <v>293255.3193663116</v>
      </c>
      <c r="KH23" s="32">
        <f>KG23/((1+InputData!$C$7)^(Ortho!$B23-Ortho!$B$7))</f>
        <v>182747.01977952154</v>
      </c>
      <c r="KI23" s="5">
        <f t="shared" si="122"/>
        <v>1758047.9830947928</v>
      </c>
    </row>
    <row r="24" spans="1:295" ht="14.45" x14ac:dyDescent="0.3">
      <c r="A24" s="4">
        <v>2030</v>
      </c>
      <c r="B24" s="51">
        <v>18</v>
      </c>
      <c r="C24" s="4"/>
      <c r="D24" s="3">
        <v>14</v>
      </c>
      <c r="E24" s="97" t="s">
        <v>263</v>
      </c>
      <c r="F24" s="5">
        <f>InputData!$J$22*12</f>
        <v>85420.799999999988</v>
      </c>
      <c r="G24" s="32">
        <f>(InputData!$J$22+InputData!$H$45+InputData!$E$50)*12+InputData!$J$50+InputData!$D$61+InputData!$J$61</f>
        <v>214420.72</v>
      </c>
      <c r="H24" s="32">
        <f>(InputData!$C$33+InputData!$C$40)*12</f>
        <v>21019.199999999997</v>
      </c>
      <c r="I24" s="32">
        <f t="shared" si="17"/>
        <v>235439.91999999998</v>
      </c>
      <c r="J24" s="32">
        <f>G24*((1+InputData!$C$5)/(1+InputData!$C$3))^(Ortho!$B24-Ortho!$B$7)</f>
        <v>181354.0189524123</v>
      </c>
      <c r="K24" s="32">
        <f>H24*((1+InputData!$C$5)/(1+InputData!$C$3))^(Ortho!$B24-Ortho!$B$7)</f>
        <v>17777.742725444368</v>
      </c>
      <c r="L24" s="32">
        <f>IF(J24-InputData!$C$158-InputData!$C$159&gt;=0,J24-InputData!$C$158-InputData!$C$159,0)</f>
        <v>181354.0189524123</v>
      </c>
      <c r="M24" s="32">
        <f>IF(J24-IF(J24&lt;=InputData!$C$146,InputData!$C$145,0)-MAX(InputData!$C$144,S24)&gt;=0,J24-IF(J24&lt;=InputData!$C$146,InputData!$C$145,0)-MAX(InputData!$C$144,S24),0)</f>
        <v>175254.0189524123</v>
      </c>
      <c r="N24" s="32">
        <f>IF(M24&lt;0,"Error",IF(M24&lt;=InputData!$B$170,InputData!$C$170*M24,IF(M24&lt;=InputData!$B$171,InputData!$D$170+InputData!$C$171*(M24-InputData!$B$170),IF(M24&lt;=InputData!$B$172,InputData!$D$171+InputData!$C$172*(M24-InputData!$B$171),IF(M24&lt;=InputData!$B$173,InputData!$D$172+InputData!$C$173*(M24-InputData!$B$172),IF(M24&lt;=InputData!$B$174,InputData!$D$173+InputData!$C$174*(M24-InputData!$B$173),IF(M24&lt;=InputData!$B$175,InputData!$D$174+InputData!$C$175*(M24-InputData!$B$174),InputData!$D$175+InputData!$C$176*(M24-InputData!$B$175))))))))</f>
        <v>42364.375306675443</v>
      </c>
      <c r="O24" s="32">
        <f>IF(J24&lt;=InputData!$C$150,InputData!$C$152,IF(J24&lt;InputData!$C$151,IF(InputData!$C$152-0.25*IF(J24-InputData!$C$150&lt;=0,0,J24-InputData!$C$150)&lt;=0,0,InputData!$C$152-0.25*IF(J24-InputData!$C$150&lt;=0,0,J24-InputData!$C$150)),0))</f>
        <v>35411.495261896926</v>
      </c>
      <c r="P24" s="32">
        <f>IF(J24-O24&lt;=0,0,IF(J24-O24&lt;=InputData!$C$153,InputData!$C$154*(J24-O24),InputData!$C$155*(J24-O24)-InputData!$D$154))</f>
        <v>37945.056159533997</v>
      </c>
      <c r="Q24" s="32">
        <f t="shared" si="18"/>
        <v>42364.375306675443</v>
      </c>
      <c r="R24" s="32">
        <f>IF(J24&gt;=0,IF(J24&lt;=InputData!$C$148,InputData!$C$147*J24,InputData!$C$147*InputData!$C$148)+InputData!$C$149*J24,0)</f>
        <v>9679.033274809979</v>
      </c>
      <c r="S24" s="32">
        <f>IF(L24&lt;0,0,IF(L24&lt;=InputData!$B$163,InputData!$C$163*L24,IF(L24&lt;=InputData!$B$164,InputData!$D$163+InputData!$C$164*(L24-InputData!$B$163),IF(L24&lt;=InputData!$B$165,InputData!$D$164+InputData!$C$165*(L24-InputData!$B$164),InputData!$D$165+InputData!$C$166*(L24-InputData!$B$165)))))</f>
        <v>0</v>
      </c>
      <c r="T24" s="43">
        <f t="shared" si="19"/>
        <v>0.2869713551544823</v>
      </c>
      <c r="U24" s="43">
        <f t="shared" si="20"/>
        <v>0.26135162036922116</v>
      </c>
      <c r="V24" s="5">
        <f t="shared" si="21"/>
        <v>147088.35309637125</v>
      </c>
      <c r="W24" s="32">
        <f>V24/((1+InputData!$C$7)^(Ortho!$B24-Ortho!$B$7))</f>
        <v>88990.872615527289</v>
      </c>
      <c r="X24" s="5">
        <f t="shared" si="104"/>
        <v>1063770.2894446102</v>
      </c>
      <c r="Y24" s="53"/>
      <c r="Z24" s="3">
        <v>14</v>
      </c>
      <c r="AA24" s="97" t="s">
        <v>263</v>
      </c>
      <c r="AB24" s="5">
        <f t="shared" si="126"/>
        <v>85420.799999999988</v>
      </c>
      <c r="AC24" s="32">
        <f t="shared" si="175"/>
        <v>214420.72</v>
      </c>
      <c r="AD24" s="32">
        <f t="shared" si="174"/>
        <v>21019.199999999997</v>
      </c>
      <c r="AE24" s="32">
        <f t="shared" si="22"/>
        <v>235439.91999999998</v>
      </c>
      <c r="AF24" s="5">
        <f>AC24*((1+InputData!$C$5)/(1+InputData!$C$3))^(Ortho!$B24-Ortho!$B$7)</f>
        <v>181354.0189524123</v>
      </c>
      <c r="AG24" s="5">
        <f>AD24*((1+InputData!$C$5)/(1+InputData!$C$3))^(Ortho!$B24-Ortho!$B$7)</f>
        <v>17777.742725444368</v>
      </c>
      <c r="AH24" s="32">
        <f>IF(AF24-InputData!$C$158-InputData!$C$159&gt;=0,AF24-InputData!$C$158-InputData!$C$159,0)</f>
        <v>181354.0189524123</v>
      </c>
      <c r="AI24" s="32">
        <f>IF(AF24-IF(AF24&lt;=InputData!$C$146,InputData!$C$145,0)-MAX(InputData!$C$144,AO24)&gt;=0,AF24-IF(AF24&lt;=InputData!$C$146,InputData!$C$145,0)-MAX(InputData!$C$144,AO24),0)</f>
        <v>175254.0189524123</v>
      </c>
      <c r="AJ24" s="32">
        <f>IF(AI24&lt;0,"Error",IF(AI24&lt;=InputData!$B$170,InputData!$C$170*AI24,IF(AI24&lt;=InputData!$B$171,InputData!$D$170+InputData!$C$171*(AI24-InputData!$B$170),IF(AI24&lt;=InputData!$B$172,InputData!$D$171+InputData!$C$172*(AI24-InputData!$B$171),IF(AI24&lt;=InputData!$B$173,InputData!$D$172+InputData!$C$173*(AI24-InputData!$B$172),IF(AI24&lt;=InputData!$B$174,InputData!$D$173+InputData!$C$174*(AI24-InputData!$B$173),IF(AI24&lt;=InputData!$B$175,InputData!$D$174+InputData!$C$175*(AI24-InputData!$B$174),InputData!$D$175+InputData!$C$176*(AI24-InputData!$B$175))))))))</f>
        <v>42364.375306675443</v>
      </c>
      <c r="AK24" s="32">
        <f>IF(AF24&lt;=InputData!$C$150,InputData!$C$152,IF(AF24&lt;InputData!$C$151,IF(InputData!$C$152-0.25*IF(AF24-InputData!$C$150&lt;=0,0,AF24-InputData!$C$150)&lt;=0,0,InputData!$C$152-0.25*IF(AF24-InputData!$C$150&lt;=0,0,AF24-InputData!$C$150)),0))</f>
        <v>35411.495261896926</v>
      </c>
      <c r="AL24" s="32">
        <f>IF(AF24-AK24&lt;=0,0,IF(AF24-AK24&lt;=InputData!$C$153,InputData!$C$154*(AF24-AK24),InputData!$C$155*(AF24-AK24)-InputData!$D$154))</f>
        <v>37945.056159533997</v>
      </c>
      <c r="AM24" s="32">
        <f t="shared" si="23"/>
        <v>42364.375306675443</v>
      </c>
      <c r="AN24" s="32">
        <f>IF(AF24&gt;=0,IF(AF24&lt;=InputData!$C$148,InputData!$C$147*AF24,InputData!$C$147*InputData!$C$148)+InputData!$C$149*AF24,0)</f>
        <v>9679.033274809979</v>
      </c>
      <c r="AO24" s="32">
        <f>IF(AH24&lt;0,0,IF(AH24&lt;=InputData!$B$163,InputData!$C$163*AH24,IF(AH24&lt;=InputData!$B$164,InputData!$D$163+InputData!$C$164*(AH24-InputData!$B$163),IF(AH24&lt;=InputData!$B$165,InputData!$D$164+InputData!$C$165*(AH24-InputData!$B$164),InputData!$D$165+InputData!$C$166*(AH24-InputData!$B$165)))))</f>
        <v>0</v>
      </c>
      <c r="AP24" s="43">
        <f t="shared" si="24"/>
        <v>0.2869713551544823</v>
      </c>
      <c r="AQ24" s="43">
        <f t="shared" si="25"/>
        <v>0.26135162036922116</v>
      </c>
      <c r="AR24" s="5">
        <f t="shared" si="26"/>
        <v>147088.35309637125</v>
      </c>
      <c r="AS24" s="32">
        <f>AR24/((1+InputData!$C$7)^(Ortho!$B24-Ortho!$B$7))</f>
        <v>88990.872615527289</v>
      </c>
      <c r="AT24" s="5">
        <f t="shared" si="105"/>
        <v>1089138.2176446195</v>
      </c>
      <c r="AU24" s="53"/>
      <c r="AV24" s="41" t="s">
        <v>109</v>
      </c>
      <c r="AW24" s="32">
        <f>$AW$17*(1+InputData!$C$3+InputData!$C$4)^(Ortho!$B24-Ortho!$B$17)</f>
        <v>613206.62030095747</v>
      </c>
      <c r="AX24" s="32">
        <v>0</v>
      </c>
      <c r="AY24" s="32">
        <f t="shared" si="28"/>
        <v>613206.62030095747</v>
      </c>
      <c r="AZ24" s="32">
        <f>AZ23*(1+InputData!$C$8)</f>
        <v>16088.773906520961</v>
      </c>
      <c r="BA24" s="32">
        <f>AW24/((1+InputData!$C$3)^(Ortho!$B24-Ortho!$B$7))</f>
        <v>437929.21127459465</v>
      </c>
      <c r="BB24" s="32">
        <f>AX24/((1+InputData!$C$3)^(Ortho!$B24-Ortho!$B$7))</f>
        <v>0</v>
      </c>
      <c r="BC24" s="32" t="s">
        <v>141</v>
      </c>
      <c r="BD24" s="32">
        <v>0</v>
      </c>
      <c r="BE24" s="32">
        <f t="shared" si="152"/>
        <v>68173.665493597859</v>
      </c>
      <c r="BF24" s="32">
        <f>(BE24)*InputData!$C$6</f>
        <v>4233.5846271524269</v>
      </c>
      <c r="BG24" s="32">
        <f>MIN($BE$16*InputData!$C$6/(1-(1+InputData!$C$6)^(-10)), BE24+BF24)</f>
        <v>37293.894744798265</v>
      </c>
      <c r="BH24" s="32">
        <f t="shared" si="137"/>
        <v>35113.355375952015</v>
      </c>
      <c r="BI24" s="32">
        <f>BG24/((1+InputData!$C$3)^(Ortho!$B24-Ortho!$B$7))</f>
        <v>26633.903435242726</v>
      </c>
      <c r="BJ24" s="32">
        <f>IF(BA24-InputData!$C$158-InputData!$C$159&gt;=0,BA24-InputData!$C$158-InputData!$C$159,0)</f>
        <v>437929.21127459465</v>
      </c>
      <c r="BK24" s="32">
        <f>IF(BA24-IF(BA24&lt;=InputData!$C$146,InputData!$C$145,0)-MAX(InputData!$C$144,BQ24)&gt;=0,BA24-IF(BA24&lt;=InputData!$C$146,InputData!$C$145,0)-MAX(InputData!$C$144,BQ24),0)</f>
        <v>431829.21127459465</v>
      </c>
      <c r="BL24" s="32">
        <f>IF(BK24&lt;0,"Error",IF(BK24&lt;=InputData!$B$170,InputData!$C$170*BK24,IF(BK24&lt;=InputData!$B$171,InputData!$D$170+InputData!$C$171*(BK24-InputData!$B$170),IF(BK24&lt;=InputData!$B$172,InputData!$D$171+InputData!$C$172*(BK24-InputData!$B$171),IF(BK24&lt;=InputData!$B$173,InputData!$D$172+InputData!$C$173*(BK24-InputData!$B$172),IF(BK24&lt;=InputData!$B$174,InputData!$D$173+InputData!$C$174*(BK24-InputData!$B$173),IF(BK24&lt;=InputData!$B$175,InputData!$D$174+InputData!$C$175*(BK24-InputData!$B$174),InputData!$D$175+InputData!$C$176*(BK24-InputData!$B$175))))))))</f>
        <v>128768.11766473949</v>
      </c>
      <c r="BM24" s="32">
        <f>IF(BA24&lt;=InputData!$C$150,InputData!$C$152,IF(BA24&lt;InputData!$C$151,IF(InputData!$C$152-0.25*IF(BA24-InputData!$C$150&lt;=0,0,BA24-InputData!$C$150)&lt;=0,0,InputData!$C$152-0.25*IF(BA24-InputData!$C$150&lt;=0,0,BA24-InputData!$C$150)),0))</f>
        <v>0</v>
      </c>
      <c r="BN24" s="32">
        <f>IF(BA24-BM24&lt;=0,0,IF(BA24-BM24&lt;=InputData!$C$153,InputData!$C$154*(BA24-BM24),InputData!$C$155*(BA24-BM24)-InputData!$D$154))</f>
        <v>119030.17915688652</v>
      </c>
      <c r="BO24" s="32">
        <f t="shared" si="29"/>
        <v>128768.11766473949</v>
      </c>
      <c r="BP24" s="32">
        <f>IF(BA24&gt;=0,IF(BA24&lt;=InputData!$C$148,InputData!$C$147*BA24,InputData!$C$147*InputData!$C$148)+InputData!$C$149*BA24,0)</f>
        <v>13399.373563481622</v>
      </c>
      <c r="BQ24" s="32">
        <f>IF(BJ24&lt;0,0,IF(BJ24&lt;=InputData!$B$163,InputData!$C$163*BJ24,IF(BJ24&lt;=InputData!$B$164,InputData!$D$163+InputData!$C$164*(BJ24-InputData!$B$163),IF(BJ24&lt;=InputData!$B$165,InputData!$D$164+InputData!$C$165*(BJ24-InputData!$B$164),InputData!$D$165+InputData!$C$166*(BJ24-InputData!$B$165)))))</f>
        <v>0</v>
      </c>
      <c r="BR24" s="43">
        <f t="shared" si="30"/>
        <v>0.32463578032267376</v>
      </c>
      <c r="BS24" s="32">
        <f t="shared" si="31"/>
        <v>295761.72004637355</v>
      </c>
      <c r="BT24" s="32">
        <f t="shared" si="32"/>
        <v>269127.81661113084</v>
      </c>
      <c r="BU24" s="32">
        <f>BT24/((1+InputData!$C$7)^(Ortho!$B24-Ortho!$B$7))</f>
        <v>162826.75508402978</v>
      </c>
      <c r="BV24" s="5">
        <f t="shared" si="107"/>
        <v>1568000.149401597</v>
      </c>
      <c r="BW24" s="5"/>
      <c r="BX24" s="32" t="s">
        <v>141</v>
      </c>
      <c r="BY24" s="5">
        <f t="shared" si="153"/>
        <v>223819.41208097569</v>
      </c>
      <c r="BZ24" s="32">
        <f>(BY24)*InputData!$C$6</f>
        <v>13899.18549022859</v>
      </c>
      <c r="CA24" s="32">
        <f>MIN($BY$16*InputData!$C$6/(1-(1+InputData!$C$6)^(-25)), BY24+BZ24)</f>
        <v>21686.214673809533</v>
      </c>
      <c r="CB24" s="32">
        <f t="shared" si="154"/>
        <v>216032.38289739474</v>
      </c>
      <c r="CC24" s="32">
        <f>CA24/((1+InputData!$C$3)^(Ortho!$B24-Ortho!$B$7))</f>
        <v>15487.482641612505</v>
      </c>
      <c r="CD24" s="5">
        <f t="shared" si="36"/>
        <v>280274.23740476102</v>
      </c>
      <c r="CE24" s="32">
        <f>CD24/((1+InputData!$C$7)^(Ortho!$B24-Ortho!$B$7))</f>
        <v>169570.52297648214</v>
      </c>
      <c r="CF24" s="5">
        <f t="shared" si="108"/>
        <v>1642544.738221437</v>
      </c>
      <c r="CG24" s="5"/>
      <c r="CH24" s="32" t="s">
        <v>141</v>
      </c>
      <c r="CI24" s="5" t="e">
        <f t="shared" si="155"/>
        <v>#VALUE!</v>
      </c>
      <c r="CJ24" s="32" t="e">
        <f>(CI24)*InputData!$C$6</f>
        <v>#VALUE!</v>
      </c>
      <c r="CK24" s="5" t="str">
        <f t="shared" si="168"/>
        <v>DNQ</v>
      </c>
      <c r="CL24" s="32" t="e">
        <f t="shared" si="156"/>
        <v>#VALUE!</v>
      </c>
      <c r="CM24" s="32" t="e">
        <f>CK24/((1+InputData!$C$3)^(Ortho!$B24-Ortho!$B$7))</f>
        <v>#VALUE!</v>
      </c>
      <c r="CN24" s="5" t="e">
        <f t="shared" si="40"/>
        <v>#VALUE!</v>
      </c>
      <c r="CO24" s="32" t="e">
        <f>CN24/((1+InputData!$C$7)^(Ortho!$B24-Ortho!$B$7))</f>
        <v>#VALUE!</v>
      </c>
      <c r="CP24" s="5" t="e">
        <f t="shared" si="109"/>
        <v>#VALUE!</v>
      </c>
      <c r="CQ24" s="5"/>
      <c r="CR24" s="32" t="s">
        <v>141</v>
      </c>
      <c r="CS24" s="5" t="e">
        <f t="shared" si="157"/>
        <v>#VALUE!</v>
      </c>
      <c r="CT24" s="32" t="e">
        <f>(CS24)*InputData!$C$6</f>
        <v>#VALUE!</v>
      </c>
      <c r="CU24" s="32" t="str">
        <f t="shared" si="169"/>
        <v>DNQ</v>
      </c>
      <c r="CV24" s="32" t="e">
        <f t="shared" si="158"/>
        <v>#VALUE!</v>
      </c>
      <c r="CW24" s="32" t="e">
        <f>CU24/((1+InputData!$C$3)^(Ortho!$B24-Ortho!$B$7))</f>
        <v>#VALUE!</v>
      </c>
      <c r="CX24" s="5" t="e">
        <f t="shared" si="44"/>
        <v>#VALUE!</v>
      </c>
      <c r="CY24" s="32" t="e">
        <f>CX24/((1+InputData!$C$7)^(Ortho!$B24-Ortho!$B$7))</f>
        <v>#VALUE!</v>
      </c>
      <c r="CZ24" s="5" t="e">
        <f t="shared" si="110"/>
        <v>#VALUE!</v>
      </c>
      <c r="DA24" s="5"/>
      <c r="DB24" s="32" t="s">
        <v>141</v>
      </c>
      <c r="DC24" s="5">
        <f t="shared" si="138"/>
        <v>0</v>
      </c>
      <c r="DD24" s="5">
        <f>DC24*InputData!$C$6</f>
        <v>0</v>
      </c>
      <c r="DE24" s="32">
        <f t="shared" si="139"/>
        <v>0</v>
      </c>
      <c r="DF24" s="32">
        <f t="shared" si="140"/>
        <v>0</v>
      </c>
      <c r="DG24" s="32">
        <f>DE24/((1+InputData!$C$3)^(Ortho!$B24-Ortho!$B$7))</f>
        <v>0</v>
      </c>
      <c r="DH24" s="5">
        <f t="shared" si="48"/>
        <v>295761.72004637355</v>
      </c>
      <c r="DI24" s="32">
        <f>DH24/((1+InputData!$C$7)^(Ortho!$B24-Ortho!$B$7))</f>
        <v>178940.70467939315</v>
      </c>
      <c r="DJ24" s="5">
        <f t="shared" si="111"/>
        <v>1557249.9113298617</v>
      </c>
      <c r="DK24" s="5"/>
      <c r="DL24" s="32" t="s">
        <v>141</v>
      </c>
      <c r="DM24" s="32">
        <f t="shared" si="159"/>
        <v>98564.163488709382</v>
      </c>
      <c r="DN24" s="5">
        <f>DM24*InputData!$C$6</f>
        <v>6120.8345526488529</v>
      </c>
      <c r="DO24" s="32">
        <f t="shared" si="160"/>
        <v>0</v>
      </c>
      <c r="DP24" s="32">
        <f t="shared" si="123"/>
        <v>29148.379963889372</v>
      </c>
      <c r="DQ24" s="32">
        <f t="shared" si="124"/>
        <v>75536.618077468869</v>
      </c>
      <c r="DR24" s="32">
        <f>DP24/((1+InputData!$C$3)^(Ortho!$B24-Ortho!$B$7))</f>
        <v>20816.681726712824</v>
      </c>
      <c r="DS24" s="5">
        <f t="shared" si="52"/>
        <v>274945.0383196607</v>
      </c>
      <c r="DT24" s="32">
        <f>DS24/((1+InputData!$C$7)^(Ortho!$B24-Ortho!$B$7))</f>
        <v>166346.26988681554</v>
      </c>
      <c r="DU24" s="5">
        <f t="shared" si="113"/>
        <v>1583674.3101676705</v>
      </c>
      <c r="DV24" s="5"/>
      <c r="DW24" s="32" t="s">
        <v>141</v>
      </c>
      <c r="DX24" s="133">
        <f t="shared" si="141"/>
        <v>113656.25939691655</v>
      </c>
      <c r="DY24" s="5">
        <f>DX24*InputData!$C$6</f>
        <v>7058.0537085485175</v>
      </c>
      <c r="DZ24" s="133">
        <f t="shared" si="142"/>
        <v>0</v>
      </c>
      <c r="EA24" s="32">
        <f t="shared" si="143"/>
        <v>29148.379963889372</v>
      </c>
      <c r="EB24" s="32">
        <f t="shared" si="144"/>
        <v>91565.93314157569</v>
      </c>
      <c r="EC24" s="32">
        <f>EA24/((1+InputData!$C$3)^(Ortho!$B24-Ortho!$B$7))</f>
        <v>20816.681726712824</v>
      </c>
      <c r="ED24" s="5">
        <f t="shared" si="56"/>
        <v>274945.0383196607</v>
      </c>
      <c r="EE24" s="32">
        <f>ED24/((1+InputData!$C$7)^(Ortho!$B24-Ortho!$B$7))</f>
        <v>166346.26988681554</v>
      </c>
      <c r="EF24" s="5">
        <f t="shared" si="115"/>
        <v>1591417.6510913183</v>
      </c>
      <c r="EG24" s="32"/>
      <c r="EH24" s="130" t="s">
        <v>141</v>
      </c>
      <c r="EI24" s="32">
        <v>0</v>
      </c>
      <c r="EJ24" s="32">
        <f t="shared" si="173"/>
        <v>68122.275362971748</v>
      </c>
      <c r="EK24" s="32">
        <f>(EJ24)*InputData!$C$6</f>
        <v>4230.3933000405459</v>
      </c>
      <c r="EL24" s="32">
        <f t="shared" si="172"/>
        <v>35086.886505510156</v>
      </c>
      <c r="EM24" s="32">
        <f>EM23*(1+InputData!$C$8)</f>
        <v>16088.773906520961</v>
      </c>
      <c r="EN24" s="32">
        <f t="shared" si="170"/>
        <v>37265.782157502101</v>
      </c>
      <c r="EO24" s="32">
        <f>AW24/((1+InputData!$C$3)^(Ortho!$B24-Ortho!$B$7))</f>
        <v>437929.21127459465</v>
      </c>
      <c r="EP24" s="32">
        <f>AX24/((1+InputData!$C$3)^(Ortho!$B24-Ortho!$B$7))</f>
        <v>0</v>
      </c>
      <c r="EQ24" s="32">
        <v>92607.6</v>
      </c>
      <c r="ER24" s="32">
        <v>10615.53</v>
      </c>
      <c r="ES24" s="32">
        <v>0</v>
      </c>
      <c r="ET24" s="43">
        <f t="shared" si="129"/>
        <v>0.23570734114668598</v>
      </c>
      <c r="EU24" s="32">
        <f t="shared" si="57"/>
        <v>334706.08127459465</v>
      </c>
      <c r="EV24" s="32">
        <f>EN24/((1+InputData!$C$3)^(Ortho!$B24-Ortho!$B$7))</f>
        <v>26613.826477861781</v>
      </c>
      <c r="EW24" s="32">
        <f t="shared" si="58"/>
        <v>308092.25479673286</v>
      </c>
      <c r="EX24" s="32">
        <f>EW24/((1+InputData!$C$7)^(Ortho!$B24-Ortho!$B$7))</f>
        <v>186400.88098942098</v>
      </c>
      <c r="EY24" s="5">
        <f t="shared" si="117"/>
        <v>1857350.7921084254</v>
      </c>
      <c r="EZ24" s="79"/>
      <c r="FA24" s="32">
        <f t="shared" si="161"/>
        <v>68122.275362971704</v>
      </c>
      <c r="FB24" s="32">
        <f>FA24*InputData!$C$6</f>
        <v>4230.3933000405432</v>
      </c>
      <c r="FC24" s="32">
        <f t="shared" si="162"/>
        <v>35086.886505510141</v>
      </c>
      <c r="FD24" s="32">
        <f>MIN($EJ$16*InputData!$C$6/(1-(1+InputData!$C$6)^(-10)), FA24+FB24)</f>
        <v>37265.782157502101</v>
      </c>
      <c r="FE24" s="32">
        <f>FD24/((1+InputData!$C$3)^(Ortho!$B24-Ortho!$B$7))</f>
        <v>26613.826477861781</v>
      </c>
      <c r="FF24" s="5">
        <f t="shared" si="62"/>
        <v>308092.25479673286</v>
      </c>
      <c r="FG24" s="32">
        <f>FF24/((1+InputData!$C$7)^(Ortho!$B24-Ortho!$B$7))</f>
        <v>186400.88098942098</v>
      </c>
      <c r="FH24" s="5">
        <f t="shared" si="118"/>
        <v>1857350.7921084254</v>
      </c>
      <c r="FI24" s="79"/>
      <c r="FJ24" s="32">
        <f t="shared" si="163"/>
        <v>223650.69431084834</v>
      </c>
      <c r="FK24" s="32">
        <f>FJ24*InputData!$C$6</f>
        <v>13888.708116703683</v>
      </c>
      <c r="FL24" s="32">
        <f t="shared" si="164"/>
        <v>215869.53508370931</v>
      </c>
      <c r="FM24" s="32">
        <f>MIN($EJ$16*InputData!$C$6/(1-(1+InputData!$C$6)^(-25)), FJ24+FK24)</f>
        <v>21669.867343842721</v>
      </c>
      <c r="FN24" s="32">
        <f>FM24/((1+InputData!$C$3)^(Ortho!$B24-Ortho!$B$7))</f>
        <v>15475.807990553947</v>
      </c>
      <c r="FO24" s="5">
        <f t="shared" si="66"/>
        <v>319230.27328404068</v>
      </c>
      <c r="FP24" s="32">
        <f>FO24/((1+InputData!$C$7)^(Ortho!$B24-Ortho!$B$7))</f>
        <v>193139.56534836532</v>
      </c>
      <c r="FQ24" s="5">
        <f t="shared" si="119"/>
        <v>1931839.1883188589</v>
      </c>
      <c r="FR24" s="79"/>
      <c r="FS24" s="32">
        <f t="shared" si="165"/>
        <v>68122.275362971704</v>
      </c>
      <c r="FT24" s="32">
        <f>FS24*InputData!$C$6</f>
        <v>4230.3933000405432</v>
      </c>
      <c r="FU24" s="32">
        <f t="shared" si="166"/>
        <v>35086.886505510141</v>
      </c>
      <c r="FV24" s="5">
        <f t="shared" si="171"/>
        <v>37265.782157502101</v>
      </c>
      <c r="FW24" s="32">
        <f>FV24/((1+InputData!$C$3)^(Ortho!$B24-Ortho!$B$7))</f>
        <v>26613.826477861781</v>
      </c>
      <c r="FX24" s="5">
        <f t="shared" si="70"/>
        <v>308092.25479673286</v>
      </c>
      <c r="FY24" s="32">
        <f>FX24/((1+InputData!$C$7)^(Ortho!$B24-Ortho!$B$7))</f>
        <v>186400.88098942098</v>
      </c>
      <c r="FZ24" s="5">
        <f t="shared" si="120"/>
        <v>1857350.7921084254</v>
      </c>
      <c r="GC24" s="3">
        <f t="shared" si="3"/>
        <v>14</v>
      </c>
      <c r="GD24" s="122" t="str">
        <f t="shared" si="145"/>
        <v>Multi-Year (O5&gt;12 = (BP+BAH+BAS+VSP+BCPSP)*12+ASP+ISP+MSP)</v>
      </c>
      <c r="GE24" s="5">
        <f t="shared" si="146"/>
        <v>214420.72</v>
      </c>
      <c r="GF24" s="5">
        <f t="shared" si="147"/>
        <v>21019.199999999997</v>
      </c>
      <c r="GG24" s="5">
        <f t="shared" si="148"/>
        <v>235439.91999999998</v>
      </c>
      <c r="GH24" s="5">
        <f t="shared" si="149"/>
        <v>181354.0189524123</v>
      </c>
      <c r="GI24" s="5">
        <f t="shared" si="150"/>
        <v>17777.742725444368</v>
      </c>
      <c r="GJ24" s="32">
        <f>IF(GH24-InputData!$C$158-InputData!$C$159&gt;=0,GH24-InputData!$C$158-InputData!$C$159,0)</f>
        <v>181354.0189524123</v>
      </c>
      <c r="GK24" s="32">
        <f>IF(GH24-IF(GH24&lt;=InputData!$C$146,InputData!$C$145,0)-MAX(InputData!$C$144,GQ24)&gt;=0,GH24-IF(GH24&lt;=InputData!$C$146,InputData!$C$145,0)-MAX(InputData!$C$144,GQ24),0)</f>
        <v>175254.0189524123</v>
      </c>
      <c r="GL24" s="32">
        <f>IF(GK24&lt;0,"Error",IF(GK24&lt;=InputData!$B$170,InputData!$C$170*GK24,IF(GK24&lt;=InputData!$B$171,InputData!$D$170+InputData!$C$171*(GK24-InputData!$B$170),IF(GK24&lt;=InputData!$B$172,InputData!$D$171+InputData!$C$172*(GK24-InputData!$B$171),IF(GK24&lt;=InputData!$B$173,InputData!$D$172+InputData!$C$173*(GK24-InputData!$B$172),IF(GK24&lt;=InputData!$B$174,InputData!$D$173+InputData!$C$174*(GK24-InputData!$B$173),IF(GK24&lt;=InputData!$B$175,InputData!$D$174+InputData!$C$175*(GK24-InputData!$B$174),InputData!$D$175+InputData!$C$176*(GK24-InputData!$B$175))))))))</f>
        <v>42364.375306675443</v>
      </c>
      <c r="GM24" s="32">
        <f>IF(GH24&lt;=InputData!$C$150,InputData!$C$152,IF(GH24&lt;InputData!$C$151,IF(InputData!$C$152-0.25*IF(GH24-InputData!$C$150&lt;=0,0,GH24-InputData!$C$150)&lt;=0,0,InputData!$C$152-0.25*IF(GH24-InputData!$C$150&lt;=0,0,GH24-InputData!$C$150)),0))</f>
        <v>35411.495261896926</v>
      </c>
      <c r="GN24" s="32">
        <f>IF(GH24-GM24&lt;=0,0,IF(GH24-GM24&lt;=InputData!$C$153,InputData!$C$154*(GH24-GM24),InputData!$C$155*(GH24-GM24)-InputData!$D$154))</f>
        <v>37945.056159533997</v>
      </c>
      <c r="GO24" s="32">
        <f t="shared" si="71"/>
        <v>42364.375306675443</v>
      </c>
      <c r="GP24" s="32">
        <f>IF(GH24&gt;=0,IF(GH24&lt;=InputData!$C$148,InputData!$C$147*GH24,InputData!$C$147*InputData!$C$148)+InputData!$C$149*GH24,0)</f>
        <v>9679.033274809979</v>
      </c>
      <c r="GQ24" s="32">
        <f>IF(GJ24&lt;0,0,IF(GJ24&lt;=InputData!$B$163,InputData!$C$163*GJ24,IF(GJ24&lt;=InputData!$B$164,InputData!$D$163+InputData!$C$164*(GJ24-InputData!$B$163),IF(GJ24&lt;=InputData!$B$165,InputData!$D$164+InputData!$C$165*(GJ24-InputData!$B$164),InputData!$D$165+InputData!$C$166*(GJ24-InputData!$B$165)))))</f>
        <v>0</v>
      </c>
      <c r="GR24" s="43">
        <f t="shared" si="72"/>
        <v>0.2869713551544823</v>
      </c>
      <c r="GS24" s="43">
        <f t="shared" si="73"/>
        <v>0.26135162036922116</v>
      </c>
      <c r="GT24" s="5">
        <f t="shared" si="74"/>
        <v>147088.35309637125</v>
      </c>
      <c r="GU24" s="32">
        <f>GT24/((1+InputData!$C$7)^(Ortho!$B24-Ortho!$B$7))</f>
        <v>88990.872615527289</v>
      </c>
      <c r="GV24" s="32">
        <f t="shared" si="75"/>
        <v>1063770.2894446102</v>
      </c>
      <c r="GX24" s="3">
        <f t="shared" si="130"/>
        <v>14</v>
      </c>
      <c r="GY24" s="4" t="str">
        <f t="shared" si="131"/>
        <v>Multi-Year (O5&gt;12 = (BP+BAH+BAS+VSP+BCPSP)*12+ASP+ISP+MSP)</v>
      </c>
      <c r="GZ24" s="5">
        <f t="shared" si="132"/>
        <v>214420.72</v>
      </c>
      <c r="HA24" s="5">
        <f t="shared" si="133"/>
        <v>21019.199999999997</v>
      </c>
      <c r="HB24" s="5">
        <f t="shared" si="134"/>
        <v>235439.91999999998</v>
      </c>
      <c r="HC24" s="5">
        <f t="shared" si="135"/>
        <v>181354.0189524123</v>
      </c>
      <c r="HD24" s="5">
        <f t="shared" si="136"/>
        <v>17777.742725444368</v>
      </c>
      <c r="HE24" s="32">
        <f>IF(HC24-InputData!$C$158-InputData!$C$159&gt;=0,HC24-InputData!$C$158-InputData!$C$159,0)</f>
        <v>181354.0189524123</v>
      </c>
      <c r="HF24" s="32">
        <f>IF(HC24-IF(HC24&lt;=InputData!$C$146,InputData!$C$145,0)-MAX(InputData!$C$144,HL24)&gt;=0,HC24-IF(HC24&lt;=InputData!$C$146,InputData!$C$145,0)-MAX(InputData!$C$144,HL24),0)</f>
        <v>175254.0189524123</v>
      </c>
      <c r="HG24" s="32">
        <f>IF(HF24&lt;0,"Error",IF(HF24&lt;=InputData!$B$170,InputData!$C$170*HF24,IF(HF24&lt;=InputData!$B$171,InputData!$D$170+InputData!$C$171*(HF24-InputData!$B$170),IF(HF24&lt;=InputData!$B$172,InputData!$D$171+InputData!$C$172*(HF24-InputData!$B$171),IF(HF24&lt;=InputData!$B$173,InputData!$D$172+InputData!$C$173*(HF24-InputData!$B$172),IF(HF24&lt;=InputData!$B$174,InputData!$D$173+InputData!$C$174*(HF24-InputData!$B$173),IF(HF24&lt;=InputData!$B$175,InputData!$D$174+InputData!$C$175*(HF24-InputData!$B$174),InputData!$D$175+InputData!$C$176*(HF24-InputData!$B$175))))))))</f>
        <v>42364.375306675443</v>
      </c>
      <c r="HH24" s="32">
        <f>IF(HC24&lt;=InputData!$C$150,InputData!$C$152,IF(HC24&lt;InputData!$C$151,IF(InputData!$C$152-0.25*IF(HC24-InputData!$C$150&lt;=0,0,HC24-InputData!$C$150)&lt;=0,0,InputData!$C$152-0.25*IF(HC24-InputData!$C$150&lt;=0,0,HC24-InputData!$C$150)),0))</f>
        <v>35411.495261896926</v>
      </c>
      <c r="HI24" s="32">
        <f>IF(HC24-HH24&lt;=0,0,IF(HC24-HH24&lt;=InputData!$C$153,InputData!$C$154*(HC24-HH24),InputData!$C$155*(HC24-HH24)-InputData!$D$154))</f>
        <v>37945.056159533997</v>
      </c>
      <c r="HJ24" s="32">
        <f t="shared" si="76"/>
        <v>42364.375306675443</v>
      </c>
      <c r="HK24" s="32">
        <f>IF(HC24&gt;=0,IF(HC24&lt;=InputData!$C$148,InputData!$C$147*HC24,InputData!$C$147*InputData!$C$148)+InputData!$C$149*HC24,0)</f>
        <v>9679.033274809979</v>
      </c>
      <c r="HL24" s="32">
        <f>IF(HE24&lt;0,0,IF(HE24&lt;=InputData!$B$163,InputData!$C$163*HE24,IF(HE24&lt;=InputData!$B$164,InputData!$D$163+InputData!$C$164*(HE24-InputData!$B$163),IF(HE24&lt;=InputData!$B$165,InputData!$D$164+InputData!$C$165*(HE24-InputData!$B$164),InputData!$D$165+InputData!$C$166*(HE24-InputData!$B$165)))))</f>
        <v>0</v>
      </c>
      <c r="HM24" s="43">
        <f t="shared" si="77"/>
        <v>0.2869713551544823</v>
      </c>
      <c r="HN24" s="43">
        <f t="shared" si="78"/>
        <v>0.26135162036922116</v>
      </c>
      <c r="HO24" s="5">
        <f t="shared" si="79"/>
        <v>147088.35309637125</v>
      </c>
      <c r="HP24" s="32">
        <f>HO24/((1+InputData!$C$7)^(Ortho!$B24-Ortho!$B$7))</f>
        <v>88990.872615527289</v>
      </c>
      <c r="HQ24" s="32">
        <f t="shared" si="80"/>
        <v>1089138.2176446195</v>
      </c>
      <c r="HS24" s="41"/>
      <c r="HT24" s="53" t="s">
        <v>109</v>
      </c>
      <c r="HU24" s="32">
        <f>MIN(InputData!$C$13+InputData!$E$13*($B24-$B$23),1)*Ortho!AW24</f>
        <v>551885.95827086177</v>
      </c>
      <c r="HV24" s="32">
        <f>MIN(InputData!$C$13+InputData!$E$13*($B24-$B$23),1)*Ortho!AX24</f>
        <v>0</v>
      </c>
      <c r="HW24" s="32">
        <f>MIN(InputData!$C$13+InputData!$E$13*($B24-$B$23),1)*Ortho!AY24</f>
        <v>551885.95827086177</v>
      </c>
      <c r="HX24" s="32">
        <f>MIN(InputData!$C$13+InputData!$E$13*($B24-$B$23),1)*Ortho!EO24</f>
        <v>394136.29014713521</v>
      </c>
      <c r="HY24" s="32">
        <f>MIN(InputData!$C$13+InputData!$E$13*($B24-$B$23),1)*Ortho!EP24</f>
        <v>0</v>
      </c>
      <c r="HZ24" s="32">
        <f>IF(HX24-InputData!$C$158-InputData!$C$159&gt;=0,HX24-InputData!$C$158-InputData!$C$159,0)</f>
        <v>394136.29014713521</v>
      </c>
      <c r="IA24" s="32">
        <f>IF(HX24-IF(HX24&lt;=InputData!$C$146,InputData!$C$145,0)-MAX(InputData!$C$144,IG24)&gt;=0,HX24-IF(HX24&lt;=InputData!$C$146,InputData!$C$145,0)-MAX(InputData!$C$144,IG24),0)</f>
        <v>388036.29014713521</v>
      </c>
      <c r="IB24" s="32">
        <f>IF(IA24&lt;0,"Error",IF(IA24&lt;=InputData!$B$170,InputData!$C$170*IA24,IF(IA24&lt;=InputData!$B$171,InputData!$D$170+InputData!$C$171*(IA24-InputData!$B$170),IF(IA24&lt;=InputData!$B$172,InputData!$D$171+InputData!$C$172*(IA24-InputData!$B$171),IF(IA24&lt;=InputData!$B$173,InputData!$D$172+InputData!$C$173*(IA24-InputData!$B$172),IF(IA24&lt;=InputData!$B$174,InputData!$D$173+InputData!$C$174*(IA24-InputData!$B$173),IF(IA24&lt;=InputData!$B$175,InputData!$D$174+InputData!$C$175*(IA24-InputData!$B$174),InputData!$D$175+InputData!$C$176*(IA24-InputData!$B$175))))))))</f>
        <v>112182.72574855463</v>
      </c>
      <c r="IC24" s="32">
        <f>IF(HX24&lt;=InputData!$C$150,InputData!$C$152,IF(HX24&lt;InputData!$C$151,IF(InputData!$C$152-0.25*IF(HX24-InputData!$C$150&lt;=0,0,HX24-InputData!$C$150)&lt;=0,0,InputData!$C$152-0.25*IF(HX24-InputData!$C$150&lt;=0,0,HX24-InputData!$C$150)),0))</f>
        <v>0</v>
      </c>
      <c r="ID24" s="32">
        <f>IF(HX24-IC24&lt;=0,0,IF(HX24-IC24&lt;=InputData!$C$153,InputData!$C$154*(HX24-IC24),InputData!$C$155*(HX24-IC24)-InputData!$D$154))</f>
        <v>106768.16124119787</v>
      </c>
      <c r="IE24" s="32">
        <f t="shared" si="88"/>
        <v>112182.72574855463</v>
      </c>
      <c r="IF24" s="32">
        <f>IF(HX24&gt;=0,IF(HX24&lt;=InputData!$C$148,InputData!$C$147*HX24,InputData!$C$147*InputData!$C$148)+InputData!$C$149*HX24,0)</f>
        <v>12764.37620713346</v>
      </c>
      <c r="IG24" s="32">
        <f>IF(HZ24&lt;0,0,IF(HZ24&lt;=InputData!$B$163,InputData!$C$163*HZ24,IF(HZ24&lt;=InputData!$B$164,InputData!$D$163+InputData!$C$164*(HZ24-InputData!$B$163),IF(HZ24&lt;=InputData!$B$165,InputData!$D$164+InputData!$C$165*(HZ24-InputData!$B$164),InputData!$D$165+InputData!$C$166*(HZ24-InputData!$B$165)))))</f>
        <v>0</v>
      </c>
      <c r="IH24" s="43">
        <f t="shared" si="89"/>
        <v>0.31701496431359832</v>
      </c>
      <c r="II24" s="43">
        <f t="shared" si="90"/>
        <v>0.31701496431359832</v>
      </c>
      <c r="IJ24" s="5">
        <f t="shared" si="91"/>
        <v>269189.18819144712</v>
      </c>
      <c r="IK24" s="32">
        <f>IJ24/((1+InputData!$C$7)^(Ortho!$B24-Ortho!$B$7))</f>
        <v>162863.8858994286</v>
      </c>
      <c r="IL24" s="5">
        <f t="shared" si="92"/>
        <v>1211270.301562984</v>
      </c>
      <c r="IN24" s="227"/>
      <c r="IO24" s="53" t="s">
        <v>109</v>
      </c>
      <c r="IP24" s="32">
        <f>MIN(InputData!$C$13+InputData!$E$13*($B24-$B$20),1)*Ortho!AW24</f>
        <v>551885.95827086177</v>
      </c>
      <c r="IQ24" s="32">
        <f>MIN(InputData!$C$13+InputData!$E$13*($B24-$B$20),1)*Ortho!AX24</f>
        <v>0</v>
      </c>
      <c r="IR24" s="32">
        <f>MIN(InputData!$C$13+InputData!$E$13*($B24-$B$20),1)*Ortho!AY24</f>
        <v>551885.95827086177</v>
      </c>
      <c r="IS24" s="32">
        <f>MIN(InputData!$C$13+InputData!$E$13*($B24-$B$20),1)*Ortho!EO24</f>
        <v>394136.29014713521</v>
      </c>
      <c r="IT24" s="32">
        <f>MIN(InputData!$C$13+InputData!$E$13*($B24-$B$20),1)*Ortho!EP24</f>
        <v>0</v>
      </c>
      <c r="IU24" s="32">
        <f>IF(IS24-InputData!$C$158-InputData!$C$159&gt;=0,IS24-InputData!$C$158-InputData!$C$159,0)</f>
        <v>394136.29014713521</v>
      </c>
      <c r="IV24" s="32">
        <f>IF(IS24-IF(IS24&lt;=InputData!$C$146,InputData!$C$145,0)-MAX(InputData!$C$144,JB24)&gt;=0,IS24-IF(IS24&lt;=InputData!$C$146,InputData!$C$145,0)-MAX(InputData!$C$144,JB24),0)</f>
        <v>388036.29014713521</v>
      </c>
      <c r="IW24" s="32">
        <f>IF(IV24&lt;0,"Error",IF(IV24&lt;=InputData!$B$170,InputData!$C$170*IV24,IF(IV24&lt;=InputData!$B$171,InputData!$D$170+InputData!$C$171*(IV24-InputData!$B$170),IF(IV24&lt;=InputData!$B$172,InputData!$D$171+InputData!$C$172*(IV24-InputData!$B$171),IF(IV24&lt;=InputData!$B$173,InputData!$D$172+InputData!$C$173*(IV24-InputData!$B$172),IF(IV24&lt;=InputData!$B$174,InputData!$D$173+InputData!$C$174*(IV24-InputData!$B$173),IF(IV24&lt;=InputData!$B$175,InputData!$D$174+InputData!$C$175*(IV24-InputData!$B$174),InputData!$D$175+InputData!$C$176*(IV24-InputData!$B$175))))))))</f>
        <v>112182.72574855463</v>
      </c>
      <c r="IX24" s="32">
        <f>IF(IS24&lt;=InputData!$C$150,InputData!$C$152,IF(IS24&lt;InputData!$C$151,IF(InputData!$C$152-0.25*IF(IS24-InputData!$C$150&lt;=0,0,IS24-InputData!$C$150)&lt;=0,0,InputData!$C$152-0.25*IF(IS24-InputData!$C$150&lt;=0,0,IS24-InputData!$C$150)),0))</f>
        <v>0</v>
      </c>
      <c r="IY24" s="32">
        <f>IF(IS24-IX24&lt;=0,0,IF(IS24-IX24&lt;=InputData!$C$153,InputData!$C$154*(IS24-IX24),InputData!$C$155*(IS24-IX24)-InputData!$D$154))</f>
        <v>106768.16124119787</v>
      </c>
      <c r="IZ24" s="32">
        <f t="shared" si="95"/>
        <v>112182.72574855463</v>
      </c>
      <c r="JA24" s="32">
        <f>IF(IS24&gt;=0,IF(IS24&lt;=InputData!$C$148,InputData!$C$147*IS24,InputData!$C$147*InputData!$C$148)+InputData!$C$149*IS24,0)</f>
        <v>12764.37620713346</v>
      </c>
      <c r="JB24" s="32">
        <f>IF(IU24&lt;0,0,IF(IU24&lt;=InputData!$B$163,InputData!$C$163*IU24,IF(IU24&lt;=InputData!$B$164,InputData!$D$163+InputData!$C$164*(IU24-InputData!$B$163),IF(IU24&lt;=InputData!$B$165,InputData!$D$164+InputData!$C$165*(IU24-InputData!$B$164),InputData!$D$165+InputData!$C$166*(IU24-InputData!$B$165)))))</f>
        <v>0</v>
      </c>
      <c r="JC24" s="43">
        <f t="shared" si="96"/>
        <v>0.31701496431359832</v>
      </c>
      <c r="JD24" s="43">
        <f t="shared" si="97"/>
        <v>0.31701496431359832</v>
      </c>
      <c r="JE24" s="5">
        <f t="shared" si="98"/>
        <v>269189.18819144712</v>
      </c>
      <c r="JF24" s="32">
        <f>JE24/((1+InputData!$C$7)^(Ortho!$B24-Ortho!$B$7))</f>
        <v>162863.8858994286</v>
      </c>
      <c r="JG24" s="5">
        <f t="shared" si="99"/>
        <v>1466261.9928896918</v>
      </c>
      <c r="JI24" s="41" t="str">
        <f t="shared" si="13"/>
        <v>Private Practice</v>
      </c>
      <c r="JJ24" s="5">
        <f t="shared" si="14"/>
        <v>613206.62030095747</v>
      </c>
      <c r="JK24" s="32">
        <v>0</v>
      </c>
      <c r="JL24" s="32">
        <f t="shared" si="101"/>
        <v>613206.62030095747</v>
      </c>
      <c r="JM24" s="32">
        <f>JM23*(1+InputData!$C$8)</f>
        <v>16088.773906520961</v>
      </c>
      <c r="JN24" s="32">
        <f>JJ24/((1+InputData!$C$3)^(Ortho!$B24-Ortho!$B$7))</f>
        <v>437929.21127459465</v>
      </c>
      <c r="JO24" s="32">
        <f>JK24/((1+InputData!$C$3)^(Ortho!$B24-Ortho!$B$7))</f>
        <v>0</v>
      </c>
      <c r="JP24" s="32" t="s">
        <v>141</v>
      </c>
      <c r="JQ24" s="32">
        <v>0</v>
      </c>
      <c r="JR24" s="32">
        <f t="shared" si="167"/>
        <v>0</v>
      </c>
      <c r="JS24" s="32">
        <f>(JR24)*InputData!$C$6</f>
        <v>0</v>
      </c>
      <c r="JT24" s="32">
        <f>MIN($BE$16*InputData!$C$6/(1-(1+InputData!$C$6)^(-10)), JR24+JS24)</f>
        <v>0</v>
      </c>
      <c r="JU24" s="32">
        <f t="shared" si="151"/>
        <v>0</v>
      </c>
      <c r="JV24" s="32">
        <f>JT24/((1+InputData!$C$3)^(Ortho!$B24-Ortho!$B$7))</f>
        <v>0</v>
      </c>
      <c r="JW24" s="32">
        <f>IF(JN24-InputData!$C$158-InputData!$C$159&gt;=0,JN24-InputData!$C$158-InputData!$C$159,0)</f>
        <v>437929.21127459465</v>
      </c>
      <c r="JX24" s="32">
        <f>IF(JN24-IF(JN24&lt;=InputData!$C$146,InputData!$C$145,0)-MAX(InputData!$C$144,KD24)&gt;=0,JN24-IF(JN24&lt;=InputData!$C$146,InputData!$C$145,0)-MAX(InputData!$C$144,KD24),0)</f>
        <v>431829.21127459465</v>
      </c>
      <c r="JY24" s="32">
        <f>IF(JX24&lt;0,"Error",IF(JX24&lt;=InputData!$B$170,InputData!$C$170*JX24,IF(JX24&lt;=InputData!$B$171,InputData!$D$170+InputData!$C$171*(JX24-InputData!$B$170),IF(JX24&lt;=InputData!$B$172,InputData!$D$171+InputData!$C$172*(JX24-InputData!$B$171),IF(JX24&lt;=InputData!$B$173,InputData!$D$172+InputData!$C$173*(JX24-InputData!$B$172),IF(JX24&lt;=InputData!$B$174,InputData!$D$173+InputData!$C$174*(JX24-InputData!$B$173),IF(JX24&lt;=InputData!$B$175,InputData!$D$174+InputData!$C$175*(JX24-InputData!$B$174),InputData!$D$175+InputData!$C$176*(JX24-InputData!$B$175))))))))</f>
        <v>128768.11766473949</v>
      </c>
      <c r="JZ24" s="32">
        <f>IF(JN24&lt;=InputData!$C$150,InputData!$C$152,IF(JN24&lt;InputData!$C$151,IF(InputData!$C$152-0.25*IF(JN24-InputData!$C$150&lt;=0,0,JN24-InputData!$C$150)&lt;=0,0,InputData!$C$152-0.25*IF(JN24-InputData!$C$150&lt;=0,0,JN24-InputData!$C$150)),0))</f>
        <v>0</v>
      </c>
      <c r="KA24" s="32">
        <f>IF(JN24-JZ24&lt;=0,0,IF(JN24-JZ24&lt;=InputData!$C$153,InputData!$C$154*(JN24-JZ24),InputData!$C$155*(JN24-JZ24)-InputData!$D$154))</f>
        <v>119030.17915688652</v>
      </c>
      <c r="KB24" s="32">
        <f t="shared" si="102"/>
        <v>128768.11766473949</v>
      </c>
      <c r="KC24" s="32">
        <f>IF(JN24&gt;=0,IF(JN24&lt;=InputData!$C$148,InputData!$C$147*JN24,InputData!$C$147*InputData!$C$148)+InputData!$C$149*JN24,0)</f>
        <v>13399.373563481622</v>
      </c>
      <c r="KD24" s="32">
        <f>IF(JW24&lt;0,0,IF(JW24&lt;=InputData!$B$163,InputData!$C$163*JW24,IF(JW24&lt;=InputData!$B$164,InputData!$D$163+InputData!$C$164*(JW24-InputData!$B$163),IF(JW24&lt;=InputData!$B$165,InputData!$D$164+InputData!$C$165*(JW24-InputData!$B$164),InputData!$D$165+InputData!$C$166*(JW24-InputData!$B$165)))))</f>
        <v>0</v>
      </c>
      <c r="KE24" s="43">
        <f t="shared" si="15"/>
        <v>0.32463578032267376</v>
      </c>
      <c r="KF24" s="32">
        <f t="shared" si="16"/>
        <v>295761.72004637355</v>
      </c>
      <c r="KG24" s="32">
        <f t="shared" si="103"/>
        <v>295761.72004637355</v>
      </c>
      <c r="KH24" s="32">
        <f>KG24/((1+InputData!$C$7)^(Ortho!$B24-Ortho!$B$7))</f>
        <v>178940.70467939315</v>
      </c>
      <c r="KI24" s="5">
        <f t="shared" si="122"/>
        <v>1936988.687774186</v>
      </c>
    </row>
    <row r="25" spans="1:295" x14ac:dyDescent="0.25">
      <c r="A25" s="4">
        <v>2031</v>
      </c>
      <c r="B25" s="51">
        <v>19</v>
      </c>
      <c r="C25" s="4"/>
      <c r="D25" s="3">
        <v>15</v>
      </c>
      <c r="E25" s="97" t="s">
        <v>264</v>
      </c>
      <c r="F25" s="5">
        <f>InputData!$K$22*12</f>
        <v>89103.6</v>
      </c>
      <c r="G25" s="32">
        <f>(InputData!$K$22+InputData!$I$45+InputData!$F$50)*12+InputData!$J$50+InputData!$D$61+InputData!$J$61</f>
        <v>218103.52000000002</v>
      </c>
      <c r="H25" s="32">
        <f>(InputData!$C$33+InputData!$C$40)*12</f>
        <v>21019.199999999997</v>
      </c>
      <c r="I25" s="32">
        <f t="shared" si="17"/>
        <v>239122.72000000003</v>
      </c>
      <c r="J25" s="32">
        <f>G25*((1+InputData!$C$5)/(1+InputData!$C$3))^(Ortho!$B25-Ortho!$B$7)</f>
        <v>182660.36079499256</v>
      </c>
      <c r="K25" s="32">
        <f>H25*((1+InputData!$C$5)/(1+InputData!$C$3))^(Ortho!$B25-Ortho!$B$7)</f>
        <v>17603.451130096877</v>
      </c>
      <c r="L25" s="32">
        <f>IF(J25-InputData!$C$158-InputData!$C$159&gt;=0,J25-InputData!$C$158-InputData!$C$159,0)</f>
        <v>182660.36079499256</v>
      </c>
      <c r="M25" s="32">
        <f>IF(J25-IF(J25&lt;=InputData!$C$146,InputData!$C$145,0)-MAX(InputData!$C$144,S25)&gt;=0,J25-IF(J25&lt;=InputData!$C$146,InputData!$C$145,0)-MAX(InputData!$C$144,S25),0)</f>
        <v>176560.36079499256</v>
      </c>
      <c r="N25" s="32">
        <f>IF(M25&lt;0,"Error",IF(M25&lt;=InputData!$B$170,InputData!$C$170*M25,IF(M25&lt;=InputData!$B$171,InputData!$D$170+InputData!$C$171*(M25-InputData!$B$170),IF(M25&lt;=InputData!$B$172,InputData!$D$171+InputData!$C$172*(M25-InputData!$B$171),IF(M25&lt;=InputData!$B$173,InputData!$D$172+InputData!$C$173*(M25-InputData!$B$172),IF(M25&lt;=InputData!$B$174,InputData!$D$173+InputData!$C$174*(M25-InputData!$B$173),IF(M25&lt;=InputData!$B$175,InputData!$D$174+InputData!$C$175*(M25-InputData!$B$174),InputData!$D$175+InputData!$C$176*(M25-InputData!$B$175))))))))</f>
        <v>42730.151022597922</v>
      </c>
      <c r="O25" s="32">
        <f>IF(J25&lt;=InputData!$C$150,InputData!$C$152,IF(J25&lt;InputData!$C$151,IF(InputData!$C$152-0.25*IF(J25-InputData!$C$150&lt;=0,0,J25-InputData!$C$150)&lt;=0,0,InputData!$C$152-0.25*IF(J25-InputData!$C$150&lt;=0,0,J25-InputData!$C$150)),0))</f>
        <v>35084.909801251859</v>
      </c>
      <c r="P25" s="32">
        <f>IF(J25-O25&lt;=0,0,IF(J25-O25&lt;=InputData!$C$153,InputData!$C$154*(J25-O25),InputData!$C$155*(J25-O25)-InputData!$D$154))</f>
        <v>38369.617258372586</v>
      </c>
      <c r="Q25" s="32">
        <f t="shared" si="18"/>
        <v>42730.151022597922</v>
      </c>
      <c r="R25" s="32">
        <f>IF(J25&gt;=0,IF(J25&lt;=InputData!$C$148,InputData!$C$147*J25,InputData!$C$147*InputData!$C$148)+InputData!$C$149*J25,0)</f>
        <v>9697.9752315273909</v>
      </c>
      <c r="S25" s="32">
        <f>IF(L25&lt;0,0,IF(L25&lt;=InputData!$B$163,InputData!$C$163*L25,IF(L25&lt;=InputData!$B$164,InputData!$D$163+InputData!$C$164*(L25-InputData!$B$163),IF(L25&lt;=InputData!$B$165,InputData!$D$164+InputData!$C$165*(L25-InputData!$B$164),InputData!$D$165+InputData!$C$166*(L25-InputData!$B$165)))))</f>
        <v>0</v>
      </c>
      <c r="T25" s="43">
        <f t="shared" si="19"/>
        <v>0.2870251981652856</v>
      </c>
      <c r="U25" s="43">
        <f t="shared" si="20"/>
        <v>0.26179530765017367</v>
      </c>
      <c r="V25" s="5">
        <f t="shared" si="21"/>
        <v>147835.68567096416</v>
      </c>
      <c r="W25" s="32">
        <f>V25/((1+InputData!$C$7)^(Ortho!$B25-Ortho!$B$7))</f>
        <v>86837.884576380107</v>
      </c>
      <c r="X25" s="5">
        <f t="shared" si="104"/>
        <v>1150608.1740209903</v>
      </c>
      <c r="Y25" s="53"/>
      <c r="Z25" s="3">
        <v>15</v>
      </c>
      <c r="AA25" s="97" t="s">
        <v>264</v>
      </c>
      <c r="AB25" s="5">
        <f t="shared" si="126"/>
        <v>89103.6</v>
      </c>
      <c r="AC25" s="32">
        <f t="shared" si="175"/>
        <v>218103.52000000002</v>
      </c>
      <c r="AD25" s="32">
        <f t="shared" si="174"/>
        <v>21019.199999999997</v>
      </c>
      <c r="AE25" s="32">
        <f t="shared" si="22"/>
        <v>239122.72000000003</v>
      </c>
      <c r="AF25" s="5">
        <f>AC25*((1+InputData!$C$5)/(1+InputData!$C$3))^(Ortho!$B25-Ortho!$B$7)</f>
        <v>182660.36079499256</v>
      </c>
      <c r="AG25" s="5">
        <f>AD25*((1+InputData!$C$5)/(1+InputData!$C$3))^(Ortho!$B25-Ortho!$B$7)</f>
        <v>17603.451130096877</v>
      </c>
      <c r="AH25" s="32">
        <f>IF(AF25-InputData!$C$158-InputData!$C$159&gt;=0,AF25-InputData!$C$158-InputData!$C$159,0)</f>
        <v>182660.36079499256</v>
      </c>
      <c r="AI25" s="32">
        <f>IF(AF25-IF(AF25&lt;=InputData!$C$146,InputData!$C$145,0)-MAX(InputData!$C$144,AO25)&gt;=0,AF25-IF(AF25&lt;=InputData!$C$146,InputData!$C$145,0)-MAX(InputData!$C$144,AO25),0)</f>
        <v>176560.36079499256</v>
      </c>
      <c r="AJ25" s="32">
        <f>IF(AI25&lt;0,"Error",IF(AI25&lt;=InputData!$B$170,InputData!$C$170*AI25,IF(AI25&lt;=InputData!$B$171,InputData!$D$170+InputData!$C$171*(AI25-InputData!$B$170),IF(AI25&lt;=InputData!$B$172,InputData!$D$171+InputData!$C$172*(AI25-InputData!$B$171),IF(AI25&lt;=InputData!$B$173,InputData!$D$172+InputData!$C$173*(AI25-InputData!$B$172),IF(AI25&lt;=InputData!$B$174,InputData!$D$173+InputData!$C$174*(AI25-InputData!$B$173),IF(AI25&lt;=InputData!$B$175,InputData!$D$174+InputData!$C$175*(AI25-InputData!$B$174),InputData!$D$175+InputData!$C$176*(AI25-InputData!$B$175))))))))</f>
        <v>42730.151022597922</v>
      </c>
      <c r="AK25" s="32">
        <f>IF(AF25&lt;=InputData!$C$150,InputData!$C$152,IF(AF25&lt;InputData!$C$151,IF(InputData!$C$152-0.25*IF(AF25-InputData!$C$150&lt;=0,0,AF25-InputData!$C$150)&lt;=0,0,InputData!$C$152-0.25*IF(AF25-InputData!$C$150&lt;=0,0,AF25-InputData!$C$150)),0))</f>
        <v>35084.909801251859</v>
      </c>
      <c r="AL25" s="32">
        <f>IF(AF25-AK25&lt;=0,0,IF(AF25-AK25&lt;=InputData!$C$153,InputData!$C$154*(AF25-AK25),InputData!$C$155*(AF25-AK25)-InputData!$D$154))</f>
        <v>38369.617258372586</v>
      </c>
      <c r="AM25" s="32">
        <f t="shared" si="23"/>
        <v>42730.151022597922</v>
      </c>
      <c r="AN25" s="32">
        <f>IF(AF25&gt;=0,IF(AF25&lt;=InputData!$C$148,InputData!$C$147*AF25,InputData!$C$147*InputData!$C$148)+InputData!$C$149*AF25,0)</f>
        <v>9697.9752315273909</v>
      </c>
      <c r="AO25" s="32">
        <f>IF(AH25&lt;0,0,IF(AH25&lt;=InputData!$B$163,InputData!$C$163*AH25,IF(AH25&lt;=InputData!$B$164,InputData!$D$163+InputData!$C$164*(AH25-InputData!$B$163),IF(AH25&lt;=InputData!$B$165,InputData!$D$164+InputData!$C$165*(AH25-InputData!$B$164),InputData!$D$165+InputData!$C$166*(AH25-InputData!$B$165)))))</f>
        <v>0</v>
      </c>
      <c r="AP25" s="43">
        <f t="shared" si="24"/>
        <v>0.2870251981652856</v>
      </c>
      <c r="AQ25" s="43">
        <f t="shared" si="25"/>
        <v>0.26179530765017367</v>
      </c>
      <c r="AR25" s="5">
        <f t="shared" si="26"/>
        <v>147835.68567096416</v>
      </c>
      <c r="AS25" s="32">
        <f>AR25/((1+InputData!$C$7)^(Ortho!$B25-Ortho!$B$7))</f>
        <v>86837.884576380107</v>
      </c>
      <c r="AT25" s="5">
        <f t="shared" si="105"/>
        <v>1175976.1022209995</v>
      </c>
      <c r="AU25" s="53"/>
      <c r="AV25" s="41" t="s">
        <v>109</v>
      </c>
      <c r="AW25" s="32">
        <f>$AW$17*(1+InputData!$C$3+InputData!$C$4)^(Ortho!$B25-Ortho!$B$17)</f>
        <v>631602.81890998606</v>
      </c>
      <c r="AX25" s="32">
        <v>0</v>
      </c>
      <c r="AY25" s="32">
        <f t="shared" si="28"/>
        <v>631602.81890998606</v>
      </c>
      <c r="AZ25" s="32">
        <f>AZ24*(1+InputData!$C$8)</f>
        <v>16410.549384651382</v>
      </c>
      <c r="BA25" s="32">
        <f>AW25/((1+InputData!$C$3)^(Ortho!$B25-Ortho!$B$7))</f>
        <v>442222.63491454162</v>
      </c>
      <c r="BB25" s="32">
        <f>AX25/((1+InputData!$C$3)^(Ortho!$B25-Ortho!$B$7))</f>
        <v>0</v>
      </c>
      <c r="BC25" s="32" t="s">
        <v>141</v>
      </c>
      <c r="BD25" s="32">
        <v>0</v>
      </c>
      <c r="BE25" s="32">
        <f t="shared" si="152"/>
        <v>35113.355375952015</v>
      </c>
      <c r="BF25" s="32">
        <f>(BE25)*InputData!$C$6</f>
        <v>2180.5393688466202</v>
      </c>
      <c r="BG25" s="32">
        <f>MIN($BE$16*InputData!$C$6/(1-(1+InputData!$C$6)^(-10)), BE25+BF25)</f>
        <v>37293.894744798265</v>
      </c>
      <c r="BH25" s="32">
        <f t="shared" si="137"/>
        <v>3.7107383832335472E-10</v>
      </c>
      <c r="BI25" s="32">
        <f>BG25/((1+InputData!$C$3)^(Ortho!$B25-Ortho!$B$7))</f>
        <v>26111.670034551698</v>
      </c>
      <c r="BJ25" s="32">
        <f>IF(BA25-InputData!$C$158-InputData!$C$159&gt;=0,BA25-InputData!$C$158-InputData!$C$159,0)</f>
        <v>442222.63491454162</v>
      </c>
      <c r="BK25" s="32">
        <f>IF(BA25-IF(BA25&lt;=InputData!$C$146,InputData!$C$145,0)-MAX(InputData!$C$144,BQ25)&gt;=0,BA25-IF(BA25&lt;=InputData!$C$146,InputData!$C$145,0)-MAX(InputData!$C$144,BQ25),0)</f>
        <v>436122.63491454162</v>
      </c>
      <c r="BL25" s="32">
        <f>IF(BK25&lt;0,"Error",IF(BK25&lt;=InputData!$B$170,InputData!$C$170*BK25,IF(BK25&lt;=InputData!$B$171,InputData!$D$170+InputData!$C$171*(BK25-InputData!$B$170),IF(BK25&lt;=InputData!$B$172,InputData!$D$171+InputData!$C$172*(BK25-InputData!$B$171),IF(BK25&lt;=InputData!$B$173,InputData!$D$172+InputData!$C$173*(BK25-InputData!$B$172),IF(BK25&lt;=InputData!$B$174,InputData!$D$173+InputData!$C$174*(BK25-InputData!$B$173),IF(BK25&lt;=InputData!$B$175,InputData!$D$174+InputData!$C$175*(BK25-InputData!$B$174),InputData!$D$175+InputData!$C$176*(BK25-InputData!$B$175))))))))</f>
        <v>130468.31342615848</v>
      </c>
      <c r="BM25" s="32">
        <f>IF(BA25&lt;=InputData!$C$150,InputData!$C$152,IF(BA25&lt;InputData!$C$151,IF(InputData!$C$152-0.25*IF(BA25-InputData!$C$150&lt;=0,0,BA25-InputData!$C$150)&lt;=0,0,InputData!$C$152-0.25*IF(BA25-InputData!$C$150&lt;=0,0,BA25-InputData!$C$150)),0))</f>
        <v>0</v>
      </c>
      <c r="BN25" s="32">
        <f>IF(BA25-BM25&lt;=0,0,IF(BA25-BM25&lt;=InputData!$C$153,InputData!$C$154*(BA25-BM25),InputData!$C$155*(BA25-BM25)-InputData!$D$154))</f>
        <v>120232.33777607167</v>
      </c>
      <c r="BO25" s="32">
        <f t="shared" si="29"/>
        <v>130468.31342615848</v>
      </c>
      <c r="BP25" s="32">
        <f>IF(BA25&gt;=0,IF(BA25&lt;=InputData!$C$148,InputData!$C$147*BA25,InputData!$C$147*InputData!$C$148)+InputData!$C$149*BA25,0)</f>
        <v>13461.628206260853</v>
      </c>
      <c r="BQ25" s="32">
        <f>IF(BJ25&lt;0,0,IF(BJ25&lt;=InputData!$B$163,InputData!$C$163*BJ25,IF(BJ25&lt;=InputData!$B$164,InputData!$D$163+InputData!$C$164*(BJ25-InputData!$B$163),IF(BJ25&lt;=InputData!$B$165,InputData!$D$164+InputData!$C$165*(BJ25-InputData!$B$164),InputData!$D$165+InputData!$C$166*(BJ25-InputData!$B$165)))))</f>
        <v>0</v>
      </c>
      <c r="BR25" s="43">
        <f t="shared" si="30"/>
        <v>0.32546941352342451</v>
      </c>
      <c r="BS25" s="32">
        <f t="shared" si="31"/>
        <v>298292.69328212226</v>
      </c>
      <c r="BT25" s="32">
        <f t="shared" si="32"/>
        <v>272181.02324757056</v>
      </c>
      <c r="BU25" s="32">
        <f>BT25/((1+InputData!$C$7)^(Ortho!$B25-Ortho!$B$7))</f>
        <v>159877.66535110504</v>
      </c>
      <c r="BV25" s="5">
        <f t="shared" si="107"/>
        <v>1727877.8147527021</v>
      </c>
      <c r="BW25" s="5"/>
      <c r="BX25" s="32" t="s">
        <v>141</v>
      </c>
      <c r="BY25" s="5">
        <f t="shared" si="153"/>
        <v>216032.38289739474</v>
      </c>
      <c r="BZ25" s="32">
        <f>(BY25)*InputData!$C$6</f>
        <v>13415.610977928214</v>
      </c>
      <c r="CA25" s="32">
        <f>MIN($BY$16*InputData!$C$6/(1-(1+InputData!$C$6)^(-25)), BY25+BZ25)</f>
        <v>21686.214673809533</v>
      </c>
      <c r="CB25" s="32">
        <f t="shared" si="154"/>
        <v>207761.77920151342</v>
      </c>
      <c r="CC25" s="32">
        <f>CA25/((1+InputData!$C$3)^(Ortho!$B25-Ortho!$B$7))</f>
        <v>15183.806511384812</v>
      </c>
      <c r="CD25" s="5">
        <f t="shared" si="36"/>
        <v>283108.88677073747</v>
      </c>
      <c r="CE25" s="32">
        <f>CD25/((1+InputData!$C$7)^(Ortho!$B25-Ortho!$B$7))</f>
        <v>166296.63345737997</v>
      </c>
      <c r="CF25" s="5">
        <f t="shared" si="108"/>
        <v>1808841.3716788169</v>
      </c>
      <c r="CG25" s="5"/>
      <c r="CH25" s="32" t="s">
        <v>141</v>
      </c>
      <c r="CI25" s="5" t="e">
        <f t="shared" si="155"/>
        <v>#VALUE!</v>
      </c>
      <c r="CJ25" s="32" t="e">
        <f>(CI25)*InputData!$C$6</f>
        <v>#VALUE!</v>
      </c>
      <c r="CK25" s="5" t="str">
        <f t="shared" si="168"/>
        <v>DNQ</v>
      </c>
      <c r="CL25" s="32" t="e">
        <f t="shared" si="156"/>
        <v>#VALUE!</v>
      </c>
      <c r="CM25" s="32" t="e">
        <f>CK25/((1+InputData!$C$3)^(Ortho!$B25-Ortho!$B$7))</f>
        <v>#VALUE!</v>
      </c>
      <c r="CN25" s="5" t="e">
        <f t="shared" si="40"/>
        <v>#VALUE!</v>
      </c>
      <c r="CO25" s="32" t="e">
        <f>CN25/((1+InputData!$C$7)^(Ortho!$B25-Ortho!$B$7))</f>
        <v>#VALUE!</v>
      </c>
      <c r="CP25" s="5" t="e">
        <f t="shared" si="109"/>
        <v>#VALUE!</v>
      </c>
      <c r="CQ25" s="5"/>
      <c r="CR25" s="32" t="s">
        <v>141</v>
      </c>
      <c r="CS25" s="5" t="e">
        <f t="shared" si="157"/>
        <v>#VALUE!</v>
      </c>
      <c r="CT25" s="32" t="e">
        <f>(CS25)*InputData!$C$6</f>
        <v>#VALUE!</v>
      </c>
      <c r="CU25" s="32" t="str">
        <f t="shared" si="169"/>
        <v>DNQ</v>
      </c>
      <c r="CV25" s="32" t="e">
        <f t="shared" si="158"/>
        <v>#VALUE!</v>
      </c>
      <c r="CW25" s="32" t="e">
        <f>CU25/((1+InputData!$C$3)^(Ortho!$B25-Ortho!$B$7))</f>
        <v>#VALUE!</v>
      </c>
      <c r="CX25" s="5" t="e">
        <f t="shared" si="44"/>
        <v>#VALUE!</v>
      </c>
      <c r="CY25" s="32" t="e">
        <f>CX25/((1+InputData!$C$7)^(Ortho!$B25-Ortho!$B$7))</f>
        <v>#VALUE!</v>
      </c>
      <c r="CZ25" s="5" t="e">
        <f t="shared" si="110"/>
        <v>#VALUE!</v>
      </c>
      <c r="DA25" s="5"/>
      <c r="DB25" s="32" t="s">
        <v>141</v>
      </c>
      <c r="DC25" s="5">
        <f t="shared" si="138"/>
        <v>0</v>
      </c>
      <c r="DD25" s="5">
        <f>DC25*InputData!$C$6</f>
        <v>0</v>
      </c>
      <c r="DE25" s="32">
        <f t="shared" si="139"/>
        <v>0</v>
      </c>
      <c r="DF25" s="32">
        <f t="shared" si="140"/>
        <v>0</v>
      </c>
      <c r="DG25" s="32">
        <f>DE25/((1+InputData!$C$3)^(Ortho!$B25-Ortho!$B$7))</f>
        <v>0</v>
      </c>
      <c r="DH25" s="5">
        <f t="shared" si="48"/>
        <v>298292.69328212226</v>
      </c>
      <c r="DI25" s="32">
        <f>DH25/((1+InputData!$C$7)^(Ortho!$B25-Ortho!$B$7))</f>
        <v>175215.51952525639</v>
      </c>
      <c r="DJ25" s="5">
        <f t="shared" si="111"/>
        <v>1732465.4308551182</v>
      </c>
      <c r="DK25" s="5"/>
      <c r="DL25" s="32" t="s">
        <v>141</v>
      </c>
      <c r="DM25" s="32">
        <f t="shared" si="159"/>
        <v>75536.618077468869</v>
      </c>
      <c r="DN25" s="5">
        <f>DM25*InputData!$C$6</f>
        <v>4690.8239826108165</v>
      </c>
      <c r="DO25" s="32">
        <f t="shared" si="160"/>
        <v>0</v>
      </c>
      <c r="DP25" s="32">
        <f t="shared" si="123"/>
        <v>29148.379963889372</v>
      </c>
      <c r="DQ25" s="32">
        <f t="shared" si="124"/>
        <v>51079.062096190319</v>
      </c>
      <c r="DR25" s="32">
        <f>DP25/((1+InputData!$C$3)^(Ortho!$B25-Ortho!$B$7))</f>
        <v>20408.511496777282</v>
      </c>
      <c r="DS25" s="5">
        <f t="shared" si="52"/>
        <v>277884.18178534496</v>
      </c>
      <c r="DT25" s="32">
        <f>DS25/((1+InputData!$C$7)^(Ortho!$B25-Ortho!$B$7))</f>
        <v>163227.66992257448</v>
      </c>
      <c r="DU25" s="5">
        <f t="shared" si="113"/>
        <v>1746901.9800902449</v>
      </c>
      <c r="DV25" s="5"/>
      <c r="DW25" s="32" t="s">
        <v>141</v>
      </c>
      <c r="DX25" s="133">
        <f t="shared" si="141"/>
        <v>91565.93314157569</v>
      </c>
      <c r="DY25" s="5">
        <f>DX25*InputData!$C$6</f>
        <v>5686.2444480918502</v>
      </c>
      <c r="DZ25" s="133">
        <f t="shared" si="142"/>
        <v>0</v>
      </c>
      <c r="EA25" s="32">
        <f t="shared" si="143"/>
        <v>29148.379963889372</v>
      </c>
      <c r="EB25" s="32">
        <f t="shared" si="144"/>
        <v>68103.79762577817</v>
      </c>
      <c r="EC25" s="32">
        <f>EA25/((1+InputData!$C$3)^(Ortho!$B25-Ortho!$B$7))</f>
        <v>20408.511496777282</v>
      </c>
      <c r="ED25" s="5">
        <f t="shared" si="56"/>
        <v>277884.18178534496</v>
      </c>
      <c r="EE25" s="32">
        <f>ED25/((1+InputData!$C$7)^(Ortho!$B25-Ortho!$B$7))</f>
        <v>163227.66992257448</v>
      </c>
      <c r="EF25" s="5">
        <f t="shared" si="115"/>
        <v>1754645.3210138928</v>
      </c>
      <c r="EG25" s="32"/>
      <c r="EH25" s="130" t="s">
        <v>141</v>
      </c>
      <c r="EI25" s="32">
        <v>0</v>
      </c>
      <c r="EJ25" s="32">
        <f t="shared" si="173"/>
        <v>35086.886505510192</v>
      </c>
      <c r="EK25" s="32">
        <f>(EJ25)*InputData!$C$6</f>
        <v>2178.895651992183</v>
      </c>
      <c r="EL25" s="32">
        <f t="shared" si="172"/>
        <v>2.4010660126805305E-10</v>
      </c>
      <c r="EM25" s="32">
        <f>EM24*(1+InputData!$C$8)</f>
        <v>16410.549384651382</v>
      </c>
      <c r="EN25" s="32">
        <f t="shared" si="170"/>
        <v>37265.782157502101</v>
      </c>
      <c r="EO25" s="32">
        <f>AW25/((1+InputData!$C$3)^(Ortho!$B25-Ortho!$B$7))</f>
        <v>442222.63491454162</v>
      </c>
      <c r="EP25" s="32">
        <f>AX25/((1+InputData!$C$3)^(Ortho!$B25-Ortho!$B$7))</f>
        <v>0</v>
      </c>
      <c r="EQ25" s="32">
        <v>93698.75</v>
      </c>
      <c r="ER25" s="32">
        <v>10663.47</v>
      </c>
      <c r="ES25" s="32">
        <v>0</v>
      </c>
      <c r="ET25" s="43">
        <f t="shared" si="129"/>
        <v>0.23599474961332029</v>
      </c>
      <c r="EU25" s="32">
        <f t="shared" si="57"/>
        <v>337860.41491454164</v>
      </c>
      <c r="EV25" s="32">
        <f>EN25/((1+InputData!$C$3)^(Ortho!$B25-Ortho!$B$7))</f>
        <v>26091.986743001748</v>
      </c>
      <c r="EW25" s="32">
        <f t="shared" si="58"/>
        <v>311768.42817153991</v>
      </c>
      <c r="EX25" s="32">
        <f>EW25/((1+InputData!$C$7)^(Ortho!$B25-Ortho!$B$7))</f>
        <v>183131.09353296692</v>
      </c>
      <c r="EY25" s="5">
        <f t="shared" si="117"/>
        <v>2040481.8856413923</v>
      </c>
      <c r="EZ25" s="79"/>
      <c r="FA25" s="32">
        <f t="shared" si="161"/>
        <v>35086.886505510141</v>
      </c>
      <c r="FB25" s="32">
        <f>FA25*InputData!$C$6</f>
        <v>2178.8956519921799</v>
      </c>
      <c r="FC25" s="32">
        <f t="shared" si="162"/>
        <v>2.1827872842550278E-10</v>
      </c>
      <c r="FD25" s="32">
        <f>MIN($EJ$16*InputData!$C$6/(1-(1+InputData!$C$6)^(-10)), FA25+FB25)</f>
        <v>37265.782157502101</v>
      </c>
      <c r="FE25" s="32">
        <f>FD25/((1+InputData!$C$3)^(Ortho!$B25-Ortho!$B$7))</f>
        <v>26091.986743001748</v>
      </c>
      <c r="FF25" s="5">
        <f t="shared" si="62"/>
        <v>311768.42817153991</v>
      </c>
      <c r="FG25" s="32">
        <f>FF25/((1+InputData!$C$7)^(Ortho!$B25-Ortho!$B$7))</f>
        <v>183131.09353296692</v>
      </c>
      <c r="FH25" s="5">
        <f t="shared" si="118"/>
        <v>2040481.8856413923</v>
      </c>
      <c r="FI25" s="79"/>
      <c r="FJ25" s="32">
        <f t="shared" si="163"/>
        <v>215869.53508370931</v>
      </c>
      <c r="FK25" s="32">
        <f>FJ25*InputData!$C$6</f>
        <v>13405.498128698349</v>
      </c>
      <c r="FL25" s="32">
        <f t="shared" si="164"/>
        <v>207605.16586856495</v>
      </c>
      <c r="FM25" s="32">
        <f>MIN($EJ$16*InputData!$C$6/(1-(1+InputData!$C$6)^(-25)), FJ25+FK25)</f>
        <v>21669.867343842721</v>
      </c>
      <c r="FN25" s="32">
        <f>FM25/((1+InputData!$C$3)^(Ortho!$B25-Ortho!$B$7))</f>
        <v>15172.360775052892</v>
      </c>
      <c r="FO25" s="5">
        <f t="shared" si="66"/>
        <v>322688.05413948873</v>
      </c>
      <c r="FP25" s="32">
        <f>FO25/((1+InputData!$C$7)^(Ortho!$B25-Ortho!$B$7))</f>
        <v>189545.22294372678</v>
      </c>
      <c r="FQ25" s="5">
        <f t="shared" si="119"/>
        <v>2121384.4112625858</v>
      </c>
      <c r="FR25" s="79"/>
      <c r="FS25" s="32">
        <f t="shared" si="165"/>
        <v>35086.886505510141</v>
      </c>
      <c r="FT25" s="32">
        <f>FS25*InputData!$C$6</f>
        <v>2178.8956519921799</v>
      </c>
      <c r="FU25" s="32">
        <f t="shared" si="166"/>
        <v>2.1827872842550278E-10</v>
      </c>
      <c r="FV25" s="5">
        <f t="shared" si="171"/>
        <v>37265.782157502101</v>
      </c>
      <c r="FW25" s="32">
        <f>FV25/((1+InputData!$C$3)^(Ortho!$B25-Ortho!$B$7))</f>
        <v>26091.986743001748</v>
      </c>
      <c r="FX25" s="5">
        <f t="shared" si="70"/>
        <v>311768.42817153991</v>
      </c>
      <c r="FY25" s="32">
        <f>FX25/((1+InputData!$C$7)^(Ortho!$B25-Ortho!$B$7))</f>
        <v>183131.09353296692</v>
      </c>
      <c r="FZ25" s="5">
        <f t="shared" si="120"/>
        <v>2040481.8856413923</v>
      </c>
      <c r="GC25" s="3">
        <f t="shared" si="3"/>
        <v>15</v>
      </c>
      <c r="GD25" s="122" t="str">
        <f t="shared" si="145"/>
        <v>Multi-Year (O5&gt;14 = (BP+BAH+BAS+VSP+BCPSP)*12+ASP+ISP+MSP)</v>
      </c>
      <c r="GE25" s="5">
        <f t="shared" si="146"/>
        <v>218103.52000000002</v>
      </c>
      <c r="GF25" s="5">
        <f t="shared" si="147"/>
        <v>21019.199999999997</v>
      </c>
      <c r="GG25" s="5">
        <f t="shared" si="148"/>
        <v>239122.72000000003</v>
      </c>
      <c r="GH25" s="5">
        <f t="shared" si="149"/>
        <v>182660.36079499256</v>
      </c>
      <c r="GI25" s="5">
        <f t="shared" si="150"/>
        <v>17603.451130096877</v>
      </c>
      <c r="GJ25" s="32">
        <f>IF(GH25-InputData!$C$158-InputData!$C$159&gt;=0,GH25-InputData!$C$158-InputData!$C$159,0)</f>
        <v>182660.36079499256</v>
      </c>
      <c r="GK25" s="32">
        <f>IF(GH25-IF(GH25&lt;=InputData!$C$146,InputData!$C$145,0)-MAX(InputData!$C$144,GQ25)&gt;=0,GH25-IF(GH25&lt;=InputData!$C$146,InputData!$C$145,0)-MAX(InputData!$C$144,GQ25),0)</f>
        <v>176560.36079499256</v>
      </c>
      <c r="GL25" s="32">
        <f>IF(GK25&lt;0,"Error",IF(GK25&lt;=InputData!$B$170,InputData!$C$170*GK25,IF(GK25&lt;=InputData!$B$171,InputData!$D$170+InputData!$C$171*(GK25-InputData!$B$170),IF(GK25&lt;=InputData!$B$172,InputData!$D$171+InputData!$C$172*(GK25-InputData!$B$171),IF(GK25&lt;=InputData!$B$173,InputData!$D$172+InputData!$C$173*(GK25-InputData!$B$172),IF(GK25&lt;=InputData!$B$174,InputData!$D$173+InputData!$C$174*(GK25-InputData!$B$173),IF(GK25&lt;=InputData!$B$175,InputData!$D$174+InputData!$C$175*(GK25-InputData!$B$174),InputData!$D$175+InputData!$C$176*(GK25-InputData!$B$175))))))))</f>
        <v>42730.151022597922</v>
      </c>
      <c r="GM25" s="32">
        <f>IF(GH25&lt;=InputData!$C$150,InputData!$C$152,IF(GH25&lt;InputData!$C$151,IF(InputData!$C$152-0.25*IF(GH25-InputData!$C$150&lt;=0,0,GH25-InputData!$C$150)&lt;=0,0,InputData!$C$152-0.25*IF(GH25-InputData!$C$150&lt;=0,0,GH25-InputData!$C$150)),0))</f>
        <v>35084.909801251859</v>
      </c>
      <c r="GN25" s="32">
        <f>IF(GH25-GM25&lt;=0,0,IF(GH25-GM25&lt;=InputData!$C$153,InputData!$C$154*(GH25-GM25),InputData!$C$155*(GH25-GM25)-InputData!$D$154))</f>
        <v>38369.617258372586</v>
      </c>
      <c r="GO25" s="32">
        <f t="shared" si="71"/>
        <v>42730.151022597922</v>
      </c>
      <c r="GP25" s="32">
        <f>IF(GH25&gt;=0,IF(GH25&lt;=InputData!$C$148,InputData!$C$147*GH25,InputData!$C$147*InputData!$C$148)+InputData!$C$149*GH25,0)</f>
        <v>9697.9752315273909</v>
      </c>
      <c r="GQ25" s="32">
        <f>IF(GJ25&lt;0,0,IF(GJ25&lt;=InputData!$B$163,InputData!$C$163*GJ25,IF(GJ25&lt;=InputData!$B$164,InputData!$D$163+InputData!$C$164*(GJ25-InputData!$B$163),IF(GJ25&lt;=InputData!$B$165,InputData!$D$164+InputData!$C$165*(GJ25-InputData!$B$164),InputData!$D$165+InputData!$C$166*(GJ25-InputData!$B$165)))))</f>
        <v>0</v>
      </c>
      <c r="GR25" s="43">
        <f t="shared" si="72"/>
        <v>0.2870251981652856</v>
      </c>
      <c r="GS25" s="43">
        <f t="shared" si="73"/>
        <v>0.26179530765017367</v>
      </c>
      <c r="GT25" s="5">
        <f t="shared" si="74"/>
        <v>147835.68567096416</v>
      </c>
      <c r="GU25" s="32">
        <f>GT25/((1+InputData!$C$7)^(Ortho!$B25-Ortho!$B$7))</f>
        <v>86837.884576380107</v>
      </c>
      <c r="GV25" s="32">
        <f t="shared" si="75"/>
        <v>1150608.1740209903</v>
      </c>
      <c r="GX25" s="3">
        <f t="shared" si="130"/>
        <v>15</v>
      </c>
      <c r="GY25" s="4" t="str">
        <f t="shared" si="131"/>
        <v>Multi-Year (O5&gt;14 = (BP+BAH+BAS+VSP+BCPSP)*12+ASP+ISP+MSP)</v>
      </c>
      <c r="GZ25" s="5">
        <f t="shared" si="132"/>
        <v>218103.52000000002</v>
      </c>
      <c r="HA25" s="5">
        <f t="shared" si="133"/>
        <v>21019.199999999997</v>
      </c>
      <c r="HB25" s="5">
        <f t="shared" si="134"/>
        <v>239122.72000000003</v>
      </c>
      <c r="HC25" s="5">
        <f t="shared" si="135"/>
        <v>182660.36079499256</v>
      </c>
      <c r="HD25" s="5">
        <f t="shared" si="136"/>
        <v>17603.451130096877</v>
      </c>
      <c r="HE25" s="32">
        <f>IF(HC25-InputData!$C$158-InputData!$C$159&gt;=0,HC25-InputData!$C$158-InputData!$C$159,0)</f>
        <v>182660.36079499256</v>
      </c>
      <c r="HF25" s="32">
        <f>IF(HC25-IF(HC25&lt;=InputData!$C$146,InputData!$C$145,0)-MAX(InputData!$C$144,HL25)&gt;=0,HC25-IF(HC25&lt;=InputData!$C$146,InputData!$C$145,0)-MAX(InputData!$C$144,HL25),0)</f>
        <v>176560.36079499256</v>
      </c>
      <c r="HG25" s="32">
        <f>IF(HF25&lt;0,"Error",IF(HF25&lt;=InputData!$B$170,InputData!$C$170*HF25,IF(HF25&lt;=InputData!$B$171,InputData!$D$170+InputData!$C$171*(HF25-InputData!$B$170),IF(HF25&lt;=InputData!$B$172,InputData!$D$171+InputData!$C$172*(HF25-InputData!$B$171),IF(HF25&lt;=InputData!$B$173,InputData!$D$172+InputData!$C$173*(HF25-InputData!$B$172),IF(HF25&lt;=InputData!$B$174,InputData!$D$173+InputData!$C$174*(HF25-InputData!$B$173),IF(HF25&lt;=InputData!$B$175,InputData!$D$174+InputData!$C$175*(HF25-InputData!$B$174),InputData!$D$175+InputData!$C$176*(HF25-InputData!$B$175))))))))</f>
        <v>42730.151022597922</v>
      </c>
      <c r="HH25" s="32">
        <f>IF(HC25&lt;=InputData!$C$150,InputData!$C$152,IF(HC25&lt;InputData!$C$151,IF(InputData!$C$152-0.25*IF(HC25-InputData!$C$150&lt;=0,0,HC25-InputData!$C$150)&lt;=0,0,InputData!$C$152-0.25*IF(HC25-InputData!$C$150&lt;=0,0,HC25-InputData!$C$150)),0))</f>
        <v>35084.909801251859</v>
      </c>
      <c r="HI25" s="32">
        <f>IF(HC25-HH25&lt;=0,0,IF(HC25-HH25&lt;=InputData!$C$153,InputData!$C$154*(HC25-HH25),InputData!$C$155*(HC25-HH25)-InputData!$D$154))</f>
        <v>38369.617258372586</v>
      </c>
      <c r="HJ25" s="32">
        <f t="shared" si="76"/>
        <v>42730.151022597922</v>
      </c>
      <c r="HK25" s="32">
        <f>IF(HC25&gt;=0,IF(HC25&lt;=InputData!$C$148,InputData!$C$147*HC25,InputData!$C$147*InputData!$C$148)+InputData!$C$149*HC25,0)</f>
        <v>9697.9752315273909</v>
      </c>
      <c r="HL25" s="32">
        <f>IF(HE25&lt;0,0,IF(HE25&lt;=InputData!$B$163,InputData!$C$163*HE25,IF(HE25&lt;=InputData!$B$164,InputData!$D$163+InputData!$C$164*(HE25-InputData!$B$163),IF(HE25&lt;=InputData!$B$165,InputData!$D$164+InputData!$C$165*(HE25-InputData!$B$164),InputData!$D$165+InputData!$C$166*(HE25-InputData!$B$165)))))</f>
        <v>0</v>
      </c>
      <c r="HM25" s="43">
        <f t="shared" si="77"/>
        <v>0.2870251981652856</v>
      </c>
      <c r="HN25" s="43">
        <f t="shared" si="78"/>
        <v>0.26179530765017367</v>
      </c>
      <c r="HO25" s="5">
        <f t="shared" si="79"/>
        <v>147835.68567096416</v>
      </c>
      <c r="HP25" s="32">
        <f>HO25/((1+InputData!$C$7)^(Ortho!$B25-Ortho!$B$7))</f>
        <v>86837.884576380107</v>
      </c>
      <c r="HQ25" s="32">
        <f t="shared" si="80"/>
        <v>1175976.1022209995</v>
      </c>
      <c r="HS25" s="227"/>
      <c r="HT25" s="53" t="s">
        <v>109</v>
      </c>
      <c r="HU25" s="32">
        <f>MIN(InputData!$C$13+InputData!$E$13*($B25-$B$23),1)*Ortho!AW25</f>
        <v>568442.53701898747</v>
      </c>
      <c r="HV25" s="32">
        <f>MIN(InputData!$C$13+InputData!$E$13*($B25-$B$23),1)*Ortho!AX25</f>
        <v>0</v>
      </c>
      <c r="HW25" s="32">
        <f>MIN(InputData!$C$13+InputData!$E$13*($B25-$B$23),1)*Ortho!AY25</f>
        <v>568442.53701898747</v>
      </c>
      <c r="HX25" s="32">
        <f>MIN(InputData!$C$13+InputData!$E$13*($B25-$B$23),1)*Ortho!EO25</f>
        <v>398000.37142308749</v>
      </c>
      <c r="HY25" s="32">
        <f>MIN(InputData!$C$13+InputData!$E$13*($B25-$B$23),1)*Ortho!EP25</f>
        <v>0</v>
      </c>
      <c r="HZ25" s="32">
        <f>IF(HX25-InputData!$C$158-InputData!$C$159&gt;=0,HX25-InputData!$C$158-InputData!$C$159,0)</f>
        <v>398000.37142308749</v>
      </c>
      <c r="IA25" s="32">
        <f>IF(HX25-IF(HX25&lt;=InputData!$C$146,InputData!$C$145,0)-MAX(InputData!$C$144,IG25)&gt;=0,HX25-IF(HX25&lt;=InputData!$C$146,InputData!$C$145,0)-MAX(InputData!$C$144,IG25),0)</f>
        <v>391900.37142308749</v>
      </c>
      <c r="IB25" s="32">
        <f>IF(IA25&lt;0,"Error",IF(IA25&lt;=InputData!$B$170,InputData!$C$170*IA25,IF(IA25&lt;=InputData!$B$171,InputData!$D$170+InputData!$C$171*(IA25-InputData!$B$170),IF(IA25&lt;=InputData!$B$172,InputData!$D$171+InputData!$C$172*(IA25-InputData!$B$171),IF(IA25&lt;=InputData!$B$173,InputData!$D$172+InputData!$C$173*(IA25-InputData!$B$172),IF(IA25&lt;=InputData!$B$174,InputData!$D$173+InputData!$C$174*(IA25-InputData!$B$173),IF(IA25&lt;=InputData!$B$175,InputData!$D$174+InputData!$C$175*(IA25-InputData!$B$174),InputData!$D$175+InputData!$C$176*(IA25-InputData!$B$175))))))))</f>
        <v>113457.87256961888</v>
      </c>
      <c r="IC25" s="32">
        <f>IF(HX25&lt;=InputData!$C$150,InputData!$C$152,IF(HX25&lt;InputData!$C$151,IF(InputData!$C$152-0.25*IF(HX25-InputData!$C$150&lt;=0,0,HX25-InputData!$C$150)&lt;=0,0,InputData!$C$152-0.25*IF(HX25-InputData!$C$150&lt;=0,0,HX25-InputData!$C$150)),0))</f>
        <v>0</v>
      </c>
      <c r="ID25" s="32">
        <f>IF(HX25-IC25&lt;=0,0,IF(HX25-IC25&lt;=InputData!$C$153,InputData!$C$154*(HX25-IC25),InputData!$C$155*(HX25-IC25)-InputData!$D$154))</f>
        <v>107850.1039984645</v>
      </c>
      <c r="IE25" s="32">
        <f t="shared" si="88"/>
        <v>113457.87256961888</v>
      </c>
      <c r="IF25" s="32">
        <f>IF(HX25&gt;=0,IF(HX25&lt;=InputData!$C$148,InputData!$C$147*HX25,InputData!$C$147*InputData!$C$148)+InputData!$C$149*HX25,0)</f>
        <v>12820.405385634767</v>
      </c>
      <c r="IG25" s="32">
        <f>IF(HZ25&lt;0,0,IF(HZ25&lt;=InputData!$B$163,InputData!$C$163*HZ25,IF(HZ25&lt;=InputData!$B$164,InputData!$D$163+InputData!$C$164*(HZ25-InputData!$B$163),IF(HZ25&lt;=InputData!$B$165,InputData!$D$164+InputData!$C$165*(HZ25-InputData!$B$164),InputData!$D$165+InputData!$C$166*(HZ25-InputData!$B$165)))))</f>
        <v>0</v>
      </c>
      <c r="IH25" s="43">
        <f t="shared" si="89"/>
        <v>0.31728180932026234</v>
      </c>
      <c r="II25" s="43">
        <f t="shared" si="90"/>
        <v>0.31728180932026234</v>
      </c>
      <c r="IJ25" s="5">
        <f t="shared" si="91"/>
        <v>271722.09346783388</v>
      </c>
      <c r="IK25" s="32">
        <f>IJ25/((1+InputData!$C$7)^(Ortho!$B25-Ortho!$B$7))</f>
        <v>159608.09247321318</v>
      </c>
      <c r="IL25" s="5">
        <f t="shared" si="92"/>
        <v>1370878.3940361971</v>
      </c>
      <c r="IN25" s="227"/>
      <c r="IO25" s="53" t="s">
        <v>109</v>
      </c>
      <c r="IP25" s="32">
        <f>MIN(InputData!$C$13+InputData!$E$13*($B25-$B$20),1)*Ortho!AW25</f>
        <v>568442.53701898747</v>
      </c>
      <c r="IQ25" s="32">
        <f>MIN(InputData!$C$13+InputData!$E$13*($B25-$B$20),1)*Ortho!AX25</f>
        <v>0</v>
      </c>
      <c r="IR25" s="32">
        <f>MIN(InputData!$C$13+InputData!$E$13*($B25-$B$20),1)*Ortho!AY25</f>
        <v>568442.53701898747</v>
      </c>
      <c r="IS25" s="32">
        <f>MIN(InputData!$C$13+InputData!$E$13*($B25-$B$20),1)*Ortho!EO25</f>
        <v>398000.37142308749</v>
      </c>
      <c r="IT25" s="32">
        <f>MIN(InputData!$C$13+InputData!$E$13*($B25-$B$20),1)*Ortho!EP25</f>
        <v>0</v>
      </c>
      <c r="IU25" s="32">
        <f>IF(IS25-InputData!$C$158-InputData!$C$159&gt;=0,IS25-InputData!$C$158-InputData!$C$159,0)</f>
        <v>398000.37142308749</v>
      </c>
      <c r="IV25" s="32">
        <f>IF(IS25-IF(IS25&lt;=InputData!$C$146,InputData!$C$145,0)-MAX(InputData!$C$144,JB25)&gt;=0,IS25-IF(IS25&lt;=InputData!$C$146,InputData!$C$145,0)-MAX(InputData!$C$144,JB25),0)</f>
        <v>391900.37142308749</v>
      </c>
      <c r="IW25" s="32">
        <f>IF(IV25&lt;0,"Error",IF(IV25&lt;=InputData!$B$170,InputData!$C$170*IV25,IF(IV25&lt;=InputData!$B$171,InputData!$D$170+InputData!$C$171*(IV25-InputData!$B$170),IF(IV25&lt;=InputData!$B$172,InputData!$D$171+InputData!$C$172*(IV25-InputData!$B$171),IF(IV25&lt;=InputData!$B$173,InputData!$D$172+InputData!$C$173*(IV25-InputData!$B$172),IF(IV25&lt;=InputData!$B$174,InputData!$D$173+InputData!$C$174*(IV25-InputData!$B$173),IF(IV25&lt;=InputData!$B$175,InputData!$D$174+InputData!$C$175*(IV25-InputData!$B$174),InputData!$D$175+InputData!$C$176*(IV25-InputData!$B$175))))))))</f>
        <v>113457.87256961888</v>
      </c>
      <c r="IX25" s="32">
        <f>IF(IS25&lt;=InputData!$C$150,InputData!$C$152,IF(IS25&lt;InputData!$C$151,IF(InputData!$C$152-0.25*IF(IS25-InputData!$C$150&lt;=0,0,IS25-InputData!$C$150)&lt;=0,0,InputData!$C$152-0.25*IF(IS25-InputData!$C$150&lt;=0,0,IS25-InputData!$C$150)),0))</f>
        <v>0</v>
      </c>
      <c r="IY25" s="32">
        <f>IF(IS25-IX25&lt;=0,0,IF(IS25-IX25&lt;=InputData!$C$153,InputData!$C$154*(IS25-IX25),InputData!$C$155*(IS25-IX25)-InputData!$D$154))</f>
        <v>107850.1039984645</v>
      </c>
      <c r="IZ25" s="32">
        <f t="shared" si="95"/>
        <v>113457.87256961888</v>
      </c>
      <c r="JA25" s="32">
        <f>IF(IS25&gt;=0,IF(IS25&lt;=InputData!$C$148,InputData!$C$147*IS25,InputData!$C$147*InputData!$C$148)+InputData!$C$149*IS25,0)</f>
        <v>12820.405385634767</v>
      </c>
      <c r="JB25" s="32">
        <f>IF(IU25&lt;0,0,IF(IU25&lt;=InputData!$B$163,InputData!$C$163*IU25,IF(IU25&lt;=InputData!$B$164,InputData!$D$163+InputData!$C$164*(IU25-InputData!$B$163),IF(IU25&lt;=InputData!$B$165,InputData!$D$164+InputData!$C$165*(IU25-InputData!$B$164),InputData!$D$165+InputData!$C$166*(IU25-InputData!$B$165)))))</f>
        <v>0</v>
      </c>
      <c r="JC25" s="43">
        <f t="shared" si="96"/>
        <v>0.31728180932026234</v>
      </c>
      <c r="JD25" s="43">
        <f t="shared" si="97"/>
        <v>0.31728180932026234</v>
      </c>
      <c r="JE25" s="5">
        <f t="shared" si="98"/>
        <v>271722.09346783388</v>
      </c>
      <c r="JF25" s="32">
        <f>JE25/((1+InputData!$C$7)^(Ortho!$B25-Ortho!$B$7))</f>
        <v>159608.09247321318</v>
      </c>
      <c r="JG25" s="5">
        <f t="shared" si="99"/>
        <v>1625870.0853629049</v>
      </c>
      <c r="JI25" s="41" t="str">
        <f t="shared" si="13"/>
        <v>Private Practice</v>
      </c>
      <c r="JJ25" s="5">
        <f t="shared" si="14"/>
        <v>631602.81890998606</v>
      </c>
      <c r="JK25" s="32">
        <v>0</v>
      </c>
      <c r="JL25" s="32">
        <f t="shared" si="101"/>
        <v>631602.81890998606</v>
      </c>
      <c r="JM25" s="32">
        <f>JM24*(1+InputData!$C$8)</f>
        <v>16410.549384651382</v>
      </c>
      <c r="JN25" s="32">
        <f>JJ25/((1+InputData!$C$3)^(Ortho!$B25-Ortho!$B$7))</f>
        <v>442222.63491454162</v>
      </c>
      <c r="JO25" s="32">
        <f>JK25/((1+InputData!$C$3)^(Ortho!$B25-Ortho!$B$7))</f>
        <v>0</v>
      </c>
      <c r="JP25" s="32" t="s">
        <v>141</v>
      </c>
      <c r="JQ25" s="32">
        <v>0</v>
      </c>
      <c r="JR25" s="32">
        <f t="shared" si="167"/>
        <v>0</v>
      </c>
      <c r="JS25" s="32">
        <f>(JR25)*InputData!$C$6</f>
        <v>0</v>
      </c>
      <c r="JT25" s="32">
        <f>MIN($BE$16*InputData!$C$6/(1-(1+InputData!$C$6)^(-10)), JR25+JS25)</f>
        <v>0</v>
      </c>
      <c r="JU25" s="32">
        <f t="shared" si="151"/>
        <v>0</v>
      </c>
      <c r="JV25" s="32">
        <f>JT25/((1+InputData!$C$3)^(Ortho!$B25-Ortho!$B$7))</f>
        <v>0</v>
      </c>
      <c r="JW25" s="32">
        <f>IF(JN25-InputData!$C$158-InputData!$C$159&gt;=0,JN25-InputData!$C$158-InputData!$C$159,0)</f>
        <v>442222.63491454162</v>
      </c>
      <c r="JX25" s="32">
        <f>IF(JN25-IF(JN25&lt;=InputData!$C$146,InputData!$C$145,0)-MAX(InputData!$C$144,KD25)&gt;=0,JN25-IF(JN25&lt;=InputData!$C$146,InputData!$C$145,0)-MAX(InputData!$C$144,KD25),0)</f>
        <v>436122.63491454162</v>
      </c>
      <c r="JY25" s="32">
        <f>IF(JX25&lt;0,"Error",IF(JX25&lt;=InputData!$B$170,InputData!$C$170*JX25,IF(JX25&lt;=InputData!$B$171,InputData!$D$170+InputData!$C$171*(JX25-InputData!$B$170),IF(JX25&lt;=InputData!$B$172,InputData!$D$171+InputData!$C$172*(JX25-InputData!$B$171),IF(JX25&lt;=InputData!$B$173,InputData!$D$172+InputData!$C$173*(JX25-InputData!$B$172),IF(JX25&lt;=InputData!$B$174,InputData!$D$173+InputData!$C$174*(JX25-InputData!$B$173),IF(JX25&lt;=InputData!$B$175,InputData!$D$174+InputData!$C$175*(JX25-InputData!$B$174),InputData!$D$175+InputData!$C$176*(JX25-InputData!$B$175))))))))</f>
        <v>130468.31342615848</v>
      </c>
      <c r="JZ25" s="32">
        <f>IF(JN25&lt;=InputData!$C$150,InputData!$C$152,IF(JN25&lt;InputData!$C$151,IF(InputData!$C$152-0.25*IF(JN25-InputData!$C$150&lt;=0,0,JN25-InputData!$C$150)&lt;=0,0,InputData!$C$152-0.25*IF(JN25-InputData!$C$150&lt;=0,0,JN25-InputData!$C$150)),0))</f>
        <v>0</v>
      </c>
      <c r="KA25" s="32">
        <f>IF(JN25-JZ25&lt;=0,0,IF(JN25-JZ25&lt;=InputData!$C$153,InputData!$C$154*(JN25-JZ25),InputData!$C$155*(JN25-JZ25)-InputData!$D$154))</f>
        <v>120232.33777607167</v>
      </c>
      <c r="KB25" s="32">
        <f t="shared" si="102"/>
        <v>130468.31342615848</v>
      </c>
      <c r="KC25" s="32">
        <f>IF(JN25&gt;=0,IF(JN25&lt;=InputData!$C$148,InputData!$C$147*JN25,InputData!$C$147*InputData!$C$148)+InputData!$C$149*JN25,0)</f>
        <v>13461.628206260853</v>
      </c>
      <c r="KD25" s="32">
        <f>IF(JW25&lt;0,0,IF(JW25&lt;=InputData!$B$163,InputData!$C$163*JW25,IF(JW25&lt;=InputData!$B$164,InputData!$D$163+InputData!$C$164*(JW25-InputData!$B$163),IF(JW25&lt;=InputData!$B$165,InputData!$D$164+InputData!$C$165*(JW25-InputData!$B$164),InputData!$D$165+InputData!$C$166*(JW25-InputData!$B$165)))))</f>
        <v>0</v>
      </c>
      <c r="KE25" s="43">
        <f t="shared" si="15"/>
        <v>0.32546941352342451</v>
      </c>
      <c r="KF25" s="32">
        <f t="shared" si="16"/>
        <v>298292.69328212226</v>
      </c>
      <c r="KG25" s="32">
        <f t="shared" si="103"/>
        <v>298292.69328212226</v>
      </c>
      <c r="KH25" s="32">
        <f>KG25/((1+InputData!$C$7)^(Ortho!$B25-Ortho!$B$7))</f>
        <v>175215.51952525639</v>
      </c>
      <c r="KI25" s="5">
        <f t="shared" si="122"/>
        <v>2112204.2072994425</v>
      </c>
    </row>
    <row r="26" spans="1:295" x14ac:dyDescent="0.25">
      <c r="A26" s="4">
        <v>2032</v>
      </c>
      <c r="B26" s="51">
        <v>20</v>
      </c>
      <c r="C26" s="4"/>
      <c r="D26" s="3">
        <v>16</v>
      </c>
      <c r="E26" s="97" t="s">
        <v>264</v>
      </c>
      <c r="F26" s="5">
        <f>InputData!$K$22*12</f>
        <v>89103.6</v>
      </c>
      <c r="G26" s="32">
        <f>(InputData!$K$22+InputData!$I$45+InputData!$F$50)*12+InputData!$J$50+InputData!$D$61+InputData!$J$61</f>
        <v>218103.52000000002</v>
      </c>
      <c r="H26" s="32">
        <f>(InputData!$C$33+InputData!$C$40)*12</f>
        <v>21019.199999999997</v>
      </c>
      <c r="I26" s="32">
        <f t="shared" si="17"/>
        <v>239122.72000000003</v>
      </c>
      <c r="J26" s="32">
        <f>G26*((1+InputData!$C$5)/(1+InputData!$C$3))^(Ortho!$B26-Ortho!$B$7)</f>
        <v>180869.57294406128</v>
      </c>
      <c r="K26" s="32">
        <f>H26*((1+InputData!$C$5)/(1+InputData!$C$3))^(Ortho!$B26-Ortho!$B$7)</f>
        <v>17430.868275880242</v>
      </c>
      <c r="L26" s="32">
        <f>IF(J26-InputData!$C$158-InputData!$C$159&gt;=0,J26-InputData!$C$158-InputData!$C$159,0)</f>
        <v>180869.57294406128</v>
      </c>
      <c r="M26" s="32">
        <f>IF(J26-IF(J26&lt;=InputData!$C$146,InputData!$C$145,0)-MAX(InputData!$C$144,S26)&gt;=0,J26-IF(J26&lt;=InputData!$C$146,InputData!$C$145,0)-MAX(InputData!$C$144,S26),0)</f>
        <v>174769.57294406128</v>
      </c>
      <c r="N26" s="32">
        <f>IF(M26&lt;0,"Error",IF(M26&lt;=InputData!$B$170,InputData!$C$170*M26,IF(M26&lt;=InputData!$B$171,InputData!$D$170+InputData!$C$171*(M26-InputData!$B$170),IF(M26&lt;=InputData!$B$172,InputData!$D$171+InputData!$C$172*(M26-InputData!$B$171),IF(M26&lt;=InputData!$B$173,InputData!$D$172+InputData!$C$173*(M26-InputData!$B$172),IF(M26&lt;=InputData!$B$174,InputData!$D$173+InputData!$C$174*(M26-InputData!$B$173),IF(M26&lt;=InputData!$B$175,InputData!$D$174+InputData!$C$175*(M26-InputData!$B$174),InputData!$D$175+InputData!$C$176*(M26-InputData!$B$175))))))))</f>
        <v>42228.730424337162</v>
      </c>
      <c r="O26" s="32">
        <f>IF(J26&lt;=InputData!$C$150,InputData!$C$152,IF(J26&lt;InputData!$C$151,IF(InputData!$C$152-0.25*IF(J26-InputData!$C$150&lt;=0,0,J26-InputData!$C$150)&lt;=0,0,InputData!$C$152-0.25*IF(J26-InputData!$C$150&lt;=0,0,J26-InputData!$C$150)),0))</f>
        <v>35532.606763984681</v>
      </c>
      <c r="P26" s="32">
        <f>IF(J26-O26&lt;=0,0,IF(J26-O26&lt;=InputData!$C$153,InputData!$C$154*(J26-O26),InputData!$C$155*(J26-O26)-InputData!$D$154))</f>
        <v>37787.611206819915</v>
      </c>
      <c r="Q26" s="32">
        <f t="shared" si="18"/>
        <v>42228.730424337162</v>
      </c>
      <c r="R26" s="32">
        <f>IF(J26&gt;=0,IF(J26&lt;=InputData!$C$148,InputData!$C$147*J26,InputData!$C$147*InputData!$C$148)+InputData!$C$149*J26,0)</f>
        <v>9672.0088076888878</v>
      </c>
      <c r="S26" s="32">
        <f>IF(L26&lt;0,0,IF(L26&lt;=InputData!$B$163,InputData!$C$163*L26,IF(L26&lt;=InputData!$B$164,InputData!$D$163+InputData!$C$164*(L26-InputData!$B$163),IF(L26&lt;=InputData!$B$165,InputData!$D$164+InputData!$C$165*(L26-InputData!$B$164),InputData!$D$165+InputData!$C$166*(L26-InputData!$B$165)))))</f>
        <v>0</v>
      </c>
      <c r="T26" s="43">
        <f t="shared" si="19"/>
        <v>0.28695119022632809</v>
      </c>
      <c r="U26" s="43">
        <f t="shared" si="20"/>
        <v>0.26172780510589605</v>
      </c>
      <c r="V26" s="5">
        <f t="shared" si="21"/>
        <v>146399.70198791544</v>
      </c>
      <c r="W26" s="32">
        <f>V26/((1+InputData!$C$7)^(Ortho!$B26-Ortho!$B$7))</f>
        <v>83489.704373138171</v>
      </c>
      <c r="X26" s="5">
        <f t="shared" si="104"/>
        <v>1234097.8783941285</v>
      </c>
      <c r="Y26" s="53"/>
      <c r="Z26" s="3">
        <v>16</v>
      </c>
      <c r="AA26" s="97" t="s">
        <v>264</v>
      </c>
      <c r="AB26" s="5">
        <f t="shared" si="126"/>
        <v>89103.6</v>
      </c>
      <c r="AC26" s="32">
        <f t="shared" si="175"/>
        <v>218103.52000000002</v>
      </c>
      <c r="AD26" s="32">
        <f t="shared" si="174"/>
        <v>21019.199999999997</v>
      </c>
      <c r="AE26" s="32">
        <f t="shared" si="22"/>
        <v>239122.72000000003</v>
      </c>
      <c r="AF26" s="5">
        <f>AC26*((1+InputData!$C$5)/(1+InputData!$C$3))^(Ortho!$B26-Ortho!$B$7)</f>
        <v>180869.57294406128</v>
      </c>
      <c r="AG26" s="5">
        <f>AD26*((1+InputData!$C$5)/(1+InputData!$C$3))^(Ortho!$B26-Ortho!$B$7)</f>
        <v>17430.868275880242</v>
      </c>
      <c r="AH26" s="32">
        <f>IF(AF26-InputData!$C$158-InputData!$C$159&gt;=0,AF26-InputData!$C$158-InputData!$C$159,0)</f>
        <v>180869.57294406128</v>
      </c>
      <c r="AI26" s="32">
        <f>IF(AF26-IF(AF26&lt;=InputData!$C$146,InputData!$C$145,0)-MAX(InputData!$C$144,AO26)&gt;=0,AF26-IF(AF26&lt;=InputData!$C$146,InputData!$C$145,0)-MAX(InputData!$C$144,AO26),0)</f>
        <v>174769.57294406128</v>
      </c>
      <c r="AJ26" s="32">
        <f>IF(AI26&lt;0,"Error",IF(AI26&lt;=InputData!$B$170,InputData!$C$170*AI26,IF(AI26&lt;=InputData!$B$171,InputData!$D$170+InputData!$C$171*(AI26-InputData!$B$170),IF(AI26&lt;=InputData!$B$172,InputData!$D$171+InputData!$C$172*(AI26-InputData!$B$171),IF(AI26&lt;=InputData!$B$173,InputData!$D$172+InputData!$C$173*(AI26-InputData!$B$172),IF(AI26&lt;=InputData!$B$174,InputData!$D$173+InputData!$C$174*(AI26-InputData!$B$173),IF(AI26&lt;=InputData!$B$175,InputData!$D$174+InputData!$C$175*(AI26-InputData!$B$174),InputData!$D$175+InputData!$C$176*(AI26-InputData!$B$175))))))))</f>
        <v>42228.730424337162</v>
      </c>
      <c r="AK26" s="32">
        <f>IF(AF26&lt;=InputData!$C$150,InputData!$C$152,IF(AF26&lt;InputData!$C$151,IF(InputData!$C$152-0.25*IF(AF26-InputData!$C$150&lt;=0,0,AF26-InputData!$C$150)&lt;=0,0,InputData!$C$152-0.25*IF(AF26-InputData!$C$150&lt;=0,0,AF26-InputData!$C$150)),0))</f>
        <v>35532.606763984681</v>
      </c>
      <c r="AL26" s="32">
        <f>IF(AF26-AK26&lt;=0,0,IF(AF26-AK26&lt;=InputData!$C$153,InputData!$C$154*(AF26-AK26),InputData!$C$155*(AF26-AK26)-InputData!$D$154))</f>
        <v>37787.611206819915</v>
      </c>
      <c r="AM26" s="32">
        <f t="shared" si="23"/>
        <v>42228.730424337162</v>
      </c>
      <c r="AN26" s="32">
        <f>IF(AF26&gt;=0,IF(AF26&lt;=InputData!$C$148,InputData!$C$147*AF26,InputData!$C$147*InputData!$C$148)+InputData!$C$149*AF26,0)</f>
        <v>9672.0088076888878</v>
      </c>
      <c r="AO26" s="32">
        <f>IF(AH26&lt;0,0,IF(AH26&lt;=InputData!$B$163,InputData!$C$163*AH26,IF(AH26&lt;=InputData!$B$164,InputData!$D$163+InputData!$C$164*(AH26-InputData!$B$163),IF(AH26&lt;=InputData!$B$165,InputData!$D$164+InputData!$C$165*(AH26-InputData!$B$164),InputData!$D$165+InputData!$C$166*(AH26-InputData!$B$165)))))</f>
        <v>0</v>
      </c>
      <c r="AP26" s="43">
        <f t="shared" si="24"/>
        <v>0.28695119022632809</v>
      </c>
      <c r="AQ26" s="43">
        <f t="shared" si="25"/>
        <v>0.26172780510589605</v>
      </c>
      <c r="AR26" s="5">
        <f t="shared" si="26"/>
        <v>146399.70198791544</v>
      </c>
      <c r="AS26" s="32">
        <f>AR26/((1+InputData!$C$7)^(Ortho!$B26-Ortho!$B$7))</f>
        <v>83489.704373138171</v>
      </c>
      <c r="AT26" s="5">
        <f t="shared" si="105"/>
        <v>1259465.8065941378</v>
      </c>
      <c r="AU26" s="53"/>
      <c r="AV26" s="41" t="s">
        <v>109</v>
      </c>
      <c r="AW26" s="32">
        <f>$AW$17*(1+InputData!$C$3+InputData!$C$4)^(Ortho!$B26-Ortho!$B$17)</f>
        <v>650550.90347728564</v>
      </c>
      <c r="AX26" s="32">
        <v>0</v>
      </c>
      <c r="AY26" s="32">
        <f t="shared" si="28"/>
        <v>650550.90347728564</v>
      </c>
      <c r="AZ26" s="32">
        <f>AZ25*(1+InputData!$C$8)</f>
        <v>16738.760372344408</v>
      </c>
      <c r="BA26" s="32">
        <f>AW26/((1+InputData!$C$3)^(Ortho!$B26-Ortho!$B$7))</f>
        <v>446558.15094311559</v>
      </c>
      <c r="BB26" s="32">
        <f>AX26/((1+InputData!$C$3)^(Ortho!$B26-Ortho!$B$7))</f>
        <v>0</v>
      </c>
      <c r="BC26" s="32" t="s">
        <v>141</v>
      </c>
      <c r="BD26" s="32">
        <v>0</v>
      </c>
      <c r="BE26" s="32">
        <f t="shared" si="152"/>
        <v>3.7107383832335472E-10</v>
      </c>
      <c r="BF26" s="32">
        <f>(BE26)*InputData!$C$6</f>
        <v>2.3043685359880328E-11</v>
      </c>
      <c r="BG26" s="32">
        <f>MIN($BE$16*InputData!$C$6/(1-(1+InputData!$C$6)^(-10)), BE26+BF26)</f>
        <v>3.9411752368323503E-10</v>
      </c>
      <c r="BH26" s="32">
        <f t="shared" si="137"/>
        <v>0</v>
      </c>
      <c r="BI26" s="32">
        <f>BG26/((1+InputData!$C$3)^(Ortho!$B26-Ortho!$B$7))</f>
        <v>2.705343912206403E-10</v>
      </c>
      <c r="BJ26" s="32">
        <f>IF(BA26-InputData!$C$158-InputData!$C$159&gt;=0,BA26-InputData!$C$158-InputData!$C$159,0)</f>
        <v>446558.15094311559</v>
      </c>
      <c r="BK26" s="32">
        <f>IF(BA26-IF(BA26&lt;=InputData!$C$146,InputData!$C$145,0)-MAX(InputData!$C$144,BQ26)&gt;=0,BA26-IF(BA26&lt;=InputData!$C$146,InputData!$C$145,0)-MAX(InputData!$C$144,BQ26),0)</f>
        <v>440458.15094311559</v>
      </c>
      <c r="BL26" s="32">
        <f>IF(BK26&lt;0,"Error",IF(BK26&lt;=InputData!$B$170,InputData!$C$170*BK26,IF(BK26&lt;=InputData!$B$171,InputData!$D$170+InputData!$C$171*(BK26-InputData!$B$170),IF(BK26&lt;=InputData!$B$172,InputData!$D$171+InputData!$C$172*(BK26-InputData!$B$171),IF(BK26&lt;=InputData!$B$173,InputData!$D$172+InputData!$C$173*(BK26-InputData!$B$172),IF(BK26&lt;=InputData!$B$174,InputData!$D$173+InputData!$C$174*(BK26-InputData!$B$173),IF(BK26&lt;=InputData!$B$175,InputData!$D$174+InputData!$C$175*(BK26-InputData!$B$174),InputData!$D$175+InputData!$C$176*(BK26-InputData!$B$175))))))))</f>
        <v>132185.17777347378</v>
      </c>
      <c r="BM26" s="32">
        <f>IF(BA26&lt;=InputData!$C$150,InputData!$C$152,IF(BA26&lt;InputData!$C$151,IF(InputData!$C$152-0.25*IF(BA26-InputData!$C$150&lt;=0,0,BA26-InputData!$C$150)&lt;=0,0,InputData!$C$152-0.25*IF(BA26-InputData!$C$150&lt;=0,0,BA26-InputData!$C$150)),0))</f>
        <v>0</v>
      </c>
      <c r="BN26" s="32">
        <f>IF(BA26-BM26&lt;=0,0,IF(BA26-BM26&lt;=InputData!$C$153,InputData!$C$154*(BA26-BM26),InputData!$C$155*(BA26-BM26)-InputData!$D$154))</f>
        <v>121446.28226407238</v>
      </c>
      <c r="BO26" s="32">
        <f t="shared" si="29"/>
        <v>132185.17777347378</v>
      </c>
      <c r="BP26" s="32">
        <f>IF(BA26&gt;=0,IF(BA26&lt;=InputData!$C$148,InputData!$C$147*BA26,InputData!$C$147*InputData!$C$148)+InputData!$C$149*BA26,0)</f>
        <v>13524.493188675176</v>
      </c>
      <c r="BQ26" s="32">
        <f>IF(BJ26&lt;0,0,IF(BJ26&lt;=InputData!$B$163,InputData!$C$163*BJ26,IF(BJ26&lt;=InputData!$B$164,InputData!$D$163+InputData!$C$164*(BJ26-InputData!$B$163),IF(BJ26&lt;=InputData!$B$165,InputData!$D$164+InputData!$C$165*(BJ26-InputData!$B$164),InputData!$D$165+InputData!$C$166*(BJ26-InputData!$B$165)))))</f>
        <v>0</v>
      </c>
      <c r="BR26" s="43">
        <f t="shared" si="30"/>
        <v>0.32629495319795437</v>
      </c>
      <c r="BS26" s="32">
        <f t="shared" si="31"/>
        <v>300848.47998096666</v>
      </c>
      <c r="BT26" s="32">
        <f t="shared" si="32"/>
        <v>300848.47998096637</v>
      </c>
      <c r="BU26" s="32">
        <f>BT26/((1+InputData!$C$7)^(Ortho!$B26-Ortho!$B$7))</f>
        <v>171569.68432075228</v>
      </c>
      <c r="BV26" s="5">
        <f t="shared" si="107"/>
        <v>1899447.4990734544</v>
      </c>
      <c r="BW26" s="5"/>
      <c r="BX26" s="32" t="s">
        <v>141</v>
      </c>
      <c r="BY26" s="5">
        <f t="shared" si="153"/>
        <v>207761.77920151342</v>
      </c>
      <c r="BZ26" s="32">
        <f>(BY26)*InputData!$C$6</f>
        <v>12902.006488413983</v>
      </c>
      <c r="CA26" s="32">
        <f>MIN($BY$16*InputData!$C$6/(1-(1+InputData!$C$6)^(-25)), BY26+BZ26)</f>
        <v>21686.214673809533</v>
      </c>
      <c r="CB26" s="32">
        <f t="shared" si="154"/>
        <v>198977.57101611787</v>
      </c>
      <c r="CC26" s="32">
        <f>CA26/((1+InputData!$C$3)^(Ortho!$B26-Ortho!$B$7))</f>
        <v>14886.084815083148</v>
      </c>
      <c r="CD26" s="5">
        <f t="shared" si="36"/>
        <v>285962.39516588353</v>
      </c>
      <c r="CE26" s="32">
        <f>CD26/((1+InputData!$C$7)^(Ortho!$B26-Ortho!$B$7))</f>
        <v>163080.35815677335</v>
      </c>
      <c r="CF26" s="5">
        <f t="shared" si="108"/>
        <v>1971921.7298355901</v>
      </c>
      <c r="CG26" s="5"/>
      <c r="CH26" s="32" t="s">
        <v>141</v>
      </c>
      <c r="CI26" s="5" t="e">
        <f t="shared" si="155"/>
        <v>#VALUE!</v>
      </c>
      <c r="CJ26" s="32" t="e">
        <f>(CI26)*InputData!$C$6</f>
        <v>#VALUE!</v>
      </c>
      <c r="CK26" s="5" t="str">
        <f t="shared" si="168"/>
        <v>DNQ</v>
      </c>
      <c r="CL26" s="32" t="e">
        <f t="shared" si="156"/>
        <v>#VALUE!</v>
      </c>
      <c r="CM26" s="32" t="e">
        <f>CK26/((1+InputData!$C$3)^(Ortho!$B26-Ortho!$B$7))</f>
        <v>#VALUE!</v>
      </c>
      <c r="CN26" s="5" t="e">
        <f t="shared" si="40"/>
        <v>#VALUE!</v>
      </c>
      <c r="CO26" s="32" t="e">
        <f>CN26/((1+InputData!$C$7)^(Ortho!$B26-Ortho!$B$7))</f>
        <v>#VALUE!</v>
      </c>
      <c r="CP26" s="5" t="e">
        <f t="shared" si="109"/>
        <v>#VALUE!</v>
      </c>
      <c r="CQ26" s="5"/>
      <c r="CR26" s="32" t="s">
        <v>141</v>
      </c>
      <c r="CS26" s="5" t="e">
        <f t="shared" si="157"/>
        <v>#VALUE!</v>
      </c>
      <c r="CT26" s="32" t="e">
        <f>(CS26)*InputData!$C$6</f>
        <v>#VALUE!</v>
      </c>
      <c r="CU26" s="32" t="str">
        <f t="shared" si="169"/>
        <v>DNQ</v>
      </c>
      <c r="CV26" s="32" t="e">
        <f t="shared" si="158"/>
        <v>#VALUE!</v>
      </c>
      <c r="CW26" s="32" t="e">
        <f>CU26/((1+InputData!$C$3)^(Ortho!$B26-Ortho!$B$7))</f>
        <v>#VALUE!</v>
      </c>
      <c r="CX26" s="5" t="e">
        <f t="shared" si="44"/>
        <v>#VALUE!</v>
      </c>
      <c r="CY26" s="32" t="e">
        <f>CX26/((1+InputData!$C$7)^(Ortho!$B26-Ortho!$B$7))</f>
        <v>#VALUE!</v>
      </c>
      <c r="CZ26" s="5" t="e">
        <f t="shared" si="110"/>
        <v>#VALUE!</v>
      </c>
      <c r="DA26" s="5"/>
      <c r="DB26" s="32" t="s">
        <v>141</v>
      </c>
      <c r="DC26" s="5">
        <f t="shared" si="138"/>
        <v>0</v>
      </c>
      <c r="DD26" s="5">
        <f>DC26*InputData!$C$6</f>
        <v>0</v>
      </c>
      <c r="DE26" s="32">
        <f t="shared" si="139"/>
        <v>0</v>
      </c>
      <c r="DF26" s="32">
        <f t="shared" si="140"/>
        <v>0</v>
      </c>
      <c r="DG26" s="32">
        <f>DE26/((1+InputData!$C$3)^(Ortho!$B26-Ortho!$B$7))</f>
        <v>0</v>
      </c>
      <c r="DH26" s="5">
        <f t="shared" si="48"/>
        <v>300848.47998096666</v>
      </c>
      <c r="DI26" s="32">
        <f>DH26/((1+InputData!$C$7)^(Ortho!$B26-Ortho!$B$7))</f>
        <v>171569.68432075242</v>
      </c>
      <c r="DJ26" s="5">
        <f t="shared" si="111"/>
        <v>1904035.1151758707</v>
      </c>
      <c r="DK26" s="5"/>
      <c r="DL26" s="32" t="s">
        <v>141</v>
      </c>
      <c r="DM26" s="32">
        <f t="shared" si="159"/>
        <v>51079.062096190319</v>
      </c>
      <c r="DN26" s="5">
        <f>DM26*InputData!$C$6</f>
        <v>3172.0097561734187</v>
      </c>
      <c r="DO26" s="32">
        <f t="shared" si="160"/>
        <v>0</v>
      </c>
      <c r="DP26" s="32">
        <f t="shared" si="123"/>
        <v>29148.379963889372</v>
      </c>
      <c r="DQ26" s="32">
        <f t="shared" si="124"/>
        <v>25102.691888474368</v>
      </c>
      <c r="DR26" s="32">
        <f>DP26/((1+InputData!$C$3)^(Ortho!$B26-Ortho!$B$7))</f>
        <v>20008.344604683611</v>
      </c>
      <c r="DS26" s="5">
        <f t="shared" si="52"/>
        <v>280840.13537628303</v>
      </c>
      <c r="DT26" s="32">
        <f>DS26/((1+InputData!$C$7)^(Ortho!$B26-Ortho!$B$7))</f>
        <v>160159.20497306358</v>
      </c>
      <c r="DU26" s="5">
        <f t="shared" si="113"/>
        <v>1907061.1850633086</v>
      </c>
      <c r="DV26" s="5"/>
      <c r="DW26" s="32" t="s">
        <v>141</v>
      </c>
      <c r="DX26" s="133">
        <f t="shared" si="141"/>
        <v>68103.79762577817</v>
      </c>
      <c r="DY26" s="5">
        <f>DX26*InputData!$C$6</f>
        <v>4229.245832560825</v>
      </c>
      <c r="DZ26" s="133">
        <f t="shared" si="142"/>
        <v>0</v>
      </c>
      <c r="EA26" s="32">
        <f t="shared" si="143"/>
        <v>29148.379963889372</v>
      </c>
      <c r="EB26" s="32">
        <f t="shared" si="144"/>
        <v>43184.663494449633</v>
      </c>
      <c r="EC26" s="32">
        <f>EA26/((1+InputData!$C$3)^(Ortho!$B26-Ortho!$B$7))</f>
        <v>20008.344604683611</v>
      </c>
      <c r="ED26" s="5">
        <f t="shared" si="56"/>
        <v>280840.13537628303</v>
      </c>
      <c r="EE26" s="32">
        <f>ED26/((1+InputData!$C$7)^(Ortho!$B26-Ortho!$B$7))</f>
        <v>160159.20497306358</v>
      </c>
      <c r="EF26" s="5">
        <f t="shared" si="115"/>
        <v>1914804.5259869564</v>
      </c>
      <c r="EG26" s="32"/>
      <c r="EH26" s="130" t="s">
        <v>141</v>
      </c>
      <c r="EI26" s="32">
        <v>0</v>
      </c>
      <c r="EJ26" s="32">
        <f t="shared" si="173"/>
        <v>2.7648638933897018E-10</v>
      </c>
      <c r="EK26" s="32">
        <f>(EJ26)*InputData!$C$6</f>
        <v>1.7169804777950048E-11</v>
      </c>
      <c r="EL26" s="32">
        <f t="shared" si="172"/>
        <v>-3.637978807091713E-11</v>
      </c>
      <c r="EM26" s="32">
        <f>EM25*(1+InputData!$C$8)</f>
        <v>16738.760372344408</v>
      </c>
      <c r="EN26" s="32">
        <f t="shared" si="170"/>
        <v>2.9365619411692023E-10</v>
      </c>
      <c r="EO26" s="32">
        <f>AW26/((1+InputData!$C$3)^(Ortho!$B26-Ortho!$B$7))</f>
        <v>446558.15094311559</v>
      </c>
      <c r="EP26" s="32">
        <f>AX26/((1+InputData!$C$3)^(Ortho!$B26-Ortho!$B$7))</f>
        <v>0</v>
      </c>
      <c r="EQ26" s="32">
        <v>94800.6</v>
      </c>
      <c r="ER26" s="32">
        <v>10711.88</v>
      </c>
      <c r="ES26" s="32">
        <v>0</v>
      </c>
      <c r="ET26" s="43">
        <f t="shared" si="129"/>
        <v>0.23627937319509509</v>
      </c>
      <c r="EU26" s="32">
        <f t="shared" si="57"/>
        <v>341045.67094311561</v>
      </c>
      <c r="EV26" s="32">
        <f>EN26/((1+InputData!$C$3)^(Ortho!$B26-Ortho!$B$7))</f>
        <v>2.0157464443890847E-10</v>
      </c>
      <c r="EW26" s="32">
        <f t="shared" si="58"/>
        <v>341045.67094311543</v>
      </c>
      <c r="EX26" s="32">
        <f>EW26/((1+InputData!$C$7)^(Ortho!$B26-Ortho!$B$7))</f>
        <v>194493.58064355649</v>
      </c>
      <c r="EY26" s="5">
        <f t="shared" si="117"/>
        <v>2234975.4662849489</v>
      </c>
      <c r="EZ26" s="79"/>
      <c r="FA26" s="32">
        <f t="shared" si="161"/>
        <v>2.1827872842550278E-10</v>
      </c>
      <c r="FB26" s="32">
        <f>FA26*InputData!$C$6</f>
        <v>1.3555109035223722E-11</v>
      </c>
      <c r="FC26" s="32">
        <f t="shared" si="162"/>
        <v>0</v>
      </c>
      <c r="FD26" s="32">
        <f>MIN($EJ$16*InputData!$C$6/(1-(1+InputData!$C$6)^(-10)), FA26+FB26)</f>
        <v>2.318338374607265E-10</v>
      </c>
      <c r="FE26" s="32">
        <f>FD26/((1+InputData!$C$3)^(Ortho!$B26-Ortho!$B$7))</f>
        <v>1.5913787718861193E-10</v>
      </c>
      <c r="FF26" s="5">
        <f t="shared" si="62"/>
        <v>341045.67094311543</v>
      </c>
      <c r="FG26" s="32">
        <f>FF26/((1+InputData!$C$7)^(Ortho!$B26-Ortho!$B$7))</f>
        <v>194493.58064355649</v>
      </c>
      <c r="FH26" s="5">
        <f t="shared" si="118"/>
        <v>2234975.4662849489</v>
      </c>
      <c r="FI26" s="79"/>
      <c r="FJ26" s="32">
        <f t="shared" si="163"/>
        <v>207605.16586856495</v>
      </c>
      <c r="FK26" s="32">
        <f>FJ26*InputData!$C$6</f>
        <v>12892.280800437884</v>
      </c>
      <c r="FL26" s="32">
        <f t="shared" si="164"/>
        <v>198827.5793251601</v>
      </c>
      <c r="FM26" s="32">
        <f>MIN($EJ$16*InputData!$C$6/(1-(1+InputData!$C$6)^(-25)), FJ26+FK26)</f>
        <v>21669.867343842721</v>
      </c>
      <c r="FN26" s="32">
        <f>FM26/((1+InputData!$C$3)^(Ortho!$B26-Ortho!$B$7))</f>
        <v>14874.863504953815</v>
      </c>
      <c r="FO26" s="5">
        <f t="shared" si="66"/>
        <v>326170.80743816181</v>
      </c>
      <c r="FP26" s="32">
        <f>FO26/((1+InputData!$C$7)^(Ortho!$B26-Ortho!$B$7))</f>
        <v>186010.65383594678</v>
      </c>
      <c r="FQ26" s="5">
        <f t="shared" si="119"/>
        <v>2307395.0650985325</v>
      </c>
      <c r="FR26" s="79"/>
      <c r="FS26" s="32">
        <f t="shared" si="165"/>
        <v>2.1827872842550278E-10</v>
      </c>
      <c r="FT26" s="32">
        <f>FS26*InputData!$C$6</f>
        <v>1.3555109035223722E-11</v>
      </c>
      <c r="FU26" s="32">
        <f t="shared" si="166"/>
        <v>0</v>
      </c>
      <c r="FV26" s="5">
        <f t="shared" si="171"/>
        <v>2.318338374607265E-10</v>
      </c>
      <c r="FW26" s="32">
        <f>FV26/((1+InputData!$C$3)^(Ortho!$B26-Ortho!$B$7))</f>
        <v>1.5913787718861193E-10</v>
      </c>
      <c r="FX26" s="5">
        <f t="shared" si="70"/>
        <v>341045.67094311543</v>
      </c>
      <c r="FY26" s="32">
        <f>FX26/((1+InputData!$C$7)^(Ortho!$B26-Ortho!$B$7))</f>
        <v>194493.58064355649</v>
      </c>
      <c r="FZ26" s="5">
        <f t="shared" si="120"/>
        <v>2234975.4662849489</v>
      </c>
      <c r="GC26" s="3">
        <f t="shared" si="3"/>
        <v>16</v>
      </c>
      <c r="GD26" s="122" t="str">
        <f t="shared" si="145"/>
        <v>Multi-Year (O5&gt;14 = (BP+BAH+BAS+VSP+BCPSP)*12+ASP+ISP+MSP)</v>
      </c>
      <c r="GE26" s="5">
        <f t="shared" si="146"/>
        <v>218103.52000000002</v>
      </c>
      <c r="GF26" s="5">
        <f t="shared" si="147"/>
        <v>21019.199999999997</v>
      </c>
      <c r="GG26" s="5">
        <f t="shared" si="148"/>
        <v>239122.72000000003</v>
      </c>
      <c r="GH26" s="5">
        <f t="shared" si="149"/>
        <v>180869.57294406128</v>
      </c>
      <c r="GI26" s="5">
        <f t="shared" si="150"/>
        <v>17430.868275880242</v>
      </c>
      <c r="GJ26" s="32">
        <f>IF(GH26-InputData!$C$158-InputData!$C$159&gt;=0,GH26-InputData!$C$158-InputData!$C$159,0)</f>
        <v>180869.57294406128</v>
      </c>
      <c r="GK26" s="32">
        <f>IF(GH26-IF(GH26&lt;=InputData!$C$146,InputData!$C$145,0)-MAX(InputData!$C$144,GQ26)&gt;=0,GH26-IF(GH26&lt;=InputData!$C$146,InputData!$C$145,0)-MAX(InputData!$C$144,GQ26),0)</f>
        <v>174769.57294406128</v>
      </c>
      <c r="GL26" s="32">
        <f>IF(GK26&lt;0,"Error",IF(GK26&lt;=InputData!$B$170,InputData!$C$170*GK26,IF(GK26&lt;=InputData!$B$171,InputData!$D$170+InputData!$C$171*(GK26-InputData!$B$170),IF(GK26&lt;=InputData!$B$172,InputData!$D$171+InputData!$C$172*(GK26-InputData!$B$171),IF(GK26&lt;=InputData!$B$173,InputData!$D$172+InputData!$C$173*(GK26-InputData!$B$172),IF(GK26&lt;=InputData!$B$174,InputData!$D$173+InputData!$C$174*(GK26-InputData!$B$173),IF(GK26&lt;=InputData!$B$175,InputData!$D$174+InputData!$C$175*(GK26-InputData!$B$174),InputData!$D$175+InputData!$C$176*(GK26-InputData!$B$175))))))))</f>
        <v>42228.730424337162</v>
      </c>
      <c r="GM26" s="32">
        <f>IF(GH26&lt;=InputData!$C$150,InputData!$C$152,IF(GH26&lt;InputData!$C$151,IF(InputData!$C$152-0.25*IF(GH26-InputData!$C$150&lt;=0,0,GH26-InputData!$C$150)&lt;=0,0,InputData!$C$152-0.25*IF(GH26-InputData!$C$150&lt;=0,0,GH26-InputData!$C$150)),0))</f>
        <v>35532.606763984681</v>
      </c>
      <c r="GN26" s="32">
        <f>IF(GH26-GM26&lt;=0,0,IF(GH26-GM26&lt;=InputData!$C$153,InputData!$C$154*(GH26-GM26),InputData!$C$155*(GH26-GM26)-InputData!$D$154))</f>
        <v>37787.611206819915</v>
      </c>
      <c r="GO26" s="32">
        <f t="shared" si="71"/>
        <v>42228.730424337162</v>
      </c>
      <c r="GP26" s="32">
        <f>IF(GH26&gt;=0,IF(GH26&lt;=InputData!$C$148,InputData!$C$147*GH26,InputData!$C$147*InputData!$C$148)+InputData!$C$149*GH26,0)</f>
        <v>9672.0088076888878</v>
      </c>
      <c r="GQ26" s="32">
        <f>IF(GJ26&lt;0,0,IF(GJ26&lt;=InputData!$B$163,InputData!$C$163*GJ26,IF(GJ26&lt;=InputData!$B$164,InputData!$D$163+InputData!$C$164*(GJ26-InputData!$B$163),IF(GJ26&lt;=InputData!$B$165,InputData!$D$164+InputData!$C$165*(GJ26-InputData!$B$164),InputData!$D$165+InputData!$C$166*(GJ26-InputData!$B$165)))))</f>
        <v>0</v>
      </c>
      <c r="GR26" s="43">
        <f t="shared" si="72"/>
        <v>0.28695119022632809</v>
      </c>
      <c r="GS26" s="43">
        <f t="shared" si="73"/>
        <v>0.26172780510589605</v>
      </c>
      <c r="GT26" s="5">
        <f t="shared" si="74"/>
        <v>146399.70198791544</v>
      </c>
      <c r="GU26" s="32">
        <f>GT26/((1+InputData!$C$7)^(Ortho!$B26-Ortho!$B$7))</f>
        <v>83489.704373138171</v>
      </c>
      <c r="GV26" s="32">
        <f t="shared" si="75"/>
        <v>1234097.8783941285</v>
      </c>
      <c r="GX26" s="3">
        <f t="shared" si="130"/>
        <v>16</v>
      </c>
      <c r="GY26" s="4" t="str">
        <f t="shared" si="131"/>
        <v>Multi-Year (O5&gt;14 = (BP+BAH+BAS+VSP+BCPSP)*12+ASP+ISP+MSP)</v>
      </c>
      <c r="GZ26" s="5">
        <f t="shared" si="132"/>
        <v>218103.52000000002</v>
      </c>
      <c r="HA26" s="5">
        <f t="shared" si="133"/>
        <v>21019.199999999997</v>
      </c>
      <c r="HB26" s="5">
        <f t="shared" si="134"/>
        <v>239122.72000000003</v>
      </c>
      <c r="HC26" s="5">
        <f t="shared" si="135"/>
        <v>180869.57294406128</v>
      </c>
      <c r="HD26" s="5">
        <f t="shared" si="136"/>
        <v>17430.868275880242</v>
      </c>
      <c r="HE26" s="32">
        <f>IF(HC26-InputData!$C$158-InputData!$C$159&gt;=0,HC26-InputData!$C$158-InputData!$C$159,0)</f>
        <v>180869.57294406128</v>
      </c>
      <c r="HF26" s="32">
        <f>IF(HC26-IF(HC26&lt;=InputData!$C$146,InputData!$C$145,0)-MAX(InputData!$C$144,HL26)&gt;=0,HC26-IF(HC26&lt;=InputData!$C$146,InputData!$C$145,0)-MAX(InputData!$C$144,HL26),0)</f>
        <v>174769.57294406128</v>
      </c>
      <c r="HG26" s="32">
        <f>IF(HF26&lt;0,"Error",IF(HF26&lt;=InputData!$B$170,InputData!$C$170*HF26,IF(HF26&lt;=InputData!$B$171,InputData!$D$170+InputData!$C$171*(HF26-InputData!$B$170),IF(HF26&lt;=InputData!$B$172,InputData!$D$171+InputData!$C$172*(HF26-InputData!$B$171),IF(HF26&lt;=InputData!$B$173,InputData!$D$172+InputData!$C$173*(HF26-InputData!$B$172),IF(HF26&lt;=InputData!$B$174,InputData!$D$173+InputData!$C$174*(HF26-InputData!$B$173),IF(HF26&lt;=InputData!$B$175,InputData!$D$174+InputData!$C$175*(HF26-InputData!$B$174),InputData!$D$175+InputData!$C$176*(HF26-InputData!$B$175))))))))</f>
        <v>42228.730424337162</v>
      </c>
      <c r="HH26" s="32">
        <f>IF(HC26&lt;=InputData!$C$150,InputData!$C$152,IF(HC26&lt;InputData!$C$151,IF(InputData!$C$152-0.25*IF(HC26-InputData!$C$150&lt;=0,0,HC26-InputData!$C$150)&lt;=0,0,InputData!$C$152-0.25*IF(HC26-InputData!$C$150&lt;=0,0,HC26-InputData!$C$150)),0))</f>
        <v>35532.606763984681</v>
      </c>
      <c r="HI26" s="32">
        <f>IF(HC26-HH26&lt;=0,0,IF(HC26-HH26&lt;=InputData!$C$153,InputData!$C$154*(HC26-HH26),InputData!$C$155*(HC26-HH26)-InputData!$D$154))</f>
        <v>37787.611206819915</v>
      </c>
      <c r="HJ26" s="32">
        <f t="shared" si="76"/>
        <v>42228.730424337162</v>
      </c>
      <c r="HK26" s="32">
        <f>IF(HC26&gt;=0,IF(HC26&lt;=InputData!$C$148,InputData!$C$147*HC26,InputData!$C$147*InputData!$C$148)+InputData!$C$149*HC26,0)</f>
        <v>9672.0088076888878</v>
      </c>
      <c r="HL26" s="32">
        <f>IF(HE26&lt;0,0,IF(HE26&lt;=InputData!$B$163,InputData!$C$163*HE26,IF(HE26&lt;=InputData!$B$164,InputData!$D$163+InputData!$C$164*(HE26-InputData!$B$163),IF(HE26&lt;=InputData!$B$165,InputData!$D$164+InputData!$C$165*(HE26-InputData!$B$164),InputData!$D$165+InputData!$C$166*(HE26-InputData!$B$165)))))</f>
        <v>0</v>
      </c>
      <c r="HM26" s="43">
        <f t="shared" si="77"/>
        <v>0.28695119022632809</v>
      </c>
      <c r="HN26" s="43">
        <f t="shared" si="78"/>
        <v>0.26172780510589605</v>
      </c>
      <c r="HO26" s="5">
        <f t="shared" si="79"/>
        <v>146399.70198791544</v>
      </c>
      <c r="HP26" s="32">
        <f>HO26/((1+InputData!$C$7)^(Ortho!$B26-Ortho!$B$7))</f>
        <v>83489.704373138171</v>
      </c>
      <c r="HQ26" s="32">
        <f t="shared" si="80"/>
        <v>1259465.8065941378</v>
      </c>
      <c r="HS26" s="227"/>
      <c r="HT26" s="53" t="s">
        <v>109</v>
      </c>
      <c r="HU26" s="32">
        <f>MIN(InputData!$C$13+InputData!$E$13*($B26-$B$23),1)*Ortho!AW26</f>
        <v>585495.81312955706</v>
      </c>
      <c r="HV26" s="32">
        <f>MIN(InputData!$C$13+InputData!$E$13*($B26-$B$23),1)*Ortho!AX26</f>
        <v>0</v>
      </c>
      <c r="HW26" s="32">
        <f>MIN(InputData!$C$13+InputData!$E$13*($B26-$B$23),1)*Ortho!AY26</f>
        <v>585495.81312955706</v>
      </c>
      <c r="HX26" s="32">
        <f>MIN(InputData!$C$13+InputData!$E$13*($B26-$B$23),1)*Ortho!EO26</f>
        <v>401902.33584880404</v>
      </c>
      <c r="HY26" s="32">
        <f>MIN(InputData!$C$13+InputData!$E$13*($B26-$B$23),1)*Ortho!EP26</f>
        <v>0</v>
      </c>
      <c r="HZ26" s="32">
        <f>IF(HX26-InputData!$C$158-InputData!$C$159&gt;=0,HX26-InputData!$C$158-InputData!$C$159,0)</f>
        <v>401902.33584880404</v>
      </c>
      <c r="IA26" s="32">
        <f>IF(HX26-IF(HX26&lt;=InputData!$C$146,InputData!$C$145,0)-MAX(InputData!$C$144,IG26)&gt;=0,HX26-IF(HX26&lt;=InputData!$C$146,InputData!$C$145,0)-MAX(InputData!$C$144,IG26),0)</f>
        <v>395802.33584880404</v>
      </c>
      <c r="IB26" s="32">
        <f>IF(IA26&lt;0,"Error",IF(IA26&lt;=InputData!$B$170,InputData!$C$170*IA26,IF(IA26&lt;=InputData!$B$171,InputData!$D$170+InputData!$C$171*(IA26-InputData!$B$170),IF(IA26&lt;=InputData!$B$172,InputData!$D$171+InputData!$C$172*(IA26-InputData!$B$171),IF(IA26&lt;=InputData!$B$173,InputData!$D$172+InputData!$C$173*(IA26-InputData!$B$172),IF(IA26&lt;=InputData!$B$174,InputData!$D$173+InputData!$C$174*(IA26-InputData!$B$173),IF(IA26&lt;=InputData!$B$175,InputData!$D$174+InputData!$C$175*(IA26-InputData!$B$174),InputData!$D$175+InputData!$C$176*(IA26-InputData!$B$175))))))))</f>
        <v>114745.52083010534</v>
      </c>
      <c r="IC26" s="32">
        <f>IF(HX26&lt;=InputData!$C$150,InputData!$C$152,IF(HX26&lt;InputData!$C$151,IF(InputData!$C$152-0.25*IF(HX26-InputData!$C$150&lt;=0,0,HX26-InputData!$C$150)&lt;=0,0,InputData!$C$152-0.25*IF(HX26-InputData!$C$150&lt;=0,0,HX26-InputData!$C$150)),0))</f>
        <v>0</v>
      </c>
      <c r="ID26" s="32">
        <f>IF(HX26-IC26&lt;=0,0,IF(HX26-IC26&lt;=InputData!$C$153,InputData!$C$154*(HX26-IC26),InputData!$C$155*(HX26-IC26)-InputData!$D$154))</f>
        <v>108942.65403766514</v>
      </c>
      <c r="IE26" s="32">
        <f t="shared" si="88"/>
        <v>114745.52083010534</v>
      </c>
      <c r="IF26" s="32">
        <f>IF(HX26&gt;=0,IF(HX26&lt;=InputData!$C$148,InputData!$C$147*HX26,InputData!$C$147*InputData!$C$148)+InputData!$C$149*HX26,0)</f>
        <v>12876.983869807658</v>
      </c>
      <c r="IG26" s="32">
        <f>IF(HZ26&lt;0,0,IF(HZ26&lt;=InputData!$B$163,InputData!$C$163*HZ26,IF(HZ26&lt;=InputData!$B$164,InputData!$D$163+InputData!$C$164*(HZ26-InputData!$B$163),IF(HZ26&lt;=InputData!$B$165,InputData!$D$164+InputData!$C$165*(HZ26-InputData!$B$164),InputData!$D$165+InputData!$C$166*(HZ26-InputData!$B$165)))))</f>
        <v>0</v>
      </c>
      <c r="IH26" s="43">
        <f t="shared" si="89"/>
        <v>0.31754606359870641</v>
      </c>
      <c r="II26" s="43">
        <f t="shared" si="90"/>
        <v>0.31754606359870641</v>
      </c>
      <c r="IJ26" s="5">
        <f t="shared" si="91"/>
        <v>274279.83114889101</v>
      </c>
      <c r="IK26" s="32">
        <f>IJ26/((1+InputData!$C$7)^(Ortho!$B26-Ortho!$B$7))</f>
        <v>156417.95514054672</v>
      </c>
      <c r="IL26" s="5">
        <f t="shared" si="92"/>
        <v>1527296.3491767438</v>
      </c>
      <c r="IN26" s="227"/>
      <c r="IO26" s="53" t="s">
        <v>109</v>
      </c>
      <c r="IP26" s="32">
        <f>MIN(InputData!$C$13+InputData!$E$13*($B26-$B$20),1)*Ortho!AW26</f>
        <v>585495.81312955706</v>
      </c>
      <c r="IQ26" s="32">
        <f>MIN(InputData!$C$13+InputData!$E$13*($B26-$B$20),1)*Ortho!AX26</f>
        <v>0</v>
      </c>
      <c r="IR26" s="32">
        <f>MIN(InputData!$C$13+InputData!$E$13*($B26-$B$20),1)*Ortho!AY26</f>
        <v>585495.81312955706</v>
      </c>
      <c r="IS26" s="32">
        <f>MIN(InputData!$C$13+InputData!$E$13*($B26-$B$20),1)*Ortho!EO26</f>
        <v>401902.33584880404</v>
      </c>
      <c r="IT26" s="32">
        <f>MIN(InputData!$C$13+InputData!$E$13*($B26-$B$20),1)*Ortho!EP26</f>
        <v>0</v>
      </c>
      <c r="IU26" s="32">
        <f>IF(IS26-InputData!$C$158-InputData!$C$159&gt;=0,IS26-InputData!$C$158-InputData!$C$159,0)</f>
        <v>401902.33584880404</v>
      </c>
      <c r="IV26" s="32">
        <f>IF(IS26-IF(IS26&lt;=InputData!$C$146,InputData!$C$145,0)-MAX(InputData!$C$144,JB26)&gt;=0,IS26-IF(IS26&lt;=InputData!$C$146,InputData!$C$145,0)-MAX(InputData!$C$144,JB26),0)</f>
        <v>395802.33584880404</v>
      </c>
      <c r="IW26" s="32">
        <f>IF(IV26&lt;0,"Error",IF(IV26&lt;=InputData!$B$170,InputData!$C$170*IV26,IF(IV26&lt;=InputData!$B$171,InputData!$D$170+InputData!$C$171*(IV26-InputData!$B$170),IF(IV26&lt;=InputData!$B$172,InputData!$D$171+InputData!$C$172*(IV26-InputData!$B$171),IF(IV26&lt;=InputData!$B$173,InputData!$D$172+InputData!$C$173*(IV26-InputData!$B$172),IF(IV26&lt;=InputData!$B$174,InputData!$D$173+InputData!$C$174*(IV26-InputData!$B$173),IF(IV26&lt;=InputData!$B$175,InputData!$D$174+InputData!$C$175*(IV26-InputData!$B$174),InputData!$D$175+InputData!$C$176*(IV26-InputData!$B$175))))))))</f>
        <v>114745.52083010534</v>
      </c>
      <c r="IX26" s="32">
        <f>IF(IS26&lt;=InputData!$C$150,InputData!$C$152,IF(IS26&lt;InputData!$C$151,IF(InputData!$C$152-0.25*IF(IS26-InputData!$C$150&lt;=0,0,IS26-InputData!$C$150)&lt;=0,0,InputData!$C$152-0.25*IF(IS26-InputData!$C$150&lt;=0,0,IS26-InputData!$C$150)),0))</f>
        <v>0</v>
      </c>
      <c r="IY26" s="32">
        <f>IF(IS26-IX26&lt;=0,0,IF(IS26-IX26&lt;=InputData!$C$153,InputData!$C$154*(IS26-IX26),InputData!$C$155*(IS26-IX26)-InputData!$D$154))</f>
        <v>108942.65403766514</v>
      </c>
      <c r="IZ26" s="32">
        <f t="shared" si="95"/>
        <v>114745.52083010534</v>
      </c>
      <c r="JA26" s="32">
        <f>IF(IS26&gt;=0,IF(IS26&lt;=InputData!$C$148,InputData!$C$147*IS26,InputData!$C$147*InputData!$C$148)+InputData!$C$149*IS26,0)</f>
        <v>12876.983869807658</v>
      </c>
      <c r="JB26" s="32">
        <f>IF(IU26&lt;0,0,IF(IU26&lt;=InputData!$B$163,InputData!$C$163*IU26,IF(IU26&lt;=InputData!$B$164,InputData!$D$163+InputData!$C$164*(IU26-InputData!$B$163),IF(IU26&lt;=InputData!$B$165,InputData!$D$164+InputData!$C$165*(IU26-InputData!$B$164),InputData!$D$165+InputData!$C$166*(IU26-InputData!$B$165)))))</f>
        <v>0</v>
      </c>
      <c r="JC26" s="43">
        <f t="shared" si="96"/>
        <v>0.31754606359870641</v>
      </c>
      <c r="JD26" s="43">
        <f t="shared" si="97"/>
        <v>0.31754606359870641</v>
      </c>
      <c r="JE26" s="5">
        <f t="shared" si="98"/>
        <v>274279.83114889101</v>
      </c>
      <c r="JF26" s="32">
        <f>JE26/((1+InputData!$C$7)^(Ortho!$B26-Ortho!$B$7))</f>
        <v>156417.95514054672</v>
      </c>
      <c r="JG26" s="5">
        <f t="shared" si="99"/>
        <v>1782288.0405034516</v>
      </c>
      <c r="JI26" s="41" t="str">
        <f t="shared" si="13"/>
        <v>Private Practice</v>
      </c>
      <c r="JJ26" s="5">
        <f t="shared" si="14"/>
        <v>650550.90347728564</v>
      </c>
      <c r="JK26" s="32">
        <v>0</v>
      </c>
      <c r="JL26" s="32">
        <f t="shared" si="101"/>
        <v>650550.90347728564</v>
      </c>
      <c r="JM26" s="32">
        <f>JM25*(1+InputData!$C$8)</f>
        <v>16738.760372344408</v>
      </c>
      <c r="JN26" s="32">
        <f>JJ26/((1+InputData!$C$3)^(Ortho!$B26-Ortho!$B$7))</f>
        <v>446558.15094311559</v>
      </c>
      <c r="JO26" s="32">
        <f>JK26/((1+InputData!$C$3)^(Ortho!$B26-Ortho!$B$7))</f>
        <v>0</v>
      </c>
      <c r="JP26" s="32" t="s">
        <v>141</v>
      </c>
      <c r="JQ26" s="32">
        <v>0</v>
      </c>
      <c r="JR26" s="32">
        <f t="shared" si="167"/>
        <v>0</v>
      </c>
      <c r="JS26" s="32">
        <f>(JR26)*InputData!$C$6</f>
        <v>0</v>
      </c>
      <c r="JT26" s="32">
        <f>MIN($BE$16*InputData!$C$6/(1-(1+InputData!$C$6)^(-10)), JR26+JS26)</f>
        <v>0</v>
      </c>
      <c r="JU26" s="32">
        <f t="shared" si="151"/>
        <v>0</v>
      </c>
      <c r="JV26" s="32">
        <f>JT26/((1+InputData!$C$3)^(Ortho!$B26-Ortho!$B$7))</f>
        <v>0</v>
      </c>
      <c r="JW26" s="32">
        <f>IF(JN26-InputData!$C$158-InputData!$C$159&gt;=0,JN26-InputData!$C$158-InputData!$C$159,0)</f>
        <v>446558.15094311559</v>
      </c>
      <c r="JX26" s="32">
        <f>IF(JN26-IF(JN26&lt;=InputData!$C$146,InputData!$C$145,0)-MAX(InputData!$C$144,KD26)&gt;=0,JN26-IF(JN26&lt;=InputData!$C$146,InputData!$C$145,0)-MAX(InputData!$C$144,KD26),0)</f>
        <v>440458.15094311559</v>
      </c>
      <c r="JY26" s="32">
        <f>IF(JX26&lt;0,"Error",IF(JX26&lt;=InputData!$B$170,InputData!$C$170*JX26,IF(JX26&lt;=InputData!$B$171,InputData!$D$170+InputData!$C$171*(JX26-InputData!$B$170),IF(JX26&lt;=InputData!$B$172,InputData!$D$171+InputData!$C$172*(JX26-InputData!$B$171),IF(JX26&lt;=InputData!$B$173,InputData!$D$172+InputData!$C$173*(JX26-InputData!$B$172),IF(JX26&lt;=InputData!$B$174,InputData!$D$173+InputData!$C$174*(JX26-InputData!$B$173),IF(JX26&lt;=InputData!$B$175,InputData!$D$174+InputData!$C$175*(JX26-InputData!$B$174),InputData!$D$175+InputData!$C$176*(JX26-InputData!$B$175))))))))</f>
        <v>132185.17777347378</v>
      </c>
      <c r="JZ26" s="32">
        <f>IF(JN26&lt;=InputData!$C$150,InputData!$C$152,IF(JN26&lt;InputData!$C$151,IF(InputData!$C$152-0.25*IF(JN26-InputData!$C$150&lt;=0,0,JN26-InputData!$C$150)&lt;=0,0,InputData!$C$152-0.25*IF(JN26-InputData!$C$150&lt;=0,0,JN26-InputData!$C$150)),0))</f>
        <v>0</v>
      </c>
      <c r="KA26" s="32">
        <f>IF(JN26-JZ26&lt;=0,0,IF(JN26-JZ26&lt;=InputData!$C$153,InputData!$C$154*(JN26-JZ26),InputData!$C$155*(JN26-JZ26)-InputData!$D$154))</f>
        <v>121446.28226407238</v>
      </c>
      <c r="KB26" s="32">
        <f t="shared" si="102"/>
        <v>132185.17777347378</v>
      </c>
      <c r="KC26" s="32">
        <f>IF(JN26&gt;=0,IF(JN26&lt;=InputData!$C$148,InputData!$C$147*JN26,InputData!$C$147*InputData!$C$148)+InputData!$C$149*JN26,0)</f>
        <v>13524.493188675176</v>
      </c>
      <c r="KD26" s="32">
        <f>IF(JW26&lt;0,0,IF(JW26&lt;=InputData!$B$163,InputData!$C$163*JW26,IF(JW26&lt;=InputData!$B$164,InputData!$D$163+InputData!$C$164*(JW26-InputData!$B$163),IF(JW26&lt;=InputData!$B$165,InputData!$D$164+InputData!$C$165*(JW26-InputData!$B$164),InputData!$D$165+InputData!$C$166*(JW26-InputData!$B$165)))))</f>
        <v>0</v>
      </c>
      <c r="KE26" s="43">
        <f t="shared" si="15"/>
        <v>0.32629495319795437</v>
      </c>
      <c r="KF26" s="32">
        <f t="shared" si="16"/>
        <v>300848.47998096666</v>
      </c>
      <c r="KG26" s="32">
        <f t="shared" si="103"/>
        <v>300848.47998096666</v>
      </c>
      <c r="KH26" s="32">
        <f>KG26/((1+InputData!$C$7)^(Ortho!$B26-Ortho!$B$7))</f>
        <v>171569.68432075242</v>
      </c>
      <c r="KI26" s="5">
        <f t="shared" si="122"/>
        <v>2283773.891620195</v>
      </c>
    </row>
    <row r="27" spans="1:295" x14ac:dyDescent="0.25">
      <c r="A27" s="4">
        <v>2033</v>
      </c>
      <c r="B27" s="51">
        <v>21</v>
      </c>
      <c r="C27" s="4"/>
      <c r="D27" s="3">
        <v>17</v>
      </c>
      <c r="E27" s="97" t="s">
        <v>265</v>
      </c>
      <c r="F27" s="5">
        <f>InputData!$L$22*12</f>
        <v>94741.200000000012</v>
      </c>
      <c r="G27" s="32">
        <f>(InputData!$L$22+InputData!$I$45+InputData!$F$50)*12+InputData!$J$50+InputData!$D$61+InputData!$J$61</f>
        <v>223741.12</v>
      </c>
      <c r="H27" s="32">
        <f>(InputData!$C$33+InputData!$C$40)*12</f>
        <v>21019.199999999997</v>
      </c>
      <c r="I27" s="32">
        <f t="shared" si="17"/>
        <v>244760.32000000001</v>
      </c>
      <c r="J27" s="5">
        <f>G27*((1+InputData!$C$5)/(1+InputData!$C$3))^(Ortho!$B27-Ortho!$B$7)</f>
        <v>183725.67352631909</v>
      </c>
      <c r="K27" s="5">
        <f>H27*((1+InputData!$C$5)/(1+InputData!$C$3))^(Ortho!$B27-Ortho!$B$7)</f>
        <v>17259.977410430438</v>
      </c>
      <c r="L27" s="32">
        <f>IF(J27-InputData!$C$158-InputData!$C$159&gt;=0,J27-InputData!$C$158-InputData!$C$159,0)</f>
        <v>183725.67352631909</v>
      </c>
      <c r="M27" s="32">
        <f>IF(J27-IF(J27&lt;=InputData!$C$146,InputData!$C$145,0)-MAX(InputData!$C$144,S27)&gt;=0,J27-IF(J27&lt;=InputData!$C$146,InputData!$C$145,0)-MAX(InputData!$C$144,S27),0)</f>
        <v>177625.67352631909</v>
      </c>
      <c r="N27" s="32">
        <f>IF(M27&lt;0,"Error",IF(M27&lt;=InputData!$B$170,InputData!$C$170*M27,IF(M27&lt;=InputData!$B$171,InputData!$D$170+InputData!$C$171*(M27-InputData!$B$170),IF(M27&lt;=InputData!$B$172,InputData!$D$171+InputData!$C$172*(M27-InputData!$B$171),IF(M27&lt;=InputData!$B$173,InputData!$D$172+InputData!$C$173*(M27-InputData!$B$172),IF(M27&lt;=InputData!$B$174,InputData!$D$173+InputData!$C$174*(M27-InputData!$B$173),IF(M27&lt;=InputData!$B$175,InputData!$D$174+InputData!$C$175*(M27-InputData!$B$174),InputData!$D$175+InputData!$C$176*(M27-InputData!$B$175))))))))</f>
        <v>43028.438587369354</v>
      </c>
      <c r="O27" s="32">
        <f>IF(J27&lt;=InputData!$C$150,InputData!$C$152,IF(J27&lt;InputData!$C$151,IF(InputData!$C$152-0.25*IF(J27-InputData!$C$150&lt;=0,0,J27-InputData!$C$150)&lt;=0,0,InputData!$C$152-0.25*IF(J27-InputData!$C$150&lt;=0,0,J27-InputData!$C$150)),0))</f>
        <v>34818.581618420227</v>
      </c>
      <c r="P27" s="32">
        <f>IF(J27-O27&lt;=0,0,IF(J27-O27&lt;=InputData!$C$153,InputData!$C$154*(J27-O27),InputData!$C$155*(J27-O27)-InputData!$D$154))</f>
        <v>38715.84389605371</v>
      </c>
      <c r="Q27" s="32">
        <f t="shared" si="18"/>
        <v>43028.438587369354</v>
      </c>
      <c r="R27" s="32">
        <f>IF(J27&gt;=0,IF(J27&lt;=InputData!$C$148,InputData!$C$147*J27,InputData!$C$147*InputData!$C$148)+InputData!$C$149*J27,0)</f>
        <v>9713.4222661316271</v>
      </c>
      <c r="S27" s="32">
        <f>IF(L27&lt;0,0,IF(L27&lt;=InputData!$B$163,InputData!$C$163*L27,IF(L27&lt;=InputData!$B$164,InputData!$D$163+InputData!$C$164*(L27-InputData!$B$163),IF(L27&lt;=InputData!$B$165,InputData!$D$164+InputData!$C$165*(L27-InputData!$B$164),InputData!$D$165+InputData!$C$166*(L27-InputData!$B$165)))))</f>
        <v>0</v>
      </c>
      <c r="T27" s="43">
        <f t="shared" si="19"/>
        <v>0.28706853996616644</v>
      </c>
      <c r="U27" s="43">
        <f t="shared" si="20"/>
        <v>0.26241605113441119</v>
      </c>
      <c r="V27" s="5">
        <f t="shared" si="21"/>
        <v>148243.79008324858</v>
      </c>
      <c r="W27" s="32">
        <f>V27/((1+InputData!$C$7)^(Ortho!$B27-Ortho!$B$7))</f>
        <v>82078.992277783385</v>
      </c>
      <c r="X27" s="5">
        <f t="shared" si="104"/>
        <v>1316176.8706719119</v>
      </c>
      <c r="Y27" s="53"/>
      <c r="Z27" s="3">
        <v>17</v>
      </c>
      <c r="AA27" s="97" t="s">
        <v>265</v>
      </c>
      <c r="AB27" s="5">
        <f t="shared" si="126"/>
        <v>94741.200000000012</v>
      </c>
      <c r="AC27" s="32">
        <f t="shared" si="175"/>
        <v>223741.12</v>
      </c>
      <c r="AD27" s="32">
        <f t="shared" si="174"/>
        <v>21019.199999999997</v>
      </c>
      <c r="AE27" s="32">
        <f t="shared" si="22"/>
        <v>244760.32000000001</v>
      </c>
      <c r="AF27" s="5">
        <f>AC27*((1+InputData!$C$5)/(1+InputData!$C$3))^(Ortho!$B27-Ortho!$B$7)</f>
        <v>183725.67352631909</v>
      </c>
      <c r="AG27" s="5">
        <f>AD27*((1+InputData!$C$5)/(1+InputData!$C$3))^(Ortho!$B27-Ortho!$B$7)</f>
        <v>17259.977410430438</v>
      </c>
      <c r="AH27" s="32">
        <f>IF(AF27-InputData!$C$158-InputData!$C$159&gt;=0,AF27-InputData!$C$158-InputData!$C$159,0)</f>
        <v>183725.67352631909</v>
      </c>
      <c r="AI27" s="32">
        <f>IF(AF27-IF(AF27&lt;=InputData!$C$146,InputData!$C$145,0)-MAX(InputData!$C$144,AO27)&gt;=0,AF27-IF(AF27&lt;=InputData!$C$146,InputData!$C$145,0)-MAX(InputData!$C$144,AO27),0)</f>
        <v>177625.67352631909</v>
      </c>
      <c r="AJ27" s="32">
        <f>IF(AI27&lt;0,"Error",IF(AI27&lt;=InputData!$B$170,InputData!$C$170*AI27,IF(AI27&lt;=InputData!$B$171,InputData!$D$170+InputData!$C$171*(AI27-InputData!$B$170),IF(AI27&lt;=InputData!$B$172,InputData!$D$171+InputData!$C$172*(AI27-InputData!$B$171),IF(AI27&lt;=InputData!$B$173,InputData!$D$172+InputData!$C$173*(AI27-InputData!$B$172),IF(AI27&lt;=InputData!$B$174,InputData!$D$173+InputData!$C$174*(AI27-InputData!$B$173),IF(AI27&lt;=InputData!$B$175,InputData!$D$174+InputData!$C$175*(AI27-InputData!$B$174),InputData!$D$175+InputData!$C$176*(AI27-InputData!$B$175))))))))</f>
        <v>43028.438587369354</v>
      </c>
      <c r="AK27" s="32">
        <f>IF(AF27&lt;=InputData!$C$150,InputData!$C$152,IF(AF27&lt;InputData!$C$151,IF(InputData!$C$152-0.25*IF(AF27-InputData!$C$150&lt;=0,0,AF27-InputData!$C$150)&lt;=0,0,InputData!$C$152-0.25*IF(AF27-InputData!$C$150&lt;=0,0,AF27-InputData!$C$150)),0))</f>
        <v>34818.581618420227</v>
      </c>
      <c r="AL27" s="32">
        <f>IF(AF27-AK27&lt;=0,0,IF(AF27-AK27&lt;=InputData!$C$153,InputData!$C$154*(AF27-AK27),InputData!$C$155*(AF27-AK27)-InputData!$D$154))</f>
        <v>38715.84389605371</v>
      </c>
      <c r="AM27" s="32">
        <f t="shared" si="23"/>
        <v>43028.438587369354</v>
      </c>
      <c r="AN27" s="32">
        <f>IF(AF27&gt;=0,IF(AF27&lt;=InputData!$C$148,InputData!$C$147*AF27,InputData!$C$147*InputData!$C$148)+InputData!$C$149*AF27,0)</f>
        <v>9713.4222661316271</v>
      </c>
      <c r="AO27" s="32">
        <f>IF(AH27&lt;0,0,IF(AH27&lt;=InputData!$B$163,InputData!$C$163*AH27,IF(AH27&lt;=InputData!$B$164,InputData!$D$163+InputData!$C$164*(AH27-InputData!$B$163),IF(AH27&lt;=InputData!$B$165,InputData!$D$164+InputData!$C$165*(AH27-InputData!$B$164),InputData!$D$165+InputData!$C$166*(AH27-InputData!$B$165)))))</f>
        <v>0</v>
      </c>
      <c r="AP27" s="43">
        <f t="shared" si="24"/>
        <v>0.28706853996616644</v>
      </c>
      <c r="AQ27" s="43">
        <f t="shared" si="25"/>
        <v>0.26241605113441119</v>
      </c>
      <c r="AR27" s="5">
        <f t="shared" si="26"/>
        <v>148243.79008324858</v>
      </c>
      <c r="AS27" s="32">
        <f>AR27/((1+InputData!$C$7)^(Ortho!$B27-Ortho!$B$7))</f>
        <v>82078.992277783385</v>
      </c>
      <c r="AT27" s="5">
        <f t="shared" si="105"/>
        <v>1341544.7988719211</v>
      </c>
      <c r="AU27" s="53"/>
      <c r="AV27" s="41" t="s">
        <v>109</v>
      </c>
      <c r="AW27" s="32">
        <f>$AW$17*(1+InputData!$C$3+InputData!$C$4)^(Ortho!$B27-Ortho!$B$17)</f>
        <v>670067.43058160425</v>
      </c>
      <c r="AX27" s="32">
        <v>0</v>
      </c>
      <c r="AY27" s="32">
        <f t="shared" si="28"/>
        <v>670067.43058160425</v>
      </c>
      <c r="AZ27" s="32">
        <f>AZ26*(1+InputData!$C$8)</f>
        <v>17073.535579791296</v>
      </c>
      <c r="BA27" s="32">
        <f>AW27/((1+InputData!$C$3)^(Ortho!$B27-Ortho!$B$7))</f>
        <v>450936.17203079315</v>
      </c>
      <c r="BB27" s="32">
        <f>AX27/((1+InputData!$C$3)^(Ortho!$B27-Ortho!$B$7))</f>
        <v>0</v>
      </c>
      <c r="BC27" s="32" t="s">
        <v>141</v>
      </c>
      <c r="BD27" s="32">
        <v>0</v>
      </c>
      <c r="BE27" s="32">
        <f t="shared" si="152"/>
        <v>0</v>
      </c>
      <c r="BF27" s="32">
        <f>(BE27)*InputData!$C$6</f>
        <v>0</v>
      </c>
      <c r="BG27" s="32">
        <f>MIN($BE$16*InputData!$C$6/(1-(1+InputData!$C$6)^(-10)), BE27+BF27)</f>
        <v>0</v>
      </c>
      <c r="BH27" s="32">
        <f t="shared" si="137"/>
        <v>0</v>
      </c>
      <c r="BI27" s="32">
        <f>BG27/((1+InputData!$C$3)^(Ortho!$B27-Ortho!$B$7))</f>
        <v>0</v>
      </c>
      <c r="BJ27" s="32">
        <f>IF(BA27-InputData!$C$158-InputData!$C$159&gt;=0,BA27-InputData!$C$158-InputData!$C$159,0)</f>
        <v>450936.17203079315</v>
      </c>
      <c r="BK27" s="32">
        <f>IF(BA27-IF(BA27&lt;=InputData!$C$146,InputData!$C$145,0)-MAX(InputData!$C$144,BQ27)&gt;=0,BA27-IF(BA27&lt;=InputData!$C$146,InputData!$C$145,0)-MAX(InputData!$C$144,BQ27),0)</f>
        <v>444836.17203079315</v>
      </c>
      <c r="BL27" s="32">
        <f>IF(BK27&lt;0,"Error",IF(BK27&lt;=InputData!$B$170,InputData!$C$170*BK27,IF(BK27&lt;=InputData!$B$171,InputData!$D$170+InputData!$C$171*(BK27-InputData!$B$170),IF(BK27&lt;=InputData!$B$172,InputData!$D$171+InputData!$C$172*(BK27-InputData!$B$171),IF(BK27&lt;=InputData!$B$173,InputData!$D$172+InputData!$C$173*(BK27-InputData!$B$172),IF(BK27&lt;=InputData!$B$174,InputData!$D$173+InputData!$C$174*(BK27-InputData!$B$173),IF(BK27&lt;=InputData!$B$175,InputData!$D$174+InputData!$C$175*(BK27-InputData!$B$174),InputData!$D$175+InputData!$C$176*(BK27-InputData!$B$175))))))))</f>
        <v>133918.87412419409</v>
      </c>
      <c r="BM27" s="32">
        <f>IF(BA27&lt;=InputData!$C$150,InputData!$C$152,IF(BA27&lt;InputData!$C$151,IF(InputData!$C$152-0.25*IF(BA27-InputData!$C$150&lt;=0,0,BA27-InputData!$C$150)&lt;=0,0,InputData!$C$152-0.25*IF(BA27-InputData!$C$150&lt;=0,0,BA27-InputData!$C$150)),0))</f>
        <v>0</v>
      </c>
      <c r="BN27" s="32">
        <f>IF(BA27-BM27&lt;=0,0,IF(BA27-BM27&lt;=InputData!$C$153,InputData!$C$154*(BA27-BM27),InputData!$C$155*(BA27-BM27)-InputData!$D$154))</f>
        <v>122672.12816862209</v>
      </c>
      <c r="BO27" s="32">
        <f t="shared" si="29"/>
        <v>133918.87412419409</v>
      </c>
      <c r="BP27" s="32">
        <f>IF(BA27&gt;=0,IF(BA27&lt;=InputData!$C$148,InputData!$C$147*BA27,InputData!$C$147*InputData!$C$148)+InputData!$C$149*BA27,0)</f>
        <v>13587.974494446502</v>
      </c>
      <c r="BQ27" s="32">
        <f>IF(BJ27&lt;0,0,IF(BJ27&lt;=InputData!$B$163,InputData!$C$163*BJ27,IF(BJ27&lt;=InputData!$B$164,InputData!$D$163+InputData!$C$164*(BJ27-InputData!$B$163),IF(BJ27&lt;=InputData!$B$165,InputData!$D$164+InputData!$C$165*(BJ27-InputData!$B$164),InputData!$D$165+InputData!$C$166*(BJ27-InputData!$B$165)))))</f>
        <v>0</v>
      </c>
      <c r="BR27" s="43">
        <f t="shared" si="30"/>
        <v>0.32711247792418785</v>
      </c>
      <c r="BS27" s="32">
        <f t="shared" si="31"/>
        <v>303429.32341215259</v>
      </c>
      <c r="BT27" s="32">
        <f t="shared" si="32"/>
        <v>303429.32341215259</v>
      </c>
      <c r="BU27" s="32">
        <f>BT27/((1+InputData!$C$7)^(Ortho!$B27-Ortho!$B$7))</f>
        <v>168001.45948247294</v>
      </c>
      <c r="BV27" s="5">
        <f t="shared" si="107"/>
        <v>2067448.9585559273</v>
      </c>
      <c r="BW27" s="5"/>
      <c r="BX27" s="32" t="s">
        <v>141</v>
      </c>
      <c r="BY27" s="5">
        <f t="shared" si="153"/>
        <v>198977.57101611787</v>
      </c>
      <c r="BZ27" s="32">
        <f>(BY27)*InputData!$C$6</f>
        <v>12356.50716010092</v>
      </c>
      <c r="CA27" s="32">
        <f>MIN($BY$16*InputData!$C$6/(1-(1+InputData!$C$6)^(-25)), BY27+BZ27)</f>
        <v>21686.214673809533</v>
      </c>
      <c r="CB27" s="32">
        <f t="shared" si="154"/>
        <v>189647.86350240925</v>
      </c>
      <c r="CC27" s="32">
        <f>CA27/((1+InputData!$C$3)^(Ortho!$B27-Ortho!$B$7))</f>
        <v>14594.200799101125</v>
      </c>
      <c r="CD27" s="5">
        <f t="shared" si="36"/>
        <v>288835.12261305144</v>
      </c>
      <c r="CE27" s="32">
        <f>CD27/((1+InputData!$C$7)^(Ortho!$B27-Ortho!$B$7))</f>
        <v>159921.00434828378</v>
      </c>
      <c r="CF27" s="5">
        <f t="shared" si="108"/>
        <v>2131842.734183874</v>
      </c>
      <c r="CG27" s="5"/>
      <c r="CH27" s="32" t="s">
        <v>141</v>
      </c>
      <c r="CI27" s="5" t="e">
        <f t="shared" si="155"/>
        <v>#VALUE!</v>
      </c>
      <c r="CJ27" s="32" t="e">
        <f>(CI27)*InputData!$C$6</f>
        <v>#VALUE!</v>
      </c>
      <c r="CK27" s="5" t="str">
        <f t="shared" si="168"/>
        <v>DNQ</v>
      </c>
      <c r="CL27" s="32" t="e">
        <f t="shared" si="156"/>
        <v>#VALUE!</v>
      </c>
      <c r="CM27" s="32" t="e">
        <f>CK27/((1+InputData!$C$3)^(Ortho!$B27-Ortho!$B$7))</f>
        <v>#VALUE!</v>
      </c>
      <c r="CN27" s="5" t="e">
        <f t="shared" si="40"/>
        <v>#VALUE!</v>
      </c>
      <c r="CO27" s="32" t="e">
        <f>CN27/((1+InputData!$C$7)^(Ortho!$B27-Ortho!$B$7))</f>
        <v>#VALUE!</v>
      </c>
      <c r="CP27" s="5" t="e">
        <f t="shared" si="109"/>
        <v>#VALUE!</v>
      </c>
      <c r="CQ27" s="5"/>
      <c r="CR27" s="32" t="s">
        <v>141</v>
      </c>
      <c r="CS27" s="5" t="e">
        <f t="shared" si="157"/>
        <v>#VALUE!</v>
      </c>
      <c r="CT27" s="32" t="e">
        <f>(CS27)*InputData!$C$6</f>
        <v>#VALUE!</v>
      </c>
      <c r="CU27" s="32" t="str">
        <f t="shared" si="169"/>
        <v>DNQ</v>
      </c>
      <c r="CV27" s="32" t="e">
        <f t="shared" si="158"/>
        <v>#VALUE!</v>
      </c>
      <c r="CW27" s="32" t="e">
        <f>CU27/((1+InputData!$C$3)^(Ortho!$B27-Ortho!$B$7))</f>
        <v>#VALUE!</v>
      </c>
      <c r="CX27" s="5" t="e">
        <f t="shared" si="44"/>
        <v>#VALUE!</v>
      </c>
      <c r="CY27" s="32" t="e">
        <f>CX27/((1+InputData!$C$7)^(Ortho!$B27-Ortho!$B$7))</f>
        <v>#VALUE!</v>
      </c>
      <c r="CZ27" s="5" t="e">
        <f t="shared" si="110"/>
        <v>#VALUE!</v>
      </c>
      <c r="DA27" s="5"/>
      <c r="DB27" s="32" t="s">
        <v>141</v>
      </c>
      <c r="DC27" s="5">
        <f t="shared" si="138"/>
        <v>0</v>
      </c>
      <c r="DD27" s="5">
        <f>DC27*InputData!$C$6</f>
        <v>0</v>
      </c>
      <c r="DE27" s="32">
        <f t="shared" si="139"/>
        <v>0</v>
      </c>
      <c r="DF27" s="32">
        <f t="shared" si="140"/>
        <v>0</v>
      </c>
      <c r="DG27" s="32">
        <f>DE27/((1+InputData!$C$3)^(Ortho!$B27-Ortho!$B$7))</f>
        <v>0</v>
      </c>
      <c r="DH27" s="5">
        <f t="shared" si="48"/>
        <v>303429.32341215259</v>
      </c>
      <c r="DI27" s="32">
        <f>DH27/((1+InputData!$C$7)^(Ortho!$B27-Ortho!$B$7))</f>
        <v>168001.45948247294</v>
      </c>
      <c r="DJ27" s="5">
        <f t="shared" si="111"/>
        <v>2072036.5746583436</v>
      </c>
      <c r="DK27" s="5"/>
      <c r="DL27" s="32" t="s">
        <v>141</v>
      </c>
      <c r="DM27" s="32">
        <f>IF(0.15*($AY27-1.5*$AZ27)&lt;=$DD$2,DQ26-DO26,DQ26)</f>
        <v>25102.691888474368</v>
      </c>
      <c r="DN27" s="5">
        <f>DM27*InputData!$C$6</f>
        <v>1558.8771662742583</v>
      </c>
      <c r="DO27" s="32">
        <f t="shared" si="160"/>
        <v>0</v>
      </c>
      <c r="DP27" s="32">
        <f t="shared" si="123"/>
        <v>26661.569054748627</v>
      </c>
      <c r="DQ27" s="32">
        <f t="shared" si="124"/>
        <v>0</v>
      </c>
      <c r="DR27" s="32">
        <f>DP27/((1+InputData!$C$3)^(Ortho!$B27-Ortho!$B$7))</f>
        <v>17942.471669526723</v>
      </c>
      <c r="DS27" s="5">
        <f t="shared" si="52"/>
        <v>285486.85174262588</v>
      </c>
      <c r="DT27" s="32">
        <f>DS27/((1+InputData!$C$7)^(Ortho!$B27-Ortho!$B$7))</f>
        <v>158067.14794888077</v>
      </c>
      <c r="DU27" s="5">
        <f t="shared" si="113"/>
        <v>2065128.3330121893</v>
      </c>
      <c r="DV27" s="5"/>
      <c r="DW27" s="32" t="s">
        <v>141</v>
      </c>
      <c r="DX27" s="133">
        <f t="shared" si="141"/>
        <v>43184.663494449633</v>
      </c>
      <c r="DY27" s="5">
        <f>DX27*InputData!$C$6</f>
        <v>2681.7676030053221</v>
      </c>
      <c r="DZ27" s="133">
        <f t="shared" si="142"/>
        <v>0</v>
      </c>
      <c r="EA27" s="32">
        <f t="shared" si="143"/>
        <v>29148.379963889372</v>
      </c>
      <c r="EB27" s="32">
        <f t="shared" si="144"/>
        <v>16718.051133565579</v>
      </c>
      <c r="EC27" s="32">
        <f>EA27/((1+InputData!$C$3)^(Ortho!$B27-Ortho!$B$7))</f>
        <v>19616.024122238832</v>
      </c>
      <c r="ED27" s="5">
        <f t="shared" si="56"/>
        <v>283813.29928991373</v>
      </c>
      <c r="EE27" s="32">
        <f>ED27/((1+InputData!$C$7)^(Ortho!$B27-Ortho!$B$7))</f>
        <v>157140.542532455</v>
      </c>
      <c r="EF27" s="5">
        <f t="shared" si="115"/>
        <v>2071945.0685194114</v>
      </c>
      <c r="EG27" s="32"/>
      <c r="EH27" s="130" t="s">
        <v>141</v>
      </c>
      <c r="EI27" s="32">
        <v>0</v>
      </c>
      <c r="EJ27" s="32">
        <f t="shared" si="173"/>
        <v>0</v>
      </c>
      <c r="EK27" s="32">
        <f>(EJ27)*InputData!$C$6</f>
        <v>0</v>
      </c>
      <c r="EL27" s="32">
        <f t="shared" si="172"/>
        <v>-3.637978807091713E-11</v>
      </c>
      <c r="EM27" s="32">
        <f>EM26*(1+InputData!$C$8)</f>
        <v>17073.535579791296</v>
      </c>
      <c r="EN27" s="32">
        <f t="shared" si="170"/>
        <v>0</v>
      </c>
      <c r="EO27" s="32">
        <f>AW27/((1+InputData!$C$3)^(Ortho!$B27-Ortho!$B$7))</f>
        <v>450936.17203079315</v>
      </c>
      <c r="EP27" s="32">
        <f>AX27/((1+InputData!$C$3)^(Ortho!$B27-Ortho!$B$7))</f>
        <v>0</v>
      </c>
      <c r="EQ27" s="32">
        <v>95913.25</v>
      </c>
      <c r="ER27" s="32">
        <v>10760.78</v>
      </c>
      <c r="ES27" s="32">
        <v>0</v>
      </c>
      <c r="ET27" s="43">
        <f t="shared" si="129"/>
        <v>0.23656126213959064</v>
      </c>
      <c r="EU27" s="32">
        <f t="shared" si="57"/>
        <v>344262.14203079313</v>
      </c>
      <c r="EV27" s="32">
        <f>EN27/((1+InputData!$C$3)^(Ortho!$B27-Ortho!$B$7))</f>
        <v>0</v>
      </c>
      <c r="EW27" s="32">
        <f t="shared" si="58"/>
        <v>344262.14203079313</v>
      </c>
      <c r="EX27" s="32">
        <f>EW27/((1+InputData!$C$7)^(Ortho!$B27-Ortho!$B$7))</f>
        <v>190609.60112670256</v>
      </c>
      <c r="EY27" s="5">
        <f t="shared" si="117"/>
        <v>2425585.0674116514</v>
      </c>
      <c r="EZ27" s="79"/>
      <c r="FA27" s="32">
        <f t="shared" si="161"/>
        <v>0</v>
      </c>
      <c r="FB27" s="32">
        <f>FA27*InputData!$C$6</f>
        <v>0</v>
      </c>
      <c r="FC27" s="32">
        <f t="shared" si="162"/>
        <v>0</v>
      </c>
      <c r="FD27" s="32">
        <f>MIN($EJ$16*InputData!$C$6/(1-(1+InputData!$C$6)^(-10)), FA27+FB27)</f>
        <v>0</v>
      </c>
      <c r="FE27" s="32">
        <f>FD27/((1+InputData!$C$3)^(Ortho!$B27-Ortho!$B$7))</f>
        <v>0</v>
      </c>
      <c r="FF27" s="5">
        <f t="shared" si="62"/>
        <v>344262.14203079313</v>
      </c>
      <c r="FG27" s="32">
        <f>FF27/((1+InputData!$C$7)^(Ortho!$B27-Ortho!$B$7))</f>
        <v>190609.60112670256</v>
      </c>
      <c r="FH27" s="5">
        <f t="shared" si="118"/>
        <v>2425585.0674116514</v>
      </c>
      <c r="FI27" s="79"/>
      <c r="FJ27" s="32">
        <f t="shared" si="163"/>
        <v>198827.5793251601</v>
      </c>
      <c r="FK27" s="32">
        <f>FJ27*InputData!$C$6</f>
        <v>12347.192676092443</v>
      </c>
      <c r="FL27" s="32">
        <f t="shared" si="164"/>
        <v>189504.90465740982</v>
      </c>
      <c r="FM27" s="32">
        <f>MIN($EJ$16*InputData!$C$6/(1-(1+InputData!$C$6)^(-25)), FJ27+FK27)</f>
        <v>21669.867343842721</v>
      </c>
      <c r="FN27" s="32">
        <f>FM27/((1+InputData!$C$3)^(Ortho!$B27-Ortho!$B$7))</f>
        <v>14583.199514660602</v>
      </c>
      <c r="FO27" s="5">
        <f t="shared" si="66"/>
        <v>329678.94251613255</v>
      </c>
      <c r="FP27" s="32">
        <f>FO27/((1+InputData!$C$7)^(Ortho!$B27-Ortho!$B$7))</f>
        <v>182535.23713697307</v>
      </c>
      <c r="FQ27" s="5">
        <f t="shared" si="119"/>
        <v>2489930.3022355055</v>
      </c>
      <c r="FR27" s="79"/>
      <c r="FS27" s="32">
        <f t="shared" si="165"/>
        <v>0</v>
      </c>
      <c r="FT27" s="32">
        <f>FS27*InputData!$C$6</f>
        <v>0</v>
      </c>
      <c r="FU27" s="32">
        <f t="shared" si="166"/>
        <v>0</v>
      </c>
      <c r="FV27" s="5">
        <f t="shared" si="171"/>
        <v>0</v>
      </c>
      <c r="FW27" s="32">
        <f>FV27/((1+InputData!$C$3)^(Ortho!$B27-Ortho!$B$7))</f>
        <v>0</v>
      </c>
      <c r="FX27" s="5">
        <f t="shared" si="70"/>
        <v>344262.14203079313</v>
      </c>
      <c r="FY27" s="32">
        <f>FX27/((1+InputData!$C$7)^(Ortho!$B27-Ortho!$B$7))</f>
        <v>190609.60112670256</v>
      </c>
      <c r="FZ27" s="5">
        <f t="shared" si="120"/>
        <v>2425585.0674116514</v>
      </c>
      <c r="GC27" s="3">
        <f t="shared" si="3"/>
        <v>17</v>
      </c>
      <c r="GD27" s="4" t="str">
        <f t="shared" si="145"/>
        <v>Multi-Year (O5&gt;16 = (BP+BAH+BAS+VSP+BCPSP)*12+ASP+ISP+MSP)</v>
      </c>
      <c r="GE27" s="5">
        <f t="shared" si="146"/>
        <v>223741.12</v>
      </c>
      <c r="GF27" s="5">
        <f t="shared" si="147"/>
        <v>21019.199999999997</v>
      </c>
      <c r="GG27" s="5">
        <f t="shared" si="148"/>
        <v>244760.32000000001</v>
      </c>
      <c r="GH27" s="5">
        <f t="shared" si="149"/>
        <v>183725.67352631909</v>
      </c>
      <c r="GI27" s="5">
        <f t="shared" si="150"/>
        <v>17259.977410430438</v>
      </c>
      <c r="GJ27" s="32">
        <f>IF(GH27-InputData!$C$158-InputData!$C$159&gt;=0,GH27-InputData!$C$158-InputData!$C$159,0)</f>
        <v>183725.67352631909</v>
      </c>
      <c r="GK27" s="32">
        <f>IF(GH27-IF(GH27&lt;=InputData!$C$146,InputData!$C$145,0)-MAX(InputData!$C$144,GQ27)&gt;=0,GH27-IF(GH27&lt;=InputData!$C$146,InputData!$C$145,0)-MAX(InputData!$C$144,GQ27),0)</f>
        <v>177625.67352631909</v>
      </c>
      <c r="GL27" s="32">
        <f>IF(GK27&lt;0,"Error",IF(GK27&lt;=InputData!$B$170,InputData!$C$170*GK27,IF(GK27&lt;=InputData!$B$171,InputData!$D$170+InputData!$C$171*(GK27-InputData!$B$170),IF(GK27&lt;=InputData!$B$172,InputData!$D$171+InputData!$C$172*(GK27-InputData!$B$171),IF(GK27&lt;=InputData!$B$173,InputData!$D$172+InputData!$C$173*(GK27-InputData!$B$172),IF(GK27&lt;=InputData!$B$174,InputData!$D$173+InputData!$C$174*(GK27-InputData!$B$173),IF(GK27&lt;=InputData!$B$175,InputData!$D$174+InputData!$C$175*(GK27-InputData!$B$174),InputData!$D$175+InputData!$C$176*(GK27-InputData!$B$175))))))))</f>
        <v>43028.438587369354</v>
      </c>
      <c r="GM27" s="32">
        <f>IF(GH27&lt;=InputData!$C$150,InputData!$C$152,IF(GH27&lt;InputData!$C$151,IF(InputData!$C$152-0.25*IF(GH27-InputData!$C$150&lt;=0,0,GH27-InputData!$C$150)&lt;=0,0,InputData!$C$152-0.25*IF(GH27-InputData!$C$150&lt;=0,0,GH27-InputData!$C$150)),0))</f>
        <v>34818.581618420227</v>
      </c>
      <c r="GN27" s="32">
        <f>IF(GH27-GM27&lt;=0,0,IF(GH27-GM27&lt;=InputData!$C$153,InputData!$C$154*(GH27-GM27),InputData!$C$155*(GH27-GM27)-InputData!$D$154))</f>
        <v>38715.84389605371</v>
      </c>
      <c r="GO27" s="32">
        <f t="shared" si="71"/>
        <v>43028.438587369354</v>
      </c>
      <c r="GP27" s="32">
        <f>IF(GH27&gt;=0,IF(GH27&lt;=InputData!$C$148,InputData!$C$147*GH27,InputData!$C$147*InputData!$C$148)+InputData!$C$149*GH27,0)</f>
        <v>9713.4222661316271</v>
      </c>
      <c r="GQ27" s="32">
        <f>IF(GJ27&lt;0,0,IF(GJ27&lt;=InputData!$B$163,InputData!$C$163*GJ27,IF(GJ27&lt;=InputData!$B$164,InputData!$D$163+InputData!$C$164*(GJ27-InputData!$B$163),IF(GJ27&lt;=InputData!$B$165,InputData!$D$164+InputData!$C$165*(GJ27-InputData!$B$164),InputData!$D$165+InputData!$C$166*(GJ27-InputData!$B$165)))))</f>
        <v>0</v>
      </c>
      <c r="GR27" s="43">
        <f t="shared" si="72"/>
        <v>0.28706853996616644</v>
      </c>
      <c r="GS27" s="43">
        <f t="shared" si="73"/>
        <v>0.26241605113441119</v>
      </c>
      <c r="GT27" s="5">
        <f t="shared" si="74"/>
        <v>148243.79008324858</v>
      </c>
      <c r="GU27" s="32">
        <f>GT27/((1+InputData!$C$7)^(Ortho!$B27-Ortho!$B$7))</f>
        <v>82078.992277783385</v>
      </c>
      <c r="GV27" s="32">
        <f t="shared" si="75"/>
        <v>1316176.8706719119</v>
      </c>
      <c r="GX27" s="3">
        <f t="shared" si="130"/>
        <v>17</v>
      </c>
      <c r="GY27" s="4" t="str">
        <f t="shared" si="131"/>
        <v>Multi-Year (O5&gt;16 = (BP+BAH+BAS+VSP+BCPSP)*12+ASP+ISP+MSP)</v>
      </c>
      <c r="GZ27" s="5">
        <f t="shared" si="132"/>
        <v>223741.12</v>
      </c>
      <c r="HA27" s="5">
        <f t="shared" si="133"/>
        <v>21019.199999999997</v>
      </c>
      <c r="HB27" s="5">
        <f t="shared" si="134"/>
        <v>244760.32000000001</v>
      </c>
      <c r="HC27" s="5">
        <f t="shared" si="135"/>
        <v>183725.67352631909</v>
      </c>
      <c r="HD27" s="5">
        <f t="shared" si="136"/>
        <v>17259.977410430438</v>
      </c>
      <c r="HE27" s="32">
        <f>IF(HC27-InputData!$C$158-InputData!$C$159&gt;=0,HC27-InputData!$C$158-InputData!$C$159,0)</f>
        <v>183725.67352631909</v>
      </c>
      <c r="HF27" s="32">
        <f>IF(HC27-IF(HC27&lt;=InputData!$C$146,InputData!$C$145,0)-MAX(InputData!$C$144,HL27)&gt;=0,HC27-IF(HC27&lt;=InputData!$C$146,InputData!$C$145,0)-MAX(InputData!$C$144,HL27),0)</f>
        <v>177625.67352631909</v>
      </c>
      <c r="HG27" s="32">
        <f>IF(HF27&lt;0,"Error",IF(HF27&lt;=InputData!$B$170,InputData!$C$170*HF27,IF(HF27&lt;=InputData!$B$171,InputData!$D$170+InputData!$C$171*(HF27-InputData!$B$170),IF(HF27&lt;=InputData!$B$172,InputData!$D$171+InputData!$C$172*(HF27-InputData!$B$171),IF(HF27&lt;=InputData!$B$173,InputData!$D$172+InputData!$C$173*(HF27-InputData!$B$172),IF(HF27&lt;=InputData!$B$174,InputData!$D$173+InputData!$C$174*(HF27-InputData!$B$173),IF(HF27&lt;=InputData!$B$175,InputData!$D$174+InputData!$C$175*(HF27-InputData!$B$174),InputData!$D$175+InputData!$C$176*(HF27-InputData!$B$175))))))))</f>
        <v>43028.438587369354</v>
      </c>
      <c r="HH27" s="32">
        <f>IF(HC27&lt;=InputData!$C$150,InputData!$C$152,IF(HC27&lt;InputData!$C$151,IF(InputData!$C$152-0.25*IF(HC27-InputData!$C$150&lt;=0,0,HC27-InputData!$C$150)&lt;=0,0,InputData!$C$152-0.25*IF(HC27-InputData!$C$150&lt;=0,0,HC27-InputData!$C$150)),0))</f>
        <v>34818.581618420227</v>
      </c>
      <c r="HI27" s="32">
        <f>IF(HC27-HH27&lt;=0,0,IF(HC27-HH27&lt;=InputData!$C$153,InputData!$C$154*(HC27-HH27),InputData!$C$155*(HC27-HH27)-InputData!$D$154))</f>
        <v>38715.84389605371</v>
      </c>
      <c r="HJ27" s="32">
        <f t="shared" si="76"/>
        <v>43028.438587369354</v>
      </c>
      <c r="HK27" s="32">
        <f>IF(HC27&gt;=0,IF(HC27&lt;=InputData!$C$148,InputData!$C$147*HC27,InputData!$C$147*InputData!$C$148)+InputData!$C$149*HC27,0)</f>
        <v>9713.4222661316271</v>
      </c>
      <c r="HL27" s="32">
        <f>IF(HE27&lt;0,0,IF(HE27&lt;=InputData!$B$163,InputData!$C$163*HE27,IF(HE27&lt;=InputData!$B$164,InputData!$D$163+InputData!$C$164*(HE27-InputData!$B$163),IF(HE27&lt;=InputData!$B$165,InputData!$D$164+InputData!$C$165*(HE27-InputData!$B$164),InputData!$D$165+InputData!$C$166*(HE27-InputData!$B$165)))))</f>
        <v>0</v>
      </c>
      <c r="HM27" s="43">
        <f t="shared" si="77"/>
        <v>0.28706853996616644</v>
      </c>
      <c r="HN27" s="43">
        <f t="shared" si="78"/>
        <v>0.26241605113441119</v>
      </c>
      <c r="HO27" s="5">
        <f t="shared" si="79"/>
        <v>148243.79008324858</v>
      </c>
      <c r="HP27" s="32">
        <f>HO27/((1+InputData!$C$7)^(Ortho!$B27-Ortho!$B$7))</f>
        <v>82078.992277783385</v>
      </c>
      <c r="HQ27" s="32">
        <f t="shared" si="80"/>
        <v>1341544.7988719211</v>
      </c>
      <c r="HS27" s="227"/>
      <c r="HT27" s="53" t="s">
        <v>109</v>
      </c>
      <c r="HU27" s="32">
        <f>MIN(InputData!$C$13+InputData!$E$13*($B27-$B$23),1)*Ortho!AW27</f>
        <v>603060.68752344383</v>
      </c>
      <c r="HV27" s="32">
        <f>MIN(InputData!$C$13+InputData!$E$13*($B27-$B$23),1)*Ortho!AX27</f>
        <v>0</v>
      </c>
      <c r="HW27" s="32">
        <f>MIN(InputData!$C$13+InputData!$E$13*($B27-$B$23),1)*Ortho!AY27</f>
        <v>603060.68752344383</v>
      </c>
      <c r="HX27" s="32">
        <f>MIN(InputData!$C$13+InputData!$E$13*($B27-$B$23),1)*Ortho!EO27</f>
        <v>405842.55482771387</v>
      </c>
      <c r="HY27" s="32">
        <f>MIN(InputData!$C$13+InputData!$E$13*($B27-$B$23),1)*Ortho!EP27</f>
        <v>0</v>
      </c>
      <c r="HZ27" s="32">
        <f>IF(HX27-InputData!$C$158-InputData!$C$159&gt;=0,HX27-InputData!$C$158-InputData!$C$159,0)</f>
        <v>405842.55482771387</v>
      </c>
      <c r="IA27" s="32">
        <f>IF(HX27-IF(HX27&lt;=InputData!$C$146,InputData!$C$145,0)-MAX(InputData!$C$144,IG27)&gt;=0,HX27-IF(HX27&lt;=InputData!$C$146,InputData!$C$145,0)-MAX(InputData!$C$144,IG27),0)</f>
        <v>399742.55482771387</v>
      </c>
      <c r="IB27" s="32">
        <f>IF(IA27&lt;0,"Error",IF(IA27&lt;=InputData!$B$170,InputData!$C$170*IA27,IF(IA27&lt;=InputData!$B$171,InputData!$D$170+InputData!$C$171*(IA27-InputData!$B$170),IF(IA27&lt;=InputData!$B$172,InputData!$D$171+InputData!$C$172*(IA27-InputData!$B$171),IF(IA27&lt;=InputData!$B$173,InputData!$D$172+InputData!$C$173*(IA27-InputData!$B$172),IF(IA27&lt;=InputData!$B$174,InputData!$D$173+InputData!$C$174*(IA27-InputData!$B$173),IF(IA27&lt;=InputData!$B$175,InputData!$D$174+InputData!$C$175*(IA27-InputData!$B$174),InputData!$D$175+InputData!$C$176*(IA27-InputData!$B$175))))))))</f>
        <v>116073.64418969986</v>
      </c>
      <c r="IC27" s="32">
        <f>IF(HX27&lt;=InputData!$C$150,InputData!$C$152,IF(HX27&lt;InputData!$C$151,IF(InputData!$C$152-0.25*IF(HX27-InputData!$C$150&lt;=0,0,HX27-InputData!$C$150)&lt;=0,0,InputData!$C$152-0.25*IF(HX27-InputData!$C$150&lt;=0,0,HX27-InputData!$C$150)),0))</f>
        <v>0</v>
      </c>
      <c r="ID27" s="32">
        <f>IF(HX27-IC27&lt;=0,0,IF(HX27-IC27&lt;=InputData!$C$153,InputData!$C$154*(HX27-IC27),InputData!$C$155*(HX27-IC27)-InputData!$D$154))</f>
        <v>110045.91535175989</v>
      </c>
      <c r="IE27" s="32">
        <f t="shared" si="88"/>
        <v>116073.64418969986</v>
      </c>
      <c r="IF27" s="32">
        <f>IF(HX27&gt;=0,IF(HX27&lt;=InputData!$C$148,InputData!$C$147*HX27,InputData!$C$147*InputData!$C$148)+InputData!$C$149*HX27,0)</f>
        <v>12934.117045001851</v>
      </c>
      <c r="IG27" s="32">
        <f>IF(HZ27&lt;0,0,IF(HZ27&lt;=InputData!$B$163,InputData!$C$163*HZ27,IF(HZ27&lt;=InputData!$B$164,InputData!$D$163+InputData!$C$164*(HZ27-InputData!$B$163),IF(HZ27&lt;=InputData!$B$165,InputData!$D$164+InputData!$C$165*(HZ27-InputData!$B$164),InputData!$D$165+InputData!$C$166*(HZ27-InputData!$B$165)))))</f>
        <v>0</v>
      </c>
      <c r="IH27" s="43">
        <f t="shared" si="89"/>
        <v>0.31787637767426191</v>
      </c>
      <c r="II27" s="43">
        <f t="shared" si="90"/>
        <v>0.31787637767426191</v>
      </c>
      <c r="IJ27" s="5">
        <f t="shared" si="91"/>
        <v>276834.7935930122</v>
      </c>
      <c r="IK27" s="32">
        <f>IJ27/((1+InputData!$C$7)^(Ortho!$B27-Ortho!$B$7))</f>
        <v>153276.71312762939</v>
      </c>
      <c r="IL27" s="5">
        <f t="shared" si="92"/>
        <v>1680573.0623043731</v>
      </c>
      <c r="IN27" s="227"/>
      <c r="IO27" s="53" t="s">
        <v>109</v>
      </c>
      <c r="IP27" s="32">
        <f>MIN(InputData!$C$13+InputData!$E$13*($B27-$B$20),1)*Ortho!AW27</f>
        <v>603060.68752344383</v>
      </c>
      <c r="IQ27" s="32">
        <f>MIN(InputData!$C$13+InputData!$E$13*($B27-$B$20),1)*Ortho!AX27</f>
        <v>0</v>
      </c>
      <c r="IR27" s="32">
        <f>MIN(InputData!$C$13+InputData!$E$13*($B27-$B$20),1)*Ortho!AY27</f>
        <v>603060.68752344383</v>
      </c>
      <c r="IS27" s="32">
        <f>MIN(InputData!$C$13+InputData!$E$13*($B27-$B$20),1)*Ortho!EO27</f>
        <v>405842.55482771387</v>
      </c>
      <c r="IT27" s="32">
        <f>MIN(InputData!$C$13+InputData!$E$13*($B27-$B$20),1)*Ortho!EP27</f>
        <v>0</v>
      </c>
      <c r="IU27" s="32">
        <f>IF(IS27-InputData!$C$158-InputData!$C$159&gt;=0,IS27-InputData!$C$158-InputData!$C$159,0)</f>
        <v>405842.55482771387</v>
      </c>
      <c r="IV27" s="32">
        <f>IF(IS27-IF(IS27&lt;=InputData!$C$146,InputData!$C$145,0)-MAX(InputData!$C$144,JB27)&gt;=0,IS27-IF(IS27&lt;=InputData!$C$146,InputData!$C$145,0)-MAX(InputData!$C$144,JB27),0)</f>
        <v>399742.55482771387</v>
      </c>
      <c r="IW27" s="32">
        <f>IF(IV27&lt;0,"Error",IF(IV27&lt;=InputData!$B$170,InputData!$C$170*IV27,IF(IV27&lt;=InputData!$B$171,InputData!$D$170+InputData!$C$171*(IV27-InputData!$B$170),IF(IV27&lt;=InputData!$B$172,InputData!$D$171+InputData!$C$172*(IV27-InputData!$B$171),IF(IV27&lt;=InputData!$B$173,InputData!$D$172+InputData!$C$173*(IV27-InputData!$B$172),IF(IV27&lt;=InputData!$B$174,InputData!$D$173+InputData!$C$174*(IV27-InputData!$B$173),IF(IV27&lt;=InputData!$B$175,InputData!$D$174+InputData!$C$175*(IV27-InputData!$B$174),InputData!$D$175+InputData!$C$176*(IV27-InputData!$B$175))))))))</f>
        <v>116073.64418969986</v>
      </c>
      <c r="IX27" s="32">
        <f>IF(IS27&lt;=InputData!$C$150,InputData!$C$152,IF(IS27&lt;InputData!$C$151,IF(InputData!$C$152-0.25*IF(IS27-InputData!$C$150&lt;=0,0,IS27-InputData!$C$150)&lt;=0,0,InputData!$C$152-0.25*IF(IS27-InputData!$C$150&lt;=0,0,IS27-InputData!$C$150)),0))</f>
        <v>0</v>
      </c>
      <c r="IY27" s="32">
        <f>IF(IS27-IX27&lt;=0,0,IF(IS27-IX27&lt;=InputData!$C$153,InputData!$C$154*(IS27-IX27),InputData!$C$155*(IS27-IX27)-InputData!$D$154))</f>
        <v>110045.91535175989</v>
      </c>
      <c r="IZ27" s="32">
        <f t="shared" si="95"/>
        <v>116073.64418969986</v>
      </c>
      <c r="JA27" s="32">
        <f>IF(IS27&gt;=0,IF(IS27&lt;=InputData!$C$148,InputData!$C$147*IS27,InputData!$C$147*InputData!$C$148)+InputData!$C$149*IS27,0)</f>
        <v>12934.117045001851</v>
      </c>
      <c r="JB27" s="32">
        <f>IF(IU27&lt;0,0,IF(IU27&lt;=InputData!$B$163,InputData!$C$163*IU27,IF(IU27&lt;=InputData!$B$164,InputData!$D$163+InputData!$C$164*(IU27-InputData!$B$163),IF(IU27&lt;=InputData!$B$165,InputData!$D$164+InputData!$C$165*(IU27-InputData!$B$164),InputData!$D$165+InputData!$C$166*(IU27-InputData!$B$165)))))</f>
        <v>0</v>
      </c>
      <c r="JC27" s="43">
        <f t="shared" si="96"/>
        <v>0.31787637767426191</v>
      </c>
      <c r="JD27" s="43">
        <f t="shared" si="97"/>
        <v>0.31787637767426191</v>
      </c>
      <c r="JE27" s="5">
        <f t="shared" si="98"/>
        <v>276834.7935930122</v>
      </c>
      <c r="JF27" s="32">
        <f>JE27/((1+InputData!$C$7)^(Ortho!$B27-Ortho!$B$7))</f>
        <v>153276.71312762939</v>
      </c>
      <c r="JG27" s="5">
        <f t="shared" si="99"/>
        <v>1935564.753631081</v>
      </c>
      <c r="JI27" s="41" t="str">
        <f t="shared" si="13"/>
        <v>Private Practice</v>
      </c>
      <c r="JJ27" s="5">
        <f t="shared" si="14"/>
        <v>670067.43058160425</v>
      </c>
      <c r="JK27" s="32">
        <v>0</v>
      </c>
      <c r="JL27" s="32">
        <f t="shared" si="101"/>
        <v>670067.43058160425</v>
      </c>
      <c r="JM27" s="32">
        <f>JM26*(1+InputData!$C$8)</f>
        <v>17073.535579791296</v>
      </c>
      <c r="JN27" s="32">
        <f>JJ27/((1+InputData!$C$3)^(Ortho!$B27-Ortho!$B$7))</f>
        <v>450936.17203079315</v>
      </c>
      <c r="JO27" s="32">
        <f>JK27/((1+InputData!$C$3)^(Ortho!$B27-Ortho!$B$7))</f>
        <v>0</v>
      </c>
      <c r="JP27" s="32" t="s">
        <v>141</v>
      </c>
      <c r="JQ27" s="32">
        <v>0</v>
      </c>
      <c r="JR27" s="32">
        <f t="shared" si="167"/>
        <v>0</v>
      </c>
      <c r="JS27" s="32">
        <f>(JR27)*InputData!$C$6</f>
        <v>0</v>
      </c>
      <c r="JT27" s="32">
        <f>MIN($BE$16*InputData!$C$6/(1-(1+InputData!$C$6)^(-10)), JR27+JS27)</f>
        <v>0</v>
      </c>
      <c r="JU27" s="32">
        <f t="shared" si="151"/>
        <v>0</v>
      </c>
      <c r="JV27" s="32">
        <f>JT27/((1+InputData!$C$3)^(Ortho!$B27-Ortho!$B$7))</f>
        <v>0</v>
      </c>
      <c r="JW27" s="32">
        <f>IF(JN27-InputData!$C$158-InputData!$C$159&gt;=0,JN27-InputData!$C$158-InputData!$C$159,0)</f>
        <v>450936.17203079315</v>
      </c>
      <c r="JX27" s="32">
        <f>IF(JN27-IF(JN27&lt;=InputData!$C$146,InputData!$C$145,0)-MAX(InputData!$C$144,KD27)&gt;=0,JN27-IF(JN27&lt;=InputData!$C$146,InputData!$C$145,0)-MAX(InputData!$C$144,KD27),0)</f>
        <v>444836.17203079315</v>
      </c>
      <c r="JY27" s="32">
        <f>IF(JX27&lt;0,"Error",IF(JX27&lt;=InputData!$B$170,InputData!$C$170*JX27,IF(JX27&lt;=InputData!$B$171,InputData!$D$170+InputData!$C$171*(JX27-InputData!$B$170),IF(JX27&lt;=InputData!$B$172,InputData!$D$171+InputData!$C$172*(JX27-InputData!$B$171),IF(JX27&lt;=InputData!$B$173,InputData!$D$172+InputData!$C$173*(JX27-InputData!$B$172),IF(JX27&lt;=InputData!$B$174,InputData!$D$173+InputData!$C$174*(JX27-InputData!$B$173),IF(JX27&lt;=InputData!$B$175,InputData!$D$174+InputData!$C$175*(JX27-InputData!$B$174),InputData!$D$175+InputData!$C$176*(JX27-InputData!$B$175))))))))</f>
        <v>133918.87412419409</v>
      </c>
      <c r="JZ27" s="32">
        <f>IF(JN27&lt;=InputData!$C$150,InputData!$C$152,IF(JN27&lt;InputData!$C$151,IF(InputData!$C$152-0.25*IF(JN27-InputData!$C$150&lt;=0,0,JN27-InputData!$C$150)&lt;=0,0,InputData!$C$152-0.25*IF(JN27-InputData!$C$150&lt;=0,0,JN27-InputData!$C$150)),0))</f>
        <v>0</v>
      </c>
      <c r="KA27" s="32">
        <f>IF(JN27-JZ27&lt;=0,0,IF(JN27-JZ27&lt;=InputData!$C$153,InputData!$C$154*(JN27-JZ27),InputData!$C$155*(JN27-JZ27)-InputData!$D$154))</f>
        <v>122672.12816862209</v>
      </c>
      <c r="KB27" s="32">
        <f t="shared" si="102"/>
        <v>133918.87412419409</v>
      </c>
      <c r="KC27" s="32">
        <f>IF(JN27&gt;=0,IF(JN27&lt;=InputData!$C$148,InputData!$C$147*JN27,InputData!$C$147*InputData!$C$148)+InputData!$C$149*JN27,0)</f>
        <v>13587.974494446502</v>
      </c>
      <c r="KD27" s="32">
        <f>IF(JW27&lt;0,0,IF(JW27&lt;=InputData!$B$163,InputData!$C$163*JW27,IF(JW27&lt;=InputData!$B$164,InputData!$D$163+InputData!$C$164*(JW27-InputData!$B$163),IF(JW27&lt;=InputData!$B$165,InputData!$D$164+InputData!$C$165*(JW27-InputData!$B$164),InputData!$D$165+InputData!$C$166*(JW27-InputData!$B$165)))))</f>
        <v>0</v>
      </c>
      <c r="KE27" s="43">
        <f t="shared" si="15"/>
        <v>0.32711247792418785</v>
      </c>
      <c r="KF27" s="32">
        <f t="shared" si="16"/>
        <v>303429.32341215259</v>
      </c>
      <c r="KG27" s="32">
        <f t="shared" si="103"/>
        <v>303429.32341215259</v>
      </c>
      <c r="KH27" s="32">
        <f>KG27/((1+InputData!$C$7)^(Ortho!$B27-Ortho!$B$7))</f>
        <v>168001.45948247294</v>
      </c>
      <c r="KI27" s="5">
        <f t="shared" si="122"/>
        <v>2451775.3511026679</v>
      </c>
    </row>
    <row r="28" spans="1:295" x14ac:dyDescent="0.25">
      <c r="A28" s="4">
        <v>2034</v>
      </c>
      <c r="B28" s="51">
        <v>22</v>
      </c>
      <c r="C28" s="4"/>
      <c r="D28" s="3">
        <v>18</v>
      </c>
      <c r="E28" s="97" t="s">
        <v>265</v>
      </c>
      <c r="F28" s="5">
        <f>InputData!$L$22*12</f>
        <v>94741.200000000012</v>
      </c>
      <c r="G28" s="32">
        <f>(InputData!$L$22+InputData!$I$45+InputData!$F$50)*12+InputData!$J$50+InputData!$D$61+InputData!$J$61</f>
        <v>223741.12</v>
      </c>
      <c r="H28" s="32">
        <f>(InputData!$C$33+InputData!$C$40)*12</f>
        <v>21019.199999999997</v>
      </c>
      <c r="I28" s="32">
        <f t="shared" si="17"/>
        <v>244760.32000000001</v>
      </c>
      <c r="J28" s="5">
        <f>G28*((1+InputData!$C$5)/(1+InputData!$C$3))^(Ortho!$B28-Ortho!$B$7)</f>
        <v>181924.44143292381</v>
      </c>
      <c r="K28" s="5">
        <f>H28*((1+InputData!$C$5)/(1+InputData!$C$3))^(Ortho!$B28-Ortho!$B$7)</f>
        <v>17090.761945622296</v>
      </c>
      <c r="L28" s="32">
        <f>IF(J28-InputData!$C$158-InputData!$C$159&gt;=0,J28-InputData!$C$158-InputData!$C$159,0)</f>
        <v>181924.44143292381</v>
      </c>
      <c r="M28" s="32">
        <f>IF(J28-IF(J28&lt;=InputData!$C$146,InputData!$C$145,0)-MAX(InputData!$C$144,S28)&gt;=0,J28-IF(J28&lt;=InputData!$C$146,InputData!$C$145,0)-MAX(InputData!$C$144,S28),0)</f>
        <v>175824.44143292381</v>
      </c>
      <c r="N28" s="32">
        <f>IF(M28&lt;0,"Error",IF(M28&lt;=InputData!$B$170,InputData!$C$170*M28,IF(M28&lt;=InputData!$B$171,InputData!$D$170+InputData!$C$171*(M28-InputData!$B$170),IF(M28&lt;=InputData!$B$172,InputData!$D$171+InputData!$C$172*(M28-InputData!$B$171),IF(M28&lt;=InputData!$B$173,InputData!$D$172+InputData!$C$173*(M28-InputData!$B$172),IF(M28&lt;=InputData!$B$174,InputData!$D$173+InputData!$C$174*(M28-InputData!$B$173),IF(M28&lt;=InputData!$B$175,InputData!$D$174+InputData!$C$175*(M28-InputData!$B$174),InputData!$D$175+InputData!$C$176*(M28-InputData!$B$175))))))))</f>
        <v>42524.093601218672</v>
      </c>
      <c r="O28" s="32">
        <f>IF(J28&lt;=InputData!$C$150,InputData!$C$152,IF(J28&lt;InputData!$C$151,IF(InputData!$C$152-0.25*IF(J28-InputData!$C$150&lt;=0,0,J28-InputData!$C$150)&lt;=0,0,InputData!$C$152-0.25*IF(J28-InputData!$C$150&lt;=0,0,J28-InputData!$C$150)),0))</f>
        <v>35268.889641769048</v>
      </c>
      <c r="P28" s="32">
        <f>IF(J28-O28&lt;=0,0,IF(J28-O28&lt;=InputData!$C$153,InputData!$C$154*(J28-O28),InputData!$C$155*(J28-O28)-InputData!$D$154))</f>
        <v>38130.443465700235</v>
      </c>
      <c r="Q28" s="32">
        <f t="shared" si="18"/>
        <v>42524.093601218672</v>
      </c>
      <c r="R28" s="32">
        <f>IF(J28&gt;=0,IF(J28&lt;=InputData!$C$148,InputData!$C$147*J28,InputData!$C$147*InputData!$C$148)+InputData!$C$149*J28,0)</f>
        <v>9687.3044007773951</v>
      </c>
      <c r="S28" s="32">
        <f>IF(L28&lt;0,0,IF(L28&lt;=InputData!$B$163,InputData!$C$163*L28,IF(L28&lt;=InputData!$B$164,InputData!$D$163+InputData!$C$164*(L28-InputData!$B$163),IF(L28&lt;=InputData!$B$165,InputData!$D$164+InputData!$C$165*(L28-InputData!$B$164),InputData!$D$165+InputData!$C$166*(L28-InputData!$B$165)))))</f>
        <v>0</v>
      </c>
      <c r="T28" s="43">
        <f t="shared" si="19"/>
        <v>0.28699496115395023</v>
      </c>
      <c r="U28" s="43">
        <f t="shared" si="20"/>
        <v>0.26234879102520098</v>
      </c>
      <c r="V28" s="5">
        <f t="shared" si="21"/>
        <v>146803.80537655007</v>
      </c>
      <c r="W28" s="32">
        <f>V28/((1+InputData!$C$7)^(Ortho!$B28-Ortho!$B$7))</f>
        <v>78914.279280859526</v>
      </c>
      <c r="X28" s="5">
        <f t="shared" si="104"/>
        <v>1395091.1499527714</v>
      </c>
      <c r="Y28" s="53"/>
      <c r="Z28" s="3">
        <v>18</v>
      </c>
      <c r="AA28" s="97" t="s">
        <v>265</v>
      </c>
      <c r="AB28" s="5">
        <f t="shared" si="126"/>
        <v>94741.200000000012</v>
      </c>
      <c r="AC28" s="32">
        <f t="shared" si="175"/>
        <v>223741.12</v>
      </c>
      <c r="AD28" s="32">
        <f t="shared" si="174"/>
        <v>21019.199999999997</v>
      </c>
      <c r="AE28" s="32">
        <f t="shared" si="22"/>
        <v>244760.32000000001</v>
      </c>
      <c r="AF28" s="5">
        <f>AC28*((1+InputData!$C$5)/(1+InputData!$C$3))^(Ortho!$B28-Ortho!$B$7)</f>
        <v>181924.44143292381</v>
      </c>
      <c r="AG28" s="5">
        <f>AD28*((1+InputData!$C$5)/(1+InputData!$C$3))^(Ortho!$B28-Ortho!$B$7)</f>
        <v>17090.761945622296</v>
      </c>
      <c r="AH28" s="32">
        <f>IF(AF28-InputData!$C$158-InputData!$C$159&gt;=0,AF28-InputData!$C$158-InputData!$C$159,0)</f>
        <v>181924.44143292381</v>
      </c>
      <c r="AI28" s="32">
        <f>IF(AF28-IF(AF28&lt;=InputData!$C$146,InputData!$C$145,0)-MAX(InputData!$C$144,AO28)&gt;=0,AF28-IF(AF28&lt;=InputData!$C$146,InputData!$C$145,0)-MAX(InputData!$C$144,AO28),0)</f>
        <v>175824.44143292381</v>
      </c>
      <c r="AJ28" s="32">
        <f>IF(AI28&lt;0,"Error",IF(AI28&lt;=InputData!$B$170,InputData!$C$170*AI28,IF(AI28&lt;=InputData!$B$171,InputData!$D$170+InputData!$C$171*(AI28-InputData!$B$170),IF(AI28&lt;=InputData!$B$172,InputData!$D$171+InputData!$C$172*(AI28-InputData!$B$171),IF(AI28&lt;=InputData!$B$173,InputData!$D$172+InputData!$C$173*(AI28-InputData!$B$172),IF(AI28&lt;=InputData!$B$174,InputData!$D$173+InputData!$C$174*(AI28-InputData!$B$173),IF(AI28&lt;=InputData!$B$175,InputData!$D$174+InputData!$C$175*(AI28-InputData!$B$174),InputData!$D$175+InputData!$C$176*(AI28-InputData!$B$175))))))))</f>
        <v>42524.093601218672</v>
      </c>
      <c r="AK28" s="32">
        <f>IF(AF28&lt;=InputData!$C$150,InputData!$C$152,IF(AF28&lt;InputData!$C$151,IF(InputData!$C$152-0.25*IF(AF28-InputData!$C$150&lt;=0,0,AF28-InputData!$C$150)&lt;=0,0,InputData!$C$152-0.25*IF(AF28-InputData!$C$150&lt;=0,0,AF28-InputData!$C$150)),0))</f>
        <v>35268.889641769048</v>
      </c>
      <c r="AL28" s="32">
        <f>IF(AF28-AK28&lt;=0,0,IF(AF28-AK28&lt;=InputData!$C$153,InputData!$C$154*(AF28-AK28),InputData!$C$155*(AF28-AK28)-InputData!$D$154))</f>
        <v>38130.443465700235</v>
      </c>
      <c r="AM28" s="32">
        <f t="shared" si="23"/>
        <v>42524.093601218672</v>
      </c>
      <c r="AN28" s="32">
        <f>IF(AF28&gt;=0,IF(AF28&lt;=InputData!$C$148,InputData!$C$147*AF28,InputData!$C$147*InputData!$C$148)+InputData!$C$149*AF28,0)</f>
        <v>9687.3044007773951</v>
      </c>
      <c r="AO28" s="32">
        <f>IF(AH28&lt;0,0,IF(AH28&lt;=InputData!$B$163,InputData!$C$163*AH28,IF(AH28&lt;=InputData!$B$164,InputData!$D$163+InputData!$C$164*(AH28-InputData!$B$163),IF(AH28&lt;=InputData!$B$165,InputData!$D$164+InputData!$C$165*(AH28-InputData!$B$164),InputData!$D$165+InputData!$C$166*(AH28-InputData!$B$165)))))</f>
        <v>0</v>
      </c>
      <c r="AP28" s="43">
        <f t="shared" si="24"/>
        <v>0.28699496115395023</v>
      </c>
      <c r="AQ28" s="43">
        <f t="shared" si="25"/>
        <v>0.26234879102520098</v>
      </c>
      <c r="AR28" s="5">
        <f t="shared" si="26"/>
        <v>146803.80537655007</v>
      </c>
      <c r="AS28" s="32">
        <f>AR28/((1+InputData!$C$7)^(Ortho!$B28-Ortho!$B$7))</f>
        <v>78914.279280859526</v>
      </c>
      <c r="AT28" s="5">
        <f t="shared" si="105"/>
        <v>1420459.0781527807</v>
      </c>
      <c r="AU28" s="53"/>
      <c r="AV28" s="41" t="s">
        <v>109</v>
      </c>
      <c r="AW28" s="32">
        <f>$AW$17*(1+InputData!$C$3+InputData!$C$4)^(Ortho!$B28-Ortho!$B$17)</f>
        <v>690169.45349905244</v>
      </c>
      <c r="AX28" s="32">
        <v>0</v>
      </c>
      <c r="AY28" s="32">
        <f t="shared" si="28"/>
        <v>690169.45349905244</v>
      </c>
      <c r="AZ28" s="32">
        <f>AZ27*(1+InputData!$C$8)</f>
        <v>17415.006291387122</v>
      </c>
      <c r="BA28" s="32">
        <f>AW28/((1+InputData!$C$3)^(Ortho!$B28-Ortho!$B$7))</f>
        <v>455357.11489384022</v>
      </c>
      <c r="BB28" s="32">
        <f>AX28/((1+InputData!$C$3)^(Ortho!$B28-Ortho!$B$7))</f>
        <v>0</v>
      </c>
      <c r="BC28" s="32" t="s">
        <v>141</v>
      </c>
      <c r="BD28" s="32">
        <v>0</v>
      </c>
      <c r="BE28" s="32">
        <f t="shared" si="152"/>
        <v>0</v>
      </c>
      <c r="BF28" s="32">
        <f>(BE28)*InputData!$C$6</f>
        <v>0</v>
      </c>
      <c r="BG28" s="32">
        <f>MIN($BE$16*InputData!$C$6/(1-(1+InputData!$C$6)^(-10)), BE28+BF28)</f>
        <v>0</v>
      </c>
      <c r="BH28" s="32">
        <f t="shared" si="137"/>
        <v>0</v>
      </c>
      <c r="BI28" s="32">
        <f>BG28/((1+InputData!$C$3)^(Ortho!$B28-Ortho!$B$7))</f>
        <v>0</v>
      </c>
      <c r="BJ28" s="32">
        <f>IF(BA28-InputData!$C$158-InputData!$C$159&gt;=0,BA28-InputData!$C$158-InputData!$C$159,0)</f>
        <v>455357.11489384022</v>
      </c>
      <c r="BK28" s="32">
        <f>IF(BA28-IF(BA28&lt;=InputData!$C$146,InputData!$C$145,0)-MAX(InputData!$C$144,BQ28)&gt;=0,BA28-IF(BA28&lt;=InputData!$C$146,InputData!$C$145,0)-MAX(InputData!$C$144,BQ28),0)</f>
        <v>449257.11489384022</v>
      </c>
      <c r="BL28" s="32">
        <f>IF(BK28&lt;0,"Error",IF(BK28&lt;=InputData!$B$170,InputData!$C$170*BK28,IF(BK28&lt;=InputData!$B$171,InputData!$D$170+InputData!$C$171*(BK28-InputData!$B$170),IF(BK28&lt;=InputData!$B$172,InputData!$D$171+InputData!$C$172*(BK28-InputData!$B$171),IF(BK28&lt;=InputData!$B$173,InputData!$D$172+InputData!$C$173*(BK28-InputData!$B$172),IF(BK28&lt;=InputData!$B$174,InputData!$D$173+InputData!$C$174*(BK28-InputData!$B$173),IF(BK28&lt;=InputData!$B$175,InputData!$D$174+InputData!$C$175*(BK28-InputData!$B$174),InputData!$D$175+InputData!$C$176*(BK28-InputData!$B$175))))))))</f>
        <v>135669.56749796073</v>
      </c>
      <c r="BM28" s="32">
        <f>IF(BA28&lt;=InputData!$C$150,InputData!$C$152,IF(BA28&lt;InputData!$C$151,IF(InputData!$C$152-0.25*IF(BA28-InputData!$C$150&lt;=0,0,BA28-InputData!$C$150)&lt;=0,0,InputData!$C$152-0.25*IF(BA28-InputData!$C$150&lt;=0,0,BA28-InputData!$C$150)),0))</f>
        <v>0</v>
      </c>
      <c r="BN28" s="32">
        <f>IF(BA28-BM28&lt;=0,0,IF(BA28-BM28&lt;=InputData!$C$153,InputData!$C$154*(BA28-BM28),InputData!$C$155*(BA28-BM28)-InputData!$D$154))</f>
        <v>123909.99217027528</v>
      </c>
      <c r="BO28" s="32">
        <f t="shared" si="29"/>
        <v>135669.56749796073</v>
      </c>
      <c r="BP28" s="32">
        <f>IF(BA28&gt;=0,IF(BA28&lt;=InputData!$C$148,InputData!$C$147*BA28,InputData!$C$147*InputData!$C$148)+InputData!$C$149*BA28,0)</f>
        <v>13652.078165960684</v>
      </c>
      <c r="BQ28" s="32">
        <f>IF(BJ28&lt;0,0,IF(BJ28&lt;=InputData!$B$163,InputData!$C$163*BJ28,IF(BJ28&lt;=InputData!$B$164,InputData!$D$163+InputData!$C$164*(BJ28-InputData!$B$163),IF(BJ28&lt;=InputData!$B$165,InputData!$D$164+InputData!$C$165*(BJ28-InputData!$B$164),InputData!$D$165+InputData!$C$166*(BJ28-InputData!$B$165)))))</f>
        <v>0</v>
      </c>
      <c r="BR28" s="43">
        <f t="shared" si="30"/>
        <v>0.32792206551715686</v>
      </c>
      <c r="BS28" s="32">
        <f t="shared" si="31"/>
        <v>306035.46922991879</v>
      </c>
      <c r="BT28" s="32">
        <f t="shared" si="32"/>
        <v>306035.46922991879</v>
      </c>
      <c r="BU28" s="32">
        <f>BT28/((1+InputData!$C$7)^(Ortho!$B28-Ortho!$B$7))</f>
        <v>164509.14488703321</v>
      </c>
      <c r="BV28" s="5">
        <f t="shared" si="107"/>
        <v>2231958.1034429604</v>
      </c>
      <c r="BW28" s="5"/>
      <c r="BX28" s="32" t="s">
        <v>141</v>
      </c>
      <c r="BY28" s="5">
        <f t="shared" si="153"/>
        <v>189647.86350240925</v>
      </c>
      <c r="BZ28" s="32">
        <f>(BY28)*InputData!$C$6</f>
        <v>11777.132323499614</v>
      </c>
      <c r="CA28" s="32">
        <f>MIN($BY$16*InputData!$C$6/(1-(1+InputData!$C$6)^(-25)), BY28+BZ28)</f>
        <v>21686.214673809533</v>
      </c>
      <c r="CB28" s="32">
        <f t="shared" si="154"/>
        <v>179738.78115209934</v>
      </c>
      <c r="CC28" s="32">
        <f>CA28/((1+InputData!$C$3)^(Ortho!$B28-Ortho!$B$7))</f>
        <v>14308.039999118751</v>
      </c>
      <c r="CD28" s="5">
        <f t="shared" si="36"/>
        <v>291727.42923080001</v>
      </c>
      <c r="CE28" s="32">
        <f>CD28/((1+InputData!$C$7)^(Ortho!$B28-Ortho!$B$7))</f>
        <v>156817.86834582902</v>
      </c>
      <c r="CF28" s="5">
        <f t="shared" si="108"/>
        <v>2288660.6025297032</v>
      </c>
      <c r="CG28" s="5"/>
      <c r="CH28" s="32" t="s">
        <v>141</v>
      </c>
      <c r="CI28" s="5" t="e">
        <f t="shared" si="155"/>
        <v>#VALUE!</v>
      </c>
      <c r="CJ28" s="32" t="e">
        <f>(CI28)*InputData!$C$6</f>
        <v>#VALUE!</v>
      </c>
      <c r="CK28" s="5" t="str">
        <f t="shared" si="168"/>
        <v>DNQ</v>
      </c>
      <c r="CL28" s="32" t="e">
        <f t="shared" si="156"/>
        <v>#VALUE!</v>
      </c>
      <c r="CM28" s="32" t="e">
        <f>CK28/((1+InputData!$C$3)^(Ortho!$B28-Ortho!$B$7))</f>
        <v>#VALUE!</v>
      </c>
      <c r="CN28" s="5" t="e">
        <f t="shared" si="40"/>
        <v>#VALUE!</v>
      </c>
      <c r="CO28" s="32" t="e">
        <f>CN28/((1+InputData!$C$7)^(Ortho!$B28-Ortho!$B$7))</f>
        <v>#VALUE!</v>
      </c>
      <c r="CP28" s="5" t="e">
        <f t="shared" si="109"/>
        <v>#VALUE!</v>
      </c>
      <c r="CQ28" s="5"/>
      <c r="CR28" s="32" t="s">
        <v>141</v>
      </c>
      <c r="CS28" s="5" t="e">
        <f t="shared" si="157"/>
        <v>#VALUE!</v>
      </c>
      <c r="CT28" s="32" t="e">
        <f>(CS28)*InputData!$C$6</f>
        <v>#VALUE!</v>
      </c>
      <c r="CU28" s="32" t="str">
        <f t="shared" si="169"/>
        <v>DNQ</v>
      </c>
      <c r="CV28" s="32" t="e">
        <f t="shared" si="158"/>
        <v>#VALUE!</v>
      </c>
      <c r="CW28" s="32" t="e">
        <f>CU28/((1+InputData!$C$3)^(Ortho!$B28-Ortho!$B$7))</f>
        <v>#VALUE!</v>
      </c>
      <c r="CX28" s="5" t="e">
        <f t="shared" si="44"/>
        <v>#VALUE!</v>
      </c>
      <c r="CY28" s="32" t="e">
        <f>CX28/((1+InputData!$C$7)^(Ortho!$B28-Ortho!$B$7))</f>
        <v>#VALUE!</v>
      </c>
      <c r="CZ28" s="5" t="e">
        <f t="shared" si="110"/>
        <v>#VALUE!</v>
      </c>
      <c r="DA28" s="5"/>
      <c r="DB28" s="32" t="s">
        <v>141</v>
      </c>
      <c r="DC28" s="5">
        <f t="shared" si="138"/>
        <v>0</v>
      </c>
      <c r="DD28" s="5">
        <f>DC28*InputData!$C$6</f>
        <v>0</v>
      </c>
      <c r="DE28" s="32">
        <f t="shared" si="139"/>
        <v>0</v>
      </c>
      <c r="DF28" s="32">
        <f t="shared" si="140"/>
        <v>0</v>
      </c>
      <c r="DG28" s="32">
        <f>DE28/((1+InputData!$C$3)^(Ortho!$B28-Ortho!$B$7))</f>
        <v>0</v>
      </c>
      <c r="DH28" s="5">
        <f t="shared" si="48"/>
        <v>306035.46922991879</v>
      </c>
      <c r="DI28" s="32">
        <f>DH28/((1+InputData!$C$7)^(Ortho!$B28-Ortho!$B$7))</f>
        <v>164509.14488703321</v>
      </c>
      <c r="DJ28" s="5">
        <f t="shared" si="111"/>
        <v>2236545.719545377</v>
      </c>
      <c r="DK28" s="5"/>
      <c r="DL28" s="32" t="s">
        <v>141</v>
      </c>
      <c r="DM28" s="32">
        <f t="shared" si="159"/>
        <v>0</v>
      </c>
      <c r="DN28" s="5">
        <f>DM28*InputData!$C$6</f>
        <v>0</v>
      </c>
      <c r="DO28" s="32">
        <f t="shared" si="160"/>
        <v>0</v>
      </c>
      <c r="DP28" s="32">
        <f t="shared" si="123"/>
        <v>0</v>
      </c>
      <c r="DQ28" s="32">
        <f t="shared" si="124"/>
        <v>0</v>
      </c>
      <c r="DR28" s="32">
        <f>DP28/((1+InputData!$C$3)^(Ortho!$B28-Ortho!$B$7))</f>
        <v>0</v>
      </c>
      <c r="DS28" s="5">
        <f t="shared" si="52"/>
        <v>306035.46922991879</v>
      </c>
      <c r="DT28" s="32">
        <f>DS28/((1+InputData!$C$7)^(Ortho!$B28-Ortho!$B$7))</f>
        <v>164509.14488703321</v>
      </c>
      <c r="DU28" s="5">
        <f t="shared" si="113"/>
        <v>2229637.4778992226</v>
      </c>
      <c r="DV28" s="5"/>
      <c r="DW28" s="32" t="s">
        <v>141</v>
      </c>
      <c r="DX28" s="133">
        <f t="shared" si="141"/>
        <v>16718.051133565579</v>
      </c>
      <c r="DY28" s="5">
        <f>DX28*InputData!$C$6</f>
        <v>1038.1909753944226</v>
      </c>
      <c r="DZ28" s="133">
        <f t="shared" si="142"/>
        <v>0</v>
      </c>
      <c r="EA28" s="32">
        <f t="shared" si="143"/>
        <v>17756.242108960003</v>
      </c>
      <c r="EB28" s="32">
        <f t="shared" si="144"/>
        <v>0</v>
      </c>
      <c r="EC28" s="32">
        <f>EA28/((1+InputData!$C$3)^(Ortho!$B28-Ortho!$B$7))</f>
        <v>11715.13914025122</v>
      </c>
      <c r="ED28" s="5">
        <f t="shared" si="56"/>
        <v>294320.33008966758</v>
      </c>
      <c r="EE28" s="32">
        <f>ED28/((1+InputData!$C$7)^(Ortho!$B28-Ortho!$B$7))</f>
        <v>158211.68032501725</v>
      </c>
      <c r="EF28" s="5">
        <f t="shared" si="115"/>
        <v>2230156.7488444285</v>
      </c>
      <c r="EG28" s="32"/>
      <c r="EH28" s="130" t="s">
        <v>141</v>
      </c>
      <c r="EI28" s="32">
        <v>0</v>
      </c>
      <c r="EJ28" s="32">
        <f t="shared" si="173"/>
        <v>0</v>
      </c>
      <c r="EK28" s="32">
        <f>(EJ28)*InputData!$C$6</f>
        <v>0</v>
      </c>
      <c r="EL28" s="32">
        <f t="shared" si="172"/>
        <v>-3.637978807091713E-11</v>
      </c>
      <c r="EM28" s="32">
        <f>EM27*(1+InputData!$C$8)</f>
        <v>17415.006291387122</v>
      </c>
      <c r="EN28" s="32">
        <f t="shared" si="170"/>
        <v>0</v>
      </c>
      <c r="EO28" s="32">
        <f>AW28/((1+InputData!$C$3)^(Ortho!$B28-Ortho!$B$7))</f>
        <v>455357.11489384022</v>
      </c>
      <c r="EP28" s="32">
        <f>AX28/((1+InputData!$C$3)^(Ortho!$B28-Ortho!$B$7))</f>
        <v>0</v>
      </c>
      <c r="EQ28" s="32">
        <v>97036.800000000003</v>
      </c>
      <c r="ER28" s="32">
        <v>10810.14</v>
      </c>
      <c r="ES28" s="32">
        <v>0</v>
      </c>
      <c r="ET28" s="43">
        <f t="shared" si="129"/>
        <v>0.23684035336780215</v>
      </c>
      <c r="EU28" s="32">
        <f t="shared" si="57"/>
        <v>347510.17489384022</v>
      </c>
      <c r="EV28" s="32">
        <f>EN28/((1+InputData!$C$3)^(Ortho!$B28-Ortho!$B$7))</f>
        <v>0</v>
      </c>
      <c r="EW28" s="32">
        <f t="shared" si="58"/>
        <v>347510.17489384022</v>
      </c>
      <c r="EX28" s="32">
        <f>EW28/((1+InputData!$C$7)^(Ortho!$B28-Ortho!$B$7))</f>
        <v>186803.84288521571</v>
      </c>
      <c r="EY28" s="5">
        <f t="shared" si="117"/>
        <v>2612388.9102968671</v>
      </c>
      <c r="EZ28" s="79"/>
      <c r="FA28" s="32">
        <f t="shared" si="161"/>
        <v>0</v>
      </c>
      <c r="FB28" s="32">
        <f>FA28*InputData!$C$6</f>
        <v>0</v>
      </c>
      <c r="FC28" s="32">
        <f t="shared" si="162"/>
        <v>0</v>
      </c>
      <c r="FD28" s="32">
        <f>MIN($EJ$16*InputData!$C$6/(1-(1+InputData!$C$6)^(-10)), FA28+FB28)</f>
        <v>0</v>
      </c>
      <c r="FE28" s="32">
        <f>FD28/((1+InputData!$C$3)^(Ortho!$B28-Ortho!$B$7))</f>
        <v>0</v>
      </c>
      <c r="FF28" s="5">
        <f t="shared" si="62"/>
        <v>347510.17489384022</v>
      </c>
      <c r="FG28" s="32">
        <f>FF28/((1+InputData!$C$7)^(Ortho!$B28-Ortho!$B$7))</f>
        <v>186803.84288521571</v>
      </c>
      <c r="FH28" s="5">
        <f t="shared" si="118"/>
        <v>2612388.9102968671</v>
      </c>
      <c r="FI28" s="79"/>
      <c r="FJ28" s="32">
        <f t="shared" si="163"/>
        <v>189504.90465740982</v>
      </c>
      <c r="FK28" s="32">
        <f>FJ28*InputData!$C$6</f>
        <v>11768.254579225149</v>
      </c>
      <c r="FL28" s="32">
        <f t="shared" si="164"/>
        <v>179603.29189279224</v>
      </c>
      <c r="FM28" s="32">
        <f>MIN($EJ$16*InputData!$C$6/(1-(1+InputData!$C$6)^(-25)), FJ28+FK28)</f>
        <v>21669.867343842721</v>
      </c>
      <c r="FN28" s="32">
        <f>FM28/((1+InputData!$C$3)^(Ortho!$B28-Ortho!$B$7))</f>
        <v>14297.254426137846</v>
      </c>
      <c r="FO28" s="5">
        <f t="shared" si="66"/>
        <v>333212.92046770238</v>
      </c>
      <c r="FP28" s="32">
        <f>FO28/((1+InputData!$C$7)^(Ortho!$B28-Ortho!$B$7))</f>
        <v>179118.36412095767</v>
      </c>
      <c r="FQ28" s="5">
        <f t="shared" si="119"/>
        <v>2669048.666356463</v>
      </c>
      <c r="FR28" s="79"/>
      <c r="FS28" s="32">
        <f t="shared" si="165"/>
        <v>0</v>
      </c>
      <c r="FT28" s="32">
        <f>FS28*InputData!$C$6</f>
        <v>0</v>
      </c>
      <c r="FU28" s="32">
        <f t="shared" si="166"/>
        <v>0</v>
      </c>
      <c r="FV28" s="5">
        <f t="shared" si="171"/>
        <v>0</v>
      </c>
      <c r="FW28" s="32">
        <f>FV28/((1+InputData!$C$3)^(Ortho!$B28-Ortho!$B$7))</f>
        <v>0</v>
      </c>
      <c r="FX28" s="5">
        <f t="shared" si="70"/>
        <v>347510.17489384022</v>
      </c>
      <c r="FY28" s="32">
        <f>FX28/((1+InputData!$C$7)^(Ortho!$B28-Ortho!$B$7))</f>
        <v>186803.84288521571</v>
      </c>
      <c r="FZ28" s="5">
        <f t="shared" si="120"/>
        <v>2612388.9102968671</v>
      </c>
      <c r="GC28" s="3">
        <f t="shared" si="3"/>
        <v>18</v>
      </c>
      <c r="GD28" s="4" t="str">
        <f t="shared" si="145"/>
        <v>Multi-Year (O5&gt;16 = (BP+BAH+BAS+VSP+BCPSP)*12+ASP+ISP+MSP)</v>
      </c>
      <c r="GE28" s="5">
        <f t="shared" si="146"/>
        <v>223741.12</v>
      </c>
      <c r="GF28" s="5">
        <f t="shared" si="147"/>
        <v>21019.199999999997</v>
      </c>
      <c r="GG28" s="5">
        <f t="shared" si="148"/>
        <v>244760.32000000001</v>
      </c>
      <c r="GH28" s="5">
        <f t="shared" si="149"/>
        <v>181924.44143292381</v>
      </c>
      <c r="GI28" s="5">
        <f t="shared" si="150"/>
        <v>17090.761945622296</v>
      </c>
      <c r="GJ28" s="32">
        <f>IF(GH28-InputData!$C$158-InputData!$C$159&gt;=0,GH28-InputData!$C$158-InputData!$C$159,0)</f>
        <v>181924.44143292381</v>
      </c>
      <c r="GK28" s="32">
        <f>IF(GH28-IF(GH28&lt;=InputData!$C$146,InputData!$C$145,0)-MAX(InputData!$C$144,GQ28)&gt;=0,GH28-IF(GH28&lt;=InputData!$C$146,InputData!$C$145,0)-MAX(InputData!$C$144,GQ28),0)</f>
        <v>175824.44143292381</v>
      </c>
      <c r="GL28" s="32">
        <f>IF(GK28&lt;0,"Error",IF(GK28&lt;=InputData!$B$170,InputData!$C$170*GK28,IF(GK28&lt;=InputData!$B$171,InputData!$D$170+InputData!$C$171*(GK28-InputData!$B$170),IF(GK28&lt;=InputData!$B$172,InputData!$D$171+InputData!$C$172*(GK28-InputData!$B$171),IF(GK28&lt;=InputData!$B$173,InputData!$D$172+InputData!$C$173*(GK28-InputData!$B$172),IF(GK28&lt;=InputData!$B$174,InputData!$D$173+InputData!$C$174*(GK28-InputData!$B$173),IF(GK28&lt;=InputData!$B$175,InputData!$D$174+InputData!$C$175*(GK28-InputData!$B$174),InputData!$D$175+InputData!$C$176*(GK28-InputData!$B$175))))))))</f>
        <v>42524.093601218672</v>
      </c>
      <c r="GM28" s="32">
        <f>IF(GH28&lt;=InputData!$C$150,InputData!$C$152,IF(GH28&lt;InputData!$C$151,IF(InputData!$C$152-0.25*IF(GH28-InputData!$C$150&lt;=0,0,GH28-InputData!$C$150)&lt;=0,0,InputData!$C$152-0.25*IF(GH28-InputData!$C$150&lt;=0,0,GH28-InputData!$C$150)),0))</f>
        <v>35268.889641769048</v>
      </c>
      <c r="GN28" s="32">
        <f>IF(GH28-GM28&lt;=0,0,IF(GH28-GM28&lt;=InputData!$C$153,InputData!$C$154*(GH28-GM28),InputData!$C$155*(GH28-GM28)-InputData!$D$154))</f>
        <v>38130.443465700235</v>
      </c>
      <c r="GO28" s="32">
        <f t="shared" si="71"/>
        <v>42524.093601218672</v>
      </c>
      <c r="GP28" s="32">
        <f>IF(GH28&gt;=0,IF(GH28&lt;=InputData!$C$148,InputData!$C$147*GH28,InputData!$C$147*InputData!$C$148)+InputData!$C$149*GH28,0)</f>
        <v>9687.3044007773951</v>
      </c>
      <c r="GQ28" s="32">
        <f>IF(GJ28&lt;0,0,IF(GJ28&lt;=InputData!$B$163,InputData!$C$163*GJ28,IF(GJ28&lt;=InputData!$B$164,InputData!$D$163+InputData!$C$164*(GJ28-InputData!$B$163),IF(GJ28&lt;=InputData!$B$165,InputData!$D$164+InputData!$C$165*(GJ28-InputData!$B$164),InputData!$D$165+InputData!$C$166*(GJ28-InputData!$B$165)))))</f>
        <v>0</v>
      </c>
      <c r="GR28" s="43">
        <f t="shared" si="72"/>
        <v>0.28699496115395023</v>
      </c>
      <c r="GS28" s="43">
        <f t="shared" si="73"/>
        <v>0.26234879102520098</v>
      </c>
      <c r="GT28" s="5">
        <f t="shared" si="74"/>
        <v>146803.80537655007</v>
      </c>
      <c r="GU28" s="32">
        <f>GT28/((1+InputData!$C$7)^(Ortho!$B28-Ortho!$B$7))</f>
        <v>78914.279280859526</v>
      </c>
      <c r="GV28" s="32">
        <f t="shared" si="75"/>
        <v>1395091.1499527714</v>
      </c>
      <c r="GX28" s="124">
        <f t="shared" si="130"/>
        <v>18</v>
      </c>
      <c r="GY28" s="122" t="str">
        <f t="shared" si="131"/>
        <v>Multi-Year (O5&gt;16 = (BP+BAH+BAS+VSP+BCPSP)*12+ASP+ISP+MSP)</v>
      </c>
      <c r="GZ28" s="5">
        <f t="shared" si="132"/>
        <v>223741.12</v>
      </c>
      <c r="HA28" s="5">
        <f t="shared" si="133"/>
        <v>21019.199999999997</v>
      </c>
      <c r="HB28" s="5">
        <f t="shared" si="134"/>
        <v>244760.32000000001</v>
      </c>
      <c r="HC28" s="5">
        <f t="shared" si="135"/>
        <v>181924.44143292381</v>
      </c>
      <c r="HD28" s="5">
        <f t="shared" si="136"/>
        <v>17090.761945622296</v>
      </c>
      <c r="HE28" s="32">
        <f>IF(HC28-InputData!$C$158-InputData!$C$159&gt;=0,HC28-InputData!$C$158-InputData!$C$159,0)</f>
        <v>181924.44143292381</v>
      </c>
      <c r="HF28" s="32">
        <f>IF(HC28-IF(HC28&lt;=InputData!$C$146,InputData!$C$145,0)-MAX(InputData!$C$144,HL28)&gt;=0,HC28-IF(HC28&lt;=InputData!$C$146,InputData!$C$145,0)-MAX(InputData!$C$144,HL28),0)</f>
        <v>175824.44143292381</v>
      </c>
      <c r="HG28" s="32">
        <f>IF(HF28&lt;0,"Error",IF(HF28&lt;=InputData!$B$170,InputData!$C$170*HF28,IF(HF28&lt;=InputData!$B$171,InputData!$D$170+InputData!$C$171*(HF28-InputData!$B$170),IF(HF28&lt;=InputData!$B$172,InputData!$D$171+InputData!$C$172*(HF28-InputData!$B$171),IF(HF28&lt;=InputData!$B$173,InputData!$D$172+InputData!$C$173*(HF28-InputData!$B$172),IF(HF28&lt;=InputData!$B$174,InputData!$D$173+InputData!$C$174*(HF28-InputData!$B$173),IF(HF28&lt;=InputData!$B$175,InputData!$D$174+InputData!$C$175*(HF28-InputData!$B$174),InputData!$D$175+InputData!$C$176*(HF28-InputData!$B$175))))))))</f>
        <v>42524.093601218672</v>
      </c>
      <c r="HH28" s="32">
        <f>IF(HC28&lt;=InputData!$C$150,InputData!$C$152,IF(HC28&lt;InputData!$C$151,IF(InputData!$C$152-0.25*IF(HC28-InputData!$C$150&lt;=0,0,HC28-InputData!$C$150)&lt;=0,0,InputData!$C$152-0.25*IF(HC28-InputData!$C$150&lt;=0,0,HC28-InputData!$C$150)),0))</f>
        <v>35268.889641769048</v>
      </c>
      <c r="HI28" s="32">
        <f>IF(HC28-HH28&lt;=0,0,IF(HC28-HH28&lt;=InputData!$C$153,InputData!$C$154*(HC28-HH28),InputData!$C$155*(HC28-HH28)-InputData!$D$154))</f>
        <v>38130.443465700235</v>
      </c>
      <c r="HJ28" s="32">
        <f t="shared" si="76"/>
        <v>42524.093601218672</v>
      </c>
      <c r="HK28" s="32">
        <f>IF(HC28&gt;=0,IF(HC28&lt;=InputData!$C$148,InputData!$C$147*HC28,InputData!$C$147*InputData!$C$148)+InputData!$C$149*HC28,0)</f>
        <v>9687.3044007773951</v>
      </c>
      <c r="HL28" s="32">
        <f>IF(HE28&lt;0,0,IF(HE28&lt;=InputData!$B$163,InputData!$C$163*HE28,IF(HE28&lt;=InputData!$B$164,InputData!$D$163+InputData!$C$164*(HE28-InputData!$B$163),IF(HE28&lt;=InputData!$B$165,InputData!$D$164+InputData!$C$165*(HE28-InputData!$B$164),InputData!$D$165+InputData!$C$166*(HE28-InputData!$B$165)))))</f>
        <v>0</v>
      </c>
      <c r="HM28" s="43">
        <f t="shared" si="77"/>
        <v>0.28699496115395023</v>
      </c>
      <c r="HN28" s="43">
        <f t="shared" si="78"/>
        <v>0.26234879102520098</v>
      </c>
      <c r="HO28" s="5">
        <f t="shared" si="79"/>
        <v>146803.80537655007</v>
      </c>
      <c r="HP28" s="32">
        <f>HO28/((1+InputData!$C$7)^(Ortho!$B28-Ortho!$B$7))</f>
        <v>78914.279280859526</v>
      </c>
      <c r="HQ28" s="32">
        <f t="shared" si="80"/>
        <v>1420459.0781527807</v>
      </c>
      <c r="HS28" s="227"/>
      <c r="HT28" s="53" t="s">
        <v>109</v>
      </c>
      <c r="HU28" s="32">
        <f>MIN(InputData!$C$13+InputData!$E$13*($B28-$B$23),1)*Ortho!AW28</f>
        <v>621152.50814914727</v>
      </c>
      <c r="HV28" s="32">
        <f>MIN(InputData!$C$13+InputData!$E$13*($B28-$B$23),1)*Ortho!AX28</f>
        <v>0</v>
      </c>
      <c r="HW28" s="32">
        <f>MIN(InputData!$C$13+InputData!$E$13*($B28-$B$23),1)*Ortho!AY28</f>
        <v>621152.50814914727</v>
      </c>
      <c r="HX28" s="32">
        <f>MIN(InputData!$C$13+InputData!$E$13*($B28-$B$23),1)*Ortho!EO28</f>
        <v>409821.40340445621</v>
      </c>
      <c r="HY28" s="32">
        <f>MIN(InputData!$C$13+InputData!$E$13*($B28-$B$23),1)*Ortho!EP28</f>
        <v>0</v>
      </c>
      <c r="HZ28" s="32">
        <f>IF(HX28-InputData!$C$158-InputData!$C$159&gt;=0,HX28-InputData!$C$158-InputData!$C$159,0)</f>
        <v>409821.40340445621</v>
      </c>
      <c r="IA28" s="32">
        <f>IF(HX28-IF(HX28&lt;=InputData!$C$146,InputData!$C$145,0)-MAX(InputData!$C$144,IG28)&gt;=0,HX28-IF(HX28&lt;=InputData!$C$146,InputData!$C$145,0)-MAX(InputData!$C$144,IG28),0)</f>
        <v>403721.40340445621</v>
      </c>
      <c r="IB28" s="32">
        <f>IF(IA28&lt;0,"Error",IF(IA28&lt;=InputData!$B$170,InputData!$C$170*IA28,IF(IA28&lt;=InputData!$B$171,InputData!$D$170+InputData!$C$171*(IA28-InputData!$B$170),IF(IA28&lt;=InputData!$B$172,InputData!$D$171+InputData!$C$172*(IA28-InputData!$B$171),IF(IA28&lt;=InputData!$B$173,InputData!$D$172+InputData!$C$173*(IA28-InputData!$B$172),IF(IA28&lt;=InputData!$B$174,InputData!$D$173+InputData!$C$174*(IA28-InputData!$B$173),IF(IA28&lt;=InputData!$B$175,InputData!$D$174+InputData!$C$175*(IA28-InputData!$B$174),InputData!$D$175+InputData!$C$176*(IA28-InputData!$B$175))))))))</f>
        <v>117637.42574816466</v>
      </c>
      <c r="IC28" s="32">
        <f>IF(HX28&lt;=InputData!$C$150,InputData!$C$152,IF(HX28&lt;InputData!$C$151,IF(InputData!$C$152-0.25*IF(HX28-InputData!$C$150&lt;=0,0,HX28-InputData!$C$150)&lt;=0,0,InputData!$C$152-0.25*IF(HX28-InputData!$C$150&lt;=0,0,HX28-InputData!$C$150)),0))</f>
        <v>0</v>
      </c>
      <c r="ID28" s="32">
        <f>IF(HX28-IC28&lt;=0,0,IF(HX28-IC28&lt;=InputData!$C$153,InputData!$C$154*(HX28-IC28),InputData!$C$155*(HX28-IC28)-InputData!$D$154))</f>
        <v>111159.99295324775</v>
      </c>
      <c r="IE28" s="32">
        <f t="shared" si="88"/>
        <v>117637.42574816466</v>
      </c>
      <c r="IF28" s="32">
        <f>IF(HX28&gt;=0,IF(HX28&lt;=InputData!$C$148,InputData!$C$147*HX28,InputData!$C$147*InputData!$C$148)+InputData!$C$149*HX28,0)</f>
        <v>12991.810349364616</v>
      </c>
      <c r="IG28" s="32">
        <f>IF(HZ28&lt;0,0,IF(HZ28&lt;=InputData!$B$163,InputData!$C$163*HZ28,IF(HZ28&lt;=InputData!$B$164,InputData!$D$163+InputData!$C$164*(HZ28-InputData!$B$163),IF(HZ28&lt;=InputData!$B$165,InputData!$D$164+InputData!$C$165*(HZ28-InputData!$B$164),InputData!$D$165+InputData!$C$166*(HZ28-InputData!$B$165)))))</f>
        <v>0</v>
      </c>
      <c r="IH28" s="43">
        <f t="shared" si="89"/>
        <v>0.31874673946350768</v>
      </c>
      <c r="II28" s="43">
        <f t="shared" si="90"/>
        <v>0.31874673946350768</v>
      </c>
      <c r="IJ28" s="5">
        <f t="shared" si="91"/>
        <v>279192.16730692697</v>
      </c>
      <c r="IK28" s="32">
        <f>IJ28/((1+InputData!$C$7)^(Ortho!$B28-Ortho!$B$7))</f>
        <v>150079.5473753206</v>
      </c>
      <c r="IL28" s="5">
        <f t="shared" si="92"/>
        <v>1830652.6096796938</v>
      </c>
      <c r="IN28" s="227"/>
      <c r="IO28" s="53" t="s">
        <v>109</v>
      </c>
      <c r="IP28" s="32">
        <f>MIN(InputData!$C$13+InputData!$E$13*($B28-$B$20),1)*Ortho!AW28</f>
        <v>621152.50814914727</v>
      </c>
      <c r="IQ28" s="32">
        <f>MIN(InputData!$C$13+InputData!$E$13*($B28-$B$20),1)*Ortho!AX28</f>
        <v>0</v>
      </c>
      <c r="IR28" s="32">
        <f>MIN(InputData!$C$13+InputData!$E$13*($B28-$B$20),1)*Ortho!AY28</f>
        <v>621152.50814914727</v>
      </c>
      <c r="IS28" s="32">
        <f>MIN(InputData!$C$13+InputData!$E$13*($B28-$B$20),1)*Ortho!EO28</f>
        <v>409821.40340445621</v>
      </c>
      <c r="IT28" s="32">
        <f>MIN(InputData!$C$13+InputData!$E$13*($B28-$B$20),1)*Ortho!EP28</f>
        <v>0</v>
      </c>
      <c r="IU28" s="32">
        <f>IF(IS28-InputData!$C$158-InputData!$C$159&gt;=0,IS28-InputData!$C$158-InputData!$C$159,0)</f>
        <v>409821.40340445621</v>
      </c>
      <c r="IV28" s="32">
        <f>IF(IS28-IF(IS28&lt;=InputData!$C$146,InputData!$C$145,0)-MAX(InputData!$C$144,JB28)&gt;=0,IS28-IF(IS28&lt;=InputData!$C$146,InputData!$C$145,0)-MAX(InputData!$C$144,JB28),0)</f>
        <v>403721.40340445621</v>
      </c>
      <c r="IW28" s="32">
        <f>IF(IV28&lt;0,"Error",IF(IV28&lt;=InputData!$B$170,InputData!$C$170*IV28,IF(IV28&lt;=InputData!$B$171,InputData!$D$170+InputData!$C$171*(IV28-InputData!$B$170),IF(IV28&lt;=InputData!$B$172,InputData!$D$171+InputData!$C$172*(IV28-InputData!$B$171),IF(IV28&lt;=InputData!$B$173,InputData!$D$172+InputData!$C$173*(IV28-InputData!$B$172),IF(IV28&lt;=InputData!$B$174,InputData!$D$173+InputData!$C$174*(IV28-InputData!$B$173),IF(IV28&lt;=InputData!$B$175,InputData!$D$174+InputData!$C$175*(IV28-InputData!$B$174),InputData!$D$175+InputData!$C$176*(IV28-InputData!$B$175))))))))</f>
        <v>117637.42574816466</v>
      </c>
      <c r="IX28" s="32">
        <f>IF(IS28&lt;=InputData!$C$150,InputData!$C$152,IF(IS28&lt;InputData!$C$151,IF(InputData!$C$152-0.25*IF(IS28-InputData!$C$150&lt;=0,0,IS28-InputData!$C$150)&lt;=0,0,InputData!$C$152-0.25*IF(IS28-InputData!$C$150&lt;=0,0,IS28-InputData!$C$150)),0))</f>
        <v>0</v>
      </c>
      <c r="IY28" s="32">
        <f>IF(IS28-IX28&lt;=0,0,IF(IS28-IX28&lt;=InputData!$C$153,InputData!$C$154*(IS28-IX28),InputData!$C$155*(IS28-IX28)-InputData!$D$154))</f>
        <v>111159.99295324775</v>
      </c>
      <c r="IZ28" s="32">
        <f t="shared" si="95"/>
        <v>117637.42574816466</v>
      </c>
      <c r="JA28" s="32">
        <f>IF(IS28&gt;=0,IF(IS28&lt;=InputData!$C$148,InputData!$C$147*IS28,InputData!$C$147*InputData!$C$148)+InputData!$C$149*IS28,0)</f>
        <v>12991.810349364616</v>
      </c>
      <c r="JB28" s="32">
        <f>IF(IU28&lt;0,0,IF(IU28&lt;=InputData!$B$163,InputData!$C$163*IU28,IF(IU28&lt;=InputData!$B$164,InputData!$D$163+InputData!$C$164*(IU28-InputData!$B$163),IF(IU28&lt;=InputData!$B$165,InputData!$D$164+InputData!$C$165*(IU28-InputData!$B$164),InputData!$D$165+InputData!$C$166*(IU28-InputData!$B$165)))))</f>
        <v>0</v>
      </c>
      <c r="JC28" s="43">
        <f t="shared" si="96"/>
        <v>0.31874673946350768</v>
      </c>
      <c r="JD28" s="43">
        <f t="shared" si="97"/>
        <v>0.31874673946350768</v>
      </c>
      <c r="JE28" s="5">
        <f t="shared" si="98"/>
        <v>279192.16730692697</v>
      </c>
      <c r="JF28" s="32">
        <f>JE28/((1+InputData!$C$7)^(Ortho!$B28-Ortho!$B$7))</f>
        <v>150079.5473753206</v>
      </c>
      <c r="JG28" s="5">
        <f t="shared" si="99"/>
        <v>2085644.3010064017</v>
      </c>
      <c r="JI28" s="41" t="str">
        <f t="shared" si="13"/>
        <v>Private Practice</v>
      </c>
      <c r="JJ28" s="5">
        <f t="shared" si="14"/>
        <v>690169.45349905244</v>
      </c>
      <c r="JK28" s="32">
        <v>0</v>
      </c>
      <c r="JL28" s="32">
        <f t="shared" si="101"/>
        <v>690169.45349905244</v>
      </c>
      <c r="JM28" s="32">
        <f>JM27*(1+InputData!$C$8)</f>
        <v>17415.006291387122</v>
      </c>
      <c r="JN28" s="32">
        <f>JJ28/((1+InputData!$C$3)^(Ortho!$B28-Ortho!$B$7))</f>
        <v>455357.11489384022</v>
      </c>
      <c r="JO28" s="32">
        <f>JK28/((1+InputData!$C$3)^(Ortho!$B28-Ortho!$B$7))</f>
        <v>0</v>
      </c>
      <c r="JP28" s="32" t="s">
        <v>141</v>
      </c>
      <c r="JQ28" s="32">
        <v>0</v>
      </c>
      <c r="JR28" s="32">
        <f t="shared" si="167"/>
        <v>0</v>
      </c>
      <c r="JS28" s="32">
        <f>(JR28)*InputData!$C$6</f>
        <v>0</v>
      </c>
      <c r="JT28" s="32">
        <f>MIN($BE$16*InputData!$C$6/(1-(1+InputData!$C$6)^(-10)), JR28+JS28)</f>
        <v>0</v>
      </c>
      <c r="JU28" s="32">
        <f t="shared" si="151"/>
        <v>0</v>
      </c>
      <c r="JV28" s="32">
        <f>JT28/((1+InputData!$C$3)^(Ortho!$B28-Ortho!$B$7))</f>
        <v>0</v>
      </c>
      <c r="JW28" s="32">
        <f>IF(JN28-InputData!$C$158-InputData!$C$159&gt;=0,JN28-InputData!$C$158-InputData!$C$159,0)</f>
        <v>455357.11489384022</v>
      </c>
      <c r="JX28" s="32">
        <f>IF(JN28-IF(JN28&lt;=InputData!$C$146,InputData!$C$145,0)-MAX(InputData!$C$144,KD28)&gt;=0,JN28-IF(JN28&lt;=InputData!$C$146,InputData!$C$145,0)-MAX(InputData!$C$144,KD28),0)</f>
        <v>449257.11489384022</v>
      </c>
      <c r="JY28" s="32">
        <f>IF(JX28&lt;0,"Error",IF(JX28&lt;=InputData!$B$170,InputData!$C$170*JX28,IF(JX28&lt;=InputData!$B$171,InputData!$D$170+InputData!$C$171*(JX28-InputData!$B$170),IF(JX28&lt;=InputData!$B$172,InputData!$D$171+InputData!$C$172*(JX28-InputData!$B$171),IF(JX28&lt;=InputData!$B$173,InputData!$D$172+InputData!$C$173*(JX28-InputData!$B$172),IF(JX28&lt;=InputData!$B$174,InputData!$D$173+InputData!$C$174*(JX28-InputData!$B$173),IF(JX28&lt;=InputData!$B$175,InputData!$D$174+InputData!$C$175*(JX28-InputData!$B$174),InputData!$D$175+InputData!$C$176*(JX28-InputData!$B$175))))))))</f>
        <v>135669.56749796073</v>
      </c>
      <c r="JZ28" s="32">
        <f>IF(JN28&lt;=InputData!$C$150,InputData!$C$152,IF(JN28&lt;InputData!$C$151,IF(InputData!$C$152-0.25*IF(JN28-InputData!$C$150&lt;=0,0,JN28-InputData!$C$150)&lt;=0,0,InputData!$C$152-0.25*IF(JN28-InputData!$C$150&lt;=0,0,JN28-InputData!$C$150)),0))</f>
        <v>0</v>
      </c>
      <c r="KA28" s="32">
        <f>IF(JN28-JZ28&lt;=0,0,IF(JN28-JZ28&lt;=InputData!$C$153,InputData!$C$154*(JN28-JZ28),InputData!$C$155*(JN28-JZ28)-InputData!$D$154))</f>
        <v>123909.99217027528</v>
      </c>
      <c r="KB28" s="32">
        <f t="shared" si="102"/>
        <v>135669.56749796073</v>
      </c>
      <c r="KC28" s="32">
        <f>IF(JN28&gt;=0,IF(JN28&lt;=InputData!$C$148,InputData!$C$147*JN28,InputData!$C$147*InputData!$C$148)+InputData!$C$149*JN28,0)</f>
        <v>13652.078165960684</v>
      </c>
      <c r="KD28" s="32">
        <f>IF(JW28&lt;0,0,IF(JW28&lt;=InputData!$B$163,InputData!$C$163*JW28,IF(JW28&lt;=InputData!$B$164,InputData!$D$163+InputData!$C$164*(JW28-InputData!$B$163),IF(JW28&lt;=InputData!$B$165,InputData!$D$164+InputData!$C$165*(JW28-InputData!$B$164),InputData!$D$165+InputData!$C$166*(JW28-InputData!$B$165)))))</f>
        <v>0</v>
      </c>
      <c r="KE28" s="43">
        <f t="shared" si="15"/>
        <v>0.32792206551715686</v>
      </c>
      <c r="KF28" s="32">
        <f t="shared" si="16"/>
        <v>306035.46922991879</v>
      </c>
      <c r="KG28" s="32">
        <f t="shared" si="103"/>
        <v>306035.46922991879</v>
      </c>
      <c r="KH28" s="32">
        <f>KG28/((1+InputData!$C$7)^(Ortho!$B28-Ortho!$B$7))</f>
        <v>164509.14488703321</v>
      </c>
      <c r="KI28" s="5">
        <f t="shared" si="122"/>
        <v>2616284.4959897012</v>
      </c>
    </row>
    <row r="29" spans="1:295" x14ac:dyDescent="0.25">
      <c r="A29" s="4">
        <v>2035</v>
      </c>
      <c r="B29" s="51">
        <v>23</v>
      </c>
      <c r="C29" s="4"/>
      <c r="D29" s="3">
        <v>19</v>
      </c>
      <c r="E29" s="97" t="s">
        <v>266</v>
      </c>
      <c r="F29" s="5">
        <f>InputData!$M$21*12</f>
        <v>109072.79999999999</v>
      </c>
      <c r="G29" s="32">
        <f>(InputData!$M$21+InputData!$J$45+InputData!$G$50)*12+InputData!$J$50+InputData!$D$61+InputData!$J$61</f>
        <v>238064.8</v>
      </c>
      <c r="H29" s="32">
        <f>(InputData!$C$32+InputData!$C$40)*12</f>
        <v>21631.199999999997</v>
      </c>
      <c r="I29" s="32">
        <f t="shared" si="17"/>
        <v>259696</v>
      </c>
      <c r="J29" s="5">
        <f>G29*((1+InputData!$C$5)/(1+InputData!$C$3))^(Ortho!$B29-Ortho!$B$7)</f>
        <v>191673.30451358127</v>
      </c>
      <c r="K29" s="5">
        <f>H29*((1+InputData!$C$5)/(1+InputData!$C$3))^(Ortho!$B29-Ortho!$B$7)</f>
        <v>17415.945509769521</v>
      </c>
      <c r="L29" s="32">
        <f>IF(J29-InputData!$C$158-InputData!$C$159&gt;=0,J29-InputData!$C$158-InputData!$C$159,0)</f>
        <v>191673.30451358127</v>
      </c>
      <c r="M29" s="32">
        <f>IF(J29-IF(J29&lt;=InputData!$C$146,InputData!$C$145,0)-MAX(InputData!$C$144,S29)&gt;=0,J29-IF(J29&lt;=InputData!$C$146,InputData!$C$145,0)-MAX(InputData!$C$144,S29),0)</f>
        <v>185573.30451358127</v>
      </c>
      <c r="N29" s="32">
        <f>IF(M29&lt;0,"Error",IF(M29&lt;=InputData!$B$170,InputData!$C$170*M29,IF(M29&lt;=InputData!$B$171,InputData!$D$170+InputData!$C$171*(M29-InputData!$B$170),IF(M29&lt;=InputData!$B$172,InputData!$D$171+InputData!$C$172*(M29-InputData!$B$171),IF(M29&lt;=InputData!$B$173,InputData!$D$172+InputData!$C$173*(M29-InputData!$B$172),IF(M29&lt;=InputData!$B$174,InputData!$D$173+InputData!$C$174*(M29-InputData!$B$173),IF(M29&lt;=InputData!$B$175,InputData!$D$174+InputData!$C$175*(M29-InputData!$B$174),InputData!$D$175+InputData!$C$176*(M29-InputData!$B$175))))))))</f>
        <v>45369.940489481822</v>
      </c>
      <c r="O29" s="32">
        <f>IF(J29&lt;=InputData!$C$150,InputData!$C$152,IF(J29&lt;InputData!$C$151,IF(InputData!$C$152-0.25*IF(J29-InputData!$C$150&lt;=0,0,J29-InputData!$C$150)&lt;=0,0,InputData!$C$152-0.25*IF(J29-InputData!$C$150&lt;=0,0,J29-InputData!$C$150)),0))</f>
        <v>32831.673871604682</v>
      </c>
      <c r="P29" s="32">
        <f>IF(J29-O29&lt;=0,0,IF(J29-O29&lt;=InputData!$C$153,InputData!$C$154*(J29-O29),InputData!$C$155*(J29-O29)-InputData!$D$154))</f>
        <v>41298.823966913922</v>
      </c>
      <c r="Q29" s="32">
        <f t="shared" si="18"/>
        <v>45369.940489481822</v>
      </c>
      <c r="R29" s="32">
        <f>IF(J29&gt;=0,IF(J29&lt;=InputData!$C$148,InputData!$C$147*J29,InputData!$C$147*InputData!$C$148)+InputData!$C$149*J29,0)</f>
        <v>9828.6629154469283</v>
      </c>
      <c r="S29" s="32">
        <f>IF(L29&lt;0,0,IF(L29&lt;=InputData!$B$163,InputData!$C$163*L29,IF(L29&lt;=InputData!$B$164,InputData!$D$163+InputData!$C$164*(L29-InputData!$B$163),IF(L29&lt;=InputData!$B$165,InputData!$D$164+InputData!$C$165*(L29-InputData!$B$164),InputData!$D$165+InputData!$C$166*(L29-InputData!$B$165)))))</f>
        <v>0</v>
      </c>
      <c r="T29" s="43">
        <f t="shared" si="19"/>
        <v>0.28798273992828027</v>
      </c>
      <c r="U29" s="43">
        <f t="shared" si="20"/>
        <v>0.26399541534901599</v>
      </c>
      <c r="V29" s="5">
        <f t="shared" si="21"/>
        <v>153890.64661842203</v>
      </c>
      <c r="W29" s="32">
        <f>V29/((1+InputData!$C$7)^(Ortho!$B29-Ortho!$B$7))</f>
        <v>80314.37442612648</v>
      </c>
      <c r="X29" s="5">
        <f t="shared" si="104"/>
        <v>1475405.5243788979</v>
      </c>
      <c r="Y29" s="53"/>
      <c r="Z29" s="3">
        <v>19</v>
      </c>
      <c r="AA29" s="97" t="s">
        <v>266</v>
      </c>
      <c r="AB29" s="5">
        <f t="shared" si="126"/>
        <v>109072.79999999999</v>
      </c>
      <c r="AC29" s="32">
        <f t="shared" si="175"/>
        <v>238064.8</v>
      </c>
      <c r="AD29" s="32">
        <f t="shared" si="174"/>
        <v>21631.199999999997</v>
      </c>
      <c r="AE29" s="32">
        <f t="shared" si="22"/>
        <v>259696</v>
      </c>
      <c r="AF29" s="5">
        <f>AC29*((1+InputData!$C$5)/(1+InputData!$C$3))^(Ortho!$B29-Ortho!$B$7)</f>
        <v>191673.30451358127</v>
      </c>
      <c r="AG29" s="5">
        <f>AD29*((1+InputData!$C$5)/(1+InputData!$C$3))^(Ortho!$B29-Ortho!$B$7)</f>
        <v>17415.945509769521</v>
      </c>
      <c r="AH29" s="32">
        <f>IF(AF29-InputData!$C$158-InputData!$C$159&gt;=0,AF29-InputData!$C$158-InputData!$C$159,0)</f>
        <v>191673.30451358127</v>
      </c>
      <c r="AI29" s="32">
        <f>IF(AF29-IF(AF29&lt;=InputData!$C$146,InputData!$C$145,0)-MAX(InputData!$C$144,AO29)&gt;=0,AF29-IF(AF29&lt;=InputData!$C$146,InputData!$C$145,0)-MAX(InputData!$C$144,AO29),0)</f>
        <v>185573.30451358127</v>
      </c>
      <c r="AJ29" s="32">
        <f>IF(AI29&lt;0,"Error",IF(AI29&lt;=InputData!$B$170,InputData!$C$170*AI29,IF(AI29&lt;=InputData!$B$171,InputData!$D$170+InputData!$C$171*(AI29-InputData!$B$170),IF(AI29&lt;=InputData!$B$172,InputData!$D$171+InputData!$C$172*(AI29-InputData!$B$171),IF(AI29&lt;=InputData!$B$173,InputData!$D$172+InputData!$C$173*(AI29-InputData!$B$172),IF(AI29&lt;=InputData!$B$174,InputData!$D$173+InputData!$C$174*(AI29-InputData!$B$173),IF(AI29&lt;=InputData!$B$175,InputData!$D$174+InputData!$C$175*(AI29-InputData!$B$174),InputData!$D$175+InputData!$C$176*(AI29-InputData!$B$175))))))))</f>
        <v>45369.940489481822</v>
      </c>
      <c r="AK29" s="32">
        <f>IF(AF29&lt;=InputData!$C$150,InputData!$C$152,IF(AF29&lt;InputData!$C$151,IF(InputData!$C$152-0.25*IF(AF29-InputData!$C$150&lt;=0,0,AF29-InputData!$C$150)&lt;=0,0,InputData!$C$152-0.25*IF(AF29-InputData!$C$150&lt;=0,0,AF29-InputData!$C$150)),0))</f>
        <v>32831.673871604682</v>
      </c>
      <c r="AL29" s="32">
        <f>IF(AF29-AK29&lt;=0,0,IF(AF29-AK29&lt;=InputData!$C$153,InputData!$C$154*(AF29-AK29),InputData!$C$155*(AF29-AK29)-InputData!$D$154))</f>
        <v>41298.823966913922</v>
      </c>
      <c r="AM29" s="32">
        <f t="shared" si="23"/>
        <v>45369.940489481822</v>
      </c>
      <c r="AN29" s="32">
        <f>IF(AF29&gt;=0,IF(AF29&lt;=InputData!$C$148,InputData!$C$147*AF29,InputData!$C$147*InputData!$C$148)+InputData!$C$149*AF29,0)</f>
        <v>9828.6629154469283</v>
      </c>
      <c r="AO29" s="32">
        <f>IF(AH29&lt;0,0,IF(AH29&lt;=InputData!$B$163,InputData!$C$163*AH29,IF(AH29&lt;=InputData!$B$164,InputData!$D$163+InputData!$C$164*(AH29-InputData!$B$163),IF(AH29&lt;=InputData!$B$165,InputData!$D$164+InputData!$C$165*(AH29-InputData!$B$164),InputData!$D$165+InputData!$C$166*(AH29-InputData!$B$165)))))</f>
        <v>0</v>
      </c>
      <c r="AP29" s="43">
        <f t="shared" si="24"/>
        <v>0.28798273992828027</v>
      </c>
      <c r="AQ29" s="43">
        <f t="shared" si="25"/>
        <v>0.26399541534901599</v>
      </c>
      <c r="AR29" s="5">
        <f t="shared" si="26"/>
        <v>153890.64661842203</v>
      </c>
      <c r="AS29" s="32">
        <f>AR29/((1+InputData!$C$7)^(Ortho!$B29-Ortho!$B$7))</f>
        <v>80314.37442612648</v>
      </c>
      <c r="AT29" s="5">
        <f t="shared" si="105"/>
        <v>1500773.4525789071</v>
      </c>
      <c r="AU29" s="53"/>
      <c r="AV29" s="41" t="s">
        <v>109</v>
      </c>
      <c r="AW29" s="32">
        <f>$AW$17*(1+InputData!$C$3+InputData!$C$4)^(Ortho!$B29-Ortho!$B$17)</f>
        <v>710874.53710402385</v>
      </c>
      <c r="AX29" s="32">
        <v>0</v>
      </c>
      <c r="AY29" s="32">
        <f t="shared" si="28"/>
        <v>710874.53710402385</v>
      </c>
      <c r="AZ29" s="32">
        <f>AZ28*(1+InputData!$C$8)</f>
        <v>17763.306417214866</v>
      </c>
      <c r="BA29" s="32">
        <f>AW29/((1+InputData!$C$3)^(Ortho!$B29-Ortho!$B$7))</f>
        <v>459821.40033397579</v>
      </c>
      <c r="BB29" s="32">
        <f>AX29/((1+InputData!$C$3)^(Ortho!$B29-Ortho!$B$7))</f>
        <v>0</v>
      </c>
      <c r="BC29" s="32" t="s">
        <v>141</v>
      </c>
      <c r="BD29" s="32">
        <v>0</v>
      </c>
      <c r="BE29" s="32">
        <f t="shared" si="152"/>
        <v>0</v>
      </c>
      <c r="BF29" s="32">
        <f>(BE29)*InputData!$C$6</f>
        <v>0</v>
      </c>
      <c r="BG29" s="32">
        <f>MIN($BE$16*InputData!$C$6/(1-(1+InputData!$C$6)^(-10)), BE29+BF29)</f>
        <v>0</v>
      </c>
      <c r="BH29" s="32">
        <f t="shared" si="137"/>
        <v>0</v>
      </c>
      <c r="BI29" s="32">
        <f>BG29/((1+InputData!$C$3)^(Ortho!$B29-Ortho!$B$7))</f>
        <v>0</v>
      </c>
      <c r="BJ29" s="32">
        <f>IF(BA29-InputData!$C$158-InputData!$C$159&gt;=0,BA29-InputData!$C$158-InputData!$C$159,0)</f>
        <v>459821.40033397579</v>
      </c>
      <c r="BK29" s="32">
        <f>IF(BA29-IF(BA29&lt;=InputData!$C$146,InputData!$C$145,0)-MAX(InputData!$C$144,BQ29)&gt;=0,BA29-IF(BA29&lt;=InputData!$C$146,InputData!$C$145,0)-MAX(InputData!$C$144,BQ29),0)</f>
        <v>453721.40033397579</v>
      </c>
      <c r="BL29" s="32">
        <f>IF(BK29&lt;0,"Error",IF(BK29&lt;=InputData!$B$170,InputData!$C$170*BK29,IF(BK29&lt;=InputData!$B$171,InputData!$D$170+InputData!$C$171*(BK29-InputData!$B$170),IF(BK29&lt;=InputData!$B$172,InputData!$D$171+InputData!$C$172*(BK29-InputData!$B$171),IF(BK29&lt;=InputData!$B$173,InputData!$D$172+InputData!$C$173*(BK29-InputData!$B$172),IF(BK29&lt;=InputData!$B$174,InputData!$D$173+InputData!$C$174*(BK29-InputData!$B$173),IF(BK29&lt;=InputData!$B$175,InputData!$D$174+InputData!$C$175*(BK29-InputData!$B$174),InputData!$D$175+InputData!$C$176*(BK29-InputData!$B$175))))))))</f>
        <v>137437.4245322544</v>
      </c>
      <c r="BM29" s="32">
        <f>IF(BA29&lt;=InputData!$C$150,InputData!$C$152,IF(BA29&lt;InputData!$C$151,IF(InputData!$C$152-0.25*IF(BA29-InputData!$C$150&lt;=0,0,BA29-InputData!$C$150)&lt;=0,0,InputData!$C$152-0.25*IF(BA29-InputData!$C$150&lt;=0,0,BA29-InputData!$C$150)),0))</f>
        <v>0</v>
      </c>
      <c r="BN29" s="32">
        <f>IF(BA29-BM29&lt;=0,0,IF(BA29-BM29&lt;=InputData!$C$153,InputData!$C$154*(BA29-BM29),InputData!$C$155*(BA29-BM29)-InputData!$D$154))</f>
        <v>125159.99209351324</v>
      </c>
      <c r="BO29" s="32">
        <f t="shared" si="29"/>
        <v>137437.4245322544</v>
      </c>
      <c r="BP29" s="32">
        <f>IF(BA29&gt;=0,IF(BA29&lt;=InputData!$C$148,InputData!$C$147*BA29,InputData!$C$147*InputData!$C$148)+InputData!$C$149*BA29,0)</f>
        <v>13716.810304842649</v>
      </c>
      <c r="BQ29" s="32">
        <f>IF(BJ29&lt;0,0,IF(BJ29&lt;=InputData!$B$163,InputData!$C$163*BJ29,IF(BJ29&lt;=InputData!$B$164,InputData!$D$163+InputData!$C$164*(BJ29-InputData!$B$163),IF(BJ29&lt;=InputData!$B$165,InputData!$D$164+InputData!$C$165*(BJ29-InputData!$B$164),InputData!$D$165+InputData!$C$166*(BJ29-InputData!$B$165)))))</f>
        <v>0</v>
      </c>
      <c r="BR29" s="43">
        <f t="shared" si="30"/>
        <v>0.32872379303640775</v>
      </c>
      <c r="BS29" s="32">
        <f t="shared" si="31"/>
        <v>308667.16549687873</v>
      </c>
      <c r="BT29" s="32">
        <f t="shared" si="32"/>
        <v>308667.16549687873</v>
      </c>
      <c r="BU29" s="32">
        <f>BT29/((1+InputData!$C$7)^(Ortho!$B29-Ortho!$B$7))</f>
        <v>161091.07894150497</v>
      </c>
      <c r="BV29" s="5">
        <f t="shared" si="107"/>
        <v>2393049.1823844654</v>
      </c>
      <c r="BW29" s="5"/>
      <c r="BX29" s="32" t="s">
        <v>141</v>
      </c>
      <c r="BY29" s="5">
        <f t="shared" si="153"/>
        <v>179738.78115209934</v>
      </c>
      <c r="BZ29" s="32">
        <f>(BY29)*InputData!$C$6</f>
        <v>11161.778309545369</v>
      </c>
      <c r="CA29" s="32">
        <f>MIN($BY$16*InputData!$C$6/(1-(1+InputData!$C$6)^(-25)), BY29+BZ29)</f>
        <v>21686.214673809533</v>
      </c>
      <c r="CB29" s="32">
        <f t="shared" si="154"/>
        <v>169214.34478783517</v>
      </c>
      <c r="CC29" s="32">
        <f>CA29/((1+InputData!$C$3)^(Ortho!$B29-Ortho!$B$7))</f>
        <v>14027.490195214461</v>
      </c>
      <c r="CD29" s="5">
        <f t="shared" si="36"/>
        <v>294639.67530166428</v>
      </c>
      <c r="CE29" s="32">
        <f>CD29/((1+InputData!$C$7)^(Ortho!$B29-Ortho!$B$7))</f>
        <v>153770.23700241852</v>
      </c>
      <c r="CF29" s="5">
        <f t="shared" si="108"/>
        <v>2442430.8395321216</v>
      </c>
      <c r="CG29" s="5"/>
      <c r="CH29" s="32" t="s">
        <v>141</v>
      </c>
      <c r="CI29" s="5" t="e">
        <f t="shared" si="155"/>
        <v>#VALUE!</v>
      </c>
      <c r="CJ29" s="32" t="e">
        <f>(CI29)*InputData!$C$6</f>
        <v>#VALUE!</v>
      </c>
      <c r="CK29" s="5" t="str">
        <f t="shared" si="168"/>
        <v>DNQ</v>
      </c>
      <c r="CL29" s="32" t="e">
        <f t="shared" si="156"/>
        <v>#VALUE!</v>
      </c>
      <c r="CM29" s="32" t="e">
        <f>CK29/((1+InputData!$C$3)^(Ortho!$B29-Ortho!$B$7))</f>
        <v>#VALUE!</v>
      </c>
      <c r="CN29" s="5" t="e">
        <f t="shared" si="40"/>
        <v>#VALUE!</v>
      </c>
      <c r="CO29" s="32" t="e">
        <f>CN29/((1+InputData!$C$7)^(Ortho!$B29-Ortho!$B$7))</f>
        <v>#VALUE!</v>
      </c>
      <c r="CP29" s="5" t="e">
        <f t="shared" si="109"/>
        <v>#VALUE!</v>
      </c>
      <c r="CQ29" s="5"/>
      <c r="CR29" s="32" t="s">
        <v>141</v>
      </c>
      <c r="CS29" s="5" t="e">
        <f t="shared" si="157"/>
        <v>#VALUE!</v>
      </c>
      <c r="CT29" s="32" t="e">
        <f>(CS29)*InputData!$C$6</f>
        <v>#VALUE!</v>
      </c>
      <c r="CU29" s="32" t="str">
        <f t="shared" si="169"/>
        <v>DNQ</v>
      </c>
      <c r="CV29" s="32" t="e">
        <f t="shared" si="158"/>
        <v>#VALUE!</v>
      </c>
      <c r="CW29" s="32" t="e">
        <f>CU29/((1+InputData!$C$3)^(Ortho!$B29-Ortho!$B$7))</f>
        <v>#VALUE!</v>
      </c>
      <c r="CX29" s="5" t="e">
        <f t="shared" si="44"/>
        <v>#VALUE!</v>
      </c>
      <c r="CY29" s="32" t="e">
        <f>CX29/((1+InputData!$C$7)^(Ortho!$B29-Ortho!$B$7))</f>
        <v>#VALUE!</v>
      </c>
      <c r="CZ29" s="5" t="e">
        <f t="shared" si="110"/>
        <v>#VALUE!</v>
      </c>
      <c r="DA29" s="5"/>
      <c r="DB29" s="32" t="s">
        <v>141</v>
      </c>
      <c r="DC29" s="5">
        <f t="shared" si="138"/>
        <v>0</v>
      </c>
      <c r="DD29" s="5">
        <f>DC29*InputData!$C$6</f>
        <v>0</v>
      </c>
      <c r="DE29" s="32">
        <f t="shared" si="139"/>
        <v>0</v>
      </c>
      <c r="DF29" s="32">
        <f t="shared" si="140"/>
        <v>0</v>
      </c>
      <c r="DG29" s="32">
        <f>DE29/((1+InputData!$C$3)^(Ortho!$B29-Ortho!$B$7))</f>
        <v>0</v>
      </c>
      <c r="DH29" s="5">
        <f t="shared" si="48"/>
        <v>308667.16549687873</v>
      </c>
      <c r="DI29" s="32">
        <f>DH29/((1+InputData!$C$7)^(Ortho!$B29-Ortho!$B$7))</f>
        <v>161091.07894150497</v>
      </c>
      <c r="DJ29" s="5">
        <f t="shared" si="111"/>
        <v>2397636.7984868819</v>
      </c>
      <c r="DK29" s="5"/>
      <c r="DL29" s="32" t="s">
        <v>141</v>
      </c>
      <c r="DM29" s="32">
        <f t="shared" si="159"/>
        <v>0</v>
      </c>
      <c r="DN29" s="5">
        <f>DM29*InputData!$C$6</f>
        <v>0</v>
      </c>
      <c r="DO29" s="32">
        <f t="shared" si="160"/>
        <v>0</v>
      </c>
      <c r="DP29" s="32">
        <f t="shared" si="123"/>
        <v>0</v>
      </c>
      <c r="DQ29" s="32">
        <f t="shared" si="124"/>
        <v>0</v>
      </c>
      <c r="DR29" s="32">
        <f>DP29/((1+InputData!$C$3)^(Ortho!$B29-Ortho!$B$7))</f>
        <v>0</v>
      </c>
      <c r="DS29" s="5">
        <f t="shared" si="52"/>
        <v>308667.16549687873</v>
      </c>
      <c r="DT29" s="32">
        <f>DS29/((1+InputData!$C$7)^(Ortho!$B29-Ortho!$B$7))</f>
        <v>161091.07894150497</v>
      </c>
      <c r="DU29" s="5">
        <f t="shared" si="113"/>
        <v>2390728.5568407276</v>
      </c>
      <c r="DV29" s="5"/>
      <c r="DW29" s="32" t="s">
        <v>141</v>
      </c>
      <c r="DX29" s="133">
        <f t="shared" si="141"/>
        <v>0</v>
      </c>
      <c r="DY29" s="5">
        <f>DX29*InputData!$C$6</f>
        <v>0</v>
      </c>
      <c r="DZ29" s="133">
        <f t="shared" si="142"/>
        <v>0</v>
      </c>
      <c r="EA29" s="32">
        <f t="shared" si="143"/>
        <v>0</v>
      </c>
      <c r="EB29" s="32">
        <f t="shared" si="144"/>
        <v>0</v>
      </c>
      <c r="EC29" s="32">
        <f>EA29/((1+InputData!$C$3)^(Ortho!$B29-Ortho!$B$7))</f>
        <v>0</v>
      </c>
      <c r="ED29" s="5">
        <f t="shared" si="56"/>
        <v>308667.16549687873</v>
      </c>
      <c r="EE29" s="32">
        <f>ED29/((1+InputData!$C$7)^(Ortho!$B29-Ortho!$B$7))</f>
        <v>161091.07894150497</v>
      </c>
      <c r="EF29" s="5">
        <f t="shared" si="115"/>
        <v>2391247.8277859334</v>
      </c>
      <c r="EG29" s="32"/>
      <c r="EH29" s="130" t="s">
        <v>141</v>
      </c>
      <c r="EI29" s="32">
        <v>0</v>
      </c>
      <c r="EJ29" s="32">
        <f t="shared" si="173"/>
        <v>0</v>
      </c>
      <c r="EK29" s="32">
        <f>(EJ29)*InputData!$C$6</f>
        <v>0</v>
      </c>
      <c r="EL29" s="32">
        <f t="shared" si="172"/>
        <v>-3.637978807091713E-11</v>
      </c>
      <c r="EM29" s="32">
        <f>EM28*(1+InputData!$C$8)</f>
        <v>17763.306417214866</v>
      </c>
      <c r="EN29" s="32">
        <f t="shared" si="170"/>
        <v>0</v>
      </c>
      <c r="EO29" s="32">
        <f>AW29/((1+InputData!$C$3)^(Ortho!$B29-Ortho!$B$7))</f>
        <v>459821.40033397579</v>
      </c>
      <c r="EP29" s="32">
        <f>AX29/((1+InputData!$C$3)^(Ortho!$B29-Ortho!$B$7))</f>
        <v>0</v>
      </c>
      <c r="EQ29" s="32">
        <v>98171.37</v>
      </c>
      <c r="ER29" s="32">
        <v>10860</v>
      </c>
      <c r="ES29" s="32">
        <v>0</v>
      </c>
      <c r="ET29" s="43">
        <f t="shared" si="129"/>
        <v>0.23711678038649078</v>
      </c>
      <c r="EU29" s="32">
        <f t="shared" si="57"/>
        <v>350790.0303339758</v>
      </c>
      <c r="EV29" s="32">
        <f>EN29/((1+InputData!$C$3)^(Ortho!$B29-Ortho!$B$7))</f>
        <v>0</v>
      </c>
      <c r="EW29" s="32">
        <f t="shared" si="58"/>
        <v>350790.0303339758</v>
      </c>
      <c r="EX29" s="32">
        <f>EW29/((1+InputData!$C$7)^(Ortho!$B29-Ortho!$B$7))</f>
        <v>183074.68621567666</v>
      </c>
      <c r="EY29" s="5">
        <f t="shared" si="117"/>
        <v>2795463.596512544</v>
      </c>
      <c r="EZ29" s="79"/>
      <c r="FA29" s="32">
        <f t="shared" si="161"/>
        <v>0</v>
      </c>
      <c r="FB29" s="32">
        <f>FA29*InputData!$C$6</f>
        <v>0</v>
      </c>
      <c r="FC29" s="32">
        <f t="shared" si="162"/>
        <v>0</v>
      </c>
      <c r="FD29" s="32">
        <f>MIN($EJ$16*InputData!$C$6/(1-(1+InputData!$C$6)^(-10)), FA29+FB29)</f>
        <v>0</v>
      </c>
      <c r="FE29" s="32">
        <f>FD29/((1+InputData!$C$3)^(Ortho!$B29-Ortho!$B$7))</f>
        <v>0</v>
      </c>
      <c r="FF29" s="5">
        <f t="shared" si="62"/>
        <v>350790.0303339758</v>
      </c>
      <c r="FG29" s="32">
        <f>FF29/((1+InputData!$C$7)^(Ortho!$B29-Ortho!$B$7))</f>
        <v>183074.68621567666</v>
      </c>
      <c r="FH29" s="5">
        <f t="shared" si="118"/>
        <v>2795463.596512544</v>
      </c>
      <c r="FI29" s="79"/>
      <c r="FJ29" s="32">
        <f t="shared" si="163"/>
        <v>179603.29189279224</v>
      </c>
      <c r="FK29" s="32">
        <f>FJ29*InputData!$C$6</f>
        <v>11153.364426542399</v>
      </c>
      <c r="FL29" s="32">
        <f t="shared" si="164"/>
        <v>169086.78897549192</v>
      </c>
      <c r="FM29" s="32">
        <f>MIN($EJ$16*InputData!$C$6/(1-(1+InputData!$C$6)^(-25)), FJ29+FK29)</f>
        <v>21669.867343842721</v>
      </c>
      <c r="FN29" s="32">
        <f>FM29/((1+InputData!$C$3)^(Ortho!$B29-Ortho!$B$7))</f>
        <v>14016.916104056711</v>
      </c>
      <c r="FO29" s="5">
        <f t="shared" si="66"/>
        <v>336773.1142299191</v>
      </c>
      <c r="FP29" s="32">
        <f>FO29/((1+InputData!$C$7)^(Ortho!$B29-Ortho!$B$7))</f>
        <v>175759.36281546913</v>
      </c>
      <c r="FQ29" s="5">
        <f t="shared" si="119"/>
        <v>2844808.029171932</v>
      </c>
      <c r="FR29" s="79"/>
      <c r="FS29" s="32">
        <f t="shared" si="165"/>
        <v>0</v>
      </c>
      <c r="FT29" s="32">
        <f>FS29*InputData!$C$6</f>
        <v>0</v>
      </c>
      <c r="FU29" s="32">
        <f t="shared" si="166"/>
        <v>0</v>
      </c>
      <c r="FV29" s="5">
        <f t="shared" si="171"/>
        <v>0</v>
      </c>
      <c r="FW29" s="32">
        <f>FV29/((1+InputData!$C$3)^(Ortho!$B29-Ortho!$B$7))</f>
        <v>0</v>
      </c>
      <c r="FX29" s="5">
        <f t="shared" si="70"/>
        <v>350790.0303339758</v>
      </c>
      <c r="FY29" s="32">
        <f>FX29/((1+InputData!$C$7)^(Ortho!$B29-Ortho!$B$7))</f>
        <v>183074.68621567666</v>
      </c>
      <c r="FZ29" s="5">
        <f t="shared" si="120"/>
        <v>2795463.596512544</v>
      </c>
      <c r="GC29" s="3">
        <f t="shared" si="3"/>
        <v>19</v>
      </c>
      <c r="GD29" s="4" t="str">
        <f t="shared" si="145"/>
        <v>Multi-Year (O6&gt;18= (BP+BAH+BAS+VSP+BCPSP)*12+ASP+ISP+MSP)</v>
      </c>
      <c r="GE29" s="5">
        <f t="shared" si="146"/>
        <v>238064.8</v>
      </c>
      <c r="GF29" s="5">
        <f t="shared" si="147"/>
        <v>21631.199999999997</v>
      </c>
      <c r="GG29" s="5">
        <f t="shared" si="148"/>
        <v>259696</v>
      </c>
      <c r="GH29" s="5">
        <f t="shared" si="149"/>
        <v>191673.30451358127</v>
      </c>
      <c r="GI29" s="5">
        <f t="shared" si="150"/>
        <v>17415.945509769521</v>
      </c>
      <c r="GJ29" s="32">
        <f>IF(GH29-InputData!$C$158-InputData!$C$159&gt;=0,GH29-InputData!$C$158-InputData!$C$159,0)</f>
        <v>191673.30451358127</v>
      </c>
      <c r="GK29" s="32">
        <f>IF(GH29-IF(GH29&lt;=InputData!$C$146,InputData!$C$145,0)-MAX(InputData!$C$144,GQ29)&gt;=0,GH29-IF(GH29&lt;=InputData!$C$146,InputData!$C$145,0)-MAX(InputData!$C$144,GQ29),0)</f>
        <v>185573.30451358127</v>
      </c>
      <c r="GL29" s="32">
        <f>IF(GK29&lt;0,"Error",IF(GK29&lt;=InputData!$B$170,InputData!$C$170*GK29,IF(GK29&lt;=InputData!$B$171,InputData!$D$170+InputData!$C$171*(GK29-InputData!$B$170),IF(GK29&lt;=InputData!$B$172,InputData!$D$171+InputData!$C$172*(GK29-InputData!$B$171),IF(GK29&lt;=InputData!$B$173,InputData!$D$172+InputData!$C$173*(GK29-InputData!$B$172),IF(GK29&lt;=InputData!$B$174,InputData!$D$173+InputData!$C$174*(GK29-InputData!$B$173),IF(GK29&lt;=InputData!$B$175,InputData!$D$174+InputData!$C$175*(GK29-InputData!$B$174),InputData!$D$175+InputData!$C$176*(GK29-InputData!$B$175))))))))</f>
        <v>45369.940489481822</v>
      </c>
      <c r="GM29" s="32">
        <f>IF(GH29&lt;=InputData!$C$150,InputData!$C$152,IF(GH29&lt;InputData!$C$151,IF(InputData!$C$152-0.25*IF(GH29-InputData!$C$150&lt;=0,0,GH29-InputData!$C$150)&lt;=0,0,InputData!$C$152-0.25*IF(GH29-InputData!$C$150&lt;=0,0,GH29-InputData!$C$150)),0))</f>
        <v>32831.673871604682</v>
      </c>
      <c r="GN29" s="32">
        <f>IF(GH29-GM29&lt;=0,0,IF(GH29-GM29&lt;=InputData!$C$153,InputData!$C$154*(GH29-GM29),InputData!$C$155*(GH29-GM29)-InputData!$D$154))</f>
        <v>41298.823966913922</v>
      </c>
      <c r="GO29" s="32">
        <f t="shared" si="71"/>
        <v>45369.940489481822</v>
      </c>
      <c r="GP29" s="32">
        <f>IF(GH29&gt;=0,IF(GH29&lt;=InputData!$C$148,InputData!$C$147*GH29,InputData!$C$147*InputData!$C$148)+InputData!$C$149*GH29,0)</f>
        <v>9828.6629154469283</v>
      </c>
      <c r="GQ29" s="32">
        <f>IF(GJ29&lt;0,0,IF(GJ29&lt;=InputData!$B$163,InputData!$C$163*GJ29,IF(GJ29&lt;=InputData!$B$164,InputData!$D$163+InputData!$C$164*(GJ29-InputData!$B$163),IF(GJ29&lt;=InputData!$B$165,InputData!$D$164+InputData!$C$165*(GJ29-InputData!$B$164),InputData!$D$165+InputData!$C$166*(GJ29-InputData!$B$165)))))</f>
        <v>0</v>
      </c>
      <c r="GR29" s="43">
        <f t="shared" si="72"/>
        <v>0.28798273992828027</v>
      </c>
      <c r="GS29" s="43">
        <f t="shared" si="73"/>
        <v>0.26399541534901599</v>
      </c>
      <c r="GT29" s="5">
        <f t="shared" si="74"/>
        <v>153890.64661842203</v>
      </c>
      <c r="GU29" s="32">
        <f>GT29/((1+InputData!$C$7)^(Ortho!$B29-Ortho!$B$7))</f>
        <v>80314.37442612648</v>
      </c>
      <c r="GV29" s="32">
        <f t="shared" si="75"/>
        <v>1475405.5243788979</v>
      </c>
      <c r="GX29" s="124">
        <f t="shared" si="130"/>
        <v>19</v>
      </c>
      <c r="GY29" s="122" t="str">
        <f t="shared" si="131"/>
        <v>Multi-Year (O6&gt;18= (BP+BAH+BAS+VSP+BCPSP)*12+ASP+ISP+MSP)</v>
      </c>
      <c r="GZ29" s="5">
        <f t="shared" si="132"/>
        <v>238064.8</v>
      </c>
      <c r="HA29" s="5">
        <f t="shared" si="133"/>
        <v>21631.199999999997</v>
      </c>
      <c r="HB29" s="5">
        <f t="shared" si="134"/>
        <v>259696</v>
      </c>
      <c r="HC29" s="5">
        <f t="shared" si="135"/>
        <v>191673.30451358127</v>
      </c>
      <c r="HD29" s="5">
        <f t="shared" si="136"/>
        <v>17415.945509769521</v>
      </c>
      <c r="HE29" s="32">
        <f>IF(HC29-InputData!$C$158-InputData!$C$159&gt;=0,HC29-InputData!$C$158-InputData!$C$159,0)</f>
        <v>191673.30451358127</v>
      </c>
      <c r="HF29" s="32">
        <f>IF(HC29-IF(HC29&lt;=InputData!$C$146,InputData!$C$145,0)-MAX(InputData!$C$144,HL29)&gt;=0,HC29-IF(HC29&lt;=InputData!$C$146,InputData!$C$145,0)-MAX(InputData!$C$144,HL29),0)</f>
        <v>185573.30451358127</v>
      </c>
      <c r="HG29" s="32">
        <f>IF(HF29&lt;0,"Error",IF(HF29&lt;=InputData!$B$170,InputData!$C$170*HF29,IF(HF29&lt;=InputData!$B$171,InputData!$D$170+InputData!$C$171*(HF29-InputData!$B$170),IF(HF29&lt;=InputData!$B$172,InputData!$D$171+InputData!$C$172*(HF29-InputData!$B$171),IF(HF29&lt;=InputData!$B$173,InputData!$D$172+InputData!$C$173*(HF29-InputData!$B$172),IF(HF29&lt;=InputData!$B$174,InputData!$D$173+InputData!$C$174*(HF29-InputData!$B$173),IF(HF29&lt;=InputData!$B$175,InputData!$D$174+InputData!$C$175*(HF29-InputData!$B$174),InputData!$D$175+InputData!$C$176*(HF29-InputData!$B$175))))))))</f>
        <v>45369.940489481822</v>
      </c>
      <c r="HH29" s="32">
        <f>IF(HC29&lt;=InputData!$C$150,InputData!$C$152,IF(HC29&lt;InputData!$C$151,IF(InputData!$C$152-0.25*IF(HC29-InputData!$C$150&lt;=0,0,HC29-InputData!$C$150)&lt;=0,0,InputData!$C$152-0.25*IF(HC29-InputData!$C$150&lt;=0,0,HC29-InputData!$C$150)),0))</f>
        <v>32831.673871604682</v>
      </c>
      <c r="HI29" s="32">
        <f>IF(HC29-HH29&lt;=0,0,IF(HC29-HH29&lt;=InputData!$C$153,InputData!$C$154*(HC29-HH29),InputData!$C$155*(HC29-HH29)-InputData!$D$154))</f>
        <v>41298.823966913922</v>
      </c>
      <c r="HJ29" s="32">
        <f t="shared" si="76"/>
        <v>45369.940489481822</v>
      </c>
      <c r="HK29" s="32">
        <f>IF(HC29&gt;=0,IF(HC29&lt;=InputData!$C$148,InputData!$C$147*HC29,InputData!$C$147*InputData!$C$148)+InputData!$C$149*HC29,0)</f>
        <v>9828.6629154469283</v>
      </c>
      <c r="HL29" s="32">
        <f>IF(HE29&lt;0,0,IF(HE29&lt;=InputData!$B$163,InputData!$C$163*HE29,IF(HE29&lt;=InputData!$B$164,InputData!$D$163+InputData!$C$164*(HE29-InputData!$B$163),IF(HE29&lt;=InputData!$B$165,InputData!$D$164+InputData!$C$165*(HE29-InputData!$B$164),InputData!$D$165+InputData!$C$166*(HE29-InputData!$B$165)))))</f>
        <v>0</v>
      </c>
      <c r="HM29" s="43">
        <f t="shared" si="77"/>
        <v>0.28798273992828027</v>
      </c>
      <c r="HN29" s="43">
        <f t="shared" si="78"/>
        <v>0.26399541534901599</v>
      </c>
      <c r="HO29" s="5">
        <f t="shared" si="79"/>
        <v>153890.64661842203</v>
      </c>
      <c r="HP29" s="32">
        <f>HO29/((1+InputData!$C$7)^(Ortho!$B29-Ortho!$B$7))</f>
        <v>80314.37442612648</v>
      </c>
      <c r="HQ29" s="32">
        <f t="shared" si="80"/>
        <v>1500773.4525789071</v>
      </c>
      <c r="HS29" s="227"/>
      <c r="HT29" s="53" t="s">
        <v>109</v>
      </c>
      <c r="HU29" s="32">
        <f>MIN(InputData!$C$13+InputData!$E$13*($B29-$B$23),1)*Ortho!AW29</f>
        <v>639787.08339362149</v>
      </c>
      <c r="HV29" s="32">
        <f>MIN(InputData!$C$13+InputData!$E$13*($B29-$B$23),1)*Ortho!AX29</f>
        <v>0</v>
      </c>
      <c r="HW29" s="32">
        <f>MIN(InputData!$C$13+InputData!$E$13*($B29-$B$23),1)*Ortho!AY29</f>
        <v>639787.08339362149</v>
      </c>
      <c r="HX29" s="32">
        <f>MIN(InputData!$C$13+InputData!$E$13*($B29-$B$23),1)*Ortho!EO29</f>
        <v>413839.2603005782</v>
      </c>
      <c r="HY29" s="32">
        <f>MIN(InputData!$C$13+InputData!$E$13*($B29-$B$23),1)*Ortho!EP29</f>
        <v>0</v>
      </c>
      <c r="HZ29" s="32">
        <f>IF(HX29-InputData!$C$158-InputData!$C$159&gt;=0,HX29-InputData!$C$158-InputData!$C$159,0)</f>
        <v>413839.2603005782</v>
      </c>
      <c r="IA29" s="32">
        <f>IF(HX29-IF(HX29&lt;=InputData!$C$146,InputData!$C$145,0)-MAX(InputData!$C$144,IG29)&gt;=0,HX29-IF(HX29&lt;=InputData!$C$146,InputData!$C$145,0)-MAX(InputData!$C$144,IG29),0)</f>
        <v>407739.2603005782</v>
      </c>
      <c r="IB29" s="32">
        <f>IF(IA29&lt;0,"Error",IF(IA29&lt;=InputData!$B$170,InputData!$C$170*IA29,IF(IA29&lt;=InputData!$B$171,InputData!$D$170+InputData!$C$171*(IA29-InputData!$B$170),IF(IA29&lt;=InputData!$B$172,InputData!$D$171+InputData!$C$172*(IA29-InputData!$B$171),IF(IA29&lt;=InputData!$B$173,InputData!$D$172+InputData!$C$173*(IA29-InputData!$B$172),IF(IA29&lt;=InputData!$B$174,InputData!$D$173+InputData!$C$174*(IA29-InputData!$B$173),IF(IA29&lt;=InputData!$B$175,InputData!$D$174+InputData!$C$175*(IA29-InputData!$B$174),InputData!$D$175+InputData!$C$176*(IA29-InputData!$B$175))))))))</f>
        <v>119228.49707902897</v>
      </c>
      <c r="IC29" s="32">
        <f>IF(HX29&lt;=InputData!$C$150,InputData!$C$152,IF(HX29&lt;InputData!$C$151,IF(InputData!$C$152-0.25*IF(HX29-InputData!$C$150&lt;=0,0,HX29-InputData!$C$150)&lt;=0,0,InputData!$C$152-0.25*IF(HX29-InputData!$C$150&lt;=0,0,HX29-InputData!$C$150)),0))</f>
        <v>0</v>
      </c>
      <c r="ID29" s="32">
        <f>IF(HX29-IC29&lt;=0,0,IF(HX29-IC29&lt;=InputData!$C$153,InputData!$C$154*(HX29-IC29),InputData!$C$155*(HX29-IC29)-InputData!$D$154))</f>
        <v>112284.99288416191</v>
      </c>
      <c r="IE29" s="32">
        <f t="shared" si="88"/>
        <v>119228.49707902897</v>
      </c>
      <c r="IF29" s="32">
        <f>IF(HX29&gt;=0,IF(HX29&lt;=InputData!$C$148,InputData!$C$147*HX29,InputData!$C$147*InputData!$C$148)+InputData!$C$149*HX29,0)</f>
        <v>13050.069274358384</v>
      </c>
      <c r="IG29" s="32">
        <f>IF(HZ29&lt;0,0,IF(HZ29&lt;=InputData!$B$163,InputData!$C$163*HZ29,IF(HZ29&lt;=InputData!$B$164,InputData!$D$163+InputData!$C$164*(HZ29-InputData!$B$163),IF(HZ29&lt;=InputData!$B$165,InputData!$D$164+InputData!$C$165*(HZ29-InputData!$B$164),InputData!$D$165+InputData!$C$166*(HZ29-InputData!$B$165)))))</f>
        <v>0</v>
      </c>
      <c r="IH29" s="43">
        <f t="shared" si="89"/>
        <v>0.31963754781823084</v>
      </c>
      <c r="II29" s="43">
        <f t="shared" si="90"/>
        <v>0.31963754781823084</v>
      </c>
      <c r="IJ29" s="5">
        <f t="shared" si="91"/>
        <v>281560.69394719083</v>
      </c>
      <c r="IK29" s="32">
        <f>IJ29/((1+InputData!$C$7)^(Ortho!$B29-Ortho!$B$7))</f>
        <v>146944.41471433567</v>
      </c>
      <c r="IL29" s="5">
        <f t="shared" si="92"/>
        <v>1977597.0243940295</v>
      </c>
      <c r="IN29" s="227"/>
      <c r="IO29" s="53" t="s">
        <v>109</v>
      </c>
      <c r="IP29" s="32">
        <f>MIN(InputData!$C$13+InputData!$E$13*($B29-$B$20),1)*Ortho!AW29</f>
        <v>639787.08339362149</v>
      </c>
      <c r="IQ29" s="32">
        <f>MIN(InputData!$C$13+InputData!$E$13*($B29-$B$20),1)*Ortho!AX29</f>
        <v>0</v>
      </c>
      <c r="IR29" s="32">
        <f>MIN(InputData!$C$13+InputData!$E$13*($B29-$B$20),1)*Ortho!AY29</f>
        <v>639787.08339362149</v>
      </c>
      <c r="IS29" s="32">
        <f>MIN(InputData!$C$13+InputData!$E$13*($B29-$B$20),1)*Ortho!EO29</f>
        <v>413839.2603005782</v>
      </c>
      <c r="IT29" s="32">
        <f>MIN(InputData!$C$13+InputData!$E$13*($B29-$B$20),1)*Ortho!EP29</f>
        <v>0</v>
      </c>
      <c r="IU29" s="32">
        <f>IF(IS29-InputData!$C$158-InputData!$C$159&gt;=0,IS29-InputData!$C$158-InputData!$C$159,0)</f>
        <v>413839.2603005782</v>
      </c>
      <c r="IV29" s="32">
        <f>IF(IS29-IF(IS29&lt;=InputData!$C$146,InputData!$C$145,0)-MAX(InputData!$C$144,JB29)&gt;=0,IS29-IF(IS29&lt;=InputData!$C$146,InputData!$C$145,0)-MAX(InputData!$C$144,JB29),0)</f>
        <v>407739.2603005782</v>
      </c>
      <c r="IW29" s="32">
        <f>IF(IV29&lt;0,"Error",IF(IV29&lt;=InputData!$B$170,InputData!$C$170*IV29,IF(IV29&lt;=InputData!$B$171,InputData!$D$170+InputData!$C$171*(IV29-InputData!$B$170),IF(IV29&lt;=InputData!$B$172,InputData!$D$171+InputData!$C$172*(IV29-InputData!$B$171),IF(IV29&lt;=InputData!$B$173,InputData!$D$172+InputData!$C$173*(IV29-InputData!$B$172),IF(IV29&lt;=InputData!$B$174,InputData!$D$173+InputData!$C$174*(IV29-InputData!$B$173),IF(IV29&lt;=InputData!$B$175,InputData!$D$174+InputData!$C$175*(IV29-InputData!$B$174),InputData!$D$175+InputData!$C$176*(IV29-InputData!$B$175))))))))</f>
        <v>119228.49707902897</v>
      </c>
      <c r="IX29" s="32">
        <f>IF(IS29&lt;=InputData!$C$150,InputData!$C$152,IF(IS29&lt;InputData!$C$151,IF(InputData!$C$152-0.25*IF(IS29-InputData!$C$150&lt;=0,0,IS29-InputData!$C$150)&lt;=0,0,InputData!$C$152-0.25*IF(IS29-InputData!$C$150&lt;=0,0,IS29-InputData!$C$150)),0))</f>
        <v>0</v>
      </c>
      <c r="IY29" s="32">
        <f>IF(IS29-IX29&lt;=0,0,IF(IS29-IX29&lt;=InputData!$C$153,InputData!$C$154*(IS29-IX29),InputData!$C$155*(IS29-IX29)-InputData!$D$154))</f>
        <v>112284.99288416191</v>
      </c>
      <c r="IZ29" s="32">
        <f t="shared" si="95"/>
        <v>119228.49707902897</v>
      </c>
      <c r="JA29" s="32">
        <f>IF(IS29&gt;=0,IF(IS29&lt;=InputData!$C$148,InputData!$C$147*IS29,InputData!$C$147*InputData!$C$148)+InputData!$C$149*IS29,0)</f>
        <v>13050.069274358384</v>
      </c>
      <c r="JB29" s="32">
        <f>IF(IU29&lt;0,0,IF(IU29&lt;=InputData!$B$163,InputData!$C$163*IU29,IF(IU29&lt;=InputData!$B$164,InputData!$D$163+InputData!$C$164*(IU29-InputData!$B$163),IF(IU29&lt;=InputData!$B$165,InputData!$D$164+InputData!$C$165*(IU29-InputData!$B$164),InputData!$D$165+InputData!$C$166*(IU29-InputData!$B$165)))))</f>
        <v>0</v>
      </c>
      <c r="JC29" s="43">
        <f t="shared" si="96"/>
        <v>0.31963754781823084</v>
      </c>
      <c r="JD29" s="43">
        <f t="shared" si="97"/>
        <v>0.31963754781823084</v>
      </c>
      <c r="JE29" s="5">
        <f t="shared" si="98"/>
        <v>281560.69394719083</v>
      </c>
      <c r="JF29" s="32">
        <f>JE29/((1+InputData!$C$7)^(Ortho!$B29-Ortho!$B$7))</f>
        <v>146944.41471433567</v>
      </c>
      <c r="JG29" s="5">
        <f t="shared" si="99"/>
        <v>2232588.7157207374</v>
      </c>
      <c r="JI29" s="41" t="str">
        <f t="shared" si="13"/>
        <v>Private Practice</v>
      </c>
      <c r="JJ29" s="5">
        <f t="shared" si="14"/>
        <v>710874.53710402385</v>
      </c>
      <c r="JK29" s="32">
        <v>0</v>
      </c>
      <c r="JL29" s="32">
        <f t="shared" si="101"/>
        <v>710874.53710402385</v>
      </c>
      <c r="JM29" s="32">
        <f>JM28*(1+InputData!$C$8)</f>
        <v>17763.306417214866</v>
      </c>
      <c r="JN29" s="32">
        <f>JJ29/((1+InputData!$C$3)^(Ortho!$B29-Ortho!$B$7))</f>
        <v>459821.40033397579</v>
      </c>
      <c r="JO29" s="32">
        <f>JK29/((1+InputData!$C$3)^(Ortho!$B29-Ortho!$B$7))</f>
        <v>0</v>
      </c>
      <c r="JP29" s="32" t="s">
        <v>141</v>
      </c>
      <c r="JQ29" s="32">
        <v>0</v>
      </c>
      <c r="JR29" s="32">
        <f t="shared" si="167"/>
        <v>0</v>
      </c>
      <c r="JS29" s="32">
        <f>(JR29)*InputData!$C$6</f>
        <v>0</v>
      </c>
      <c r="JT29" s="32">
        <f>MIN($BE$16*InputData!$C$6/(1-(1+InputData!$C$6)^(-10)), JR29+JS29)</f>
        <v>0</v>
      </c>
      <c r="JU29" s="32">
        <f t="shared" si="151"/>
        <v>0</v>
      </c>
      <c r="JV29" s="32">
        <f>JT29/((1+InputData!$C$3)^(Ortho!$B29-Ortho!$B$7))</f>
        <v>0</v>
      </c>
      <c r="JW29" s="32">
        <f>IF(JN29-InputData!$C$158-InputData!$C$159&gt;=0,JN29-InputData!$C$158-InputData!$C$159,0)</f>
        <v>459821.40033397579</v>
      </c>
      <c r="JX29" s="32">
        <f>IF(JN29-IF(JN29&lt;=InputData!$C$146,InputData!$C$145,0)-MAX(InputData!$C$144,KD29)&gt;=0,JN29-IF(JN29&lt;=InputData!$C$146,InputData!$C$145,0)-MAX(InputData!$C$144,KD29),0)</f>
        <v>453721.40033397579</v>
      </c>
      <c r="JY29" s="32">
        <f>IF(JX29&lt;0,"Error",IF(JX29&lt;=InputData!$B$170,InputData!$C$170*JX29,IF(JX29&lt;=InputData!$B$171,InputData!$D$170+InputData!$C$171*(JX29-InputData!$B$170),IF(JX29&lt;=InputData!$B$172,InputData!$D$171+InputData!$C$172*(JX29-InputData!$B$171),IF(JX29&lt;=InputData!$B$173,InputData!$D$172+InputData!$C$173*(JX29-InputData!$B$172),IF(JX29&lt;=InputData!$B$174,InputData!$D$173+InputData!$C$174*(JX29-InputData!$B$173),IF(JX29&lt;=InputData!$B$175,InputData!$D$174+InputData!$C$175*(JX29-InputData!$B$174),InputData!$D$175+InputData!$C$176*(JX29-InputData!$B$175))))))))</f>
        <v>137437.4245322544</v>
      </c>
      <c r="JZ29" s="32">
        <f>IF(JN29&lt;=InputData!$C$150,InputData!$C$152,IF(JN29&lt;InputData!$C$151,IF(InputData!$C$152-0.25*IF(JN29-InputData!$C$150&lt;=0,0,JN29-InputData!$C$150)&lt;=0,0,InputData!$C$152-0.25*IF(JN29-InputData!$C$150&lt;=0,0,JN29-InputData!$C$150)),0))</f>
        <v>0</v>
      </c>
      <c r="KA29" s="32">
        <f>IF(JN29-JZ29&lt;=0,0,IF(JN29-JZ29&lt;=InputData!$C$153,InputData!$C$154*(JN29-JZ29),InputData!$C$155*(JN29-JZ29)-InputData!$D$154))</f>
        <v>125159.99209351324</v>
      </c>
      <c r="KB29" s="32">
        <f t="shared" si="102"/>
        <v>137437.4245322544</v>
      </c>
      <c r="KC29" s="32">
        <f>IF(JN29&gt;=0,IF(JN29&lt;=InputData!$C$148,InputData!$C$147*JN29,InputData!$C$147*InputData!$C$148)+InputData!$C$149*JN29,0)</f>
        <v>13716.810304842649</v>
      </c>
      <c r="KD29" s="32">
        <f>IF(JW29&lt;0,0,IF(JW29&lt;=InputData!$B$163,InputData!$C$163*JW29,IF(JW29&lt;=InputData!$B$164,InputData!$D$163+InputData!$C$164*(JW29-InputData!$B$163),IF(JW29&lt;=InputData!$B$165,InputData!$D$164+InputData!$C$165*(JW29-InputData!$B$164),InputData!$D$165+InputData!$C$166*(JW29-InputData!$B$165)))))</f>
        <v>0</v>
      </c>
      <c r="KE29" s="43">
        <f t="shared" si="15"/>
        <v>0.32872379303640775</v>
      </c>
      <c r="KF29" s="32">
        <f t="shared" si="16"/>
        <v>308667.16549687873</v>
      </c>
      <c r="KG29" s="32">
        <f t="shared" si="103"/>
        <v>308667.16549687873</v>
      </c>
      <c r="KH29" s="32">
        <f>KG29/((1+InputData!$C$7)^(Ortho!$B29-Ortho!$B$7))</f>
        <v>161091.07894150497</v>
      </c>
      <c r="KI29" s="5">
        <f t="shared" si="122"/>
        <v>2777375.5749312062</v>
      </c>
    </row>
    <row r="30" spans="1:295" x14ac:dyDescent="0.25">
      <c r="A30" s="4">
        <v>2036</v>
      </c>
      <c r="B30" s="51">
        <v>24</v>
      </c>
      <c r="C30" s="4"/>
      <c r="D30" s="45">
        <v>20</v>
      </c>
      <c r="E30" s="97" t="s">
        <v>266</v>
      </c>
      <c r="F30" s="5">
        <f>InputData!$M$21*12</f>
        <v>109072.79999999999</v>
      </c>
      <c r="G30" s="32">
        <f>(InputData!$M$21+InputData!$J$45+InputData!$G$50)*12+InputData!$J$50+InputData!$D$61+InputData!$J$61</f>
        <v>238064.8</v>
      </c>
      <c r="H30" s="32">
        <f>(InputData!$C$32+InputData!$C$40)*12</f>
        <v>21631.199999999997</v>
      </c>
      <c r="I30" s="32">
        <f t="shared" si="17"/>
        <v>259696</v>
      </c>
      <c r="J30" s="5">
        <f>G30*((1+InputData!$C$5)/(1+InputData!$C$3))^(Ortho!$B30-Ortho!$B$7)</f>
        <v>189794.1544693305</v>
      </c>
      <c r="K30" s="5">
        <f>H30*((1+InputData!$C$5)/(1+InputData!$C$3))^(Ortho!$B30-Ortho!$B$7)</f>
        <v>17245.200945948251</v>
      </c>
      <c r="L30" s="32">
        <f>IF(J30-InputData!$C$158-InputData!$C$159&gt;=0,J30-InputData!$C$158-InputData!$C$159,0)</f>
        <v>189794.1544693305</v>
      </c>
      <c r="M30" s="32">
        <f>IF(J30-IF(J30&lt;=InputData!$C$146,InputData!$C$145,0)-MAX(InputData!$C$144,S30)&gt;=0,J30-IF(J30&lt;=InputData!$C$146,InputData!$C$145,0)-MAX(InputData!$C$144,S30),0)</f>
        <v>183694.1544693305</v>
      </c>
      <c r="N30" s="32">
        <f>IF(M30&lt;0,"Error",IF(M30&lt;=InputData!$B$170,InputData!$C$170*M30,IF(M30&lt;=InputData!$B$171,InputData!$D$170+InputData!$C$171*(M30-InputData!$B$170),IF(M30&lt;=InputData!$B$172,InputData!$D$171+InputData!$C$172*(M30-InputData!$B$171),IF(M30&lt;=InputData!$B$173,InputData!$D$172+InputData!$C$173*(M30-InputData!$B$172),IF(M30&lt;=InputData!$B$174,InputData!$D$173+InputData!$C$174*(M30-InputData!$B$173),IF(M30&lt;=InputData!$B$175,InputData!$D$174+InputData!$C$175*(M30-InputData!$B$174),InputData!$D$175+InputData!$C$176*(M30-InputData!$B$175))))))))</f>
        <v>44749.820974879069</v>
      </c>
      <c r="O30" s="32">
        <f>IF(J30&lt;=InputData!$C$150,InputData!$C$152,IF(J30&lt;InputData!$C$151,IF(InputData!$C$152-0.25*IF(J30-InputData!$C$150&lt;=0,0,J30-InputData!$C$150)&lt;=0,0,InputData!$C$152-0.25*IF(J30-InputData!$C$150&lt;=0,0,J30-InputData!$C$150)),0))</f>
        <v>33301.461382667374</v>
      </c>
      <c r="P30" s="32">
        <f>IF(J30-O30&lt;=0,0,IF(J30-O30&lt;=InputData!$C$153,InputData!$C$154*(J30-O30),InputData!$C$155*(J30-O30)-InputData!$D$154))</f>
        <v>40688.10020253242</v>
      </c>
      <c r="Q30" s="32">
        <f t="shared" si="18"/>
        <v>44749.820974879069</v>
      </c>
      <c r="R30" s="32">
        <f>IF(J30&gt;=0,IF(J30&lt;=InputData!$C$148,InputData!$C$147*J30,InputData!$C$147*InputData!$C$148)+InputData!$C$149*J30,0)</f>
        <v>9801.415239805292</v>
      </c>
      <c r="S30" s="32">
        <f>IF(L30&lt;0,0,IF(L30&lt;=InputData!$B$163,InputData!$C$163*L30,IF(L30&lt;=InputData!$B$164,InputData!$D$163+InputData!$C$164*(L30-InputData!$B$163),IF(L30&lt;=InputData!$B$165,InputData!$D$164+InputData!$C$165*(L30-InputData!$B$164),InputData!$D$165+InputData!$C$166*(L30-InputData!$B$165)))))</f>
        <v>0</v>
      </c>
      <c r="T30" s="43">
        <f t="shared" si="19"/>
        <v>0.28742316309588706</v>
      </c>
      <c r="U30" s="43">
        <f t="shared" si="20"/>
        <v>0.26348244808464411</v>
      </c>
      <c r="V30" s="5">
        <f t="shared" si="21"/>
        <v>152488.11920059437</v>
      </c>
      <c r="W30" s="32">
        <f>V30/((1+InputData!$C$7)^(Ortho!$B30-Ortho!$B$7))</f>
        <v>77264.471732504855</v>
      </c>
      <c r="X30" s="5">
        <f t="shared" si="104"/>
        <v>1552669.9961114028</v>
      </c>
      <c r="Y30" s="53"/>
      <c r="Z30" s="45">
        <v>20</v>
      </c>
      <c r="AA30" s="97" t="s">
        <v>266</v>
      </c>
      <c r="AB30" s="5">
        <f t="shared" si="126"/>
        <v>109072.79999999999</v>
      </c>
      <c r="AC30" s="32">
        <f t="shared" si="175"/>
        <v>238064.8</v>
      </c>
      <c r="AD30" s="32">
        <f t="shared" si="174"/>
        <v>21631.199999999997</v>
      </c>
      <c r="AE30" s="32">
        <f t="shared" si="22"/>
        <v>259696</v>
      </c>
      <c r="AF30" s="5">
        <f>AC30*((1+InputData!$C$5)/(1+InputData!$C$3))^(Ortho!$B30-Ortho!$B$7)</f>
        <v>189794.1544693305</v>
      </c>
      <c r="AG30" s="5">
        <f>AD30*((1+InputData!$C$5)/(1+InputData!$C$3))^(Ortho!$B30-Ortho!$B$7)</f>
        <v>17245.200945948251</v>
      </c>
      <c r="AH30" s="32">
        <f>IF(AF30-InputData!$C$158-InputData!$C$159&gt;=0,AF30-InputData!$C$158-InputData!$C$159,0)</f>
        <v>189794.1544693305</v>
      </c>
      <c r="AI30" s="32">
        <f>IF(AF30-IF(AF30&lt;=InputData!$C$146,InputData!$C$145,0)-MAX(InputData!$C$144,AO30)&gt;=0,AF30-IF(AF30&lt;=InputData!$C$146,InputData!$C$145,0)-MAX(InputData!$C$144,AO30),0)</f>
        <v>183694.1544693305</v>
      </c>
      <c r="AJ30" s="32">
        <f>IF(AI30&lt;0,"Error",IF(AI30&lt;=InputData!$B$170,InputData!$C$170*AI30,IF(AI30&lt;=InputData!$B$171,InputData!$D$170+InputData!$C$171*(AI30-InputData!$B$170),IF(AI30&lt;=InputData!$B$172,InputData!$D$171+InputData!$C$172*(AI30-InputData!$B$171),IF(AI30&lt;=InputData!$B$173,InputData!$D$172+InputData!$C$173*(AI30-InputData!$B$172),IF(AI30&lt;=InputData!$B$174,InputData!$D$173+InputData!$C$174*(AI30-InputData!$B$173),IF(AI30&lt;=InputData!$B$175,InputData!$D$174+InputData!$C$175*(AI30-InputData!$B$174),InputData!$D$175+InputData!$C$176*(AI30-InputData!$B$175))))))))</f>
        <v>44749.820974879069</v>
      </c>
      <c r="AK30" s="32">
        <f>IF(AF30&lt;=InputData!$C$150,InputData!$C$152,IF(AF30&lt;InputData!$C$151,IF(InputData!$C$152-0.25*IF(AF30-InputData!$C$150&lt;=0,0,AF30-InputData!$C$150)&lt;=0,0,InputData!$C$152-0.25*IF(AF30-InputData!$C$150&lt;=0,0,AF30-InputData!$C$150)),0))</f>
        <v>33301.461382667374</v>
      </c>
      <c r="AL30" s="32">
        <f>IF(AF30-AK30&lt;=0,0,IF(AF30-AK30&lt;=InputData!$C$153,InputData!$C$154*(AF30-AK30),InputData!$C$155*(AF30-AK30)-InputData!$D$154))</f>
        <v>40688.10020253242</v>
      </c>
      <c r="AM30" s="32">
        <f t="shared" si="23"/>
        <v>44749.820974879069</v>
      </c>
      <c r="AN30" s="32">
        <f>IF(AF30&gt;=0,IF(AF30&lt;=InputData!$C$148,InputData!$C$147*AF30,InputData!$C$147*InputData!$C$148)+InputData!$C$149*AF30,0)</f>
        <v>9801.415239805292</v>
      </c>
      <c r="AO30" s="32">
        <f>IF(AH30&lt;0,0,IF(AH30&lt;=InputData!$B$163,InputData!$C$163*AH30,IF(AH30&lt;=InputData!$B$164,InputData!$D$163+InputData!$C$164*(AH30-InputData!$B$163),IF(AH30&lt;=InputData!$B$165,InputData!$D$164+InputData!$C$165*(AH30-InputData!$B$164),InputData!$D$165+InputData!$C$166*(AH30-InputData!$B$165)))))</f>
        <v>0</v>
      </c>
      <c r="AP30" s="43">
        <f t="shared" si="24"/>
        <v>0.28742316309588706</v>
      </c>
      <c r="AQ30" s="43">
        <f t="shared" si="25"/>
        <v>0.26348244808464411</v>
      </c>
      <c r="AR30" s="5">
        <f t="shared" si="26"/>
        <v>152488.11920059437</v>
      </c>
      <c r="AS30" s="32">
        <f>AR30/((1+InputData!$C$7)^(Ortho!$B30-Ortho!$B$7))</f>
        <v>77264.471732504855</v>
      </c>
      <c r="AT30" s="5">
        <f t="shared" si="105"/>
        <v>1578037.924311412</v>
      </c>
      <c r="AU30" s="53"/>
      <c r="AV30" s="41" t="s">
        <v>109</v>
      </c>
      <c r="AW30" s="32">
        <f>$AW$17*(1+InputData!$C$3+InputData!$C$4)^(Ortho!$B30-Ortho!$B$17)</f>
        <v>732200.77321714454</v>
      </c>
      <c r="AX30" s="32">
        <v>0</v>
      </c>
      <c r="AY30" s="32">
        <f t="shared" si="28"/>
        <v>732200.77321714454</v>
      </c>
      <c r="AZ30" s="32">
        <f>AZ29*(1+InputData!$C$8)</f>
        <v>18118.572545559164</v>
      </c>
      <c r="BA30" s="32">
        <f>AW30/((1+InputData!$C$3)^(Ortho!$B30-Ortho!$B$7))</f>
        <v>464329.4532784266</v>
      </c>
      <c r="BB30" s="32">
        <f>AX30/((1+InputData!$C$3)^(Ortho!$B30-Ortho!$B$7))</f>
        <v>0</v>
      </c>
      <c r="BC30" s="32" t="s">
        <v>141</v>
      </c>
      <c r="BD30" s="32">
        <v>0</v>
      </c>
      <c r="BE30" s="32">
        <f t="shared" si="152"/>
        <v>0</v>
      </c>
      <c r="BF30" s="32">
        <f>(BE30)*InputData!$C$6</f>
        <v>0</v>
      </c>
      <c r="BG30" s="32">
        <f>MIN($BE$16*InputData!$C$6/(1-(1+InputData!$C$6)^(-10)), BE30+BF30)</f>
        <v>0</v>
      </c>
      <c r="BH30" s="32">
        <f t="shared" si="137"/>
        <v>0</v>
      </c>
      <c r="BI30" s="32">
        <f>BG30/((1+InputData!$C$3)^(Ortho!$B30-Ortho!$B$7))</f>
        <v>0</v>
      </c>
      <c r="BJ30" s="32">
        <f>IF(BA30-InputData!$C$158-InputData!$C$159&gt;=0,BA30-InputData!$C$158-InputData!$C$159,0)</f>
        <v>464329.4532784266</v>
      </c>
      <c r="BK30" s="32">
        <f>IF(BA30-IF(BA30&lt;=InputData!$C$146,InputData!$C$145,0)-MAX(InputData!$C$144,BQ30)&gt;=0,BA30-IF(BA30&lt;=InputData!$C$146,InputData!$C$145,0)-MAX(InputData!$C$144,BQ30),0)</f>
        <v>458229.4532784266</v>
      </c>
      <c r="BL30" s="32">
        <f>IF(BK30&lt;0,"Error",IF(BK30&lt;=InputData!$B$170,InputData!$C$170*BK30,IF(BK30&lt;=InputData!$B$171,InputData!$D$170+InputData!$C$171*(BK30-InputData!$B$170),IF(BK30&lt;=InputData!$B$172,InputData!$D$171+InputData!$C$172*(BK30-InputData!$B$171),IF(BK30&lt;=InputData!$B$173,InputData!$D$172+InputData!$C$173*(BK30-InputData!$B$172),IF(BK30&lt;=InputData!$B$174,InputData!$D$173+InputData!$C$174*(BK30-InputData!$B$173),IF(BK30&lt;=InputData!$B$175,InputData!$D$174+InputData!$C$175*(BK30-InputData!$B$174),InputData!$D$175+InputData!$C$176*(BK30-InputData!$B$175))))))))</f>
        <v>139222.61349825695</v>
      </c>
      <c r="BM30" s="32">
        <f>IF(BA30&lt;=InputData!$C$150,InputData!$C$152,IF(BA30&lt;InputData!$C$151,IF(InputData!$C$152-0.25*IF(BA30-InputData!$C$150&lt;=0,0,BA30-InputData!$C$150)&lt;=0,0,InputData!$C$152-0.25*IF(BA30-InputData!$C$150&lt;=0,0,BA30-InputData!$C$150)),0))</f>
        <v>0</v>
      </c>
      <c r="BN30" s="32">
        <f>IF(BA30-BM30&lt;=0,0,IF(BA30-BM30&lt;=InputData!$C$153,InputData!$C$154*(BA30-BM30),InputData!$C$155*(BA30-BM30)-InputData!$D$154))</f>
        <v>126422.24691795946</v>
      </c>
      <c r="BO30" s="32">
        <f t="shared" si="29"/>
        <v>139222.61349825695</v>
      </c>
      <c r="BP30" s="32">
        <f>IF(BA30&gt;=0,IF(BA30&lt;=InputData!$C$148,InputData!$C$147*BA30,InputData!$C$147*InputData!$C$148)+InputData!$C$149*BA30,0)</f>
        <v>13782.177072537186</v>
      </c>
      <c r="BQ30" s="32">
        <f>IF(BJ30&lt;0,0,IF(BJ30&lt;=InputData!$B$163,InputData!$C$163*BJ30,IF(BJ30&lt;=InputData!$B$164,InputData!$D$163+InputData!$C$164*(BJ30-InputData!$B$163),IF(BJ30&lt;=InputData!$B$165,InputData!$D$164+InputData!$C$165*(BJ30-InputData!$B$164),InputData!$D$165+InputData!$C$166*(BJ30-InputData!$B$165)))))</f>
        <v>0</v>
      </c>
      <c r="BR30" s="43">
        <f t="shared" si="30"/>
        <v>0.3295177367933359</v>
      </c>
      <c r="BS30" s="32">
        <f t="shared" si="31"/>
        <v>311324.66270763247</v>
      </c>
      <c r="BT30" s="32">
        <f t="shared" si="32"/>
        <v>311324.66270763247</v>
      </c>
      <c r="BU30" s="32">
        <f>BT30/((1+InputData!$C$7)^(Ortho!$B30-Ortho!$B$7))</f>
        <v>157745.63767661524</v>
      </c>
      <c r="BV30" s="5">
        <f t="shared" si="107"/>
        <v>2550794.8200610806</v>
      </c>
      <c r="BW30" s="5"/>
      <c r="BX30" s="32" t="s">
        <v>141</v>
      </c>
      <c r="BY30" s="5">
        <f t="shared" si="153"/>
        <v>169214.34478783517</v>
      </c>
      <c r="BZ30" s="32">
        <f>(BY30)*InputData!$C$6</f>
        <v>10508.210811324565</v>
      </c>
      <c r="CA30" s="32">
        <f>MIN($BY$16*InputData!$C$6/(1-(1+InputData!$C$6)^(-25)), BY30+BZ30)</f>
        <v>21686.214673809533</v>
      </c>
      <c r="CB30" s="32">
        <f t="shared" si="154"/>
        <v>158036.3409253502</v>
      </c>
      <c r="CC30" s="32">
        <f>CA30/((1+InputData!$C$3)^(Ortho!$B30-Ortho!$B$7))</f>
        <v>13752.441367857316</v>
      </c>
      <c r="CD30" s="5">
        <f t="shared" si="36"/>
        <v>297572.22133977513</v>
      </c>
      <c r="CE30" s="32">
        <f>CD30/((1+InputData!$C$7)^(Ortho!$B30-Ortho!$B$7))</f>
        <v>150777.38911475876</v>
      </c>
      <c r="CF30" s="5">
        <f t="shared" si="108"/>
        <v>2593208.2286468805</v>
      </c>
      <c r="CG30" s="5"/>
      <c r="CH30" s="32" t="s">
        <v>141</v>
      </c>
      <c r="CI30" s="5" t="e">
        <f t="shared" si="155"/>
        <v>#VALUE!</v>
      </c>
      <c r="CJ30" s="32" t="e">
        <f>(CI30)*InputData!$C$6</f>
        <v>#VALUE!</v>
      </c>
      <c r="CK30" s="5" t="str">
        <f t="shared" si="168"/>
        <v>DNQ</v>
      </c>
      <c r="CL30" s="32" t="e">
        <f t="shared" si="156"/>
        <v>#VALUE!</v>
      </c>
      <c r="CM30" s="32" t="e">
        <f>CK30/((1+InputData!$C$3)^(Ortho!$B30-Ortho!$B$7))</f>
        <v>#VALUE!</v>
      </c>
      <c r="CN30" s="5" t="e">
        <f t="shared" si="40"/>
        <v>#VALUE!</v>
      </c>
      <c r="CO30" s="32" t="e">
        <f>CN30/((1+InputData!$C$7)^(Ortho!$B30-Ortho!$B$7))</f>
        <v>#VALUE!</v>
      </c>
      <c r="CP30" s="5" t="e">
        <f t="shared" si="109"/>
        <v>#VALUE!</v>
      </c>
      <c r="CQ30" s="5"/>
      <c r="CR30" s="32" t="s">
        <v>141</v>
      </c>
      <c r="CS30" s="5" t="e">
        <f t="shared" si="157"/>
        <v>#VALUE!</v>
      </c>
      <c r="CT30" s="32" t="e">
        <f>(CS30)*InputData!$C$6</f>
        <v>#VALUE!</v>
      </c>
      <c r="CU30" s="32" t="str">
        <f t="shared" si="169"/>
        <v>DNQ</v>
      </c>
      <c r="CV30" s="32" t="e">
        <f t="shared" si="158"/>
        <v>#VALUE!</v>
      </c>
      <c r="CW30" s="32" t="e">
        <f>CU30/((1+InputData!$C$3)^(Ortho!$B30-Ortho!$B$7))</f>
        <v>#VALUE!</v>
      </c>
      <c r="CX30" s="5" t="e">
        <f t="shared" si="44"/>
        <v>#VALUE!</v>
      </c>
      <c r="CY30" s="32" t="e">
        <f>CX30/((1+InputData!$C$7)^(Ortho!$B30-Ortho!$B$7))</f>
        <v>#VALUE!</v>
      </c>
      <c r="CZ30" s="5" t="e">
        <f t="shared" si="110"/>
        <v>#VALUE!</v>
      </c>
      <c r="DA30" s="5"/>
      <c r="DB30" s="32" t="s">
        <v>141</v>
      </c>
      <c r="DC30" s="5">
        <f t="shared" si="138"/>
        <v>0</v>
      </c>
      <c r="DD30" s="5">
        <f>DC30*InputData!$C$6</f>
        <v>0</v>
      </c>
      <c r="DE30" s="32">
        <f t="shared" si="139"/>
        <v>0</v>
      </c>
      <c r="DF30" s="32">
        <f t="shared" si="140"/>
        <v>0</v>
      </c>
      <c r="DG30" s="32">
        <f>DE30/((1+InputData!$C$3)^(Ortho!$B30-Ortho!$B$7))</f>
        <v>0</v>
      </c>
      <c r="DH30" s="5">
        <f t="shared" si="48"/>
        <v>311324.66270763247</v>
      </c>
      <c r="DI30" s="32">
        <f>DH30/((1+InputData!$C$7)^(Ortho!$B30-Ortho!$B$7))</f>
        <v>157745.63767661524</v>
      </c>
      <c r="DJ30" s="5">
        <f t="shared" si="111"/>
        <v>2555382.4361634972</v>
      </c>
      <c r="DK30" s="5"/>
      <c r="DL30" s="32" t="s">
        <v>141</v>
      </c>
      <c r="DM30" s="32">
        <f t="shared" si="159"/>
        <v>0</v>
      </c>
      <c r="DN30" s="5">
        <f>DM30*InputData!$C$6</f>
        <v>0</v>
      </c>
      <c r="DO30" s="32">
        <f t="shared" si="160"/>
        <v>0</v>
      </c>
      <c r="DP30" s="32">
        <f t="shared" si="123"/>
        <v>0</v>
      </c>
      <c r="DQ30" s="32">
        <f t="shared" si="124"/>
        <v>0</v>
      </c>
      <c r="DR30" s="32">
        <f>DP30/((1+InputData!$C$3)^(Ortho!$B30-Ortho!$B$7))</f>
        <v>0</v>
      </c>
      <c r="DS30" s="5">
        <f t="shared" si="52"/>
        <v>311324.66270763247</v>
      </c>
      <c r="DT30" s="32">
        <f>DS30/((1+InputData!$C$7)^(Ortho!$B30-Ortho!$B$7))</f>
        <v>157745.63767661524</v>
      </c>
      <c r="DU30" s="5">
        <f t="shared" si="113"/>
        <v>2548474.1945173428</v>
      </c>
      <c r="DV30" s="5"/>
      <c r="DW30" s="32" t="s">
        <v>141</v>
      </c>
      <c r="DX30" s="133">
        <f t="shared" si="141"/>
        <v>0</v>
      </c>
      <c r="DY30" s="5">
        <f>DX30*InputData!$C$6</f>
        <v>0</v>
      </c>
      <c r="DZ30" s="133">
        <f t="shared" si="142"/>
        <v>0</v>
      </c>
      <c r="EA30" s="32">
        <f t="shared" si="143"/>
        <v>0</v>
      </c>
      <c r="EB30" s="32">
        <f t="shared" si="144"/>
        <v>0</v>
      </c>
      <c r="EC30" s="32">
        <f>EA30/((1+InputData!$C$3)^(Ortho!$B30-Ortho!$B$7))</f>
        <v>0</v>
      </c>
      <c r="ED30" s="5">
        <f t="shared" si="56"/>
        <v>311324.66270763247</v>
      </c>
      <c r="EE30" s="32">
        <f>ED30/((1+InputData!$C$7)^(Ortho!$B30-Ortho!$B$7))</f>
        <v>157745.63767661524</v>
      </c>
      <c r="EF30" s="5">
        <f t="shared" si="115"/>
        <v>2548993.4654625487</v>
      </c>
      <c r="EG30" s="32"/>
      <c r="EH30" s="130" t="s">
        <v>141</v>
      </c>
      <c r="EI30" s="32">
        <v>0</v>
      </c>
      <c r="EJ30" s="32">
        <f t="shared" si="173"/>
        <v>0</v>
      </c>
      <c r="EK30" s="32">
        <f>(EJ30)*InputData!$C$6</f>
        <v>0</v>
      </c>
      <c r="EL30" s="32">
        <f t="shared" si="172"/>
        <v>-3.637978807091713E-11</v>
      </c>
      <c r="EM30" s="32">
        <f>EM29*(1+InputData!$C$8)</f>
        <v>18118.572545559164</v>
      </c>
      <c r="EN30" s="32">
        <f t="shared" si="170"/>
        <v>0</v>
      </c>
      <c r="EO30" s="32">
        <f>AW30/((1+InputData!$C$3)^(Ortho!$B30-Ortho!$B$7))</f>
        <v>464329.4532784266</v>
      </c>
      <c r="EP30" s="32">
        <f>AX30/((1+InputData!$C$3)^(Ortho!$B30-Ortho!$B$7))</f>
        <v>0</v>
      </c>
      <c r="EQ30" s="32">
        <v>99317.07</v>
      </c>
      <c r="ER30" s="32">
        <v>10910.33</v>
      </c>
      <c r="ES30" s="32">
        <v>0</v>
      </c>
      <c r="ET30" s="43">
        <f t="shared" si="129"/>
        <v>0.23739049767731227</v>
      </c>
      <c r="EU30" s="32">
        <f t="shared" si="57"/>
        <v>354102.05327842658</v>
      </c>
      <c r="EV30" s="32">
        <f>EN30/((1+InputData!$C$3)^(Ortho!$B30-Ortho!$B$7))</f>
        <v>0</v>
      </c>
      <c r="EW30" s="32">
        <f t="shared" si="58"/>
        <v>354102.05327842658</v>
      </c>
      <c r="EX30" s="32">
        <f>EW30/((1+InputData!$C$7)^(Ortho!$B30-Ortho!$B$7))</f>
        <v>179420.58849819086</v>
      </c>
      <c r="EY30" s="5">
        <f t="shared" si="117"/>
        <v>2974884.1850107349</v>
      </c>
      <c r="EZ30" s="79"/>
      <c r="FA30" s="32">
        <f t="shared" si="161"/>
        <v>0</v>
      </c>
      <c r="FB30" s="32">
        <f>FA30*InputData!$C$6</f>
        <v>0</v>
      </c>
      <c r="FC30" s="32">
        <f t="shared" si="162"/>
        <v>0</v>
      </c>
      <c r="FD30" s="32">
        <f>MIN($EJ$16*InputData!$C$6/(1-(1+InputData!$C$6)^(-10)), FA30+FB30)</f>
        <v>0</v>
      </c>
      <c r="FE30" s="32">
        <f>FD30/((1+InputData!$C$3)^(Ortho!$B30-Ortho!$B$7))</f>
        <v>0</v>
      </c>
      <c r="FF30" s="5">
        <f t="shared" si="62"/>
        <v>354102.05327842658</v>
      </c>
      <c r="FG30" s="32">
        <f>FF30/((1+InputData!$C$7)^(Ortho!$B30-Ortho!$B$7))</f>
        <v>179420.58849819086</v>
      </c>
      <c r="FH30" s="5">
        <f t="shared" si="118"/>
        <v>2974884.1850107349</v>
      </c>
      <c r="FI30" s="79"/>
      <c r="FJ30" s="32">
        <f t="shared" si="163"/>
        <v>169086.78897549192</v>
      </c>
      <c r="FK30" s="32">
        <f>FJ30*InputData!$C$6</f>
        <v>10500.289595378048</v>
      </c>
      <c r="FL30" s="32">
        <f t="shared" si="164"/>
        <v>157917.21122702723</v>
      </c>
      <c r="FM30" s="32">
        <f>MIN($EJ$16*InputData!$C$6/(1-(1+InputData!$C$6)^(-25)), FJ30+FK30)</f>
        <v>21669.867343842721</v>
      </c>
      <c r="FN30" s="32">
        <f>FM30/((1+InputData!$C$3)^(Ortho!$B30-Ortho!$B$7))</f>
        <v>13742.074611820308</v>
      </c>
      <c r="FO30" s="5">
        <f t="shared" si="66"/>
        <v>340359.9786666063</v>
      </c>
      <c r="FP30" s="32">
        <f>FO30/((1+InputData!$C$7)^(Ortho!$B30-Ortho!$B$7))</f>
        <v>172457.59268607633</v>
      </c>
      <c r="FQ30" s="5">
        <f t="shared" si="119"/>
        <v>3017265.6218580082</v>
      </c>
      <c r="FR30" s="79"/>
      <c r="FS30" s="32">
        <f t="shared" si="165"/>
        <v>0</v>
      </c>
      <c r="FT30" s="32">
        <f>FS30*InputData!$C$6</f>
        <v>0</v>
      </c>
      <c r="FU30" s="32">
        <f t="shared" si="166"/>
        <v>0</v>
      </c>
      <c r="FV30" s="5">
        <f t="shared" si="171"/>
        <v>0</v>
      </c>
      <c r="FW30" s="32">
        <f>FV30/((1+InputData!$C$3)^(Ortho!$B30-Ortho!$B$7))</f>
        <v>0</v>
      </c>
      <c r="FX30" s="5">
        <f t="shared" si="70"/>
        <v>354102.05327842658</v>
      </c>
      <c r="FY30" s="32">
        <f>FX30/((1+InputData!$C$7)^(Ortho!$B30-Ortho!$B$7))</f>
        <v>179420.58849819086</v>
      </c>
      <c r="FZ30" s="5">
        <f t="shared" si="120"/>
        <v>2974884.1850107349</v>
      </c>
      <c r="GC30" s="45">
        <f t="shared" si="3"/>
        <v>20</v>
      </c>
      <c r="GD30" s="46" t="str">
        <f t="shared" si="145"/>
        <v>Multi-Year (O6&gt;18= (BP+BAH+BAS+VSP+BCPSP)*12+ASP+ISP+MSP)</v>
      </c>
      <c r="GE30" s="5">
        <f t="shared" si="146"/>
        <v>238064.8</v>
      </c>
      <c r="GF30" s="5">
        <f t="shared" si="147"/>
        <v>21631.199999999997</v>
      </c>
      <c r="GG30" s="5">
        <f t="shared" si="148"/>
        <v>259696</v>
      </c>
      <c r="GH30" s="5">
        <f t="shared" si="149"/>
        <v>189794.1544693305</v>
      </c>
      <c r="GI30" s="5">
        <f t="shared" si="150"/>
        <v>17245.200945948251</v>
      </c>
      <c r="GJ30" s="32">
        <f>IF(GH30-InputData!$C$158-InputData!$C$159&gt;=0,GH30-InputData!$C$158-InputData!$C$159,0)</f>
        <v>189794.1544693305</v>
      </c>
      <c r="GK30" s="32">
        <f>IF(GH30-IF(GH30&lt;=InputData!$C$146,InputData!$C$145,0)-MAX(InputData!$C$144,GQ30)&gt;=0,GH30-IF(GH30&lt;=InputData!$C$146,InputData!$C$145,0)-MAX(InputData!$C$144,GQ30),0)</f>
        <v>183694.1544693305</v>
      </c>
      <c r="GL30" s="32">
        <f>IF(GK30&lt;0,"Error",IF(GK30&lt;=InputData!$B$170,InputData!$C$170*GK30,IF(GK30&lt;=InputData!$B$171,InputData!$D$170+InputData!$C$171*(GK30-InputData!$B$170),IF(GK30&lt;=InputData!$B$172,InputData!$D$171+InputData!$C$172*(GK30-InputData!$B$171),IF(GK30&lt;=InputData!$B$173,InputData!$D$172+InputData!$C$173*(GK30-InputData!$B$172),IF(GK30&lt;=InputData!$B$174,InputData!$D$173+InputData!$C$174*(GK30-InputData!$B$173),IF(GK30&lt;=InputData!$B$175,InputData!$D$174+InputData!$C$175*(GK30-InputData!$B$174),InputData!$D$175+InputData!$C$176*(GK30-InputData!$B$175))))))))</f>
        <v>44749.820974879069</v>
      </c>
      <c r="GM30" s="32">
        <f>IF(GH30&lt;=InputData!$C$150,InputData!$C$152,IF(GH30&lt;InputData!$C$151,IF(InputData!$C$152-0.25*IF(GH30-InputData!$C$150&lt;=0,0,GH30-InputData!$C$150)&lt;=0,0,InputData!$C$152-0.25*IF(GH30-InputData!$C$150&lt;=0,0,GH30-InputData!$C$150)),0))</f>
        <v>33301.461382667374</v>
      </c>
      <c r="GN30" s="32">
        <f>IF(GH30-GM30&lt;=0,0,IF(GH30-GM30&lt;=InputData!$C$153,InputData!$C$154*(GH30-GM30),InputData!$C$155*(GH30-GM30)-InputData!$D$154))</f>
        <v>40688.10020253242</v>
      </c>
      <c r="GO30" s="32">
        <f t="shared" si="71"/>
        <v>44749.820974879069</v>
      </c>
      <c r="GP30" s="32">
        <f>IF(GH30&gt;=0,IF(GH30&lt;=InputData!$C$148,InputData!$C$147*GH30,InputData!$C$147*InputData!$C$148)+InputData!$C$149*GH30,0)</f>
        <v>9801.415239805292</v>
      </c>
      <c r="GQ30" s="32">
        <f>IF(GJ30&lt;0,0,IF(GJ30&lt;=InputData!$B$163,InputData!$C$163*GJ30,IF(GJ30&lt;=InputData!$B$164,InputData!$D$163+InputData!$C$164*(GJ30-InputData!$B$163),IF(GJ30&lt;=InputData!$B$165,InputData!$D$164+InputData!$C$165*(GJ30-InputData!$B$164),InputData!$D$165+InputData!$C$166*(GJ30-InputData!$B$165)))))</f>
        <v>0</v>
      </c>
      <c r="GR30" s="43">
        <f t="shared" si="72"/>
        <v>0.28742316309588706</v>
      </c>
      <c r="GS30" s="43">
        <f t="shared" si="73"/>
        <v>0.26348244808464411</v>
      </c>
      <c r="GT30" s="5">
        <f t="shared" si="74"/>
        <v>152488.11920059437</v>
      </c>
      <c r="GU30" s="32">
        <f>GT30/((1+InputData!$C$7)^(Ortho!$B30-Ortho!$B$7))</f>
        <v>77264.471732504855</v>
      </c>
      <c r="GV30" s="32">
        <f t="shared" si="75"/>
        <v>1552669.9961114028</v>
      </c>
      <c r="GX30" s="45">
        <f t="shared" si="130"/>
        <v>20</v>
      </c>
      <c r="GY30" s="123" t="str">
        <f t="shared" si="131"/>
        <v>Multi-Year (O6&gt;18= (BP+BAH+BAS+VSP+BCPSP)*12+ASP+ISP+MSP)</v>
      </c>
      <c r="GZ30" s="5">
        <f t="shared" si="132"/>
        <v>238064.8</v>
      </c>
      <c r="HA30" s="5">
        <f t="shared" si="133"/>
        <v>21631.199999999997</v>
      </c>
      <c r="HB30" s="5">
        <f t="shared" si="134"/>
        <v>259696</v>
      </c>
      <c r="HC30" s="5">
        <f t="shared" si="135"/>
        <v>189794.1544693305</v>
      </c>
      <c r="HD30" s="5">
        <f t="shared" si="136"/>
        <v>17245.200945948251</v>
      </c>
      <c r="HE30" s="32">
        <f>IF(HC30-InputData!$C$158-InputData!$C$159&gt;=0,HC30-InputData!$C$158-InputData!$C$159,0)</f>
        <v>189794.1544693305</v>
      </c>
      <c r="HF30" s="32">
        <f>IF(HC30-IF(HC30&lt;=InputData!$C$146,InputData!$C$145,0)-MAX(InputData!$C$144,HL30)&gt;=0,HC30-IF(HC30&lt;=InputData!$C$146,InputData!$C$145,0)-MAX(InputData!$C$144,HL30),0)</f>
        <v>183694.1544693305</v>
      </c>
      <c r="HG30" s="32">
        <f>IF(HF30&lt;0,"Error",IF(HF30&lt;=InputData!$B$170,InputData!$C$170*HF30,IF(HF30&lt;=InputData!$B$171,InputData!$D$170+InputData!$C$171*(HF30-InputData!$B$170),IF(HF30&lt;=InputData!$B$172,InputData!$D$171+InputData!$C$172*(HF30-InputData!$B$171),IF(HF30&lt;=InputData!$B$173,InputData!$D$172+InputData!$C$173*(HF30-InputData!$B$172),IF(HF30&lt;=InputData!$B$174,InputData!$D$173+InputData!$C$174*(HF30-InputData!$B$173),IF(HF30&lt;=InputData!$B$175,InputData!$D$174+InputData!$C$175*(HF30-InputData!$B$174),InputData!$D$175+InputData!$C$176*(HF30-InputData!$B$175))))))))</f>
        <v>44749.820974879069</v>
      </c>
      <c r="HH30" s="32">
        <f>IF(HC30&lt;=InputData!$C$150,InputData!$C$152,IF(HC30&lt;InputData!$C$151,IF(InputData!$C$152-0.25*IF(HC30-InputData!$C$150&lt;=0,0,HC30-InputData!$C$150)&lt;=0,0,InputData!$C$152-0.25*IF(HC30-InputData!$C$150&lt;=0,0,HC30-InputData!$C$150)),0))</f>
        <v>33301.461382667374</v>
      </c>
      <c r="HI30" s="32">
        <f>IF(HC30-HH30&lt;=0,0,IF(HC30-HH30&lt;=InputData!$C$153,InputData!$C$154*(HC30-HH30),InputData!$C$155*(HC30-HH30)-InputData!$D$154))</f>
        <v>40688.10020253242</v>
      </c>
      <c r="HJ30" s="32">
        <f t="shared" si="76"/>
        <v>44749.820974879069</v>
      </c>
      <c r="HK30" s="32">
        <f>IF(HC30&gt;=0,IF(HC30&lt;=InputData!$C$148,InputData!$C$147*HC30,InputData!$C$147*InputData!$C$148)+InputData!$C$149*HC30,0)</f>
        <v>9801.415239805292</v>
      </c>
      <c r="HL30" s="32">
        <f>IF(HE30&lt;0,0,IF(HE30&lt;=InputData!$B$163,InputData!$C$163*HE30,IF(HE30&lt;=InputData!$B$164,InputData!$D$163+InputData!$C$164*(HE30-InputData!$B$163),IF(HE30&lt;=InputData!$B$165,InputData!$D$164+InputData!$C$165*(HE30-InputData!$B$164),InputData!$D$165+InputData!$C$166*(HE30-InputData!$B$165)))))</f>
        <v>0</v>
      </c>
      <c r="HM30" s="43">
        <f t="shared" si="77"/>
        <v>0.28742316309588706</v>
      </c>
      <c r="HN30" s="43">
        <f t="shared" si="78"/>
        <v>0.26348244808464411</v>
      </c>
      <c r="HO30" s="5">
        <f t="shared" si="79"/>
        <v>152488.11920059437</v>
      </c>
      <c r="HP30" s="32">
        <f>HO30/((1+InputData!$C$7)^(Ortho!$B30-Ortho!$B$7))</f>
        <v>77264.471732504855</v>
      </c>
      <c r="HQ30" s="32">
        <f t="shared" si="80"/>
        <v>1578037.924311412</v>
      </c>
      <c r="HS30" s="227"/>
      <c r="HT30" s="53" t="s">
        <v>109</v>
      </c>
      <c r="HU30" s="32">
        <f>MIN(InputData!$C$13+InputData!$E$13*($B30-$B$23),1)*Ortho!AW30</f>
        <v>658980.69589543005</v>
      </c>
      <c r="HV30" s="32">
        <f>MIN(InputData!$C$13+InputData!$E$13*($B30-$B$23),1)*Ortho!AX30</f>
        <v>0</v>
      </c>
      <c r="HW30" s="32">
        <f>MIN(InputData!$C$13+InputData!$E$13*($B30-$B$23),1)*Ortho!AY30</f>
        <v>658980.69589543005</v>
      </c>
      <c r="HX30" s="32">
        <f>MIN(InputData!$C$13+InputData!$E$13*($B30-$B$23),1)*Ortho!EO30</f>
        <v>417896.50795058394</v>
      </c>
      <c r="HY30" s="32">
        <f>MIN(InputData!$C$13+InputData!$E$13*($B30-$B$23),1)*Ortho!EP30</f>
        <v>0</v>
      </c>
      <c r="HZ30" s="32">
        <f>IF(HX30-InputData!$C$158-InputData!$C$159&gt;=0,HX30-InputData!$C$158-InputData!$C$159,0)</f>
        <v>417896.50795058394</v>
      </c>
      <c r="IA30" s="32">
        <f>IF(HX30-IF(HX30&lt;=InputData!$C$146,InputData!$C$145,0)-MAX(InputData!$C$144,IG30)&gt;=0,HX30-IF(HX30&lt;=InputData!$C$146,InputData!$C$145,0)-MAX(InputData!$C$144,IG30),0)</f>
        <v>411796.50795058394</v>
      </c>
      <c r="IB30" s="32">
        <f>IF(IA30&lt;0,"Error",IF(IA30&lt;=InputData!$B$170,InputData!$C$170*IA30,IF(IA30&lt;=InputData!$B$171,InputData!$D$170+InputData!$C$171*(IA30-InputData!$B$170),IF(IA30&lt;=InputData!$B$172,InputData!$D$171+InputData!$C$172*(IA30-InputData!$B$171),IF(IA30&lt;=InputData!$B$173,InputData!$D$172+InputData!$C$173*(IA30-InputData!$B$172),IF(IA30&lt;=InputData!$B$174,InputData!$D$173+InputData!$C$174*(IA30-InputData!$B$173),IF(IA30&lt;=InputData!$B$175,InputData!$D$174+InputData!$C$175*(IA30-InputData!$B$174),InputData!$D$175+InputData!$C$176*(IA30-InputData!$B$175))))))))</f>
        <v>120835.16714843124</v>
      </c>
      <c r="IC30" s="32">
        <f>IF(HX30&lt;=InputData!$C$150,InputData!$C$152,IF(HX30&lt;InputData!$C$151,IF(InputData!$C$152-0.25*IF(HX30-InputData!$C$150&lt;=0,0,HX30-InputData!$C$150)&lt;=0,0,InputData!$C$152-0.25*IF(HX30-InputData!$C$150&lt;=0,0,HX30-InputData!$C$150)),0))</f>
        <v>0</v>
      </c>
      <c r="ID30" s="32">
        <f>IF(HX30-IC30&lt;=0,0,IF(HX30-IC30&lt;=InputData!$C$153,InputData!$C$154*(HX30-IC30),InputData!$C$155*(HX30-IC30)-InputData!$D$154))</f>
        <v>113421.02222616352</v>
      </c>
      <c r="IE30" s="32">
        <f t="shared" si="88"/>
        <v>120835.16714843124</v>
      </c>
      <c r="IF30" s="32">
        <f>IF(HX30&gt;=0,IF(HX30&lt;=InputData!$C$148,InputData!$C$147*HX30,InputData!$C$147*InputData!$C$148)+InputData!$C$149*HX30,0)</f>
        <v>13108.899365283467</v>
      </c>
      <c r="IG30" s="32">
        <f>IF(HZ30&lt;0,0,IF(HZ30&lt;=InputData!$B$163,InputData!$C$163*HZ30,IF(HZ30&lt;=InputData!$B$164,InputData!$D$163+InputData!$C$164*(HZ30-InputData!$B$163),IF(HZ30&lt;=InputData!$B$165,InputData!$D$164+InputData!$C$165*(HZ30-InputData!$B$164),InputData!$D$165+InputData!$C$166*(HZ30-InputData!$B$165)))))</f>
        <v>0</v>
      </c>
      <c r="IH30" s="43">
        <f t="shared" si="89"/>
        <v>0.32051970754815096</v>
      </c>
      <c r="II30" s="43">
        <f t="shared" si="90"/>
        <v>0.32051970754815096</v>
      </c>
      <c r="IJ30" s="5">
        <f t="shared" si="91"/>
        <v>283952.44143686921</v>
      </c>
      <c r="IK30" s="32">
        <f>IJ30/((1+InputData!$C$7)^(Ortho!$B30-Ortho!$B$7))</f>
        <v>143876.35902252773</v>
      </c>
      <c r="IL30" s="5">
        <f t="shared" si="92"/>
        <v>2121473.3834165572</v>
      </c>
      <c r="IN30" s="227"/>
      <c r="IO30" s="53" t="s">
        <v>109</v>
      </c>
      <c r="IP30" s="32">
        <f>MIN(InputData!$C$13+InputData!$E$13*($B30-$B$20),1)*Ortho!AW30</f>
        <v>658980.69589543005</v>
      </c>
      <c r="IQ30" s="32">
        <f>MIN(InputData!$C$13+InputData!$E$13*($B30-$B$20),1)*Ortho!AX30</f>
        <v>0</v>
      </c>
      <c r="IR30" s="32">
        <f>MIN(InputData!$C$13+InputData!$E$13*($B30-$B$20),1)*Ortho!AY30</f>
        <v>658980.69589543005</v>
      </c>
      <c r="IS30" s="32">
        <f>MIN(InputData!$C$13+InputData!$E$13*($B30-$B$20),1)*Ortho!EO30</f>
        <v>417896.50795058394</v>
      </c>
      <c r="IT30" s="32">
        <f>MIN(InputData!$C$13+InputData!$E$13*($B30-$B$20),1)*Ortho!EP30</f>
        <v>0</v>
      </c>
      <c r="IU30" s="32">
        <f>IF(IS30-InputData!$C$158-InputData!$C$159&gt;=0,IS30-InputData!$C$158-InputData!$C$159,0)</f>
        <v>417896.50795058394</v>
      </c>
      <c r="IV30" s="32">
        <f>IF(IS30-IF(IS30&lt;=InputData!$C$146,InputData!$C$145,0)-MAX(InputData!$C$144,JB30)&gt;=0,IS30-IF(IS30&lt;=InputData!$C$146,InputData!$C$145,0)-MAX(InputData!$C$144,JB30),0)</f>
        <v>411796.50795058394</v>
      </c>
      <c r="IW30" s="32">
        <f>IF(IV30&lt;0,"Error",IF(IV30&lt;=InputData!$B$170,InputData!$C$170*IV30,IF(IV30&lt;=InputData!$B$171,InputData!$D$170+InputData!$C$171*(IV30-InputData!$B$170),IF(IV30&lt;=InputData!$B$172,InputData!$D$171+InputData!$C$172*(IV30-InputData!$B$171),IF(IV30&lt;=InputData!$B$173,InputData!$D$172+InputData!$C$173*(IV30-InputData!$B$172),IF(IV30&lt;=InputData!$B$174,InputData!$D$173+InputData!$C$174*(IV30-InputData!$B$173),IF(IV30&lt;=InputData!$B$175,InputData!$D$174+InputData!$C$175*(IV30-InputData!$B$174),InputData!$D$175+InputData!$C$176*(IV30-InputData!$B$175))))))))</f>
        <v>120835.16714843124</v>
      </c>
      <c r="IX30" s="32">
        <f>IF(IS30&lt;=InputData!$C$150,InputData!$C$152,IF(IS30&lt;InputData!$C$151,IF(InputData!$C$152-0.25*IF(IS30-InputData!$C$150&lt;=0,0,IS30-InputData!$C$150)&lt;=0,0,InputData!$C$152-0.25*IF(IS30-InputData!$C$150&lt;=0,0,IS30-InputData!$C$150)),0))</f>
        <v>0</v>
      </c>
      <c r="IY30" s="32">
        <f>IF(IS30-IX30&lt;=0,0,IF(IS30-IX30&lt;=InputData!$C$153,InputData!$C$154*(IS30-IX30),InputData!$C$155*(IS30-IX30)-InputData!$D$154))</f>
        <v>113421.02222616352</v>
      </c>
      <c r="IZ30" s="32">
        <f t="shared" si="95"/>
        <v>120835.16714843124</v>
      </c>
      <c r="JA30" s="32">
        <f>IF(IS30&gt;=0,IF(IS30&lt;=InputData!$C$148,InputData!$C$147*IS30,InputData!$C$147*InputData!$C$148)+InputData!$C$149*IS30,0)</f>
        <v>13108.899365283467</v>
      </c>
      <c r="JB30" s="32">
        <f>IF(IU30&lt;0,0,IF(IU30&lt;=InputData!$B$163,InputData!$C$163*IU30,IF(IU30&lt;=InputData!$B$164,InputData!$D$163+InputData!$C$164*(IU30-InputData!$B$163),IF(IU30&lt;=InputData!$B$165,InputData!$D$164+InputData!$C$165*(IU30-InputData!$B$164),InputData!$D$165+InputData!$C$166*(IU30-InputData!$B$165)))))</f>
        <v>0</v>
      </c>
      <c r="JC30" s="43">
        <f t="shared" si="96"/>
        <v>0.32051970754815096</v>
      </c>
      <c r="JD30" s="43">
        <f t="shared" si="97"/>
        <v>0.32051970754815096</v>
      </c>
      <c r="JE30" s="5">
        <f t="shared" si="98"/>
        <v>283952.44143686921</v>
      </c>
      <c r="JF30" s="32">
        <f>JE30/((1+InputData!$C$7)^(Ortho!$B30-Ortho!$B$7))</f>
        <v>143876.35902252773</v>
      </c>
      <c r="JG30" s="5">
        <f t="shared" si="99"/>
        <v>2376465.0747432653</v>
      </c>
      <c r="JI30" s="41" t="str">
        <f t="shared" si="13"/>
        <v>Private Practice</v>
      </c>
      <c r="JJ30" s="5">
        <f t="shared" si="14"/>
        <v>732200.77321714454</v>
      </c>
      <c r="JK30" s="32">
        <v>0</v>
      </c>
      <c r="JL30" s="32">
        <f t="shared" si="101"/>
        <v>732200.77321714454</v>
      </c>
      <c r="JM30" s="32">
        <f>JM29*(1+InputData!$C$8)</f>
        <v>18118.572545559164</v>
      </c>
      <c r="JN30" s="32">
        <f>JJ30/((1+InputData!$C$3)^(Ortho!$B30-Ortho!$B$7))</f>
        <v>464329.4532784266</v>
      </c>
      <c r="JO30" s="32">
        <f>JK30/((1+InputData!$C$3)^(Ortho!$B30-Ortho!$B$7))</f>
        <v>0</v>
      </c>
      <c r="JP30" s="32" t="s">
        <v>141</v>
      </c>
      <c r="JQ30" s="32">
        <v>0</v>
      </c>
      <c r="JR30" s="32">
        <f t="shared" si="167"/>
        <v>0</v>
      </c>
      <c r="JS30" s="32">
        <f>(JR30)*InputData!$C$6</f>
        <v>0</v>
      </c>
      <c r="JT30" s="32">
        <f>MIN($BE$16*InputData!$C$6/(1-(1+InputData!$C$6)^(-10)), JR30+JS30)</f>
        <v>0</v>
      </c>
      <c r="JU30" s="32">
        <f t="shared" si="151"/>
        <v>0</v>
      </c>
      <c r="JV30" s="32">
        <f>JT30/((1+InputData!$C$3)^(Ortho!$B30-Ortho!$B$7))</f>
        <v>0</v>
      </c>
      <c r="JW30" s="32">
        <f>IF(JN30-InputData!$C$158-InputData!$C$159&gt;=0,JN30-InputData!$C$158-InputData!$C$159,0)</f>
        <v>464329.4532784266</v>
      </c>
      <c r="JX30" s="32">
        <f>IF(JN30-IF(JN30&lt;=InputData!$C$146,InputData!$C$145,0)-MAX(InputData!$C$144,KD30)&gt;=0,JN30-IF(JN30&lt;=InputData!$C$146,InputData!$C$145,0)-MAX(InputData!$C$144,KD30),0)</f>
        <v>458229.4532784266</v>
      </c>
      <c r="JY30" s="32">
        <f>IF(JX30&lt;0,"Error",IF(JX30&lt;=InputData!$B$170,InputData!$C$170*JX30,IF(JX30&lt;=InputData!$B$171,InputData!$D$170+InputData!$C$171*(JX30-InputData!$B$170),IF(JX30&lt;=InputData!$B$172,InputData!$D$171+InputData!$C$172*(JX30-InputData!$B$171),IF(JX30&lt;=InputData!$B$173,InputData!$D$172+InputData!$C$173*(JX30-InputData!$B$172),IF(JX30&lt;=InputData!$B$174,InputData!$D$173+InputData!$C$174*(JX30-InputData!$B$173),IF(JX30&lt;=InputData!$B$175,InputData!$D$174+InputData!$C$175*(JX30-InputData!$B$174),InputData!$D$175+InputData!$C$176*(JX30-InputData!$B$175))))))))</f>
        <v>139222.61349825695</v>
      </c>
      <c r="JZ30" s="32">
        <f>IF(JN30&lt;=InputData!$C$150,InputData!$C$152,IF(JN30&lt;InputData!$C$151,IF(InputData!$C$152-0.25*IF(JN30-InputData!$C$150&lt;=0,0,JN30-InputData!$C$150)&lt;=0,0,InputData!$C$152-0.25*IF(JN30-InputData!$C$150&lt;=0,0,JN30-InputData!$C$150)),0))</f>
        <v>0</v>
      </c>
      <c r="KA30" s="32">
        <f>IF(JN30-JZ30&lt;=0,0,IF(JN30-JZ30&lt;=InputData!$C$153,InputData!$C$154*(JN30-JZ30),InputData!$C$155*(JN30-JZ30)-InputData!$D$154))</f>
        <v>126422.24691795946</v>
      </c>
      <c r="KB30" s="32">
        <f t="shared" si="102"/>
        <v>139222.61349825695</v>
      </c>
      <c r="KC30" s="32">
        <f>IF(JN30&gt;=0,IF(JN30&lt;=InputData!$C$148,InputData!$C$147*JN30,InputData!$C$147*InputData!$C$148)+InputData!$C$149*JN30,0)</f>
        <v>13782.177072537186</v>
      </c>
      <c r="KD30" s="32">
        <f>IF(JW30&lt;0,0,IF(JW30&lt;=InputData!$B$163,InputData!$C$163*JW30,IF(JW30&lt;=InputData!$B$164,InputData!$D$163+InputData!$C$164*(JW30-InputData!$B$163),IF(JW30&lt;=InputData!$B$165,InputData!$D$164+InputData!$C$165*(JW30-InputData!$B$164),InputData!$D$165+InputData!$C$166*(JW30-InputData!$B$165)))))</f>
        <v>0</v>
      </c>
      <c r="KE30" s="43">
        <f t="shared" si="15"/>
        <v>0.3295177367933359</v>
      </c>
      <c r="KF30" s="32">
        <f t="shared" si="16"/>
        <v>311324.66270763247</v>
      </c>
      <c r="KG30" s="32">
        <f t="shared" si="103"/>
        <v>311324.66270763247</v>
      </c>
      <c r="KH30" s="32">
        <f>KG30/((1+InputData!$C$7)^(Ortho!$B30-Ortho!$B$7))</f>
        <v>157745.63767661524</v>
      </c>
      <c r="KI30" s="5">
        <f t="shared" si="122"/>
        <v>2935121.2126078214</v>
      </c>
    </row>
    <row r="31" spans="1:295" x14ac:dyDescent="0.25">
      <c r="A31" s="4">
        <v>2037</v>
      </c>
      <c r="B31" s="51">
        <v>25</v>
      </c>
      <c r="C31" s="4"/>
      <c r="D31" s="45">
        <v>25</v>
      </c>
      <c r="E31" s="97" t="s">
        <v>271</v>
      </c>
      <c r="F31" s="5">
        <f>InputData!$P$21*12</f>
        <v>120412.79999999999</v>
      </c>
      <c r="G31" s="47">
        <f>(InputData!$P$21+InputData!$K$45+InputData!$G$50)*12+InputData!$J$50+InputData!$D$61+InputData!$J$61</f>
        <v>248412.76</v>
      </c>
      <c r="H31" s="32">
        <f>(InputData!$C$32+InputData!$C$40)*12</f>
        <v>21631.199999999997</v>
      </c>
      <c r="I31" s="32">
        <f t="shared" si="17"/>
        <v>270043.96000000002</v>
      </c>
      <c r="J31" s="5">
        <f>G31*((1+InputData!$C$5)/(1+InputData!$C$3))^(Ortho!$B31-Ortho!$B$7)</f>
        <v>196102.32765521485</v>
      </c>
      <c r="K31" s="5">
        <f>H31*((1+InputData!$C$5)/(1+InputData!$C$3))^(Ortho!$B31-Ortho!$B$7)</f>
        <v>17076.130348438957</v>
      </c>
      <c r="L31" s="32">
        <f>IF(J31-InputData!$C$158-InputData!$C$159&gt;=0,J31-InputData!$C$158-InputData!$C$159,0)</f>
        <v>196102.32765521485</v>
      </c>
      <c r="M31" s="32">
        <f>IF(J31-IF(J31&lt;=InputData!$C$146,InputData!$C$145,0)-MAX(InputData!$C$144,S31)&gt;=0,J31-IF(J31&lt;=InputData!$C$146,InputData!$C$145,0)-MAX(InputData!$C$144,S31),0)</f>
        <v>190002.32765521485</v>
      </c>
      <c r="N31" s="32">
        <f>IF(M31&lt;0,"Error",IF(M31&lt;=InputData!$B$170,InputData!$C$170*M31,IF(M31&lt;=InputData!$B$171,InputData!$D$170+InputData!$C$171*(M31-InputData!$B$170),IF(M31&lt;=InputData!$B$172,InputData!$D$171+InputData!$C$172*(M31-InputData!$B$171),IF(M31&lt;=InputData!$B$173,InputData!$D$172+InputData!$C$173*(M31-InputData!$B$172),IF(M31&lt;=InputData!$B$174,InputData!$D$173+InputData!$C$174*(M31-InputData!$B$173),IF(M31&lt;=InputData!$B$175,InputData!$D$174+InputData!$C$175*(M31-InputData!$B$174),InputData!$D$175+InputData!$C$176*(M31-InputData!$B$175))))))))</f>
        <v>46831.518126220901</v>
      </c>
      <c r="O31" s="32">
        <f>IF(J31&lt;=InputData!$C$150,InputData!$C$152,IF(J31&lt;InputData!$C$151,IF(InputData!$C$152-0.25*IF(J31-InputData!$C$150&lt;=0,0,J31-InputData!$C$150)&lt;=0,0,InputData!$C$152-0.25*IF(J31-InputData!$C$150&lt;=0,0,J31-InputData!$C$150)),0))</f>
        <v>31724.418086196289</v>
      </c>
      <c r="P31" s="32">
        <f>IF(J31-O31&lt;=0,0,IF(J31-O31&lt;=InputData!$C$153,InputData!$C$154*(J31-O31),InputData!$C$155*(J31-O31)-InputData!$D$154))</f>
        <v>42738.256487944825</v>
      </c>
      <c r="Q31" s="32">
        <f t="shared" si="18"/>
        <v>46831.518126220901</v>
      </c>
      <c r="R31" s="32">
        <f>IF(J31&gt;=0,IF(J31&lt;=InputData!$C$148,InputData!$C$147*J31,InputData!$C$147*InputData!$C$148)+InputData!$C$149*J31,0)</f>
        <v>9892.883751000616</v>
      </c>
      <c r="S31" s="32">
        <f>IF(L31&lt;0,0,IF(L31&lt;=InputData!$B$163,InputData!$C$163*L31,IF(L31&lt;=InputData!$B$164,InputData!$D$163+InputData!$C$164*(L31-InputData!$B$163),IF(L31&lt;=InputData!$B$165,InputData!$D$164+InputData!$C$165*(L31-InputData!$B$164),InputData!$D$165+InputData!$C$166*(L31-InputData!$B$165)))))</f>
        <v>0</v>
      </c>
      <c r="T31" s="43">
        <f t="shared" si="19"/>
        <v>0.28925919725416926</v>
      </c>
      <c r="U31" s="43">
        <f t="shared" si="20"/>
        <v>0.26608880844915994</v>
      </c>
      <c r="V31" s="5">
        <f t="shared" si="21"/>
        <v>156454.05612643226</v>
      </c>
      <c r="W31" s="32">
        <f>V31/((1+InputData!$C$7)^(Ortho!$B31-Ortho!$B$7))</f>
        <v>76965.02839574714</v>
      </c>
      <c r="X31" s="5">
        <f t="shared" si="104"/>
        <v>1629635.0245071498</v>
      </c>
      <c r="Y31" s="53"/>
      <c r="Z31" s="45">
        <v>21.5</v>
      </c>
      <c r="AA31" s="97" t="s">
        <v>267</v>
      </c>
      <c r="AB31" s="5">
        <f>InputData!$N$21*12</f>
        <v>114357.59999999999</v>
      </c>
      <c r="AC31" s="32">
        <f>(InputData!$N$21+InputData!$J$45+InputData!$G$50)*12+InputData!$J$50+InputData!$D$61+InputData!$J$61</f>
        <v>243349.59999999998</v>
      </c>
      <c r="AD31" s="32">
        <f t="shared" si="174"/>
        <v>21631.199999999997</v>
      </c>
      <c r="AE31" s="32">
        <f t="shared" si="22"/>
        <v>264980.8</v>
      </c>
      <c r="AF31" s="5">
        <f>AC31*((1+InputData!$C$5)/(1+InputData!$C$3))^(Ortho!$B31-Ortho!$B$7)</f>
        <v>192105.3612300973</v>
      </c>
      <c r="AG31" s="5">
        <f>AD31*((1+InputData!$C$5)/(1+InputData!$C$3))^(Ortho!$B31-Ortho!$B$7)</f>
        <v>17076.130348438957</v>
      </c>
      <c r="AH31" s="32">
        <f>IF(AF31-InputData!$C$158-InputData!$C$159&gt;=0,AF31-InputData!$C$158-InputData!$C$159,0)</f>
        <v>192105.3612300973</v>
      </c>
      <c r="AI31" s="32">
        <f>IF(AF31-IF(AF31&lt;=InputData!$C$146,InputData!$C$145,0)-MAX(InputData!$C$144,AO31)&gt;=0,AF31-IF(AF31&lt;=InputData!$C$146,InputData!$C$145,0)-MAX(InputData!$C$144,AO31),0)</f>
        <v>186005.3612300973</v>
      </c>
      <c r="AJ31" s="32">
        <f>IF(AI31&lt;0,"Error",IF(AI31&lt;=InputData!$B$170,InputData!$C$170*AI31,IF(AI31&lt;=InputData!$B$171,InputData!$D$170+InputData!$C$171*(AI31-InputData!$B$170),IF(AI31&lt;=InputData!$B$172,InputData!$D$171+InputData!$C$172*(AI31-InputData!$B$171),IF(AI31&lt;=InputData!$B$173,InputData!$D$172+InputData!$C$173*(AI31-InputData!$B$172),IF(AI31&lt;=InputData!$B$174,InputData!$D$173+InputData!$C$174*(AI31-InputData!$B$173),IF(AI31&lt;=InputData!$B$175,InputData!$D$174+InputData!$C$175*(AI31-InputData!$B$174),InputData!$D$175+InputData!$C$176*(AI31-InputData!$B$175))))))))</f>
        <v>45512.519205932113</v>
      </c>
      <c r="AK31" s="32">
        <f>IF(AF31&lt;=InputData!$C$150,InputData!$C$152,IF(AF31&lt;InputData!$C$151,IF(InputData!$C$152-0.25*IF(AF31-InputData!$C$150&lt;=0,0,AF31-InputData!$C$150)&lt;=0,0,InputData!$C$152-0.25*IF(AF31-InputData!$C$150&lt;=0,0,AF31-InputData!$C$150)),0))</f>
        <v>32723.659692475674</v>
      </c>
      <c r="AL31" s="32">
        <f>IF(AF31-AK31&lt;=0,0,IF(AF31-AK31&lt;=InputData!$C$153,InputData!$C$154*(AF31-AK31),InputData!$C$155*(AF31-AK31)-InputData!$D$154))</f>
        <v>41439.242399781622</v>
      </c>
      <c r="AM31" s="32">
        <f t="shared" si="23"/>
        <v>45512.519205932113</v>
      </c>
      <c r="AN31" s="32">
        <f>IF(AF31&gt;=0,IF(AF31&lt;=InputData!$C$148,InputData!$C$147*AF31,InputData!$C$147*InputData!$C$148)+InputData!$C$149*AF31,0)</f>
        <v>9834.9277378364113</v>
      </c>
      <c r="AO31" s="32">
        <f>IF(AH31&lt;0,0,IF(AH31&lt;=InputData!$B$163,InputData!$C$163*AH31,IF(AH31&lt;=InputData!$B$164,InputData!$D$163+InputData!$C$164*(AH31-InputData!$B$163),IF(AH31&lt;=InputData!$B$165,InputData!$D$164+InputData!$C$165*(AH31-InputData!$B$164),InputData!$D$165+InputData!$C$166*(AH31-InputData!$B$165)))))</f>
        <v>0</v>
      </c>
      <c r="AP31" s="43">
        <f t="shared" si="24"/>
        <v>0.28810985070570322</v>
      </c>
      <c r="AQ31" s="43">
        <f t="shared" si="25"/>
        <v>0.26459055495829359</v>
      </c>
      <c r="AR31" s="5">
        <f t="shared" si="26"/>
        <v>153834.04463476772</v>
      </c>
      <c r="AS31" s="32">
        <f>AR31/((1+InputData!$C$7)^(Ortho!$B31-Ortho!$B$7))</f>
        <v>75676.156353400147</v>
      </c>
      <c r="AT31" s="5">
        <f t="shared" si="105"/>
        <v>1653714.0806648121</v>
      </c>
      <c r="AU31" s="53"/>
      <c r="AV31" s="41" t="s">
        <v>109</v>
      </c>
      <c r="AW31" s="32">
        <f>$AW$17*(1+InputData!$C$3+InputData!$C$4)^(Ortho!$B31-Ortho!$B$17)</f>
        <v>754166.796413659</v>
      </c>
      <c r="AX31" s="32">
        <v>0</v>
      </c>
      <c r="AY31" s="32">
        <f t="shared" si="28"/>
        <v>754166.796413659</v>
      </c>
      <c r="AZ31" s="32">
        <f>AZ30*(1+InputData!$C$8)</f>
        <v>18480.943996470349</v>
      </c>
      <c r="BA31" s="32">
        <f>AW31/((1+InputData!$C$3)^(Ortho!$B31-Ortho!$B$7))</f>
        <v>468881.70282037201</v>
      </c>
      <c r="BB31" s="32">
        <f>AX31/((1+InputData!$C$3)^(Ortho!$B31-Ortho!$B$7))</f>
        <v>0</v>
      </c>
      <c r="BC31" s="32" t="s">
        <v>141</v>
      </c>
      <c r="BD31" s="32">
        <v>0</v>
      </c>
      <c r="BE31" s="32">
        <f t="shared" si="152"/>
        <v>0</v>
      </c>
      <c r="BF31" s="32">
        <f>(BE31)*InputData!$C$6</f>
        <v>0</v>
      </c>
      <c r="BG31" s="32">
        <f>MIN($BE$16*InputData!$C$6/(1-(1+InputData!$C$6)^(-10)), BE31+BF31)</f>
        <v>0</v>
      </c>
      <c r="BH31" s="32">
        <f t="shared" si="137"/>
        <v>0</v>
      </c>
      <c r="BI31" s="32">
        <f>BG31/((1+InputData!$C$3)^(Ortho!$B31-Ortho!$B$7))</f>
        <v>0</v>
      </c>
      <c r="BJ31" s="32">
        <f>IF(BA31-InputData!$C$158-InputData!$C$159&gt;=0,BA31-InputData!$C$158-InputData!$C$159,0)</f>
        <v>468881.70282037201</v>
      </c>
      <c r="BK31" s="32">
        <f>IF(BA31-IF(BA31&lt;=InputData!$C$146,InputData!$C$145,0)-MAX(InputData!$C$144,BQ31)&gt;=0,BA31-IF(BA31&lt;=InputData!$C$146,InputData!$C$145,0)-MAX(InputData!$C$144,BQ31),0)</f>
        <v>462781.70282037201</v>
      </c>
      <c r="BL31" s="32">
        <f>IF(BK31&lt;0,"Error",IF(BK31&lt;=InputData!$B$170,InputData!$C$170*BK31,IF(BK31&lt;=InputData!$B$171,InputData!$D$170+InputData!$C$171*(BK31-InputData!$B$170),IF(BK31&lt;=InputData!$B$172,InputData!$D$171+InputData!$C$172*(BK31-InputData!$B$171),IF(BK31&lt;=InputData!$B$173,InputData!$D$172+InputData!$C$173*(BK31-InputData!$B$172),IF(BK31&lt;=InputData!$B$174,InputData!$D$173+InputData!$C$174*(BK31-InputData!$B$173),IF(BK31&lt;=InputData!$B$175,InputData!$D$174+InputData!$C$175*(BK31-InputData!$B$174),InputData!$D$175+InputData!$C$176*(BK31-InputData!$B$175))))))))</f>
        <v>141025.30431686732</v>
      </c>
      <c r="BM31" s="32">
        <f>IF(BA31&lt;=InputData!$C$150,InputData!$C$152,IF(BA31&lt;InputData!$C$151,IF(InputData!$C$152-0.25*IF(BA31-InputData!$C$150&lt;=0,0,BA31-InputData!$C$150)&lt;=0,0,InputData!$C$152-0.25*IF(BA31-InputData!$C$150&lt;=0,0,BA31-InputData!$C$150)),0))</f>
        <v>0</v>
      </c>
      <c r="BN31" s="32">
        <f>IF(BA31-BM31&lt;=0,0,IF(BA31-BM31&lt;=InputData!$C$153,InputData!$C$154*(BA31-BM31),InputData!$C$155*(BA31-BM31)-InputData!$D$154))</f>
        <v>127696.87678970417</v>
      </c>
      <c r="BO31" s="32">
        <f t="shared" si="29"/>
        <v>141025.30431686732</v>
      </c>
      <c r="BP31" s="32">
        <f>IF(BA31&gt;=0,IF(BA31&lt;=InputData!$C$148,InputData!$C$147*BA31,InputData!$C$147*InputData!$C$148)+InputData!$C$149*BA31,0)</f>
        <v>13848.184690895394</v>
      </c>
      <c r="BQ31" s="32">
        <f>IF(BJ31&lt;0,0,IF(BJ31&lt;=InputData!$B$163,InputData!$C$163*BJ31,IF(BJ31&lt;=InputData!$B$164,InputData!$D$163+InputData!$C$164*(BJ31-InputData!$B$163),IF(BJ31&lt;=InputData!$B$165,InputData!$D$164+InputData!$C$165*(BJ31-InputData!$B$164),InputData!$D$165+InputData!$C$166*(BJ31-InputData!$B$165)))))</f>
        <v>0</v>
      </c>
      <c r="BR31" s="43">
        <f t="shared" si="30"/>
        <v>0.33030397235844916</v>
      </c>
      <c r="BS31" s="32">
        <f t="shared" si="31"/>
        <v>314008.21381260932</v>
      </c>
      <c r="BT31" s="32">
        <f t="shared" si="32"/>
        <v>314008.21381260932</v>
      </c>
      <c r="BU31" s="32">
        <f>BT31/((1+InputData!$C$7)^(Ortho!$B31-Ortho!$B$7))</f>
        <v>154471.23386213247</v>
      </c>
      <c r="BV31" s="5">
        <f t="shared" si="107"/>
        <v>2705266.0539232129</v>
      </c>
      <c r="BW31" s="5"/>
      <c r="BX31" s="32" t="s">
        <v>141</v>
      </c>
      <c r="BY31" s="5">
        <f t="shared" si="153"/>
        <v>158036.3409253502</v>
      </c>
      <c r="BZ31" s="32">
        <f>(BY31)*InputData!$C$6</f>
        <v>9814.0567714642475</v>
      </c>
      <c r="CA31" s="32">
        <f>MIN($BY$16*InputData!$C$6/(1-(1+InputData!$C$6)^(-25)), BY31+BZ31)</f>
        <v>21686.214673809533</v>
      </c>
      <c r="CB31" s="32">
        <f t="shared" si="154"/>
        <v>146164.18302300491</v>
      </c>
      <c r="CC31" s="32">
        <f>CA31/((1+InputData!$C$3)^(Ortho!$B31-Ortho!$B$7))</f>
        <v>13482.785654762074</v>
      </c>
      <c r="CD31" s="5">
        <f t="shared" si="36"/>
        <v>300525.42815784726</v>
      </c>
      <c r="CE31" s="32">
        <f>CD31/((1+InputData!$C$7)^(Ortho!$B31-Ortho!$B$7))</f>
        <v>147838.59673872063</v>
      </c>
      <c r="CF31" s="5">
        <f t="shared" si="108"/>
        <v>2741046.8253856013</v>
      </c>
      <c r="CG31" s="5"/>
      <c r="CH31" s="32" t="s">
        <v>141</v>
      </c>
      <c r="CI31" s="5" t="e">
        <f t="shared" si="155"/>
        <v>#VALUE!</v>
      </c>
      <c r="CJ31" s="32" t="e">
        <f>(CI31)*InputData!$C$6</f>
        <v>#VALUE!</v>
      </c>
      <c r="CK31" s="5" t="str">
        <f t="shared" si="168"/>
        <v>DNQ</v>
      </c>
      <c r="CL31" s="32" t="e">
        <f t="shared" si="156"/>
        <v>#VALUE!</v>
      </c>
      <c r="CM31" s="32" t="e">
        <f>CK31/((1+InputData!$C$3)^(Ortho!$B31-Ortho!$B$7))</f>
        <v>#VALUE!</v>
      </c>
      <c r="CN31" s="5" t="e">
        <f t="shared" si="40"/>
        <v>#VALUE!</v>
      </c>
      <c r="CO31" s="32" t="e">
        <f>CN31/((1+InputData!$C$7)^(Ortho!$B31-Ortho!$B$7))</f>
        <v>#VALUE!</v>
      </c>
      <c r="CP31" s="5" t="e">
        <f t="shared" si="109"/>
        <v>#VALUE!</v>
      </c>
      <c r="CQ31" s="5"/>
      <c r="CR31" s="32" t="s">
        <v>141</v>
      </c>
      <c r="CS31" s="5" t="e">
        <f t="shared" si="157"/>
        <v>#VALUE!</v>
      </c>
      <c r="CT31" s="32" t="e">
        <f>(CS31)*InputData!$C$6</f>
        <v>#VALUE!</v>
      </c>
      <c r="CU31" s="32" t="str">
        <f t="shared" si="169"/>
        <v>DNQ</v>
      </c>
      <c r="CV31" s="32" t="e">
        <f t="shared" si="158"/>
        <v>#VALUE!</v>
      </c>
      <c r="CW31" s="32" t="e">
        <f>CU31/((1+InputData!$C$3)^(Ortho!$B31-Ortho!$B$7))</f>
        <v>#VALUE!</v>
      </c>
      <c r="CX31" s="5" t="e">
        <f t="shared" si="44"/>
        <v>#VALUE!</v>
      </c>
      <c r="CY31" s="32" t="e">
        <f>CX31/((1+InputData!$C$7)^(Ortho!$B31-Ortho!$B$7))</f>
        <v>#VALUE!</v>
      </c>
      <c r="CZ31" s="5" t="e">
        <f t="shared" si="110"/>
        <v>#VALUE!</v>
      </c>
      <c r="DA31" s="5"/>
      <c r="DB31" s="32" t="s">
        <v>141</v>
      </c>
      <c r="DC31" s="5">
        <f t="shared" si="138"/>
        <v>0</v>
      </c>
      <c r="DD31" s="5">
        <f>DC31*InputData!$C$6</f>
        <v>0</v>
      </c>
      <c r="DE31" s="32">
        <f t="shared" si="139"/>
        <v>0</v>
      </c>
      <c r="DF31" s="32">
        <f t="shared" si="140"/>
        <v>0</v>
      </c>
      <c r="DG31" s="32">
        <f>DE31/((1+InputData!$C$3)^(Ortho!$B31-Ortho!$B$7))</f>
        <v>0</v>
      </c>
      <c r="DH31" s="5">
        <f t="shared" si="48"/>
        <v>314008.21381260932</v>
      </c>
      <c r="DI31" s="32">
        <f>DH31/((1+InputData!$C$7)^(Ortho!$B31-Ortho!$B$7))</f>
        <v>154471.23386213247</v>
      </c>
      <c r="DJ31" s="5">
        <f t="shared" si="111"/>
        <v>2709853.6700256295</v>
      </c>
      <c r="DK31" s="5"/>
      <c r="DL31" s="32" t="s">
        <v>141</v>
      </c>
      <c r="DM31" s="32">
        <f t="shared" si="159"/>
        <v>0</v>
      </c>
      <c r="DN31" s="5">
        <f>DM31*InputData!$C$6</f>
        <v>0</v>
      </c>
      <c r="DO31" s="32">
        <f t="shared" si="160"/>
        <v>0</v>
      </c>
      <c r="DP31" s="32">
        <f t="shared" si="123"/>
        <v>0</v>
      </c>
      <c r="DQ31" s="32">
        <f t="shared" si="124"/>
        <v>0</v>
      </c>
      <c r="DR31" s="32">
        <f>DP31/((1+InputData!$C$3)^(Ortho!$B31-Ortho!$B$7))</f>
        <v>0</v>
      </c>
      <c r="DS31" s="5">
        <f t="shared" si="52"/>
        <v>314008.21381260932</v>
      </c>
      <c r="DT31" s="32">
        <f>DS31/((1+InputData!$C$7)^(Ortho!$B31-Ortho!$B$7))</f>
        <v>154471.23386213247</v>
      </c>
      <c r="DU31" s="5">
        <f t="shared" si="113"/>
        <v>2702945.4283794751</v>
      </c>
      <c r="DV31" s="5"/>
      <c r="DW31" s="32" t="s">
        <v>141</v>
      </c>
      <c r="DX31" s="133">
        <f t="shared" si="141"/>
        <v>0</v>
      </c>
      <c r="DY31" s="5">
        <f>DX31*InputData!$C$6</f>
        <v>0</v>
      </c>
      <c r="DZ31" s="133">
        <f t="shared" si="142"/>
        <v>0</v>
      </c>
      <c r="EA31" s="32">
        <f t="shared" si="143"/>
        <v>0</v>
      </c>
      <c r="EB31" s="32">
        <f t="shared" si="144"/>
        <v>0</v>
      </c>
      <c r="EC31" s="32">
        <f>EA31/((1+InputData!$C$3)^(Ortho!$B31-Ortho!$B$7))</f>
        <v>0</v>
      </c>
      <c r="ED31" s="5">
        <f t="shared" si="56"/>
        <v>314008.21381260932</v>
      </c>
      <c r="EE31" s="32">
        <f>ED31/((1+InputData!$C$7)^(Ortho!$B31-Ortho!$B$7))</f>
        <v>154471.23386213247</v>
      </c>
      <c r="EF31" s="5">
        <f t="shared" si="115"/>
        <v>2703464.699324681</v>
      </c>
      <c r="EG31" s="32"/>
      <c r="EH31" s="130" t="s">
        <v>141</v>
      </c>
      <c r="EI31" s="32">
        <v>0</v>
      </c>
      <c r="EJ31" s="32">
        <f t="shared" si="173"/>
        <v>0</v>
      </c>
      <c r="EK31" s="32">
        <f>(EJ31)*InputData!$C$6</f>
        <v>0</v>
      </c>
      <c r="EL31" s="32">
        <f t="shared" si="172"/>
        <v>-3.637978807091713E-11</v>
      </c>
      <c r="EM31" s="32">
        <f>EM30*(1+InputData!$C$8)</f>
        <v>18480.943996470349</v>
      </c>
      <c r="EN31" s="32">
        <f t="shared" si="170"/>
        <v>0</v>
      </c>
      <c r="EO31" s="32">
        <f>AW31/((1+InputData!$C$3)^(Ortho!$B31-Ortho!$B$7))</f>
        <v>468881.70282037201</v>
      </c>
      <c r="EP31" s="32">
        <f>AX31/((1+InputData!$C$3)^(Ortho!$B31-Ortho!$B$7))</f>
        <v>0</v>
      </c>
      <c r="EQ31" s="32">
        <v>100474</v>
      </c>
      <c r="ER31" s="32">
        <v>10961.17</v>
      </c>
      <c r="ES31" s="32">
        <v>0</v>
      </c>
      <c r="ET31" s="43">
        <f t="shared" si="129"/>
        <v>0.23766158783698726</v>
      </c>
      <c r="EU31" s="32">
        <f t="shared" si="57"/>
        <v>357446.53282037203</v>
      </c>
      <c r="EV31" s="32">
        <f>EN31/((1+InputData!$C$3)^(Ortho!$B31-Ortho!$B$7))</f>
        <v>0</v>
      </c>
      <c r="EW31" s="32">
        <f t="shared" si="58"/>
        <v>357446.53282037203</v>
      </c>
      <c r="EX31" s="32">
        <f>EW31/((1+InputData!$C$7)^(Ortho!$B31-Ortho!$B$7))</f>
        <v>175840.0084319287</v>
      </c>
      <c r="EY31" s="5">
        <f t="shared" si="117"/>
        <v>3150724.1934426636</v>
      </c>
      <c r="EZ31" s="79"/>
      <c r="FA31" s="32">
        <f t="shared" si="161"/>
        <v>0</v>
      </c>
      <c r="FB31" s="32">
        <f>FA31*InputData!$C$6</f>
        <v>0</v>
      </c>
      <c r="FC31" s="32">
        <f t="shared" si="162"/>
        <v>0</v>
      </c>
      <c r="FD31" s="32">
        <f>MIN($EJ$16*InputData!$C$6/(1-(1+InputData!$C$6)^(-10)), FA31+FB31)</f>
        <v>0</v>
      </c>
      <c r="FE31" s="32">
        <f>FD31/((1+InputData!$C$3)^(Ortho!$B31-Ortho!$B$7))</f>
        <v>0</v>
      </c>
      <c r="FF31" s="5">
        <f t="shared" si="62"/>
        <v>357446.53282037203</v>
      </c>
      <c r="FG31" s="32">
        <f>FF31/((1+InputData!$C$7)^(Ortho!$B31-Ortho!$B$7))</f>
        <v>175840.0084319287</v>
      </c>
      <c r="FH31" s="5">
        <f t="shared" si="118"/>
        <v>3150724.1934426636</v>
      </c>
      <c r="FI31" s="79"/>
      <c r="FJ31" s="32">
        <f t="shared" si="163"/>
        <v>157917.21122702723</v>
      </c>
      <c r="FK31" s="32">
        <f>FJ31*InputData!$C$6</f>
        <v>9806.6588171983913</v>
      </c>
      <c r="FL31" s="32">
        <f t="shared" si="164"/>
        <v>146054.0027003829</v>
      </c>
      <c r="FM31" s="32">
        <f>MIN($EJ$16*InputData!$C$6/(1-(1+InputData!$C$6)^(-25)), FJ31+FK31)</f>
        <v>21669.867343842721</v>
      </c>
      <c r="FN31" s="32">
        <f>FM31/((1+InputData!$C$3)^(Ortho!$B31-Ortho!$B$7))</f>
        <v>13472.622168451282</v>
      </c>
      <c r="FO31" s="5">
        <f t="shared" si="66"/>
        <v>343973.91065192077</v>
      </c>
      <c r="FP31" s="32">
        <f>FO31/((1+InputData!$C$7)^(Ortho!$B31-Ortho!$B$7))</f>
        <v>169212.37107031196</v>
      </c>
      <c r="FQ31" s="5">
        <f t="shared" si="119"/>
        <v>3186477.9929283201</v>
      </c>
      <c r="FR31" s="79"/>
      <c r="FS31" s="32">
        <f t="shared" si="165"/>
        <v>0</v>
      </c>
      <c r="FT31" s="32">
        <f>FS31*InputData!$C$6</f>
        <v>0</v>
      </c>
      <c r="FU31" s="32">
        <f t="shared" si="166"/>
        <v>0</v>
      </c>
      <c r="FV31" s="5">
        <f t="shared" si="171"/>
        <v>0</v>
      </c>
      <c r="FW31" s="32">
        <f>FV31/((1+InputData!$C$3)^(Ortho!$B31-Ortho!$B$7))</f>
        <v>0</v>
      </c>
      <c r="FX31" s="5">
        <f t="shared" si="70"/>
        <v>357446.53282037203</v>
      </c>
      <c r="FY31" s="32">
        <f>FX31/((1+InputData!$C$7)^(Ortho!$B31-Ortho!$B$7))</f>
        <v>175840.0084319287</v>
      </c>
      <c r="FZ31" s="5">
        <f t="shared" si="120"/>
        <v>3150724.1934426636</v>
      </c>
      <c r="GC31" s="83">
        <v>20</v>
      </c>
      <c r="GD31" s="4" t="s">
        <v>217</v>
      </c>
      <c r="GE31" s="5"/>
      <c r="GF31" s="84">
        <v>0</v>
      </c>
      <c r="GG31" s="5"/>
      <c r="GH31" s="84">
        <f>MIN(InputData!$C$13+InputData!$E$13*($B31-$B$31),1)*$AW31/((1+InputData!$C$3)^(Ortho!$B31-Ortho!$B$7))+0.025*$GC$30*(($F$28+$F$29+$F$30)/3)*((1+InputData!$C$5)/(1+InputData!$C$3))^(Ortho!$B31-Ortho!$B$7)</f>
        <v>463160.11738727172</v>
      </c>
      <c r="GI31" s="5">
        <v>0</v>
      </c>
      <c r="GJ31" s="32">
        <f>IF(GH31-InputData!$C$158-InputData!$C$159&gt;=0,GH31-InputData!$C$158-InputData!$C$159,0)</f>
        <v>463160.11738727172</v>
      </c>
      <c r="GK31" s="32">
        <f>IF(GH31-IF(GH31&lt;=InputData!$C$146,InputData!$C$145,0)-MAX(InputData!$C$144,GQ31)&gt;=0,GH31-IF(GH31&lt;=InputData!$C$146,InputData!$C$145,0)-MAX(InputData!$C$144,GQ31),0)</f>
        <v>457060.11738727172</v>
      </c>
      <c r="GL31" s="32">
        <f>IF(GK31&lt;0,"Error",IF(GK31&lt;=InputData!$B$170,InputData!$C$170*GK31,IF(GK31&lt;=InputData!$B$171,InputData!$D$170+InputData!$C$171*(GK31-InputData!$B$170),IF(GK31&lt;=InputData!$B$172,InputData!$D$171+InputData!$C$172*(GK31-InputData!$B$171),IF(GK31&lt;=InputData!$B$173,InputData!$D$172+InputData!$C$173*(GK31-InputData!$B$172),IF(GK31&lt;=InputData!$B$174,InputData!$D$173+InputData!$C$174*(GK31-InputData!$B$173),IF(GK31&lt;=InputData!$B$175,InputData!$D$174+InputData!$C$175*(GK31-InputData!$B$174),InputData!$D$175+InputData!$C$176*(GK31-InputData!$B$175))))))))</f>
        <v>138759.55648535962</v>
      </c>
      <c r="GM31" s="32">
        <f>IF(GH31&lt;=InputData!$C$150,InputData!$C$152,IF(GH31&lt;InputData!$C$151,IF(InputData!$C$152-0.25*IF(GH31-InputData!$C$150&lt;=0,0,GH31-InputData!$C$150)&lt;=0,0,InputData!$C$152-0.25*IF(GH31-InputData!$C$150&lt;=0,0,GH31-InputData!$C$150)),0))</f>
        <v>0</v>
      </c>
      <c r="GN31" s="32">
        <f>IF(GH31-GM31&lt;=0,0,IF(GH31-GM31&lt;=InputData!$C$153,InputData!$C$154*(GH31-GM31),InputData!$C$155*(GH31-GM31)-InputData!$D$154))</f>
        <v>126094.83286843609</v>
      </c>
      <c r="GO31" s="32">
        <f t="shared" si="71"/>
        <v>138759.55648535962</v>
      </c>
      <c r="GP31" s="32">
        <f>IF(GH31&gt;=0,IF(GH31&lt;=InputData!$C$148,InputData!$C$147*GH31,InputData!$C$147*InputData!$C$148)+InputData!$C$149*GH31,0)</f>
        <v>13765.221702115439</v>
      </c>
      <c r="GQ31" s="32">
        <f>IF(GJ31&lt;0,0,IF(GJ31&lt;=InputData!$B$163,InputData!$C$163*GJ31,IF(GJ31&lt;=InputData!$B$164,InputData!$D$163+InputData!$C$164*(GJ31-InputData!$B$163),IF(GJ31&lt;=InputData!$B$165,InputData!$D$164+InputData!$C$165*(GJ31-InputData!$B$164),InputData!$D$165+InputData!$C$166*(GJ31-InputData!$B$165)))))</f>
        <v>0</v>
      </c>
      <c r="GR31" s="43">
        <f t="shared" si="72"/>
        <v>0.32931328165274931</v>
      </c>
      <c r="GS31" s="43">
        <f t="shared" si="73"/>
        <v>0.32931328165274931</v>
      </c>
      <c r="GT31" s="5">
        <f t="shared" si="74"/>
        <v>310635.33919979667</v>
      </c>
      <c r="GU31" s="32">
        <f>GT31/((1+InputData!$C$7)^(Ortho!$B31-Ortho!$B$7))</f>
        <v>152812.00305164687</v>
      </c>
      <c r="GV31" s="84">
        <f t="shared" si="75"/>
        <v>1705481.9991630497</v>
      </c>
      <c r="GX31" s="124">
        <v>21</v>
      </c>
      <c r="GY31" s="125" t="str">
        <f>AA31</f>
        <v>Multi-Year (O6&gt;20 = (BP+BAH+BAS+VSP+BCPSP)*12+ASP+ISP+MSP)</v>
      </c>
      <c r="GZ31" s="5"/>
      <c r="HA31" s="5">
        <f t="shared" si="133"/>
        <v>21631.199999999997</v>
      </c>
      <c r="HB31" s="5"/>
      <c r="HC31" s="5">
        <f t="shared" si="135"/>
        <v>192105.3612300973</v>
      </c>
      <c r="HD31" s="5">
        <v>0</v>
      </c>
      <c r="HE31" s="32">
        <f>IF(HC31-InputData!$C$158-InputData!$C$159&gt;=0,HC31-InputData!$C$158-InputData!$C$159,0)</f>
        <v>192105.3612300973</v>
      </c>
      <c r="HF31" s="32">
        <f>IF(HC31-IF(HC31&lt;=InputData!$C$146,InputData!$C$145,0)-MAX(InputData!$C$144,HL31)&gt;=0,HC31-IF(HC31&lt;=InputData!$C$146,InputData!$C$145,0)-MAX(InputData!$C$144,HL31),0)</f>
        <v>186005.3612300973</v>
      </c>
      <c r="HG31" s="32">
        <f>IF(HF31&lt;0,"Error",IF(HF31&lt;=InputData!$B$170,InputData!$C$170*HF31,IF(HF31&lt;=InputData!$B$171,InputData!$D$170+InputData!$C$171*(HF31-InputData!$B$170),IF(HF31&lt;=InputData!$B$172,InputData!$D$171+InputData!$C$172*(HF31-InputData!$B$171),IF(HF31&lt;=InputData!$B$173,InputData!$D$172+InputData!$C$173*(HF31-InputData!$B$172),IF(HF31&lt;=InputData!$B$174,InputData!$D$173+InputData!$C$174*(HF31-InputData!$B$173),IF(HF31&lt;=InputData!$B$175,InputData!$D$174+InputData!$C$175*(HF31-InputData!$B$174),InputData!$D$175+InputData!$C$176*(HF31-InputData!$B$175))))))))</f>
        <v>45512.519205932113</v>
      </c>
      <c r="HH31" s="32">
        <f>IF(HC31&lt;=InputData!$C$150,InputData!$C$152,IF(HC31&lt;InputData!$C$151,IF(InputData!$C$152-0.25*IF(HC31-InputData!$C$150&lt;=0,0,HC31-InputData!$C$150)&lt;=0,0,InputData!$C$152-0.25*IF(HC31-InputData!$C$150&lt;=0,0,HC31-InputData!$C$150)),0))</f>
        <v>32723.659692475674</v>
      </c>
      <c r="HI31" s="32">
        <f>IF(HC31-HH31&lt;=0,0,IF(HC31-HH31&lt;=InputData!$C$153,InputData!$C$154*(HC31-HH31),InputData!$C$155*(HC31-HH31)-InputData!$D$154))</f>
        <v>41439.242399781622</v>
      </c>
      <c r="HJ31" s="32">
        <f t="shared" si="76"/>
        <v>45512.519205932113</v>
      </c>
      <c r="HK31" s="32">
        <f>IF(HC31&gt;=0,IF(HC31&lt;=InputData!$C$148,InputData!$C$147*HC31,InputData!$C$147*InputData!$C$148)+InputData!$C$149*HC31,0)</f>
        <v>9834.9277378364113</v>
      </c>
      <c r="HL31" s="32">
        <f>IF(HE31&lt;0,0,IF(HE31&lt;=InputData!$B$163,InputData!$C$163*HE31,IF(HE31&lt;=InputData!$B$164,InputData!$D$163+InputData!$C$164*(HE31-InputData!$B$163),IF(HE31&lt;=InputData!$B$165,InputData!$D$164+InputData!$C$165*(HE31-InputData!$B$164),InputData!$D$165+InputData!$C$166*(HE31-InputData!$B$165)))))</f>
        <v>0</v>
      </c>
      <c r="HM31" s="43">
        <f t="shared" si="77"/>
        <v>0.28810985070570322</v>
      </c>
      <c r="HN31" s="43">
        <f t="shared" si="78"/>
        <v>0.28810985070570322</v>
      </c>
      <c r="HO31" s="5">
        <f t="shared" si="79"/>
        <v>136757.9142863288</v>
      </c>
      <c r="HP31" s="32">
        <f>HO31/((1+InputData!$C$7)^(Ortho!$B31-Ortho!$B$7))</f>
        <v>67275.831748872108</v>
      </c>
      <c r="HQ31" s="32">
        <f t="shared" si="80"/>
        <v>1645313.7560602841</v>
      </c>
      <c r="HS31" s="227"/>
      <c r="HT31" s="53" t="s">
        <v>109</v>
      </c>
      <c r="HU31" s="32">
        <f>MIN(InputData!$C$13+InputData!$E$13*($B31-$B$23),1)*Ortho!AW31</f>
        <v>678750.11677229311</v>
      </c>
      <c r="HV31" s="32">
        <f>MIN(InputData!$C$13+InputData!$E$13*($B31-$B$23),1)*Ortho!AX31</f>
        <v>0</v>
      </c>
      <c r="HW31" s="32">
        <f>MIN(InputData!$C$13+InputData!$E$13*($B31-$B$23),1)*Ortho!AY31</f>
        <v>678750.11677229311</v>
      </c>
      <c r="HX31" s="32">
        <f>MIN(InputData!$C$13+InputData!$E$13*($B31-$B$23),1)*Ortho!EO31</f>
        <v>421993.53253833484</v>
      </c>
      <c r="HY31" s="32">
        <f>MIN(InputData!$C$13+InputData!$E$13*($B31-$B$23),1)*Ortho!EP31</f>
        <v>0</v>
      </c>
      <c r="HZ31" s="32">
        <f>IF(HX31-InputData!$C$158-InputData!$C$159&gt;=0,HX31-InputData!$C$158-InputData!$C$159,0)</f>
        <v>421993.53253833484</v>
      </c>
      <c r="IA31" s="32">
        <f>IF(HX31-IF(HX31&lt;=InputData!$C$146,InputData!$C$145,0)-MAX(InputData!$C$144,IG31)&gt;=0,HX31-IF(HX31&lt;=InputData!$C$146,InputData!$C$145,0)-MAX(InputData!$C$144,IG31),0)</f>
        <v>415893.53253833484</v>
      </c>
      <c r="IB31" s="32">
        <f>IF(IA31&lt;0,"Error",IF(IA31&lt;=InputData!$B$170,InputData!$C$170*IA31,IF(IA31&lt;=InputData!$B$171,InputData!$D$170+InputData!$C$171*(IA31-InputData!$B$170),IF(IA31&lt;=InputData!$B$172,InputData!$D$171+InputData!$C$172*(IA31-InputData!$B$171),IF(IA31&lt;=InputData!$B$173,InputData!$D$172+InputData!$C$173*(IA31-InputData!$B$172),IF(IA31&lt;=InputData!$B$174,InputData!$D$173+InputData!$C$174*(IA31-InputData!$B$173),IF(IA31&lt;=InputData!$B$175,InputData!$D$174+InputData!$C$175*(IA31-InputData!$B$174),InputData!$D$175+InputData!$C$176*(IA31-InputData!$B$175))))))))</f>
        <v>122457.58888518059</v>
      </c>
      <c r="IC31" s="32">
        <f>IF(HX31&lt;=InputData!$C$150,InputData!$C$152,IF(HX31&lt;InputData!$C$151,IF(InputData!$C$152-0.25*IF(HX31-InputData!$C$150&lt;=0,0,HX31-InputData!$C$150)&lt;=0,0,InputData!$C$152-0.25*IF(HX31-InputData!$C$150&lt;=0,0,HX31-InputData!$C$150)),0))</f>
        <v>0</v>
      </c>
      <c r="ID31" s="32">
        <f>IF(HX31-IC31&lt;=0,0,IF(HX31-IC31&lt;=InputData!$C$153,InputData!$C$154*(HX31-IC31),InputData!$C$155*(HX31-IC31)-InputData!$D$154))</f>
        <v>114568.18911073377</v>
      </c>
      <c r="IE31" s="32">
        <f t="shared" si="88"/>
        <v>122457.58888518059</v>
      </c>
      <c r="IF31" s="32">
        <f>IF(HX31&gt;=0,IF(HX31&lt;=InputData!$C$148,InputData!$C$147*HX31,InputData!$C$147*InputData!$C$148)+InputData!$C$149*HX31,0)</f>
        <v>13168.306221805855</v>
      </c>
      <c r="IG31" s="32">
        <f>IF(HZ31&lt;0,0,IF(HZ31&lt;=InputData!$B$163,InputData!$C$163*HZ31,IF(HZ31&lt;=InputData!$B$164,InputData!$D$163+InputData!$C$164*(HZ31-InputData!$B$163),IF(HZ31&lt;=InputData!$B$165,InputData!$D$164+InputData!$C$165*(HZ31-InputData!$B$164),InputData!$D$165+InputData!$C$166*(HZ31-InputData!$B$165)))))</f>
        <v>0</v>
      </c>
      <c r="IH31" s="43">
        <f t="shared" si="89"/>
        <v>0.32139330262049903</v>
      </c>
      <c r="II31" s="43">
        <f t="shared" si="90"/>
        <v>0.32139330262049903</v>
      </c>
      <c r="IJ31" s="5">
        <f t="shared" si="91"/>
        <v>286367.63743134838</v>
      </c>
      <c r="IK31" s="32">
        <f>IJ31/((1+InputData!$C$7)^(Ortho!$B31-Ortho!$B$7))</f>
        <v>140873.90184832117</v>
      </c>
      <c r="IL31" s="5">
        <f t="shared" si="92"/>
        <v>2262347.2852648785</v>
      </c>
      <c r="IN31" s="227"/>
      <c r="IO31" s="53" t="s">
        <v>109</v>
      </c>
      <c r="IP31" s="32">
        <f>MIN(InputData!$C$13+InputData!$E$13*($B31-$B$20),1)*Ortho!AW31</f>
        <v>678750.11677229311</v>
      </c>
      <c r="IQ31" s="32">
        <f>MIN(InputData!$C$13+InputData!$E$13*($B31-$B$20),1)*Ortho!AX31</f>
        <v>0</v>
      </c>
      <c r="IR31" s="32">
        <f>MIN(InputData!$C$13+InputData!$E$13*($B31-$B$20),1)*Ortho!AY31</f>
        <v>678750.11677229311</v>
      </c>
      <c r="IS31" s="32">
        <f>MIN(InputData!$C$13+InputData!$E$13*($B31-$B$20),1)*Ortho!EO31</f>
        <v>421993.53253833484</v>
      </c>
      <c r="IT31" s="32">
        <f>MIN(InputData!$C$13+InputData!$E$13*($B31-$B$20),1)*Ortho!EP31</f>
        <v>0</v>
      </c>
      <c r="IU31" s="32">
        <f>IF(IS31-InputData!$C$158-InputData!$C$159&gt;=0,IS31-InputData!$C$158-InputData!$C$159,0)</f>
        <v>421993.53253833484</v>
      </c>
      <c r="IV31" s="32">
        <f>IF(IS31-IF(IS31&lt;=InputData!$C$146,InputData!$C$145,0)-MAX(InputData!$C$144,JB31)&gt;=0,IS31-IF(IS31&lt;=InputData!$C$146,InputData!$C$145,0)-MAX(InputData!$C$144,JB31),0)</f>
        <v>415893.53253833484</v>
      </c>
      <c r="IW31" s="32">
        <f>IF(IV31&lt;0,"Error",IF(IV31&lt;=InputData!$B$170,InputData!$C$170*IV31,IF(IV31&lt;=InputData!$B$171,InputData!$D$170+InputData!$C$171*(IV31-InputData!$B$170),IF(IV31&lt;=InputData!$B$172,InputData!$D$171+InputData!$C$172*(IV31-InputData!$B$171),IF(IV31&lt;=InputData!$B$173,InputData!$D$172+InputData!$C$173*(IV31-InputData!$B$172),IF(IV31&lt;=InputData!$B$174,InputData!$D$173+InputData!$C$174*(IV31-InputData!$B$173),IF(IV31&lt;=InputData!$B$175,InputData!$D$174+InputData!$C$175*(IV31-InputData!$B$174),InputData!$D$175+InputData!$C$176*(IV31-InputData!$B$175))))))))</f>
        <v>122457.58888518059</v>
      </c>
      <c r="IX31" s="32">
        <f>IF(IS31&lt;=InputData!$C$150,InputData!$C$152,IF(IS31&lt;InputData!$C$151,IF(InputData!$C$152-0.25*IF(IS31-InputData!$C$150&lt;=0,0,IS31-InputData!$C$150)&lt;=0,0,InputData!$C$152-0.25*IF(IS31-InputData!$C$150&lt;=0,0,IS31-InputData!$C$150)),0))</f>
        <v>0</v>
      </c>
      <c r="IY31" s="32">
        <f>IF(IS31-IX31&lt;=0,0,IF(IS31-IX31&lt;=InputData!$C$153,InputData!$C$154*(IS31-IX31),InputData!$C$155*(IS31-IX31)-InputData!$D$154))</f>
        <v>114568.18911073377</v>
      </c>
      <c r="IZ31" s="32">
        <f t="shared" si="95"/>
        <v>122457.58888518059</v>
      </c>
      <c r="JA31" s="32">
        <f>IF(IS31&gt;=0,IF(IS31&lt;=InputData!$C$148,InputData!$C$147*IS31,InputData!$C$147*InputData!$C$148)+InputData!$C$149*IS31,0)</f>
        <v>13168.306221805855</v>
      </c>
      <c r="JB31" s="32">
        <f>IF(IU31&lt;0,0,IF(IU31&lt;=InputData!$B$163,InputData!$C$163*IU31,IF(IU31&lt;=InputData!$B$164,InputData!$D$163+InputData!$C$164*(IU31-InputData!$B$163),IF(IU31&lt;=InputData!$B$165,InputData!$D$164+InputData!$C$165*(IU31-InputData!$B$164),InputData!$D$165+InputData!$C$166*(IU31-InputData!$B$165)))))</f>
        <v>0</v>
      </c>
      <c r="JC31" s="43">
        <f t="shared" si="96"/>
        <v>0.32139330262049903</v>
      </c>
      <c r="JD31" s="43">
        <f t="shared" si="97"/>
        <v>0.32139330262049903</v>
      </c>
      <c r="JE31" s="5">
        <f t="shared" si="98"/>
        <v>286367.63743134838</v>
      </c>
      <c r="JF31" s="32">
        <f>JE31/((1+InputData!$C$7)^(Ortho!$B31-Ortho!$B$7))</f>
        <v>140873.90184832117</v>
      </c>
      <c r="JG31" s="5">
        <f t="shared" si="99"/>
        <v>2517338.9765915866</v>
      </c>
      <c r="JI31" s="41" t="str">
        <f t="shared" si="13"/>
        <v>Private Practice</v>
      </c>
      <c r="JJ31" s="5">
        <f t="shared" si="14"/>
        <v>754166.796413659</v>
      </c>
      <c r="JK31" s="32">
        <v>0</v>
      </c>
      <c r="JL31" s="32">
        <f t="shared" si="101"/>
        <v>754166.796413659</v>
      </c>
      <c r="JM31" s="32">
        <f>JM30*(1+InputData!$C$8)</f>
        <v>18480.943996470349</v>
      </c>
      <c r="JN31" s="32">
        <f>JJ31/((1+InputData!$C$3)^(Ortho!$B31-Ortho!$B$7))</f>
        <v>468881.70282037201</v>
      </c>
      <c r="JO31" s="32">
        <f>JK31/((1+InputData!$C$3)^(Ortho!$B31-Ortho!$B$7))</f>
        <v>0</v>
      </c>
      <c r="JP31" s="32" t="s">
        <v>141</v>
      </c>
      <c r="JQ31" s="32">
        <v>0</v>
      </c>
      <c r="JR31" s="32">
        <f t="shared" si="167"/>
        <v>0</v>
      </c>
      <c r="JS31" s="32">
        <f>(JR31)*InputData!$C$6</f>
        <v>0</v>
      </c>
      <c r="JT31" s="32">
        <f>MIN($BE$16*InputData!$C$6/(1-(1+InputData!$C$6)^(-10)), JR31+JS31)</f>
        <v>0</v>
      </c>
      <c r="JU31" s="32">
        <f t="shared" si="151"/>
        <v>0</v>
      </c>
      <c r="JV31" s="32">
        <f>JT31/((1+InputData!$C$3)^(Ortho!$B31-Ortho!$B$7))</f>
        <v>0</v>
      </c>
      <c r="JW31" s="32">
        <f>IF(JN31-InputData!$C$158-InputData!$C$159&gt;=0,JN31-InputData!$C$158-InputData!$C$159,0)</f>
        <v>468881.70282037201</v>
      </c>
      <c r="JX31" s="32">
        <f>IF(JN31-IF(JN31&lt;=InputData!$C$146,InputData!$C$145,0)-MAX(InputData!$C$144,KD31)&gt;=0,JN31-IF(JN31&lt;=InputData!$C$146,InputData!$C$145,0)-MAX(InputData!$C$144,KD31),0)</f>
        <v>462781.70282037201</v>
      </c>
      <c r="JY31" s="32">
        <f>IF(JX31&lt;0,"Error",IF(JX31&lt;=InputData!$B$170,InputData!$C$170*JX31,IF(JX31&lt;=InputData!$B$171,InputData!$D$170+InputData!$C$171*(JX31-InputData!$B$170),IF(JX31&lt;=InputData!$B$172,InputData!$D$171+InputData!$C$172*(JX31-InputData!$B$171),IF(JX31&lt;=InputData!$B$173,InputData!$D$172+InputData!$C$173*(JX31-InputData!$B$172),IF(JX31&lt;=InputData!$B$174,InputData!$D$173+InputData!$C$174*(JX31-InputData!$B$173),IF(JX31&lt;=InputData!$B$175,InputData!$D$174+InputData!$C$175*(JX31-InputData!$B$174),InputData!$D$175+InputData!$C$176*(JX31-InputData!$B$175))))))))</f>
        <v>141025.30431686732</v>
      </c>
      <c r="JZ31" s="32">
        <f>IF(JN31&lt;=InputData!$C$150,InputData!$C$152,IF(JN31&lt;InputData!$C$151,IF(InputData!$C$152-0.25*IF(JN31-InputData!$C$150&lt;=0,0,JN31-InputData!$C$150)&lt;=0,0,InputData!$C$152-0.25*IF(JN31-InputData!$C$150&lt;=0,0,JN31-InputData!$C$150)),0))</f>
        <v>0</v>
      </c>
      <c r="KA31" s="32">
        <f>IF(JN31-JZ31&lt;=0,0,IF(JN31-JZ31&lt;=InputData!$C$153,InputData!$C$154*(JN31-JZ31),InputData!$C$155*(JN31-JZ31)-InputData!$D$154))</f>
        <v>127696.87678970417</v>
      </c>
      <c r="KB31" s="32">
        <f t="shared" si="102"/>
        <v>141025.30431686732</v>
      </c>
      <c r="KC31" s="32">
        <f>IF(JN31&gt;=0,IF(JN31&lt;=InputData!$C$148,InputData!$C$147*JN31,InputData!$C$147*InputData!$C$148)+InputData!$C$149*JN31,0)</f>
        <v>13848.184690895394</v>
      </c>
      <c r="KD31" s="32">
        <f>IF(JW31&lt;0,0,IF(JW31&lt;=InputData!$B$163,InputData!$C$163*JW31,IF(JW31&lt;=InputData!$B$164,InputData!$D$163+InputData!$C$164*(JW31-InputData!$B$163),IF(JW31&lt;=InputData!$B$165,InputData!$D$164+InputData!$C$165*(JW31-InputData!$B$164),InputData!$D$165+InputData!$C$166*(JW31-InputData!$B$165)))))</f>
        <v>0</v>
      </c>
      <c r="KE31" s="43">
        <f t="shared" si="15"/>
        <v>0.33030397235844916</v>
      </c>
      <c r="KF31" s="32">
        <f t="shared" si="16"/>
        <v>314008.21381260932</v>
      </c>
      <c r="KG31" s="32">
        <f t="shared" si="103"/>
        <v>314008.21381260932</v>
      </c>
      <c r="KH31" s="32">
        <f>KG31/((1+InputData!$C$7)^(Ortho!$B31-Ortho!$B$7))</f>
        <v>154471.23386213247</v>
      </c>
      <c r="KI31" s="5">
        <f t="shared" si="122"/>
        <v>3089592.4464699537</v>
      </c>
    </row>
    <row r="32" spans="1:295" x14ac:dyDescent="0.25">
      <c r="A32" s="4">
        <v>2038</v>
      </c>
      <c r="B32" s="51">
        <v>26</v>
      </c>
      <c r="C32" s="4"/>
      <c r="D32" s="3">
        <v>26</v>
      </c>
      <c r="E32" s="97" t="s">
        <v>271</v>
      </c>
      <c r="F32" s="5">
        <f>InputData!$P$21*12</f>
        <v>120412.79999999999</v>
      </c>
      <c r="G32" s="32">
        <f>(InputData!$P$21+InputData!$K$45+InputData!$G$50)*12+InputData!$J$50+InputData!$D$61+InputData!$J$61</f>
        <v>248412.76</v>
      </c>
      <c r="H32" s="32">
        <f>(InputData!$C$32+InputData!$C$40)*12</f>
        <v>21631.199999999997</v>
      </c>
      <c r="I32" s="32">
        <f t="shared" si="17"/>
        <v>270043.96000000002</v>
      </c>
      <c r="J32" s="5">
        <f>G32*((1+InputData!$C$5)/(1+InputData!$C$3))^(Ortho!$B32-Ortho!$B$7)</f>
        <v>194179.75581545787</v>
      </c>
      <c r="K32" s="5">
        <f>H32*((1+InputData!$C$5)/(1+InputData!$C$3))^(Ortho!$B32-Ortho!$B$7)</f>
        <v>16908.717305807204</v>
      </c>
      <c r="L32" s="32">
        <f>IF(J32-InputData!$C$158-InputData!$C$159&gt;=0,J32-InputData!$C$158-InputData!$C$159,0)</f>
        <v>194179.75581545787</v>
      </c>
      <c r="M32" s="32">
        <f>IF(J32-IF(J32&lt;=InputData!$C$146,InputData!$C$145,0)-MAX(InputData!$C$144,S32)&gt;=0,J32-IF(J32&lt;=InputData!$C$146,InputData!$C$145,0)-MAX(InputData!$C$144,S32),0)</f>
        <v>188079.75581545787</v>
      </c>
      <c r="N32" s="32">
        <f>IF(M32&lt;0,"Error",IF(M32&lt;=InputData!$B$170,InputData!$C$170*M32,IF(M32&lt;=InputData!$B$171,InputData!$D$170+InputData!$C$171*(M32-InputData!$B$170),IF(M32&lt;=InputData!$B$172,InputData!$D$171+InputData!$C$172*(M32-InputData!$B$171),IF(M32&lt;=InputData!$B$173,InputData!$D$172+InputData!$C$173*(M32-InputData!$B$172),IF(M32&lt;=InputData!$B$174,InputData!$D$173+InputData!$C$174*(M32-InputData!$B$173),IF(M32&lt;=InputData!$B$175,InputData!$D$174+InputData!$C$175*(M32-InputData!$B$174),InputData!$D$175+InputData!$C$176*(M32-InputData!$B$175))))))))</f>
        <v>46197.069419101099</v>
      </c>
      <c r="O32" s="32">
        <f>IF(J32&lt;=InputData!$C$150,InputData!$C$152,IF(J32&lt;InputData!$C$151,IF(InputData!$C$152-0.25*IF(J32-InputData!$C$150&lt;=0,0,J32-InputData!$C$150)&lt;=0,0,InputData!$C$152-0.25*IF(J32-InputData!$C$150&lt;=0,0,J32-InputData!$C$150)),0))</f>
        <v>32205.061046135532</v>
      </c>
      <c r="P32" s="32">
        <f>IF(J32-O32&lt;=0,0,IF(J32-O32&lt;=InputData!$C$153,InputData!$C$154*(J32-O32),InputData!$C$155*(J32-O32)-InputData!$D$154))</f>
        <v>42113.420640023811</v>
      </c>
      <c r="Q32" s="32">
        <f t="shared" si="18"/>
        <v>46197.069419101099</v>
      </c>
      <c r="R32" s="32">
        <f>IF(J32&gt;=0,IF(J32&lt;=InputData!$C$148,InputData!$C$147*J32,InputData!$C$147*InputData!$C$148)+InputData!$C$149*J32,0)</f>
        <v>9865.0064593241386</v>
      </c>
      <c r="S32" s="32">
        <f>IF(L32&lt;0,0,IF(L32&lt;=InputData!$B$163,InputData!$C$163*L32,IF(L32&lt;=InputData!$B$164,InputData!$D$163+InputData!$C$164*(L32-InputData!$B$163),IF(L32&lt;=InputData!$B$165,InputData!$D$164+InputData!$C$165*(L32-InputData!$B$164),InputData!$D$165+InputData!$C$166*(L32-InputData!$B$165)))))</f>
        <v>0</v>
      </c>
      <c r="T32" s="43">
        <f t="shared" si="19"/>
        <v>0.28871225861312139</v>
      </c>
      <c r="U32" s="43">
        <f t="shared" si="20"/>
        <v>0.26558568096808854</v>
      </c>
      <c r="V32" s="5">
        <f t="shared" si="21"/>
        <v>155026.39724283983</v>
      </c>
      <c r="W32" s="32">
        <f>V32/((1+InputData!$C$7)^(Ortho!$B32-Ortho!$B$7))</f>
        <v>74041.470705750704</v>
      </c>
      <c r="X32" s="5">
        <f t="shared" si="104"/>
        <v>1703676.4952129005</v>
      </c>
      <c r="Y32" s="53"/>
      <c r="Z32" s="3">
        <v>22.5</v>
      </c>
      <c r="AA32" s="98" t="s">
        <v>268</v>
      </c>
      <c r="AB32" s="32">
        <f>(0.5*InputData!$N$21+0.5*InputData!$O$21)*12</f>
        <v>115862.40000000001</v>
      </c>
      <c r="AC32" s="32">
        <f>(0.5*(InputData!$N$21+InputData!$J$45)+0.5*(InputData!$O$21+InputData!$K$45)+InputData!$G$50)*12+InputData!$J$50+InputData!$D$61+InputData!$J$61</f>
        <v>244358.38</v>
      </c>
      <c r="AD32" s="32">
        <f t="shared" si="174"/>
        <v>21631.199999999997</v>
      </c>
      <c r="AE32" s="32">
        <f t="shared" si="22"/>
        <v>265989.58</v>
      </c>
      <c r="AF32" s="5">
        <f>AC32*((1+InputData!$C$5)/(1+InputData!$C$3))^(Ortho!$B32-Ortho!$B$7)</f>
        <v>191010.52039299777</v>
      </c>
      <c r="AG32" s="5">
        <f>AD32*((1+InputData!$C$5)/(1+InputData!$C$3))^(Ortho!$B32-Ortho!$B$7)</f>
        <v>16908.717305807204</v>
      </c>
      <c r="AH32" s="32">
        <f>IF(AF32-InputData!$C$158-InputData!$C$159&gt;=0,AF32-InputData!$C$158-InputData!$C$159,0)</f>
        <v>191010.52039299777</v>
      </c>
      <c r="AI32" s="32">
        <f>IF(AF32-IF(AF32&lt;=InputData!$C$146,InputData!$C$145,0)-MAX(InputData!$C$144,AO32)&gt;=0,AF32-IF(AF32&lt;=InputData!$C$146,InputData!$C$145,0)-MAX(InputData!$C$144,AO32),0)</f>
        <v>184910.52039299777</v>
      </c>
      <c r="AJ32" s="32">
        <f>IF(AI32&lt;0,"Error",IF(AI32&lt;=InputData!$B$170,InputData!$C$170*AI32,IF(AI32&lt;=InputData!$B$171,InputData!$D$170+InputData!$C$171*(AI32-InputData!$B$170),IF(AI32&lt;=InputData!$B$172,InputData!$D$171+InputData!$C$172*(AI32-InputData!$B$171),IF(AI32&lt;=InputData!$B$173,InputData!$D$172+InputData!$C$173*(AI32-InputData!$B$172),IF(AI32&lt;=InputData!$B$174,InputData!$D$173+InputData!$C$174*(AI32-InputData!$B$173),IF(AI32&lt;=InputData!$B$175,InputData!$D$174+InputData!$C$175*(AI32-InputData!$B$174),InputData!$D$175+InputData!$C$176*(AI32-InputData!$B$175))))))))</f>
        <v>45151.221729689263</v>
      </c>
      <c r="AK32" s="32">
        <f>IF(AF32&lt;=InputData!$C$150,InputData!$C$152,IF(AF32&lt;InputData!$C$151,IF(InputData!$C$152-0.25*IF(AF32-InputData!$C$150&lt;=0,0,AF32-InputData!$C$150)&lt;=0,0,InputData!$C$152-0.25*IF(AF32-InputData!$C$150&lt;=0,0,AF32-InputData!$C$150)),0))</f>
        <v>32997.369901750557</v>
      </c>
      <c r="AL32" s="32">
        <f>IF(AF32-AK32&lt;=0,0,IF(AF32-AK32&lt;=InputData!$C$153,InputData!$C$154*(AF32-AK32),InputData!$C$155*(AF32-AK32)-InputData!$D$154))</f>
        <v>41083.419127724279</v>
      </c>
      <c r="AM32" s="32">
        <f t="shared" si="23"/>
        <v>45151.221729689263</v>
      </c>
      <c r="AN32" s="32">
        <f>IF(AF32&gt;=0,IF(AF32&lt;=InputData!$C$148,InputData!$C$147*AF32,InputData!$C$147*InputData!$C$148)+InputData!$C$149*AF32,0)</f>
        <v>9819.0525456984669</v>
      </c>
      <c r="AO32" s="32">
        <f>IF(AH32&lt;0,0,IF(AH32&lt;=InputData!$B$163,InputData!$C$163*AH32,IF(AH32&lt;=InputData!$B$164,InputData!$D$163+InputData!$C$164*(AH32-InputData!$B$163),IF(AH32&lt;=InputData!$B$165,InputData!$D$164+InputData!$C$165*(AH32-InputData!$B$164),InputData!$D$165+InputData!$C$166*(AH32-InputData!$B$165)))))</f>
        <v>0</v>
      </c>
      <c r="AP32" s="43">
        <f t="shared" si="24"/>
        <v>0.28778663165928364</v>
      </c>
      <c r="AQ32" s="43">
        <f t="shared" si="25"/>
        <v>0.26438281942442732</v>
      </c>
      <c r="AR32" s="5">
        <f t="shared" si="26"/>
        <v>152948.96342341724</v>
      </c>
      <c r="AS32" s="32">
        <f>AR32/((1+InputData!$C$7)^(Ortho!$B32-Ortho!$B$7))</f>
        <v>73049.27674382196</v>
      </c>
      <c r="AT32" s="5">
        <f t="shared" si="105"/>
        <v>1726763.3574086342</v>
      </c>
      <c r="AU32" s="53"/>
      <c r="AV32" s="41" t="s">
        <v>109</v>
      </c>
      <c r="AW32" s="32">
        <f>$AW$17*(1+InputData!$C$3+InputData!$C$4)^(Ortho!$B32-Ortho!$B$17)</f>
        <v>776791.80030606873</v>
      </c>
      <c r="AX32" s="32">
        <v>0</v>
      </c>
      <c r="AY32" s="32">
        <f t="shared" si="28"/>
        <v>776791.80030606873</v>
      </c>
      <c r="AZ32" s="32">
        <f>AZ31*(1+InputData!$C$8)</f>
        <v>18850.562876399756</v>
      </c>
      <c r="BA32" s="32">
        <f>AW32/((1+InputData!$C$3)^(Ortho!$B32-Ortho!$B$7))</f>
        <v>473478.58225978736</v>
      </c>
      <c r="BB32" s="32">
        <f>AX32/((1+InputData!$C$3)^(Ortho!$B32-Ortho!$B$7))</f>
        <v>0</v>
      </c>
      <c r="BC32" s="32" t="s">
        <v>141</v>
      </c>
      <c r="BD32" s="32">
        <v>0</v>
      </c>
      <c r="BE32" s="32">
        <f t="shared" si="152"/>
        <v>0</v>
      </c>
      <c r="BF32" s="32">
        <f>(BE32)*InputData!$C$6</f>
        <v>0</v>
      </c>
      <c r="BG32" s="32">
        <f>MIN($BE$16*InputData!$C$6/(1-(1+InputData!$C$6)^(-10)), BE32+BF32)</f>
        <v>0</v>
      </c>
      <c r="BH32" s="32">
        <f t="shared" si="137"/>
        <v>0</v>
      </c>
      <c r="BI32" s="32">
        <f>BG32/((1+InputData!$C$3)^(Ortho!$B32-Ortho!$B$7))</f>
        <v>0</v>
      </c>
      <c r="BJ32" s="32">
        <f>IF(BA32-InputData!$C$158-InputData!$C$159&gt;=0,BA32-InputData!$C$158-InputData!$C$159,0)</f>
        <v>473478.58225978736</v>
      </c>
      <c r="BK32" s="32">
        <f>IF(BA32-IF(BA32&lt;=InputData!$C$146,InputData!$C$145,0)-MAX(InputData!$C$144,BQ32)&gt;=0,BA32-IF(BA32&lt;=InputData!$C$146,InputData!$C$145,0)-MAX(InputData!$C$144,BQ32),0)</f>
        <v>467378.58225978736</v>
      </c>
      <c r="BL32" s="32">
        <f>IF(BK32&lt;0,"Error",IF(BK32&lt;=InputData!$B$170,InputData!$C$170*BK32,IF(BK32&lt;=InputData!$B$171,InputData!$D$170+InputData!$C$171*(BK32-InputData!$B$170),IF(BK32&lt;=InputData!$B$172,InputData!$D$171+InputData!$C$172*(BK32-InputData!$B$171),IF(BK32&lt;=InputData!$B$173,InputData!$D$172+InputData!$C$173*(BK32-InputData!$B$172),IF(BK32&lt;=InputData!$B$174,InputData!$D$173+InputData!$C$174*(BK32-InputData!$B$173),IF(BK32&lt;=InputData!$B$175,InputData!$D$174+InputData!$C$175*(BK32-InputData!$B$174),InputData!$D$175+InputData!$C$176*(BK32-InputData!$B$175))))))))</f>
        <v>142845.6685748758</v>
      </c>
      <c r="BM32" s="32">
        <f>IF(BA32&lt;=InputData!$C$150,InputData!$C$152,IF(BA32&lt;InputData!$C$151,IF(InputData!$C$152-0.25*IF(BA32-InputData!$C$150&lt;=0,0,BA32-InputData!$C$150)&lt;=0,0,InputData!$C$152-0.25*IF(BA32-InputData!$C$150&lt;=0,0,BA32-InputData!$C$150)),0))</f>
        <v>0</v>
      </c>
      <c r="BN32" s="32">
        <f>IF(BA32-BM32&lt;=0,0,IF(BA32-BM32&lt;=InputData!$C$153,InputData!$C$154*(BA32-BM32),InputData!$C$155*(BA32-BM32)-InputData!$D$154))</f>
        <v>128984.00303274047</v>
      </c>
      <c r="BO32" s="32">
        <f t="shared" si="29"/>
        <v>142845.6685748758</v>
      </c>
      <c r="BP32" s="32">
        <f>IF(BA32&gt;=0,IF(BA32&lt;=InputData!$C$148,InputData!$C$147*BA32,InputData!$C$147*InputData!$C$148)+InputData!$C$149*BA32,0)</f>
        <v>13914.839442766915</v>
      </c>
      <c r="BQ32" s="32">
        <f>IF(BJ32&lt;0,0,IF(BJ32&lt;=InputData!$B$163,InputData!$C$163*BJ32,IF(BJ32&lt;=InputData!$B$164,InputData!$D$163+InputData!$C$164*(BJ32-InputData!$B$163),IF(BJ32&lt;=InputData!$B$165,InputData!$D$164+InputData!$C$165*(BJ32-InputData!$B$164),InputData!$D$165+InputData!$C$166*(BJ32-InputData!$B$165)))))</f>
        <v>0</v>
      </c>
      <c r="BR32" s="43">
        <f t="shared" si="30"/>
        <v>0.33108257456856127</v>
      </c>
      <c r="BS32" s="32">
        <f t="shared" si="31"/>
        <v>316718.07424214465</v>
      </c>
      <c r="BT32" s="32">
        <f t="shared" si="32"/>
        <v>316718.07424214465</v>
      </c>
      <c r="BU32" s="32">
        <f>BT32/((1+InputData!$C$7)^(Ortho!$B32-Ortho!$B$7))</f>
        <v>151266.31614387609</v>
      </c>
      <c r="BV32" s="5">
        <f t="shared" si="107"/>
        <v>2856532.3700670889</v>
      </c>
      <c r="BW32" s="5"/>
      <c r="BX32" s="32" t="s">
        <v>141</v>
      </c>
      <c r="BY32" s="5">
        <f t="shared" si="153"/>
        <v>146164.18302300491</v>
      </c>
      <c r="BZ32" s="32">
        <f>(BY32)*InputData!$C$6</f>
        <v>9076.7957657286061</v>
      </c>
      <c r="CA32" s="32">
        <f>MIN($BY$16*InputData!$C$6/(1-(1+InputData!$C$6)^(-25)), BY32+BZ32)</f>
        <v>21686.214673809533</v>
      </c>
      <c r="CB32" s="32">
        <f t="shared" si="154"/>
        <v>133554.76411492398</v>
      </c>
      <c r="CC32" s="32">
        <f>CA32/((1+InputData!$C$3)^(Ortho!$B32-Ortho!$B$7))</f>
        <v>13218.417308590269</v>
      </c>
      <c r="CD32" s="5">
        <f t="shared" si="36"/>
        <v>303499.65693355439</v>
      </c>
      <c r="CE32" s="32">
        <f>CD32/((1+InputData!$C$7)^(Ortho!$B32-Ortho!$B$7))</f>
        <v>144953.12642046864</v>
      </c>
      <c r="CF32" s="5">
        <f t="shared" si="108"/>
        <v>2885999.9518060698</v>
      </c>
      <c r="CG32" s="5"/>
      <c r="CH32" s="32" t="s">
        <v>141</v>
      </c>
      <c r="CI32" s="5" t="e">
        <f t="shared" si="155"/>
        <v>#VALUE!</v>
      </c>
      <c r="CJ32" s="32" t="e">
        <f>(CI32)*InputData!$C$6</f>
        <v>#VALUE!</v>
      </c>
      <c r="CK32" s="5" t="str">
        <f t="shared" si="168"/>
        <v>DNQ</v>
      </c>
      <c r="CL32" s="32" t="e">
        <f t="shared" si="156"/>
        <v>#VALUE!</v>
      </c>
      <c r="CM32" s="32" t="e">
        <f>CK32/((1+InputData!$C$3)^(Ortho!$B32-Ortho!$B$7))</f>
        <v>#VALUE!</v>
      </c>
      <c r="CN32" s="5" t="e">
        <f t="shared" si="40"/>
        <v>#VALUE!</v>
      </c>
      <c r="CO32" s="32" t="e">
        <f>CN32/((1+InputData!$C$7)^(Ortho!$B32-Ortho!$B$7))</f>
        <v>#VALUE!</v>
      </c>
      <c r="CP32" s="5" t="e">
        <f t="shared" si="109"/>
        <v>#VALUE!</v>
      </c>
      <c r="CQ32" s="5"/>
      <c r="CR32" s="32" t="s">
        <v>141</v>
      </c>
      <c r="CS32" s="5" t="e">
        <f t="shared" si="157"/>
        <v>#VALUE!</v>
      </c>
      <c r="CT32" s="32" t="e">
        <f>(CS32)*InputData!$C$6</f>
        <v>#VALUE!</v>
      </c>
      <c r="CU32" s="32" t="str">
        <f t="shared" si="169"/>
        <v>DNQ</v>
      </c>
      <c r="CV32" s="32" t="e">
        <f t="shared" si="158"/>
        <v>#VALUE!</v>
      </c>
      <c r="CW32" s="32" t="e">
        <f>CU32/((1+InputData!$C$3)^(Ortho!$B32-Ortho!$B$7))</f>
        <v>#VALUE!</v>
      </c>
      <c r="CX32" s="5" t="e">
        <f t="shared" si="44"/>
        <v>#VALUE!</v>
      </c>
      <c r="CY32" s="32" t="e">
        <f>CX32/((1+InputData!$C$7)^(Ortho!$B32-Ortho!$B$7))</f>
        <v>#VALUE!</v>
      </c>
      <c r="CZ32" s="5" t="e">
        <f t="shared" si="110"/>
        <v>#VALUE!</v>
      </c>
      <c r="DA32" s="5"/>
      <c r="DB32" s="32" t="s">
        <v>141</v>
      </c>
      <c r="DC32" s="5">
        <f t="shared" si="138"/>
        <v>0</v>
      </c>
      <c r="DD32" s="5">
        <f>DC32*InputData!$C$6</f>
        <v>0</v>
      </c>
      <c r="DE32" s="32">
        <f t="shared" si="139"/>
        <v>0</v>
      </c>
      <c r="DF32" s="32">
        <f t="shared" si="140"/>
        <v>0</v>
      </c>
      <c r="DG32" s="32">
        <f>DE32/((1+InputData!$C$3)^(Ortho!$B32-Ortho!$B$7))</f>
        <v>0</v>
      </c>
      <c r="DH32" s="5">
        <f t="shared" si="48"/>
        <v>316718.07424214465</v>
      </c>
      <c r="DI32" s="32">
        <f>DH32/((1+InputData!$C$7)^(Ortho!$B32-Ortho!$B$7))</f>
        <v>151266.31614387609</v>
      </c>
      <c r="DJ32" s="5">
        <f t="shared" si="111"/>
        <v>2861119.9861695054</v>
      </c>
      <c r="DK32" s="5"/>
      <c r="DL32" s="32" t="s">
        <v>141</v>
      </c>
      <c r="DM32" s="32">
        <f t="shared" si="159"/>
        <v>0</v>
      </c>
      <c r="DN32" s="5">
        <f>DM32*InputData!$C$6</f>
        <v>0</v>
      </c>
      <c r="DO32" s="32">
        <f t="shared" si="160"/>
        <v>0</v>
      </c>
      <c r="DP32" s="32">
        <f t="shared" si="123"/>
        <v>0</v>
      </c>
      <c r="DQ32" s="32">
        <f t="shared" si="124"/>
        <v>0</v>
      </c>
      <c r="DR32" s="32">
        <f>DP32/((1+InputData!$C$3)^(Ortho!$B32-Ortho!$B$7))</f>
        <v>0</v>
      </c>
      <c r="DS32" s="5">
        <f t="shared" si="52"/>
        <v>316718.07424214465</v>
      </c>
      <c r="DT32" s="32">
        <f>DS32/((1+InputData!$C$7)^(Ortho!$B32-Ortho!$B$7))</f>
        <v>151266.31614387609</v>
      </c>
      <c r="DU32" s="5">
        <f t="shared" si="113"/>
        <v>2854211.7445233511</v>
      </c>
      <c r="DV32" s="5"/>
      <c r="DW32" s="32" t="s">
        <v>141</v>
      </c>
      <c r="DX32" s="133">
        <f t="shared" si="141"/>
        <v>0</v>
      </c>
      <c r="DY32" s="5">
        <f>DX32*InputData!$C$6</f>
        <v>0</v>
      </c>
      <c r="DZ32" s="133">
        <f t="shared" si="142"/>
        <v>0</v>
      </c>
      <c r="EA32" s="32">
        <f t="shared" si="143"/>
        <v>0</v>
      </c>
      <c r="EB32" s="32">
        <f t="shared" si="144"/>
        <v>0</v>
      </c>
      <c r="EC32" s="32">
        <f>EA32/((1+InputData!$C$3)^(Ortho!$B32-Ortho!$B$7))</f>
        <v>0</v>
      </c>
      <c r="ED32" s="5">
        <f t="shared" si="56"/>
        <v>316718.07424214465</v>
      </c>
      <c r="EE32" s="32">
        <f>ED32/((1+InputData!$C$7)^(Ortho!$B32-Ortho!$B$7))</f>
        <v>151266.31614387609</v>
      </c>
      <c r="EF32" s="5">
        <f t="shared" si="115"/>
        <v>2854731.0154685569</v>
      </c>
      <c r="EG32" s="32"/>
      <c r="EH32" s="130" t="s">
        <v>141</v>
      </c>
      <c r="EI32" s="32">
        <v>0</v>
      </c>
      <c r="EJ32" s="32">
        <f t="shared" si="173"/>
        <v>0</v>
      </c>
      <c r="EK32" s="32">
        <f>(EJ32)*InputData!$C$6</f>
        <v>0</v>
      </c>
      <c r="EL32" s="32">
        <f t="shared" si="172"/>
        <v>-3.637978807091713E-11</v>
      </c>
      <c r="EM32" s="32">
        <f>EM31*(1+InputData!$C$8)</f>
        <v>18850.562876399756</v>
      </c>
      <c r="EN32" s="32">
        <f t="shared" si="170"/>
        <v>0</v>
      </c>
      <c r="EO32" s="32">
        <f>AW32/((1+InputData!$C$3)^(Ortho!$B32-Ortho!$B$7))</f>
        <v>473478.58225978736</v>
      </c>
      <c r="EP32" s="32">
        <f>AX32/((1+InputData!$C$3)^(Ortho!$B32-Ortho!$B$7))</f>
        <v>0</v>
      </c>
      <c r="EQ32" s="32">
        <v>101642.3</v>
      </c>
      <c r="ER32" s="32">
        <v>11012.5</v>
      </c>
      <c r="ES32" s="32">
        <v>0</v>
      </c>
      <c r="ET32" s="43">
        <f t="shared" si="129"/>
        <v>0.23793008643036945</v>
      </c>
      <c r="EU32" s="32">
        <f t="shared" si="57"/>
        <v>360823.78225978737</v>
      </c>
      <c r="EV32" s="32">
        <f>EN32/((1+InputData!$C$3)^(Ortho!$B32-Ortho!$B$7))</f>
        <v>0</v>
      </c>
      <c r="EW32" s="32">
        <f t="shared" si="58"/>
        <v>360823.78225978737</v>
      </c>
      <c r="EX32" s="32">
        <f>EW32/((1+InputData!$C$7)^(Ortho!$B32-Ortho!$B$7))</f>
        <v>172331.4479293309</v>
      </c>
      <c r="EY32" s="5">
        <f t="shared" si="117"/>
        <v>3323055.6413719947</v>
      </c>
      <c r="EZ32" s="79"/>
      <c r="FA32" s="32">
        <f t="shared" si="161"/>
        <v>0</v>
      </c>
      <c r="FB32" s="32">
        <f>FA32*InputData!$C$6</f>
        <v>0</v>
      </c>
      <c r="FC32" s="32">
        <f t="shared" si="162"/>
        <v>0</v>
      </c>
      <c r="FD32" s="32">
        <f>MIN($EJ$16*InputData!$C$6/(1-(1+InputData!$C$6)^(-10)), FA32+FB32)</f>
        <v>0</v>
      </c>
      <c r="FE32" s="32">
        <f>FD32/((1+InputData!$C$3)^(Ortho!$B32-Ortho!$B$7))</f>
        <v>0</v>
      </c>
      <c r="FF32" s="5">
        <f t="shared" si="62"/>
        <v>360823.78225978737</v>
      </c>
      <c r="FG32" s="32">
        <f>FF32/((1+InputData!$C$7)^(Ortho!$B32-Ortho!$B$7))</f>
        <v>172331.4479293309</v>
      </c>
      <c r="FH32" s="5">
        <f t="shared" si="118"/>
        <v>3323055.6413719947</v>
      </c>
      <c r="FI32" s="79"/>
      <c r="FJ32" s="32">
        <f t="shared" si="163"/>
        <v>146054.0027003829</v>
      </c>
      <c r="FK32" s="32">
        <f>FJ32*InputData!$C$6</f>
        <v>9069.9535676937794</v>
      </c>
      <c r="FL32" s="32">
        <f t="shared" si="164"/>
        <v>133454.08892423395</v>
      </c>
      <c r="FM32" s="32">
        <f>MIN($EJ$16*InputData!$C$6/(1-(1+InputData!$C$6)^(-25)), FJ32+FK32)</f>
        <v>21669.867343842721</v>
      </c>
      <c r="FN32" s="32">
        <f>FM32/((1+InputData!$C$3)^(Ortho!$B32-Ortho!$B$7))</f>
        <v>13208.453106324785</v>
      </c>
      <c r="FO32" s="5">
        <f t="shared" si="66"/>
        <v>347615.3291534626</v>
      </c>
      <c r="FP32" s="32">
        <f>FO32/((1+InputData!$C$7)^(Ortho!$B32-Ortho!$B$7))</f>
        <v>166023.01716441871</v>
      </c>
      <c r="FQ32" s="5">
        <f t="shared" si="119"/>
        <v>3352501.010092739</v>
      </c>
      <c r="FR32" s="79"/>
      <c r="FS32" s="32">
        <f t="shared" si="165"/>
        <v>0</v>
      </c>
      <c r="FT32" s="32">
        <f>FS32*InputData!$C$6</f>
        <v>0</v>
      </c>
      <c r="FU32" s="32">
        <f t="shared" si="166"/>
        <v>0</v>
      </c>
      <c r="FV32" s="5">
        <f t="shared" si="171"/>
        <v>0</v>
      </c>
      <c r="FW32" s="32">
        <f>FV32/((1+InputData!$C$3)^(Ortho!$B32-Ortho!$B$7))</f>
        <v>0</v>
      </c>
      <c r="FX32" s="5">
        <f t="shared" si="70"/>
        <v>360823.78225978737</v>
      </c>
      <c r="FY32" s="32">
        <f>FX32/((1+InputData!$C$7)^(Ortho!$B32-Ortho!$B$7))</f>
        <v>172331.4479293309</v>
      </c>
      <c r="FZ32" s="5">
        <f t="shared" si="120"/>
        <v>3323055.6413719947</v>
      </c>
      <c r="GC32" s="83">
        <v>20</v>
      </c>
      <c r="GD32" s="4" t="s">
        <v>217</v>
      </c>
      <c r="GE32" s="5"/>
      <c r="GF32" s="84">
        <v>0</v>
      </c>
      <c r="GG32" s="5"/>
      <c r="GH32" s="84">
        <f>MIN(InputData!$C$13+InputData!$E$13*($B32-$B$31),1)*$AW32/((1+InputData!$C$3)^(Ortho!$B32-Ortho!$B$7))+0.025*$GC$30*(($F$28+$F$29+$F$30)/3)*((1+InputData!$C$5)/(1+InputData!$C$3))^(Ortho!$B32-Ortho!$B$7)</f>
        <v>466893.71491363843</v>
      </c>
      <c r="GI32" s="5">
        <v>0</v>
      </c>
      <c r="GJ32" s="32">
        <f>IF(GH32-InputData!$C$158-InputData!$C$159&gt;=0,GH32-InputData!$C$158-InputData!$C$159,0)</f>
        <v>466893.71491363843</v>
      </c>
      <c r="GK32" s="32">
        <f>IF(GH32-IF(GH32&lt;=InputData!$C$146,InputData!$C$145,0)-MAX(InputData!$C$144,GQ32)&gt;=0,GH32-IF(GH32&lt;=InputData!$C$146,InputData!$C$145,0)-MAX(InputData!$C$144,GQ32),0)</f>
        <v>460793.71491363843</v>
      </c>
      <c r="GL32" s="32">
        <f>IF(GK32&lt;0,"Error",IF(GK32&lt;=InputData!$B$170,InputData!$C$170*GK32,IF(GK32&lt;=InputData!$B$171,InputData!$D$170+InputData!$C$171*(GK32-InputData!$B$170),IF(GK32&lt;=InputData!$B$172,InputData!$D$171+InputData!$C$172*(GK32-InputData!$B$171),IF(GK32&lt;=InputData!$B$173,InputData!$D$172+InputData!$C$173*(GK32-InputData!$B$172),IF(GK32&lt;=InputData!$B$174,InputData!$D$173+InputData!$C$174*(GK32-InputData!$B$173),IF(GK32&lt;=InputData!$B$175,InputData!$D$174+InputData!$C$175*(GK32-InputData!$B$174),InputData!$D$175+InputData!$C$176*(GK32-InputData!$B$175))))))))</f>
        <v>140238.06110580082</v>
      </c>
      <c r="GM32" s="32">
        <f>IF(GH32&lt;=InputData!$C$150,InputData!$C$152,IF(GH32&lt;InputData!$C$151,IF(InputData!$C$152-0.25*IF(GH32-InputData!$C$150&lt;=0,0,GH32-InputData!$C$150)&lt;=0,0,InputData!$C$152-0.25*IF(GH32-InputData!$C$150&lt;=0,0,GH32-InputData!$C$150)),0))</f>
        <v>0</v>
      </c>
      <c r="GN32" s="32">
        <f>IF(GH32-GM32&lt;=0,0,IF(GH32-GM32&lt;=InputData!$C$153,InputData!$C$154*(GH32-GM32),InputData!$C$155*(GH32-GM32)-InputData!$D$154))</f>
        <v>127140.24017581878</v>
      </c>
      <c r="GO32" s="32">
        <f t="shared" si="71"/>
        <v>140238.06110580082</v>
      </c>
      <c r="GP32" s="32">
        <f>IF(GH32&gt;=0,IF(GH32&lt;=InputData!$C$148,InputData!$C$147*GH32,InputData!$C$147*InputData!$C$148)+InputData!$C$149*GH32,0)</f>
        <v>13819.358866247756</v>
      </c>
      <c r="GQ32" s="32">
        <f>IF(GJ32&lt;0,0,IF(GJ32&lt;=InputData!$B$163,InputData!$C$163*GJ32,IF(GJ32&lt;=InputData!$B$164,InputData!$D$163+InputData!$C$164*(GJ32-InputData!$B$163),IF(GJ32&lt;=InputData!$B$165,InputData!$D$164+InputData!$C$165*(GJ32-InputData!$B$164),InputData!$D$165+InputData!$C$166*(GJ32-InputData!$B$165)))))</f>
        <v>0</v>
      </c>
      <c r="GR32" s="43">
        <f t="shared" si="72"/>
        <v>0.32996250549344974</v>
      </c>
      <c r="GS32" s="43">
        <f t="shared" si="73"/>
        <v>0.32996250549344974</v>
      </c>
      <c r="GT32" s="5">
        <f t="shared" si="74"/>
        <v>312836.29494158988</v>
      </c>
      <c r="GU32" s="32">
        <f>GT32/((1+InputData!$C$7)^(Ortho!$B32-Ortho!$B$7))</f>
        <v>149412.35673128651</v>
      </c>
      <c r="GV32" s="84">
        <f t="shared" si="75"/>
        <v>1854894.3558943362</v>
      </c>
      <c r="GX32" s="83">
        <v>21</v>
      </c>
      <c r="GY32" s="4" t="s">
        <v>217</v>
      </c>
      <c r="GZ32" s="5"/>
      <c r="HA32" s="84">
        <v>0</v>
      </c>
      <c r="HB32" s="5"/>
      <c r="HC32" s="84">
        <f>MIN(InputData!$C$13+InputData!$E$13*($B32-$B$32),1)*$AW32/((1+InputData!$C$3)^(Ortho!$B32-Ortho!$B$7))+0.025*$GX$31*(($AB$29+$AB$30+$AB$31)/3)*((1+InputData!$C$5)/(1+InputData!$C$3))^(Ortho!$B32-Ortho!$B$7)</f>
        <v>471615.27676843957</v>
      </c>
      <c r="HD32" s="5">
        <v>0</v>
      </c>
      <c r="HE32" s="32">
        <f>IF(HC32-InputData!$C$158-InputData!$C$159&gt;=0,HC32-InputData!$C$158-InputData!$C$159,0)</f>
        <v>471615.27676843957</v>
      </c>
      <c r="HF32" s="32">
        <f>IF(HC32-IF(HC32&lt;=InputData!$C$146,InputData!$C$145,0)-MAX(InputData!$C$144,HL32)&gt;=0,HC32-IF(HC32&lt;=InputData!$C$146,InputData!$C$145,0)-MAX(InputData!$C$144,HL32),0)</f>
        <v>465515.27676843957</v>
      </c>
      <c r="HG32" s="32">
        <f>IF(HF32&lt;0,"Error",IF(HF32&lt;=InputData!$B$170,InputData!$C$170*HF32,IF(HF32&lt;=InputData!$B$171,InputData!$D$170+InputData!$C$171*(HF32-InputData!$B$170),IF(HF32&lt;=InputData!$B$172,InputData!$D$171+InputData!$C$172*(HF32-InputData!$B$171),IF(HF32&lt;=InputData!$B$173,InputData!$D$172+InputData!$C$173*(HF32-InputData!$B$172),IF(HF32&lt;=InputData!$B$174,InputData!$D$173+InputData!$C$174*(HF32-InputData!$B$173),IF(HF32&lt;=InputData!$B$175,InputData!$D$174+InputData!$C$175*(HF32-InputData!$B$174),InputData!$D$175+InputData!$C$176*(HF32-InputData!$B$175))))))))</f>
        <v>142107.79960030207</v>
      </c>
      <c r="HH32" s="32">
        <f>IF(HC32&lt;=InputData!$C$150,InputData!$C$152,IF(HC32&lt;InputData!$C$151,IF(InputData!$C$152-0.25*IF(HC32-InputData!$C$150&lt;=0,0,HC32-InputData!$C$150)&lt;=0,0,InputData!$C$152-0.25*IF(HC32-InputData!$C$150&lt;=0,0,HC32-InputData!$C$150)),0))</f>
        <v>0</v>
      </c>
      <c r="HI32" s="32">
        <f>IF(HC32-HH32&lt;=0,0,IF(HC32-HH32&lt;=InputData!$C$153,InputData!$C$154*(HC32-HH32),InputData!$C$155*(HC32-HH32)-InputData!$D$154))</f>
        <v>128462.27749516309</v>
      </c>
      <c r="HJ32" s="32">
        <f t="shared" si="76"/>
        <v>142107.79960030207</v>
      </c>
      <c r="HK32" s="32">
        <f>IF(HC32&gt;=0,IF(HC32&lt;=InputData!$C$148,InputData!$C$147*HC32,InputData!$C$147*InputData!$C$148)+InputData!$C$149*HC32,0)</f>
        <v>13887.821513142375</v>
      </c>
      <c r="HL32" s="32">
        <f>IF(HE32&lt;0,0,IF(HE32&lt;=InputData!$B$163,InputData!$C$163*HE32,IF(HE32&lt;=InputData!$B$164,InputData!$D$163+InputData!$C$164*(HE32-InputData!$B$163),IF(HE32&lt;=InputData!$B$165,InputData!$D$164+InputData!$C$165*(HE32-InputData!$B$164),InputData!$D$165+InputData!$C$166*(HE32-InputData!$B$165)))))</f>
        <v>0</v>
      </c>
      <c r="HM32" s="43">
        <f t="shared" si="77"/>
        <v>0.3307688041454972</v>
      </c>
      <c r="HN32" s="43">
        <f t="shared" si="78"/>
        <v>0.3307688041454972</v>
      </c>
      <c r="HO32" s="5">
        <f t="shared" si="79"/>
        <v>315619.65565499512</v>
      </c>
      <c r="HP32" s="32">
        <f>HO32/((1+InputData!$C$7)^(Ortho!$B32-Ortho!$B$7))</f>
        <v>150741.70530927295</v>
      </c>
      <c r="HQ32" s="84">
        <f t="shared" si="80"/>
        <v>1796055.4613695571</v>
      </c>
      <c r="HS32" s="227"/>
      <c r="HT32" s="53" t="s">
        <v>109</v>
      </c>
      <c r="HU32" s="32">
        <f>MIN(InputData!$C$13+InputData!$E$13*($B32-$B$23),1)*Ortho!AW32</f>
        <v>699112.62027546193</v>
      </c>
      <c r="HV32" s="32">
        <f>MIN(InputData!$C$13+InputData!$E$13*($B32-$B$23),1)*Ortho!AX32</f>
        <v>0</v>
      </c>
      <c r="HW32" s="32">
        <f>MIN(InputData!$C$13+InputData!$E$13*($B32-$B$23),1)*Ortho!AY32</f>
        <v>699112.62027546193</v>
      </c>
      <c r="HX32" s="32">
        <f>MIN(InputData!$C$13+InputData!$E$13*($B32-$B$23),1)*Ortho!EO32</f>
        <v>426130.72403380863</v>
      </c>
      <c r="HY32" s="32">
        <f>MIN(InputData!$C$13+InputData!$E$13*($B32-$B$23),1)*Ortho!EP32</f>
        <v>0</v>
      </c>
      <c r="HZ32" s="32">
        <f>IF(HX32-InputData!$C$158-InputData!$C$159&gt;=0,HX32-InputData!$C$158-InputData!$C$159,0)</f>
        <v>426130.72403380863</v>
      </c>
      <c r="IA32" s="32">
        <f>IF(HX32-IF(HX32&lt;=InputData!$C$146,InputData!$C$145,0)-MAX(InputData!$C$144,IG32)&gt;=0,HX32-IF(HX32&lt;=InputData!$C$146,InputData!$C$145,0)-MAX(InputData!$C$144,IG32),0)</f>
        <v>420030.72403380863</v>
      </c>
      <c r="IB32" s="32">
        <f>IF(IA32&lt;0,"Error",IF(IA32&lt;=InputData!$B$170,InputData!$C$170*IA32,IF(IA32&lt;=InputData!$B$171,InputData!$D$170+InputData!$C$171*(IA32-InputData!$B$170),IF(IA32&lt;=InputData!$B$172,InputData!$D$171+InputData!$C$172*(IA32-InputData!$B$171),IF(IA32&lt;=InputData!$B$173,InputData!$D$172+InputData!$C$173*(IA32-InputData!$B$172),IF(IA32&lt;=InputData!$B$174,InputData!$D$173+InputData!$C$174*(IA32-InputData!$B$173),IF(IA32&lt;=InputData!$B$175,InputData!$D$174+InputData!$C$175*(IA32-InputData!$B$174),InputData!$D$175+InputData!$C$176*(IA32-InputData!$B$175))))))))</f>
        <v>124095.91671738822</v>
      </c>
      <c r="IC32" s="32">
        <f>IF(HX32&lt;=InputData!$C$150,InputData!$C$152,IF(HX32&lt;InputData!$C$151,IF(InputData!$C$152-0.25*IF(HX32-InputData!$C$150&lt;=0,0,HX32-InputData!$C$150)&lt;=0,0,InputData!$C$152-0.25*IF(HX32-InputData!$C$150&lt;=0,0,HX32-InputData!$C$150)),0))</f>
        <v>0</v>
      </c>
      <c r="ID32" s="32">
        <f>IF(HX32-IC32&lt;=0,0,IF(HX32-IC32&lt;=InputData!$C$153,InputData!$C$154*(HX32-IC32),InputData!$C$155*(HX32-IC32)-InputData!$D$154))</f>
        <v>115726.60272946642</v>
      </c>
      <c r="IE32" s="32">
        <f t="shared" si="88"/>
        <v>124095.91671738822</v>
      </c>
      <c r="IF32" s="32">
        <f>IF(HX32&gt;=0,IF(HX32&lt;=InputData!$C$148,InputData!$C$147*HX32,InputData!$C$147*InputData!$C$148)+InputData!$C$149*HX32,0)</f>
        <v>13228.295498490224</v>
      </c>
      <c r="IG32" s="32">
        <f>IF(HZ32&lt;0,0,IF(HZ32&lt;=InputData!$B$163,InputData!$C$163*HZ32,IF(HZ32&lt;=InputData!$B$164,InputData!$D$163+InputData!$C$164*(HZ32-InputData!$B$163),IF(HZ32&lt;=InputData!$B$165,InputData!$D$164+InputData!$C$165*(HZ32-InputData!$B$164),InputData!$D$165+InputData!$C$166*(HZ32-InputData!$B$165)))))</f>
        <v>0</v>
      </c>
      <c r="IH32" s="43">
        <f t="shared" si="89"/>
        <v>0.32225841618729029</v>
      </c>
      <c r="II32" s="43">
        <f t="shared" si="90"/>
        <v>0.32225841618729029</v>
      </c>
      <c r="IJ32" s="5">
        <f t="shared" si="91"/>
        <v>288806.51181793021</v>
      </c>
      <c r="IK32" s="32">
        <f>IJ32/((1+InputData!$C$7)^(Ortho!$B32-Ortho!$B$7))</f>
        <v>137935.59848327679</v>
      </c>
      <c r="IL32" s="5">
        <f t="shared" si="92"/>
        <v>2400282.8837481551</v>
      </c>
      <c r="IN32" s="227"/>
      <c r="IO32" s="53" t="s">
        <v>109</v>
      </c>
      <c r="IP32" s="32">
        <f>MIN(InputData!$C$13+InputData!$E$13*($B32-$B$20),1)*Ortho!AW32</f>
        <v>699112.62027546193</v>
      </c>
      <c r="IQ32" s="32">
        <f>MIN(InputData!$C$13+InputData!$E$13*($B32-$B$20),1)*Ortho!AX32</f>
        <v>0</v>
      </c>
      <c r="IR32" s="32">
        <f>MIN(InputData!$C$13+InputData!$E$13*($B32-$B$20),1)*Ortho!AY32</f>
        <v>699112.62027546193</v>
      </c>
      <c r="IS32" s="32">
        <f>MIN(InputData!$C$13+InputData!$E$13*($B32-$B$20),1)*Ortho!EO32</f>
        <v>426130.72403380863</v>
      </c>
      <c r="IT32" s="32">
        <f>MIN(InputData!$C$13+InputData!$E$13*($B32-$B$20),1)*Ortho!EP32</f>
        <v>0</v>
      </c>
      <c r="IU32" s="32">
        <f>IF(IS32-InputData!$C$158-InputData!$C$159&gt;=0,IS32-InputData!$C$158-InputData!$C$159,0)</f>
        <v>426130.72403380863</v>
      </c>
      <c r="IV32" s="32">
        <f>IF(IS32-IF(IS32&lt;=InputData!$C$146,InputData!$C$145,0)-MAX(InputData!$C$144,JB32)&gt;=0,IS32-IF(IS32&lt;=InputData!$C$146,InputData!$C$145,0)-MAX(InputData!$C$144,JB32),0)</f>
        <v>420030.72403380863</v>
      </c>
      <c r="IW32" s="32">
        <f>IF(IV32&lt;0,"Error",IF(IV32&lt;=InputData!$B$170,InputData!$C$170*IV32,IF(IV32&lt;=InputData!$B$171,InputData!$D$170+InputData!$C$171*(IV32-InputData!$B$170),IF(IV32&lt;=InputData!$B$172,InputData!$D$171+InputData!$C$172*(IV32-InputData!$B$171),IF(IV32&lt;=InputData!$B$173,InputData!$D$172+InputData!$C$173*(IV32-InputData!$B$172),IF(IV32&lt;=InputData!$B$174,InputData!$D$173+InputData!$C$174*(IV32-InputData!$B$173),IF(IV32&lt;=InputData!$B$175,InputData!$D$174+InputData!$C$175*(IV32-InputData!$B$174),InputData!$D$175+InputData!$C$176*(IV32-InputData!$B$175))))))))</f>
        <v>124095.91671738822</v>
      </c>
      <c r="IX32" s="32">
        <f>IF(IS32&lt;=InputData!$C$150,InputData!$C$152,IF(IS32&lt;InputData!$C$151,IF(InputData!$C$152-0.25*IF(IS32-InputData!$C$150&lt;=0,0,IS32-InputData!$C$150)&lt;=0,0,InputData!$C$152-0.25*IF(IS32-InputData!$C$150&lt;=0,0,IS32-InputData!$C$150)),0))</f>
        <v>0</v>
      </c>
      <c r="IY32" s="32">
        <f>IF(IS32-IX32&lt;=0,0,IF(IS32-IX32&lt;=InputData!$C$153,InputData!$C$154*(IS32-IX32),InputData!$C$155*(IS32-IX32)-InputData!$D$154))</f>
        <v>115726.60272946642</v>
      </c>
      <c r="IZ32" s="32">
        <f t="shared" si="95"/>
        <v>124095.91671738822</v>
      </c>
      <c r="JA32" s="32">
        <f>IF(IS32&gt;=0,IF(IS32&lt;=InputData!$C$148,InputData!$C$147*IS32,InputData!$C$147*InputData!$C$148)+InputData!$C$149*IS32,0)</f>
        <v>13228.295498490224</v>
      </c>
      <c r="JB32" s="32">
        <f>IF(IU32&lt;0,0,IF(IU32&lt;=InputData!$B$163,InputData!$C$163*IU32,IF(IU32&lt;=InputData!$B$164,InputData!$D$163+InputData!$C$164*(IU32-InputData!$B$163),IF(IU32&lt;=InputData!$B$165,InputData!$D$164+InputData!$C$165*(IU32-InputData!$B$164),InputData!$D$165+InputData!$C$166*(IU32-InputData!$B$165)))))</f>
        <v>0</v>
      </c>
      <c r="JC32" s="43">
        <f t="shared" si="96"/>
        <v>0.32225841618729029</v>
      </c>
      <c r="JD32" s="43">
        <f t="shared" si="97"/>
        <v>0.32225841618729029</v>
      </c>
      <c r="JE32" s="5">
        <f t="shared" si="98"/>
        <v>288806.51181793021</v>
      </c>
      <c r="JF32" s="32">
        <f>JE32/((1+InputData!$C$7)^(Ortho!$B32-Ortho!$B$7))</f>
        <v>137935.59848327679</v>
      </c>
      <c r="JG32" s="5">
        <f t="shared" si="99"/>
        <v>2655274.5750748636</v>
      </c>
      <c r="JI32" s="41" t="str">
        <f t="shared" si="13"/>
        <v>Private Practice</v>
      </c>
      <c r="JJ32" s="5">
        <f t="shared" si="14"/>
        <v>776791.80030606873</v>
      </c>
      <c r="JK32" s="32">
        <v>0</v>
      </c>
      <c r="JL32" s="32">
        <f t="shared" si="101"/>
        <v>776791.80030606873</v>
      </c>
      <c r="JM32" s="32">
        <f>JM31*(1+InputData!$C$8)</f>
        <v>18850.562876399756</v>
      </c>
      <c r="JN32" s="32">
        <f>JJ32/((1+InputData!$C$3)^(Ortho!$B32-Ortho!$B$7))</f>
        <v>473478.58225978736</v>
      </c>
      <c r="JO32" s="32">
        <f>JK32/((1+InputData!$C$3)^(Ortho!$B32-Ortho!$B$7))</f>
        <v>0</v>
      </c>
      <c r="JP32" s="32" t="s">
        <v>141</v>
      </c>
      <c r="JQ32" s="32">
        <v>0</v>
      </c>
      <c r="JR32" s="32">
        <f t="shared" si="167"/>
        <v>0</v>
      </c>
      <c r="JS32" s="32">
        <f>(JR32)*InputData!$C$6</f>
        <v>0</v>
      </c>
      <c r="JT32" s="32">
        <f>MIN($BE$16*InputData!$C$6/(1-(1+InputData!$C$6)^(-10)), JR32+JS32)</f>
        <v>0</v>
      </c>
      <c r="JU32" s="32">
        <f t="shared" si="151"/>
        <v>0</v>
      </c>
      <c r="JV32" s="32">
        <f>JT32/((1+InputData!$C$3)^(Ortho!$B32-Ortho!$B$7))</f>
        <v>0</v>
      </c>
      <c r="JW32" s="32">
        <f>IF(JN32-InputData!$C$158-InputData!$C$159&gt;=0,JN32-InputData!$C$158-InputData!$C$159,0)</f>
        <v>473478.58225978736</v>
      </c>
      <c r="JX32" s="32">
        <f>IF(JN32-IF(JN32&lt;=InputData!$C$146,InputData!$C$145,0)-MAX(InputData!$C$144,KD32)&gt;=0,JN32-IF(JN32&lt;=InputData!$C$146,InputData!$C$145,0)-MAX(InputData!$C$144,KD32),0)</f>
        <v>467378.58225978736</v>
      </c>
      <c r="JY32" s="32">
        <f>IF(JX32&lt;0,"Error",IF(JX32&lt;=InputData!$B$170,InputData!$C$170*JX32,IF(JX32&lt;=InputData!$B$171,InputData!$D$170+InputData!$C$171*(JX32-InputData!$B$170),IF(JX32&lt;=InputData!$B$172,InputData!$D$171+InputData!$C$172*(JX32-InputData!$B$171),IF(JX32&lt;=InputData!$B$173,InputData!$D$172+InputData!$C$173*(JX32-InputData!$B$172),IF(JX32&lt;=InputData!$B$174,InputData!$D$173+InputData!$C$174*(JX32-InputData!$B$173),IF(JX32&lt;=InputData!$B$175,InputData!$D$174+InputData!$C$175*(JX32-InputData!$B$174),InputData!$D$175+InputData!$C$176*(JX32-InputData!$B$175))))))))</f>
        <v>142845.6685748758</v>
      </c>
      <c r="JZ32" s="32">
        <f>IF(JN32&lt;=InputData!$C$150,InputData!$C$152,IF(JN32&lt;InputData!$C$151,IF(InputData!$C$152-0.25*IF(JN32-InputData!$C$150&lt;=0,0,JN32-InputData!$C$150)&lt;=0,0,InputData!$C$152-0.25*IF(JN32-InputData!$C$150&lt;=0,0,JN32-InputData!$C$150)),0))</f>
        <v>0</v>
      </c>
      <c r="KA32" s="32">
        <f>IF(JN32-JZ32&lt;=0,0,IF(JN32-JZ32&lt;=InputData!$C$153,InputData!$C$154*(JN32-JZ32),InputData!$C$155*(JN32-JZ32)-InputData!$D$154))</f>
        <v>128984.00303274047</v>
      </c>
      <c r="KB32" s="32">
        <f t="shared" si="102"/>
        <v>142845.6685748758</v>
      </c>
      <c r="KC32" s="32">
        <f>IF(JN32&gt;=0,IF(JN32&lt;=InputData!$C$148,InputData!$C$147*JN32,InputData!$C$147*InputData!$C$148)+InputData!$C$149*JN32,0)</f>
        <v>13914.839442766915</v>
      </c>
      <c r="KD32" s="32">
        <f>IF(JW32&lt;0,0,IF(JW32&lt;=InputData!$B$163,InputData!$C$163*JW32,IF(JW32&lt;=InputData!$B$164,InputData!$D$163+InputData!$C$164*(JW32-InputData!$B$163),IF(JW32&lt;=InputData!$B$165,InputData!$D$164+InputData!$C$165*(JW32-InputData!$B$164),InputData!$D$165+InputData!$C$166*(JW32-InputData!$B$165)))))</f>
        <v>0</v>
      </c>
      <c r="KE32" s="43">
        <f t="shared" si="15"/>
        <v>0.33108257456856127</v>
      </c>
      <c r="KF32" s="32">
        <f t="shared" si="16"/>
        <v>316718.07424214465</v>
      </c>
      <c r="KG32" s="32">
        <f t="shared" si="103"/>
        <v>316718.07424214465</v>
      </c>
      <c r="KH32" s="32">
        <f>KG32/((1+InputData!$C$7)^(Ortho!$B32-Ortho!$B$7))</f>
        <v>151266.31614387609</v>
      </c>
      <c r="KI32" s="5">
        <f t="shared" si="122"/>
        <v>3240858.7626138297</v>
      </c>
    </row>
    <row r="33" spans="1:295" x14ac:dyDescent="0.25">
      <c r="A33" s="4">
        <v>2039</v>
      </c>
      <c r="B33" s="51">
        <v>27</v>
      </c>
      <c r="C33" s="4"/>
      <c r="D33" s="3">
        <v>27</v>
      </c>
      <c r="E33" s="97" t="s">
        <v>276</v>
      </c>
      <c r="F33" s="5">
        <f>InputData!$Q$21*12</f>
        <v>126320.40000000001</v>
      </c>
      <c r="G33" s="32">
        <f>(InputData!$Q$21+InputData!$K$45+InputData!$G$50)*12+InputData!$J$50+InputData!$D$61+InputData!$J$61</f>
        <v>254320.36000000002</v>
      </c>
      <c r="H33" s="32">
        <f>(InputData!$C$32+InputData!$C$40)*12</f>
        <v>21631.199999999997</v>
      </c>
      <c r="I33" s="32">
        <f t="shared" si="17"/>
        <v>275951.56</v>
      </c>
      <c r="J33" s="5">
        <f>G33*((1+InputData!$C$5)/(1+InputData!$C$3))^(Ortho!$B33-Ortho!$B$7)</f>
        <v>196848.62347862413</v>
      </c>
      <c r="K33" s="5">
        <f>H33*((1+InputData!$C$5)/(1+InputData!$C$3))^(Ortho!$B33-Ortho!$B$7)</f>
        <v>16742.945567514977</v>
      </c>
      <c r="L33" s="32">
        <f>IF(J33-InputData!$C$158-InputData!$C$159&gt;=0,J33-InputData!$C$158-InputData!$C$159,0)</f>
        <v>196848.62347862413</v>
      </c>
      <c r="M33" s="32">
        <f>IF(J33-IF(J33&lt;=InputData!$C$146,InputData!$C$145,0)-MAX(InputData!$C$144,S33)&gt;=0,J33-IF(J33&lt;=InputData!$C$146,InputData!$C$145,0)-MAX(InputData!$C$144,S33),0)</f>
        <v>190748.62347862413</v>
      </c>
      <c r="N33" s="32">
        <f>IF(M33&lt;0,"Error",IF(M33&lt;=InputData!$B$170,InputData!$C$170*M33,IF(M33&lt;=InputData!$B$171,InputData!$D$170+InputData!$C$171*(M33-InputData!$B$170),IF(M33&lt;=InputData!$B$172,InputData!$D$171+InputData!$C$172*(M33-InputData!$B$171),IF(M33&lt;=InputData!$B$173,InputData!$D$172+InputData!$C$173*(M33-InputData!$B$172),IF(M33&lt;=InputData!$B$174,InputData!$D$173+InputData!$C$174*(M33-InputData!$B$173),IF(M33&lt;=InputData!$B$175,InputData!$D$174+InputData!$C$175*(M33-InputData!$B$174),InputData!$D$175+InputData!$C$176*(M33-InputData!$B$175))))))))</f>
        <v>47077.795747945958</v>
      </c>
      <c r="O33" s="32">
        <f>IF(J33&lt;=InputData!$C$150,InputData!$C$152,IF(J33&lt;InputData!$C$151,IF(InputData!$C$152-0.25*IF(J33-InputData!$C$150&lt;=0,0,J33-InputData!$C$150)&lt;=0,0,InputData!$C$152-0.25*IF(J33-InputData!$C$150&lt;=0,0,J33-InputData!$C$150)),0))</f>
        <v>31537.844130343969</v>
      </c>
      <c r="P33" s="32">
        <f>IF(J33-O33&lt;=0,0,IF(J33-O33&lt;=InputData!$C$153,InputData!$C$154*(J33-O33),InputData!$C$155*(J33-O33)-InputData!$D$154))</f>
        <v>42980.802630552847</v>
      </c>
      <c r="Q33" s="32">
        <f t="shared" si="18"/>
        <v>47077.795747945958</v>
      </c>
      <c r="R33" s="32">
        <f>IF(J33&gt;=0,IF(J33&lt;=InputData!$C$148,InputData!$C$147*J33,InputData!$C$147*InputData!$C$148)+InputData!$C$149*J33,0)</f>
        <v>9903.7050404400507</v>
      </c>
      <c r="S33" s="32">
        <f>IF(L33&lt;0,0,IF(L33&lt;=InputData!$B$163,InputData!$C$163*L33,IF(L33&lt;=InputData!$B$164,InputData!$D$163+InputData!$C$164*(L33-InputData!$B$163),IF(L33&lt;=InputData!$B$165,InputData!$D$164+InputData!$C$165*(L33-InputData!$B$164),InputData!$D$165+InputData!$C$166*(L33-InputData!$B$165)))))</f>
        <v>0</v>
      </c>
      <c r="T33" s="43">
        <f t="shared" si="19"/>
        <v>0.28946862711779975</v>
      </c>
      <c r="U33" s="43">
        <f t="shared" si="20"/>
        <v>0.26677785571244678</v>
      </c>
      <c r="V33" s="5">
        <f t="shared" si="21"/>
        <v>156610.0682577531</v>
      </c>
      <c r="W33" s="32">
        <f>V33/((1+InputData!$C$7)^(Ortho!$B33-Ortho!$B$7))</f>
        <v>72619.262914904408</v>
      </c>
      <c r="X33" s="5">
        <f t="shared" si="104"/>
        <v>1776295.7581278048</v>
      </c>
      <c r="Y33" s="53"/>
      <c r="Z33" s="3">
        <v>23.5</v>
      </c>
      <c r="AA33" s="99" t="s">
        <v>269</v>
      </c>
      <c r="AB33" s="32">
        <f>InputData!$O$21*12</f>
        <v>117367.20000000001</v>
      </c>
      <c r="AC33" s="32">
        <f>(InputData!$O$21+InputData!$K$45+InputData!$G$50)*12+InputData!$J$50+InputData!$D$61+InputData!$J$61</f>
        <v>245367.16</v>
      </c>
      <c r="AD33" s="32">
        <f t="shared" si="174"/>
        <v>21631.199999999997</v>
      </c>
      <c r="AE33" s="32">
        <f t="shared" si="22"/>
        <v>266998.36</v>
      </c>
      <c r="AF33" s="5">
        <f>AC33*((1+InputData!$C$5)/(1+InputData!$C$3))^(Ortho!$B33-Ortho!$B$7)</f>
        <v>189918.68245570004</v>
      </c>
      <c r="AG33" s="5">
        <f>AD33*((1+InputData!$C$5)/(1+InputData!$C$3))^(Ortho!$B33-Ortho!$B$7)</f>
        <v>16742.945567514977</v>
      </c>
      <c r="AH33" s="32">
        <f>IF(AF33-InputData!$C$158-InputData!$C$159&gt;=0,AF33-InputData!$C$158-InputData!$C$159,0)</f>
        <v>189918.68245570004</v>
      </c>
      <c r="AI33" s="32">
        <f>IF(AF33-IF(AF33&lt;=InputData!$C$146,InputData!$C$145,0)-MAX(InputData!$C$144,AO33)&gt;=0,AF33-IF(AF33&lt;=InputData!$C$146,InputData!$C$145,0)-MAX(InputData!$C$144,AO33),0)</f>
        <v>183818.68245570004</v>
      </c>
      <c r="AJ33" s="32">
        <f>IF(AI33&lt;0,"Error",IF(AI33&lt;=InputData!$B$170,InputData!$C$170*AI33,IF(AI33&lt;=InputData!$B$171,InputData!$D$170+InputData!$C$171*(AI33-InputData!$B$170),IF(AI33&lt;=InputData!$B$172,InputData!$D$171+InputData!$C$172*(AI33-InputData!$B$171),IF(AI33&lt;=InputData!$B$173,InputData!$D$172+InputData!$C$173*(AI33-InputData!$B$172),IF(AI33&lt;=InputData!$B$174,InputData!$D$173+InputData!$C$174*(AI33-InputData!$B$173),IF(AI33&lt;=InputData!$B$175,InputData!$D$174+InputData!$C$175*(AI33-InputData!$B$174),InputData!$D$175+InputData!$C$176*(AI33-InputData!$B$175))))))))</f>
        <v>44790.915210381012</v>
      </c>
      <c r="AK33" s="32">
        <f>IF(AF33&lt;=InputData!$C$150,InputData!$C$152,IF(AF33&lt;InputData!$C$151,IF(InputData!$C$152-0.25*IF(AF33-InputData!$C$150&lt;=0,0,AF33-InputData!$C$150)&lt;=0,0,InputData!$C$152-0.25*IF(AF33-InputData!$C$150&lt;=0,0,AF33-InputData!$C$150)),0))</f>
        <v>33270.329386074991</v>
      </c>
      <c r="AL33" s="32">
        <f>IF(AF33-AK33&lt;=0,0,IF(AF33-AK33&lt;=InputData!$C$153,InputData!$C$154*(AF33-AK33),InputData!$C$155*(AF33-AK33)-InputData!$D$154))</f>
        <v>40728.571798102508</v>
      </c>
      <c r="AM33" s="32">
        <f t="shared" si="23"/>
        <v>44790.915210381012</v>
      </c>
      <c r="AN33" s="32">
        <f>IF(AF33&gt;=0,IF(AF33&lt;=InputData!$C$148,InputData!$C$147*AF33,InputData!$C$147*InputData!$C$148)+InputData!$C$149*AF33,0)</f>
        <v>9803.2208956076502</v>
      </c>
      <c r="AO33" s="32">
        <f>IF(AH33&lt;0,0,IF(AH33&lt;=InputData!$B$163,InputData!$C$163*AH33,IF(AH33&lt;=InputData!$B$164,InputData!$D$163+InputData!$C$164*(AH33-InputData!$B$163),IF(AH33&lt;=InputData!$B$165,InputData!$D$164+InputData!$C$165*(AH33-InputData!$B$164),InputData!$D$165+InputData!$C$166*(AH33-InputData!$B$165)))))</f>
        <v>0</v>
      </c>
      <c r="AP33" s="43">
        <f t="shared" si="24"/>
        <v>0.28746058786882728</v>
      </c>
      <c r="AQ33" s="43">
        <f t="shared" si="25"/>
        <v>0.2641716153511377</v>
      </c>
      <c r="AR33" s="5">
        <f t="shared" si="26"/>
        <v>152067.49191722635</v>
      </c>
      <c r="AS33" s="32">
        <f>AR33/((1+InputData!$C$7)^(Ortho!$B33-Ortho!$B$7))</f>
        <v>70512.894216815257</v>
      </c>
      <c r="AT33" s="5">
        <f t="shared" si="105"/>
        <v>1797276.2516254494</v>
      </c>
      <c r="AU33" s="53"/>
      <c r="AV33" s="41" t="s">
        <v>109</v>
      </c>
      <c r="AW33" s="32">
        <f>$AW$17*(1+InputData!$C$3+InputData!$C$4)^(Ortho!$B33-Ortho!$B$17)</f>
        <v>800095.55431525072</v>
      </c>
      <c r="AX33" s="32">
        <v>0</v>
      </c>
      <c r="AY33" s="32">
        <f t="shared" si="28"/>
        <v>800095.55431525072</v>
      </c>
      <c r="AZ33" s="32">
        <f>AZ32*(1+InputData!$C$8)</f>
        <v>19227.574133927752</v>
      </c>
      <c r="BA33" s="32">
        <f>AW33/((1+InputData!$C$3)^(Ortho!$B33-Ortho!$B$7))</f>
        <v>478120.52914468717</v>
      </c>
      <c r="BB33" s="32">
        <f>AX33/((1+InputData!$C$3)^(Ortho!$B33-Ortho!$B$7))</f>
        <v>0</v>
      </c>
      <c r="BC33" s="32" t="s">
        <v>141</v>
      </c>
      <c r="BD33" s="32">
        <v>0</v>
      </c>
      <c r="BE33" s="32">
        <f t="shared" si="152"/>
        <v>0</v>
      </c>
      <c r="BF33" s="32">
        <f>(BE33)*InputData!$C$6</f>
        <v>0</v>
      </c>
      <c r="BG33" s="32">
        <f>MIN($BE$16*InputData!$C$6/(1-(1+InputData!$C$6)^(-10)), BE33+BF33)</f>
        <v>0</v>
      </c>
      <c r="BH33" s="32">
        <f t="shared" si="137"/>
        <v>0</v>
      </c>
      <c r="BI33" s="32">
        <f>BG33/((1+InputData!$C$3)^(Ortho!$B33-Ortho!$B$7))</f>
        <v>0</v>
      </c>
      <c r="BJ33" s="32">
        <f>IF(BA33-InputData!$C$158-InputData!$C$159&gt;=0,BA33-InputData!$C$158-InputData!$C$159,0)</f>
        <v>478120.52914468717</v>
      </c>
      <c r="BK33" s="32">
        <f>IF(BA33-IF(BA33&lt;=InputData!$C$146,InputData!$C$145,0)-MAX(InputData!$C$144,BQ33)&gt;=0,BA33-IF(BA33&lt;=InputData!$C$146,InputData!$C$145,0)-MAX(InputData!$C$144,BQ33),0)</f>
        <v>472020.52914468717</v>
      </c>
      <c r="BL33" s="32">
        <f>IF(BK33&lt;0,"Error",IF(BK33&lt;=InputData!$B$170,InputData!$C$170*BK33,IF(BK33&lt;=InputData!$B$171,InputData!$D$170+InputData!$C$171*(BK33-InputData!$B$170),IF(BK33&lt;=InputData!$B$172,InputData!$D$171+InputData!$C$172*(BK33-InputData!$B$171),IF(BK33&lt;=InputData!$B$173,InputData!$D$172+InputData!$C$173*(BK33-InputData!$B$172),IF(BK33&lt;=InputData!$B$174,InputData!$D$173+InputData!$C$174*(BK33-InputData!$B$173),IF(BK33&lt;=InputData!$B$175,InputData!$D$174+InputData!$C$175*(BK33-InputData!$B$174),InputData!$D$175+InputData!$C$176*(BK33-InputData!$B$175))))))))</f>
        <v>144683.87954129613</v>
      </c>
      <c r="BM33" s="32">
        <f>IF(BA33&lt;=InputData!$C$150,InputData!$C$152,IF(BA33&lt;InputData!$C$151,IF(InputData!$C$152-0.25*IF(BA33-InputData!$C$150&lt;=0,0,BA33-InputData!$C$150)&lt;=0,0,InputData!$C$152-0.25*IF(BA33-InputData!$C$150&lt;=0,0,BA33-InputData!$C$150)),0))</f>
        <v>0</v>
      </c>
      <c r="BN33" s="32">
        <f>IF(BA33-BM33&lt;=0,0,IF(BA33-BM33&lt;=InputData!$C$153,InputData!$C$154*(BA33-BM33),InputData!$C$155*(BA33-BM33)-InputData!$D$154))</f>
        <v>130283.74816051242</v>
      </c>
      <c r="BO33" s="32">
        <f t="shared" si="29"/>
        <v>144683.87954129613</v>
      </c>
      <c r="BP33" s="32">
        <f>IF(BA33&gt;=0,IF(BA33&lt;=InputData!$C$148,InputData!$C$147*BA33,InputData!$C$147*InputData!$C$148)+InputData!$C$149*BA33,0)</f>
        <v>13982.147672597963</v>
      </c>
      <c r="BQ33" s="32">
        <f>IF(BJ33&lt;0,0,IF(BJ33&lt;=InputData!$B$163,InputData!$C$163*BJ33,IF(BJ33&lt;=InputData!$B$164,InputData!$D$163+InputData!$C$164*(BJ33-InputData!$B$163),IF(BJ33&lt;=InputData!$B$165,InputData!$D$164+InputData!$C$165*(BJ33-InputData!$B$164),InputData!$D$165+InputData!$C$166*(BJ33-InputData!$B$165)))))</f>
        <v>0</v>
      </c>
      <c r="BR33" s="43">
        <f t="shared" si="30"/>
        <v>0.33185361753391501</v>
      </c>
      <c r="BS33" s="32">
        <f t="shared" si="31"/>
        <v>319454.50193079305</v>
      </c>
      <c r="BT33" s="32">
        <f t="shared" si="32"/>
        <v>319454.50193079305</v>
      </c>
      <c r="BU33" s="32">
        <f>BT33/((1+InputData!$C$7)^(Ortho!$B33-Ortho!$B$7))</f>
        <v>148129.36820180228</v>
      </c>
      <c r="BV33" s="5">
        <f t="shared" si="107"/>
        <v>3004661.7382688913</v>
      </c>
      <c r="BW33" s="5"/>
      <c r="BX33" s="32" t="s">
        <v>141</v>
      </c>
      <c r="BY33" s="5">
        <f t="shared" si="153"/>
        <v>133554.76411492398</v>
      </c>
      <c r="BZ33" s="32">
        <f>(BY33)*InputData!$C$6</f>
        <v>8293.750851536779</v>
      </c>
      <c r="CA33" s="32">
        <f>MIN($BY$16*InputData!$C$6/(1-(1+InputData!$C$6)^(-25)), BY33+BZ33)</f>
        <v>21686.214673809533</v>
      </c>
      <c r="CB33" s="32">
        <f t="shared" si="154"/>
        <v>120162.30029265123</v>
      </c>
      <c r="CC33" s="32">
        <f>CA33/((1+InputData!$C$3)^(Ortho!$B33-Ortho!$B$7))</f>
        <v>12959.232655480655</v>
      </c>
      <c r="CD33" s="5">
        <f t="shared" si="36"/>
        <v>306495.26927531237</v>
      </c>
      <c r="CE33" s="32">
        <f>CD33/((1+InputData!$C$7)^(Ortho!$B33-Ortho!$B$7))</f>
        <v>142120.240347807</v>
      </c>
      <c r="CF33" s="5">
        <f t="shared" si="108"/>
        <v>3028120.1921538766</v>
      </c>
      <c r="CG33" s="5"/>
      <c r="CH33" s="32" t="s">
        <v>141</v>
      </c>
      <c r="CI33" s="5" t="e">
        <f t="shared" si="155"/>
        <v>#VALUE!</v>
      </c>
      <c r="CJ33" s="32" t="e">
        <f>(CI33)*InputData!$C$6</f>
        <v>#VALUE!</v>
      </c>
      <c r="CK33" s="5" t="str">
        <f t="shared" si="168"/>
        <v>DNQ</v>
      </c>
      <c r="CL33" s="32" t="e">
        <f t="shared" si="156"/>
        <v>#VALUE!</v>
      </c>
      <c r="CM33" s="32" t="e">
        <f>CK33/((1+InputData!$C$3)^(Ortho!$B33-Ortho!$B$7))</f>
        <v>#VALUE!</v>
      </c>
      <c r="CN33" s="5" t="e">
        <f t="shared" si="40"/>
        <v>#VALUE!</v>
      </c>
      <c r="CO33" s="32" t="e">
        <f>CN33/((1+InputData!$C$7)^(Ortho!$B33-Ortho!$B$7))</f>
        <v>#VALUE!</v>
      </c>
      <c r="CP33" s="5" t="e">
        <f t="shared" si="109"/>
        <v>#VALUE!</v>
      </c>
      <c r="CQ33" s="5"/>
      <c r="CR33" s="32" t="s">
        <v>141</v>
      </c>
      <c r="CS33" s="5" t="e">
        <f t="shared" si="157"/>
        <v>#VALUE!</v>
      </c>
      <c r="CT33" s="32" t="e">
        <f>(CS33)*InputData!$C$6</f>
        <v>#VALUE!</v>
      </c>
      <c r="CU33" s="32" t="str">
        <f t="shared" si="169"/>
        <v>DNQ</v>
      </c>
      <c r="CV33" s="32" t="e">
        <f t="shared" si="158"/>
        <v>#VALUE!</v>
      </c>
      <c r="CW33" s="32" t="e">
        <f>CU33/((1+InputData!$C$3)^(Ortho!$B33-Ortho!$B$7))</f>
        <v>#VALUE!</v>
      </c>
      <c r="CX33" s="5" t="e">
        <f t="shared" si="44"/>
        <v>#VALUE!</v>
      </c>
      <c r="CY33" s="32" t="e">
        <f>CX33/((1+InputData!$C$7)^(Ortho!$B33-Ortho!$B$7))</f>
        <v>#VALUE!</v>
      </c>
      <c r="CZ33" s="5" t="e">
        <f t="shared" si="110"/>
        <v>#VALUE!</v>
      </c>
      <c r="DA33" s="5"/>
      <c r="DB33" s="32" t="s">
        <v>141</v>
      </c>
      <c r="DC33" s="5">
        <f t="shared" si="138"/>
        <v>0</v>
      </c>
      <c r="DD33" s="5">
        <f>DC33*InputData!$C$6</f>
        <v>0</v>
      </c>
      <c r="DE33" s="32">
        <f t="shared" si="139"/>
        <v>0</v>
      </c>
      <c r="DF33" s="32">
        <f t="shared" si="140"/>
        <v>0</v>
      </c>
      <c r="DG33" s="32">
        <f>DE33/((1+InputData!$C$3)^(Ortho!$B33-Ortho!$B$7))</f>
        <v>0</v>
      </c>
      <c r="DH33" s="5">
        <f t="shared" si="48"/>
        <v>319454.50193079305</v>
      </c>
      <c r="DI33" s="32">
        <f>DH33/((1+InputData!$C$7)^(Ortho!$B33-Ortho!$B$7))</f>
        <v>148129.36820180228</v>
      </c>
      <c r="DJ33" s="5">
        <f t="shared" si="111"/>
        <v>3009249.3543713079</v>
      </c>
      <c r="DK33" s="5"/>
      <c r="DL33" s="32" t="s">
        <v>141</v>
      </c>
      <c r="DM33" s="32">
        <f t="shared" si="159"/>
        <v>0</v>
      </c>
      <c r="DN33" s="5">
        <f>DM33*InputData!$C$6</f>
        <v>0</v>
      </c>
      <c r="DO33" s="32">
        <f t="shared" si="160"/>
        <v>0</v>
      </c>
      <c r="DP33" s="32">
        <f t="shared" si="123"/>
        <v>0</v>
      </c>
      <c r="DQ33" s="32">
        <f t="shared" si="124"/>
        <v>0</v>
      </c>
      <c r="DR33" s="32">
        <f>DP33/((1+InputData!$C$3)^(Ortho!$B33-Ortho!$B$7))</f>
        <v>0</v>
      </c>
      <c r="DS33" s="5">
        <f t="shared" si="52"/>
        <v>319454.50193079305</v>
      </c>
      <c r="DT33" s="32">
        <f>DS33/((1+InputData!$C$7)^(Ortho!$B33-Ortho!$B$7))</f>
        <v>148129.36820180228</v>
      </c>
      <c r="DU33" s="5">
        <f t="shared" si="113"/>
        <v>3002341.1127251536</v>
      </c>
      <c r="DV33" s="5"/>
      <c r="DW33" s="32" t="s">
        <v>141</v>
      </c>
      <c r="DX33" s="133">
        <f t="shared" si="141"/>
        <v>0</v>
      </c>
      <c r="DY33" s="5">
        <f>DX33*InputData!$C$6</f>
        <v>0</v>
      </c>
      <c r="DZ33" s="133">
        <f t="shared" si="142"/>
        <v>0</v>
      </c>
      <c r="EA33" s="32">
        <f t="shared" si="143"/>
        <v>0</v>
      </c>
      <c r="EB33" s="32">
        <f t="shared" si="144"/>
        <v>0</v>
      </c>
      <c r="EC33" s="32">
        <f>EA33/((1+InputData!$C$3)^(Ortho!$B33-Ortho!$B$7))</f>
        <v>0</v>
      </c>
      <c r="ED33" s="5">
        <f t="shared" si="56"/>
        <v>319454.50193079305</v>
      </c>
      <c r="EE33" s="32">
        <f>ED33/((1+InputData!$C$7)^(Ortho!$B33-Ortho!$B$7))</f>
        <v>148129.36820180228</v>
      </c>
      <c r="EF33" s="5">
        <f t="shared" si="115"/>
        <v>3002860.3836703594</v>
      </c>
      <c r="EG33" s="32"/>
      <c r="EH33" s="130" t="s">
        <v>141</v>
      </c>
      <c r="EI33" s="32">
        <v>0</v>
      </c>
      <c r="EJ33" s="32">
        <f t="shared" si="173"/>
        <v>0</v>
      </c>
      <c r="EK33" s="32">
        <f>(EJ33)*InputData!$C$6</f>
        <v>0</v>
      </c>
      <c r="EL33" s="32">
        <f t="shared" si="172"/>
        <v>-3.637978807091713E-11</v>
      </c>
      <c r="EM33" s="32">
        <f>EM32*(1+InputData!$C$8)</f>
        <v>19227.574133927752</v>
      </c>
      <c r="EN33" s="32">
        <f t="shared" si="170"/>
        <v>0</v>
      </c>
      <c r="EO33" s="32">
        <f>AW33/((1+InputData!$C$3)^(Ortho!$B33-Ortho!$B$7))</f>
        <v>478120.52914468717</v>
      </c>
      <c r="EP33" s="32">
        <f>AX33/((1+InputData!$C$3)^(Ortho!$B33-Ortho!$B$7))</f>
        <v>0</v>
      </c>
      <c r="EQ33" s="32">
        <v>102822</v>
      </c>
      <c r="ER33" s="32">
        <v>11064.34</v>
      </c>
      <c r="ES33" s="32">
        <v>0</v>
      </c>
      <c r="ET33" s="43">
        <f t="shared" si="129"/>
        <v>0.23819587961163682</v>
      </c>
      <c r="EU33" s="32">
        <f t="shared" si="57"/>
        <v>364234.18914468715</v>
      </c>
      <c r="EV33" s="32">
        <f>EN33/((1+InputData!$C$3)^(Ortho!$B33-Ortho!$B$7))</f>
        <v>0</v>
      </c>
      <c r="EW33" s="32">
        <f t="shared" si="58"/>
        <v>364234.18914468715</v>
      </c>
      <c r="EX33" s="32">
        <f>EW33/((1+InputData!$C$7)^(Ortho!$B33-Ortho!$B$7))</f>
        <v>168893.4730592304</v>
      </c>
      <c r="EY33" s="5">
        <f t="shared" si="117"/>
        <v>3491949.1144312252</v>
      </c>
      <c r="EZ33" s="79"/>
      <c r="FA33" s="32">
        <f t="shared" si="161"/>
        <v>0</v>
      </c>
      <c r="FB33" s="32">
        <f>FA33*InputData!$C$6</f>
        <v>0</v>
      </c>
      <c r="FC33" s="32">
        <f t="shared" si="162"/>
        <v>0</v>
      </c>
      <c r="FD33" s="32">
        <f>MIN($EJ$16*InputData!$C$6/(1-(1+InputData!$C$6)^(-10)), FA33+FB33)</f>
        <v>0</v>
      </c>
      <c r="FE33" s="32">
        <f>FD33/((1+InputData!$C$3)^(Ortho!$B33-Ortho!$B$7))</f>
        <v>0</v>
      </c>
      <c r="FF33" s="5">
        <f t="shared" si="62"/>
        <v>364234.18914468715</v>
      </c>
      <c r="FG33" s="32">
        <f>FF33/((1+InputData!$C$7)^(Ortho!$B33-Ortho!$B$7))</f>
        <v>168893.4730592304</v>
      </c>
      <c r="FH33" s="5">
        <f t="shared" si="118"/>
        <v>3491949.1144312252</v>
      </c>
      <c r="FI33" s="79"/>
      <c r="FJ33" s="32">
        <f t="shared" si="163"/>
        <v>133454.08892423395</v>
      </c>
      <c r="FK33" s="32">
        <f>FJ33*InputData!$C$6</f>
        <v>8287.498922194929</v>
      </c>
      <c r="FL33" s="32">
        <f t="shared" si="164"/>
        <v>120071.72050258616</v>
      </c>
      <c r="FM33" s="32">
        <f>MIN($EJ$16*InputData!$C$6/(1-(1+InputData!$C$6)^(-25)), FJ33+FK33)</f>
        <v>21669.867343842721</v>
      </c>
      <c r="FN33" s="32">
        <f>FM33/((1+InputData!$C$3)^(Ortho!$B33-Ortho!$B$7))</f>
        <v>12949.463829730181</v>
      </c>
      <c r="FO33" s="5">
        <f t="shared" si="66"/>
        <v>351284.72531495697</v>
      </c>
      <c r="FP33" s="32">
        <f>FO33/((1+InputData!$C$7)^(Ortho!$B33-Ortho!$B$7))</f>
        <v>162888.87495822887</v>
      </c>
      <c r="FQ33" s="5">
        <f t="shared" si="119"/>
        <v>3515389.8850509678</v>
      </c>
      <c r="FR33" s="79"/>
      <c r="FS33" s="32">
        <f t="shared" si="165"/>
        <v>0</v>
      </c>
      <c r="FT33" s="32">
        <f>FS33*InputData!$C$6</f>
        <v>0</v>
      </c>
      <c r="FU33" s="32">
        <f t="shared" si="166"/>
        <v>0</v>
      </c>
      <c r="FV33" s="5">
        <f t="shared" si="171"/>
        <v>0</v>
      </c>
      <c r="FW33" s="32">
        <f>FV33/((1+InputData!$C$3)^(Ortho!$B33-Ortho!$B$7))</f>
        <v>0</v>
      </c>
      <c r="FX33" s="5">
        <f t="shared" si="70"/>
        <v>364234.18914468715</v>
      </c>
      <c r="FY33" s="32">
        <f>FX33/((1+InputData!$C$7)^(Ortho!$B33-Ortho!$B$7))</f>
        <v>168893.4730592304</v>
      </c>
      <c r="FZ33" s="5">
        <f t="shared" si="120"/>
        <v>3491949.1144312252</v>
      </c>
      <c r="GC33" s="83">
        <v>20</v>
      </c>
      <c r="GD33" s="4" t="s">
        <v>217</v>
      </c>
      <c r="GE33" s="5"/>
      <c r="GF33" s="84">
        <v>0</v>
      </c>
      <c r="GG33" s="5"/>
      <c r="GH33" s="84">
        <f>MIN(InputData!$C$13+InputData!$E$13*($B33-$B$31),1)*$AW33/((1+InputData!$C$3)^(Ortho!$B33-Ortho!$B$7))+0.025*$GC$30*(($F$28+$F$29+$F$30)/3)*((1+InputData!$C$5)/(1+InputData!$C$3))^(Ortho!$B33-Ortho!$B$7)</f>
        <v>470671.82994455961</v>
      </c>
      <c r="GI33" s="5">
        <v>0</v>
      </c>
      <c r="GJ33" s="32">
        <f>IF(GH33-InputData!$C$158-InputData!$C$159&gt;=0,GH33-InputData!$C$158-InputData!$C$159,0)</f>
        <v>470671.82994455961</v>
      </c>
      <c r="GK33" s="32">
        <f>IF(GH33-IF(GH33&lt;=InputData!$C$146,InputData!$C$145,0)-MAX(InputData!$C$144,GQ33)&gt;=0,GH33-IF(GH33&lt;=InputData!$C$146,InputData!$C$145,0)-MAX(InputData!$C$144,GQ33),0)</f>
        <v>464571.82994455961</v>
      </c>
      <c r="GL33" s="32">
        <f>IF(GK33&lt;0,"Error",IF(GK33&lt;=InputData!$B$170,InputData!$C$170*GK33,IF(GK33&lt;=InputData!$B$171,InputData!$D$170+InputData!$C$171*(GK33-InputData!$B$170),IF(GK33&lt;=InputData!$B$172,InputData!$D$171+InputData!$C$172*(GK33-InputData!$B$171),IF(GK33&lt;=InputData!$B$173,InputData!$D$172+InputData!$C$173*(GK33-InputData!$B$172),IF(GK33&lt;=InputData!$B$174,InputData!$D$173+InputData!$C$174*(GK33-InputData!$B$173),IF(GK33&lt;=InputData!$B$175,InputData!$D$174+InputData!$C$175*(GK33-InputData!$B$174),InputData!$D$175+InputData!$C$176*(GK33-InputData!$B$175))))))))</f>
        <v>141734.1946580456</v>
      </c>
      <c r="GM33" s="32">
        <f>IF(GH33&lt;=InputData!$C$150,InputData!$C$152,IF(GH33&lt;InputData!$C$151,IF(InputData!$C$152-0.25*IF(GH33-InputData!$C$150&lt;=0,0,GH33-InputData!$C$150)&lt;=0,0,InputData!$C$152-0.25*IF(GH33-InputData!$C$150&lt;=0,0,GH33-InputData!$C$150)),0))</f>
        <v>0</v>
      </c>
      <c r="GN33" s="32">
        <f>IF(GH33-GM33&lt;=0,0,IF(GH33-GM33&lt;=InputData!$C$153,InputData!$C$154*(GH33-GM33),InputData!$C$155*(GH33-GM33)-InputData!$D$154))</f>
        <v>128198.1123844767</v>
      </c>
      <c r="GO33" s="32">
        <f t="shared" si="71"/>
        <v>141734.1946580456</v>
      </c>
      <c r="GP33" s="32">
        <f>IF(GH33&gt;=0,IF(GH33&lt;=InputData!$C$148,InputData!$C$147*GH33,InputData!$C$147*InputData!$C$148)+InputData!$C$149*GH33,0)</f>
        <v>13874.141534196115</v>
      </c>
      <c r="GQ33" s="32">
        <f>IF(GJ33&lt;0,0,IF(GJ33&lt;=InputData!$B$163,InputData!$C$163*GJ33,IF(GJ33&lt;=InputData!$B$164,InputData!$D$163+InputData!$C$164*(GJ33-InputData!$B$163),IF(GJ33&lt;=InputData!$B$165,InputData!$D$164+InputData!$C$165*(GJ33-InputData!$B$164),InputData!$D$165+InputData!$C$166*(GJ33-InputData!$B$165)))))</f>
        <v>0</v>
      </c>
      <c r="GR33" s="43">
        <f t="shared" si="72"/>
        <v>0.33060898548054346</v>
      </c>
      <c r="GS33" s="43">
        <f t="shared" si="73"/>
        <v>0.33060898548054346</v>
      </c>
      <c r="GT33" s="5">
        <f t="shared" si="74"/>
        <v>315063.49375231791</v>
      </c>
      <c r="GU33" s="32">
        <f>GT33/((1+InputData!$C$7)^(Ortho!$B33-Ortho!$B$7))</f>
        <v>146093.280861304</v>
      </c>
      <c r="GV33" s="84">
        <f t="shared" si="75"/>
        <v>2000987.6367556402</v>
      </c>
      <c r="GX33" s="83">
        <v>21</v>
      </c>
      <c r="GY33" s="4" t="s">
        <v>217</v>
      </c>
      <c r="GZ33" s="5"/>
      <c r="HA33" s="84">
        <v>0</v>
      </c>
      <c r="HB33" s="5"/>
      <c r="HC33" s="84">
        <f>MIN(InputData!$C$13+InputData!$E$13*($B33-$B$32),1)*$AW33/((1+InputData!$C$3)^(Ortho!$B33-Ortho!$B$7))+0.025*$GX$31*(($AB$29+$AB$30+$AB$31)/3)*((1+InputData!$C$5)/(1+InputData!$C$3))^(Ortho!$B33-Ortho!$B$7)</f>
        <v>475347.1019772549</v>
      </c>
      <c r="HD33" s="5">
        <v>0</v>
      </c>
      <c r="HE33" s="32">
        <f>IF(HC33-InputData!$C$158-InputData!$C$159&gt;=0,HC33-InputData!$C$158-InputData!$C$159,0)</f>
        <v>475347.1019772549</v>
      </c>
      <c r="HF33" s="32">
        <f>IF(HC33-IF(HC33&lt;=InputData!$C$146,InputData!$C$145,0)-MAX(InputData!$C$144,HL33)&gt;=0,HC33-IF(HC33&lt;=InputData!$C$146,InputData!$C$145,0)-MAX(InputData!$C$144,HL33),0)</f>
        <v>469247.1019772549</v>
      </c>
      <c r="HG33" s="32">
        <f>IF(HF33&lt;0,"Error",IF(HF33&lt;=InputData!$B$170,InputData!$C$170*HF33,IF(HF33&lt;=InputData!$B$171,InputData!$D$170+InputData!$C$171*(HF33-InputData!$B$170),IF(HF33&lt;=InputData!$B$172,InputData!$D$171+InputData!$C$172*(HF33-InputData!$B$171),IF(HF33&lt;=InputData!$B$173,InputData!$D$172+InputData!$C$173*(HF33-InputData!$B$172),IF(HF33&lt;=InputData!$B$174,InputData!$D$173+InputData!$C$174*(HF33-InputData!$B$173),IF(HF33&lt;=InputData!$B$175,InputData!$D$174+InputData!$C$175*(HF33-InputData!$B$174),InputData!$D$175+InputData!$C$176*(HF33-InputData!$B$175))))))))</f>
        <v>143585.60238299295</v>
      </c>
      <c r="HH33" s="32">
        <f>IF(HC33&lt;=InputData!$C$150,InputData!$C$152,IF(HC33&lt;InputData!$C$151,IF(InputData!$C$152-0.25*IF(HC33-InputData!$C$150&lt;=0,0,HC33-InputData!$C$150)&lt;=0,0,InputData!$C$152-0.25*IF(HC33-InputData!$C$150&lt;=0,0,HC33-InputData!$C$150)),0))</f>
        <v>0</v>
      </c>
      <c r="HI33" s="32">
        <f>IF(HC33-HH33&lt;=0,0,IF(HC33-HH33&lt;=InputData!$C$153,InputData!$C$154*(HC33-HH33),InputData!$C$155*(HC33-HH33)-InputData!$D$154))</f>
        <v>129507.18855363139</v>
      </c>
      <c r="HJ33" s="32">
        <f t="shared" si="76"/>
        <v>143585.60238299295</v>
      </c>
      <c r="HK33" s="32">
        <f>IF(HC33&gt;=0,IF(HC33&lt;=InputData!$C$148,InputData!$C$147*HC33,InputData!$C$147*InputData!$C$148)+InputData!$C$149*HC33,0)</f>
        <v>13941.932978670196</v>
      </c>
      <c r="HL33" s="32">
        <f>IF(HE33&lt;0,0,IF(HE33&lt;=InputData!$B$163,InputData!$C$163*HE33,IF(HE33&lt;=InputData!$B$164,InputData!$D$163+InputData!$C$164*(HE33-InputData!$B$163),IF(HE33&lt;=InputData!$B$165,InputData!$D$164+InputData!$C$165*(HE33-InputData!$B$164),InputData!$D$165+InputData!$C$166*(HE33-InputData!$B$165)))))</f>
        <v>0</v>
      </c>
      <c r="HM33" s="43">
        <f t="shared" si="77"/>
        <v>0.33139475281622893</v>
      </c>
      <c r="HN33" s="43">
        <f t="shared" si="78"/>
        <v>0.33139475281622893</v>
      </c>
      <c r="HO33" s="5">
        <f t="shared" si="79"/>
        <v>317819.56661559182</v>
      </c>
      <c r="HP33" s="32">
        <f>HO33/((1+InputData!$C$7)^(Ortho!$B33-Ortho!$B$7))</f>
        <v>147371.25731644046</v>
      </c>
      <c r="HQ33" s="84">
        <f t="shared" si="80"/>
        <v>1943426.7186859977</v>
      </c>
      <c r="HS33" s="227"/>
      <c r="HT33" s="53" t="s">
        <v>109</v>
      </c>
      <c r="HU33" s="32">
        <f>MIN(InputData!$C$13+InputData!$E$13*($B33-$B$23),1)*Ortho!AW33</f>
        <v>720085.99888372561</v>
      </c>
      <c r="HV33" s="32">
        <f>MIN(InputData!$C$13+InputData!$E$13*($B33-$B$23),1)*Ortho!AX33</f>
        <v>0</v>
      </c>
      <c r="HW33" s="32">
        <f>MIN(InputData!$C$13+InputData!$E$13*($B33-$B$23),1)*Ortho!AY33</f>
        <v>720085.99888372561</v>
      </c>
      <c r="HX33" s="32">
        <f>MIN(InputData!$C$13+InputData!$E$13*($B33-$B$23),1)*Ortho!EO33</f>
        <v>430308.47623021848</v>
      </c>
      <c r="HY33" s="32">
        <f>MIN(InputData!$C$13+InputData!$E$13*($B33-$B$23),1)*Ortho!EP33</f>
        <v>0</v>
      </c>
      <c r="HZ33" s="32">
        <f>IF(HX33-InputData!$C$158-InputData!$C$159&gt;=0,HX33-InputData!$C$158-InputData!$C$159,0)</f>
        <v>430308.47623021848</v>
      </c>
      <c r="IA33" s="32">
        <f>IF(HX33-IF(HX33&lt;=InputData!$C$146,InputData!$C$145,0)-MAX(InputData!$C$144,IG33)&gt;=0,HX33-IF(HX33&lt;=InputData!$C$146,InputData!$C$145,0)-MAX(InputData!$C$144,IG33),0)</f>
        <v>424208.47623021848</v>
      </c>
      <c r="IB33" s="32">
        <f>IF(IA33&lt;0,"Error",IF(IA33&lt;=InputData!$B$170,InputData!$C$170*IA33,IF(IA33&lt;=InputData!$B$171,InputData!$D$170+InputData!$C$171*(IA33-InputData!$B$170),IF(IA33&lt;=InputData!$B$172,InputData!$D$171+InputData!$C$172*(IA33-InputData!$B$171),IF(IA33&lt;=InputData!$B$173,InputData!$D$172+InputData!$C$173*(IA33-InputData!$B$172),IF(IA33&lt;=InputData!$B$174,InputData!$D$173+InputData!$C$174*(IA33-InputData!$B$173),IF(IA33&lt;=InputData!$B$175,InputData!$D$174+InputData!$C$175*(IA33-InputData!$B$174),InputData!$D$175+InputData!$C$176*(IA33-InputData!$B$175))))))))</f>
        <v>125750.30658716652</v>
      </c>
      <c r="IC33" s="32">
        <f>IF(HX33&lt;=InputData!$C$150,InputData!$C$152,IF(HX33&lt;InputData!$C$151,IF(InputData!$C$152-0.25*IF(HX33-InputData!$C$150&lt;=0,0,HX33-InputData!$C$150)&lt;=0,0,InputData!$C$152-0.25*IF(HX33-InputData!$C$150&lt;=0,0,HX33-InputData!$C$150)),0))</f>
        <v>0</v>
      </c>
      <c r="ID33" s="32">
        <f>IF(HX33-IC33&lt;=0,0,IF(HX33-IC33&lt;=InputData!$C$153,InputData!$C$154*(HX33-IC33),InputData!$C$155*(HX33-IC33)-InputData!$D$154))</f>
        <v>116896.37334446119</v>
      </c>
      <c r="IE33" s="32">
        <f t="shared" si="88"/>
        <v>125750.30658716652</v>
      </c>
      <c r="IF33" s="32">
        <f>IF(HX33&gt;=0,IF(HX33&lt;=InputData!$C$148,InputData!$C$147*HX33,InputData!$C$147*InputData!$C$148)+InputData!$C$149*HX33,0)</f>
        <v>13288.872905338168</v>
      </c>
      <c r="IG33" s="32">
        <f>IF(HZ33&lt;0,0,IF(HZ33&lt;=InputData!$B$163,InputData!$C$163*HZ33,IF(HZ33&lt;=InputData!$B$164,InputData!$D$163+InputData!$C$164*(HZ33-InputData!$B$163),IF(HZ33&lt;=InputData!$B$165,InputData!$D$164+InputData!$C$165*(HZ33-InputData!$B$164),InputData!$D$165+InputData!$C$166*(HZ33-InputData!$B$165)))))</f>
        <v>0</v>
      </c>
      <c r="IH33" s="43">
        <f t="shared" si="89"/>
        <v>0.32311513059323893</v>
      </c>
      <c r="II33" s="43">
        <f t="shared" si="90"/>
        <v>0.32311513059323893</v>
      </c>
      <c r="IJ33" s="5">
        <f t="shared" si="91"/>
        <v>291269.2967377138</v>
      </c>
      <c r="IK33" s="32">
        <f>IJ33/((1+InputData!$C$7)^(Ortho!$B33-Ortho!$B$7))</f>
        <v>135060.03716199906</v>
      </c>
      <c r="IL33" s="5">
        <f t="shared" si="92"/>
        <v>2535342.920910154</v>
      </c>
      <c r="IN33" s="227"/>
      <c r="IO33" s="53" t="s">
        <v>109</v>
      </c>
      <c r="IP33" s="32">
        <f>MIN(InputData!$C$13+InputData!$E$13*($B33-$B$20),1)*Ortho!AW33</f>
        <v>720085.99888372561</v>
      </c>
      <c r="IQ33" s="32">
        <f>MIN(InputData!$C$13+InputData!$E$13*($B33-$B$20),1)*Ortho!AX33</f>
        <v>0</v>
      </c>
      <c r="IR33" s="32">
        <f>MIN(InputData!$C$13+InputData!$E$13*($B33-$B$20),1)*Ortho!AY33</f>
        <v>720085.99888372561</v>
      </c>
      <c r="IS33" s="32">
        <f>MIN(InputData!$C$13+InputData!$E$13*($B33-$B$20),1)*Ortho!EO33</f>
        <v>430308.47623021848</v>
      </c>
      <c r="IT33" s="32">
        <f>MIN(InputData!$C$13+InputData!$E$13*($B33-$B$20),1)*Ortho!EP33</f>
        <v>0</v>
      </c>
      <c r="IU33" s="32">
        <f>IF(IS33-InputData!$C$158-InputData!$C$159&gt;=0,IS33-InputData!$C$158-InputData!$C$159,0)</f>
        <v>430308.47623021848</v>
      </c>
      <c r="IV33" s="32">
        <f>IF(IS33-IF(IS33&lt;=InputData!$C$146,InputData!$C$145,0)-MAX(InputData!$C$144,JB33)&gt;=0,IS33-IF(IS33&lt;=InputData!$C$146,InputData!$C$145,0)-MAX(InputData!$C$144,JB33),0)</f>
        <v>424208.47623021848</v>
      </c>
      <c r="IW33" s="32">
        <f>IF(IV33&lt;0,"Error",IF(IV33&lt;=InputData!$B$170,InputData!$C$170*IV33,IF(IV33&lt;=InputData!$B$171,InputData!$D$170+InputData!$C$171*(IV33-InputData!$B$170),IF(IV33&lt;=InputData!$B$172,InputData!$D$171+InputData!$C$172*(IV33-InputData!$B$171),IF(IV33&lt;=InputData!$B$173,InputData!$D$172+InputData!$C$173*(IV33-InputData!$B$172),IF(IV33&lt;=InputData!$B$174,InputData!$D$173+InputData!$C$174*(IV33-InputData!$B$173),IF(IV33&lt;=InputData!$B$175,InputData!$D$174+InputData!$C$175*(IV33-InputData!$B$174),InputData!$D$175+InputData!$C$176*(IV33-InputData!$B$175))))))))</f>
        <v>125750.30658716652</v>
      </c>
      <c r="IX33" s="32">
        <f>IF(IS33&lt;=InputData!$C$150,InputData!$C$152,IF(IS33&lt;InputData!$C$151,IF(InputData!$C$152-0.25*IF(IS33-InputData!$C$150&lt;=0,0,IS33-InputData!$C$150)&lt;=0,0,InputData!$C$152-0.25*IF(IS33-InputData!$C$150&lt;=0,0,IS33-InputData!$C$150)),0))</f>
        <v>0</v>
      </c>
      <c r="IY33" s="32">
        <f>IF(IS33-IX33&lt;=0,0,IF(IS33-IX33&lt;=InputData!$C$153,InputData!$C$154*(IS33-IX33),InputData!$C$155*(IS33-IX33)-InputData!$D$154))</f>
        <v>116896.37334446119</v>
      </c>
      <c r="IZ33" s="32">
        <f t="shared" si="95"/>
        <v>125750.30658716652</v>
      </c>
      <c r="JA33" s="32">
        <f>IF(IS33&gt;=0,IF(IS33&lt;=InputData!$C$148,InputData!$C$147*IS33,InputData!$C$147*InputData!$C$148)+InputData!$C$149*IS33,0)</f>
        <v>13288.872905338168</v>
      </c>
      <c r="JB33" s="32">
        <f>IF(IU33&lt;0,0,IF(IU33&lt;=InputData!$B$163,InputData!$C$163*IU33,IF(IU33&lt;=InputData!$B$164,InputData!$D$163+InputData!$C$164*(IU33-InputData!$B$163),IF(IU33&lt;=InputData!$B$165,InputData!$D$164+InputData!$C$165*(IU33-InputData!$B$164),InputData!$D$165+InputData!$C$166*(IU33-InputData!$B$165)))))</f>
        <v>0</v>
      </c>
      <c r="JC33" s="43">
        <f t="shared" si="96"/>
        <v>0.32311513059323893</v>
      </c>
      <c r="JD33" s="43">
        <f t="shared" si="97"/>
        <v>0.32311513059323893</v>
      </c>
      <c r="JE33" s="5">
        <f t="shared" si="98"/>
        <v>291269.2967377138</v>
      </c>
      <c r="JF33" s="32">
        <f>JE33/((1+InputData!$C$7)^(Ortho!$B33-Ortho!$B$7))</f>
        <v>135060.03716199906</v>
      </c>
      <c r="JG33" s="5">
        <f t="shared" si="99"/>
        <v>2790334.6122368625</v>
      </c>
      <c r="JI33" s="41" t="str">
        <f t="shared" si="13"/>
        <v>Private Practice</v>
      </c>
      <c r="JJ33" s="5">
        <f t="shared" si="14"/>
        <v>800095.55431525072</v>
      </c>
      <c r="JK33" s="32">
        <v>0</v>
      </c>
      <c r="JL33" s="32">
        <f t="shared" si="101"/>
        <v>800095.55431525072</v>
      </c>
      <c r="JM33" s="32">
        <f>JM32*(1+InputData!$C$8)</f>
        <v>19227.574133927752</v>
      </c>
      <c r="JN33" s="32">
        <f>JJ33/((1+InputData!$C$3)^(Ortho!$B33-Ortho!$B$7))</f>
        <v>478120.52914468717</v>
      </c>
      <c r="JO33" s="32">
        <f>JK33/((1+InputData!$C$3)^(Ortho!$B33-Ortho!$B$7))</f>
        <v>0</v>
      </c>
      <c r="JP33" s="32" t="s">
        <v>141</v>
      </c>
      <c r="JQ33" s="32">
        <v>0</v>
      </c>
      <c r="JR33" s="32">
        <f t="shared" si="167"/>
        <v>0</v>
      </c>
      <c r="JS33" s="32">
        <f>(JR33)*InputData!$C$6</f>
        <v>0</v>
      </c>
      <c r="JT33" s="32">
        <f>MIN($BE$16*InputData!$C$6/(1-(1+InputData!$C$6)^(-10)), JR33+JS33)</f>
        <v>0</v>
      </c>
      <c r="JU33" s="32">
        <f t="shared" si="151"/>
        <v>0</v>
      </c>
      <c r="JV33" s="32">
        <f>JT33/((1+InputData!$C$3)^(Ortho!$B33-Ortho!$B$7))</f>
        <v>0</v>
      </c>
      <c r="JW33" s="32">
        <f>IF(JN33-InputData!$C$158-InputData!$C$159&gt;=0,JN33-InputData!$C$158-InputData!$C$159,0)</f>
        <v>478120.52914468717</v>
      </c>
      <c r="JX33" s="32">
        <f>IF(JN33-IF(JN33&lt;=InputData!$C$146,InputData!$C$145,0)-MAX(InputData!$C$144,KD33)&gt;=0,JN33-IF(JN33&lt;=InputData!$C$146,InputData!$C$145,0)-MAX(InputData!$C$144,KD33),0)</f>
        <v>472020.52914468717</v>
      </c>
      <c r="JY33" s="32">
        <f>IF(JX33&lt;0,"Error",IF(JX33&lt;=InputData!$B$170,InputData!$C$170*JX33,IF(JX33&lt;=InputData!$B$171,InputData!$D$170+InputData!$C$171*(JX33-InputData!$B$170),IF(JX33&lt;=InputData!$B$172,InputData!$D$171+InputData!$C$172*(JX33-InputData!$B$171),IF(JX33&lt;=InputData!$B$173,InputData!$D$172+InputData!$C$173*(JX33-InputData!$B$172),IF(JX33&lt;=InputData!$B$174,InputData!$D$173+InputData!$C$174*(JX33-InputData!$B$173),IF(JX33&lt;=InputData!$B$175,InputData!$D$174+InputData!$C$175*(JX33-InputData!$B$174),InputData!$D$175+InputData!$C$176*(JX33-InputData!$B$175))))))))</f>
        <v>144683.87954129613</v>
      </c>
      <c r="JZ33" s="32">
        <f>IF(JN33&lt;=InputData!$C$150,InputData!$C$152,IF(JN33&lt;InputData!$C$151,IF(InputData!$C$152-0.25*IF(JN33-InputData!$C$150&lt;=0,0,JN33-InputData!$C$150)&lt;=0,0,InputData!$C$152-0.25*IF(JN33-InputData!$C$150&lt;=0,0,JN33-InputData!$C$150)),0))</f>
        <v>0</v>
      </c>
      <c r="KA33" s="32">
        <f>IF(JN33-JZ33&lt;=0,0,IF(JN33-JZ33&lt;=InputData!$C$153,InputData!$C$154*(JN33-JZ33),InputData!$C$155*(JN33-JZ33)-InputData!$D$154))</f>
        <v>130283.74816051242</v>
      </c>
      <c r="KB33" s="32">
        <f t="shared" si="102"/>
        <v>144683.87954129613</v>
      </c>
      <c r="KC33" s="32">
        <f>IF(JN33&gt;=0,IF(JN33&lt;=InputData!$C$148,InputData!$C$147*JN33,InputData!$C$147*InputData!$C$148)+InputData!$C$149*JN33,0)</f>
        <v>13982.147672597963</v>
      </c>
      <c r="KD33" s="32">
        <f>IF(JW33&lt;0,0,IF(JW33&lt;=InputData!$B$163,InputData!$C$163*JW33,IF(JW33&lt;=InputData!$B$164,InputData!$D$163+InputData!$C$164*(JW33-InputData!$B$163),IF(JW33&lt;=InputData!$B$165,InputData!$D$164+InputData!$C$165*(JW33-InputData!$B$164),InputData!$D$165+InputData!$C$166*(JW33-InputData!$B$165)))))</f>
        <v>0</v>
      </c>
      <c r="KE33" s="43">
        <f t="shared" si="15"/>
        <v>0.33185361753391501</v>
      </c>
      <c r="KF33" s="32">
        <f t="shared" si="16"/>
        <v>319454.50193079305</v>
      </c>
      <c r="KG33" s="32">
        <f t="shared" si="103"/>
        <v>319454.50193079305</v>
      </c>
      <c r="KH33" s="32">
        <f>KG33/((1+InputData!$C$7)^(Ortho!$B33-Ortho!$B$7))</f>
        <v>148129.36820180228</v>
      </c>
      <c r="KI33" s="5">
        <f t="shared" si="122"/>
        <v>3388988.1308156322</v>
      </c>
    </row>
    <row r="34" spans="1:295" x14ac:dyDescent="0.25">
      <c r="A34" s="4">
        <v>2040</v>
      </c>
      <c r="B34" s="51">
        <v>28</v>
      </c>
      <c r="C34" s="4"/>
      <c r="D34" s="3">
        <v>28</v>
      </c>
      <c r="E34" s="97" t="s">
        <v>276</v>
      </c>
      <c r="F34" s="5">
        <f>InputData!$Q$21*12</f>
        <v>126320.40000000001</v>
      </c>
      <c r="G34" s="32">
        <f>(InputData!$Q$21+InputData!$K$45+InputData!$G$50)*12+InputData!$J$50+InputData!$D$61+InputData!$J$61</f>
        <v>254320.36000000002</v>
      </c>
      <c r="H34" s="32">
        <f>(InputData!$C$32+InputData!$C$40)*12</f>
        <v>21631.199999999997</v>
      </c>
      <c r="I34" s="32">
        <f t="shared" si="17"/>
        <v>275951.56</v>
      </c>
      <c r="J34" s="5">
        <f>G34*((1+InputData!$C$5)/(1+InputData!$C$3))^(Ortho!$B34-Ortho!$B$7)</f>
        <v>194918.73501314741</v>
      </c>
      <c r="K34" s="5">
        <f>H34*((1+InputData!$C$5)/(1+InputData!$C$3))^(Ortho!$B34-Ortho!$B$7)</f>
        <v>16578.79904234326</v>
      </c>
      <c r="L34" s="32">
        <f>IF(J34-InputData!$C$158-InputData!$C$159&gt;=0,J34-InputData!$C$158-InputData!$C$159,0)</f>
        <v>194918.73501314741</v>
      </c>
      <c r="M34" s="32">
        <f>IF(J34-IF(J34&lt;=InputData!$C$146,InputData!$C$145,0)-MAX(InputData!$C$144,S34)&gt;=0,J34-IF(J34&lt;=InputData!$C$146,InputData!$C$145,0)-MAX(InputData!$C$144,S34),0)</f>
        <v>188818.73501314741</v>
      </c>
      <c r="N34" s="32">
        <f>IF(M34&lt;0,"Error",IF(M34&lt;=InputData!$B$170,InputData!$C$170*M34,IF(M34&lt;=InputData!$B$171,InputData!$D$170+InputData!$C$171*(M34-InputData!$B$170),IF(M34&lt;=InputData!$B$172,InputData!$D$171+InputData!$C$172*(M34-InputData!$B$171),IF(M34&lt;=InputData!$B$173,InputData!$D$172+InputData!$C$173*(M34-InputData!$B$172),IF(M34&lt;=InputData!$B$174,InputData!$D$173+InputData!$C$174*(M34-InputData!$B$173),IF(M34&lt;=InputData!$B$175,InputData!$D$174+InputData!$C$175*(M34-InputData!$B$174),InputData!$D$175+InputData!$C$176*(M34-InputData!$B$175))))))))</f>
        <v>46440.932554338644</v>
      </c>
      <c r="O34" s="32">
        <f>IF(J34&lt;=InputData!$C$150,InputData!$C$152,IF(J34&lt;InputData!$C$151,IF(InputData!$C$152-0.25*IF(J34-InputData!$C$150&lt;=0,0,J34-InputData!$C$150)&lt;=0,0,InputData!$C$152-0.25*IF(J34-InputData!$C$150&lt;=0,0,J34-InputData!$C$150)),0))</f>
        <v>32020.316246713148</v>
      </c>
      <c r="P34" s="32">
        <f>IF(J34-O34&lt;=0,0,IF(J34-O34&lt;=InputData!$C$153,InputData!$C$154*(J34-O34),InputData!$C$155*(J34-O34)-InputData!$D$154))</f>
        <v>42353.588879272902</v>
      </c>
      <c r="Q34" s="32">
        <f t="shared" si="18"/>
        <v>46440.932554338644</v>
      </c>
      <c r="R34" s="32">
        <f>IF(J34&gt;=0,IF(J34&lt;=InputData!$C$148,InputData!$C$147*J34,InputData!$C$147*InputData!$C$148)+InputData!$C$149*J34,0)</f>
        <v>9875.7216576906376</v>
      </c>
      <c r="S34" s="32">
        <f>IF(L34&lt;0,0,IF(L34&lt;=InputData!$B$163,InputData!$C$163*L34,IF(L34&lt;=InputData!$B$164,InputData!$D$163+InputData!$C$164*(L34-InputData!$B$163),IF(L34&lt;=InputData!$B$165,InputData!$D$164+InputData!$C$165*(L34-InputData!$B$164),InputData!$D$165+InputData!$C$166*(L34-InputData!$B$165)))))</f>
        <v>0</v>
      </c>
      <c r="T34" s="43">
        <f t="shared" si="19"/>
        <v>0.28892376203975817</v>
      </c>
      <c r="U34" s="43">
        <f t="shared" si="20"/>
        <v>0.26627570133869016</v>
      </c>
      <c r="V34" s="5">
        <f t="shared" si="21"/>
        <v>155180.87984346136</v>
      </c>
      <c r="W34" s="32">
        <f>V34/((1+InputData!$C$7)^(Ortho!$B34-Ortho!$B$7))</f>
        <v>69860.733769593338</v>
      </c>
      <c r="X34" s="5">
        <f t="shared" si="104"/>
        <v>1846156.4918973981</v>
      </c>
      <c r="Y34" s="53"/>
      <c r="Z34" s="3">
        <v>24.5</v>
      </c>
      <c r="AA34" s="98" t="s">
        <v>270</v>
      </c>
      <c r="AB34" s="32">
        <f>(0.5*InputData!$O$21+0.5*InputData!$P$21)*12</f>
        <v>118890</v>
      </c>
      <c r="AC34" s="32">
        <f>(0.5*(InputData!$O$21+InputData!$K$45)+0.5*(InputData!$P$21+InputData!$K$45)+InputData!$G$50)*12+InputData!$J$50+InputData!$D$61+InputData!$J$61</f>
        <v>246889.96</v>
      </c>
      <c r="AD34" s="32">
        <f t="shared" si="174"/>
        <v>21631.199999999997</v>
      </c>
      <c r="AE34" s="32">
        <f t="shared" si="22"/>
        <v>268521.15999999997</v>
      </c>
      <c r="AF34" s="5">
        <f>AC34*((1+InputData!$C$5)/(1+InputData!$C$3))^(Ortho!$B34-Ortho!$B$7)</f>
        <v>189223.85408170448</v>
      </c>
      <c r="AG34" s="5">
        <f>AD34*((1+InputData!$C$5)/(1+InputData!$C$3))^(Ortho!$B34-Ortho!$B$7)</f>
        <v>16578.79904234326</v>
      </c>
      <c r="AH34" s="32">
        <f>IF(AF34-InputData!$C$158-InputData!$C$159&gt;=0,AF34-InputData!$C$158-InputData!$C$159,0)</f>
        <v>189223.85408170448</v>
      </c>
      <c r="AI34" s="32">
        <f>IF(AF34-IF(AF34&lt;=InputData!$C$146,InputData!$C$145,0)-MAX(InputData!$C$144,AO34)&gt;=0,AF34-IF(AF34&lt;=InputData!$C$146,InputData!$C$145,0)-MAX(InputData!$C$144,AO34),0)</f>
        <v>183123.85408170448</v>
      </c>
      <c r="AJ34" s="32">
        <f>IF(AI34&lt;0,"Error",IF(AI34&lt;=InputData!$B$170,InputData!$C$170*AI34,IF(AI34&lt;=InputData!$B$171,InputData!$D$170+InputData!$C$171*(AI34-InputData!$B$170),IF(AI34&lt;=InputData!$B$172,InputData!$D$171+InputData!$C$172*(AI34-InputData!$B$171),IF(AI34&lt;=InputData!$B$173,InputData!$D$172+InputData!$C$173*(AI34-InputData!$B$172),IF(AI34&lt;=InputData!$B$174,InputData!$D$173+InputData!$C$174*(AI34-InputData!$B$173),IF(AI34&lt;=InputData!$B$175,InputData!$D$174+InputData!$C$175*(AI34-InputData!$B$174),InputData!$D$175+InputData!$C$176*(AI34-InputData!$B$175))))))))</f>
        <v>44567.929142877256</v>
      </c>
      <c r="AK34" s="32">
        <f>IF(AF34&lt;=InputData!$C$150,InputData!$C$152,IF(AF34&lt;InputData!$C$151,IF(InputData!$C$152-0.25*IF(AF34-InputData!$C$150&lt;=0,0,AF34-InputData!$C$150)&lt;=0,0,InputData!$C$152-0.25*IF(AF34-InputData!$C$150&lt;=0,0,AF34-InputData!$C$150)),0))</f>
        <v>33444.036479573879</v>
      </c>
      <c r="AL34" s="32">
        <f>IF(AF34-AK34&lt;=0,0,IF(AF34-AK34&lt;=InputData!$C$153,InputData!$C$154*(AF34-AK34),InputData!$C$155*(AF34-AK34)-InputData!$D$154))</f>
        <v>40502.752576553961</v>
      </c>
      <c r="AM34" s="32">
        <f t="shared" si="23"/>
        <v>44567.929142877256</v>
      </c>
      <c r="AN34" s="32">
        <f>IF(AF34&gt;=0,IF(AF34&lt;=InputData!$C$148,InputData!$C$147*AF34,InputData!$C$147*InputData!$C$148)+InputData!$C$149*AF34,0)</f>
        <v>9793.1458841847143</v>
      </c>
      <c r="AO34" s="32">
        <f>IF(AH34&lt;0,0,IF(AH34&lt;=InputData!$B$163,InputData!$C$163*AH34,IF(AH34&lt;=InputData!$B$164,InputData!$D$163+InputData!$C$164*(AH34-InputData!$B$163),IF(AH34&lt;=InputData!$B$165,InputData!$D$164+InputData!$C$165*(AH34-InputData!$B$164),InputData!$D$165+InputData!$C$166*(AH34-InputData!$B$165)))))</f>
        <v>0</v>
      </c>
      <c r="AP34" s="43">
        <f t="shared" si="24"/>
        <v>0.28728447209192526</v>
      </c>
      <c r="AQ34" s="43">
        <f t="shared" si="25"/>
        <v>0.26414176008846585</v>
      </c>
      <c r="AR34" s="5">
        <f t="shared" si="26"/>
        <v>151441.57809698576</v>
      </c>
      <c r="AS34" s="32">
        <f>AR34/((1+InputData!$C$7)^(Ortho!$B34-Ortho!$B$7))</f>
        <v>68177.341047125054</v>
      </c>
      <c r="AT34" s="5">
        <f t="shared" si="105"/>
        <v>1865453.5926725743</v>
      </c>
      <c r="AU34" s="53"/>
      <c r="AV34" s="41" t="s">
        <v>109</v>
      </c>
      <c r="AW34" s="32">
        <f>$AW$17*(1+InputData!$C$3+InputData!$C$4)^(Ortho!$B34-Ortho!$B$17)</f>
        <v>824098.42094470828</v>
      </c>
      <c r="AX34" s="32">
        <v>0</v>
      </c>
      <c r="AY34" s="32">
        <f t="shared" si="28"/>
        <v>824098.42094470828</v>
      </c>
      <c r="AZ34" s="32">
        <f>AZ33*(1+InputData!$C$8)</f>
        <v>19612.125616606307</v>
      </c>
      <c r="BA34" s="32">
        <f>AW34/((1+InputData!$C$3)^(Ortho!$B34-Ortho!$B$7))</f>
        <v>482807.98531277245</v>
      </c>
      <c r="BB34" s="32">
        <f>AX34/((1+InputData!$C$3)^(Ortho!$B34-Ortho!$B$7))</f>
        <v>0</v>
      </c>
      <c r="BC34" s="32" t="s">
        <v>141</v>
      </c>
      <c r="BD34" s="32">
        <v>0</v>
      </c>
      <c r="BE34" s="32">
        <f t="shared" si="152"/>
        <v>0</v>
      </c>
      <c r="BF34" s="32">
        <f>(BE34)*InputData!$C$6</f>
        <v>0</v>
      </c>
      <c r="BG34" s="32">
        <f>MIN($BE$16*InputData!$C$6/(1-(1+InputData!$C$6)^(-10)), BE34+BF34)</f>
        <v>0</v>
      </c>
      <c r="BH34" s="32">
        <f t="shared" si="137"/>
        <v>0</v>
      </c>
      <c r="BI34" s="32">
        <f>BG34/((1+InputData!$C$3)^(Ortho!$B34-Ortho!$B$7))</f>
        <v>0</v>
      </c>
      <c r="BJ34" s="32">
        <f>IF(BA34-InputData!$C$158-InputData!$C$159&gt;=0,BA34-InputData!$C$158-InputData!$C$159,0)</f>
        <v>482807.98531277245</v>
      </c>
      <c r="BK34" s="32">
        <f>IF(BA34-IF(BA34&lt;=InputData!$C$146,InputData!$C$145,0)-MAX(InputData!$C$144,BQ34)&gt;=0,BA34-IF(BA34&lt;=InputData!$C$146,InputData!$C$145,0)-MAX(InputData!$C$144,BQ34),0)</f>
        <v>476707.98531277245</v>
      </c>
      <c r="BL34" s="32">
        <f>IF(BK34&lt;0,"Error",IF(BK34&lt;=InputData!$B$170,InputData!$C$170*BK34,IF(BK34&lt;=InputData!$B$171,InputData!$D$170+InputData!$C$171*(BK34-InputData!$B$170),IF(BK34&lt;=InputData!$B$172,InputData!$D$171+InputData!$C$172*(BK34-InputData!$B$171),IF(BK34&lt;=InputData!$B$173,InputData!$D$172+InputData!$C$173*(BK34-InputData!$B$172),IF(BK34&lt;=InputData!$B$174,InputData!$D$173+InputData!$C$174*(BK34-InputData!$B$173),IF(BK34&lt;=InputData!$B$175,InputData!$D$174+InputData!$C$175*(BK34-InputData!$B$174),InputData!$D$175+InputData!$C$176*(BK34-InputData!$B$175))))))))</f>
        <v>146540.11218385788</v>
      </c>
      <c r="BM34" s="32">
        <f>IF(BA34&lt;=InputData!$C$150,InputData!$C$152,IF(BA34&lt;InputData!$C$151,IF(InputData!$C$152-0.25*IF(BA34-InputData!$C$150&lt;=0,0,BA34-InputData!$C$150)&lt;=0,0,InputData!$C$152-0.25*IF(BA34-InputData!$C$150&lt;=0,0,BA34-InputData!$C$150)),0))</f>
        <v>0</v>
      </c>
      <c r="BN34" s="32">
        <f>IF(BA34-BM34&lt;=0,0,IF(BA34-BM34&lt;=InputData!$C$153,InputData!$C$154*(BA34-BM34),InputData!$C$155*(BA34-BM34)-InputData!$D$154))</f>
        <v>131596.2358875763</v>
      </c>
      <c r="BO34" s="32">
        <f t="shared" si="29"/>
        <v>146540.11218385788</v>
      </c>
      <c r="BP34" s="32">
        <f>IF(BA34&gt;=0,IF(BA34&lt;=InputData!$C$148,InputData!$C$147*BA34,InputData!$C$147*InputData!$C$148)+InputData!$C$149*BA34,0)</f>
        <v>14050.1157870352</v>
      </c>
      <c r="BQ34" s="32">
        <f>IF(BJ34&lt;0,0,IF(BJ34&lt;=InputData!$B$163,InputData!$C$163*BJ34,IF(BJ34&lt;=InputData!$B$164,InputData!$D$163+InputData!$C$164*(BJ34-InputData!$B$163),IF(BJ34&lt;=InputData!$B$165,InputData!$D$164+InputData!$C$165*(BJ34-InputData!$B$164),InputData!$D$165+InputData!$C$166*(BJ34-InputData!$B$165)))))</f>
        <v>0</v>
      </c>
      <c r="BR34" s="43">
        <f t="shared" si="30"/>
        <v>0.33261717464523621</v>
      </c>
      <c r="BS34" s="32">
        <f t="shared" si="31"/>
        <v>322217.75734187936</v>
      </c>
      <c r="BT34" s="32">
        <f t="shared" si="32"/>
        <v>322217.75734187936</v>
      </c>
      <c r="BU34" s="32">
        <f>BT34/((1+InputData!$C$7)^(Ortho!$B34-Ortho!$B$7))</f>
        <v>145058.90792863004</v>
      </c>
      <c r="BV34" s="5">
        <f t="shared" si="107"/>
        <v>3149720.6461975216</v>
      </c>
      <c r="BW34" s="5"/>
      <c r="BX34" s="32" t="s">
        <v>141</v>
      </c>
      <c r="BY34" s="5">
        <f t="shared" si="153"/>
        <v>120162.30029265123</v>
      </c>
      <c r="BZ34" s="32">
        <f>(BY34)*InputData!$C$6</f>
        <v>7462.0788481736417</v>
      </c>
      <c r="CA34" s="32">
        <f>MIN($BY$16*InputData!$C$6/(1-(1+InputData!$C$6)^(-25)), BY34+BZ34)</f>
        <v>21686.214673809533</v>
      </c>
      <c r="CB34" s="32">
        <f t="shared" si="154"/>
        <v>105938.16446701533</v>
      </c>
      <c r="CC34" s="32">
        <f>CA34/((1+InputData!$C$3)^(Ortho!$B34-Ortho!$B$7))</f>
        <v>12705.130054392801</v>
      </c>
      <c r="CD34" s="5">
        <f t="shared" si="36"/>
        <v>309512.62728748657</v>
      </c>
      <c r="CE34" s="32">
        <f>CD34/((1+InputData!$C$7)^(Ortho!$B34-Ortho!$B$7))</f>
        <v>139339.19742606458</v>
      </c>
      <c r="CF34" s="5">
        <f t="shared" si="108"/>
        <v>3167459.3895799411</v>
      </c>
      <c r="CG34" s="5"/>
      <c r="CH34" s="32" t="s">
        <v>141</v>
      </c>
      <c r="CI34" s="5" t="e">
        <f t="shared" si="155"/>
        <v>#VALUE!</v>
      </c>
      <c r="CJ34" s="32" t="e">
        <f>(CI34)*InputData!$C$6</f>
        <v>#VALUE!</v>
      </c>
      <c r="CK34" s="5" t="str">
        <f t="shared" si="168"/>
        <v>DNQ</v>
      </c>
      <c r="CL34" s="32" t="e">
        <f t="shared" si="156"/>
        <v>#VALUE!</v>
      </c>
      <c r="CM34" s="32" t="e">
        <f>CK34/((1+InputData!$C$3)^(Ortho!$B34-Ortho!$B$7))</f>
        <v>#VALUE!</v>
      </c>
      <c r="CN34" s="5" t="e">
        <f t="shared" si="40"/>
        <v>#VALUE!</v>
      </c>
      <c r="CO34" s="32" t="e">
        <f>CN34/((1+InputData!$C$7)^(Ortho!$B34-Ortho!$B$7))</f>
        <v>#VALUE!</v>
      </c>
      <c r="CP34" s="5" t="e">
        <f t="shared" si="109"/>
        <v>#VALUE!</v>
      </c>
      <c r="CQ34" s="5"/>
      <c r="CR34" s="32" t="s">
        <v>141</v>
      </c>
      <c r="CS34" s="5" t="e">
        <f t="shared" si="157"/>
        <v>#VALUE!</v>
      </c>
      <c r="CT34" s="32" t="e">
        <f>(CS34)*InputData!$C$6</f>
        <v>#VALUE!</v>
      </c>
      <c r="CU34" s="32" t="str">
        <f t="shared" si="169"/>
        <v>DNQ</v>
      </c>
      <c r="CV34" s="32" t="e">
        <f t="shared" si="158"/>
        <v>#VALUE!</v>
      </c>
      <c r="CW34" s="32" t="e">
        <f>CU34/((1+InputData!$C$3)^(Ortho!$B34-Ortho!$B$7))</f>
        <v>#VALUE!</v>
      </c>
      <c r="CX34" s="5" t="e">
        <f t="shared" si="44"/>
        <v>#VALUE!</v>
      </c>
      <c r="CY34" s="32" t="e">
        <f>CX34/((1+InputData!$C$7)^(Ortho!$B34-Ortho!$B$7))</f>
        <v>#VALUE!</v>
      </c>
      <c r="CZ34" s="5" t="e">
        <f t="shared" si="110"/>
        <v>#VALUE!</v>
      </c>
      <c r="DA34" s="5"/>
      <c r="DB34" s="32" t="s">
        <v>141</v>
      </c>
      <c r="DC34" s="5">
        <f t="shared" si="138"/>
        <v>0</v>
      </c>
      <c r="DD34" s="5">
        <f>DC34*InputData!$C$6</f>
        <v>0</v>
      </c>
      <c r="DE34" s="32">
        <f t="shared" si="139"/>
        <v>0</v>
      </c>
      <c r="DF34" s="32">
        <f t="shared" si="140"/>
        <v>0</v>
      </c>
      <c r="DG34" s="32">
        <f>DE34/((1+InputData!$C$3)^(Ortho!$B34-Ortho!$B$7))</f>
        <v>0</v>
      </c>
      <c r="DH34" s="5">
        <f t="shared" si="48"/>
        <v>322217.75734187936</v>
      </c>
      <c r="DI34" s="32">
        <f>DH34/((1+InputData!$C$7)^(Ortho!$B34-Ortho!$B$7))</f>
        <v>145058.90792863004</v>
      </c>
      <c r="DJ34" s="5">
        <f t="shared" si="111"/>
        <v>3154308.2622999381</v>
      </c>
      <c r="DK34" s="5"/>
      <c r="DL34" s="32" t="s">
        <v>141</v>
      </c>
      <c r="DM34" s="32">
        <f t="shared" si="159"/>
        <v>0</v>
      </c>
      <c r="DN34" s="5">
        <f>DM34*InputData!$C$6</f>
        <v>0</v>
      </c>
      <c r="DO34" s="32">
        <f t="shared" si="160"/>
        <v>0</v>
      </c>
      <c r="DP34" s="32">
        <f t="shared" si="123"/>
        <v>0</v>
      </c>
      <c r="DQ34" s="32">
        <f t="shared" si="124"/>
        <v>0</v>
      </c>
      <c r="DR34" s="32">
        <f>DP34/((1+InputData!$C$3)^(Ortho!$B34-Ortho!$B$7))</f>
        <v>0</v>
      </c>
      <c r="DS34" s="5">
        <f t="shared" si="52"/>
        <v>322217.75734187936</v>
      </c>
      <c r="DT34" s="32">
        <f>DS34/((1+InputData!$C$7)^(Ortho!$B34-Ortho!$B$7))</f>
        <v>145058.90792863004</v>
      </c>
      <c r="DU34" s="5">
        <f t="shared" si="113"/>
        <v>3147400.0206537838</v>
      </c>
      <c r="DV34" s="5"/>
      <c r="DW34" s="32" t="s">
        <v>141</v>
      </c>
      <c r="DX34" s="133">
        <f t="shared" si="141"/>
        <v>0</v>
      </c>
      <c r="DY34" s="5">
        <f>DX34*InputData!$C$6</f>
        <v>0</v>
      </c>
      <c r="DZ34" s="133">
        <f t="shared" si="142"/>
        <v>0</v>
      </c>
      <c r="EA34" s="32">
        <f t="shared" si="143"/>
        <v>0</v>
      </c>
      <c r="EB34" s="32">
        <f t="shared" si="144"/>
        <v>0</v>
      </c>
      <c r="EC34" s="32">
        <f>EA34/((1+InputData!$C$3)^(Ortho!$B34-Ortho!$B$7))</f>
        <v>0</v>
      </c>
      <c r="ED34" s="5">
        <f t="shared" si="56"/>
        <v>322217.75734187936</v>
      </c>
      <c r="EE34" s="32">
        <f>ED34/((1+InputData!$C$7)^(Ortho!$B34-Ortho!$B$7))</f>
        <v>145058.90792863004</v>
      </c>
      <c r="EF34" s="5">
        <f t="shared" si="115"/>
        <v>3147919.2915989896</v>
      </c>
      <c r="EG34" s="32"/>
      <c r="EH34" s="130" t="s">
        <v>141</v>
      </c>
      <c r="EI34" s="32">
        <v>0</v>
      </c>
      <c r="EJ34" s="32">
        <f t="shared" si="173"/>
        <v>0</v>
      </c>
      <c r="EK34" s="32">
        <f>(EJ34)*InputData!$C$6</f>
        <v>0</v>
      </c>
      <c r="EL34" s="32">
        <f t="shared" si="172"/>
        <v>-3.637978807091713E-11</v>
      </c>
      <c r="EM34" s="32">
        <f>EM33*(1+InputData!$C$8)</f>
        <v>19612.125616606307</v>
      </c>
      <c r="EN34" s="32">
        <f t="shared" si="170"/>
        <v>0</v>
      </c>
      <c r="EO34" s="32">
        <f>AW34/((1+InputData!$C$3)^(Ortho!$B34-Ortho!$B$7))</f>
        <v>482807.98531277245</v>
      </c>
      <c r="EP34" s="32">
        <f>AX34/((1+InputData!$C$3)^(Ortho!$B34-Ortho!$B$7))</f>
        <v>0</v>
      </c>
      <c r="EQ34" s="32">
        <v>104013.3</v>
      </c>
      <c r="ER34" s="32">
        <v>11116.68</v>
      </c>
      <c r="ES34" s="32">
        <v>0</v>
      </c>
      <c r="ET34" s="43">
        <f t="shared" si="129"/>
        <v>0.23845914629066575</v>
      </c>
      <c r="EU34" s="32">
        <f t="shared" si="57"/>
        <v>367678.00531277247</v>
      </c>
      <c r="EV34" s="32">
        <f>EN34/((1+InputData!$C$3)^(Ortho!$B34-Ortho!$B$7))</f>
        <v>0</v>
      </c>
      <c r="EW34" s="32">
        <f t="shared" si="58"/>
        <v>367678.00531277247</v>
      </c>
      <c r="EX34" s="32">
        <f>EW34/((1+InputData!$C$7)^(Ortho!$B34-Ortho!$B$7))</f>
        <v>165524.61403751365</v>
      </c>
      <c r="EY34" s="5">
        <f t="shared" si="117"/>
        <v>3657473.728468739</v>
      </c>
      <c r="EZ34" s="79"/>
      <c r="FA34" s="32">
        <f t="shared" si="161"/>
        <v>0</v>
      </c>
      <c r="FB34" s="32">
        <f>FA34*InputData!$C$6</f>
        <v>0</v>
      </c>
      <c r="FC34" s="32">
        <f t="shared" si="162"/>
        <v>0</v>
      </c>
      <c r="FD34" s="32">
        <f>MIN($EJ$16*InputData!$C$6/(1-(1+InputData!$C$6)^(-10)), FA34+FB34)</f>
        <v>0</v>
      </c>
      <c r="FE34" s="32">
        <f>FD34/((1+InputData!$C$3)^(Ortho!$B34-Ortho!$B$7))</f>
        <v>0</v>
      </c>
      <c r="FF34" s="5">
        <f t="shared" si="62"/>
        <v>367678.00531277247</v>
      </c>
      <c r="FG34" s="32">
        <f>FF34/((1+InputData!$C$7)^(Ortho!$B34-Ortho!$B$7))</f>
        <v>165524.61403751365</v>
      </c>
      <c r="FH34" s="5">
        <f t="shared" si="118"/>
        <v>3657473.728468739</v>
      </c>
      <c r="FI34" s="79"/>
      <c r="FJ34" s="32">
        <f t="shared" si="163"/>
        <v>120071.72050258616</v>
      </c>
      <c r="FK34" s="32">
        <f>FJ34*InputData!$C$6</f>
        <v>7456.453843210601</v>
      </c>
      <c r="FL34" s="32">
        <f t="shared" si="164"/>
        <v>105858.30700195405</v>
      </c>
      <c r="FM34" s="32">
        <f>MIN($EJ$16*InputData!$C$6/(1-(1+InputData!$C$6)^(-25)), FJ34+FK34)</f>
        <v>21669.867343842721</v>
      </c>
      <c r="FN34" s="32">
        <f>FM34/((1+InputData!$C$3)^(Ortho!$B34-Ortho!$B$7))</f>
        <v>12695.552774245278</v>
      </c>
      <c r="FO34" s="5">
        <f t="shared" si="66"/>
        <v>354982.4525385272</v>
      </c>
      <c r="FP34" s="32">
        <f>FO34/((1+InputData!$C$7)^(Ortho!$B34-Ortho!$B$7))</f>
        <v>159809.21512165459</v>
      </c>
      <c r="FQ34" s="5">
        <f t="shared" si="119"/>
        <v>3675199.1001726226</v>
      </c>
      <c r="FR34" s="79"/>
      <c r="FS34" s="32">
        <f t="shared" si="165"/>
        <v>0</v>
      </c>
      <c r="FT34" s="32">
        <f>FS34*InputData!$C$6</f>
        <v>0</v>
      </c>
      <c r="FU34" s="32">
        <f t="shared" si="166"/>
        <v>0</v>
      </c>
      <c r="FV34" s="5">
        <f t="shared" si="171"/>
        <v>0</v>
      </c>
      <c r="FW34" s="32">
        <f>FV34/((1+InputData!$C$3)^(Ortho!$B34-Ortho!$B$7))</f>
        <v>0</v>
      </c>
      <c r="FX34" s="5">
        <f t="shared" si="70"/>
        <v>367678.00531277247</v>
      </c>
      <c r="FY34" s="32">
        <f>FX34/((1+InputData!$C$7)^(Ortho!$B34-Ortho!$B$7))</f>
        <v>165524.61403751365</v>
      </c>
      <c r="FZ34" s="5">
        <f t="shared" si="120"/>
        <v>3657473.728468739</v>
      </c>
      <c r="GC34" s="83">
        <v>20</v>
      </c>
      <c r="GD34" s="4" t="s">
        <v>217</v>
      </c>
      <c r="GE34" s="5"/>
      <c r="GF34" s="84">
        <v>0</v>
      </c>
      <c r="GG34" s="5"/>
      <c r="GH34" s="84">
        <f>MIN(InputData!$C$13+InputData!$E$13*($B34-$B$31),1)*$AW34/((1+InputData!$C$3)^(Ortho!$B34-Ortho!$B$7))+0.025*$GC$30*(($F$28+$F$29+$F$30)/3)*((1+InputData!$C$5)/(1+InputData!$C$3))^(Ortho!$B34-Ortho!$B$7)</f>
        <v>474494.82134177419</v>
      </c>
      <c r="GI34" s="5">
        <v>0</v>
      </c>
      <c r="GJ34" s="32">
        <f>IF(GH34-InputData!$C$158-InputData!$C$159&gt;=0,GH34-InputData!$C$158-InputData!$C$159,0)</f>
        <v>474494.82134177419</v>
      </c>
      <c r="GK34" s="32">
        <f>IF(GH34-IF(GH34&lt;=InputData!$C$146,InputData!$C$145,0)-MAX(InputData!$C$144,GQ34)&gt;=0,GH34-IF(GH34&lt;=InputData!$C$146,InputData!$C$145,0)-MAX(InputData!$C$144,GQ34),0)</f>
        <v>468394.82134177419</v>
      </c>
      <c r="GL34" s="32">
        <f>IF(GK34&lt;0,"Error",IF(GK34&lt;=InputData!$B$170,InputData!$C$170*GK34,IF(GK34&lt;=InputData!$B$171,InputData!$D$170+InputData!$C$171*(GK34-InputData!$B$170),IF(GK34&lt;=InputData!$B$172,InputData!$D$171+InputData!$C$172*(GK34-InputData!$B$171),IF(GK34&lt;=InputData!$B$173,InputData!$D$172+InputData!$C$173*(GK34-InputData!$B$172),IF(GK34&lt;=InputData!$B$174,InputData!$D$173+InputData!$C$174*(GK34-InputData!$B$173),IF(GK34&lt;=InputData!$B$175,InputData!$D$174+InputData!$C$175*(GK34-InputData!$B$174),InputData!$D$175+InputData!$C$176*(GK34-InputData!$B$175))))))))</f>
        <v>143248.09925134259</v>
      </c>
      <c r="GM34" s="32">
        <f>IF(GH34&lt;=InputData!$C$150,InputData!$C$152,IF(GH34&lt;InputData!$C$151,IF(InputData!$C$152-0.25*IF(GH34-InputData!$C$150&lt;=0,0,GH34-InputData!$C$150)&lt;=0,0,InputData!$C$152-0.25*IF(GH34-InputData!$C$150&lt;=0,0,GH34-InputData!$C$150)),0))</f>
        <v>0</v>
      </c>
      <c r="GN34" s="32">
        <f>IF(GH34-GM34&lt;=0,0,IF(GH34-GM34&lt;=InputData!$C$153,InputData!$C$154*(GH34-GM34),InputData!$C$155*(GH34-GM34)-InputData!$D$154))</f>
        <v>129268.54997569678</v>
      </c>
      <c r="GO34" s="32">
        <f t="shared" si="71"/>
        <v>143248.09925134259</v>
      </c>
      <c r="GP34" s="32">
        <f>IF(GH34&gt;=0,IF(GH34&lt;=InputData!$C$148,InputData!$C$147*GH34,InputData!$C$147*InputData!$C$148)+InputData!$C$149*GH34,0)</f>
        <v>13929.574909455725</v>
      </c>
      <c r="GQ34" s="32">
        <f>IF(GJ34&lt;0,0,IF(GJ34&lt;=InputData!$B$163,InputData!$C$163*GJ34,IF(GJ34&lt;=InputData!$B$164,InputData!$D$163+InputData!$C$164*(GJ34-InputData!$B$163),IF(GJ34&lt;=InputData!$B$165,InputData!$D$164+InputData!$C$165*(GJ34-InputData!$B$164),InputData!$D$165+InputData!$C$166*(GJ34-InputData!$B$165)))))</f>
        <v>0</v>
      </c>
      <c r="GR34" s="43">
        <f t="shared" si="72"/>
        <v>0.33125266513200718</v>
      </c>
      <c r="GS34" s="43">
        <f t="shared" si="73"/>
        <v>0.33125266513200718</v>
      </c>
      <c r="GT34" s="5">
        <f t="shared" si="74"/>
        <v>317317.14718097588</v>
      </c>
      <c r="GU34" s="32">
        <f>GT34/((1+InputData!$C$7)^(Ortho!$B34-Ortho!$B$7))</f>
        <v>142852.7068676179</v>
      </c>
      <c r="GV34" s="84">
        <f t="shared" si="75"/>
        <v>2143840.3436232582</v>
      </c>
      <c r="GX34" s="83">
        <v>21</v>
      </c>
      <c r="GY34" s="4" t="s">
        <v>217</v>
      </c>
      <c r="GZ34" s="5"/>
      <c r="HA34" s="84">
        <v>0</v>
      </c>
      <c r="HB34" s="5"/>
      <c r="HC34" s="84">
        <f>MIN(InputData!$C$13+InputData!$E$13*($B34-$B$32),1)*$AW34/((1+InputData!$C$3)^(Ortho!$B34-Ortho!$B$7))+0.025*$GX$31*(($AB$29+$AB$30+$AB$31)/3)*((1+InputData!$C$5)/(1+InputData!$C$3))^(Ortho!$B34-Ortho!$B$7)</f>
        <v>479124.25737414893</v>
      </c>
      <c r="HD34" s="5">
        <v>0</v>
      </c>
      <c r="HE34" s="32">
        <f>IF(HC34-InputData!$C$158-InputData!$C$159&gt;=0,HC34-InputData!$C$158-InputData!$C$159,0)</f>
        <v>479124.25737414893</v>
      </c>
      <c r="HF34" s="32">
        <f>IF(HC34-IF(HC34&lt;=InputData!$C$146,InputData!$C$145,0)-MAX(InputData!$C$144,HL34)&gt;=0,HC34-IF(HC34&lt;=InputData!$C$146,InputData!$C$145,0)-MAX(InputData!$C$144,HL34),0)</f>
        <v>473024.25737414893</v>
      </c>
      <c r="HG34" s="32">
        <f>IF(HF34&lt;0,"Error",IF(HF34&lt;=InputData!$B$170,InputData!$C$170*HF34,IF(HF34&lt;=InputData!$B$171,InputData!$D$170+InputData!$C$171*(HF34-InputData!$B$170),IF(HF34&lt;=InputData!$B$172,InputData!$D$171+InputData!$C$172*(HF34-InputData!$B$171),IF(HF34&lt;=InputData!$B$173,InputData!$D$172+InputData!$C$173*(HF34-InputData!$B$172),IF(HF34&lt;=InputData!$B$174,InputData!$D$173+InputData!$C$174*(HF34-InputData!$B$173),IF(HF34&lt;=InputData!$B$175,InputData!$D$174+InputData!$C$175*(HF34-InputData!$B$174),InputData!$D$175+InputData!$C$176*(HF34-InputData!$B$175))))))))</f>
        <v>145081.35592016298</v>
      </c>
      <c r="HH34" s="32">
        <f>IF(HC34&lt;=InputData!$C$150,InputData!$C$152,IF(HC34&lt;InputData!$C$151,IF(InputData!$C$152-0.25*IF(HC34-InputData!$C$150&lt;=0,0,HC34-InputData!$C$150)&lt;=0,0,InputData!$C$152-0.25*IF(HC34-InputData!$C$150&lt;=0,0,HC34-InputData!$C$150)),0))</f>
        <v>0</v>
      </c>
      <c r="HI34" s="32">
        <f>IF(HC34-HH34&lt;=0,0,IF(HC34-HH34&lt;=InputData!$C$153,InputData!$C$154*(HC34-HH34),InputData!$C$155*(HC34-HH34)-InputData!$D$154))</f>
        <v>130564.79206476171</v>
      </c>
      <c r="HJ34" s="32">
        <f t="shared" si="76"/>
        <v>145081.35592016298</v>
      </c>
      <c r="HK34" s="32">
        <f>IF(HC34&gt;=0,IF(HC34&lt;=InputData!$C$148,InputData!$C$147*HC34,InputData!$C$147*InputData!$C$148)+InputData!$C$149*HC34,0)</f>
        <v>13996.701731925161</v>
      </c>
      <c r="HL34" s="32">
        <f>IF(HE34&lt;0,0,IF(HE34&lt;=InputData!$B$163,InputData!$C$163*HE34,IF(HE34&lt;=InputData!$B$164,InputData!$D$163+InputData!$C$164*(HE34-InputData!$B$163),IF(HE34&lt;=InputData!$B$165,InputData!$D$164+InputData!$C$165*(HE34-InputData!$B$164),InputData!$D$165+InputData!$C$166*(HE34-InputData!$B$165)))))</f>
        <v>0</v>
      </c>
      <c r="HM34" s="43">
        <f t="shared" si="77"/>
        <v>0.33201837561704545</v>
      </c>
      <c r="HN34" s="43">
        <f t="shared" si="78"/>
        <v>0.33201837561704545</v>
      </c>
      <c r="HO34" s="5">
        <f t="shared" si="79"/>
        <v>320046.19972206082</v>
      </c>
      <c r="HP34" s="32">
        <f>HO34/((1+InputData!$C$7)^(Ortho!$B34-Ortho!$B$7))</f>
        <v>144081.29645422345</v>
      </c>
      <c r="HQ34" s="84">
        <f t="shared" si="80"/>
        <v>2087508.015140221</v>
      </c>
      <c r="HS34" s="227"/>
      <c r="HT34" s="53" t="s">
        <v>109</v>
      </c>
      <c r="HU34" s="32">
        <f>MIN(InputData!$C$13+InputData!$E$13*($B34-$B$23),1)*Ortho!AW34</f>
        <v>741688.57885023742</v>
      </c>
      <c r="HV34" s="32">
        <f>MIN(InputData!$C$13+InputData!$E$13*($B34-$B$23),1)*Ortho!AX34</f>
        <v>0</v>
      </c>
      <c r="HW34" s="32">
        <f>MIN(InputData!$C$13+InputData!$E$13*($B34-$B$23),1)*Ortho!AY34</f>
        <v>741688.57885023742</v>
      </c>
      <c r="HX34" s="32">
        <f>MIN(InputData!$C$13+InputData!$E$13*($B34-$B$23),1)*Ortho!EO34</f>
        <v>434527.18678149523</v>
      </c>
      <c r="HY34" s="32">
        <f>MIN(InputData!$C$13+InputData!$E$13*($B34-$B$23),1)*Ortho!EP34</f>
        <v>0</v>
      </c>
      <c r="HZ34" s="32">
        <f>IF(HX34-InputData!$C$158-InputData!$C$159&gt;=0,HX34-InputData!$C$158-InputData!$C$159,0)</f>
        <v>434527.18678149523</v>
      </c>
      <c r="IA34" s="32">
        <f>IF(HX34-IF(HX34&lt;=InputData!$C$146,InputData!$C$145,0)-MAX(InputData!$C$144,IG34)&gt;=0,HX34-IF(HX34&lt;=InputData!$C$146,InputData!$C$145,0)-MAX(InputData!$C$144,IG34),0)</f>
        <v>428427.18678149523</v>
      </c>
      <c r="IB34" s="32">
        <f>IF(IA34&lt;0,"Error",IF(IA34&lt;=InputData!$B$170,InputData!$C$170*IA34,IF(IA34&lt;=InputData!$B$171,InputData!$D$170+InputData!$C$171*(IA34-InputData!$B$170),IF(IA34&lt;=InputData!$B$172,InputData!$D$171+InputData!$C$172*(IA34-InputData!$B$171),IF(IA34&lt;=InputData!$B$173,InputData!$D$172+InputData!$C$173*(IA34-InputData!$B$172),IF(IA34&lt;=InputData!$B$174,InputData!$D$173+InputData!$C$174*(IA34-InputData!$B$173),IF(IA34&lt;=InputData!$B$175,InputData!$D$174+InputData!$C$175*(IA34-InputData!$B$174),InputData!$D$175+InputData!$C$176*(IA34-InputData!$B$175))))))))</f>
        <v>127420.91596547212</v>
      </c>
      <c r="IC34" s="32">
        <f>IF(HX34&lt;=InputData!$C$150,InputData!$C$152,IF(HX34&lt;InputData!$C$151,IF(InputData!$C$152-0.25*IF(HX34-InputData!$C$150&lt;=0,0,HX34-InputData!$C$150)&lt;=0,0,InputData!$C$152-0.25*IF(HX34-InputData!$C$150&lt;=0,0,HX34-InputData!$C$150)),0))</f>
        <v>0</v>
      </c>
      <c r="ID34" s="32">
        <f>IF(HX34-IC34&lt;=0,0,IF(HX34-IC34&lt;=InputData!$C$153,InputData!$C$154*(HX34-IC34),InputData!$C$155*(HX34-IC34)-InputData!$D$154))</f>
        <v>118077.61229881867</v>
      </c>
      <c r="IE34" s="32">
        <f t="shared" si="88"/>
        <v>127420.91596547212</v>
      </c>
      <c r="IF34" s="32">
        <f>IF(HX34&gt;=0,IF(HX34&lt;=InputData!$C$148,InputData!$C$147*HX34,InputData!$C$147*InputData!$C$148)+InputData!$C$149*HX34,0)</f>
        <v>13350.044208331681</v>
      </c>
      <c r="IG34" s="32">
        <f>IF(HZ34&lt;0,0,IF(HZ34&lt;=InputData!$B$163,InputData!$C$163*HZ34,IF(HZ34&lt;=InputData!$B$164,InputData!$D$163+InputData!$C$164*(HZ34-InputData!$B$163),IF(HZ34&lt;=InputData!$B$165,InputData!$D$164+InputData!$C$165*(HZ34-InputData!$B$164),InputData!$D$165+InputData!$C$166*(HZ34-InputData!$B$165)))))</f>
        <v>0</v>
      </c>
      <c r="IH34" s="43">
        <f t="shared" si="89"/>
        <v>0.32396352738359585</v>
      </c>
      <c r="II34" s="43">
        <f t="shared" si="90"/>
        <v>0.32396352738359585</v>
      </c>
      <c r="IJ34" s="5">
        <f t="shared" si="91"/>
        <v>293756.22660769144</v>
      </c>
      <c r="IK34" s="32">
        <f>IJ34/((1+InputData!$C$7)^(Ortho!$B34-Ortho!$B$7))</f>
        <v>132245.83828176412</v>
      </c>
      <c r="IL34" s="5">
        <f t="shared" si="92"/>
        <v>2667588.7591919182</v>
      </c>
      <c r="IN34" s="227"/>
      <c r="IO34" s="53" t="s">
        <v>109</v>
      </c>
      <c r="IP34" s="32">
        <f>MIN(InputData!$C$13+InputData!$E$13*($B34-$B$20),1)*Ortho!AW34</f>
        <v>741688.57885023742</v>
      </c>
      <c r="IQ34" s="32">
        <f>MIN(InputData!$C$13+InputData!$E$13*($B34-$B$20),1)*Ortho!AX34</f>
        <v>0</v>
      </c>
      <c r="IR34" s="32">
        <f>MIN(InputData!$C$13+InputData!$E$13*($B34-$B$20),1)*Ortho!AY34</f>
        <v>741688.57885023742</v>
      </c>
      <c r="IS34" s="32">
        <f>MIN(InputData!$C$13+InputData!$E$13*($B34-$B$20),1)*Ortho!EO34</f>
        <v>434527.18678149523</v>
      </c>
      <c r="IT34" s="32">
        <f>MIN(InputData!$C$13+InputData!$E$13*($B34-$B$20),1)*Ortho!EP34</f>
        <v>0</v>
      </c>
      <c r="IU34" s="32">
        <f>IF(IS34-InputData!$C$158-InputData!$C$159&gt;=0,IS34-InputData!$C$158-InputData!$C$159,0)</f>
        <v>434527.18678149523</v>
      </c>
      <c r="IV34" s="32">
        <f>IF(IS34-IF(IS34&lt;=InputData!$C$146,InputData!$C$145,0)-MAX(InputData!$C$144,JB34)&gt;=0,IS34-IF(IS34&lt;=InputData!$C$146,InputData!$C$145,0)-MAX(InputData!$C$144,JB34),0)</f>
        <v>428427.18678149523</v>
      </c>
      <c r="IW34" s="32">
        <f>IF(IV34&lt;0,"Error",IF(IV34&lt;=InputData!$B$170,InputData!$C$170*IV34,IF(IV34&lt;=InputData!$B$171,InputData!$D$170+InputData!$C$171*(IV34-InputData!$B$170),IF(IV34&lt;=InputData!$B$172,InputData!$D$171+InputData!$C$172*(IV34-InputData!$B$171),IF(IV34&lt;=InputData!$B$173,InputData!$D$172+InputData!$C$173*(IV34-InputData!$B$172),IF(IV34&lt;=InputData!$B$174,InputData!$D$173+InputData!$C$174*(IV34-InputData!$B$173),IF(IV34&lt;=InputData!$B$175,InputData!$D$174+InputData!$C$175*(IV34-InputData!$B$174),InputData!$D$175+InputData!$C$176*(IV34-InputData!$B$175))))))))</f>
        <v>127420.91596547212</v>
      </c>
      <c r="IX34" s="32">
        <f>IF(IS34&lt;=InputData!$C$150,InputData!$C$152,IF(IS34&lt;InputData!$C$151,IF(InputData!$C$152-0.25*IF(IS34-InputData!$C$150&lt;=0,0,IS34-InputData!$C$150)&lt;=0,0,InputData!$C$152-0.25*IF(IS34-InputData!$C$150&lt;=0,0,IS34-InputData!$C$150)),0))</f>
        <v>0</v>
      </c>
      <c r="IY34" s="32">
        <f>IF(IS34-IX34&lt;=0,0,IF(IS34-IX34&lt;=InputData!$C$153,InputData!$C$154*(IS34-IX34),InputData!$C$155*(IS34-IX34)-InputData!$D$154))</f>
        <v>118077.61229881867</v>
      </c>
      <c r="IZ34" s="32">
        <f t="shared" si="95"/>
        <v>127420.91596547212</v>
      </c>
      <c r="JA34" s="32">
        <f>IF(IS34&gt;=0,IF(IS34&lt;=InputData!$C$148,InputData!$C$147*IS34,InputData!$C$147*InputData!$C$148)+InputData!$C$149*IS34,0)</f>
        <v>13350.044208331681</v>
      </c>
      <c r="JB34" s="32">
        <f>IF(IU34&lt;0,0,IF(IU34&lt;=InputData!$B$163,InputData!$C$163*IU34,IF(IU34&lt;=InputData!$B$164,InputData!$D$163+InputData!$C$164*(IU34-InputData!$B$163),IF(IU34&lt;=InputData!$B$165,InputData!$D$164+InputData!$C$165*(IU34-InputData!$B$164),InputData!$D$165+InputData!$C$166*(IU34-InputData!$B$165)))))</f>
        <v>0</v>
      </c>
      <c r="JC34" s="43">
        <f t="shared" si="96"/>
        <v>0.32396352738359585</v>
      </c>
      <c r="JD34" s="43">
        <f t="shared" si="97"/>
        <v>0.32396352738359585</v>
      </c>
      <c r="JE34" s="5">
        <f t="shared" si="98"/>
        <v>293756.22660769144</v>
      </c>
      <c r="JF34" s="32">
        <f>JE34/((1+InputData!$C$7)^(Ortho!$B34-Ortho!$B$7))</f>
        <v>132245.83828176412</v>
      </c>
      <c r="JG34" s="5">
        <f t="shared" si="99"/>
        <v>2922580.4505186267</v>
      </c>
      <c r="JI34" s="41" t="str">
        <f t="shared" si="13"/>
        <v>Private Practice</v>
      </c>
      <c r="JJ34" s="5">
        <f t="shared" si="14"/>
        <v>824098.42094470828</v>
      </c>
      <c r="JK34" s="32">
        <v>0</v>
      </c>
      <c r="JL34" s="32">
        <f t="shared" si="101"/>
        <v>824098.42094470828</v>
      </c>
      <c r="JM34" s="32">
        <f>JM33*(1+InputData!$C$8)</f>
        <v>19612.125616606307</v>
      </c>
      <c r="JN34" s="32">
        <f>JJ34/((1+InputData!$C$3)^(Ortho!$B34-Ortho!$B$7))</f>
        <v>482807.98531277245</v>
      </c>
      <c r="JO34" s="32">
        <f>JK34/((1+InputData!$C$3)^(Ortho!$B34-Ortho!$B$7))</f>
        <v>0</v>
      </c>
      <c r="JP34" s="32" t="s">
        <v>141</v>
      </c>
      <c r="JQ34" s="32">
        <v>0</v>
      </c>
      <c r="JR34" s="32">
        <f t="shared" si="167"/>
        <v>0</v>
      </c>
      <c r="JS34" s="32">
        <f>(JR34)*InputData!$C$6</f>
        <v>0</v>
      </c>
      <c r="JT34" s="32">
        <f>MIN($BE$16*InputData!$C$6/(1-(1+InputData!$C$6)^(-10)), JR34+JS34)</f>
        <v>0</v>
      </c>
      <c r="JU34" s="32">
        <f t="shared" si="151"/>
        <v>0</v>
      </c>
      <c r="JV34" s="32">
        <f>JT34/((1+InputData!$C$3)^(Ortho!$B34-Ortho!$B$7))</f>
        <v>0</v>
      </c>
      <c r="JW34" s="32">
        <f>IF(JN34-InputData!$C$158-InputData!$C$159&gt;=0,JN34-InputData!$C$158-InputData!$C$159,0)</f>
        <v>482807.98531277245</v>
      </c>
      <c r="JX34" s="32">
        <f>IF(JN34-IF(JN34&lt;=InputData!$C$146,InputData!$C$145,0)-MAX(InputData!$C$144,KD34)&gt;=0,JN34-IF(JN34&lt;=InputData!$C$146,InputData!$C$145,0)-MAX(InputData!$C$144,KD34),0)</f>
        <v>476707.98531277245</v>
      </c>
      <c r="JY34" s="32">
        <f>IF(JX34&lt;0,"Error",IF(JX34&lt;=InputData!$B$170,InputData!$C$170*JX34,IF(JX34&lt;=InputData!$B$171,InputData!$D$170+InputData!$C$171*(JX34-InputData!$B$170),IF(JX34&lt;=InputData!$B$172,InputData!$D$171+InputData!$C$172*(JX34-InputData!$B$171),IF(JX34&lt;=InputData!$B$173,InputData!$D$172+InputData!$C$173*(JX34-InputData!$B$172),IF(JX34&lt;=InputData!$B$174,InputData!$D$173+InputData!$C$174*(JX34-InputData!$B$173),IF(JX34&lt;=InputData!$B$175,InputData!$D$174+InputData!$C$175*(JX34-InputData!$B$174),InputData!$D$175+InputData!$C$176*(JX34-InputData!$B$175))))))))</f>
        <v>146540.11218385788</v>
      </c>
      <c r="JZ34" s="32">
        <f>IF(JN34&lt;=InputData!$C$150,InputData!$C$152,IF(JN34&lt;InputData!$C$151,IF(InputData!$C$152-0.25*IF(JN34-InputData!$C$150&lt;=0,0,JN34-InputData!$C$150)&lt;=0,0,InputData!$C$152-0.25*IF(JN34-InputData!$C$150&lt;=0,0,JN34-InputData!$C$150)),0))</f>
        <v>0</v>
      </c>
      <c r="KA34" s="32">
        <f>IF(JN34-JZ34&lt;=0,0,IF(JN34-JZ34&lt;=InputData!$C$153,InputData!$C$154*(JN34-JZ34),InputData!$C$155*(JN34-JZ34)-InputData!$D$154))</f>
        <v>131596.2358875763</v>
      </c>
      <c r="KB34" s="32">
        <f t="shared" si="102"/>
        <v>146540.11218385788</v>
      </c>
      <c r="KC34" s="32">
        <f>IF(JN34&gt;=0,IF(JN34&lt;=InputData!$C$148,InputData!$C$147*JN34,InputData!$C$147*InputData!$C$148)+InputData!$C$149*JN34,0)</f>
        <v>14050.1157870352</v>
      </c>
      <c r="KD34" s="32">
        <f>IF(JW34&lt;0,0,IF(JW34&lt;=InputData!$B$163,InputData!$C$163*JW34,IF(JW34&lt;=InputData!$B$164,InputData!$D$163+InputData!$C$164*(JW34-InputData!$B$163),IF(JW34&lt;=InputData!$B$165,InputData!$D$164+InputData!$C$165*(JW34-InputData!$B$164),InputData!$D$165+InputData!$C$166*(JW34-InputData!$B$165)))))</f>
        <v>0</v>
      </c>
      <c r="KE34" s="43">
        <f t="shared" si="15"/>
        <v>0.33261717464523621</v>
      </c>
      <c r="KF34" s="32">
        <f t="shared" si="16"/>
        <v>322217.75734187936</v>
      </c>
      <c r="KG34" s="32">
        <f t="shared" si="103"/>
        <v>322217.75734187936</v>
      </c>
      <c r="KH34" s="32">
        <f>KG34/((1+InputData!$C$7)^(Ortho!$B34-Ortho!$B$7))</f>
        <v>145058.90792863004</v>
      </c>
      <c r="KI34" s="5">
        <f t="shared" si="122"/>
        <v>3534047.0387442624</v>
      </c>
    </row>
    <row r="35" spans="1:295" x14ac:dyDescent="0.25">
      <c r="A35" s="4">
        <v>2041</v>
      </c>
      <c r="B35" s="51">
        <v>29</v>
      </c>
      <c r="C35" s="4"/>
      <c r="D35" s="3">
        <v>29</v>
      </c>
      <c r="E35" s="97" t="s">
        <v>277</v>
      </c>
      <c r="F35" s="5">
        <f>InputData!$R$21*12</f>
        <v>126320.40000000001</v>
      </c>
      <c r="G35" s="32">
        <f>(InputData!$R$21+InputData!$K$45+InputData!$G$50)*12+InputData!$J$50+InputData!$D$61+InputData!$J$61</f>
        <v>254320.36000000002</v>
      </c>
      <c r="H35" s="32">
        <f>(InputData!$C$32+InputData!$C$40)*12</f>
        <v>21631.199999999997</v>
      </c>
      <c r="I35" s="32">
        <f t="shared" si="17"/>
        <v>275951.56</v>
      </c>
      <c r="J35" s="5">
        <f>G35*((1+InputData!$C$5)/(1+InputData!$C$3))^(Ortho!$B35-Ortho!$B$7)</f>
        <v>193007.76702282246</v>
      </c>
      <c r="K35" s="5">
        <f>H35*((1+InputData!$C$5)/(1+InputData!$C$3))^(Ortho!$B35-Ortho!$B$7)</f>
        <v>16416.261796830095</v>
      </c>
      <c r="L35" s="32">
        <f>IF(J35-InputData!$C$158-InputData!$C$159&gt;=0,J35-InputData!$C$158-InputData!$C$159,0)</f>
        <v>193007.76702282246</v>
      </c>
      <c r="M35" s="32">
        <f>IF(J35-IF(J35&lt;=InputData!$C$146,InputData!$C$145,0)-MAX(InputData!$C$144,S35)&gt;=0,J35-IF(J35&lt;=InputData!$C$146,InputData!$C$145,0)-MAX(InputData!$C$144,S35),0)</f>
        <v>186907.76702282246</v>
      </c>
      <c r="N35" s="32">
        <f>IF(M35&lt;0,"Error",IF(M35&lt;=InputData!$B$170,InputData!$C$170*M35,IF(M35&lt;=InputData!$B$171,InputData!$D$170+InputData!$C$171*(M35-InputData!$B$170),IF(M35&lt;=InputData!$B$172,InputData!$D$171+InputData!$C$172*(M35-InputData!$B$171),IF(M35&lt;=InputData!$B$173,InputData!$D$172+InputData!$C$173*(M35-InputData!$B$172),IF(M35&lt;=InputData!$B$174,InputData!$D$173+InputData!$C$174*(M35-InputData!$B$173),IF(M35&lt;=InputData!$B$175,InputData!$D$174+InputData!$C$175*(M35-InputData!$B$174),InputData!$D$175+InputData!$C$176*(M35-InputData!$B$175))))))))</f>
        <v>45810.313117531412</v>
      </c>
      <c r="O35" s="32">
        <f>IF(J35&lt;=InputData!$C$150,InputData!$C$152,IF(J35&lt;InputData!$C$151,IF(InputData!$C$152-0.25*IF(J35-InputData!$C$150&lt;=0,0,J35-InputData!$C$150)&lt;=0,0,InputData!$C$152-0.25*IF(J35-InputData!$C$150&lt;=0,0,J35-InputData!$C$150)),0))</f>
        <v>32498.058244294385</v>
      </c>
      <c r="P35" s="32">
        <f>IF(J35-O35&lt;=0,0,IF(J35-O35&lt;=InputData!$C$153,InputData!$C$154*(J35-O35),InputData!$C$155*(J35-O35)-InputData!$D$154))</f>
        <v>41732.524282417304</v>
      </c>
      <c r="Q35" s="32">
        <f t="shared" si="18"/>
        <v>45810.313117531412</v>
      </c>
      <c r="R35" s="32">
        <f>IF(J35&gt;=0,IF(J35&lt;=InputData!$C$148,InputData!$C$147*J35,InputData!$C$147*InputData!$C$148)+InputData!$C$149*J35,0)</f>
        <v>9848.0126218309251</v>
      </c>
      <c r="S35" s="32">
        <f>IF(L35&lt;0,0,IF(L35&lt;=InputData!$B$163,InputData!$C$163*L35,IF(L35&lt;=InputData!$B$164,InputData!$D$163+InputData!$C$164*(L35-InputData!$B$163),IF(L35&lt;=InputData!$B$165,InputData!$D$164+InputData!$C$165*(L35-InputData!$B$164),InputData!$D$165+InputData!$C$166*(L35-InputData!$B$165)))))</f>
        <v>0</v>
      </c>
      <c r="T35" s="43">
        <f t="shared" si="19"/>
        <v>0.28837350225797359</v>
      </c>
      <c r="U35" s="43">
        <f t="shared" si="20"/>
        <v>0.26576857513945079</v>
      </c>
      <c r="V35" s="5">
        <f t="shared" si="21"/>
        <v>153765.70308029023</v>
      </c>
      <c r="W35" s="32">
        <f>V35/((1+InputData!$C$7)^(Ortho!$B35-Ortho!$B$7))</f>
        <v>67207.414251300957</v>
      </c>
      <c r="X35" s="5">
        <f t="shared" si="104"/>
        <v>1913363.9061486991</v>
      </c>
      <c r="Y35" s="53"/>
      <c r="Z35" s="3">
        <v>25.5</v>
      </c>
      <c r="AA35" s="99" t="s">
        <v>271</v>
      </c>
      <c r="AB35" s="32">
        <f>InputData!$P$21*12</f>
        <v>120412.79999999999</v>
      </c>
      <c r="AC35" s="32">
        <f>(InputData!$P$21+InputData!$K$45+InputData!$G$50)*12+InputData!$J$50+InputData!$D$61+InputData!$J$61</f>
        <v>248412.76</v>
      </c>
      <c r="AD35" s="32">
        <f t="shared" si="174"/>
        <v>21631.199999999997</v>
      </c>
      <c r="AE35" s="32">
        <f t="shared" si="22"/>
        <v>270043.96000000002</v>
      </c>
      <c r="AF35" s="5">
        <f>AC35*((1+InputData!$C$5)/(1+InputData!$C$3))^(Ortho!$B35-Ortho!$B$7)</f>
        <v>188524.3954026186</v>
      </c>
      <c r="AG35" s="5">
        <f>AD35*((1+InputData!$C$5)/(1+InputData!$C$3))^(Ortho!$B35-Ortho!$B$7)</f>
        <v>16416.261796830095</v>
      </c>
      <c r="AH35" s="32">
        <f>IF(AF35-InputData!$C$158-InputData!$C$159&gt;=0,AF35-InputData!$C$158-InputData!$C$159,0)</f>
        <v>188524.3954026186</v>
      </c>
      <c r="AI35" s="32">
        <f>IF(AF35-IF(AF35&lt;=InputData!$C$146,InputData!$C$145,0)-MAX(InputData!$C$144,AO35)&gt;=0,AF35-IF(AF35&lt;=InputData!$C$146,InputData!$C$145,0)-MAX(InputData!$C$144,AO35),0)</f>
        <v>182424.3954026186</v>
      </c>
      <c r="AJ35" s="32">
        <f>IF(AI35&lt;0,"Error",IF(AI35&lt;=InputData!$B$170,InputData!$C$170*AI35,IF(AI35&lt;=InputData!$B$171,InputData!$D$170+InputData!$C$171*(AI35-InputData!$B$170),IF(AI35&lt;=InputData!$B$172,InputData!$D$171+InputData!$C$172*(AI35-InputData!$B$171),IF(AI35&lt;=InputData!$B$173,InputData!$D$172+InputData!$C$173*(AI35-InputData!$B$172),IF(AI35&lt;=InputData!$B$174,InputData!$D$173+InputData!$C$174*(AI35-InputData!$B$173),IF(AI35&lt;=InputData!$B$175,InputData!$D$174+InputData!$C$175*(AI35-InputData!$B$174),InputData!$D$175+InputData!$C$176*(AI35-InputData!$B$175))))))))</f>
        <v>44372.080712733208</v>
      </c>
      <c r="AK35" s="32">
        <f>IF(AF35&lt;=InputData!$C$150,InputData!$C$152,IF(AF35&lt;InputData!$C$151,IF(InputData!$C$152-0.25*IF(AF35-InputData!$C$150&lt;=0,0,AF35-InputData!$C$150)&lt;=0,0,InputData!$C$152-0.25*IF(AF35-InputData!$C$150&lt;=0,0,AF35-InputData!$C$150)),0))</f>
        <v>33618.901149345351</v>
      </c>
      <c r="AL35" s="32">
        <f>IF(AF35-AK35&lt;=0,0,IF(AF35-AK35&lt;=InputData!$C$153,InputData!$C$154*(AF35-AK35),InputData!$C$155*(AF35-AK35)-InputData!$D$154))</f>
        <v>40275.428505851043</v>
      </c>
      <c r="AM35" s="32">
        <f t="shared" si="23"/>
        <v>44372.080712733208</v>
      </c>
      <c r="AN35" s="32">
        <f>IF(AF35&gt;=0,IF(AF35&lt;=InputData!$C$148,InputData!$C$147*AF35,InputData!$C$147*InputData!$C$148)+InputData!$C$149*AF35,0)</f>
        <v>9783.0037333379696</v>
      </c>
      <c r="AO35" s="32">
        <f>IF(AH35&lt;0,0,IF(AH35&lt;=InputData!$B$163,InputData!$C$163*AH35,IF(AH35&lt;=InputData!$B$164,InputData!$D$163+InputData!$C$164*(AH35-InputData!$B$163),IF(AH35&lt;=InputData!$B$165,InputData!$D$164+InputData!$C$165*(AH35-InputData!$B$164),InputData!$D$165+InputData!$C$166*(AH35-InputData!$B$165)))))</f>
        <v>0</v>
      </c>
      <c r="AP35" s="43">
        <f t="shared" si="24"/>
        <v>0.28725770121376543</v>
      </c>
      <c r="AQ35" s="43">
        <f t="shared" si="25"/>
        <v>0.26424763727271222</v>
      </c>
      <c r="AR35" s="5">
        <f t="shared" si="26"/>
        <v>150785.57275337752</v>
      </c>
      <c r="AS35" s="32">
        <f>AR35/((1+InputData!$C$7)^(Ortho!$B35-Ortho!$B$7))</f>
        <v>65904.868563989236</v>
      </c>
      <c r="AT35" s="5">
        <f t="shared" si="105"/>
        <v>1931358.4612365635</v>
      </c>
      <c r="AU35" s="53"/>
      <c r="AV35" s="41" t="s">
        <v>109</v>
      </c>
      <c r="AW35" s="32">
        <f>$AW$17*(1+InputData!$C$3+InputData!$C$4)^(Ortho!$B35-Ortho!$B$17)</f>
        <v>848821.37357304944</v>
      </c>
      <c r="AX35" s="32">
        <v>0</v>
      </c>
      <c r="AY35" s="32">
        <f t="shared" si="28"/>
        <v>848821.37357304944</v>
      </c>
      <c r="AZ35" s="32">
        <f>AZ34*(1+InputData!$C$8)</f>
        <v>20004.368128938433</v>
      </c>
      <c r="BA35" s="32">
        <f>AW35/((1+InputData!$C$3)^(Ortho!$B35-Ortho!$B$7))</f>
        <v>487541.39693348575</v>
      </c>
      <c r="BB35" s="32">
        <f>AX35/((1+InputData!$C$3)^(Ortho!$B35-Ortho!$B$7))</f>
        <v>0</v>
      </c>
      <c r="BC35" s="32" t="s">
        <v>141</v>
      </c>
      <c r="BD35" s="32">
        <v>0</v>
      </c>
      <c r="BE35" s="32">
        <f t="shared" si="152"/>
        <v>0</v>
      </c>
      <c r="BF35" s="32">
        <f>(BE35)*InputData!$C$6</f>
        <v>0</v>
      </c>
      <c r="BG35" s="32">
        <f>MIN($BE$16*InputData!$C$6/(1-(1+InputData!$C$6)^(-10)), BE35+BF35)</f>
        <v>0</v>
      </c>
      <c r="BH35" s="32">
        <f t="shared" si="137"/>
        <v>0</v>
      </c>
      <c r="BI35" s="32">
        <f>BG35/((1+InputData!$C$3)^(Ortho!$B35-Ortho!$B$7))</f>
        <v>0</v>
      </c>
      <c r="BJ35" s="32">
        <f>IF(BA35-InputData!$C$158-InputData!$C$159&gt;=0,BA35-InputData!$C$158-InputData!$C$159,0)</f>
        <v>487541.39693348575</v>
      </c>
      <c r="BK35" s="32">
        <f>IF(BA35-IF(BA35&lt;=InputData!$C$146,InputData!$C$145,0)-MAX(InputData!$C$144,BQ35)&gt;=0,BA35-IF(BA35&lt;=InputData!$C$146,InputData!$C$145,0)-MAX(InputData!$C$144,BQ35),0)</f>
        <v>481441.39693348575</v>
      </c>
      <c r="BL35" s="32">
        <f>IF(BK35&lt;0,"Error",IF(BK35&lt;=InputData!$B$170,InputData!$C$170*BK35,IF(BK35&lt;=InputData!$B$171,InputData!$D$170+InputData!$C$171*(BK35-InputData!$B$170),IF(BK35&lt;=InputData!$B$172,InputData!$D$171+InputData!$C$172*(BK35-InputData!$B$171),IF(BK35&lt;=InputData!$B$173,InputData!$D$172+InputData!$C$173*(BK35-InputData!$B$172),IF(BK35&lt;=InputData!$B$174,InputData!$D$173+InputData!$C$174*(BK35-InputData!$B$173),IF(BK35&lt;=InputData!$B$175,InputData!$D$174+InputData!$C$175*(BK35-InputData!$B$174),InputData!$D$175+InputData!$C$176*(BK35-InputData!$B$175))))))))</f>
        <v>148414.54318566035</v>
      </c>
      <c r="BM35" s="32">
        <f>IF(BA35&lt;=InputData!$C$150,InputData!$C$152,IF(BA35&lt;InputData!$C$151,IF(InputData!$C$152-0.25*IF(BA35-InputData!$C$150&lt;=0,0,BA35-InputData!$C$150)&lt;=0,0,InputData!$C$152-0.25*IF(BA35-InputData!$C$150&lt;=0,0,BA35-InputData!$C$150)),0))</f>
        <v>0</v>
      </c>
      <c r="BN35" s="32">
        <f>IF(BA35-BM35&lt;=0,0,IF(BA35-BM35&lt;=InputData!$C$153,InputData!$C$154*(BA35-BM35),InputData!$C$155*(BA35-BM35)-InputData!$D$154))</f>
        <v>132921.59114137603</v>
      </c>
      <c r="BO35" s="32">
        <f t="shared" si="29"/>
        <v>148414.54318566035</v>
      </c>
      <c r="BP35" s="32">
        <f>IF(BA35&gt;=0,IF(BA35&lt;=InputData!$C$148,InputData!$C$147*BA35,InputData!$C$147*InputData!$C$148)+InputData!$C$149*BA35,0)</f>
        <v>14118.750255535542</v>
      </c>
      <c r="BQ35" s="32">
        <f>IF(BJ35&lt;0,0,IF(BJ35&lt;=InputData!$B$163,InputData!$C$163*BJ35,IF(BJ35&lt;=InputData!$B$164,InputData!$D$163+InputData!$C$164*(BJ35-InputData!$B$163),IF(BJ35&lt;=InputData!$B$165,InputData!$D$164+InputData!$C$165*(BJ35-InputData!$B$164),InputData!$D$165+InputData!$C$166*(BJ35-InputData!$B$165)))))</f>
        <v>0</v>
      </c>
      <c r="BR35" s="43">
        <f t="shared" si="30"/>
        <v>0.33337331858071934</v>
      </c>
      <c r="BS35" s="32">
        <f t="shared" si="31"/>
        <v>325008.1034922899</v>
      </c>
      <c r="BT35" s="32">
        <f t="shared" si="32"/>
        <v>325008.1034922899</v>
      </c>
      <c r="BU35" s="32">
        <f>BT35/((1+InputData!$C$7)^(Ortho!$B35-Ortho!$B$7))</f>
        <v>142053.48662848774</v>
      </c>
      <c r="BV35" s="5">
        <f t="shared" si="107"/>
        <v>3291774.1328260093</v>
      </c>
      <c r="BW35" s="5"/>
      <c r="BX35" s="32" t="s">
        <v>141</v>
      </c>
      <c r="BY35" s="5">
        <f t="shared" si="153"/>
        <v>105938.16446701533</v>
      </c>
      <c r="BZ35" s="32">
        <f>(BY35)*InputData!$C$6</f>
        <v>6578.760013401652</v>
      </c>
      <c r="CA35" s="32">
        <f>MIN($BY$16*InputData!$C$6/(1-(1+InputData!$C$6)^(-25)), BY35+BZ35)</f>
        <v>21686.214673809533</v>
      </c>
      <c r="CB35" s="32">
        <f t="shared" si="154"/>
        <v>90830.709806607454</v>
      </c>
      <c r="CC35" s="32">
        <f>CA35/((1+InputData!$C$3)^(Ortho!$B35-Ortho!$B$7))</f>
        <v>12456.009857247842</v>
      </c>
      <c r="CD35" s="5">
        <f t="shared" si="36"/>
        <v>312552.09363504208</v>
      </c>
      <c r="CE35" s="32">
        <f>CD35/((1+InputData!$C$7)^(Ortho!$B35-Ortho!$B$7))</f>
        <v>136609.25428262303</v>
      </c>
      <c r="CF35" s="5">
        <f t="shared" si="108"/>
        <v>3304068.6438625641</v>
      </c>
      <c r="CG35" s="5"/>
      <c r="CH35" s="32" t="s">
        <v>141</v>
      </c>
      <c r="CI35" s="5" t="e">
        <f t="shared" si="155"/>
        <v>#VALUE!</v>
      </c>
      <c r="CJ35" s="32" t="e">
        <f>(CI35)*InputData!$C$6</f>
        <v>#VALUE!</v>
      </c>
      <c r="CK35" s="5" t="str">
        <f t="shared" si="168"/>
        <v>DNQ</v>
      </c>
      <c r="CL35" s="32" t="e">
        <f t="shared" si="156"/>
        <v>#VALUE!</v>
      </c>
      <c r="CM35" s="32" t="e">
        <f>CK35/((1+InputData!$C$3)^(Ortho!$B35-Ortho!$B$7))</f>
        <v>#VALUE!</v>
      </c>
      <c r="CN35" s="5" t="e">
        <f t="shared" si="40"/>
        <v>#VALUE!</v>
      </c>
      <c r="CO35" s="32" t="e">
        <f>CN35/((1+InputData!$C$7)^(Ortho!$B35-Ortho!$B$7))</f>
        <v>#VALUE!</v>
      </c>
      <c r="CP35" s="5" t="e">
        <f t="shared" si="109"/>
        <v>#VALUE!</v>
      </c>
      <c r="CQ35" s="5"/>
      <c r="CR35" s="32" t="s">
        <v>141</v>
      </c>
      <c r="CS35" s="5" t="e">
        <f t="shared" si="157"/>
        <v>#VALUE!</v>
      </c>
      <c r="CT35" s="32" t="e">
        <f>(CS35)*InputData!$C$6</f>
        <v>#VALUE!</v>
      </c>
      <c r="CU35" s="32" t="str">
        <f t="shared" si="169"/>
        <v>DNQ</v>
      </c>
      <c r="CV35" s="32" t="e">
        <f t="shared" si="158"/>
        <v>#VALUE!</v>
      </c>
      <c r="CW35" s="32" t="e">
        <f>CU35/((1+InputData!$C$3)^(Ortho!$B35-Ortho!$B$7))</f>
        <v>#VALUE!</v>
      </c>
      <c r="CX35" s="5" t="e">
        <f t="shared" si="44"/>
        <v>#VALUE!</v>
      </c>
      <c r="CY35" s="32" t="e">
        <f>CX35/((1+InputData!$C$7)^(Ortho!$B35-Ortho!$B$7))</f>
        <v>#VALUE!</v>
      </c>
      <c r="CZ35" s="5" t="e">
        <f t="shared" si="110"/>
        <v>#VALUE!</v>
      </c>
      <c r="DA35" s="5"/>
      <c r="DB35" s="32" t="s">
        <v>141</v>
      </c>
      <c r="DC35" s="5">
        <f t="shared" si="138"/>
        <v>0</v>
      </c>
      <c r="DD35" s="5">
        <f>DC35*InputData!$C$6</f>
        <v>0</v>
      </c>
      <c r="DE35" s="32">
        <f t="shared" si="139"/>
        <v>0</v>
      </c>
      <c r="DF35" s="32">
        <f t="shared" si="140"/>
        <v>0</v>
      </c>
      <c r="DG35" s="32">
        <f>DE35/((1+InputData!$C$3)^(Ortho!$B35-Ortho!$B$7))</f>
        <v>0</v>
      </c>
      <c r="DH35" s="5">
        <f t="shared" si="48"/>
        <v>325008.1034922899</v>
      </c>
      <c r="DI35" s="32">
        <f>DH35/((1+InputData!$C$7)^(Ortho!$B35-Ortho!$B$7))</f>
        <v>142053.48662848774</v>
      </c>
      <c r="DJ35" s="5">
        <f t="shared" si="111"/>
        <v>3296361.7489284258</v>
      </c>
      <c r="DK35" s="5"/>
      <c r="DL35" s="32" t="s">
        <v>141</v>
      </c>
      <c r="DM35" s="32">
        <f t="shared" si="159"/>
        <v>0</v>
      </c>
      <c r="DN35" s="5">
        <f>DM35*InputData!$C$6</f>
        <v>0</v>
      </c>
      <c r="DO35" s="32">
        <f t="shared" si="160"/>
        <v>0</v>
      </c>
      <c r="DP35" s="32">
        <f t="shared" si="123"/>
        <v>0</v>
      </c>
      <c r="DQ35" s="32">
        <f t="shared" si="124"/>
        <v>0</v>
      </c>
      <c r="DR35" s="32">
        <f>DP35/((1+InputData!$C$3)^(Ortho!$B35-Ortho!$B$7))</f>
        <v>0</v>
      </c>
      <c r="DS35" s="5">
        <f t="shared" si="52"/>
        <v>325008.1034922899</v>
      </c>
      <c r="DT35" s="32">
        <f>DS35/((1+InputData!$C$7)^(Ortho!$B35-Ortho!$B$7))</f>
        <v>142053.48662848774</v>
      </c>
      <c r="DU35" s="5">
        <f t="shared" si="113"/>
        <v>3289453.5072822715</v>
      </c>
      <c r="DV35" s="5"/>
      <c r="DW35" s="32" t="s">
        <v>141</v>
      </c>
      <c r="DX35" s="133">
        <f t="shared" si="141"/>
        <v>0</v>
      </c>
      <c r="DY35" s="5">
        <f>DX35*InputData!$C$6</f>
        <v>0</v>
      </c>
      <c r="DZ35" s="133">
        <f t="shared" si="142"/>
        <v>0</v>
      </c>
      <c r="EA35" s="32">
        <f t="shared" si="143"/>
        <v>0</v>
      </c>
      <c r="EB35" s="32">
        <f t="shared" si="144"/>
        <v>0</v>
      </c>
      <c r="EC35" s="32">
        <f>EA35/((1+InputData!$C$3)^(Ortho!$B35-Ortho!$B$7))</f>
        <v>0</v>
      </c>
      <c r="ED35" s="5">
        <f t="shared" si="56"/>
        <v>325008.1034922899</v>
      </c>
      <c r="EE35" s="32">
        <f>ED35/((1+InputData!$C$7)^(Ortho!$B35-Ortho!$B$7))</f>
        <v>142053.48662848774</v>
      </c>
      <c r="EF35" s="5">
        <f t="shared" si="115"/>
        <v>3289972.7782274773</v>
      </c>
      <c r="EG35" s="32"/>
      <c r="EH35" s="130" t="s">
        <v>141</v>
      </c>
      <c r="EI35" s="32">
        <v>0</v>
      </c>
      <c r="EJ35" s="32">
        <f t="shared" si="173"/>
        <v>0</v>
      </c>
      <c r="EK35" s="32">
        <f>(EJ35)*InputData!$C$6</f>
        <v>0</v>
      </c>
      <c r="EL35" s="32">
        <f t="shared" si="172"/>
        <v>-3.637978807091713E-11</v>
      </c>
      <c r="EM35" s="32">
        <f>EM34*(1+InputData!$C$8)</f>
        <v>20004.368128938433</v>
      </c>
      <c r="EN35" s="32">
        <f t="shared" si="170"/>
        <v>0</v>
      </c>
      <c r="EO35" s="32">
        <f>AW35/((1+InputData!$C$3)^(Ortho!$B35-Ortho!$B$7))</f>
        <v>487541.39693348575</v>
      </c>
      <c r="EP35" s="32">
        <f>AX35/((1+InputData!$C$3)^(Ortho!$B35-Ortho!$B$7))</f>
        <v>0</v>
      </c>
      <c r="EQ35" s="32">
        <v>105216.3</v>
      </c>
      <c r="ER35" s="32">
        <v>11169.54</v>
      </c>
      <c r="ES35" s="32">
        <v>0</v>
      </c>
      <c r="ET35" s="43">
        <f t="shared" si="129"/>
        <v>0.23871991328744188</v>
      </c>
      <c r="EU35" s="32">
        <f t="shared" si="57"/>
        <v>371155.55693348579</v>
      </c>
      <c r="EV35" s="32">
        <f>EN35/((1+InputData!$C$3)^(Ortho!$B35-Ortho!$B$7))</f>
        <v>0</v>
      </c>
      <c r="EW35" s="32">
        <f t="shared" si="58"/>
        <v>371155.55693348579</v>
      </c>
      <c r="EX35" s="32">
        <f>EW35/((1+InputData!$C$7)^(Ortho!$B35-Ortho!$B$7))</f>
        <v>162223.46574564901</v>
      </c>
      <c r="EY35" s="5">
        <f t="shared" si="117"/>
        <v>3819697.1942143878</v>
      </c>
      <c r="EZ35" s="79"/>
      <c r="FA35" s="32">
        <f t="shared" si="161"/>
        <v>0</v>
      </c>
      <c r="FB35" s="32">
        <f>FA35*InputData!$C$6</f>
        <v>0</v>
      </c>
      <c r="FC35" s="32">
        <f t="shared" si="162"/>
        <v>0</v>
      </c>
      <c r="FD35" s="32">
        <f>MIN($EJ$16*InputData!$C$6/(1-(1+InputData!$C$6)^(-10)), FA35+FB35)</f>
        <v>0</v>
      </c>
      <c r="FE35" s="32">
        <f>FD35/((1+InputData!$C$3)^(Ortho!$B35-Ortho!$B$7))</f>
        <v>0</v>
      </c>
      <c r="FF35" s="5">
        <f t="shared" si="62"/>
        <v>371155.55693348579</v>
      </c>
      <c r="FG35" s="32">
        <f>FF35/((1+InputData!$C$7)^(Ortho!$B35-Ortho!$B$7))</f>
        <v>162223.46574564901</v>
      </c>
      <c r="FH35" s="5">
        <f t="shared" si="118"/>
        <v>3819697.1942143878</v>
      </c>
      <c r="FI35" s="79"/>
      <c r="FJ35" s="32">
        <f t="shared" si="163"/>
        <v>105858.30700195405</v>
      </c>
      <c r="FK35" s="32">
        <f>FJ35*InputData!$C$6</f>
        <v>6573.8008648213463</v>
      </c>
      <c r="FL35" s="32">
        <f t="shared" si="164"/>
        <v>90762.240522932669</v>
      </c>
      <c r="FM35" s="32">
        <f>MIN($EJ$16*InputData!$C$6/(1-(1+InputData!$C$6)^(-25)), FJ35+FK35)</f>
        <v>21669.867343842721</v>
      </c>
      <c r="FN35" s="32">
        <f>FM35/((1+InputData!$C$3)^(Ortho!$B35-Ortho!$B$7))</f>
        <v>12446.620366907133</v>
      </c>
      <c r="FO35" s="5">
        <f t="shared" si="66"/>
        <v>358708.93656657863</v>
      </c>
      <c r="FP35" s="32">
        <f>FO35/((1+InputData!$C$7)^(Ortho!$B35-Ortho!$B$7))</f>
        <v>156783.33732773634</v>
      </c>
      <c r="FQ35" s="5">
        <f t="shared" si="119"/>
        <v>3831982.437500359</v>
      </c>
      <c r="FR35" s="79"/>
      <c r="FS35" s="32">
        <f t="shared" si="165"/>
        <v>0</v>
      </c>
      <c r="FT35" s="32">
        <f>FS35*InputData!$C$6</f>
        <v>0</v>
      </c>
      <c r="FU35" s="32">
        <f t="shared" si="166"/>
        <v>0</v>
      </c>
      <c r="FV35" s="5">
        <f t="shared" si="171"/>
        <v>0</v>
      </c>
      <c r="FW35" s="32">
        <f>FV35/((1+InputData!$C$3)^(Ortho!$B35-Ortho!$B$7))</f>
        <v>0</v>
      </c>
      <c r="FX35" s="5">
        <f t="shared" si="70"/>
        <v>371155.55693348579</v>
      </c>
      <c r="FY35" s="32">
        <f>FX35/((1+InputData!$C$7)^(Ortho!$B35-Ortho!$B$7))</f>
        <v>162223.46574564901</v>
      </c>
      <c r="FZ35" s="5">
        <f t="shared" si="120"/>
        <v>3819697.1942143878</v>
      </c>
      <c r="GC35" s="83">
        <v>20</v>
      </c>
      <c r="GD35" s="4" t="s">
        <v>217</v>
      </c>
      <c r="GE35" s="5"/>
      <c r="GF35" s="84">
        <v>0</v>
      </c>
      <c r="GG35" s="5"/>
      <c r="GH35" s="84">
        <f>MIN(InputData!$C$13+InputData!$E$13*($B35-$B$31),1)*$AW35/((1+InputData!$C$3)^(Ortho!$B35-Ortho!$B$7))+0.025*$GC$30*(($F$28+$F$29+$F$30)/3)*((1+InputData!$C$5)/(1+InputData!$C$3))^(Ortho!$B35-Ortho!$B$7)</f>
        <v>478363.0522459037</v>
      </c>
      <c r="GI35" s="5">
        <v>0</v>
      </c>
      <c r="GJ35" s="32">
        <f>IF(GH35-InputData!$C$158-InputData!$C$159&gt;=0,GH35-InputData!$C$158-InputData!$C$159,0)</f>
        <v>478363.0522459037</v>
      </c>
      <c r="GK35" s="32">
        <f>IF(GH35-IF(GH35&lt;=InputData!$C$146,InputData!$C$145,0)-MAX(InputData!$C$144,GQ35)&gt;=0,GH35-IF(GH35&lt;=InputData!$C$146,InputData!$C$145,0)-MAX(InputData!$C$144,GQ35),0)</f>
        <v>472263.0522459037</v>
      </c>
      <c r="GL35" s="32">
        <f>IF(GK35&lt;0,"Error",IF(GK35&lt;=InputData!$B$170,InputData!$C$170*GK35,IF(GK35&lt;=InputData!$B$171,InputData!$D$170+InputData!$C$171*(GK35-InputData!$B$170),IF(GK35&lt;=InputData!$B$172,InputData!$D$171+InputData!$C$172*(GK35-InputData!$B$171),IF(GK35&lt;=InputData!$B$173,InputData!$D$172+InputData!$C$173*(GK35-InputData!$B$172),IF(GK35&lt;=InputData!$B$174,InputData!$D$173+InputData!$C$174*(GK35-InputData!$B$173),IF(GK35&lt;=InputData!$B$175,InputData!$D$174+InputData!$C$175*(GK35-InputData!$B$174),InputData!$D$175+InputData!$C$176*(GK35-InputData!$B$175))))))))</f>
        <v>144779.91868937787</v>
      </c>
      <c r="GM35" s="32">
        <f>IF(GH35&lt;=InputData!$C$150,InputData!$C$152,IF(GH35&lt;InputData!$C$151,IF(InputData!$C$152-0.25*IF(GH35-InputData!$C$150&lt;=0,0,GH35-InputData!$C$150)&lt;=0,0,InputData!$C$152-0.25*IF(GH35-InputData!$C$150&lt;=0,0,GH35-InputData!$C$150)),0))</f>
        <v>0</v>
      </c>
      <c r="GN35" s="32">
        <f>IF(GH35-GM35&lt;=0,0,IF(GH35-GM35&lt;=InputData!$C$153,InputData!$C$154*(GH35-GM35),InputData!$C$155*(GH35-GM35)-InputData!$D$154))</f>
        <v>130351.65462885305</v>
      </c>
      <c r="GO35" s="32">
        <f t="shared" si="71"/>
        <v>144779.91868937787</v>
      </c>
      <c r="GP35" s="32">
        <f>IF(GH35&gt;=0,IF(GH35&lt;=InputData!$C$148,InputData!$C$147*GH35,InputData!$C$147*InputData!$C$148)+InputData!$C$149*GH35,0)</f>
        <v>13985.664257565604</v>
      </c>
      <c r="GQ35" s="32">
        <f>IF(GJ35&lt;0,0,IF(GJ35&lt;=InputData!$B$163,InputData!$C$163*GJ35,IF(GJ35&lt;=InputData!$B$164,InputData!$D$163+InputData!$C$164*(GJ35-InputData!$B$163),IF(GJ35&lt;=InputData!$B$165,InputData!$D$164+InputData!$C$165*(GJ35-InputData!$B$164),InputData!$D$165+InputData!$C$166*(GJ35-InputData!$B$165)))))</f>
        <v>0</v>
      </c>
      <c r="GR35" s="43">
        <f t="shared" si="72"/>
        <v>0.33189349010451924</v>
      </c>
      <c r="GS35" s="43">
        <f t="shared" si="73"/>
        <v>0.33189349010451924</v>
      </c>
      <c r="GT35" s="5">
        <f t="shared" si="74"/>
        <v>319597.46929896018</v>
      </c>
      <c r="GU35" s="32">
        <f>GT35/((1+InputData!$C$7)^(Ortho!$B35-Ortho!$B$7))</f>
        <v>139688.62420267428</v>
      </c>
      <c r="GV35" s="84">
        <f t="shared" si="75"/>
        <v>2283528.9678259324</v>
      </c>
      <c r="GX35" s="83">
        <v>21</v>
      </c>
      <c r="GY35" s="4" t="s">
        <v>217</v>
      </c>
      <c r="GZ35" s="5"/>
      <c r="HA35" s="84">
        <v>0</v>
      </c>
      <c r="HB35" s="5"/>
      <c r="HC35" s="84">
        <f>MIN(InputData!$C$13+InputData!$E$13*($B35-$B$32),1)*$AW35/((1+InputData!$C$3)^(Ortho!$B35-Ortho!$B$7))+0.025*$GX$31*(($AB$29+$AB$30+$AB$31)/3)*((1+InputData!$C$5)/(1+InputData!$C$3))^(Ortho!$B35-Ortho!$B$7)</f>
        <v>482947.10165051004</v>
      </c>
      <c r="HD35" s="5">
        <v>0</v>
      </c>
      <c r="HE35" s="32">
        <f>IF(HC35-InputData!$C$158-InputData!$C$159&gt;=0,HC35-InputData!$C$158-InputData!$C$159,0)</f>
        <v>482947.10165051004</v>
      </c>
      <c r="HF35" s="32">
        <f>IF(HC35-IF(HC35&lt;=InputData!$C$146,InputData!$C$145,0)-MAX(InputData!$C$144,HL35)&gt;=0,HC35-IF(HC35&lt;=InputData!$C$146,InputData!$C$145,0)-MAX(InputData!$C$144,HL35),0)</f>
        <v>476847.10165051004</v>
      </c>
      <c r="HG35" s="32">
        <f>IF(HF35&lt;0,"Error",IF(HF35&lt;=InputData!$B$170,InputData!$C$170*HF35,IF(HF35&lt;=InputData!$B$171,InputData!$D$170+InputData!$C$171*(HF35-InputData!$B$170),IF(HF35&lt;=InputData!$B$172,InputData!$D$171+InputData!$C$172*(HF35-InputData!$B$171),IF(HF35&lt;=InputData!$B$173,InputData!$D$172+InputData!$C$173*(HF35-InputData!$B$172),IF(HF35&lt;=InputData!$B$174,InputData!$D$173+InputData!$C$174*(HF35-InputData!$B$173),IF(HF35&lt;=InputData!$B$175,InputData!$D$174+InputData!$C$175*(HF35-InputData!$B$174),InputData!$D$175+InputData!$C$176*(HF35-InputData!$B$175))))))))</f>
        <v>146595.20225360198</v>
      </c>
      <c r="HH35" s="32">
        <f>IF(HC35&lt;=InputData!$C$150,InputData!$C$152,IF(HC35&lt;InputData!$C$151,IF(InputData!$C$152-0.25*IF(HC35-InputData!$C$150&lt;=0,0,HC35-InputData!$C$150)&lt;=0,0,InputData!$C$152-0.25*IF(HC35-InputData!$C$150&lt;=0,0,HC35-InputData!$C$150)),0))</f>
        <v>0</v>
      </c>
      <c r="HI35" s="32">
        <f>IF(HC35-HH35&lt;=0,0,IF(HC35-HH35&lt;=InputData!$C$153,InputData!$C$154*(HC35-HH35),InputData!$C$155*(HC35-HH35)-InputData!$D$154))</f>
        <v>131635.18846214283</v>
      </c>
      <c r="HJ35" s="32">
        <f t="shared" si="76"/>
        <v>146595.20225360198</v>
      </c>
      <c r="HK35" s="32">
        <f>IF(HC35&gt;=0,IF(HC35&lt;=InputData!$C$148,InputData!$C$147*HC35,InputData!$C$147*InputData!$C$148)+InputData!$C$149*HC35,0)</f>
        <v>14052.132973932396</v>
      </c>
      <c r="HL35" s="32">
        <f>IF(HE35&lt;0,0,IF(HE35&lt;=InputData!$B$163,InputData!$C$163*HE35,IF(HE35&lt;=InputData!$B$164,InputData!$D$163+InputData!$C$164*(HE35-InputData!$B$163),IF(HE35&lt;=InputData!$B$165,InputData!$D$164+InputData!$C$165*(HE35-InputData!$B$164),InputData!$D$165+InputData!$C$166*(HE35-InputData!$B$165)))))</f>
        <v>0</v>
      </c>
      <c r="HM35" s="43">
        <f t="shared" si="77"/>
        <v>0.33263960934543219</v>
      </c>
      <c r="HN35" s="43">
        <f t="shared" si="78"/>
        <v>0.33263960934543219</v>
      </c>
      <c r="HO35" s="5">
        <f t="shared" si="79"/>
        <v>322299.76642297569</v>
      </c>
      <c r="HP35" s="32">
        <f>HO35/((1+InputData!$C$7)^(Ortho!$B35-Ortho!$B$7))</f>
        <v>140869.73545574077</v>
      </c>
      <c r="HQ35" s="84">
        <f t="shared" si="80"/>
        <v>2228377.7505959617</v>
      </c>
      <c r="HS35" s="227"/>
      <c r="HT35" s="53" t="s">
        <v>109</v>
      </c>
      <c r="HU35" s="32">
        <f>MIN(InputData!$C$13+InputData!$E$13*($B35-$B$23),1)*Ortho!AW35</f>
        <v>763939.23621574452</v>
      </c>
      <c r="HV35" s="32">
        <f>MIN(InputData!$C$13+InputData!$E$13*($B35-$B$23),1)*Ortho!AX35</f>
        <v>0</v>
      </c>
      <c r="HW35" s="32">
        <f>MIN(InputData!$C$13+InputData!$E$13*($B35-$B$23),1)*Ortho!AY35</f>
        <v>763939.23621574452</v>
      </c>
      <c r="HX35" s="32">
        <f>MIN(InputData!$C$13+InputData!$E$13*($B35-$B$23),1)*Ortho!EO35</f>
        <v>438787.2572401372</v>
      </c>
      <c r="HY35" s="32">
        <f>MIN(InputData!$C$13+InputData!$E$13*($B35-$B$23),1)*Ortho!EP35</f>
        <v>0</v>
      </c>
      <c r="HZ35" s="32">
        <f>IF(HX35-InputData!$C$158-InputData!$C$159&gt;=0,HX35-InputData!$C$158-InputData!$C$159,0)</f>
        <v>438787.2572401372</v>
      </c>
      <c r="IA35" s="32">
        <f>IF(HX35-IF(HX35&lt;=InputData!$C$146,InputData!$C$145,0)-MAX(InputData!$C$144,IG35)&gt;=0,HX35-IF(HX35&lt;=InputData!$C$146,InputData!$C$145,0)-MAX(InputData!$C$144,IG35),0)</f>
        <v>432687.2572401372</v>
      </c>
      <c r="IB35" s="32">
        <f>IF(IA35&lt;0,"Error",IF(IA35&lt;=InputData!$B$170,InputData!$C$170*IA35,IF(IA35&lt;=InputData!$B$171,InputData!$D$170+InputData!$C$171*(IA35-InputData!$B$170),IF(IA35&lt;=InputData!$B$172,InputData!$D$171+InputData!$C$172*(IA35-InputData!$B$171),IF(IA35&lt;=InputData!$B$173,InputData!$D$172+InputData!$C$173*(IA35-InputData!$B$172),IF(IA35&lt;=InputData!$B$174,InputData!$D$173+InputData!$C$174*(IA35-InputData!$B$173),IF(IA35&lt;=InputData!$B$175,InputData!$D$174+InputData!$C$175*(IA35-InputData!$B$174),InputData!$D$175+InputData!$C$176*(IA35-InputData!$B$175))))))))</f>
        <v>129107.90386709433</v>
      </c>
      <c r="IC35" s="32">
        <f>IF(HX35&lt;=InputData!$C$150,InputData!$C$152,IF(HX35&lt;InputData!$C$151,IF(InputData!$C$152-0.25*IF(HX35-InputData!$C$150&lt;=0,0,HX35-InputData!$C$150)&lt;=0,0,InputData!$C$152-0.25*IF(HX35-InputData!$C$150&lt;=0,0,HX35-InputData!$C$150)),0))</f>
        <v>0</v>
      </c>
      <c r="ID35" s="32">
        <f>IF(HX35-IC35&lt;=0,0,IF(HX35-IC35&lt;=InputData!$C$153,InputData!$C$154*(HX35-IC35),InputData!$C$155*(HX35-IC35)-InputData!$D$154))</f>
        <v>119270.43202723842</v>
      </c>
      <c r="IE35" s="32">
        <f t="shared" si="88"/>
        <v>129107.90386709433</v>
      </c>
      <c r="IF35" s="32">
        <f>IF(HX35&gt;=0,IF(HX35&lt;=InputData!$C$148,InputData!$C$147*HX35,InputData!$C$147*InputData!$C$148)+InputData!$C$149*HX35,0)</f>
        <v>13411.815229981989</v>
      </c>
      <c r="IG35" s="32">
        <f>IF(HZ35&lt;0,0,IF(HZ35&lt;=InputData!$B$163,InputData!$C$163*HZ35,IF(HZ35&lt;=InputData!$B$164,InputData!$D$163+InputData!$C$164*(HZ35-InputData!$B$163),IF(HZ35&lt;=InputData!$B$165,InputData!$D$164+InputData!$C$165*(HZ35-InputData!$B$164),InputData!$D$165+InputData!$C$166*(HZ35-InputData!$B$165)))))</f>
        <v>0</v>
      </c>
      <c r="IH35" s="43">
        <f t="shared" si="89"/>
        <v>0.32480368731191039</v>
      </c>
      <c r="II35" s="43">
        <f t="shared" si="90"/>
        <v>0.32480368731191039</v>
      </c>
      <c r="IJ35" s="5">
        <f t="shared" si="91"/>
        <v>296267.53814306093</v>
      </c>
      <c r="IK35" s="32">
        <f>IJ35/((1+InputData!$C$7)^(Ortho!$B35-Ortho!$B$7))</f>
        <v>129491.65364136429</v>
      </c>
      <c r="IL35" s="5">
        <f t="shared" si="92"/>
        <v>2797080.4128332823</v>
      </c>
      <c r="IN35" s="227"/>
      <c r="IO35" s="53" t="s">
        <v>109</v>
      </c>
      <c r="IP35" s="32">
        <f>MIN(InputData!$C$13+InputData!$E$13*($B35-$B$20),1)*Ortho!AW35</f>
        <v>763939.23621574452</v>
      </c>
      <c r="IQ35" s="32">
        <f>MIN(InputData!$C$13+InputData!$E$13*($B35-$B$20),1)*Ortho!AX35</f>
        <v>0</v>
      </c>
      <c r="IR35" s="32">
        <f>MIN(InputData!$C$13+InputData!$E$13*($B35-$B$20),1)*Ortho!AY35</f>
        <v>763939.23621574452</v>
      </c>
      <c r="IS35" s="32">
        <f>MIN(InputData!$C$13+InputData!$E$13*($B35-$B$20),1)*Ortho!EO35</f>
        <v>438787.2572401372</v>
      </c>
      <c r="IT35" s="32">
        <f>MIN(InputData!$C$13+InputData!$E$13*($B35-$B$20),1)*Ortho!EP35</f>
        <v>0</v>
      </c>
      <c r="IU35" s="32">
        <f>IF(IS35-InputData!$C$158-InputData!$C$159&gt;=0,IS35-InputData!$C$158-InputData!$C$159,0)</f>
        <v>438787.2572401372</v>
      </c>
      <c r="IV35" s="32">
        <f>IF(IS35-IF(IS35&lt;=InputData!$C$146,InputData!$C$145,0)-MAX(InputData!$C$144,JB35)&gt;=0,IS35-IF(IS35&lt;=InputData!$C$146,InputData!$C$145,0)-MAX(InputData!$C$144,JB35),0)</f>
        <v>432687.2572401372</v>
      </c>
      <c r="IW35" s="32">
        <f>IF(IV35&lt;0,"Error",IF(IV35&lt;=InputData!$B$170,InputData!$C$170*IV35,IF(IV35&lt;=InputData!$B$171,InputData!$D$170+InputData!$C$171*(IV35-InputData!$B$170),IF(IV35&lt;=InputData!$B$172,InputData!$D$171+InputData!$C$172*(IV35-InputData!$B$171),IF(IV35&lt;=InputData!$B$173,InputData!$D$172+InputData!$C$173*(IV35-InputData!$B$172),IF(IV35&lt;=InputData!$B$174,InputData!$D$173+InputData!$C$174*(IV35-InputData!$B$173),IF(IV35&lt;=InputData!$B$175,InputData!$D$174+InputData!$C$175*(IV35-InputData!$B$174),InputData!$D$175+InputData!$C$176*(IV35-InputData!$B$175))))))))</f>
        <v>129107.90386709433</v>
      </c>
      <c r="IX35" s="32">
        <f>IF(IS35&lt;=InputData!$C$150,InputData!$C$152,IF(IS35&lt;InputData!$C$151,IF(InputData!$C$152-0.25*IF(IS35-InputData!$C$150&lt;=0,0,IS35-InputData!$C$150)&lt;=0,0,InputData!$C$152-0.25*IF(IS35-InputData!$C$150&lt;=0,0,IS35-InputData!$C$150)),0))</f>
        <v>0</v>
      </c>
      <c r="IY35" s="32">
        <f>IF(IS35-IX35&lt;=0,0,IF(IS35-IX35&lt;=InputData!$C$153,InputData!$C$154*(IS35-IX35),InputData!$C$155*(IS35-IX35)-InputData!$D$154))</f>
        <v>119270.43202723842</v>
      </c>
      <c r="IZ35" s="32">
        <f t="shared" si="95"/>
        <v>129107.90386709433</v>
      </c>
      <c r="JA35" s="32">
        <f>IF(IS35&gt;=0,IF(IS35&lt;=InputData!$C$148,InputData!$C$147*IS35,InputData!$C$147*InputData!$C$148)+InputData!$C$149*IS35,0)</f>
        <v>13411.815229981989</v>
      </c>
      <c r="JB35" s="32">
        <f>IF(IU35&lt;0,0,IF(IU35&lt;=InputData!$B$163,InputData!$C$163*IU35,IF(IU35&lt;=InputData!$B$164,InputData!$D$163+InputData!$C$164*(IU35-InputData!$B$163),IF(IU35&lt;=InputData!$B$165,InputData!$D$164+InputData!$C$165*(IU35-InputData!$B$164),InputData!$D$165+InputData!$C$166*(IU35-InputData!$B$165)))))</f>
        <v>0</v>
      </c>
      <c r="JC35" s="43">
        <f t="shared" si="96"/>
        <v>0.32480368731191039</v>
      </c>
      <c r="JD35" s="43">
        <f t="shared" si="97"/>
        <v>0.32480368731191039</v>
      </c>
      <c r="JE35" s="5">
        <f t="shared" si="98"/>
        <v>296267.53814306093</v>
      </c>
      <c r="JF35" s="32">
        <f>JE35/((1+InputData!$C$7)^(Ortho!$B35-Ortho!$B$7))</f>
        <v>129491.65364136429</v>
      </c>
      <c r="JG35" s="5">
        <f t="shared" si="99"/>
        <v>3052072.1041599908</v>
      </c>
      <c r="JI35" s="41" t="str">
        <f t="shared" si="13"/>
        <v>Private Practice</v>
      </c>
      <c r="JJ35" s="5">
        <f t="shared" si="14"/>
        <v>848821.37357304944</v>
      </c>
      <c r="JK35" s="32">
        <v>0</v>
      </c>
      <c r="JL35" s="32">
        <f t="shared" si="101"/>
        <v>848821.37357304944</v>
      </c>
      <c r="JM35" s="32">
        <f>JM34*(1+InputData!$C$8)</f>
        <v>20004.368128938433</v>
      </c>
      <c r="JN35" s="32">
        <f>JJ35/((1+InputData!$C$3)^(Ortho!$B35-Ortho!$B$7))</f>
        <v>487541.39693348575</v>
      </c>
      <c r="JO35" s="32">
        <f>JK35/((1+InputData!$C$3)^(Ortho!$B35-Ortho!$B$7))</f>
        <v>0</v>
      </c>
      <c r="JP35" s="32" t="s">
        <v>141</v>
      </c>
      <c r="JQ35" s="32">
        <v>0</v>
      </c>
      <c r="JR35" s="32">
        <f t="shared" si="167"/>
        <v>0</v>
      </c>
      <c r="JS35" s="32">
        <f>(JR35)*InputData!$C$6</f>
        <v>0</v>
      </c>
      <c r="JT35" s="32">
        <f>MIN($BE$16*InputData!$C$6/(1-(1+InputData!$C$6)^(-10)), JR35+JS35)</f>
        <v>0</v>
      </c>
      <c r="JU35" s="32">
        <f t="shared" si="151"/>
        <v>0</v>
      </c>
      <c r="JV35" s="32">
        <f>JT35/((1+InputData!$C$3)^(Ortho!$B35-Ortho!$B$7))</f>
        <v>0</v>
      </c>
      <c r="JW35" s="32">
        <f>IF(JN35-InputData!$C$158-InputData!$C$159&gt;=0,JN35-InputData!$C$158-InputData!$C$159,0)</f>
        <v>487541.39693348575</v>
      </c>
      <c r="JX35" s="32">
        <f>IF(JN35-IF(JN35&lt;=InputData!$C$146,InputData!$C$145,0)-MAX(InputData!$C$144,KD35)&gt;=0,JN35-IF(JN35&lt;=InputData!$C$146,InputData!$C$145,0)-MAX(InputData!$C$144,KD35),0)</f>
        <v>481441.39693348575</v>
      </c>
      <c r="JY35" s="32">
        <f>IF(JX35&lt;0,"Error",IF(JX35&lt;=InputData!$B$170,InputData!$C$170*JX35,IF(JX35&lt;=InputData!$B$171,InputData!$D$170+InputData!$C$171*(JX35-InputData!$B$170),IF(JX35&lt;=InputData!$B$172,InputData!$D$171+InputData!$C$172*(JX35-InputData!$B$171),IF(JX35&lt;=InputData!$B$173,InputData!$D$172+InputData!$C$173*(JX35-InputData!$B$172),IF(JX35&lt;=InputData!$B$174,InputData!$D$173+InputData!$C$174*(JX35-InputData!$B$173),IF(JX35&lt;=InputData!$B$175,InputData!$D$174+InputData!$C$175*(JX35-InputData!$B$174),InputData!$D$175+InputData!$C$176*(JX35-InputData!$B$175))))))))</f>
        <v>148414.54318566035</v>
      </c>
      <c r="JZ35" s="32">
        <f>IF(JN35&lt;=InputData!$C$150,InputData!$C$152,IF(JN35&lt;InputData!$C$151,IF(InputData!$C$152-0.25*IF(JN35-InputData!$C$150&lt;=0,0,JN35-InputData!$C$150)&lt;=0,0,InputData!$C$152-0.25*IF(JN35-InputData!$C$150&lt;=0,0,JN35-InputData!$C$150)),0))</f>
        <v>0</v>
      </c>
      <c r="KA35" s="32">
        <f>IF(JN35-JZ35&lt;=0,0,IF(JN35-JZ35&lt;=InputData!$C$153,InputData!$C$154*(JN35-JZ35),InputData!$C$155*(JN35-JZ35)-InputData!$D$154))</f>
        <v>132921.59114137603</v>
      </c>
      <c r="KB35" s="32">
        <f t="shared" si="102"/>
        <v>148414.54318566035</v>
      </c>
      <c r="KC35" s="32">
        <f>IF(JN35&gt;=0,IF(JN35&lt;=InputData!$C$148,InputData!$C$147*JN35,InputData!$C$147*InputData!$C$148)+InputData!$C$149*JN35,0)</f>
        <v>14118.750255535542</v>
      </c>
      <c r="KD35" s="32">
        <f>IF(JW35&lt;0,0,IF(JW35&lt;=InputData!$B$163,InputData!$C$163*JW35,IF(JW35&lt;=InputData!$B$164,InputData!$D$163+InputData!$C$164*(JW35-InputData!$B$163),IF(JW35&lt;=InputData!$B$165,InputData!$D$164+InputData!$C$165*(JW35-InputData!$B$164),InputData!$D$165+InputData!$C$166*(JW35-InputData!$B$165)))))</f>
        <v>0</v>
      </c>
      <c r="KE35" s="43">
        <f t="shared" si="15"/>
        <v>0.33337331858071934</v>
      </c>
      <c r="KF35" s="32">
        <f t="shared" si="16"/>
        <v>325008.1034922899</v>
      </c>
      <c r="KG35" s="32">
        <f t="shared" si="103"/>
        <v>325008.1034922899</v>
      </c>
      <c r="KH35" s="32">
        <f>KG35/((1+InputData!$C$7)^(Ortho!$B35-Ortho!$B$7))</f>
        <v>142053.48662848774</v>
      </c>
      <c r="KI35" s="5">
        <f t="shared" si="122"/>
        <v>3676100.5253727501</v>
      </c>
    </row>
    <row r="36" spans="1:295" x14ac:dyDescent="0.25">
      <c r="A36" s="4">
        <v>2042</v>
      </c>
      <c r="B36" s="51">
        <v>30</v>
      </c>
      <c r="C36" s="4"/>
      <c r="D36" s="3">
        <v>30</v>
      </c>
      <c r="E36" s="97" t="s">
        <v>277</v>
      </c>
      <c r="F36" s="5">
        <f>InputData!$R$21*12</f>
        <v>126320.40000000001</v>
      </c>
      <c r="G36" s="32">
        <f>(InputData!$R$21+InputData!$K$45+InputData!$G$50)*12+InputData!$J$50+InputData!$D$61+InputData!$J$61</f>
        <v>254320.36000000002</v>
      </c>
      <c r="H36" s="32">
        <f>(InputData!$C$32+InputData!$C$40)*12</f>
        <v>21631.199999999997</v>
      </c>
      <c r="I36" s="32">
        <f t="shared" si="17"/>
        <v>275951.56</v>
      </c>
      <c r="J36" s="5">
        <f>G36*((1+InputData!$C$5)/(1+InputData!$C$3))^(Ortho!$B36-Ortho!$B$7)</f>
        <v>191115.53401279479</v>
      </c>
      <c r="K36" s="5">
        <f>H36*((1+InputData!$C$5)/(1+InputData!$C$3))^(Ortho!$B36-Ortho!$B$7)</f>
        <v>16255.318053723917</v>
      </c>
      <c r="L36" s="32">
        <f>IF(J36-InputData!$C$158-InputData!$C$159&gt;=0,J36-InputData!$C$158-InputData!$C$159,0)</f>
        <v>191115.53401279479</v>
      </c>
      <c r="M36" s="32">
        <f>IF(J36-IF(J36&lt;=InputData!$C$146,InputData!$C$145,0)-MAX(InputData!$C$144,S36)&gt;=0,J36-IF(J36&lt;=InputData!$C$146,InputData!$C$145,0)-MAX(InputData!$C$144,S36),0)</f>
        <v>185015.53401279479</v>
      </c>
      <c r="N36" s="32">
        <f>IF(M36&lt;0,"Error",IF(M36&lt;=InputData!$B$170,InputData!$C$170*M36,IF(M36&lt;=InputData!$B$171,InputData!$D$170+InputData!$C$171*(M36-InputData!$B$170),IF(M36&lt;=InputData!$B$172,InputData!$D$171+InputData!$C$172*(M36-InputData!$B$171),IF(M36&lt;=InputData!$B$173,InputData!$D$172+InputData!$C$173*(M36-InputData!$B$172),IF(M36&lt;=InputData!$B$174,InputData!$D$173+InputData!$C$174*(M36-InputData!$B$173),IF(M36&lt;=InputData!$B$175,InputData!$D$174+InputData!$C$175*(M36-InputData!$B$174),InputData!$D$175+InputData!$C$176*(M36-InputData!$B$175))))))))</f>
        <v>45185.87622422228</v>
      </c>
      <c r="O36" s="32">
        <f>IF(J36&lt;=InputData!$C$150,InputData!$C$152,IF(J36&lt;InputData!$C$151,IF(InputData!$C$152-0.25*IF(J36-InputData!$C$150&lt;=0,0,J36-InputData!$C$150)&lt;=0,0,InputData!$C$152-0.25*IF(J36-InputData!$C$150&lt;=0,0,J36-InputData!$C$150)),0))</f>
        <v>32971.116496801304</v>
      </c>
      <c r="P36" s="32">
        <f>IF(J36-O36&lt;=0,0,IF(J36-O36&lt;=InputData!$C$153,InputData!$C$154*(J36-O36),InputData!$C$155*(J36-O36)-InputData!$D$154))</f>
        <v>41117.548554158304</v>
      </c>
      <c r="Q36" s="32">
        <f t="shared" si="18"/>
        <v>45185.87622422228</v>
      </c>
      <c r="R36" s="32">
        <f>IF(J36&gt;=0,IF(J36&lt;=InputData!$C$148,InputData!$C$147*J36,InputData!$C$147*InputData!$C$148)+InputData!$C$149*J36,0)</f>
        <v>9820.5752431855235</v>
      </c>
      <c r="S36" s="32">
        <f>IF(L36&lt;0,0,IF(L36&lt;=InputData!$B$163,InputData!$C$163*L36,IF(L36&lt;=InputData!$B$164,InputData!$D$163+InputData!$C$164*(L36-InputData!$B$163),IF(L36&lt;=InputData!$B$165,InputData!$D$164+InputData!$C$165*(L36-InputData!$B$164),InputData!$D$165+InputData!$C$166*(L36-InputData!$B$165)))))</f>
        <v>0</v>
      </c>
      <c r="T36" s="43">
        <f t="shared" si="19"/>
        <v>0.28781779435953769</v>
      </c>
      <c r="U36" s="43">
        <f t="shared" si="20"/>
        <v>0.26525642788873377</v>
      </c>
      <c r="V36" s="5">
        <f t="shared" si="21"/>
        <v>152364.4005991109</v>
      </c>
      <c r="W36" s="32">
        <f>V36/((1+InputData!$C$7)^(Ortho!$B36-Ortho!$B$7))</f>
        <v>64655.279138463542</v>
      </c>
      <c r="X36" s="5">
        <f t="shared" si="104"/>
        <v>1978019.1852871627</v>
      </c>
      <c r="Y36" s="53"/>
      <c r="Z36" s="3">
        <v>26.5</v>
      </c>
      <c r="AA36" s="98" t="s">
        <v>272</v>
      </c>
      <c r="AB36" s="32">
        <f>(0.5*InputData!$P$21+0.5*InputData!$Q$21)*12</f>
        <v>123366.59999999999</v>
      </c>
      <c r="AC36" s="32">
        <f>(0.5*(InputData!$P$21+InputData!$K$45)+0.5*(InputData!$Q$21+InputData!$K$45)+InputData!$G$50)*12+InputData!$J$50+InputData!$D$61+InputData!$J$61</f>
        <v>251366.56</v>
      </c>
      <c r="AD36" s="32">
        <f t="shared" si="174"/>
        <v>21631.199999999997</v>
      </c>
      <c r="AE36" s="32">
        <f t="shared" si="22"/>
        <v>272997.76000000001</v>
      </c>
      <c r="AF36" s="5">
        <f>AC36*((1+InputData!$C$5)/(1+InputData!$C$3))^(Ortho!$B36-Ortho!$B$7)</f>
        <v>188895.82551455658</v>
      </c>
      <c r="AG36" s="5">
        <f>AD36*((1+InputData!$C$5)/(1+InputData!$C$3))^(Ortho!$B36-Ortho!$B$7)</f>
        <v>16255.318053723917</v>
      </c>
      <c r="AH36" s="32">
        <f>IF(AF36-InputData!$C$158-InputData!$C$159&gt;=0,AF36-InputData!$C$158-InputData!$C$159,0)</f>
        <v>188895.82551455658</v>
      </c>
      <c r="AI36" s="32">
        <f>IF(AF36-IF(AF36&lt;=InputData!$C$146,InputData!$C$145,0)-MAX(InputData!$C$144,AO36)&gt;=0,AF36-IF(AF36&lt;=InputData!$C$146,InputData!$C$145,0)-MAX(InputData!$C$144,AO36),0)</f>
        <v>182795.82551455658</v>
      </c>
      <c r="AJ36" s="32">
        <f>IF(AI36&lt;0,"Error",IF(AI36&lt;=InputData!$B$170,InputData!$C$170*AI36,IF(AI36&lt;=InputData!$B$171,InputData!$D$170+InputData!$C$171*(AI36-InputData!$B$170),IF(AI36&lt;=InputData!$B$172,InputData!$D$171+InputData!$C$172*(AI36-InputData!$B$171),IF(AI36&lt;=InputData!$B$173,InputData!$D$172+InputData!$C$173*(AI36-InputData!$B$172),IF(AI36&lt;=InputData!$B$174,InputData!$D$173+InputData!$C$174*(AI36-InputData!$B$173),IF(AI36&lt;=InputData!$B$175,InputData!$D$174+InputData!$C$175*(AI36-InputData!$B$174),InputData!$D$175+InputData!$C$176*(AI36-InputData!$B$175))))))))</f>
        <v>44476.081144075841</v>
      </c>
      <c r="AK36" s="32">
        <f>IF(AF36&lt;=InputData!$C$150,InputData!$C$152,IF(AF36&lt;InputData!$C$151,IF(InputData!$C$152-0.25*IF(AF36-InputData!$C$150&lt;=0,0,AF36-InputData!$C$150)&lt;=0,0,InputData!$C$152-0.25*IF(AF36-InputData!$C$150&lt;=0,0,AF36-InputData!$C$150)),0))</f>
        <v>33526.043621360855</v>
      </c>
      <c r="AL36" s="32">
        <f>IF(AF36-AK36&lt;=0,0,IF(AF36-AK36&lt;=InputData!$C$153,InputData!$C$154*(AF36-AK36),InputData!$C$155*(AF36-AK36)-InputData!$D$154))</f>
        <v>40396.143292230889</v>
      </c>
      <c r="AM36" s="32">
        <f t="shared" si="23"/>
        <v>44476.081144075841</v>
      </c>
      <c r="AN36" s="32">
        <f>IF(AF36&gt;=0,IF(AF36&lt;=InputData!$C$148,InputData!$C$147*AF36,InputData!$C$147*InputData!$C$148)+InputData!$C$149*AF36,0)</f>
        <v>9788.3894699610701</v>
      </c>
      <c r="AO36" s="32">
        <f>IF(AH36&lt;0,0,IF(AH36&lt;=InputData!$B$163,InputData!$C$163*AH36,IF(AH36&lt;=InputData!$B$164,InputData!$D$163+InputData!$C$164*(AH36-InputData!$B$163),IF(AH36&lt;=InputData!$B$165,InputData!$D$164+InputData!$C$165*(AH36-InputData!$B$164),InputData!$D$165+InputData!$C$166*(AH36-InputData!$B$165)))))</f>
        <v>0</v>
      </c>
      <c r="AP36" s="43">
        <f t="shared" si="24"/>
        <v>0.28727194190882327</v>
      </c>
      <c r="AQ36" s="43">
        <f t="shared" si="25"/>
        <v>0.26450971547217356</v>
      </c>
      <c r="AR36" s="5">
        <f t="shared" si="26"/>
        <v>150886.67295424358</v>
      </c>
      <c r="AS36" s="32">
        <f>AR36/((1+InputData!$C$7)^(Ortho!$B36-Ortho!$B$7))</f>
        <v>64028.210787891905</v>
      </c>
      <c r="AT36" s="5">
        <f t="shared" si="105"/>
        <v>1995386.6720244554</v>
      </c>
      <c r="AU36" s="53"/>
      <c r="AV36" s="41" t="s">
        <v>109</v>
      </c>
      <c r="AW36" s="32">
        <f>$AW$17*(1+InputData!$C$3+InputData!$C$4)^(Ortho!$B36-Ortho!$B$17)</f>
        <v>874286.01478024095</v>
      </c>
      <c r="AX36" s="32">
        <v>0</v>
      </c>
      <c r="AY36" s="32">
        <f t="shared" si="28"/>
        <v>874286.01478024095</v>
      </c>
      <c r="AZ36" s="32">
        <f>AZ35*(1+InputData!$C$8)</f>
        <v>20404.455491517201</v>
      </c>
      <c r="BA36" s="32">
        <f>AW36/((1+InputData!$C$3)^(Ortho!$B36-Ortho!$B$7))</f>
        <v>492321.21455048077</v>
      </c>
      <c r="BB36" s="32">
        <f>AX36/((1+InputData!$C$3)^(Ortho!$B36-Ortho!$B$7))</f>
        <v>0</v>
      </c>
      <c r="BC36" s="32" t="s">
        <v>141</v>
      </c>
      <c r="BD36" s="32">
        <v>0</v>
      </c>
      <c r="BE36" s="32">
        <f t="shared" si="152"/>
        <v>0</v>
      </c>
      <c r="BF36" s="32">
        <f>(BE36)*InputData!$C$6</f>
        <v>0</v>
      </c>
      <c r="BG36" s="32">
        <f>MIN($BE$16*InputData!$C$6/(1-(1+InputData!$C$6)^(-10)), BE36+BF36)</f>
        <v>0</v>
      </c>
      <c r="BH36" s="32">
        <f t="shared" si="137"/>
        <v>0</v>
      </c>
      <c r="BI36" s="32">
        <f>BG36/((1+InputData!$C$3)^(Ortho!$B36-Ortho!$B$7))</f>
        <v>0</v>
      </c>
      <c r="BJ36" s="32">
        <f>IF(BA36-InputData!$C$158-InputData!$C$159&gt;=0,BA36-InputData!$C$158-InputData!$C$159,0)</f>
        <v>492321.21455048077</v>
      </c>
      <c r="BK36" s="32">
        <f>IF(BA36-IF(BA36&lt;=InputData!$C$146,InputData!$C$145,0)-MAX(InputData!$C$144,BQ36)&gt;=0,BA36-IF(BA36&lt;=InputData!$C$146,InputData!$C$145,0)-MAX(InputData!$C$144,BQ36),0)</f>
        <v>486221.21455048077</v>
      </c>
      <c r="BL36" s="32">
        <f>IF(BK36&lt;0,"Error",IF(BK36&lt;=InputData!$B$170,InputData!$C$170*BK36,IF(BK36&lt;=InputData!$B$171,InputData!$D$170+InputData!$C$171*(BK36-InputData!$B$170),IF(BK36&lt;=InputData!$B$172,InputData!$D$171+InputData!$C$172*(BK36-InputData!$B$171),IF(BK36&lt;=InputData!$B$173,InputData!$D$172+InputData!$C$173*(BK36-InputData!$B$172),IF(BK36&lt;=InputData!$B$174,InputData!$D$173+InputData!$C$174*(BK36-InputData!$B$173),IF(BK36&lt;=InputData!$B$175,InputData!$D$174+InputData!$C$175*(BK36-InputData!$B$174),InputData!$D$175+InputData!$C$176*(BK36-InputData!$B$175))))))))</f>
        <v>150307.35096199039</v>
      </c>
      <c r="BM36" s="32">
        <f>IF(BA36&lt;=InputData!$C$150,InputData!$C$152,IF(BA36&lt;InputData!$C$151,IF(InputData!$C$152-0.25*IF(BA36-InputData!$C$150&lt;=0,0,BA36-InputData!$C$150)&lt;=0,0,InputData!$C$152-0.25*IF(BA36-InputData!$C$150&lt;=0,0,BA36-InputData!$C$150)),0))</f>
        <v>0</v>
      </c>
      <c r="BN36" s="32">
        <f>IF(BA36-BM36&lt;=0,0,IF(BA36-BM36&lt;=InputData!$C$153,InputData!$C$154*(BA36-BM36),InputData!$C$155*(BA36-BM36)-InputData!$D$154))</f>
        <v>134259.94007413462</v>
      </c>
      <c r="BO36" s="32">
        <f t="shared" si="29"/>
        <v>150307.35096199039</v>
      </c>
      <c r="BP36" s="32">
        <f>IF(BA36&gt;=0,IF(BA36&lt;=InputData!$C$148,InputData!$C$147*BA36,InputData!$C$147*InputData!$C$148)+InputData!$C$149*BA36,0)</f>
        <v>14188.05761098197</v>
      </c>
      <c r="BQ36" s="32">
        <f>IF(BJ36&lt;0,0,IF(BJ36&lt;=InputData!$B$163,InputData!$C$163*BJ36,IF(BJ36&lt;=InputData!$B$164,InputData!$D$163+InputData!$C$164*(BJ36-InputData!$B$163),IF(BJ36&lt;=InputData!$B$165,InputData!$D$164+InputData!$C$165*(BJ36-InputData!$B$164),InputData!$D$165+InputData!$C$166*(BJ36-InputData!$B$165)))))</f>
        <v>0</v>
      </c>
      <c r="BR36" s="43">
        <f t="shared" si="30"/>
        <v>0.33412212131294544</v>
      </c>
      <c r="BS36" s="32">
        <f t="shared" si="31"/>
        <v>327825.80597750843</v>
      </c>
      <c r="BT36" s="32">
        <f t="shared" si="32"/>
        <v>327825.80597750843</v>
      </c>
      <c r="BU36" s="32">
        <f>BT36/((1+InputData!$C$7)^(Ortho!$B36-Ortho!$B$7))</f>
        <v>139111.68823507504</v>
      </c>
      <c r="BV36" s="5">
        <f t="shared" si="107"/>
        <v>3430885.8210610845</v>
      </c>
      <c r="BW36" s="5"/>
      <c r="BX36" s="32" t="s">
        <v>141</v>
      </c>
      <c r="BY36" s="5">
        <f t="shared" si="153"/>
        <v>90830.709806607454</v>
      </c>
      <c r="BZ36" s="32">
        <f>(BY36)*InputData!$C$6</f>
        <v>5640.5870789903229</v>
      </c>
      <c r="CA36" s="32">
        <f>MIN($BY$16*InputData!$C$6/(1-(1+InputData!$C$6)^(-25)), BY36+BZ36)</f>
        <v>21686.214673809533</v>
      </c>
      <c r="CB36" s="32">
        <f t="shared" si="154"/>
        <v>74785.082211788249</v>
      </c>
      <c r="CC36" s="32">
        <f>CA36/((1+InputData!$C$3)^(Ortho!$B36-Ortho!$B$7))</f>
        <v>12211.774369850827</v>
      </c>
      <c r="CD36" s="5">
        <f t="shared" si="36"/>
        <v>315614.03160765761</v>
      </c>
      <c r="CE36" s="32">
        <f>CD36/((1+InputData!$C$7)^(Ortho!$B36-Ortho!$B$7))</f>
        <v>133929.66620398356</v>
      </c>
      <c r="CF36" s="5">
        <f t="shared" si="108"/>
        <v>3437998.3100665477</v>
      </c>
      <c r="CG36" s="5"/>
      <c r="CH36" s="32" t="s">
        <v>141</v>
      </c>
      <c r="CI36" s="5" t="e">
        <f t="shared" si="155"/>
        <v>#VALUE!</v>
      </c>
      <c r="CJ36" s="32" t="e">
        <f>(CI36)*InputData!$C$6</f>
        <v>#VALUE!</v>
      </c>
      <c r="CK36" s="5" t="str">
        <f t="shared" si="168"/>
        <v>DNQ</v>
      </c>
      <c r="CL36" s="32" t="e">
        <f t="shared" si="156"/>
        <v>#VALUE!</v>
      </c>
      <c r="CM36" s="32" t="e">
        <f>CK36/((1+InputData!$C$3)^(Ortho!$B36-Ortho!$B$7))</f>
        <v>#VALUE!</v>
      </c>
      <c r="CN36" s="5" t="e">
        <f t="shared" si="40"/>
        <v>#VALUE!</v>
      </c>
      <c r="CO36" s="32" t="e">
        <f>CN36/((1+InputData!$C$7)^(Ortho!$B36-Ortho!$B$7))</f>
        <v>#VALUE!</v>
      </c>
      <c r="CP36" s="5" t="e">
        <f t="shared" si="109"/>
        <v>#VALUE!</v>
      </c>
      <c r="CQ36" s="5"/>
      <c r="CR36" s="32" t="s">
        <v>141</v>
      </c>
      <c r="CS36" s="5" t="e">
        <f t="shared" si="157"/>
        <v>#VALUE!</v>
      </c>
      <c r="CT36" s="32" t="e">
        <f>(CS36)*InputData!$C$6</f>
        <v>#VALUE!</v>
      </c>
      <c r="CU36" s="32" t="str">
        <f t="shared" si="169"/>
        <v>DNQ</v>
      </c>
      <c r="CV36" s="32" t="e">
        <f t="shared" si="158"/>
        <v>#VALUE!</v>
      </c>
      <c r="CW36" s="32" t="e">
        <f>CU36/((1+InputData!$C$3)^(Ortho!$B36-Ortho!$B$7))</f>
        <v>#VALUE!</v>
      </c>
      <c r="CX36" s="5" t="e">
        <f t="shared" si="44"/>
        <v>#VALUE!</v>
      </c>
      <c r="CY36" s="32" t="e">
        <f>CX36/((1+InputData!$C$7)^(Ortho!$B36-Ortho!$B$7))</f>
        <v>#VALUE!</v>
      </c>
      <c r="CZ36" s="5" t="e">
        <f t="shared" si="110"/>
        <v>#VALUE!</v>
      </c>
      <c r="DA36" s="5"/>
      <c r="DB36" s="32" t="s">
        <v>141</v>
      </c>
      <c r="DC36" s="5">
        <f t="shared" si="138"/>
        <v>0</v>
      </c>
      <c r="DD36" s="5">
        <f>DC36*InputData!$C$6</f>
        <v>0</v>
      </c>
      <c r="DE36" s="32">
        <f t="shared" si="139"/>
        <v>0</v>
      </c>
      <c r="DF36" s="32">
        <f t="shared" si="140"/>
        <v>0</v>
      </c>
      <c r="DG36" s="32">
        <f>DE36/((1+InputData!$C$3)^(Ortho!$B36-Ortho!$B$7))</f>
        <v>0</v>
      </c>
      <c r="DH36" s="5">
        <f t="shared" si="48"/>
        <v>327825.80597750843</v>
      </c>
      <c r="DI36" s="32">
        <f>DH36/((1+InputData!$C$7)^(Ortho!$B36-Ortho!$B$7))</f>
        <v>139111.68823507504</v>
      </c>
      <c r="DJ36" s="5">
        <f t="shared" si="111"/>
        <v>3435473.437163501</v>
      </c>
      <c r="DK36" s="5"/>
      <c r="DL36" s="32" t="s">
        <v>141</v>
      </c>
      <c r="DM36" s="32">
        <f t="shared" si="159"/>
        <v>0</v>
      </c>
      <c r="DN36" s="5">
        <f>DM36*InputData!$C$6</f>
        <v>0</v>
      </c>
      <c r="DO36" s="32">
        <f t="shared" si="160"/>
        <v>0</v>
      </c>
      <c r="DP36" s="32">
        <f t="shared" si="123"/>
        <v>0</v>
      </c>
      <c r="DQ36" s="32">
        <f t="shared" si="124"/>
        <v>0</v>
      </c>
      <c r="DR36" s="32">
        <f>DP36/((1+InputData!$C$3)^(Ortho!$B36-Ortho!$B$7))</f>
        <v>0</v>
      </c>
      <c r="DS36" s="5">
        <f t="shared" si="52"/>
        <v>327825.80597750843</v>
      </c>
      <c r="DT36" s="32">
        <f>DS36/((1+InputData!$C$7)^(Ortho!$B36-Ortho!$B$7))</f>
        <v>139111.68823507504</v>
      </c>
      <c r="DU36" s="5">
        <f t="shared" si="113"/>
        <v>3428565.1955173467</v>
      </c>
      <c r="DV36" s="5"/>
      <c r="DW36" s="32" t="s">
        <v>141</v>
      </c>
      <c r="DX36" s="133">
        <f t="shared" si="141"/>
        <v>0</v>
      </c>
      <c r="DY36" s="5">
        <f>DX36*InputData!$C$6</f>
        <v>0</v>
      </c>
      <c r="DZ36" s="133">
        <f t="shared" si="142"/>
        <v>0</v>
      </c>
      <c r="EA36" s="32">
        <f t="shared" si="143"/>
        <v>0</v>
      </c>
      <c r="EB36" s="32">
        <f t="shared" si="144"/>
        <v>0</v>
      </c>
      <c r="EC36" s="32">
        <f>EA36/((1+InputData!$C$3)^(Ortho!$B36-Ortho!$B$7))</f>
        <v>0</v>
      </c>
      <c r="ED36" s="5">
        <f t="shared" si="56"/>
        <v>327825.80597750843</v>
      </c>
      <c r="EE36" s="32">
        <f>ED36/((1+InputData!$C$7)^(Ortho!$B36-Ortho!$B$7))</f>
        <v>139111.68823507504</v>
      </c>
      <c r="EF36" s="5">
        <f t="shared" si="115"/>
        <v>3429084.4664625525</v>
      </c>
      <c r="EG36" s="32"/>
      <c r="EH36" s="130" t="s">
        <v>141</v>
      </c>
      <c r="EI36" s="32">
        <v>0</v>
      </c>
      <c r="EJ36" s="32">
        <f t="shared" si="173"/>
        <v>0</v>
      </c>
      <c r="EK36" s="32">
        <f>(EJ36)*InputData!$C$6</f>
        <v>0</v>
      </c>
      <c r="EL36" s="32">
        <f t="shared" si="172"/>
        <v>-3.637978807091713E-11</v>
      </c>
      <c r="EM36" s="32">
        <f>EM35*(1+InputData!$C$8)</f>
        <v>20404.455491517201</v>
      </c>
      <c r="EN36" s="32">
        <f t="shared" si="170"/>
        <v>0</v>
      </c>
      <c r="EO36" s="32">
        <f>AW36/((1+InputData!$C$3)^(Ortho!$B36-Ortho!$B$7))</f>
        <v>492321.21455048077</v>
      </c>
      <c r="EP36" s="32">
        <f>AX36/((1+InputData!$C$3)^(Ortho!$B36-Ortho!$B$7))</f>
        <v>0</v>
      </c>
      <c r="EQ36" s="32">
        <v>106431</v>
      </c>
      <c r="ER36" s="32">
        <v>11222.92</v>
      </c>
      <c r="ES36" s="32">
        <v>0</v>
      </c>
      <c r="ET36" s="43">
        <f t="shared" si="129"/>
        <v>0.23897796097904331</v>
      </c>
      <c r="EU36" s="32">
        <f t="shared" si="57"/>
        <v>374667.29455048079</v>
      </c>
      <c r="EV36" s="32">
        <f>EN36/((1+InputData!$C$3)^(Ortho!$B36-Ortho!$B$7))</f>
        <v>0</v>
      </c>
      <c r="EW36" s="32">
        <f t="shared" si="58"/>
        <v>374667.29455048079</v>
      </c>
      <c r="EX36" s="32">
        <f>EW36/((1+InputData!$C$7)^(Ortho!$B36-Ortho!$B$7))</f>
        <v>158988.70351579771</v>
      </c>
      <c r="EY36" s="5">
        <f t="shared" si="117"/>
        <v>3978685.8977301857</v>
      </c>
      <c r="EZ36" s="79"/>
      <c r="FA36" s="32">
        <f t="shared" si="161"/>
        <v>0</v>
      </c>
      <c r="FB36" s="32">
        <f>FA36*InputData!$C$6</f>
        <v>0</v>
      </c>
      <c r="FC36" s="32">
        <f t="shared" si="162"/>
        <v>0</v>
      </c>
      <c r="FD36" s="32">
        <f>MIN($EJ$16*InputData!$C$6/(1-(1+InputData!$C$6)^(-10)), FA36+FB36)</f>
        <v>0</v>
      </c>
      <c r="FE36" s="32">
        <f>FD36/((1+InputData!$C$3)^(Ortho!$B36-Ortho!$B$7))</f>
        <v>0</v>
      </c>
      <c r="FF36" s="5">
        <f t="shared" si="62"/>
        <v>374667.29455048079</v>
      </c>
      <c r="FG36" s="32">
        <f>FF36/((1+InputData!$C$7)^(Ortho!$B36-Ortho!$B$7))</f>
        <v>158988.70351579771</v>
      </c>
      <c r="FH36" s="5">
        <f t="shared" si="118"/>
        <v>3978685.8977301857</v>
      </c>
      <c r="FI36" s="79"/>
      <c r="FJ36" s="32">
        <f t="shared" si="163"/>
        <v>90762.240522932669</v>
      </c>
      <c r="FK36" s="32">
        <f>FJ36*InputData!$C$6</f>
        <v>5636.3351364741193</v>
      </c>
      <c r="FL36" s="32">
        <f t="shared" si="164"/>
        <v>74728.708315564072</v>
      </c>
      <c r="FM36" s="32">
        <f>MIN($EJ$16*InputData!$C$6/(1-(1+InputData!$C$6)^(-25)), FJ36+FK36)</f>
        <v>21669.867343842721</v>
      </c>
      <c r="FN36" s="32">
        <f>FM36/((1+InputData!$C$3)^(Ortho!$B36-Ortho!$B$7))</f>
        <v>12202.568987163857</v>
      </c>
      <c r="FO36" s="5">
        <f t="shared" si="66"/>
        <v>362464.72556331696</v>
      </c>
      <c r="FP36" s="32">
        <f>FO36/((1+InputData!$C$7)^(Ortho!$B36-Ortho!$B$7))</f>
        <v>153810.58775536306</v>
      </c>
      <c r="FQ36" s="5">
        <f t="shared" si="119"/>
        <v>3985793.025255722</v>
      </c>
      <c r="FR36" s="79"/>
      <c r="FS36" s="32">
        <f t="shared" si="165"/>
        <v>0</v>
      </c>
      <c r="FT36" s="32">
        <f>FS36*InputData!$C$6</f>
        <v>0</v>
      </c>
      <c r="FU36" s="32">
        <f t="shared" si="166"/>
        <v>0</v>
      </c>
      <c r="FV36" s="5">
        <f t="shared" si="171"/>
        <v>0</v>
      </c>
      <c r="FW36" s="32">
        <f>FV36/((1+InputData!$C$3)^(Ortho!$B36-Ortho!$B$7))</f>
        <v>0</v>
      </c>
      <c r="FX36" s="5">
        <f t="shared" si="70"/>
        <v>374667.29455048079</v>
      </c>
      <c r="FY36" s="32">
        <f>FX36/((1+InputData!$C$7)^(Ortho!$B36-Ortho!$B$7))</f>
        <v>158988.70351579771</v>
      </c>
      <c r="FZ36" s="5">
        <f t="shared" si="120"/>
        <v>3978685.8977301857</v>
      </c>
      <c r="GC36" s="83">
        <v>20</v>
      </c>
      <c r="GD36" s="4" t="s">
        <v>217</v>
      </c>
      <c r="GE36" s="5"/>
      <c r="GF36" s="84">
        <v>0</v>
      </c>
      <c r="GG36" s="5"/>
      <c r="GH36" s="84">
        <f>MIN(InputData!$C$13+InputData!$E$13*($B36-$B$31),1)*$AW36/((1+InputData!$C$3)^(Ortho!$B36-Ortho!$B$7))+0.025*$GC$30*(($F$28+$F$29+$F$30)/3)*((1+InputData!$C$5)/(1+InputData!$C$3))^(Ortho!$B36-Ortho!$B$7)</f>
        <v>482276.89011094661</v>
      </c>
      <c r="GI36" s="5">
        <v>0</v>
      </c>
      <c r="GJ36" s="32">
        <f>IF(GH36-InputData!$C$158-InputData!$C$159&gt;=0,GH36-InputData!$C$158-InputData!$C$159,0)</f>
        <v>482276.89011094661</v>
      </c>
      <c r="GK36" s="32">
        <f>IF(GH36-IF(GH36&lt;=InputData!$C$146,InputData!$C$145,0)-MAX(InputData!$C$144,GQ36)&gt;=0,GH36-IF(GH36&lt;=InputData!$C$146,InputData!$C$145,0)-MAX(InputData!$C$144,GQ36),0)</f>
        <v>476176.89011094661</v>
      </c>
      <c r="GL36" s="32">
        <f>IF(GK36&lt;0,"Error",IF(GK36&lt;=InputData!$B$170,InputData!$C$170*GK36,IF(GK36&lt;=InputData!$B$171,InputData!$D$170+InputData!$C$171*(GK36-InputData!$B$170),IF(GK36&lt;=InputData!$B$172,InputData!$D$171+InputData!$C$172*(GK36-InputData!$B$171),IF(GK36&lt;=InputData!$B$173,InputData!$D$172+InputData!$C$173*(GK36-InputData!$B$172),IF(GK36&lt;=InputData!$B$174,InputData!$D$173+InputData!$C$174*(GK36-InputData!$B$173),IF(GK36&lt;=InputData!$B$175,InputData!$D$174+InputData!$C$175*(GK36-InputData!$B$174),InputData!$D$175+InputData!$C$176*(GK36-InputData!$B$175))))))))</f>
        <v>146329.79848393486</v>
      </c>
      <c r="GM36" s="32">
        <f>IF(GH36&lt;=InputData!$C$150,InputData!$C$152,IF(GH36&lt;InputData!$C$151,IF(InputData!$C$152-0.25*IF(GH36-InputData!$C$150&lt;=0,0,GH36-InputData!$C$150)&lt;=0,0,InputData!$C$152-0.25*IF(GH36-InputData!$C$150&lt;=0,0,GH36-InputData!$C$150)),0))</f>
        <v>0</v>
      </c>
      <c r="GN36" s="32">
        <f>IF(GH36-GM36&lt;=0,0,IF(GH36-GM36&lt;=InputData!$C$153,InputData!$C$154*(GH36-GM36),InputData!$C$155*(GH36-GM36)-InputData!$D$154))</f>
        <v>131447.52923106507</v>
      </c>
      <c r="GO36" s="32">
        <f t="shared" si="71"/>
        <v>146329.79848393486</v>
      </c>
      <c r="GP36" s="32">
        <f>IF(GH36&gt;=0,IF(GH36&lt;=InputData!$C$148,InputData!$C$147*GH36,InputData!$C$147*InputData!$C$148)+InputData!$C$149*GH36,0)</f>
        <v>14042.414906608727</v>
      </c>
      <c r="GQ36" s="32">
        <f>IF(GJ36&lt;0,0,IF(GJ36&lt;=InputData!$B$163,InputData!$C$163*GJ36,IF(GJ36&lt;=InputData!$B$164,InputData!$D$163+InputData!$C$164*(GJ36-InputData!$B$163),IF(GJ36&lt;=InputData!$B$165,InputData!$D$164+InputData!$C$165*(GJ36-InputData!$B$164),InputData!$D$165+InputData!$C$166*(GJ36-InputData!$B$165)))))</f>
        <v>0</v>
      </c>
      <c r="GR36" s="43">
        <f t="shared" si="72"/>
        <v>0.33253140815777088</v>
      </c>
      <c r="GS36" s="43">
        <f t="shared" si="73"/>
        <v>0.33253140815777088</v>
      </c>
      <c r="GT36" s="5">
        <f t="shared" si="74"/>
        <v>321904.67672040302</v>
      </c>
      <c r="GU36" s="32">
        <f>GT36/((1+InputData!$C$7)^(Ortho!$B36-Ortho!$B$7))</f>
        <v>136599.07857410607</v>
      </c>
      <c r="GV36" s="84">
        <f t="shared" ref="GV36" si="176">GV35+GU36</f>
        <v>2420128.0464000385</v>
      </c>
      <c r="GX36" s="83">
        <v>21</v>
      </c>
      <c r="GY36" s="4" t="s">
        <v>217</v>
      </c>
      <c r="GZ36" s="5"/>
      <c r="HA36" s="84">
        <v>0</v>
      </c>
      <c r="HB36" s="5"/>
      <c r="HC36" s="84">
        <f>MIN(InputData!$C$13+InputData!$E$13*($B36-$B$32),1)*$AW36/((1+InputData!$C$3)^(Ortho!$B36-Ortho!$B$7))+0.025*$GX$31*(($AB$29+$AB$30+$AB$31)/3)*((1+InputData!$C$5)/(1+InputData!$C$3))^(Ortho!$B36-Ortho!$B$7)</f>
        <v>486815.99785472348</v>
      </c>
      <c r="HD36" s="5">
        <v>0</v>
      </c>
      <c r="HE36" s="32">
        <f>IF(HC36-InputData!$C$158-InputData!$C$159&gt;=0,HC36-InputData!$C$158-InputData!$C$159,0)</f>
        <v>486815.99785472348</v>
      </c>
      <c r="HF36" s="32">
        <f>IF(HC36-IF(HC36&lt;=InputData!$C$146,InputData!$C$145,0)-MAX(InputData!$C$144,HL36)&gt;=0,HC36-IF(HC36&lt;=InputData!$C$146,InputData!$C$145,0)-MAX(InputData!$C$144,HL36),0)</f>
        <v>480715.99785472348</v>
      </c>
      <c r="HG36" s="32">
        <f>IF(HF36&lt;0,"Error",IF(HF36&lt;=InputData!$B$170,InputData!$C$170*HF36,IF(HF36&lt;=InputData!$B$171,InputData!$D$170+InputData!$C$171*(HF36-InputData!$B$170),IF(HF36&lt;=InputData!$B$172,InputData!$D$171+InputData!$C$172*(HF36-InputData!$B$171),IF(HF36&lt;=InputData!$B$173,InputData!$D$172+InputData!$C$173*(HF36-InputData!$B$172),IF(HF36&lt;=InputData!$B$174,InputData!$D$173+InputData!$C$174*(HF36-InputData!$B$173),IF(HF36&lt;=InputData!$B$175,InputData!$D$174+InputData!$C$175*(HF36-InputData!$B$174),InputData!$D$175+InputData!$C$176*(HF36-InputData!$B$175))))))))</f>
        <v>148127.2851504705</v>
      </c>
      <c r="HH36" s="32">
        <f>IF(HC36&lt;=InputData!$C$150,InputData!$C$152,IF(HC36&lt;InputData!$C$151,IF(InputData!$C$152-0.25*IF(HC36-InputData!$C$150&lt;=0,0,HC36-InputData!$C$150)&lt;=0,0,InputData!$C$152-0.25*IF(HC36-InputData!$C$150&lt;=0,0,HC36-InputData!$C$150)),0))</f>
        <v>0</v>
      </c>
      <c r="HI36" s="32">
        <f>IF(HC36-HH36&lt;=0,0,IF(HC36-HH36&lt;=InputData!$C$153,InputData!$C$154*(HC36-HH36),InputData!$C$155*(HC36-HH36)-InputData!$D$154))</f>
        <v>132718.47939932259</v>
      </c>
      <c r="HJ36" s="32">
        <f t="shared" si="76"/>
        <v>148127.2851504705</v>
      </c>
      <c r="HK36" s="32">
        <f>IF(HC36&gt;=0,IF(HC36&lt;=InputData!$C$148,InputData!$C$147*HC36,InputData!$C$147*InputData!$C$148)+InputData!$C$149*HC36,0)</f>
        <v>14108.231968893491</v>
      </c>
      <c r="HL36" s="32">
        <f>IF(HE36&lt;0,0,IF(HE36&lt;=InputData!$B$163,InputData!$C$163*HE36,IF(HE36&lt;=InputData!$B$164,InputData!$D$163+InputData!$C$164*(HE36-InputData!$B$163),IF(HE36&lt;=InputData!$B$165,InputData!$D$164+InputData!$C$165*(HE36-InputData!$B$164),InputData!$D$165+InputData!$C$166*(HE36-InputData!$B$165)))))</f>
        <v>0</v>
      </c>
      <c r="HM36" s="43">
        <f t="shared" si="77"/>
        <v>0.33325839297454357</v>
      </c>
      <c r="HN36" s="43">
        <f t="shared" si="78"/>
        <v>0.33325839297454357</v>
      </c>
      <c r="HO36" s="5">
        <f t="shared" si="79"/>
        <v>324580.48073535948</v>
      </c>
      <c r="HP36" s="32">
        <f>HO36/((1+InputData!$C$7)^(Ortho!$B36-Ortho!$B$7))</f>
        <v>137734.54627408428</v>
      </c>
      <c r="HQ36" s="84">
        <f t="shared" ref="HQ36" si="177">HQ35+HP36</f>
        <v>2366112.2968700458</v>
      </c>
      <c r="HS36" s="227"/>
      <c r="HT36" s="53" t="s">
        <v>109</v>
      </c>
      <c r="HU36" s="32">
        <f>MIN(InputData!$C$13+InputData!$E$13*($B36-$B$23),1)*Ortho!AW36</f>
        <v>786857.41330221691</v>
      </c>
      <c r="HV36" s="32">
        <f>MIN(InputData!$C$13+InputData!$E$13*($B36-$B$23),1)*Ortho!AX36</f>
        <v>0</v>
      </c>
      <c r="HW36" s="32">
        <f>MIN(InputData!$C$13+InputData!$E$13*($B36-$B$23),1)*Ortho!AY36</f>
        <v>786857.41330221691</v>
      </c>
      <c r="HX36" s="32">
        <f>MIN(InputData!$C$13+InputData!$E$13*($B36-$B$23),1)*Ortho!EO36</f>
        <v>443089.09309543268</v>
      </c>
      <c r="HY36" s="32">
        <f>MIN(InputData!$C$13+InputData!$E$13*($B36-$B$23),1)*Ortho!EP36</f>
        <v>0</v>
      </c>
      <c r="HZ36" s="32">
        <f>IF(HX36-InputData!$C$158-InputData!$C$159&gt;=0,HX36-InputData!$C$158-InputData!$C$159,0)</f>
        <v>443089.09309543268</v>
      </c>
      <c r="IA36" s="32">
        <f>IF(HX36-IF(HX36&lt;=InputData!$C$146,InputData!$C$145,0)-MAX(InputData!$C$144,IG36)&gt;=0,HX36-IF(HX36&lt;=InputData!$C$146,InputData!$C$145,0)-MAX(InputData!$C$144,IG36),0)</f>
        <v>436989.09309543268</v>
      </c>
      <c r="IB36" s="32">
        <f>IF(IA36&lt;0,"Error",IF(IA36&lt;=InputData!$B$170,InputData!$C$170*IA36,IF(IA36&lt;=InputData!$B$171,InputData!$D$170+InputData!$C$171*(IA36-InputData!$B$170),IF(IA36&lt;=InputData!$B$172,InputData!$D$171+InputData!$C$172*(IA36-InputData!$B$171),IF(IA36&lt;=InputData!$B$173,InputData!$D$172+InputData!$C$173*(IA36-InputData!$B$172),IF(IA36&lt;=InputData!$B$174,InputData!$D$173+InputData!$C$174*(IA36-InputData!$B$173),IF(IA36&lt;=InputData!$B$175,InputData!$D$174+InputData!$C$175*(IA36-InputData!$B$174),InputData!$D$175+InputData!$C$176*(IA36-InputData!$B$175))))))))</f>
        <v>130811.43086579134</v>
      </c>
      <c r="IC36" s="32">
        <f>IF(HX36&lt;=InputData!$C$150,InputData!$C$152,IF(HX36&lt;InputData!$C$151,IF(InputData!$C$152-0.25*IF(HX36-InputData!$C$150&lt;=0,0,HX36-InputData!$C$150)&lt;=0,0,InputData!$C$152-0.25*IF(HX36-InputData!$C$150&lt;=0,0,HX36-InputData!$C$150)),0))</f>
        <v>0</v>
      </c>
      <c r="ID36" s="32">
        <f>IF(HX36-IC36&lt;=0,0,IF(HX36-IC36&lt;=InputData!$C$153,InputData!$C$154*(HX36-IC36),InputData!$C$155*(HX36-IC36)-InputData!$D$154))</f>
        <v>120474.94606672117</v>
      </c>
      <c r="IE36" s="32">
        <f t="shared" si="88"/>
        <v>130811.43086579134</v>
      </c>
      <c r="IF36" s="32">
        <f>IF(HX36&gt;=0,IF(HX36&lt;=InputData!$C$148,InputData!$C$147*HX36,InputData!$C$147*InputData!$C$148)+InputData!$C$149*HX36,0)</f>
        <v>13474.191849883773</v>
      </c>
      <c r="IG36" s="32">
        <f>IF(HZ36&lt;0,0,IF(HZ36&lt;=InputData!$B$163,InputData!$C$163*HZ36,IF(HZ36&lt;=InputData!$B$164,InputData!$D$163+InputData!$C$164*(HZ36-InputData!$B$163),IF(HZ36&lt;=InputData!$B$165,InputData!$D$164+InputData!$C$165*(HZ36-InputData!$B$164),InputData!$D$165+InputData!$C$166*(HZ36-InputData!$B$165)))))</f>
        <v>0</v>
      </c>
      <c r="IH36" s="43">
        <f t="shared" si="89"/>
        <v>0.32563569034771706</v>
      </c>
      <c r="II36" s="43">
        <f t="shared" si="90"/>
        <v>0.32563569034771706</v>
      </c>
      <c r="IJ36" s="5">
        <f t="shared" si="91"/>
        <v>298803.47037975758</v>
      </c>
      <c r="IK36" s="32">
        <f>IJ36/((1+InputData!$C$7)^(Ortho!$B36-Ortho!$B$7))</f>
        <v>126796.16569867951</v>
      </c>
      <c r="IL36" s="5">
        <f t="shared" ref="IL36" si="178">IL35+IK36</f>
        <v>2923876.5785319619</v>
      </c>
      <c r="IN36" s="227"/>
      <c r="IO36" s="53" t="s">
        <v>109</v>
      </c>
      <c r="IP36" s="32">
        <f>MIN(InputData!$C$13+InputData!$E$13*($B36-$B$20),1)*Ortho!AW36</f>
        <v>786857.41330221691</v>
      </c>
      <c r="IQ36" s="32">
        <f>MIN(InputData!$C$13+InputData!$E$13*($B36-$B$20),1)*Ortho!AX36</f>
        <v>0</v>
      </c>
      <c r="IR36" s="32">
        <f>MIN(InputData!$C$13+InputData!$E$13*($B36-$B$20),1)*Ortho!AY36</f>
        <v>786857.41330221691</v>
      </c>
      <c r="IS36" s="32">
        <f>MIN(InputData!$C$13+InputData!$E$13*($B36-$B$20),1)*Ortho!EO36</f>
        <v>443089.09309543268</v>
      </c>
      <c r="IT36" s="32">
        <f>MIN(InputData!$C$13+InputData!$E$13*($B36-$B$20),1)*Ortho!EP36</f>
        <v>0</v>
      </c>
      <c r="IU36" s="32">
        <f>IF(IS36-InputData!$C$158-InputData!$C$159&gt;=0,IS36-InputData!$C$158-InputData!$C$159,0)</f>
        <v>443089.09309543268</v>
      </c>
      <c r="IV36" s="32">
        <f>IF(IS36-IF(IS36&lt;=InputData!$C$146,InputData!$C$145,0)-MAX(InputData!$C$144,JB36)&gt;=0,IS36-IF(IS36&lt;=InputData!$C$146,InputData!$C$145,0)-MAX(InputData!$C$144,JB36),0)</f>
        <v>436989.09309543268</v>
      </c>
      <c r="IW36" s="32">
        <f>IF(IV36&lt;0,"Error",IF(IV36&lt;=InputData!$B$170,InputData!$C$170*IV36,IF(IV36&lt;=InputData!$B$171,InputData!$D$170+InputData!$C$171*(IV36-InputData!$B$170),IF(IV36&lt;=InputData!$B$172,InputData!$D$171+InputData!$C$172*(IV36-InputData!$B$171),IF(IV36&lt;=InputData!$B$173,InputData!$D$172+InputData!$C$173*(IV36-InputData!$B$172),IF(IV36&lt;=InputData!$B$174,InputData!$D$173+InputData!$C$174*(IV36-InputData!$B$173),IF(IV36&lt;=InputData!$B$175,InputData!$D$174+InputData!$C$175*(IV36-InputData!$B$174),InputData!$D$175+InputData!$C$176*(IV36-InputData!$B$175))))))))</f>
        <v>130811.43086579134</v>
      </c>
      <c r="IX36" s="32">
        <f>IF(IS36&lt;=InputData!$C$150,InputData!$C$152,IF(IS36&lt;InputData!$C$151,IF(InputData!$C$152-0.25*IF(IS36-InputData!$C$150&lt;=0,0,IS36-InputData!$C$150)&lt;=0,0,InputData!$C$152-0.25*IF(IS36-InputData!$C$150&lt;=0,0,IS36-InputData!$C$150)),0))</f>
        <v>0</v>
      </c>
      <c r="IY36" s="32">
        <f>IF(IS36-IX36&lt;=0,0,IF(IS36-IX36&lt;=InputData!$C$153,InputData!$C$154*(IS36-IX36),InputData!$C$155*(IS36-IX36)-InputData!$D$154))</f>
        <v>120474.94606672117</v>
      </c>
      <c r="IZ36" s="32">
        <f t="shared" si="95"/>
        <v>130811.43086579134</v>
      </c>
      <c r="JA36" s="32">
        <f>IF(IS36&gt;=0,IF(IS36&lt;=InputData!$C$148,InputData!$C$147*IS36,InputData!$C$147*InputData!$C$148)+InputData!$C$149*IS36,0)</f>
        <v>13474.191849883773</v>
      </c>
      <c r="JB36" s="32">
        <f>IF(IU36&lt;0,0,IF(IU36&lt;=InputData!$B$163,InputData!$C$163*IU36,IF(IU36&lt;=InputData!$B$164,InputData!$D$163+InputData!$C$164*(IU36-InputData!$B$163),IF(IU36&lt;=InputData!$B$165,InputData!$D$164+InputData!$C$165*(IU36-InputData!$B$164),InputData!$D$165+InputData!$C$166*(IU36-InputData!$B$165)))))</f>
        <v>0</v>
      </c>
      <c r="JC36" s="43">
        <f t="shared" si="96"/>
        <v>0.32563569034771706</v>
      </c>
      <c r="JD36" s="43">
        <f t="shared" si="97"/>
        <v>0.32563569034771706</v>
      </c>
      <c r="JE36" s="5">
        <f t="shared" si="98"/>
        <v>298803.47037975758</v>
      </c>
      <c r="JF36" s="32">
        <f>JE36/((1+InputData!$C$7)^(Ortho!$B36-Ortho!$B$7))</f>
        <v>126796.16569867951</v>
      </c>
      <c r="JG36" s="5">
        <f t="shared" ref="JG36" si="179">JG35+JF36</f>
        <v>3178868.2698586704</v>
      </c>
      <c r="JI36" s="41" t="str">
        <f t="shared" si="13"/>
        <v>Private Practice</v>
      </c>
      <c r="JJ36" s="5">
        <f t="shared" si="14"/>
        <v>874286.01478024095</v>
      </c>
      <c r="JK36" s="32">
        <v>0</v>
      </c>
      <c r="JL36" s="32">
        <f t="shared" si="101"/>
        <v>874286.01478024095</v>
      </c>
      <c r="JM36" s="32">
        <f>JM35*(1+InputData!$C$8)</f>
        <v>20404.455491517201</v>
      </c>
      <c r="JN36" s="32">
        <f>JJ36/((1+InputData!$C$3)^(Ortho!$B36-Ortho!$B$7))</f>
        <v>492321.21455048077</v>
      </c>
      <c r="JO36" s="32">
        <f>JK36/((1+InputData!$C$3)^(Ortho!$B36-Ortho!$B$7))</f>
        <v>0</v>
      </c>
      <c r="JP36" s="32" t="s">
        <v>141</v>
      </c>
      <c r="JQ36" s="32">
        <v>0</v>
      </c>
      <c r="JR36" s="32">
        <f t="shared" si="167"/>
        <v>0</v>
      </c>
      <c r="JS36" s="32">
        <f>(JR36)*InputData!$C$6</f>
        <v>0</v>
      </c>
      <c r="JT36" s="32">
        <f>MIN($BE$16*InputData!$C$6/(1-(1+InputData!$C$6)^(-10)), JR36+JS36)</f>
        <v>0</v>
      </c>
      <c r="JU36" s="32">
        <f t="shared" si="151"/>
        <v>0</v>
      </c>
      <c r="JV36" s="32">
        <f>JT36/((1+InputData!$C$3)^(Ortho!$B36-Ortho!$B$7))</f>
        <v>0</v>
      </c>
      <c r="JW36" s="32">
        <f>IF(JN36-InputData!$C$158-InputData!$C$159&gt;=0,JN36-InputData!$C$158-InputData!$C$159,0)</f>
        <v>492321.21455048077</v>
      </c>
      <c r="JX36" s="32">
        <f>IF(JN36-IF(JN36&lt;=InputData!$C$146,InputData!$C$145,0)-MAX(InputData!$C$144,KD36)&gt;=0,JN36-IF(JN36&lt;=InputData!$C$146,InputData!$C$145,0)-MAX(InputData!$C$144,KD36),0)</f>
        <v>486221.21455048077</v>
      </c>
      <c r="JY36" s="32">
        <f>IF(JX36&lt;0,"Error",IF(JX36&lt;=InputData!$B$170,InputData!$C$170*JX36,IF(JX36&lt;=InputData!$B$171,InputData!$D$170+InputData!$C$171*(JX36-InputData!$B$170),IF(JX36&lt;=InputData!$B$172,InputData!$D$171+InputData!$C$172*(JX36-InputData!$B$171),IF(JX36&lt;=InputData!$B$173,InputData!$D$172+InputData!$C$173*(JX36-InputData!$B$172),IF(JX36&lt;=InputData!$B$174,InputData!$D$173+InputData!$C$174*(JX36-InputData!$B$173),IF(JX36&lt;=InputData!$B$175,InputData!$D$174+InputData!$C$175*(JX36-InputData!$B$174),InputData!$D$175+InputData!$C$176*(JX36-InputData!$B$175))))))))</f>
        <v>150307.35096199039</v>
      </c>
      <c r="JZ36" s="32">
        <f>IF(JN36&lt;=InputData!$C$150,InputData!$C$152,IF(JN36&lt;InputData!$C$151,IF(InputData!$C$152-0.25*IF(JN36-InputData!$C$150&lt;=0,0,JN36-InputData!$C$150)&lt;=0,0,InputData!$C$152-0.25*IF(JN36-InputData!$C$150&lt;=0,0,JN36-InputData!$C$150)),0))</f>
        <v>0</v>
      </c>
      <c r="KA36" s="32">
        <f>IF(JN36-JZ36&lt;=0,0,IF(JN36-JZ36&lt;=InputData!$C$153,InputData!$C$154*(JN36-JZ36),InputData!$C$155*(JN36-JZ36)-InputData!$D$154))</f>
        <v>134259.94007413462</v>
      </c>
      <c r="KB36" s="32">
        <f t="shared" si="102"/>
        <v>150307.35096199039</v>
      </c>
      <c r="KC36" s="32">
        <f>IF(JN36&gt;=0,IF(JN36&lt;=InputData!$C$148,InputData!$C$147*JN36,InputData!$C$147*InputData!$C$148)+InputData!$C$149*JN36,0)</f>
        <v>14188.05761098197</v>
      </c>
      <c r="KD36" s="32">
        <f>IF(JW36&lt;0,0,IF(JW36&lt;=InputData!$B$163,InputData!$C$163*JW36,IF(JW36&lt;=InputData!$B$164,InputData!$D$163+InputData!$C$164*(JW36-InputData!$B$163),IF(JW36&lt;=InputData!$B$165,InputData!$D$164+InputData!$C$165*(JW36-InputData!$B$164),InputData!$D$165+InputData!$C$166*(JW36-InputData!$B$165)))))</f>
        <v>0</v>
      </c>
      <c r="KE36" s="43">
        <f>(KB36+KC36+KD36)/(JN36+JO36)</f>
        <v>0.33412212131294544</v>
      </c>
      <c r="KF36" s="32">
        <f>JN36+JO36-(KB36+KC36+KD36)</f>
        <v>327825.80597750843</v>
      </c>
      <c r="KG36" s="32">
        <f t="shared" si="103"/>
        <v>327825.80597750843</v>
      </c>
      <c r="KH36" s="32">
        <f>KG36/((1+InputData!$C$7)^(Ortho!$B36-Ortho!$B$7))</f>
        <v>139111.68823507504</v>
      </c>
      <c r="KI36" s="5">
        <f t="shared" si="122"/>
        <v>3815212.2136078253</v>
      </c>
    </row>
    <row r="37" spans="1:295" x14ac:dyDescent="0.25">
      <c r="L37" s="24"/>
      <c r="M37" s="24"/>
      <c r="N37" s="24"/>
      <c r="O37" s="24"/>
      <c r="P37" s="24"/>
      <c r="Q37" s="24"/>
      <c r="R37" s="24"/>
      <c r="S37" s="24"/>
      <c r="FJ37" s="32"/>
      <c r="FK37" s="32"/>
      <c r="FL37" s="32"/>
      <c r="FM37" s="32"/>
    </row>
    <row r="38" spans="1:295" x14ac:dyDescent="0.25">
      <c r="FJ38" s="32"/>
      <c r="FK38" s="32"/>
      <c r="FL38" s="32"/>
      <c r="FM38" s="32"/>
    </row>
    <row r="39" spans="1:295" x14ac:dyDescent="0.25">
      <c r="FJ39" s="32"/>
      <c r="FK39" s="32"/>
      <c r="FL39" s="32"/>
      <c r="FM39" s="32"/>
    </row>
    <row r="40" spans="1:295" x14ac:dyDescent="0.25">
      <c r="FJ40" s="32"/>
      <c r="FK40" s="32"/>
      <c r="FL40" s="32"/>
      <c r="FM40" s="32"/>
    </row>
    <row r="41" spans="1:295" x14ac:dyDescent="0.25">
      <c r="FJ41" s="32"/>
      <c r="FK41" s="32"/>
      <c r="FL41" s="32"/>
      <c r="FM41" s="32"/>
    </row>
    <row r="42" spans="1:295" x14ac:dyDescent="0.25">
      <c r="FJ42" s="32"/>
      <c r="FK42" s="32"/>
      <c r="FL42" s="32"/>
      <c r="FM42" s="53"/>
    </row>
    <row r="43" spans="1:295" x14ac:dyDescent="0.25">
      <c r="FJ43" s="32"/>
      <c r="FK43" s="32"/>
      <c r="FL43" s="32"/>
      <c r="FM43" s="53"/>
    </row>
    <row r="44" spans="1:295" x14ac:dyDescent="0.25">
      <c r="FJ44" s="32"/>
      <c r="FK44" s="32"/>
      <c r="FL44" s="32"/>
      <c r="FM44" s="53"/>
    </row>
    <row r="45" spans="1:295" x14ac:dyDescent="0.25">
      <c r="FJ45" s="32"/>
      <c r="FK45" s="32"/>
      <c r="FL45" s="32"/>
      <c r="FM45" s="53"/>
    </row>
    <row r="46" spans="1:295" x14ac:dyDescent="0.25">
      <c r="FJ46" s="32"/>
      <c r="FK46" s="32"/>
      <c r="FL46" s="32"/>
      <c r="FM46" s="53"/>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KI46"/>
  <sheetViews>
    <sheetView zoomScale="90" zoomScaleNormal="90" workbookViewId="0">
      <selection activeCell="IW32" sqref="IW32"/>
    </sheetView>
  </sheetViews>
  <sheetFormatPr defaultRowHeight="15" x14ac:dyDescent="0.25"/>
  <cols>
    <col min="1" max="1" width="9.28515625" customWidth="1"/>
    <col min="2" max="3" width="5" customWidth="1"/>
    <col min="4" max="4" width="6.140625" customWidth="1"/>
    <col min="5" max="5" width="47.140625" bestFit="1" customWidth="1"/>
    <col min="6" max="6" width="7.85546875" customWidth="1"/>
    <col min="7" max="7" width="10.5703125" customWidth="1"/>
    <col min="10" max="22" width="8.85546875" customWidth="1"/>
    <col min="24" max="24" width="9.7109375" customWidth="1"/>
    <col min="26" max="26" width="6.42578125" customWidth="1"/>
    <col min="27" max="27" width="46" customWidth="1"/>
    <col min="28" max="28" width="8.28515625" bestFit="1" customWidth="1"/>
    <col min="46" max="46" width="9.28515625" customWidth="1"/>
    <col min="48" max="48" width="12.85546875" customWidth="1"/>
    <col min="74" max="74" width="10" bestFit="1" customWidth="1"/>
    <col min="75" max="136" width="10" customWidth="1"/>
    <col min="138" max="138" width="11" hidden="1" customWidth="1"/>
    <col min="139" max="153" width="0" hidden="1" customWidth="1"/>
    <col min="154" max="154" width="9.5703125" hidden="1" customWidth="1"/>
    <col min="155" max="155" width="9.42578125" hidden="1" customWidth="1"/>
    <col min="156" max="163" width="0" hidden="1" customWidth="1"/>
    <col min="164" max="164" width="10" hidden="1" customWidth="1"/>
    <col min="165" max="172" width="0" hidden="1" customWidth="1"/>
    <col min="173" max="173" width="10" hidden="1" customWidth="1"/>
    <col min="174" max="181" width="0" hidden="1" customWidth="1"/>
    <col min="182" max="182" width="10" hidden="1" customWidth="1"/>
    <col min="186" max="186" width="27.7109375" customWidth="1"/>
    <col min="204" max="204" width="10" bestFit="1" customWidth="1"/>
    <col min="207" max="207" width="27.5703125" customWidth="1"/>
    <col min="225" max="225" width="10" bestFit="1" customWidth="1"/>
    <col min="228" max="228" width="41" customWidth="1"/>
    <col min="246" max="246" width="10" bestFit="1" customWidth="1"/>
    <col min="249" max="249" width="27.5703125" customWidth="1"/>
    <col min="267" max="267" width="10" bestFit="1" customWidth="1"/>
    <col min="269" max="269" width="12.7109375" customWidth="1"/>
    <col min="294" max="295" width="9.7109375" customWidth="1"/>
  </cols>
  <sheetData>
    <row r="1" spans="1:295" ht="15.6" x14ac:dyDescent="0.3">
      <c r="E1" s="55" t="s">
        <v>458</v>
      </c>
      <c r="F1" s="55"/>
      <c r="G1" s="55" t="str">
        <f>InputData!$G$1</f>
        <v>San Antonio, TX</v>
      </c>
      <c r="DC1" t="s">
        <v>330</v>
      </c>
      <c r="DD1" t="s">
        <v>331</v>
      </c>
      <c r="DY1" t="s">
        <v>336</v>
      </c>
    </row>
    <row r="2" spans="1:295" ht="14.45" x14ac:dyDescent="0.3">
      <c r="E2" t="s">
        <v>215</v>
      </c>
      <c r="G2" s="82">
        <f>InputData!C82</f>
        <v>303960</v>
      </c>
      <c r="BC2" t="s">
        <v>317</v>
      </c>
      <c r="CB2" t="s">
        <v>317</v>
      </c>
      <c r="CK2" t="s">
        <v>317</v>
      </c>
      <c r="CU2" t="s">
        <v>317</v>
      </c>
      <c r="DC2" s="47">
        <f>DF10+0.5*DC10*InputData!$C$6</f>
        <v>212416.2</v>
      </c>
      <c r="DD2" s="47">
        <f>$DC$2*InputData!$C$6/(1-(1+InputData!$C$6)^(-10))</f>
        <v>29148.379963889372</v>
      </c>
      <c r="DE2" t="s">
        <v>326</v>
      </c>
      <c r="DM2" s="5"/>
      <c r="DP2" t="s">
        <v>326</v>
      </c>
      <c r="DX2" s="5"/>
      <c r="DY2" s="5">
        <f>0.1*$DC$2</f>
        <v>21241.620000000003</v>
      </c>
      <c r="DZ2" s="5"/>
      <c r="EA2" t="s">
        <v>326</v>
      </c>
      <c r="EH2" t="s">
        <v>317</v>
      </c>
    </row>
    <row r="3" spans="1:295" x14ac:dyDescent="0.25">
      <c r="EH3" s="130" t="s">
        <v>406</v>
      </c>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JI3" s="154"/>
    </row>
    <row r="4" spans="1:295" ht="15.6" x14ac:dyDescent="0.3">
      <c r="A4" s="52" t="s">
        <v>183</v>
      </c>
      <c r="B4" s="6"/>
      <c r="C4" s="8"/>
      <c r="D4" s="64"/>
      <c r="E4" s="65" t="s">
        <v>4</v>
      </c>
      <c r="F4" s="65"/>
      <c r="G4" s="66"/>
      <c r="H4" s="67"/>
      <c r="I4" s="67"/>
      <c r="J4" s="67"/>
      <c r="K4" s="67"/>
      <c r="L4" s="67"/>
      <c r="M4" s="67"/>
      <c r="N4" s="67"/>
      <c r="O4" s="67"/>
      <c r="P4" s="67"/>
      <c r="Q4" s="67"/>
      <c r="R4" s="67"/>
      <c r="S4" s="67"/>
      <c r="T4" s="67"/>
      <c r="U4" s="67"/>
      <c r="V4" s="67"/>
      <c r="W4" s="67"/>
      <c r="X4" s="67"/>
      <c r="Z4" s="62"/>
      <c r="AA4" s="68" t="s">
        <v>3</v>
      </c>
      <c r="AB4" s="68"/>
      <c r="AC4" s="63"/>
      <c r="AD4" s="63"/>
      <c r="AE4" s="63"/>
      <c r="AF4" s="63"/>
      <c r="AG4" s="63"/>
      <c r="AH4" s="63"/>
      <c r="AI4" s="63"/>
      <c r="AJ4" s="63"/>
      <c r="AK4" s="63"/>
      <c r="AL4" s="63"/>
      <c r="AM4" s="63"/>
      <c r="AN4" s="63"/>
      <c r="AO4" s="63"/>
      <c r="AP4" s="63"/>
      <c r="AQ4" s="63"/>
      <c r="AR4" s="63"/>
      <c r="AS4" s="63"/>
      <c r="AT4" s="63"/>
      <c r="AV4" s="69" t="s">
        <v>329</v>
      </c>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128"/>
      <c r="BX4" s="69" t="s">
        <v>203</v>
      </c>
      <c r="BY4" s="70"/>
      <c r="BZ4" s="70"/>
      <c r="CA4" s="70"/>
      <c r="CB4" s="70"/>
      <c r="CC4" s="70"/>
      <c r="CD4" s="70"/>
      <c r="CE4" s="70"/>
      <c r="CF4" s="70"/>
      <c r="CG4" s="24"/>
      <c r="CH4" s="69" t="s">
        <v>208</v>
      </c>
      <c r="CI4" s="70"/>
      <c r="CJ4" s="70"/>
      <c r="CK4" s="70"/>
      <c r="CL4" s="70"/>
      <c r="CM4" s="70"/>
      <c r="CN4" s="70"/>
      <c r="CO4" s="70"/>
      <c r="CP4" s="70"/>
      <c r="CQ4" s="24"/>
      <c r="CR4" s="69" t="s">
        <v>322</v>
      </c>
      <c r="CS4" s="70"/>
      <c r="CT4" s="70"/>
      <c r="CU4" s="70"/>
      <c r="CV4" s="70"/>
      <c r="CW4" s="70"/>
      <c r="CX4" s="70"/>
      <c r="CY4" s="70"/>
      <c r="CZ4" s="70"/>
      <c r="DA4" s="24"/>
      <c r="DB4" s="69" t="s">
        <v>329</v>
      </c>
      <c r="DC4" s="70"/>
      <c r="DD4" s="70"/>
      <c r="DE4" s="70"/>
      <c r="DF4" s="70"/>
      <c r="DG4" s="70"/>
      <c r="DH4" s="70"/>
      <c r="DI4" s="70"/>
      <c r="DJ4" s="70"/>
      <c r="DK4" s="24"/>
      <c r="DL4" s="69" t="s">
        <v>208</v>
      </c>
      <c r="DM4" s="70"/>
      <c r="DN4" s="70"/>
      <c r="DO4" s="70"/>
      <c r="DP4" s="70"/>
      <c r="DQ4" s="70"/>
      <c r="DR4" s="70"/>
      <c r="DS4" s="70"/>
      <c r="DT4" s="70"/>
      <c r="DU4" s="70"/>
      <c r="DV4" s="24"/>
      <c r="DW4" s="69" t="s">
        <v>322</v>
      </c>
      <c r="DX4" s="70"/>
      <c r="DY4" s="70"/>
      <c r="DZ4" s="70"/>
      <c r="EA4" s="70"/>
      <c r="EB4" s="70"/>
      <c r="EC4" s="70"/>
      <c r="ED4" s="70"/>
      <c r="EE4" s="70"/>
      <c r="EF4" s="70"/>
      <c r="EG4" s="14"/>
      <c r="EH4" s="69" t="s">
        <v>322</v>
      </c>
      <c r="EI4" s="61"/>
      <c r="EJ4" s="61"/>
      <c r="EK4" s="61"/>
      <c r="EL4" s="61"/>
      <c r="EM4" s="61"/>
      <c r="EN4" s="61"/>
      <c r="EO4" s="61"/>
      <c r="EP4" s="61"/>
      <c r="EQ4" s="61"/>
      <c r="ER4" s="61"/>
      <c r="ES4" s="61"/>
      <c r="ET4" s="61"/>
      <c r="EU4" s="61"/>
      <c r="EV4" s="61"/>
      <c r="EW4" s="61"/>
      <c r="EX4" s="61"/>
      <c r="EY4" s="61"/>
      <c r="EZ4" s="59"/>
      <c r="FA4" s="69" t="s">
        <v>198</v>
      </c>
      <c r="FB4" s="70"/>
      <c r="FC4" s="70"/>
      <c r="FD4" s="70"/>
      <c r="FE4" s="70"/>
      <c r="FF4" s="70"/>
      <c r="FG4" s="70"/>
      <c r="FH4" s="70"/>
      <c r="FI4" s="59"/>
      <c r="FJ4" s="69" t="s">
        <v>203</v>
      </c>
      <c r="FK4" s="70"/>
      <c r="FL4" s="70"/>
      <c r="FM4" s="70"/>
      <c r="FN4" s="70"/>
      <c r="FO4" s="70"/>
      <c r="FP4" s="70"/>
      <c r="FQ4" s="70"/>
      <c r="FR4" s="59"/>
      <c r="FS4" s="69" t="s">
        <v>208</v>
      </c>
      <c r="FT4" s="70"/>
      <c r="FU4" s="70"/>
      <c r="FV4" s="70"/>
      <c r="FW4" s="70"/>
      <c r="FX4" s="70"/>
      <c r="FY4" s="70"/>
      <c r="FZ4" s="70"/>
      <c r="GC4" s="64"/>
      <c r="GD4" s="85" t="s">
        <v>340</v>
      </c>
      <c r="GE4" s="66"/>
      <c r="GF4" s="67"/>
      <c r="GG4" s="67"/>
      <c r="GH4" s="67"/>
      <c r="GI4" s="67"/>
      <c r="GJ4" s="67"/>
      <c r="GK4" s="67"/>
      <c r="GL4" s="67"/>
      <c r="GM4" s="67"/>
      <c r="GN4" s="67"/>
      <c r="GO4" s="67"/>
      <c r="GP4" s="67"/>
      <c r="GQ4" s="67"/>
      <c r="GR4" s="67"/>
      <c r="GS4" s="67"/>
      <c r="GT4" s="67"/>
      <c r="GU4" s="67"/>
      <c r="GV4" s="67"/>
      <c r="GX4" s="62"/>
      <c r="GY4" s="85" t="s">
        <v>339</v>
      </c>
      <c r="GZ4" s="63"/>
      <c r="HA4" s="63"/>
      <c r="HB4" s="63"/>
      <c r="HC4" s="63"/>
      <c r="HD4" s="63"/>
      <c r="HE4" s="63"/>
      <c r="HF4" s="63"/>
      <c r="HG4" s="63"/>
      <c r="HH4" s="63"/>
      <c r="HI4" s="63"/>
      <c r="HJ4" s="63"/>
      <c r="HK4" s="63"/>
      <c r="HL4" s="63"/>
      <c r="HM4" s="63"/>
      <c r="HN4" s="63"/>
      <c r="HO4" s="63"/>
      <c r="HP4" s="63"/>
      <c r="HQ4" s="63"/>
      <c r="HS4" s="64"/>
      <c r="HT4" s="95" t="s">
        <v>246</v>
      </c>
      <c r="HU4" s="66"/>
      <c r="HV4" s="67"/>
      <c r="HW4" s="67"/>
      <c r="HX4" s="67"/>
      <c r="HY4" s="67"/>
      <c r="HZ4" s="67"/>
      <c r="IA4" s="67"/>
      <c r="IB4" s="67"/>
      <c r="IC4" s="67"/>
      <c r="ID4" s="67"/>
      <c r="IE4" s="67"/>
      <c r="IF4" s="67"/>
      <c r="IG4" s="67"/>
      <c r="IH4" s="67"/>
      <c r="II4" s="67"/>
      <c r="IJ4" s="67"/>
      <c r="IK4" s="67"/>
      <c r="IL4" s="67"/>
      <c r="IN4" s="62"/>
      <c r="IO4" s="95" t="s">
        <v>247</v>
      </c>
      <c r="IP4" s="63"/>
      <c r="IQ4" s="63"/>
      <c r="IR4" s="63"/>
      <c r="IS4" s="63"/>
      <c r="IT4" s="63"/>
      <c r="IU4" s="63"/>
      <c r="IV4" s="63"/>
      <c r="IW4" s="63"/>
      <c r="IX4" s="63"/>
      <c r="IY4" s="63"/>
      <c r="IZ4" s="63"/>
      <c r="JA4" s="63"/>
      <c r="JB4" s="63"/>
      <c r="JC4" s="63"/>
      <c r="JD4" s="63"/>
      <c r="JE4" s="63"/>
      <c r="JF4" s="63"/>
      <c r="JG4" s="63"/>
      <c r="JI4" s="155" t="s">
        <v>517</v>
      </c>
      <c r="JJ4" s="159"/>
      <c r="JK4" s="159"/>
      <c r="JL4" s="159"/>
      <c r="JM4" s="159"/>
      <c r="JN4" s="159"/>
      <c r="JO4" s="159"/>
      <c r="JP4" s="159"/>
      <c r="JQ4" s="159"/>
      <c r="JR4" s="159"/>
      <c r="JS4" s="159"/>
      <c r="JT4" s="159"/>
      <c r="JU4" s="159"/>
      <c r="JV4" s="159"/>
      <c r="JW4" s="159"/>
      <c r="JX4" s="159"/>
      <c r="JY4" s="159"/>
      <c r="JZ4" s="159"/>
      <c r="KA4" s="159"/>
      <c r="KB4" s="159"/>
      <c r="KC4" s="159"/>
      <c r="KD4" s="159"/>
      <c r="KE4" s="159"/>
      <c r="KF4" s="159"/>
      <c r="KG4" s="159"/>
      <c r="KH4" s="159"/>
      <c r="KI4" s="159"/>
    </row>
    <row r="5" spans="1:295" ht="96.6" x14ac:dyDescent="0.3">
      <c r="A5" s="2" t="s">
        <v>173</v>
      </c>
      <c r="B5" s="50" t="s">
        <v>2</v>
      </c>
      <c r="C5" s="2"/>
      <c r="D5" s="1" t="s">
        <v>180</v>
      </c>
      <c r="E5" s="2" t="s">
        <v>102</v>
      </c>
      <c r="F5" s="2" t="s">
        <v>283</v>
      </c>
      <c r="G5" s="2" t="s">
        <v>184</v>
      </c>
      <c r="H5" s="2" t="s">
        <v>185</v>
      </c>
      <c r="I5" s="2" t="s">
        <v>186</v>
      </c>
      <c r="J5" s="2" t="s">
        <v>162</v>
      </c>
      <c r="K5" s="2" t="s">
        <v>163</v>
      </c>
      <c r="L5" s="28" t="s">
        <v>431</v>
      </c>
      <c r="M5" s="28" t="s">
        <v>435</v>
      </c>
      <c r="N5" s="28" t="s">
        <v>443</v>
      </c>
      <c r="O5" s="28" t="s">
        <v>451</v>
      </c>
      <c r="P5" s="28" t="s">
        <v>450</v>
      </c>
      <c r="Q5" s="28" t="s">
        <v>449</v>
      </c>
      <c r="R5" s="28" t="s">
        <v>95</v>
      </c>
      <c r="S5" s="28" t="s">
        <v>96</v>
      </c>
      <c r="T5" s="28" t="s">
        <v>164</v>
      </c>
      <c r="U5" s="28" t="s">
        <v>157</v>
      </c>
      <c r="V5" s="2" t="s">
        <v>165</v>
      </c>
      <c r="W5" s="2" t="s">
        <v>166</v>
      </c>
      <c r="X5" s="28" t="s">
        <v>167</v>
      </c>
      <c r="Z5" s="1" t="s">
        <v>180</v>
      </c>
      <c r="AA5" s="2" t="s">
        <v>103</v>
      </c>
      <c r="AB5" s="2" t="s">
        <v>283</v>
      </c>
      <c r="AC5" s="2" t="s">
        <v>97</v>
      </c>
      <c r="AD5" s="2" t="s">
        <v>98</v>
      </c>
      <c r="AE5" s="2" t="s">
        <v>99</v>
      </c>
      <c r="AF5" s="2" t="s">
        <v>168</v>
      </c>
      <c r="AG5" s="2" t="s">
        <v>169</v>
      </c>
      <c r="AH5" s="28" t="s">
        <v>431</v>
      </c>
      <c r="AI5" s="28" t="s">
        <v>435</v>
      </c>
      <c r="AJ5" s="28" t="s">
        <v>443</v>
      </c>
      <c r="AK5" s="28" t="s">
        <v>451</v>
      </c>
      <c r="AL5" s="28" t="s">
        <v>450</v>
      </c>
      <c r="AM5" s="28" t="s">
        <v>449</v>
      </c>
      <c r="AN5" s="28" t="s">
        <v>95</v>
      </c>
      <c r="AO5" s="28" t="s">
        <v>96</v>
      </c>
      <c r="AP5" s="28" t="s">
        <v>164</v>
      </c>
      <c r="AQ5" s="28" t="s">
        <v>157</v>
      </c>
      <c r="AR5" s="2" t="s">
        <v>170</v>
      </c>
      <c r="AS5" s="2" t="s">
        <v>171</v>
      </c>
      <c r="AT5" s="28" t="s">
        <v>172</v>
      </c>
      <c r="AV5" s="39" t="s">
        <v>14</v>
      </c>
      <c r="AW5" s="28" t="s">
        <v>192</v>
      </c>
      <c r="AX5" s="28" t="s">
        <v>193</v>
      </c>
      <c r="AY5" s="28" t="s">
        <v>194</v>
      </c>
      <c r="AZ5" s="28" t="s">
        <v>135</v>
      </c>
      <c r="BA5" s="28" t="s">
        <v>156</v>
      </c>
      <c r="BB5" s="28" t="s">
        <v>176</v>
      </c>
      <c r="BC5" s="28" t="s">
        <v>316</v>
      </c>
      <c r="BD5" s="28" t="s">
        <v>134</v>
      </c>
      <c r="BE5" s="28" t="s">
        <v>146</v>
      </c>
      <c r="BF5" s="28" t="s">
        <v>132</v>
      </c>
      <c r="BG5" s="71" t="s">
        <v>318</v>
      </c>
      <c r="BH5" s="28" t="s">
        <v>133</v>
      </c>
      <c r="BI5" s="28" t="s">
        <v>200</v>
      </c>
      <c r="BJ5" s="28" t="s">
        <v>431</v>
      </c>
      <c r="BK5" s="28" t="s">
        <v>435</v>
      </c>
      <c r="BL5" s="28" t="s">
        <v>443</v>
      </c>
      <c r="BM5" s="28" t="s">
        <v>451</v>
      </c>
      <c r="BN5" s="28" t="s">
        <v>450</v>
      </c>
      <c r="BO5" s="28" t="s">
        <v>449</v>
      </c>
      <c r="BP5" s="28" t="s">
        <v>95</v>
      </c>
      <c r="BQ5" s="28" t="s">
        <v>96</v>
      </c>
      <c r="BR5" s="28" t="s">
        <v>157</v>
      </c>
      <c r="BS5" s="28" t="s">
        <v>158</v>
      </c>
      <c r="BT5" s="28" t="s">
        <v>159</v>
      </c>
      <c r="BU5" s="28" t="s">
        <v>161</v>
      </c>
      <c r="BV5" s="28" t="s">
        <v>324</v>
      </c>
      <c r="BW5" s="28"/>
      <c r="BX5" s="28" t="s">
        <v>316</v>
      </c>
      <c r="BY5" s="28" t="s">
        <v>146</v>
      </c>
      <c r="BZ5" s="28" t="s">
        <v>132</v>
      </c>
      <c r="CA5" s="71" t="s">
        <v>204</v>
      </c>
      <c r="CB5" s="28" t="s">
        <v>133</v>
      </c>
      <c r="CC5" s="28" t="s">
        <v>202</v>
      </c>
      <c r="CD5" s="28" t="s">
        <v>159</v>
      </c>
      <c r="CE5" s="28" t="s">
        <v>161</v>
      </c>
      <c r="CF5" s="28" t="s">
        <v>205</v>
      </c>
      <c r="CG5" s="28"/>
      <c r="CH5" s="28" t="s">
        <v>316</v>
      </c>
      <c r="CI5" s="28" t="s">
        <v>146</v>
      </c>
      <c r="CJ5" s="28" t="s">
        <v>132</v>
      </c>
      <c r="CK5" s="71" t="s">
        <v>323</v>
      </c>
      <c r="CL5" s="28" t="s">
        <v>133</v>
      </c>
      <c r="CM5" s="28" t="s">
        <v>209</v>
      </c>
      <c r="CN5" s="28" t="s">
        <v>159</v>
      </c>
      <c r="CO5" s="28" t="s">
        <v>161</v>
      </c>
      <c r="CP5" s="28" t="s">
        <v>207</v>
      </c>
      <c r="CQ5" s="28"/>
      <c r="CR5" s="28" t="s">
        <v>316</v>
      </c>
      <c r="CS5" s="28" t="s">
        <v>146</v>
      </c>
      <c r="CT5" s="28" t="s">
        <v>132</v>
      </c>
      <c r="CU5" s="71" t="s">
        <v>175</v>
      </c>
      <c r="CV5" s="28" t="s">
        <v>133</v>
      </c>
      <c r="CW5" s="28" t="s">
        <v>160</v>
      </c>
      <c r="CX5" s="28" t="s">
        <v>159</v>
      </c>
      <c r="CY5" s="28" t="s">
        <v>161</v>
      </c>
      <c r="CZ5" s="28" t="s">
        <v>174</v>
      </c>
      <c r="DA5" s="28"/>
      <c r="DB5" s="28" t="s">
        <v>333</v>
      </c>
      <c r="DC5" s="28" t="s">
        <v>146</v>
      </c>
      <c r="DD5" s="28" t="s">
        <v>132</v>
      </c>
      <c r="DE5" s="71" t="s">
        <v>337</v>
      </c>
      <c r="DF5" s="28" t="s">
        <v>133</v>
      </c>
      <c r="DG5" s="28" t="s">
        <v>392</v>
      </c>
      <c r="DH5" s="28" t="s">
        <v>159</v>
      </c>
      <c r="DI5" s="28" t="s">
        <v>161</v>
      </c>
      <c r="DJ5" s="28" t="s">
        <v>389</v>
      </c>
      <c r="DK5" s="28"/>
      <c r="DL5" s="28" t="s">
        <v>333</v>
      </c>
      <c r="DM5" s="28" t="s">
        <v>146</v>
      </c>
      <c r="DN5" s="28" t="s">
        <v>132</v>
      </c>
      <c r="DO5" s="28" t="s">
        <v>342</v>
      </c>
      <c r="DP5" s="71" t="s">
        <v>327</v>
      </c>
      <c r="DQ5" s="28" t="s">
        <v>133</v>
      </c>
      <c r="DR5" s="28" t="s">
        <v>392</v>
      </c>
      <c r="DS5" s="28" t="s">
        <v>159</v>
      </c>
      <c r="DT5" s="28" t="s">
        <v>161</v>
      </c>
      <c r="DU5" s="28" t="s">
        <v>390</v>
      </c>
      <c r="DV5" s="28"/>
      <c r="DW5" s="28" t="s">
        <v>332</v>
      </c>
      <c r="DX5" s="28" t="s">
        <v>146</v>
      </c>
      <c r="DY5" s="28" t="s">
        <v>132</v>
      </c>
      <c r="DZ5" s="28" t="s">
        <v>342</v>
      </c>
      <c r="EA5" s="71" t="s">
        <v>335</v>
      </c>
      <c r="EB5" s="28" t="s">
        <v>133</v>
      </c>
      <c r="EC5" s="28" t="s">
        <v>392</v>
      </c>
      <c r="ED5" s="28" t="s">
        <v>159</v>
      </c>
      <c r="EE5" s="28" t="s">
        <v>161</v>
      </c>
      <c r="EF5" s="28" t="s">
        <v>391</v>
      </c>
      <c r="EG5" s="28"/>
      <c r="EH5" s="130" t="s">
        <v>137</v>
      </c>
      <c r="EI5" s="28" t="s">
        <v>134</v>
      </c>
      <c r="EJ5" s="28" t="s">
        <v>146</v>
      </c>
      <c r="EK5" s="28" t="s">
        <v>132</v>
      </c>
      <c r="EL5" s="28" t="s">
        <v>133</v>
      </c>
      <c r="EM5" s="28" t="s">
        <v>135</v>
      </c>
      <c r="EN5" s="71" t="s">
        <v>175</v>
      </c>
      <c r="EO5" s="28" t="s">
        <v>156</v>
      </c>
      <c r="EP5" s="28" t="s">
        <v>176</v>
      </c>
      <c r="EQ5" s="28" t="s">
        <v>121</v>
      </c>
      <c r="ER5" s="28" t="s">
        <v>95</v>
      </c>
      <c r="ES5" s="28" t="s">
        <v>96</v>
      </c>
      <c r="ET5" s="28" t="s">
        <v>157</v>
      </c>
      <c r="EU5" s="28" t="s">
        <v>158</v>
      </c>
      <c r="EV5" s="28" t="s">
        <v>160</v>
      </c>
      <c r="EW5" s="28" t="s">
        <v>159</v>
      </c>
      <c r="EX5" s="28" t="s">
        <v>161</v>
      </c>
      <c r="EY5" s="28" t="s">
        <v>174</v>
      </c>
      <c r="EZ5" s="59"/>
      <c r="FA5" s="28" t="s">
        <v>146</v>
      </c>
      <c r="FB5" s="28" t="s">
        <v>132</v>
      </c>
      <c r="FC5" s="28" t="s">
        <v>133</v>
      </c>
      <c r="FD5" s="71" t="s">
        <v>199</v>
      </c>
      <c r="FE5" s="28" t="s">
        <v>200</v>
      </c>
      <c r="FF5" s="28" t="s">
        <v>159</v>
      </c>
      <c r="FG5" s="28" t="s">
        <v>161</v>
      </c>
      <c r="FH5" s="28" t="s">
        <v>201</v>
      </c>
      <c r="FI5" s="59"/>
      <c r="FJ5" s="28" t="s">
        <v>146</v>
      </c>
      <c r="FK5" s="28" t="s">
        <v>132</v>
      </c>
      <c r="FL5" s="28" t="s">
        <v>133</v>
      </c>
      <c r="FM5" s="71" t="s">
        <v>204</v>
      </c>
      <c r="FN5" s="28" t="s">
        <v>202</v>
      </c>
      <c r="FO5" s="28" t="s">
        <v>159</v>
      </c>
      <c r="FP5" s="28" t="s">
        <v>161</v>
      </c>
      <c r="FQ5" s="28" t="s">
        <v>205</v>
      </c>
      <c r="FR5" s="59"/>
      <c r="FS5" s="28" t="s">
        <v>146</v>
      </c>
      <c r="FT5" s="28" t="s">
        <v>132</v>
      </c>
      <c r="FU5" s="28" t="s">
        <v>133</v>
      </c>
      <c r="FV5" s="71" t="s">
        <v>206</v>
      </c>
      <c r="FW5" s="28" t="s">
        <v>209</v>
      </c>
      <c r="FX5" s="28" t="s">
        <v>159</v>
      </c>
      <c r="FY5" s="28" t="s">
        <v>161</v>
      </c>
      <c r="FZ5" s="28" t="s">
        <v>207</v>
      </c>
      <c r="GC5" s="1" t="s">
        <v>180</v>
      </c>
      <c r="GD5" s="2" t="s">
        <v>224</v>
      </c>
      <c r="GE5" s="2" t="s">
        <v>218</v>
      </c>
      <c r="GF5" s="2" t="s">
        <v>219</v>
      </c>
      <c r="GG5" s="2" t="s">
        <v>220</v>
      </c>
      <c r="GH5" s="2" t="s">
        <v>156</v>
      </c>
      <c r="GI5" s="2" t="s">
        <v>176</v>
      </c>
      <c r="GJ5" s="28" t="s">
        <v>431</v>
      </c>
      <c r="GK5" s="28" t="s">
        <v>435</v>
      </c>
      <c r="GL5" s="28" t="s">
        <v>443</v>
      </c>
      <c r="GM5" s="28" t="s">
        <v>451</v>
      </c>
      <c r="GN5" s="28" t="s">
        <v>450</v>
      </c>
      <c r="GO5" s="28" t="s">
        <v>449</v>
      </c>
      <c r="GP5" s="28" t="s">
        <v>95</v>
      </c>
      <c r="GQ5" s="28" t="s">
        <v>96</v>
      </c>
      <c r="GR5" s="28" t="s">
        <v>164</v>
      </c>
      <c r="GS5" s="28" t="s">
        <v>157</v>
      </c>
      <c r="GT5" s="2" t="s">
        <v>221</v>
      </c>
      <c r="GU5" s="2" t="s">
        <v>222</v>
      </c>
      <c r="GV5" s="28" t="s">
        <v>223</v>
      </c>
      <c r="GX5" s="1" t="s">
        <v>180</v>
      </c>
      <c r="GY5" s="2" t="s">
        <v>226</v>
      </c>
      <c r="GZ5" s="2" t="s">
        <v>218</v>
      </c>
      <c r="HA5" s="2" t="s">
        <v>219</v>
      </c>
      <c r="HB5" s="2" t="s">
        <v>220</v>
      </c>
      <c r="HC5" s="2" t="s">
        <v>156</v>
      </c>
      <c r="HD5" s="2" t="s">
        <v>176</v>
      </c>
      <c r="HE5" s="28" t="s">
        <v>431</v>
      </c>
      <c r="HF5" s="28" t="s">
        <v>435</v>
      </c>
      <c r="HG5" s="28" t="s">
        <v>443</v>
      </c>
      <c r="HH5" s="28" t="s">
        <v>451</v>
      </c>
      <c r="HI5" s="28" t="s">
        <v>450</v>
      </c>
      <c r="HJ5" s="28" t="s">
        <v>449</v>
      </c>
      <c r="HK5" s="28" t="s">
        <v>95</v>
      </c>
      <c r="HL5" s="28" t="s">
        <v>96</v>
      </c>
      <c r="HM5" s="28" t="s">
        <v>164</v>
      </c>
      <c r="HN5" s="28" t="s">
        <v>157</v>
      </c>
      <c r="HO5" s="2" t="s">
        <v>221</v>
      </c>
      <c r="HP5" s="2" t="s">
        <v>222</v>
      </c>
      <c r="HQ5" s="28" t="s">
        <v>225</v>
      </c>
      <c r="HS5" s="89" t="s">
        <v>180</v>
      </c>
      <c r="HT5" s="2" t="s">
        <v>245</v>
      </c>
      <c r="HU5" s="2" t="s">
        <v>218</v>
      </c>
      <c r="HV5" s="2" t="s">
        <v>219</v>
      </c>
      <c r="HW5" s="2" t="s">
        <v>220</v>
      </c>
      <c r="HX5" s="2" t="s">
        <v>156</v>
      </c>
      <c r="HY5" s="2" t="s">
        <v>176</v>
      </c>
      <c r="HZ5" s="28" t="s">
        <v>431</v>
      </c>
      <c r="IA5" s="28" t="s">
        <v>435</v>
      </c>
      <c r="IB5" s="28" t="s">
        <v>443</v>
      </c>
      <c r="IC5" s="28" t="s">
        <v>451</v>
      </c>
      <c r="ID5" s="28" t="s">
        <v>450</v>
      </c>
      <c r="IE5" s="28" t="s">
        <v>449</v>
      </c>
      <c r="IF5" s="28" t="s">
        <v>95</v>
      </c>
      <c r="IG5" s="28" t="s">
        <v>96</v>
      </c>
      <c r="IH5" s="28" t="s">
        <v>164</v>
      </c>
      <c r="II5" s="28" t="s">
        <v>157</v>
      </c>
      <c r="IJ5" s="2" t="s">
        <v>221</v>
      </c>
      <c r="IK5" s="2" t="s">
        <v>222</v>
      </c>
      <c r="IL5" s="28" t="s">
        <v>244</v>
      </c>
      <c r="IN5" s="1" t="s">
        <v>180</v>
      </c>
      <c r="IO5" s="2" t="s">
        <v>248</v>
      </c>
      <c r="IP5" s="2" t="s">
        <v>218</v>
      </c>
      <c r="IQ5" s="2" t="s">
        <v>219</v>
      </c>
      <c r="IR5" s="2" t="s">
        <v>220</v>
      </c>
      <c r="IS5" s="2" t="s">
        <v>156</v>
      </c>
      <c r="IT5" s="2" t="s">
        <v>176</v>
      </c>
      <c r="IU5" s="28" t="s">
        <v>431</v>
      </c>
      <c r="IV5" s="28" t="s">
        <v>435</v>
      </c>
      <c r="IW5" s="28" t="s">
        <v>443</v>
      </c>
      <c r="IX5" s="28" t="s">
        <v>451</v>
      </c>
      <c r="IY5" s="28" t="s">
        <v>450</v>
      </c>
      <c r="IZ5" s="28" t="s">
        <v>449</v>
      </c>
      <c r="JA5" s="28" t="s">
        <v>95</v>
      </c>
      <c r="JB5" s="28" t="s">
        <v>96</v>
      </c>
      <c r="JC5" s="28" t="s">
        <v>164</v>
      </c>
      <c r="JD5" s="28" t="s">
        <v>157</v>
      </c>
      <c r="JE5" s="2" t="s">
        <v>221</v>
      </c>
      <c r="JF5" s="2" t="s">
        <v>222</v>
      </c>
      <c r="JG5" s="28" t="s">
        <v>249</v>
      </c>
      <c r="JI5" s="156" t="s">
        <v>407</v>
      </c>
      <c r="JJ5" s="54" t="str">
        <f t="shared" ref="JJ5:JV5" si="0">AW5</f>
        <v>FGL Taxable Gross Earnings (current, that is, respective year USD)</v>
      </c>
      <c r="JK5" s="54" t="str">
        <f t="shared" si="0"/>
        <v>FGL Non-Taxable Gross Earnings (current, that is, respective year USD)</v>
      </c>
      <c r="JL5" s="54" t="str">
        <f t="shared" si="0"/>
        <v>FGL Total Gross Earnings (current, that is, respective year USD)</v>
      </c>
      <c r="JM5" s="54" t="str">
        <f t="shared" si="0"/>
        <v>Federal Poverty Level</v>
      </c>
      <c r="JN5" s="54" t="str">
        <f t="shared" si="0"/>
        <v>Taxable Gross Earnings in 2013 USD</v>
      </c>
      <c r="JO5" s="54" t="str">
        <f t="shared" si="0"/>
        <v>Non-Taxable Gross Earnings in 2013 USD</v>
      </c>
      <c r="JP5" s="54" t="str">
        <f t="shared" si="0"/>
        <v>Loan Timeline, Forbearance</v>
      </c>
      <c r="JQ5" s="54" t="str">
        <f t="shared" si="0"/>
        <v>Amount Borrowed (at the beginning of the year)</v>
      </c>
      <c r="JR5" s="54" t="str">
        <f t="shared" si="0"/>
        <v>Principal (beginning of year)</v>
      </c>
      <c r="JS5" s="54" t="str">
        <f t="shared" si="0"/>
        <v>Accrued Interest</v>
      </c>
      <c r="JT5" s="54" t="str">
        <f t="shared" si="0"/>
        <v>Standard 10 year</v>
      </c>
      <c r="JU5" s="54" t="str">
        <f t="shared" si="0"/>
        <v>End of Year Loan Balance</v>
      </c>
      <c r="JV5" s="54" t="str">
        <f t="shared" si="0"/>
        <v>Loan Payment STD in 2013 USD</v>
      </c>
      <c r="JW5" s="28" t="s">
        <v>431</v>
      </c>
      <c r="JX5" s="28" t="s">
        <v>435</v>
      </c>
      <c r="JY5" s="28" t="s">
        <v>443</v>
      </c>
      <c r="JZ5" s="28" t="s">
        <v>451</v>
      </c>
      <c r="KA5" s="28" t="s">
        <v>450</v>
      </c>
      <c r="KB5" s="28" t="s">
        <v>449</v>
      </c>
      <c r="KC5" s="28" t="s">
        <v>95</v>
      </c>
      <c r="KD5" s="28" t="s">
        <v>96</v>
      </c>
      <c r="KE5" s="54" t="str">
        <f>BR5</f>
        <v>Effective Tax Rate</v>
      </c>
      <c r="KF5" s="54" t="str">
        <f>BS5</f>
        <v>FGL Total After Tax Earnings in 2013 USD</v>
      </c>
      <c r="KG5" s="54" t="str">
        <f>BT5</f>
        <v>Net Pay in 2013 USD</v>
      </c>
      <c r="KH5" s="54" t="str">
        <f>BU5</f>
        <v>PV of Net Pay (Discounted)</v>
      </c>
      <c r="KI5" s="54" t="s">
        <v>409</v>
      </c>
    </row>
    <row r="6" spans="1:295" ht="14.45" x14ac:dyDescent="0.3">
      <c r="A6" s="4"/>
      <c r="B6" s="51"/>
      <c r="C6" s="4"/>
      <c r="D6" s="3"/>
      <c r="E6" s="2"/>
      <c r="F6" s="2"/>
      <c r="G6" s="2"/>
      <c r="H6" s="53"/>
      <c r="I6" s="53"/>
      <c r="J6" s="53"/>
      <c r="K6" s="53"/>
      <c r="L6" s="80"/>
      <c r="M6" s="80"/>
      <c r="N6" s="80"/>
      <c r="O6" s="80"/>
      <c r="P6" s="80"/>
      <c r="Q6" s="80" t="s">
        <v>412</v>
      </c>
      <c r="R6" s="80" t="s">
        <v>413</v>
      </c>
      <c r="S6" s="80" t="s">
        <v>414</v>
      </c>
      <c r="T6" s="53"/>
      <c r="U6" s="53"/>
      <c r="V6" s="53"/>
      <c r="W6" s="53"/>
      <c r="X6" s="53"/>
      <c r="Y6" s="53"/>
      <c r="Z6" s="3"/>
      <c r="AA6" s="4"/>
      <c r="AB6" s="4"/>
      <c r="AC6" s="53"/>
      <c r="AD6" s="53"/>
      <c r="AE6" s="53"/>
      <c r="AF6" s="53"/>
      <c r="AG6" s="53"/>
      <c r="AH6" s="80"/>
      <c r="AI6" s="80"/>
      <c r="AJ6" s="80"/>
      <c r="AK6" s="80"/>
      <c r="AL6" s="80"/>
      <c r="AM6" s="80" t="s">
        <v>412</v>
      </c>
      <c r="AN6" s="80" t="s">
        <v>413</v>
      </c>
      <c r="AO6" s="80" t="s">
        <v>414</v>
      </c>
      <c r="AP6" s="53"/>
      <c r="AQ6" s="53"/>
      <c r="AR6" s="53"/>
      <c r="AS6" s="53"/>
      <c r="AT6" s="53"/>
      <c r="AU6" s="53"/>
      <c r="AV6" s="40"/>
      <c r="AW6" s="80"/>
      <c r="AX6" s="80"/>
      <c r="AY6" s="80"/>
      <c r="AZ6" s="32"/>
      <c r="BA6" s="32"/>
      <c r="BB6" s="32"/>
      <c r="BC6" s="80"/>
      <c r="BD6" s="80"/>
      <c r="BE6" s="80"/>
      <c r="BF6" s="80"/>
      <c r="BG6" s="80"/>
      <c r="BH6" s="80"/>
      <c r="BI6" s="80"/>
      <c r="BJ6" s="80"/>
      <c r="BK6" s="80"/>
      <c r="BL6" s="80"/>
      <c r="BM6" s="80"/>
      <c r="BN6" s="80"/>
      <c r="BO6" s="80" t="s">
        <v>412</v>
      </c>
      <c r="BP6" s="80" t="s">
        <v>413</v>
      </c>
      <c r="BQ6" s="80" t="s">
        <v>414</v>
      </c>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130"/>
      <c r="EI6" s="80"/>
      <c r="EJ6" s="80"/>
      <c r="EK6" s="32"/>
      <c r="EL6" s="80"/>
      <c r="EM6" s="32"/>
      <c r="EN6" s="32"/>
      <c r="EO6" s="32"/>
      <c r="EP6" s="32"/>
      <c r="EQ6" s="53" t="s">
        <v>195</v>
      </c>
      <c r="ER6" s="53" t="s">
        <v>196</v>
      </c>
      <c r="ES6" s="53" t="s">
        <v>197</v>
      </c>
      <c r="ET6" s="53"/>
      <c r="EU6" s="53"/>
      <c r="EV6" s="53"/>
      <c r="EW6" s="53"/>
      <c r="EX6" s="53"/>
      <c r="EY6" s="53"/>
      <c r="EZ6" s="79"/>
      <c r="FA6" s="53"/>
      <c r="FB6" s="53"/>
      <c r="FC6" s="53"/>
      <c r="FD6" s="53"/>
      <c r="FE6" s="53"/>
      <c r="FF6" s="53"/>
      <c r="FG6" s="53"/>
      <c r="FH6" s="53"/>
      <c r="FI6" s="79"/>
      <c r="FJ6" s="53"/>
      <c r="FK6" s="53"/>
      <c r="FL6" s="53"/>
      <c r="FM6" s="53"/>
      <c r="FN6" s="53"/>
      <c r="FO6" s="53"/>
      <c r="FP6" s="53"/>
      <c r="FQ6" s="53"/>
      <c r="FR6" s="79"/>
      <c r="FS6" s="53"/>
      <c r="FT6" s="53"/>
      <c r="FU6" s="53"/>
      <c r="FV6" s="53"/>
      <c r="FW6" s="53"/>
      <c r="FX6" s="53"/>
      <c r="FY6" s="53"/>
      <c r="FZ6" s="53"/>
      <c r="GC6" s="3"/>
      <c r="GD6" s="2"/>
      <c r="GE6" s="2"/>
      <c r="GF6" s="53"/>
      <c r="GG6" s="53"/>
      <c r="GH6" s="53"/>
      <c r="GI6" s="53"/>
      <c r="GJ6" s="80"/>
      <c r="GK6" s="80"/>
      <c r="GL6" s="80"/>
      <c r="GM6" s="80"/>
      <c r="GN6" s="80"/>
      <c r="GO6" s="80" t="s">
        <v>412</v>
      </c>
      <c r="GP6" s="80" t="s">
        <v>413</v>
      </c>
      <c r="GQ6" s="80" t="s">
        <v>414</v>
      </c>
      <c r="GR6" s="53"/>
      <c r="GS6" s="53"/>
      <c r="GT6" s="53"/>
      <c r="GU6" s="53"/>
      <c r="GV6" s="53"/>
      <c r="GX6" s="3"/>
      <c r="GY6" s="4"/>
      <c r="GZ6" s="53"/>
      <c r="HA6" s="53"/>
      <c r="HB6" s="53"/>
      <c r="HC6" s="53"/>
      <c r="HD6" s="53"/>
      <c r="HE6" s="80"/>
      <c r="HF6" s="80"/>
      <c r="HG6" s="80"/>
      <c r="HH6" s="80"/>
      <c r="HI6" s="80"/>
      <c r="HJ6" s="80" t="s">
        <v>412</v>
      </c>
      <c r="HK6" s="80" t="s">
        <v>413</v>
      </c>
      <c r="HL6" s="80" t="s">
        <v>414</v>
      </c>
      <c r="HM6" s="53"/>
      <c r="HN6" s="53"/>
      <c r="HO6" s="53"/>
      <c r="HP6" s="53"/>
      <c r="HQ6" s="53"/>
      <c r="HS6" s="7"/>
      <c r="HZ6" s="80"/>
      <c r="IA6" s="80"/>
      <c r="IB6" s="80"/>
      <c r="IC6" s="80"/>
      <c r="ID6" s="80"/>
      <c r="IE6" s="80" t="s">
        <v>412</v>
      </c>
      <c r="IF6" s="80" t="s">
        <v>413</v>
      </c>
      <c r="IG6" s="80" t="s">
        <v>414</v>
      </c>
      <c r="IN6" s="7"/>
      <c r="IU6" s="80"/>
      <c r="IV6" s="80"/>
      <c r="IW6" s="80"/>
      <c r="IX6" s="80"/>
      <c r="IY6" s="80"/>
      <c r="IZ6" s="80" t="s">
        <v>412</v>
      </c>
      <c r="JA6" s="80" t="s">
        <v>413</v>
      </c>
      <c r="JB6" s="80" t="s">
        <v>414</v>
      </c>
      <c r="JI6" s="40"/>
      <c r="JW6" s="80"/>
      <c r="JX6" s="80"/>
      <c r="JY6" s="80"/>
      <c r="JZ6" s="80"/>
      <c r="KA6" s="80"/>
      <c r="KB6" s="80" t="s">
        <v>412</v>
      </c>
      <c r="KC6" s="80" t="s">
        <v>413</v>
      </c>
      <c r="KD6" s="80" t="s">
        <v>414</v>
      </c>
    </row>
    <row r="7" spans="1:295" ht="14.45" x14ac:dyDescent="0.3">
      <c r="A7" s="4">
        <v>2013</v>
      </c>
      <c r="B7" s="51">
        <v>1</v>
      </c>
      <c r="C7" s="4"/>
      <c r="D7" s="45">
        <v>0</v>
      </c>
      <c r="E7" s="4" t="s">
        <v>15</v>
      </c>
      <c r="F7" s="5">
        <f>InputData!$C$26*12</f>
        <v>34516.800000000003</v>
      </c>
      <c r="G7" s="5">
        <f>InputData!$C$26*12</f>
        <v>34516.800000000003</v>
      </c>
      <c r="H7" s="5">
        <f>(InputData!$H$37+InputData!$C$40)*12</f>
        <v>25411.199999999997</v>
      </c>
      <c r="I7" s="5">
        <f>G7+H7</f>
        <v>59928</v>
      </c>
      <c r="J7" s="5">
        <f>G7*((1+InputData!$C$5)/(1+InputData!$C$3))^(GenSurg!$B7-GenSurg!$B$7)</f>
        <v>34516.800000000003</v>
      </c>
      <c r="K7" s="5">
        <f>H7*((1+InputData!$C$5)/(1+InputData!$C$3))^(GenSurg!$B7-GenSurg!$B$7)</f>
        <v>25411.199999999997</v>
      </c>
      <c r="L7" s="32">
        <f>IF(J7-InputData!$C$158-InputData!$C$159&gt;=0,J7-InputData!$C$158-InputData!$C$159,0)</f>
        <v>34516.800000000003</v>
      </c>
      <c r="M7" s="32">
        <f>IF(J7-IF(J7&lt;=InputData!$C$146,InputData!$C$145,0)-MAX(InputData!$C$144,S7)&gt;=0,J7-IF(J7&lt;=InputData!$C$146,InputData!$C$145,0)-MAX(InputData!$C$144,S7),0)</f>
        <v>24516.800000000003</v>
      </c>
      <c r="N7" s="32">
        <f>IF(M7&lt;0,"Error",IF(M7&lt;=InputData!$B$170,InputData!$C$170*M7,IF(M7&lt;=InputData!$B$171,InputData!$D$170+InputData!$C$171*(M7-InputData!$B$170),IF(M7&lt;=InputData!$B$172,InputData!$D$171+InputData!$C$172*(M7-InputData!$B$171),IF(M7&lt;=InputData!$B$173,InputData!$D$172+InputData!$C$173*(M7-InputData!$B$172),IF(M7&lt;=InputData!$B$174,InputData!$D$173+InputData!$C$174*(M7-InputData!$B$173),IF(M7&lt;=InputData!$B$175,InputData!$D$174+InputData!$C$175*(M7-InputData!$B$174),InputData!$D$175+InputData!$C$176*(M7-InputData!$B$175))))))))</f>
        <v>3231.2700000000004</v>
      </c>
      <c r="O7" s="32">
        <f>IF(J7&lt;=InputData!$C$150,InputData!$C$152,IF(J7&lt;InputData!$C$151,IF(InputData!$C$152-0.25*IF(J7-InputData!$C$150&lt;=0,0,J7-InputData!$C$150)&lt;=0,0,InputData!$C$152-0.25*IF(J7-InputData!$C$150&lt;=0,0,J7-InputData!$C$150)),0))</f>
        <v>51900</v>
      </c>
      <c r="P7" s="32">
        <f>IF(J7-O7&lt;=0,0,IF(J7-O7&lt;=InputData!$C$153,InputData!$C$154*(J7-O7),InputData!$C$155*(J7-O7)-InputData!$D$154))</f>
        <v>0</v>
      </c>
      <c r="Q7" s="32">
        <f>MAX(N7,P7)</f>
        <v>3231.2700000000004</v>
      </c>
      <c r="R7" s="32">
        <f>IF(J7&gt;=0,IF(J7&lt;=InputData!$C$148,InputData!$C$147*J7,InputData!$C$147*InputData!$C$148)+InputData!$C$149*J7,0)</f>
        <v>2640.5352000000003</v>
      </c>
      <c r="S7" s="32">
        <f>IF(L7&lt;0,0,IF(L7&lt;=InputData!$B$163,InputData!$C$163*L7,IF(L7&lt;=InputData!$B$164,InputData!$D$163+InputData!$C$164*(L7-InputData!$B$163),IF(L7&lt;=InputData!$B$165,InputData!$D$164+InputData!$C$165*(L7-InputData!$B$164),InputData!$D$165+InputData!$C$166*(L7-InputData!$B$165)))))</f>
        <v>0</v>
      </c>
      <c r="T7" s="43">
        <f>(Q7+R7+S7)/J7</f>
        <v>0.17011441385064666</v>
      </c>
      <c r="U7" s="43">
        <f>(Q7+R7+S7)/(J7+K7)</f>
        <v>9.7980997196635972E-2</v>
      </c>
      <c r="V7" s="5">
        <f>J7+K7-Q7-R7-S7</f>
        <v>54056.194799999997</v>
      </c>
      <c r="W7" s="32">
        <f>V7/((1+InputData!$C$7)^(GenSurg!$B7-GenSurg!$B$7))</f>
        <v>54056.194799999997</v>
      </c>
      <c r="X7" s="5">
        <f>W7</f>
        <v>54056.194799999997</v>
      </c>
      <c r="Y7" s="53"/>
      <c r="Z7" s="45">
        <v>0</v>
      </c>
      <c r="AA7" s="4" t="s">
        <v>0</v>
      </c>
      <c r="AB7" s="4"/>
      <c r="AC7" s="5">
        <f>InputData!$C$67*10.5+(IntMed!G7+IntMed!H7)*45/365.25+InputData!$G$67</f>
        <v>49307.326488706363</v>
      </c>
      <c r="AD7" s="5">
        <v>0</v>
      </c>
      <c r="AE7" s="5">
        <f>AC7+AD7</f>
        <v>49307.326488706363</v>
      </c>
      <c r="AF7" s="5">
        <f>AC7*((1+InputData!$C$5)/(1+InputData!$C$3))^(GenSurg!$B7-GenSurg!$B$7)</f>
        <v>49307.326488706363</v>
      </c>
      <c r="AG7" s="5">
        <f>AD7*((1+InputData!$C$5)/(1+InputData!$C$3))^(GenSurg!$B7-GenSurg!$B$7)</f>
        <v>0</v>
      </c>
      <c r="AH7" s="32">
        <f>IF(AF7-InputData!$C$158-InputData!$C$159&gt;=0,AF7-InputData!$C$158-InputData!$C$159,0)</f>
        <v>49307.326488706363</v>
      </c>
      <c r="AI7" s="32">
        <f>IF(AF7-IF(AF7&lt;=InputData!$C$146,InputData!$C$145,0)-MAX(InputData!$C$144,AO7)&gt;=0,AF7-IF(AF7&lt;=InputData!$C$146,InputData!$C$145,0)-MAX(InputData!$C$144,AO7),0)</f>
        <v>39307.326488706363</v>
      </c>
      <c r="AJ7" s="32">
        <f>IF(AI7&lt;0,"Error",IF(AI7&lt;=InputData!$B$170,InputData!$C$170*AI7,IF(AI7&lt;=InputData!$B$171,InputData!$D$170+InputData!$C$171*(AI7-InputData!$B$170),IF(AI7&lt;=InputData!$B$172,InputData!$D$171+InputData!$C$172*(AI7-InputData!$B$171),IF(AI7&lt;=InputData!$B$173,InputData!$D$172+InputData!$C$173*(AI7-InputData!$B$172),IF(AI7&lt;=InputData!$B$174,InputData!$D$173+InputData!$C$174*(AI7-InputData!$B$173),IF(AI7&lt;=InputData!$B$175,InputData!$D$174+InputData!$C$175*(AI7-InputData!$B$174),InputData!$D$175+InputData!$C$176*(AI7-InputData!$B$175))))))))</f>
        <v>5755.5816221765908</v>
      </c>
      <c r="AK7" s="32">
        <f>IF(AF7&lt;=InputData!$C$150,InputData!$C$152,IF(AF7&lt;InputData!$C$151,IF(InputData!$C$152-0.25*IF(AF7-InputData!$C$150&lt;=0,0,AF7-InputData!$C$150)&lt;=0,0,InputData!$C$152-0.25*IF(AF7-InputData!$C$150&lt;=0,0,AF7-InputData!$C$150)),0))</f>
        <v>51900</v>
      </c>
      <c r="AL7" s="32">
        <f>IF(AF7-AK7&lt;=0,0,IF(AF7-AK7&lt;=InputData!$C$153,InputData!$C$154*(AF7-AK7),InputData!$C$155*(AF7-AK7)-InputData!$D$154))</f>
        <v>0</v>
      </c>
      <c r="AM7" s="32">
        <f>MAX(AJ7,AL7)</f>
        <v>5755.5816221765908</v>
      </c>
      <c r="AN7" s="32">
        <v>0</v>
      </c>
      <c r="AO7" s="32">
        <f>IF(AH7&lt;0,0,IF(AH7&lt;=InputData!$B$163,InputData!$C$163*AH7,IF(AH7&lt;=InputData!$B$164,InputData!$D$163+InputData!$C$164*(AH7-InputData!$B$163),IF(AH7&lt;=InputData!$B$165,InputData!$D$164+InputData!$C$165*(AH7-InputData!$B$164),InputData!$D$165+InputData!$C$166*(AH7-InputData!$B$165)))))</f>
        <v>0</v>
      </c>
      <c r="AP7" s="43">
        <f>(AM7+AN7+AO7)/AF7</f>
        <v>0.11672873043511865</v>
      </c>
      <c r="AQ7" s="43">
        <f>(AM7+AN7+AO7)/(AF7+AG7)</f>
        <v>0.11672873043511865</v>
      </c>
      <c r="AR7" s="5">
        <f>AF7+AG7-AM7-AN7-AO7</f>
        <v>43551.744866529771</v>
      </c>
      <c r="AS7" s="32">
        <f>AR7/((1+InputData!$C$7)^(GenSurg!$B7-GenSurg!$B$7))</f>
        <v>43551.744866529771</v>
      </c>
      <c r="AT7" s="5">
        <f>AS7</f>
        <v>43551.744866529771</v>
      </c>
      <c r="AU7" s="53"/>
      <c r="AV7" s="41" t="s">
        <v>0</v>
      </c>
      <c r="AW7" s="32">
        <v>0</v>
      </c>
      <c r="AX7" s="32">
        <f>-(BD7+BF7)</f>
        <v>-43015.05</v>
      </c>
      <c r="AY7" s="32">
        <f>AW7+AX7</f>
        <v>-43015.05</v>
      </c>
      <c r="AZ7" s="32">
        <f>InputData!$C$92</f>
        <v>11490</v>
      </c>
      <c r="BA7" s="32">
        <f>AW7/((1+InputData!$C$3)^(GenSurg!$B7-GenSurg!$B$7))</f>
        <v>0</v>
      </c>
      <c r="BB7" s="32">
        <f>AX7/((1+InputData!$C$3)^(GenSurg!$B7-GenSurg!$B$7))</f>
        <v>-43015.05</v>
      </c>
      <c r="BC7" s="32" t="s">
        <v>143</v>
      </c>
      <c r="BD7" s="118">
        <f>InputData!$C$88*9/40</f>
        <v>40500</v>
      </c>
      <c r="BE7" s="32">
        <f>BD7</f>
        <v>40500</v>
      </c>
      <c r="BF7" s="32">
        <f>BE7*InputData!$C$6</f>
        <v>2515.0500000000002</v>
      </c>
      <c r="BG7" s="32">
        <v>0</v>
      </c>
      <c r="BH7" s="32">
        <f>BE7+BF7-BG7</f>
        <v>43015.05</v>
      </c>
      <c r="BI7" s="32">
        <f>BG7/((1+InputData!$C$3)^(GenSurg!$B7-GenSurg!$B$7))</f>
        <v>0</v>
      </c>
      <c r="BJ7" s="32">
        <f>IF(BA7-InputData!$C$158-InputData!$C$159&gt;=0,BA7-InputData!$C$158-InputData!$C$159,0)</f>
        <v>0</v>
      </c>
      <c r="BK7" s="32">
        <f>IF(BA7-IF(BA7&lt;=InputData!$C$146,InputData!$C$145,0)-MAX(InputData!$C$144,BQ7)&gt;=0,BA7-IF(BA7&lt;=InputData!$C$146,InputData!$C$145,0)-MAX(InputData!$C$144,BQ7),0)</f>
        <v>0</v>
      </c>
      <c r="BL7" s="32">
        <f>IF(BK7&lt;0,"Error",IF(BK7&lt;=InputData!$B$170,InputData!$C$170*BK7,IF(BK7&lt;=InputData!$B$171,InputData!$D$170+InputData!$C$171*(BK7-InputData!$B$170),IF(BK7&lt;=InputData!$B$172,InputData!$D$171+InputData!$C$172*(BK7-InputData!$B$171),IF(BK7&lt;=InputData!$B$173,InputData!$D$172+InputData!$C$173*(BK7-InputData!$B$172),IF(BK7&lt;=InputData!$B$174,InputData!$D$173+InputData!$C$174*(BK7-InputData!$B$173),IF(BK7&lt;=InputData!$B$175,InputData!$D$174+InputData!$C$175*(BK7-InputData!$B$174),InputData!$D$175+InputData!$C$176*(BK7-InputData!$B$175))))))))</f>
        <v>0</v>
      </c>
      <c r="BM7" s="32">
        <f>IF(BA7&lt;=InputData!$C$150,InputData!$C$152,IF(BA7&lt;InputData!$C$151,IF(InputData!$C$152-0.25*IF(BA7-InputData!$C$150&lt;=0,0,BA7-InputData!$C$150)&lt;=0,0,InputData!$C$152-0.25*IF(BA7-InputData!$C$150&lt;=0,0,BA7-InputData!$C$150)),0))</f>
        <v>51900</v>
      </c>
      <c r="BN7" s="32">
        <f>IF(BA7-BM7&lt;=0,0,IF(BA7-BM7&lt;=InputData!$C$153,InputData!$C$154*(BA7-BM7),InputData!$C$155*(BA7-BM7)-InputData!$D$154))</f>
        <v>0</v>
      </c>
      <c r="BO7" s="32">
        <f>MAX(BL7,BN7)</f>
        <v>0</v>
      </c>
      <c r="BP7" s="32">
        <f>IF(BA7&gt;=0,IF(BA7&lt;=InputData!$C$148,InputData!$C$147*BA7,InputData!$C$147*InputData!$C$148)+InputData!$C$149*BA7,0)</f>
        <v>0</v>
      </c>
      <c r="BQ7" s="32">
        <f>IF(BJ7&lt;0,0,IF(BJ7&lt;=InputData!$B$163,InputData!$C$163*BJ7,IF(BJ7&lt;=InputData!$B$164,InputData!$D$163+InputData!$C$164*(BJ7-InputData!$B$163),IF(BJ7&lt;=InputData!$B$165,InputData!$D$164+InputData!$C$165*(BJ7-InputData!$B$164),InputData!$D$165+InputData!$C$166*(BJ7-InputData!$B$165)))))</f>
        <v>0</v>
      </c>
      <c r="BR7" s="43">
        <f>(BO7+BP7+BQ7)/(BA7+BB7)</f>
        <v>0</v>
      </c>
      <c r="BS7" s="32">
        <f>BA7+BB7-(BO7+BP7+BQ7)</f>
        <v>-43015.05</v>
      </c>
      <c r="BT7" s="32">
        <f>BS7-BI7</f>
        <v>-43015.05</v>
      </c>
      <c r="BU7" s="32">
        <f>BT7/((1+InputData!$C$7)^(GenSurg!$B7-GenSurg!$B$7))</f>
        <v>-43015.05</v>
      </c>
      <c r="BV7" s="5">
        <f>BU7</f>
        <v>-43015.05</v>
      </c>
      <c r="BW7" s="5"/>
      <c r="BX7" s="32" t="s">
        <v>143</v>
      </c>
      <c r="BY7" s="5">
        <f>$BE7</f>
        <v>40500</v>
      </c>
      <c r="BZ7" s="5">
        <f>$BF7</f>
        <v>2515.0500000000002</v>
      </c>
      <c r="CA7" s="5">
        <v>0</v>
      </c>
      <c r="CB7" s="5">
        <f>$BH7</f>
        <v>43015.05</v>
      </c>
      <c r="CC7" s="32">
        <f>CA7/((1+InputData!$C$3)^(GenSurg!$B7-GenSurg!$B$7))</f>
        <v>0</v>
      </c>
      <c r="CD7" s="5">
        <f>$BS7-CC7</f>
        <v>-43015.05</v>
      </c>
      <c r="CE7" s="32">
        <f>CD7/((1+InputData!$C$7)^(GenSurg!$B7-GenSurg!$B$7))</f>
        <v>-43015.05</v>
      </c>
      <c r="CF7" s="5">
        <f>CE7</f>
        <v>-43015.05</v>
      </c>
      <c r="CG7" s="5"/>
      <c r="CH7" s="32" t="s">
        <v>143</v>
      </c>
      <c r="CI7" s="5">
        <f>$BE7</f>
        <v>40500</v>
      </c>
      <c r="CJ7" s="5">
        <f>$BF7</f>
        <v>2515.0500000000002</v>
      </c>
      <c r="CK7" s="5">
        <v>0</v>
      </c>
      <c r="CL7" s="5">
        <f>$BH7</f>
        <v>43015.05</v>
      </c>
      <c r="CM7" s="32">
        <f>CK7/((1+InputData!$C$3)^(GenSurg!$B7-GenSurg!$B$7))</f>
        <v>0</v>
      </c>
      <c r="CN7" s="5">
        <f>$BS7-CM7</f>
        <v>-43015.05</v>
      </c>
      <c r="CO7" s="32">
        <f>CN7/((1+InputData!$C$7)^(GenSurg!$B7-GenSurg!$B$7))</f>
        <v>-43015.05</v>
      </c>
      <c r="CP7" s="5">
        <f>CO7</f>
        <v>-43015.05</v>
      </c>
      <c r="CQ7" s="5"/>
      <c r="CR7" s="32" t="s">
        <v>143</v>
      </c>
      <c r="CS7" s="5">
        <f>$BE7</f>
        <v>40500</v>
      </c>
      <c r="CT7" s="5">
        <f>$BF7</f>
        <v>2515.0500000000002</v>
      </c>
      <c r="CU7" s="5">
        <v>0</v>
      </c>
      <c r="CV7" s="5">
        <f>$BH7</f>
        <v>43015.05</v>
      </c>
      <c r="CW7" s="32">
        <f>CU7/((1+InputData!$C$3)^(GenSurg!$B7-GenSurg!$B$7))</f>
        <v>0</v>
      </c>
      <c r="CX7" s="5">
        <f>$BS7-CW7</f>
        <v>-43015.05</v>
      </c>
      <c r="CY7" s="32">
        <f>CX7/((1+InputData!$C$7)^(GenSurg!$B7-GenSurg!$B$7))</f>
        <v>-43015.05</v>
      </c>
      <c r="CZ7" s="5">
        <f>CY7</f>
        <v>-43015.05</v>
      </c>
      <c r="DA7" s="5"/>
      <c r="DB7" s="32" t="s">
        <v>143</v>
      </c>
      <c r="DC7" s="5">
        <f>$BE7</f>
        <v>40500</v>
      </c>
      <c r="DD7" s="5">
        <f>$BF7</f>
        <v>2515.0500000000002</v>
      </c>
      <c r="DE7" s="5">
        <v>0</v>
      </c>
      <c r="DF7" s="5">
        <f>$BH7</f>
        <v>43015.05</v>
      </c>
      <c r="DG7" s="32">
        <f>DE7/((1+InputData!$C$3)^(GenSurg!$B7-GenSurg!$B$7))</f>
        <v>0</v>
      </c>
      <c r="DH7" s="5">
        <f>$BS7-DG7</f>
        <v>-43015.05</v>
      </c>
      <c r="DI7" s="32">
        <f>DH7/((1+InputData!$C$7)^(GenSurg!$B7-GenSurg!$B$7))</f>
        <v>-43015.05</v>
      </c>
      <c r="DJ7" s="5">
        <f>DI7</f>
        <v>-43015.05</v>
      </c>
      <c r="DK7" s="5"/>
      <c r="DL7" s="32" t="s">
        <v>143</v>
      </c>
      <c r="DM7" s="5">
        <f>$BE7</f>
        <v>40500</v>
      </c>
      <c r="DN7" s="5">
        <f>$BF7</f>
        <v>2515.0500000000002</v>
      </c>
      <c r="DO7" s="5">
        <f>DN7-DP7</f>
        <v>2515.0500000000002</v>
      </c>
      <c r="DP7" s="5">
        <v>0</v>
      </c>
      <c r="DQ7" s="5">
        <f>$BH7</f>
        <v>43015.05</v>
      </c>
      <c r="DR7" s="32">
        <f>DP7/((1+InputData!$C$3)^(GenSurg!$B7-GenSurg!$B$7))</f>
        <v>0</v>
      </c>
      <c r="DS7" s="5">
        <f>$BS7-DR7</f>
        <v>-43015.05</v>
      </c>
      <c r="DT7" s="32">
        <f>DS7/((1+InputData!$C$7)^(GenSurg!$B7-GenSurg!$B$7))</f>
        <v>-43015.05</v>
      </c>
      <c r="DU7" s="5">
        <f>DT7</f>
        <v>-43015.05</v>
      </c>
      <c r="DV7" s="5"/>
      <c r="DW7" s="32" t="s">
        <v>143</v>
      </c>
      <c r="DX7" s="5">
        <f>$BE7</f>
        <v>40500</v>
      </c>
      <c r="DY7" s="5">
        <f>$BF7</f>
        <v>2515.0500000000002</v>
      </c>
      <c r="DZ7" s="5">
        <f>DY7</f>
        <v>2515.0500000000002</v>
      </c>
      <c r="EA7" s="5">
        <v>0</v>
      </c>
      <c r="EB7" s="5">
        <f>$BH7</f>
        <v>43015.05</v>
      </c>
      <c r="EC7" s="32">
        <f>EA7/((1+InputData!$C$3)^(GenSurg!$B7-GenSurg!$B$7))</f>
        <v>0</v>
      </c>
      <c r="ED7" s="5">
        <f>$BS7-EC7</f>
        <v>-43015.05</v>
      </c>
      <c r="EE7" s="32">
        <f>ED7/((1+InputData!$C$7)^(GenSurg!$B7-GenSurg!$B$7))</f>
        <v>-43015.05</v>
      </c>
      <c r="EF7" s="5">
        <f>EE7</f>
        <v>-43015.05</v>
      </c>
      <c r="EG7" s="32"/>
      <c r="EH7" s="130" t="s">
        <v>143</v>
      </c>
      <c r="EI7" s="32">
        <f>InputData!$C$88/4</f>
        <v>45000</v>
      </c>
      <c r="EJ7" s="32">
        <f>EI7</f>
        <v>45000</v>
      </c>
      <c r="EK7" s="32">
        <f>EI7*InputData!$C$6</f>
        <v>2794.5</v>
      </c>
      <c r="EL7" s="32">
        <f>EI7+EK7</f>
        <v>47794.5</v>
      </c>
      <c r="EM7" s="32">
        <f>InputData!$C$92</f>
        <v>11490</v>
      </c>
      <c r="EN7" s="32">
        <v>0</v>
      </c>
      <c r="EO7" s="32">
        <f>AW7</f>
        <v>0</v>
      </c>
      <c r="EP7" s="32">
        <f>AX7</f>
        <v>-43015.05</v>
      </c>
      <c r="EQ7" s="32">
        <v>0</v>
      </c>
      <c r="ER7" s="32">
        <v>0</v>
      </c>
      <c r="ES7" s="32">
        <v>0</v>
      </c>
      <c r="ET7" s="43"/>
      <c r="EU7" s="32">
        <f>EO7+EP7-EQ7-ER7-ES7</f>
        <v>-43015.05</v>
      </c>
      <c r="EV7" s="32">
        <f>EN7/((1+InputData!$C$3)^(GenSurg!$B7-GenSurg!$B$7))</f>
        <v>0</v>
      </c>
      <c r="EW7" s="32">
        <f>EU7-EV7</f>
        <v>-43015.05</v>
      </c>
      <c r="EX7" s="32">
        <f>EW7/((1+InputData!$C$7)^(GenSurg!$B7-GenSurg!$B$7))</f>
        <v>-43015.05</v>
      </c>
      <c r="EY7" s="5">
        <f>EX7</f>
        <v>-43015.05</v>
      </c>
      <c r="EZ7" s="79"/>
      <c r="FA7" s="32">
        <f>$EJ7</f>
        <v>45000</v>
      </c>
      <c r="FB7" s="32">
        <f>$EK7</f>
        <v>2794.5</v>
      </c>
      <c r="FC7" s="32">
        <f>$EL7</f>
        <v>47794.5</v>
      </c>
      <c r="FD7" s="32">
        <v>0</v>
      </c>
      <c r="FE7" s="32">
        <f>FD7/((1+InputData!$C$3)^(GenSurg!$B7-GenSurg!$B$7))</f>
        <v>0</v>
      </c>
      <c r="FF7" s="5">
        <f>$EU7-FE7</f>
        <v>-43015.05</v>
      </c>
      <c r="FG7" s="32">
        <f>FF7/((1+InputData!$C$7)^(GenSurg!$B7-GenSurg!$B$7))</f>
        <v>-43015.05</v>
      </c>
      <c r="FH7" s="5">
        <f>FG7</f>
        <v>-43015.05</v>
      </c>
      <c r="FI7" s="79"/>
      <c r="FJ7" s="32">
        <f>$EJ7</f>
        <v>45000</v>
      </c>
      <c r="FK7" s="32">
        <f>$EK7</f>
        <v>2794.5</v>
      </c>
      <c r="FL7" s="32">
        <f>$EL7</f>
        <v>47794.5</v>
      </c>
      <c r="FM7" s="32">
        <v>0</v>
      </c>
      <c r="FN7" s="32">
        <f>FM7/((1+InputData!$C$3)^(GenSurg!$B7-GenSurg!$B$7))</f>
        <v>0</v>
      </c>
      <c r="FO7" s="5">
        <f>$EU7-FN7</f>
        <v>-43015.05</v>
      </c>
      <c r="FP7" s="32">
        <f>FO7/((1+InputData!$C$7)^(GenSurg!$B7-GenSurg!$B$7))</f>
        <v>-43015.05</v>
      </c>
      <c r="FQ7" s="5">
        <f>FP7</f>
        <v>-43015.05</v>
      </c>
      <c r="FR7" s="79"/>
      <c r="FS7" s="32">
        <f>$EJ7</f>
        <v>45000</v>
      </c>
      <c r="FT7" s="32">
        <f>$EK7</f>
        <v>2794.5</v>
      </c>
      <c r="FU7" s="32">
        <f>$EL7</f>
        <v>47794.5</v>
      </c>
      <c r="FV7" s="32">
        <v>0</v>
      </c>
      <c r="FW7" s="32">
        <f>FV7/((1+InputData!$C$3)^(GenSurg!$B7-GenSurg!$B$7))</f>
        <v>0</v>
      </c>
      <c r="FX7" s="5">
        <f>$EU7-FW7</f>
        <v>-43015.05</v>
      </c>
      <c r="FY7" s="32">
        <f>FX7/((1+InputData!$C$7)^(GenSurg!$B7-GenSurg!$B$7))</f>
        <v>-43015.05</v>
      </c>
      <c r="FZ7" s="5">
        <f>FY7</f>
        <v>-43015.05</v>
      </c>
      <c r="GC7" s="3">
        <f t="shared" ref="GC7:GC30" si="1">D7</f>
        <v>0</v>
      </c>
      <c r="GD7" s="4" t="str">
        <f t="shared" ref="GD7:GD30" si="2">E7</f>
        <v>Med School (O1&lt;=2 yrs)</v>
      </c>
      <c r="GE7" s="5">
        <f t="shared" ref="GE7:GE30" si="3">G7</f>
        <v>34516.800000000003</v>
      </c>
      <c r="GF7" s="5">
        <f t="shared" ref="GF7:GF30" si="4">H7</f>
        <v>25411.199999999997</v>
      </c>
      <c r="GG7" s="5">
        <f t="shared" ref="GG7:GG30" si="5">I7</f>
        <v>59928</v>
      </c>
      <c r="GH7" s="5">
        <f t="shared" ref="GH7:GH30" si="6">J7</f>
        <v>34516.800000000003</v>
      </c>
      <c r="GI7" s="5">
        <f t="shared" ref="GI7:GI30" si="7">K7</f>
        <v>25411.199999999997</v>
      </c>
      <c r="GJ7" s="32">
        <f>IF(GH7-InputData!$C$158-InputData!$C$159&gt;=0,GH7-InputData!$C$158-InputData!$C$159,0)</f>
        <v>34516.800000000003</v>
      </c>
      <c r="GK7" s="32">
        <f>IF(GH7-IF(GH7&lt;=InputData!$C$146,InputData!$C$145,0)-MAX(InputData!$C$144,GQ7)&gt;=0,GH7-IF(GH7&lt;=InputData!$C$146,InputData!$C$145,0)-MAX(InputData!$C$144,GQ7),0)</f>
        <v>24516.800000000003</v>
      </c>
      <c r="GL7" s="32">
        <f>IF(GK7&lt;0,"Error",IF(GK7&lt;=InputData!$B$170,InputData!$C$170*GK7,IF(GK7&lt;=InputData!$B$171,InputData!$D$170+InputData!$C$171*(GK7-InputData!$B$170),IF(GK7&lt;=InputData!$B$172,InputData!$D$171+InputData!$C$172*(GK7-InputData!$B$171),IF(GK7&lt;=InputData!$B$173,InputData!$D$172+InputData!$C$173*(GK7-InputData!$B$172),IF(GK7&lt;=InputData!$B$174,InputData!$D$173+InputData!$C$174*(GK7-InputData!$B$173),IF(GK7&lt;=InputData!$B$175,InputData!$D$174+InputData!$C$175*(GK7-InputData!$B$174),InputData!$D$175+InputData!$C$176*(GK7-InputData!$B$175))))))))</f>
        <v>3231.2700000000004</v>
      </c>
      <c r="GM7" s="32">
        <f>IF(GH7&lt;=InputData!$C$150,InputData!$C$152,IF(GH7&lt;InputData!$C$151,IF(InputData!$C$152-0.25*IF(GH7-InputData!$C$150&lt;=0,0,GH7-InputData!$C$150)&lt;=0,0,InputData!$C$152-0.25*IF(GH7-InputData!$C$150&lt;=0,0,GH7-InputData!$C$150)),0))</f>
        <v>51900</v>
      </c>
      <c r="GN7" s="32">
        <f>IF(GH7-GM7&lt;=0,0,IF(GH7-GM7&lt;=InputData!$C$153,InputData!$C$154*(GH7-GM7),InputData!$C$155*(GH7-GM7)-InputData!$D$154))</f>
        <v>0</v>
      </c>
      <c r="GO7" s="32">
        <f>MAX(GL7,GN7)</f>
        <v>3231.2700000000004</v>
      </c>
      <c r="GP7" s="32">
        <f>IF(GH7&gt;=0,IF(GH7&lt;=InputData!$C$148,InputData!$C$147*GH7,InputData!$C$147*InputData!$C$148)+InputData!$C$149*GH7,0)</f>
        <v>2640.5352000000003</v>
      </c>
      <c r="GQ7" s="32">
        <f>IF(GJ7&lt;0,0,IF(GJ7&lt;=InputData!$B$163,InputData!$C$163*GJ7,IF(GJ7&lt;=InputData!$B$164,InputData!$D$163+InputData!$C$164*(GJ7-InputData!$B$163),IF(GJ7&lt;=InputData!$B$165,InputData!$D$164+InputData!$C$165*(GJ7-InputData!$B$164),InputData!$D$165+InputData!$C$166*(GJ7-InputData!$B$165)))))</f>
        <v>0</v>
      </c>
      <c r="GR7" s="43">
        <f>(GO7+GP7+GQ7)/GH7</f>
        <v>0.17011441385064666</v>
      </c>
      <c r="GS7" s="43">
        <f>(GO7+GP7+GQ7)/(GH7+GI7)</f>
        <v>9.7980997196635972E-2</v>
      </c>
      <c r="GT7" s="5">
        <f>GH7+GI7-GO7-GP7-GQ7</f>
        <v>54056.194799999997</v>
      </c>
      <c r="GU7" s="32">
        <f>GT7/((1+InputData!$C$7)^(GenSurg!$B7-GenSurg!$B$7))</f>
        <v>54056.194799999997</v>
      </c>
      <c r="GV7" s="5">
        <f>GU7</f>
        <v>54056.194799999997</v>
      </c>
      <c r="GX7" s="3">
        <f t="shared" ref="GX7:GX30" si="8">Z7</f>
        <v>0</v>
      </c>
      <c r="GY7" s="4" t="str">
        <f t="shared" ref="GY7:GY31" si="9">AA7</f>
        <v>Med School</v>
      </c>
      <c r="GZ7" s="5">
        <f t="shared" ref="GZ7:GZ30" si="10">AC7</f>
        <v>49307.326488706363</v>
      </c>
      <c r="HA7" s="5">
        <f t="shared" ref="HA7:HA30" si="11">AD7</f>
        <v>0</v>
      </c>
      <c r="HB7" s="5">
        <f t="shared" ref="HB7:HB30" si="12">AE7</f>
        <v>49307.326488706363</v>
      </c>
      <c r="HC7" s="5">
        <f t="shared" ref="HC7:HC30" si="13">AF7</f>
        <v>49307.326488706363</v>
      </c>
      <c r="HD7" s="5">
        <f t="shared" ref="HD7:HD30" si="14">AG7</f>
        <v>0</v>
      </c>
      <c r="HE7" s="32">
        <f>IF(HC7-InputData!$C$158-InputData!$C$159&gt;=0,HC7-InputData!$C$158-InputData!$C$159,0)</f>
        <v>49307.326488706363</v>
      </c>
      <c r="HF7" s="32">
        <f>IF(HC7-IF(HC7&lt;=InputData!$C$146,InputData!$C$145,0)-MAX(InputData!$C$144,HL7)&gt;=0,HC7-IF(HC7&lt;=InputData!$C$146,InputData!$C$145,0)-MAX(InputData!$C$144,HL7),0)</f>
        <v>39307.326488706363</v>
      </c>
      <c r="HG7" s="32">
        <f>IF(HF7&lt;0,"Error",IF(HF7&lt;=InputData!$B$170,InputData!$C$170*HF7,IF(HF7&lt;=InputData!$B$171,InputData!$D$170+InputData!$C$171*(HF7-InputData!$B$170),IF(HF7&lt;=InputData!$B$172,InputData!$D$171+InputData!$C$172*(HF7-InputData!$B$171),IF(HF7&lt;=InputData!$B$173,InputData!$D$172+InputData!$C$173*(HF7-InputData!$B$172),IF(HF7&lt;=InputData!$B$174,InputData!$D$173+InputData!$C$174*(HF7-InputData!$B$173),IF(HF7&lt;=InputData!$B$175,InputData!$D$174+InputData!$C$175*(HF7-InputData!$B$174),InputData!$D$175+InputData!$C$176*(HF7-InputData!$B$175))))))))</f>
        <v>5755.5816221765908</v>
      </c>
      <c r="HH7" s="32">
        <f>IF(HC7&lt;=InputData!$C$150,InputData!$C$152,IF(HC7&lt;InputData!$C$151,IF(InputData!$C$152-0.25*IF(HC7-InputData!$C$150&lt;=0,0,HC7-InputData!$C$150)&lt;=0,0,InputData!$C$152-0.25*IF(HC7-InputData!$C$150&lt;=0,0,HC7-InputData!$C$150)),0))</f>
        <v>51900</v>
      </c>
      <c r="HI7" s="32">
        <f>IF(HC7-HH7&lt;=0,0,IF(HC7-HH7&lt;=InputData!$C$153,InputData!$C$154*(HC7-HH7),InputData!$C$155*(HC7-HH7)-InputData!$D$154))</f>
        <v>0</v>
      </c>
      <c r="HJ7" s="32">
        <f>MAX(HG7,HI7)</f>
        <v>5755.5816221765908</v>
      </c>
      <c r="HK7" s="32">
        <v>0</v>
      </c>
      <c r="HL7" s="32">
        <f>IF(HE7&lt;0,0,IF(HE7&lt;=InputData!$B$163,InputData!$C$163*HE7,IF(HE7&lt;=InputData!$B$164,InputData!$D$163+InputData!$C$164*(HE7-InputData!$B$163),IF(HE7&lt;=InputData!$B$165,InputData!$D$164+InputData!$C$165*(HE7-InputData!$B$164),InputData!$D$165+InputData!$C$166*(HE7-InputData!$B$165)))))</f>
        <v>0</v>
      </c>
      <c r="HM7" s="43">
        <f>(HJ7+HK7+HL7)/HC7</f>
        <v>0.11672873043511865</v>
      </c>
      <c r="HN7" s="43">
        <f>(HJ7+HK7+HL7)/(HC7+HD7)</f>
        <v>0.11672873043511865</v>
      </c>
      <c r="HO7" s="5">
        <f>HC7+HD7-HJ7-HK7-HL7</f>
        <v>43551.744866529771</v>
      </c>
      <c r="HP7" s="32">
        <f>HO7/((1+InputData!$C$7)^(GenSurg!$B7-GenSurg!$B$7))</f>
        <v>43551.744866529771</v>
      </c>
      <c r="HQ7" s="5">
        <f>HP7</f>
        <v>43551.744866529771</v>
      </c>
      <c r="HS7" s="93">
        <f>D7</f>
        <v>0</v>
      </c>
      <c r="HT7" s="5" t="str">
        <f>E7</f>
        <v>Med School (O1&lt;=2 yrs)</v>
      </c>
      <c r="HU7" s="5">
        <f t="shared" ref="HU7:HU22" si="15">G7</f>
        <v>34516.800000000003</v>
      </c>
      <c r="HV7" s="5">
        <f t="shared" ref="HV7:HV22" si="16">H7</f>
        <v>25411.199999999997</v>
      </c>
      <c r="HW7" s="5">
        <f t="shared" ref="HW7:HW22" si="17">I7</f>
        <v>59928</v>
      </c>
      <c r="HX7" s="5">
        <f t="shared" ref="HX7:HX22" si="18">J7</f>
        <v>34516.800000000003</v>
      </c>
      <c r="HY7" s="5">
        <f t="shared" ref="HY7:HY22" si="19">K7</f>
        <v>25411.199999999997</v>
      </c>
      <c r="HZ7" s="32">
        <f>IF(HX7-InputData!$C$158-InputData!$C$159&gt;=0,HX7-InputData!$C$158-InputData!$C$159,0)</f>
        <v>34516.800000000003</v>
      </c>
      <c r="IA7" s="32">
        <f>IF(HX7-IF(HX7&lt;=InputData!$C$146,InputData!$C$145,0)-MAX(InputData!$C$144,IG7)&gt;=0,HX7-IF(HX7&lt;=InputData!$C$146,InputData!$C$145,0)-MAX(InputData!$C$144,IG7),0)</f>
        <v>24516.800000000003</v>
      </c>
      <c r="IB7" s="32">
        <f>IF(IA7&lt;0,"Error",IF(IA7&lt;=InputData!$B$170,InputData!$C$170*IA7,IF(IA7&lt;=InputData!$B$171,InputData!$D$170+InputData!$C$171*(IA7-InputData!$B$170),IF(IA7&lt;=InputData!$B$172,InputData!$D$171+InputData!$C$172*(IA7-InputData!$B$171),IF(IA7&lt;=InputData!$B$173,InputData!$D$172+InputData!$C$173*(IA7-InputData!$B$172),IF(IA7&lt;=InputData!$B$174,InputData!$D$173+InputData!$C$174*(IA7-InputData!$B$173),IF(IA7&lt;=InputData!$B$175,InputData!$D$174+InputData!$C$175*(IA7-InputData!$B$174),InputData!$D$175+InputData!$C$176*(IA7-InputData!$B$175))))))))</f>
        <v>3231.2700000000004</v>
      </c>
      <c r="IC7" s="32">
        <f>IF(HX7&lt;=InputData!$C$150,InputData!$C$152,IF(HX7&lt;InputData!$C$151,IF(InputData!$C$152-0.25*IF(HX7-InputData!$C$150&lt;=0,0,HX7-InputData!$C$150)&lt;=0,0,InputData!$C$152-0.25*IF(HX7-InputData!$C$150&lt;=0,0,HX7-InputData!$C$150)),0))</f>
        <v>51900</v>
      </c>
      <c r="ID7" s="32">
        <f>IF(HX7-IC7&lt;=0,0,IF(HX7-IC7&lt;=InputData!$C$153,InputData!$C$154*(HX7-IC7),InputData!$C$155*(HX7-IC7)-InputData!$D$154))</f>
        <v>0</v>
      </c>
      <c r="IE7" s="32">
        <f>MAX(IB7,ID7)</f>
        <v>3231.2700000000004</v>
      </c>
      <c r="IF7" s="32">
        <f>IF(HX7&gt;=0,IF(HX7&lt;=InputData!$C$148,InputData!$C$147*HX7,InputData!$C$147*InputData!$C$148)+InputData!$C$149*HX7,0)</f>
        <v>2640.5352000000003</v>
      </c>
      <c r="IG7" s="32">
        <f>IF(HZ7&lt;0,0,IF(HZ7&lt;=InputData!$B$163,InputData!$C$163*HZ7,IF(HZ7&lt;=InputData!$B$164,InputData!$D$163+InputData!$C$164*(HZ7-InputData!$B$163),IF(HZ7&lt;=InputData!$B$165,InputData!$D$164+InputData!$C$165*(HZ7-InputData!$B$164),InputData!$D$165+InputData!$C$166*(HZ7-InputData!$B$165)))))</f>
        <v>0</v>
      </c>
      <c r="IH7" s="43">
        <f>(IE7+IF7+IG7)/HX7</f>
        <v>0.17011441385064666</v>
      </c>
      <c r="II7" s="43">
        <f>(IE7+IF7+IG7)/(HX7+HY7)</f>
        <v>9.7980997196635972E-2</v>
      </c>
      <c r="IJ7" s="5">
        <f t="shared" ref="IJ7:IJ35" si="20">HX7+HY7-IE7-IF7-IG7</f>
        <v>54056.194799999997</v>
      </c>
      <c r="IK7" s="32">
        <f>IJ7/((1+InputData!$C$7)^(GenSurg!$B7-GenSurg!$B$7))</f>
        <v>54056.194799999997</v>
      </c>
      <c r="IL7" s="5">
        <f>IK7</f>
        <v>54056.194799999997</v>
      </c>
      <c r="IN7" s="93">
        <f>Z7</f>
        <v>0</v>
      </c>
      <c r="IO7" s="5" t="str">
        <f>AA7</f>
        <v>Med School</v>
      </c>
      <c r="IP7" s="5">
        <f t="shared" ref="IP7:IP19" si="21">AC7</f>
        <v>49307.326488706363</v>
      </c>
      <c r="IQ7" s="5">
        <f t="shared" ref="IQ7:IQ19" si="22">AD7</f>
        <v>0</v>
      </c>
      <c r="IR7" s="5">
        <f t="shared" ref="IR7:IR19" si="23">AE7</f>
        <v>49307.326488706363</v>
      </c>
      <c r="IS7" s="5">
        <f t="shared" ref="IS7:IS19" si="24">AF7</f>
        <v>49307.326488706363</v>
      </c>
      <c r="IT7" s="5">
        <f t="shared" ref="IT7:IT19" si="25">AG7</f>
        <v>0</v>
      </c>
      <c r="IU7" s="32">
        <f>IF(IS7-InputData!$C$158-InputData!$C$159&gt;=0,IS7-InputData!$C$158-InputData!$C$159,0)</f>
        <v>49307.326488706363</v>
      </c>
      <c r="IV7" s="32">
        <f>IF(IS7-IF(IS7&lt;=InputData!$C$146,InputData!$C$145,0)-MAX(InputData!$C$144,JB7)&gt;=0,IS7-IF(IS7&lt;=InputData!$C$146,InputData!$C$145,0)-MAX(InputData!$C$144,JB7),0)</f>
        <v>39307.326488706363</v>
      </c>
      <c r="IW7" s="32">
        <f>IF(IV7&lt;0,"Error",IF(IV7&lt;=InputData!$B$170,InputData!$C$170*IV7,IF(IV7&lt;=InputData!$B$171,InputData!$D$170+InputData!$C$171*(IV7-InputData!$B$170),IF(IV7&lt;=InputData!$B$172,InputData!$D$171+InputData!$C$172*(IV7-InputData!$B$171),IF(IV7&lt;=InputData!$B$173,InputData!$D$172+InputData!$C$173*(IV7-InputData!$B$172),IF(IV7&lt;=InputData!$B$174,InputData!$D$173+InputData!$C$174*(IV7-InputData!$B$173),IF(IV7&lt;=InputData!$B$175,InputData!$D$174+InputData!$C$175*(IV7-InputData!$B$174),InputData!$D$175+InputData!$C$176*(IV7-InputData!$B$175))))))))</f>
        <v>5755.5816221765908</v>
      </c>
      <c r="IX7" s="32">
        <f>IF(IS7&lt;=InputData!$C$150,InputData!$C$152,IF(IS7&lt;InputData!$C$151,IF(InputData!$C$152-0.25*IF(IS7-InputData!$C$150&lt;=0,0,IS7-InputData!$C$150)&lt;=0,0,InputData!$C$152-0.25*IF(IS7-InputData!$C$150&lt;=0,0,IS7-InputData!$C$150)),0))</f>
        <v>51900</v>
      </c>
      <c r="IY7" s="32">
        <f>IF(IS7-IX7&lt;=0,0,IF(IS7-IX7&lt;=InputData!$C$153,InputData!$C$154*(IS7-IX7),InputData!$C$155*(IS7-IX7)-InputData!$D$154))</f>
        <v>0</v>
      </c>
      <c r="IZ7" s="32">
        <f>MAX(IW7,IY7)</f>
        <v>5755.5816221765908</v>
      </c>
      <c r="JA7" s="32">
        <v>0</v>
      </c>
      <c r="JB7" s="32">
        <f>IF(IU7&lt;0,0,IF(IU7&lt;=InputData!$B$163,InputData!$C$163*IU7,IF(IU7&lt;=InputData!$B$164,InputData!$D$163+InputData!$C$164*(IU7-InputData!$B$163),IF(IU7&lt;=InputData!$B$165,InputData!$D$164+InputData!$C$165*(IU7-InputData!$B$164),InputData!$D$165+InputData!$C$166*(IU7-InputData!$B$165)))))</f>
        <v>0</v>
      </c>
      <c r="JC7" s="43">
        <f>(IZ7+JA7+JB7)/IS7</f>
        <v>0.11672873043511865</v>
      </c>
      <c r="JD7" s="43">
        <f>(IZ7+JA7+JB7)/(IS7+IT7)</f>
        <v>0.11672873043511865</v>
      </c>
      <c r="JE7" s="5">
        <f>IS7+IT7-IZ7-JA7-JB7</f>
        <v>43551.744866529771</v>
      </c>
      <c r="JF7" s="32">
        <f>JE7/((1+InputData!$C$7)^(GenSurg!$B7-GenSurg!$B$7))</f>
        <v>43551.744866529771</v>
      </c>
      <c r="JG7" s="5">
        <f>JF7</f>
        <v>43551.744866529771</v>
      </c>
      <c r="JI7" s="41" t="str">
        <f t="shared" ref="JI7:JI36" si="26">AV7</f>
        <v>Med School</v>
      </c>
      <c r="JJ7" s="5">
        <f t="shared" ref="JJ7:JJ36" si="27">AW7</f>
        <v>0</v>
      </c>
      <c r="JK7" s="32">
        <f>-(JQ7+JS7)</f>
        <v>0</v>
      </c>
      <c r="JL7" s="32">
        <f>JJ7+JK7</f>
        <v>0</v>
      </c>
      <c r="JM7" s="32">
        <f>InputData!$C$92</f>
        <v>11490</v>
      </c>
      <c r="JN7" s="32">
        <f>JJ7/((1+InputData!$C$3)^(GenSurg!$B7-GenSurg!$B$7))</f>
        <v>0</v>
      </c>
      <c r="JO7" s="32">
        <f>JK7/((1+InputData!$C$3)^(GenSurg!$B7-GenSurg!$B$7))</f>
        <v>0</v>
      </c>
      <c r="JP7" s="32" t="s">
        <v>143</v>
      </c>
      <c r="JQ7" s="118">
        <v>0</v>
      </c>
      <c r="JR7" s="32">
        <f>JQ7</f>
        <v>0</v>
      </c>
      <c r="JS7" s="32">
        <f>JR7*InputData!$C$6</f>
        <v>0</v>
      </c>
      <c r="JT7" s="32">
        <v>0</v>
      </c>
      <c r="JU7" s="32">
        <f>JR7+JS7-JT7</f>
        <v>0</v>
      </c>
      <c r="JV7" s="32">
        <f>JT7/((1+InputData!$C$3)^(GenSurg!$B7-GenSurg!$B$7))</f>
        <v>0</v>
      </c>
      <c r="JW7" s="32">
        <f>IF(JN7-InputData!$C$158-InputData!$C$159&gt;=0,JN7-InputData!$C$158-InputData!$C$159,0)</f>
        <v>0</v>
      </c>
      <c r="JX7" s="32">
        <f>IF(JN7-IF(JN7&lt;=InputData!$C$146,InputData!$C$145,0)-MAX(InputData!$C$144,KD7)&gt;=0,JN7-IF(JN7&lt;=InputData!$C$146,InputData!$C$145,0)-MAX(InputData!$C$144,KD7),0)</f>
        <v>0</v>
      </c>
      <c r="JY7" s="32">
        <f>IF(JX7&lt;0,"Error",IF(JX7&lt;=InputData!$B$170,InputData!$C$170*JX7,IF(JX7&lt;=InputData!$B$171,InputData!$D$170+InputData!$C$171*(JX7-InputData!$B$170),IF(JX7&lt;=InputData!$B$172,InputData!$D$171+InputData!$C$172*(JX7-InputData!$B$171),IF(JX7&lt;=InputData!$B$173,InputData!$D$172+InputData!$C$173*(JX7-InputData!$B$172),IF(JX7&lt;=InputData!$B$174,InputData!$D$173+InputData!$C$174*(JX7-InputData!$B$173),IF(JX7&lt;=InputData!$B$175,InputData!$D$174+InputData!$C$175*(JX7-InputData!$B$174),InputData!$D$175+InputData!$C$176*(JX7-InputData!$B$175))))))))</f>
        <v>0</v>
      </c>
      <c r="JZ7" s="32">
        <f>IF(JN7&lt;=InputData!$C$150,InputData!$C$152,IF(JN7&lt;InputData!$C$151,IF(InputData!$C$152-0.25*IF(JN7-InputData!$C$150&lt;=0,0,JN7-InputData!$C$150)&lt;=0,0,InputData!$C$152-0.25*IF(JN7-InputData!$C$150&lt;=0,0,JN7-InputData!$C$150)),0))</f>
        <v>51900</v>
      </c>
      <c r="KA7" s="32">
        <f>IF(JN7-JZ7&lt;=0,0,IF(JN7-JZ7&lt;=InputData!$C$153,InputData!$C$154*(JN7-JZ7),InputData!$C$155*(JN7-JZ7)-InputData!$D$154))</f>
        <v>0</v>
      </c>
      <c r="KB7" s="32">
        <f>MAX(JY7,KA7)</f>
        <v>0</v>
      </c>
      <c r="KC7" s="32">
        <f>IF(JN7&gt;=0,IF(JN7&lt;=InputData!$C$148,InputData!$C$147*JN7,InputData!$C$147*InputData!$C$148)+InputData!$C$149*JN7,0)</f>
        <v>0</v>
      </c>
      <c r="KD7" s="32">
        <f>IF(JW7&lt;0,0,IF(JW7&lt;=InputData!$B$163,InputData!$C$163*JW7,IF(JW7&lt;=InputData!$B$164,InputData!$D$163+InputData!$C$164*(JW7-InputData!$B$163),IF(JW7&lt;=InputData!$B$165,InputData!$D$164+InputData!$C$165*(JW7-InputData!$B$164),InputData!$D$165+InputData!$C$166*(JW7-InputData!$B$165)))))</f>
        <v>0</v>
      </c>
      <c r="KE7" s="43" t="e">
        <f t="shared" ref="KE7:KE35" si="28">(KB7+KC7+KD7)/(JN7+JO7)</f>
        <v>#DIV/0!</v>
      </c>
      <c r="KF7" s="32">
        <f t="shared" ref="KF7:KF35" si="29">JN7+JO7-(KB7+KC7+KD7)</f>
        <v>0</v>
      </c>
      <c r="KG7" s="32">
        <f>KF7-JV7</f>
        <v>0</v>
      </c>
      <c r="KH7" s="32">
        <f>KG7/((1+InputData!$C$7)^(GenSurg!$B7-GenSurg!$B$7))</f>
        <v>0</v>
      </c>
      <c r="KI7" s="5">
        <f>KH7</f>
        <v>0</v>
      </c>
    </row>
    <row r="8" spans="1:295" ht="14.45" x14ac:dyDescent="0.3">
      <c r="A8" s="4">
        <v>2014</v>
      </c>
      <c r="B8" s="51">
        <v>2</v>
      </c>
      <c r="C8" s="4"/>
      <c r="D8" s="45">
        <v>0</v>
      </c>
      <c r="E8" s="4" t="s">
        <v>15</v>
      </c>
      <c r="F8" s="5">
        <f>InputData!$C$26*12</f>
        <v>34516.800000000003</v>
      </c>
      <c r="G8" s="5">
        <f>InputData!$C$26*12</f>
        <v>34516.800000000003</v>
      </c>
      <c r="H8" s="5">
        <f>(InputData!$H$37+InputData!$C$40)*12</f>
        <v>25411.199999999997</v>
      </c>
      <c r="I8" s="5">
        <f t="shared" ref="I8:I36" si="30">G8+H8</f>
        <v>59928</v>
      </c>
      <c r="J8" s="5">
        <f>G8*((1+InputData!$C$5)/(1+InputData!$C$3))^(GenSurg!$B8-GenSurg!$B$7)</f>
        <v>34178.400000000001</v>
      </c>
      <c r="K8" s="5">
        <f>H8*((1+InputData!$C$5)/(1+InputData!$C$3))^(GenSurg!$B8-GenSurg!$B$7)</f>
        <v>25162.070588235292</v>
      </c>
      <c r="L8" s="32">
        <f>IF(J8-InputData!$C$158-InputData!$C$159&gt;=0,J8-InputData!$C$158-InputData!$C$159,0)</f>
        <v>34178.400000000001</v>
      </c>
      <c r="M8" s="32">
        <f>IF(J8-IF(J8&lt;=InputData!$C$146,InputData!$C$145,0)-MAX(InputData!$C$144,S8)&gt;=0,J8-IF(J8&lt;=InputData!$C$146,InputData!$C$145,0)-MAX(InputData!$C$144,S8),0)</f>
        <v>24178.400000000001</v>
      </c>
      <c r="N8" s="32">
        <f>IF(M8&lt;0,"Error",IF(M8&lt;=InputData!$B$170,InputData!$C$170*M8,IF(M8&lt;=InputData!$B$171,InputData!$D$170+InputData!$C$171*(M8-InputData!$B$170),IF(M8&lt;=InputData!$B$172,InputData!$D$171+InputData!$C$172*(M8-InputData!$B$171),IF(M8&lt;=InputData!$B$173,InputData!$D$172+InputData!$C$173*(M8-InputData!$B$172),IF(M8&lt;=InputData!$B$174,InputData!$D$173+InputData!$C$174*(M8-InputData!$B$173),IF(M8&lt;=InputData!$B$175,InputData!$D$174+InputData!$C$175*(M8-InputData!$B$174),InputData!$D$175+InputData!$C$176*(M8-InputData!$B$175))))))))</f>
        <v>3180.51</v>
      </c>
      <c r="O8" s="32">
        <f>IF(J8&lt;=InputData!$C$150,InputData!$C$152,IF(J8&lt;InputData!$C$151,IF(InputData!$C$152-0.25*IF(J8-InputData!$C$150&lt;=0,0,J8-InputData!$C$150)&lt;=0,0,InputData!$C$152-0.25*IF(J8-InputData!$C$150&lt;=0,0,J8-InputData!$C$150)),0))</f>
        <v>51900</v>
      </c>
      <c r="P8" s="32">
        <f>IF(J8-O8&lt;=0,0,IF(J8-O8&lt;=InputData!$C$153,InputData!$C$154*(J8-O8),InputData!$C$155*(J8-O8)-InputData!$D$154))</f>
        <v>0</v>
      </c>
      <c r="Q8" s="32">
        <f t="shared" ref="Q8:Q36" si="31">MAX(N8,P8)</f>
        <v>3180.51</v>
      </c>
      <c r="R8" s="32">
        <f>IF(J8&gt;=0,IF(J8&lt;=InputData!$C$148,InputData!$C$147*J8,InputData!$C$147*InputData!$C$148)+InputData!$C$149*J8,0)</f>
        <v>2614.6476000000002</v>
      </c>
      <c r="S8" s="32">
        <f>IF(L8&lt;0,0,IF(L8&lt;=InputData!$B$163,InputData!$C$163*L8,IF(L8&lt;=InputData!$B$164,InputData!$D$163+InputData!$C$164*(L8-InputData!$B$163),IF(L8&lt;=InputData!$B$165,InputData!$D$164+InputData!$C$165*(L8-InputData!$B$164),InputData!$D$165+InputData!$C$166*(L8-InputData!$B$165)))))</f>
        <v>0</v>
      </c>
      <c r="T8" s="43">
        <f t="shared" ref="T8:T36" si="32">(Q8+R8+S8)/J8</f>
        <v>0.16955614072045502</v>
      </c>
      <c r="U8" s="43">
        <f t="shared" ref="U8:U36" si="33">(Q8+R8+S8)/(J8+K8)</f>
        <v>9.7659447971228844E-2</v>
      </c>
      <c r="V8" s="5">
        <f t="shared" ref="V8:V36" si="34">J8+K8-Q8-R8-S8</f>
        <v>53545.312988235295</v>
      </c>
      <c r="W8" s="32">
        <f>V8/((1+InputData!$C$7)^(GenSurg!$B8-GenSurg!$B$7))</f>
        <v>51985.740765276983</v>
      </c>
      <c r="X8" s="5">
        <f>X7+W8</f>
        <v>106041.93556527697</v>
      </c>
      <c r="Y8" s="53"/>
      <c r="Z8" s="45">
        <v>0</v>
      </c>
      <c r="AA8" s="4" t="s">
        <v>0</v>
      </c>
      <c r="AB8" s="4"/>
      <c r="AC8" s="5">
        <f>InputData!$C$67*10.5+(IntMed!G8+IntMed!H8)*45/365.25</f>
        <v>29307.326488706363</v>
      </c>
      <c r="AD8" s="5">
        <v>0</v>
      </c>
      <c r="AE8" s="5">
        <f t="shared" ref="AE8:AE36" si="35">AC8+AD8</f>
        <v>29307.326488706363</v>
      </c>
      <c r="AF8" s="5">
        <f>AC8*((1+InputData!$C$5)/(1+InputData!$C$3))^(GenSurg!$B8-GenSurg!$B$7)</f>
        <v>29019.999758424929</v>
      </c>
      <c r="AG8" s="5">
        <f>AD8*((1+InputData!$C$5)/(1+InputData!$C$3))^(GenSurg!$B8-GenSurg!$B$7)</f>
        <v>0</v>
      </c>
      <c r="AH8" s="32">
        <f>IF(AF8-InputData!$C$158-InputData!$C$159&gt;=0,AF8-InputData!$C$158-InputData!$C$159,0)</f>
        <v>29019.999758424929</v>
      </c>
      <c r="AI8" s="32">
        <f>IF(AF8-IF(AF8&lt;=InputData!$C$146,InputData!$C$145,0)-MAX(InputData!$C$144,AO8)&gt;=0,AF8-IF(AF8&lt;=InputData!$C$146,InputData!$C$145,0)-MAX(InputData!$C$144,AO8),0)</f>
        <v>19019.999758424929</v>
      </c>
      <c r="AJ8" s="32">
        <f>IF(AI8&lt;0,"Error",IF(AI8&lt;=InputData!$B$170,InputData!$C$170*AI8,IF(AI8&lt;=InputData!$B$171,InputData!$D$170+InputData!$C$171*(AI8-InputData!$B$170),IF(AI8&lt;=InputData!$B$172,InputData!$D$171+InputData!$C$172*(AI8-InputData!$B$171),IF(AI8&lt;=InputData!$B$173,InputData!$D$172+InputData!$C$173*(AI8-InputData!$B$172),IF(AI8&lt;=InputData!$B$174,InputData!$D$173+InputData!$C$174*(AI8-InputData!$B$173),IF(AI8&lt;=InputData!$B$175,InputData!$D$174+InputData!$C$175*(AI8-InputData!$B$174),InputData!$D$175+InputData!$C$176*(AI8-InputData!$B$175))))))))</f>
        <v>2406.7499637637393</v>
      </c>
      <c r="AK8" s="32">
        <f>IF(AF8&lt;=InputData!$C$150,InputData!$C$152,IF(AF8&lt;InputData!$C$151,IF(InputData!$C$152-0.25*IF(AF8-InputData!$C$150&lt;=0,0,AF8-InputData!$C$150)&lt;=0,0,InputData!$C$152-0.25*IF(AF8-InputData!$C$150&lt;=0,0,AF8-InputData!$C$150)),0))</f>
        <v>51900</v>
      </c>
      <c r="AL8" s="32">
        <f>IF(AF8-AK8&lt;=0,0,IF(AF8-AK8&lt;=InputData!$C$153,InputData!$C$154*(AF8-AK8),InputData!$C$155*(AF8-AK8)-InputData!$D$154))</f>
        <v>0</v>
      </c>
      <c r="AM8" s="32">
        <f t="shared" ref="AM8:AM36" si="36">MAX(AJ8,AL8)</f>
        <v>2406.7499637637393</v>
      </c>
      <c r="AN8" s="32">
        <v>0</v>
      </c>
      <c r="AO8" s="32">
        <f>IF(AH8&lt;0,0,IF(AH8&lt;=InputData!$B$163,InputData!$C$163*AH8,IF(AH8&lt;=InputData!$B$164,InputData!$D$163+InputData!$C$164*(AH8-InputData!$B$163),IF(AH8&lt;=InputData!$B$165,InputData!$D$164+InputData!$C$165*(AH8-InputData!$B$164),InputData!$D$165+InputData!$C$166*(AH8-InputData!$B$165)))))</f>
        <v>0</v>
      </c>
      <c r="AP8" s="43">
        <f t="shared" ref="AP8:AP36" si="37">(AM8+AN8+AO8)/AF8</f>
        <v>8.2934182763562042E-2</v>
      </c>
      <c r="AQ8" s="43">
        <f t="shared" ref="AQ8:AQ36" si="38">(AM8+AN8+AO8)/(AF8+AG8)</f>
        <v>8.2934182763562042E-2</v>
      </c>
      <c r="AR8" s="5">
        <f t="shared" ref="AR8:AR36" si="39">AF8+AG8-AM8-AN8-AO8</f>
        <v>26613.249794661191</v>
      </c>
      <c r="AS8" s="32">
        <f>AR8/((1+InputData!$C$7)^(GenSurg!$B8-GenSurg!$B$7))</f>
        <v>25838.106596758436</v>
      </c>
      <c r="AT8" s="5">
        <f>AT7+AS8</f>
        <v>69389.851463288214</v>
      </c>
      <c r="AU8" s="53"/>
      <c r="AV8" s="41" t="s">
        <v>0</v>
      </c>
      <c r="AW8" s="32">
        <v>0</v>
      </c>
      <c r="AX8" s="32">
        <f t="shared" ref="AX8:AX10" si="40">-(BD8+BF8)</f>
        <v>-45530.1</v>
      </c>
      <c r="AY8" s="32">
        <f t="shared" ref="AY8:AY36" si="41">AW8+AX8</f>
        <v>-45530.1</v>
      </c>
      <c r="AZ8" s="32">
        <f>AZ7*(1+InputData!$C$8)</f>
        <v>11719.800000000001</v>
      </c>
      <c r="BA8" s="32">
        <f>AW8/((1+InputData!$C$3)^(GenSurg!$B8-GenSurg!$B$7))</f>
        <v>0</v>
      </c>
      <c r="BB8" s="32">
        <f>AX8/((1+InputData!$C$3)^(GenSurg!$B8-GenSurg!$B$7))</f>
        <v>-44637.352941176468</v>
      </c>
      <c r="BC8" s="32" t="s">
        <v>143</v>
      </c>
      <c r="BD8" s="118">
        <f>InputData!$C$88*9/40</f>
        <v>40500</v>
      </c>
      <c r="BE8" s="32">
        <f>BE7+BD8</f>
        <v>81000</v>
      </c>
      <c r="BF8" s="32">
        <f>(BE8)*InputData!$C$6</f>
        <v>5030.1000000000004</v>
      </c>
      <c r="BG8" s="32">
        <v>0</v>
      </c>
      <c r="BH8" s="32">
        <f>BH7+BD8+BF8-BG8</f>
        <v>88545.150000000009</v>
      </c>
      <c r="BI8" s="32">
        <f>BG8/((1+InputData!$C$3)^(GenSurg!$B8-GenSurg!$B$7))</f>
        <v>0</v>
      </c>
      <c r="BJ8" s="32">
        <f>IF(BA8-InputData!$C$158-InputData!$C$159&gt;=0,BA8-InputData!$C$158-InputData!$C$159,0)</f>
        <v>0</v>
      </c>
      <c r="BK8" s="32">
        <f>IF(BA8-IF(BA8&lt;=InputData!$C$146,InputData!$C$145,0)-MAX(InputData!$C$144,BQ8)&gt;=0,BA8-IF(BA8&lt;=InputData!$C$146,InputData!$C$145,0)-MAX(InputData!$C$144,BQ8),0)</f>
        <v>0</v>
      </c>
      <c r="BL8" s="32">
        <f>IF(BK8&lt;0,"Error",IF(BK8&lt;=InputData!$B$170,InputData!$C$170*BK8,IF(BK8&lt;=InputData!$B$171,InputData!$D$170+InputData!$C$171*(BK8-InputData!$B$170),IF(BK8&lt;=InputData!$B$172,InputData!$D$171+InputData!$C$172*(BK8-InputData!$B$171),IF(BK8&lt;=InputData!$B$173,InputData!$D$172+InputData!$C$173*(BK8-InputData!$B$172),IF(BK8&lt;=InputData!$B$174,InputData!$D$173+InputData!$C$174*(BK8-InputData!$B$173),IF(BK8&lt;=InputData!$B$175,InputData!$D$174+InputData!$C$175*(BK8-InputData!$B$174),InputData!$D$175+InputData!$C$176*(BK8-InputData!$B$175))))))))</f>
        <v>0</v>
      </c>
      <c r="BM8" s="32">
        <f>IF(BA8&lt;=InputData!$C$150,InputData!$C$152,IF(BA8&lt;InputData!$C$151,IF(InputData!$C$152-0.25*IF(BA8-InputData!$C$150&lt;=0,0,BA8-InputData!$C$150)&lt;=0,0,InputData!$C$152-0.25*IF(BA8-InputData!$C$150&lt;=0,0,BA8-InputData!$C$150)),0))</f>
        <v>51900</v>
      </c>
      <c r="BN8" s="32">
        <f>IF(BA8-BM8&lt;=0,0,IF(BA8-BM8&lt;=InputData!$C$153,InputData!$C$154*(BA8-BM8),InputData!$C$155*(BA8-BM8)-InputData!$D$154))</f>
        <v>0</v>
      </c>
      <c r="BO8" s="32">
        <f t="shared" ref="BO8:BO36" si="42">MAX(BL8,BN8)</f>
        <v>0</v>
      </c>
      <c r="BP8" s="32">
        <f>IF(BA8&gt;=0,IF(BA8&lt;=InputData!$C$148,InputData!$C$147*BA8,InputData!$C$147*InputData!$C$148)+InputData!$C$149*BA8,0)</f>
        <v>0</v>
      </c>
      <c r="BQ8" s="32">
        <f>IF(BJ8&lt;0,0,IF(BJ8&lt;=InputData!$B$163,InputData!$C$163*BJ8,IF(BJ8&lt;=InputData!$B$164,InputData!$D$163+InputData!$C$164*(BJ8-InputData!$B$163),IF(BJ8&lt;=InputData!$B$165,InputData!$D$164+InputData!$C$165*(BJ8-InputData!$B$164),InputData!$D$165+InputData!$C$166*(BJ8-InputData!$B$165)))))</f>
        <v>0</v>
      </c>
      <c r="BR8" s="43">
        <f t="shared" ref="BR8:BR36" si="43">(BO8+BP8+BQ8)/(BA8+BB8)</f>
        <v>0</v>
      </c>
      <c r="BS8" s="32">
        <f t="shared" ref="BS8:BS36" si="44">BA8+BB8-(BO8+BP8+BQ8)</f>
        <v>-44637.352941176468</v>
      </c>
      <c r="BT8" s="32">
        <f t="shared" ref="BT8:BT36" si="45">BS8-BI8</f>
        <v>-44637.352941176468</v>
      </c>
      <c r="BU8" s="32">
        <f>BT8/((1+InputData!$C$7)^(GenSurg!$B8-GenSurg!$B$7))</f>
        <v>-43337.235865219875</v>
      </c>
      <c r="BV8" s="5">
        <f>BV7+BU8</f>
        <v>-86352.285865219877</v>
      </c>
      <c r="BW8" s="5"/>
      <c r="BX8" s="32" t="s">
        <v>143</v>
      </c>
      <c r="BY8" s="5">
        <f t="shared" ref="BY8:BY15" si="46">$BE8</f>
        <v>81000</v>
      </c>
      <c r="BZ8" s="5">
        <f t="shared" ref="BZ8:BZ15" si="47">$BF8</f>
        <v>5030.1000000000004</v>
      </c>
      <c r="CA8" s="5">
        <v>0</v>
      </c>
      <c r="CB8" s="5">
        <f t="shared" ref="CB8:CB15" si="48">$BH8</f>
        <v>88545.150000000009</v>
      </c>
      <c r="CC8" s="32">
        <f>CA8/((1+InputData!$C$3)^(GenSurg!$B8-GenSurg!$B$7))</f>
        <v>0</v>
      </c>
      <c r="CD8" s="5">
        <f t="shared" ref="CD8:CD36" si="49">$BS8-CC8</f>
        <v>-44637.352941176468</v>
      </c>
      <c r="CE8" s="32">
        <f>CD8/((1+InputData!$C$7)^(GenSurg!$B8-GenSurg!$B$7))</f>
        <v>-43337.235865219875</v>
      </c>
      <c r="CF8" s="5">
        <f>CF7+CE8</f>
        <v>-86352.285865219877</v>
      </c>
      <c r="CG8" s="5"/>
      <c r="CH8" s="32" t="s">
        <v>143</v>
      </c>
      <c r="CI8" s="5">
        <f t="shared" ref="CI8:CI15" si="50">$BE8</f>
        <v>81000</v>
      </c>
      <c r="CJ8" s="5">
        <f t="shared" ref="CJ8:CJ15" si="51">$BF8</f>
        <v>5030.1000000000004</v>
      </c>
      <c r="CK8" s="5">
        <v>0</v>
      </c>
      <c r="CL8" s="5">
        <f t="shared" ref="CL8:CL15" si="52">$BH8</f>
        <v>88545.150000000009</v>
      </c>
      <c r="CM8" s="32">
        <f>CK8/((1+InputData!$C$3)^(GenSurg!$B8-GenSurg!$B$7))</f>
        <v>0</v>
      </c>
      <c r="CN8" s="5">
        <f t="shared" ref="CN8:CN36" si="53">$BS8-CM8</f>
        <v>-44637.352941176468</v>
      </c>
      <c r="CO8" s="32">
        <f>CN8/((1+InputData!$C$7)^(GenSurg!$B8-GenSurg!$B$7))</f>
        <v>-43337.235865219875</v>
      </c>
      <c r="CP8" s="5">
        <f>CP7+CO8</f>
        <v>-86352.285865219877</v>
      </c>
      <c r="CQ8" s="5"/>
      <c r="CR8" s="32" t="s">
        <v>143</v>
      </c>
      <c r="CS8" s="5">
        <f t="shared" ref="CS8:CS15" si="54">$BE8</f>
        <v>81000</v>
      </c>
      <c r="CT8" s="5">
        <f t="shared" ref="CT8:CT15" si="55">$BF8</f>
        <v>5030.1000000000004</v>
      </c>
      <c r="CU8" s="5">
        <v>0</v>
      </c>
      <c r="CV8" s="5">
        <f t="shared" ref="CV8:CV15" si="56">$BH8</f>
        <v>88545.150000000009</v>
      </c>
      <c r="CW8" s="32">
        <f>CU8/((1+InputData!$C$3)^(GenSurg!$B8-GenSurg!$B$7))</f>
        <v>0</v>
      </c>
      <c r="CX8" s="5">
        <f t="shared" ref="CX8:CX36" si="57">$BS8-CW8</f>
        <v>-44637.352941176468</v>
      </c>
      <c r="CY8" s="32">
        <f>CX8/((1+InputData!$C$7)^(GenSurg!$B8-GenSurg!$B$7))</f>
        <v>-43337.235865219875</v>
      </c>
      <c r="CZ8" s="5">
        <f>CZ7+CY8</f>
        <v>-86352.285865219877</v>
      </c>
      <c r="DA8" s="5"/>
      <c r="DB8" s="32" t="s">
        <v>143</v>
      </c>
      <c r="DC8" s="5">
        <f t="shared" ref="DC8:DC10" si="58">$BE8</f>
        <v>81000</v>
      </c>
      <c r="DD8" s="5">
        <f t="shared" ref="DD8:DD10" si="59">$BF8</f>
        <v>5030.1000000000004</v>
      </c>
      <c r="DE8" s="5">
        <v>0</v>
      </c>
      <c r="DF8" s="5">
        <f t="shared" ref="DF8:DF10" si="60">$BH8</f>
        <v>88545.150000000009</v>
      </c>
      <c r="DG8" s="32">
        <f>DE8/((1+InputData!$C$3)^(GenSurg!$B8-GenSurg!$B$7))</f>
        <v>0</v>
      </c>
      <c r="DH8" s="5">
        <f t="shared" ref="DH8:DH36" si="61">$BS8-DG8</f>
        <v>-44637.352941176468</v>
      </c>
      <c r="DI8" s="32">
        <f>DH8/((1+InputData!$C$7)^(GenSurg!$B8-GenSurg!$B$7))</f>
        <v>-43337.235865219875</v>
      </c>
      <c r="DJ8" s="5">
        <f>DJ7+DI8</f>
        <v>-86352.285865219877</v>
      </c>
      <c r="DK8" s="5"/>
      <c r="DL8" s="32" t="s">
        <v>143</v>
      </c>
      <c r="DM8" s="5">
        <f t="shared" ref="DM8:DM10" si="62">$BE8</f>
        <v>81000</v>
      </c>
      <c r="DN8" s="5">
        <f t="shared" ref="DN8:DN10" si="63">$BF8</f>
        <v>5030.1000000000004</v>
      </c>
      <c r="DO8" s="5">
        <f>DO7+DN8-DP8</f>
        <v>7545.1500000000005</v>
      </c>
      <c r="DP8" s="5">
        <v>0</v>
      </c>
      <c r="DQ8" s="5">
        <f t="shared" ref="DQ8:DQ10" si="64">$BH8</f>
        <v>88545.150000000009</v>
      </c>
      <c r="DR8" s="32">
        <f>DP8/((1+InputData!$C$3)^(GenSurg!$B8-GenSurg!$B$7))</f>
        <v>0</v>
      </c>
      <c r="DS8" s="5">
        <f t="shared" ref="DS8:DS36" si="65">$BS8-DR8</f>
        <v>-44637.352941176468</v>
      </c>
      <c r="DT8" s="32">
        <f>DS8/((1+InputData!$C$7)^(GenSurg!$B8-GenSurg!$B$7))</f>
        <v>-43337.235865219875</v>
      </c>
      <c r="DU8" s="5">
        <f>DU7+DT8</f>
        <v>-86352.285865219877</v>
      </c>
      <c r="DV8" s="5"/>
      <c r="DW8" s="32" t="s">
        <v>143</v>
      </c>
      <c r="DX8" s="5">
        <f t="shared" ref="DX8:DX10" si="66">$BE8</f>
        <v>81000</v>
      </c>
      <c r="DY8" s="5">
        <f t="shared" ref="DY8:DY10" si="67">$BF8</f>
        <v>5030.1000000000004</v>
      </c>
      <c r="DZ8" s="5">
        <f>DZ7+DY8</f>
        <v>7545.1500000000005</v>
      </c>
      <c r="EA8" s="5">
        <v>0</v>
      </c>
      <c r="EB8" s="5">
        <f t="shared" ref="EB8:EB10" si="68">$BH8</f>
        <v>88545.150000000009</v>
      </c>
      <c r="EC8" s="32">
        <f>EA8/((1+InputData!$C$3)^(GenSurg!$B8-GenSurg!$B$7))</f>
        <v>0</v>
      </c>
      <c r="ED8" s="5">
        <f t="shared" ref="ED8:ED36" si="69">$BS8-EC8</f>
        <v>-44637.352941176468</v>
      </c>
      <c r="EE8" s="32">
        <f>ED8/((1+InputData!$C$7)^(GenSurg!$B8-GenSurg!$B$7))</f>
        <v>-43337.235865219875</v>
      </c>
      <c r="EF8" s="5">
        <f>EF7+EE8</f>
        <v>-86352.285865219877</v>
      </c>
      <c r="EG8" s="32"/>
      <c r="EH8" s="130" t="s">
        <v>143</v>
      </c>
      <c r="EI8" s="32">
        <f>EI7*(1+InputData!$C$10)</f>
        <v>45900</v>
      </c>
      <c r="EJ8" s="32">
        <f>EJ7+EI8</f>
        <v>90900</v>
      </c>
      <c r="EK8" s="32">
        <f>(EJ8)*InputData!$C$6</f>
        <v>5644.89</v>
      </c>
      <c r="EL8" s="32">
        <f>EL7+EI8+EK8</f>
        <v>99339.39</v>
      </c>
      <c r="EM8" s="32">
        <f>EM7*(1+InputData!$C$8)</f>
        <v>11719.800000000001</v>
      </c>
      <c r="EN8" s="32">
        <v>0</v>
      </c>
      <c r="EO8" s="32">
        <f>AW8/((1+InputData!$C$3)^(GenSurg!$B8-GenSurg!$B$7))</f>
        <v>0</v>
      </c>
      <c r="EP8" s="32">
        <f>AX8/((1+InputData!$C$3)^(GenSurg!$B8-GenSurg!$B$7))</f>
        <v>-44637.352941176468</v>
      </c>
      <c r="EQ8" s="32">
        <v>0</v>
      </c>
      <c r="ER8" s="32">
        <v>0</v>
      </c>
      <c r="ES8" s="32">
        <v>0</v>
      </c>
      <c r="ET8" s="43"/>
      <c r="EU8" s="32">
        <f t="shared" ref="EU8:EU36" si="70">EO8+EP8-EQ8-ER8-ES8</f>
        <v>-44637.352941176468</v>
      </c>
      <c r="EV8" s="32">
        <f>EN8/((1+InputData!$C$3)^(GenSurg!$B8-GenSurg!$B$7))</f>
        <v>0</v>
      </c>
      <c r="EW8" s="32">
        <f t="shared" ref="EW8:EW36" si="71">EU8-EV8</f>
        <v>-44637.352941176468</v>
      </c>
      <c r="EX8" s="32">
        <f>EW8/((1+InputData!$C$7)^(GenSurg!$B8-GenSurg!$B$7))</f>
        <v>-43337.235865219875</v>
      </c>
      <c r="EY8" s="5">
        <f>EY7+EX8</f>
        <v>-86352.285865219877</v>
      </c>
      <c r="EZ8" s="79"/>
      <c r="FA8" s="32">
        <f t="shared" ref="FA8:FA16" si="72">$EJ8</f>
        <v>90900</v>
      </c>
      <c r="FB8" s="32">
        <f t="shared" ref="FB8:FB15" si="73">$EK8</f>
        <v>5644.89</v>
      </c>
      <c r="FC8" s="32">
        <f t="shared" ref="FC8:FC15" si="74">$EL8</f>
        <v>99339.39</v>
      </c>
      <c r="FD8" s="32">
        <v>0</v>
      </c>
      <c r="FE8" s="32">
        <f>FD8/((1+InputData!$C$3)^(GenSurg!$B8-GenSurg!$B$7))</f>
        <v>0</v>
      </c>
      <c r="FF8" s="5">
        <f t="shared" ref="FF8:FF36" si="75">$EU8-FE8</f>
        <v>-44637.352941176468</v>
      </c>
      <c r="FG8" s="32">
        <f>FF8/((1+InputData!$C$7)^(GenSurg!$B8-GenSurg!$B$7))</f>
        <v>-43337.235865219875</v>
      </c>
      <c r="FH8" s="5">
        <f>FH7+FG8</f>
        <v>-86352.285865219877</v>
      </c>
      <c r="FI8" s="79"/>
      <c r="FJ8" s="32">
        <f t="shared" ref="FJ8:FJ16" si="76">$EJ8</f>
        <v>90900</v>
      </c>
      <c r="FK8" s="32">
        <f t="shared" ref="FK8:FK13" si="77">$EK8</f>
        <v>5644.89</v>
      </c>
      <c r="FL8" s="32">
        <f t="shared" ref="FL8:FL13" si="78">$EL8</f>
        <v>99339.39</v>
      </c>
      <c r="FM8" s="32">
        <v>0</v>
      </c>
      <c r="FN8" s="32">
        <f>FM8/((1+InputData!$C$3)^(GenSurg!$B8-GenSurg!$B$7))</f>
        <v>0</v>
      </c>
      <c r="FO8" s="5">
        <f t="shared" ref="FO8:FO36" si="79">$EU8-FN8</f>
        <v>-44637.352941176468</v>
      </c>
      <c r="FP8" s="32">
        <f>FO8/((1+InputData!$C$7)^(GenSurg!$B8-GenSurg!$B$7))</f>
        <v>-43337.235865219875</v>
      </c>
      <c r="FQ8" s="5">
        <f>FQ7+FP8</f>
        <v>-86352.285865219877</v>
      </c>
      <c r="FR8" s="79"/>
      <c r="FS8" s="32">
        <f t="shared" ref="FS8:FS16" si="80">$EJ8</f>
        <v>90900</v>
      </c>
      <c r="FT8" s="32">
        <f t="shared" ref="FT8:FT13" si="81">$EK8</f>
        <v>5644.89</v>
      </c>
      <c r="FU8" s="32">
        <f t="shared" ref="FU8:FU13" si="82">$EL8</f>
        <v>99339.39</v>
      </c>
      <c r="FV8" s="32">
        <v>0</v>
      </c>
      <c r="FW8" s="32">
        <f>FV8/((1+InputData!$C$3)^(GenSurg!$B8-GenSurg!$B$7))</f>
        <v>0</v>
      </c>
      <c r="FX8" s="5">
        <f t="shared" ref="FX8:FX36" si="83">$EU8-FW8</f>
        <v>-44637.352941176468</v>
      </c>
      <c r="FY8" s="32">
        <f>FX8/((1+InputData!$C$7)^(GenSurg!$B8-GenSurg!$B$7))</f>
        <v>-43337.235865219875</v>
      </c>
      <c r="FZ8" s="5">
        <f>FZ7+FY8</f>
        <v>-86352.285865219877</v>
      </c>
      <c r="GC8" s="3">
        <f t="shared" si="1"/>
        <v>0</v>
      </c>
      <c r="GD8" s="4" t="str">
        <f t="shared" si="2"/>
        <v>Med School (O1&lt;=2 yrs)</v>
      </c>
      <c r="GE8" s="5">
        <f t="shared" si="3"/>
        <v>34516.800000000003</v>
      </c>
      <c r="GF8" s="5">
        <f t="shared" si="4"/>
        <v>25411.199999999997</v>
      </c>
      <c r="GG8" s="5">
        <f t="shared" si="5"/>
        <v>59928</v>
      </c>
      <c r="GH8" s="5">
        <f t="shared" si="6"/>
        <v>34178.400000000001</v>
      </c>
      <c r="GI8" s="5">
        <f t="shared" si="7"/>
        <v>25162.070588235292</v>
      </c>
      <c r="GJ8" s="32">
        <f>IF(GH8-InputData!$C$158-InputData!$C$159&gt;=0,GH8-InputData!$C$158-InputData!$C$159,0)</f>
        <v>34178.400000000001</v>
      </c>
      <c r="GK8" s="32">
        <f>IF(GH8-IF(GH8&lt;=InputData!$C$146,InputData!$C$145,0)-MAX(InputData!$C$144,GQ8)&gt;=0,GH8-IF(GH8&lt;=InputData!$C$146,InputData!$C$145,0)-MAX(InputData!$C$144,GQ8),0)</f>
        <v>24178.400000000001</v>
      </c>
      <c r="GL8" s="32">
        <f>IF(GK8&lt;0,"Error",IF(GK8&lt;=InputData!$B$170,InputData!$C$170*GK8,IF(GK8&lt;=InputData!$B$171,InputData!$D$170+InputData!$C$171*(GK8-InputData!$B$170),IF(GK8&lt;=InputData!$B$172,InputData!$D$171+InputData!$C$172*(GK8-InputData!$B$171),IF(GK8&lt;=InputData!$B$173,InputData!$D$172+InputData!$C$173*(GK8-InputData!$B$172),IF(GK8&lt;=InputData!$B$174,InputData!$D$173+InputData!$C$174*(GK8-InputData!$B$173),IF(GK8&lt;=InputData!$B$175,InputData!$D$174+InputData!$C$175*(GK8-InputData!$B$174),InputData!$D$175+InputData!$C$176*(GK8-InputData!$B$175))))))))</f>
        <v>3180.51</v>
      </c>
      <c r="GM8" s="32">
        <f>IF(GH8&lt;=InputData!$C$150,InputData!$C$152,IF(GH8&lt;InputData!$C$151,IF(InputData!$C$152-0.25*IF(GH8-InputData!$C$150&lt;=0,0,GH8-InputData!$C$150)&lt;=0,0,InputData!$C$152-0.25*IF(GH8-InputData!$C$150&lt;=0,0,GH8-InputData!$C$150)),0))</f>
        <v>51900</v>
      </c>
      <c r="GN8" s="32">
        <f>IF(GH8-GM8&lt;=0,0,IF(GH8-GM8&lt;=InputData!$C$153,InputData!$C$154*(GH8-GM8),InputData!$C$155*(GH8-GM8)-InputData!$D$154))</f>
        <v>0</v>
      </c>
      <c r="GO8" s="32">
        <f t="shared" ref="GO8:GO36" si="84">MAX(GL8,GN8)</f>
        <v>3180.51</v>
      </c>
      <c r="GP8" s="32">
        <f>IF(GH8&gt;=0,IF(GH8&lt;=InputData!$C$148,InputData!$C$147*GH8,InputData!$C$147*InputData!$C$148)+InputData!$C$149*GH8,0)</f>
        <v>2614.6476000000002</v>
      </c>
      <c r="GQ8" s="32">
        <f>IF(GJ8&lt;0,0,IF(GJ8&lt;=InputData!$B$163,InputData!$C$163*GJ8,IF(GJ8&lt;=InputData!$B$164,InputData!$D$163+InputData!$C$164*(GJ8-InputData!$B$163),IF(GJ8&lt;=InputData!$B$165,InputData!$D$164+InputData!$C$165*(GJ8-InputData!$B$164),InputData!$D$165+InputData!$C$166*(GJ8-InputData!$B$165)))))</f>
        <v>0</v>
      </c>
      <c r="GR8" s="43">
        <f t="shared" ref="GR8:GR36" si="85">(GO8+GP8+GQ8)/GH8</f>
        <v>0.16955614072045502</v>
      </c>
      <c r="GS8" s="43">
        <f t="shared" ref="GS8:GS36" si="86">(GO8+GP8+GQ8)/(GH8+GI8)</f>
        <v>9.7659447971228844E-2</v>
      </c>
      <c r="GT8" s="5">
        <f t="shared" ref="GT8:GT36" si="87">GH8+GI8-GO8-GP8-GQ8</f>
        <v>53545.312988235295</v>
      </c>
      <c r="GU8" s="32">
        <f>GT8/((1+InputData!$C$7)^(GenSurg!$B8-GenSurg!$B$7))</f>
        <v>51985.740765276983</v>
      </c>
      <c r="GV8" s="32">
        <f t="shared" ref="GV8:GV35" si="88">GV7+GU8</f>
        <v>106041.93556527697</v>
      </c>
      <c r="GX8" s="3">
        <f t="shared" si="8"/>
        <v>0</v>
      </c>
      <c r="GY8" s="4" t="str">
        <f t="shared" si="9"/>
        <v>Med School</v>
      </c>
      <c r="GZ8" s="5">
        <f t="shared" si="10"/>
        <v>29307.326488706363</v>
      </c>
      <c r="HA8" s="5">
        <f t="shared" si="11"/>
        <v>0</v>
      </c>
      <c r="HB8" s="5">
        <f t="shared" si="12"/>
        <v>29307.326488706363</v>
      </c>
      <c r="HC8" s="5">
        <f t="shared" si="13"/>
        <v>29019.999758424929</v>
      </c>
      <c r="HD8" s="5">
        <f t="shared" si="14"/>
        <v>0</v>
      </c>
      <c r="HE8" s="32">
        <f>IF(HC8-InputData!$C$158-InputData!$C$159&gt;=0,HC8-InputData!$C$158-InputData!$C$159,0)</f>
        <v>29019.999758424929</v>
      </c>
      <c r="HF8" s="32">
        <f>IF(HC8-IF(HC8&lt;=InputData!$C$146,InputData!$C$145,0)-MAX(InputData!$C$144,HL8)&gt;=0,HC8-IF(HC8&lt;=InputData!$C$146,InputData!$C$145,0)-MAX(InputData!$C$144,HL8),0)</f>
        <v>19019.999758424929</v>
      </c>
      <c r="HG8" s="32">
        <f>IF(HF8&lt;0,"Error",IF(HF8&lt;=InputData!$B$170,InputData!$C$170*HF8,IF(HF8&lt;=InputData!$B$171,InputData!$D$170+InputData!$C$171*(HF8-InputData!$B$170),IF(HF8&lt;=InputData!$B$172,InputData!$D$171+InputData!$C$172*(HF8-InputData!$B$171),IF(HF8&lt;=InputData!$B$173,InputData!$D$172+InputData!$C$173*(HF8-InputData!$B$172),IF(HF8&lt;=InputData!$B$174,InputData!$D$173+InputData!$C$174*(HF8-InputData!$B$173),IF(HF8&lt;=InputData!$B$175,InputData!$D$174+InputData!$C$175*(HF8-InputData!$B$174),InputData!$D$175+InputData!$C$176*(HF8-InputData!$B$175))))))))</f>
        <v>2406.7499637637393</v>
      </c>
      <c r="HH8" s="32">
        <f>IF(HC8&lt;=InputData!$C$150,InputData!$C$152,IF(HC8&lt;InputData!$C$151,IF(InputData!$C$152-0.25*IF(HC8-InputData!$C$150&lt;=0,0,HC8-InputData!$C$150)&lt;=0,0,InputData!$C$152-0.25*IF(HC8-InputData!$C$150&lt;=0,0,HC8-InputData!$C$150)),0))</f>
        <v>51900</v>
      </c>
      <c r="HI8" s="32">
        <f>IF(HC8-HH8&lt;=0,0,IF(HC8-HH8&lt;=InputData!$C$153,InputData!$C$154*(HC8-HH8),InputData!$C$155*(HC8-HH8)-InputData!$D$154))</f>
        <v>0</v>
      </c>
      <c r="HJ8" s="32">
        <f t="shared" ref="HJ8:HJ36" si="89">MAX(HG8,HI8)</f>
        <v>2406.7499637637393</v>
      </c>
      <c r="HK8" s="32">
        <v>0</v>
      </c>
      <c r="HL8" s="32">
        <f>IF(HE8&lt;0,0,IF(HE8&lt;=InputData!$B$163,InputData!$C$163*HE8,IF(HE8&lt;=InputData!$B$164,InputData!$D$163+InputData!$C$164*(HE8-InputData!$B$163),IF(HE8&lt;=InputData!$B$165,InputData!$D$164+InputData!$C$165*(HE8-InputData!$B$164),InputData!$D$165+InputData!$C$166*(HE8-InputData!$B$165)))))</f>
        <v>0</v>
      </c>
      <c r="HM8" s="43">
        <f t="shared" ref="HM8:HM36" si="90">(HJ8+HK8+HL8)/HC8</f>
        <v>8.2934182763562042E-2</v>
      </c>
      <c r="HN8" s="43">
        <f t="shared" ref="HN8:HN36" si="91">(HJ8+HK8+HL8)/(HC8+HD8)</f>
        <v>8.2934182763562042E-2</v>
      </c>
      <c r="HO8" s="5">
        <f t="shared" ref="HO8:HO36" si="92">HC8+HD8-HJ8-HK8-HL8</f>
        <v>26613.249794661191</v>
      </c>
      <c r="HP8" s="32">
        <f>HO8/((1+InputData!$C$7)^(GenSurg!$B8-GenSurg!$B$7))</f>
        <v>25838.106596758436</v>
      </c>
      <c r="HQ8" s="32">
        <f t="shared" ref="HQ8:HQ35" si="93">HQ7+HP8</f>
        <v>69389.851463288214</v>
      </c>
      <c r="HS8" s="93">
        <f t="shared" ref="HS8:HS22" si="94">D8</f>
        <v>0</v>
      </c>
      <c r="HT8" s="5" t="str">
        <f t="shared" ref="HT8:HT22" si="95">E8</f>
        <v>Med School (O1&lt;=2 yrs)</v>
      </c>
      <c r="HU8" s="5">
        <f t="shared" si="15"/>
        <v>34516.800000000003</v>
      </c>
      <c r="HV8" s="5">
        <f t="shared" si="16"/>
        <v>25411.199999999997</v>
      </c>
      <c r="HW8" s="5">
        <f t="shared" si="17"/>
        <v>59928</v>
      </c>
      <c r="HX8" s="5">
        <f t="shared" si="18"/>
        <v>34178.400000000001</v>
      </c>
      <c r="HY8" s="5">
        <f t="shared" si="19"/>
        <v>25162.070588235292</v>
      </c>
      <c r="HZ8" s="32">
        <f>IF(HX8-InputData!$C$158-InputData!$C$159&gt;=0,HX8-InputData!$C$158-InputData!$C$159,0)</f>
        <v>34178.400000000001</v>
      </c>
      <c r="IA8" s="32">
        <f>IF(HX8-IF(HX8&lt;=InputData!$C$146,InputData!$C$145,0)-MAX(InputData!$C$144,IG8)&gt;=0,HX8-IF(HX8&lt;=InputData!$C$146,InputData!$C$145,0)-MAX(InputData!$C$144,IG8),0)</f>
        <v>24178.400000000001</v>
      </c>
      <c r="IB8" s="32">
        <f>IF(IA8&lt;0,"Error",IF(IA8&lt;=InputData!$B$170,InputData!$C$170*IA8,IF(IA8&lt;=InputData!$B$171,InputData!$D$170+InputData!$C$171*(IA8-InputData!$B$170),IF(IA8&lt;=InputData!$B$172,InputData!$D$171+InputData!$C$172*(IA8-InputData!$B$171),IF(IA8&lt;=InputData!$B$173,InputData!$D$172+InputData!$C$173*(IA8-InputData!$B$172),IF(IA8&lt;=InputData!$B$174,InputData!$D$173+InputData!$C$174*(IA8-InputData!$B$173),IF(IA8&lt;=InputData!$B$175,InputData!$D$174+InputData!$C$175*(IA8-InputData!$B$174),InputData!$D$175+InputData!$C$176*(IA8-InputData!$B$175))))))))</f>
        <v>3180.51</v>
      </c>
      <c r="IC8" s="32">
        <f>IF(HX8&lt;=InputData!$C$150,InputData!$C$152,IF(HX8&lt;InputData!$C$151,IF(InputData!$C$152-0.25*IF(HX8-InputData!$C$150&lt;=0,0,HX8-InputData!$C$150)&lt;=0,0,InputData!$C$152-0.25*IF(HX8-InputData!$C$150&lt;=0,0,HX8-InputData!$C$150)),0))</f>
        <v>51900</v>
      </c>
      <c r="ID8" s="32">
        <f>IF(HX8-IC8&lt;=0,0,IF(HX8-IC8&lt;=InputData!$C$153,InputData!$C$154*(HX8-IC8),InputData!$C$155*(HX8-IC8)-InputData!$D$154))</f>
        <v>0</v>
      </c>
      <c r="IE8" s="32">
        <f t="shared" ref="IE8:IE36" si="96">MAX(IB8,ID8)</f>
        <v>3180.51</v>
      </c>
      <c r="IF8" s="32">
        <f>IF(HX8&gt;=0,IF(HX8&lt;=InputData!$C$148,InputData!$C$147*HX8,InputData!$C$147*InputData!$C$148)+InputData!$C$149*HX8,0)</f>
        <v>2614.6476000000002</v>
      </c>
      <c r="IG8" s="32">
        <f>IF(HZ8&lt;0,0,IF(HZ8&lt;=InputData!$B$163,InputData!$C$163*HZ8,IF(HZ8&lt;=InputData!$B$164,InputData!$D$163+InputData!$C$164*(HZ8-InputData!$B$163),IF(HZ8&lt;=InputData!$B$165,InputData!$D$164+InputData!$C$165*(HZ8-InputData!$B$164),InputData!$D$165+InputData!$C$166*(HZ8-InputData!$B$165)))))</f>
        <v>0</v>
      </c>
      <c r="IH8" s="43">
        <f t="shared" ref="IH8:IH36" si="97">(IE8+IF8+IG8)/HX8</f>
        <v>0.16955614072045502</v>
      </c>
      <c r="II8" s="43">
        <f t="shared" ref="II8:II36" si="98">(IE8+IF8+IG8)/(HX8+HY8)</f>
        <v>9.7659447971228844E-2</v>
      </c>
      <c r="IJ8" s="5">
        <f t="shared" si="20"/>
        <v>53545.312988235295</v>
      </c>
      <c r="IK8" s="32">
        <f>IJ8/((1+InputData!$C$7)^(GenSurg!$B8-GenSurg!$B$7))</f>
        <v>51985.740765276983</v>
      </c>
      <c r="IL8" s="5">
        <f t="shared" ref="IL8:IL35" si="99">IL7+IK8</f>
        <v>106041.93556527697</v>
      </c>
      <c r="IN8" s="93">
        <f t="shared" ref="IN8:IN19" si="100">Z8</f>
        <v>0</v>
      </c>
      <c r="IO8" s="5" t="str">
        <f t="shared" ref="IO8:IO19" si="101">AA8</f>
        <v>Med School</v>
      </c>
      <c r="IP8" s="5">
        <f t="shared" si="21"/>
        <v>29307.326488706363</v>
      </c>
      <c r="IQ8" s="5">
        <f t="shared" si="22"/>
        <v>0</v>
      </c>
      <c r="IR8" s="5">
        <f t="shared" si="23"/>
        <v>29307.326488706363</v>
      </c>
      <c r="IS8" s="5">
        <f t="shared" si="24"/>
        <v>29019.999758424929</v>
      </c>
      <c r="IT8" s="5">
        <f t="shared" si="25"/>
        <v>0</v>
      </c>
      <c r="IU8" s="32">
        <f>IF(IS8-InputData!$C$158-InputData!$C$159&gt;=0,IS8-InputData!$C$158-InputData!$C$159,0)</f>
        <v>29019.999758424929</v>
      </c>
      <c r="IV8" s="32">
        <f>IF(IS8-IF(IS8&lt;=InputData!$C$146,InputData!$C$145,0)-MAX(InputData!$C$144,JB8)&gt;=0,IS8-IF(IS8&lt;=InputData!$C$146,InputData!$C$145,0)-MAX(InputData!$C$144,JB8),0)</f>
        <v>19019.999758424929</v>
      </c>
      <c r="IW8" s="32">
        <f>IF(IV8&lt;0,"Error",IF(IV8&lt;=InputData!$B$170,InputData!$C$170*IV8,IF(IV8&lt;=InputData!$B$171,InputData!$D$170+InputData!$C$171*(IV8-InputData!$B$170),IF(IV8&lt;=InputData!$B$172,InputData!$D$171+InputData!$C$172*(IV8-InputData!$B$171),IF(IV8&lt;=InputData!$B$173,InputData!$D$172+InputData!$C$173*(IV8-InputData!$B$172),IF(IV8&lt;=InputData!$B$174,InputData!$D$173+InputData!$C$174*(IV8-InputData!$B$173),IF(IV8&lt;=InputData!$B$175,InputData!$D$174+InputData!$C$175*(IV8-InputData!$B$174),InputData!$D$175+InputData!$C$176*(IV8-InputData!$B$175))))))))</f>
        <v>2406.7499637637393</v>
      </c>
      <c r="IX8" s="32">
        <f>IF(IS8&lt;=InputData!$C$150,InputData!$C$152,IF(IS8&lt;InputData!$C$151,IF(InputData!$C$152-0.25*IF(IS8-InputData!$C$150&lt;=0,0,IS8-InputData!$C$150)&lt;=0,0,InputData!$C$152-0.25*IF(IS8-InputData!$C$150&lt;=0,0,IS8-InputData!$C$150)),0))</f>
        <v>51900</v>
      </c>
      <c r="IY8" s="32">
        <f>IF(IS8-IX8&lt;=0,0,IF(IS8-IX8&lt;=InputData!$C$153,InputData!$C$154*(IS8-IX8),InputData!$C$155*(IS8-IX8)-InputData!$D$154))</f>
        <v>0</v>
      </c>
      <c r="IZ8" s="32">
        <f t="shared" ref="IZ8:IZ36" si="102">MAX(IW8,IY8)</f>
        <v>2406.7499637637393</v>
      </c>
      <c r="JA8" s="32">
        <v>0</v>
      </c>
      <c r="JB8" s="32">
        <f>IF(IU8&lt;0,0,IF(IU8&lt;=InputData!$B$163,InputData!$C$163*IU8,IF(IU8&lt;=InputData!$B$164,InputData!$D$163+InputData!$C$164*(IU8-InputData!$B$163),IF(IU8&lt;=InputData!$B$165,InputData!$D$164+InputData!$C$165*(IU8-InputData!$B$164),InputData!$D$165+InputData!$C$166*(IU8-InputData!$B$165)))))</f>
        <v>0</v>
      </c>
      <c r="JC8" s="43">
        <f t="shared" ref="JC8:JC36" si="103">(IZ8+JA8+JB8)/IS8</f>
        <v>8.2934182763562042E-2</v>
      </c>
      <c r="JD8" s="43">
        <f t="shared" ref="JD8:JD36" si="104">(IZ8+JA8+JB8)/(IS8+IT8)</f>
        <v>8.2934182763562042E-2</v>
      </c>
      <c r="JE8" s="5">
        <f t="shared" ref="JE8:JE36" si="105">IS8+IT8-IZ8-JA8-JB8</f>
        <v>26613.249794661191</v>
      </c>
      <c r="JF8" s="32">
        <f>JE8/((1+InputData!$C$7)^(GenSurg!$B8-GenSurg!$B$7))</f>
        <v>25838.106596758436</v>
      </c>
      <c r="JG8" s="5">
        <f t="shared" ref="JG8:JG35" si="106">JG7+JF8</f>
        <v>69389.851463288214</v>
      </c>
      <c r="JI8" s="41" t="str">
        <f t="shared" si="26"/>
        <v>Med School</v>
      </c>
      <c r="JJ8" s="5">
        <f t="shared" si="27"/>
        <v>0</v>
      </c>
      <c r="JK8" s="32">
        <f t="shared" ref="JK8:JK10" si="107">-(JQ8+JS8)</f>
        <v>0</v>
      </c>
      <c r="JL8" s="32">
        <f t="shared" ref="JL8:JL36" si="108">JJ8+JK8</f>
        <v>0</v>
      </c>
      <c r="JM8" s="32">
        <f>JM7*(1+InputData!$C$8)</f>
        <v>11719.800000000001</v>
      </c>
      <c r="JN8" s="32">
        <f>JJ8/((1+InputData!$C$3)^(GenSurg!$B8-GenSurg!$B$7))</f>
        <v>0</v>
      </c>
      <c r="JO8" s="32">
        <f>JK8/((1+InputData!$C$3)^(GenSurg!$B8-GenSurg!$B$7))</f>
        <v>0</v>
      </c>
      <c r="JP8" s="32" t="s">
        <v>143</v>
      </c>
      <c r="JQ8" s="118">
        <v>0</v>
      </c>
      <c r="JR8" s="32">
        <f>JR7+JQ8</f>
        <v>0</v>
      </c>
      <c r="JS8" s="32">
        <f>(JR8)*InputData!$C$6</f>
        <v>0</v>
      </c>
      <c r="JT8" s="32">
        <v>0</v>
      </c>
      <c r="JU8" s="32">
        <f>JU7+JQ8+JS8-JT8</f>
        <v>0</v>
      </c>
      <c r="JV8" s="32">
        <f>JT8/((1+InputData!$C$3)^(GenSurg!$B8-GenSurg!$B$7))</f>
        <v>0</v>
      </c>
      <c r="JW8" s="32">
        <f>IF(JN8-InputData!$C$158-InputData!$C$159&gt;=0,JN8-InputData!$C$158-InputData!$C$159,0)</f>
        <v>0</v>
      </c>
      <c r="JX8" s="32">
        <f>IF(JN8-IF(JN8&lt;=InputData!$C$146,InputData!$C$145,0)-MAX(InputData!$C$144,KD8)&gt;=0,JN8-IF(JN8&lt;=InputData!$C$146,InputData!$C$145,0)-MAX(InputData!$C$144,KD8),0)</f>
        <v>0</v>
      </c>
      <c r="JY8" s="32">
        <f>IF(JX8&lt;0,"Error",IF(JX8&lt;=InputData!$B$170,InputData!$C$170*JX8,IF(JX8&lt;=InputData!$B$171,InputData!$D$170+InputData!$C$171*(JX8-InputData!$B$170),IF(JX8&lt;=InputData!$B$172,InputData!$D$171+InputData!$C$172*(JX8-InputData!$B$171),IF(JX8&lt;=InputData!$B$173,InputData!$D$172+InputData!$C$173*(JX8-InputData!$B$172),IF(JX8&lt;=InputData!$B$174,InputData!$D$173+InputData!$C$174*(JX8-InputData!$B$173),IF(JX8&lt;=InputData!$B$175,InputData!$D$174+InputData!$C$175*(JX8-InputData!$B$174),InputData!$D$175+InputData!$C$176*(JX8-InputData!$B$175))))))))</f>
        <v>0</v>
      </c>
      <c r="JZ8" s="32">
        <f>IF(JN8&lt;=InputData!$C$150,InputData!$C$152,IF(JN8&lt;InputData!$C$151,IF(InputData!$C$152-0.25*IF(JN8-InputData!$C$150&lt;=0,0,JN8-InputData!$C$150)&lt;=0,0,InputData!$C$152-0.25*IF(JN8-InputData!$C$150&lt;=0,0,JN8-InputData!$C$150)),0))</f>
        <v>51900</v>
      </c>
      <c r="KA8" s="32">
        <f>IF(JN8-JZ8&lt;=0,0,IF(JN8-JZ8&lt;=InputData!$C$153,InputData!$C$154*(JN8-JZ8),InputData!$C$155*(JN8-JZ8)-InputData!$D$154))</f>
        <v>0</v>
      </c>
      <c r="KB8" s="32">
        <f t="shared" ref="KB8:KB36" si="109">MAX(JY8,KA8)</f>
        <v>0</v>
      </c>
      <c r="KC8" s="32">
        <f>IF(JN8&gt;=0,IF(JN8&lt;=InputData!$C$148,InputData!$C$147*JN8,InputData!$C$147*InputData!$C$148)+InputData!$C$149*JN8,0)</f>
        <v>0</v>
      </c>
      <c r="KD8" s="32">
        <f>IF(JW8&lt;0,0,IF(JW8&lt;=InputData!$B$163,InputData!$C$163*JW8,IF(JW8&lt;=InputData!$B$164,InputData!$D$163+InputData!$C$164*(JW8-InputData!$B$163),IF(JW8&lt;=InputData!$B$165,InputData!$D$164+InputData!$C$165*(JW8-InputData!$B$164),InputData!$D$165+InputData!$C$166*(JW8-InputData!$B$165)))))</f>
        <v>0</v>
      </c>
      <c r="KE8" s="43" t="e">
        <f t="shared" si="28"/>
        <v>#DIV/0!</v>
      </c>
      <c r="KF8" s="32">
        <f t="shared" si="29"/>
        <v>0</v>
      </c>
      <c r="KG8" s="32">
        <f t="shared" ref="KG8:KG36" si="110">KF8-JV8</f>
        <v>0</v>
      </c>
      <c r="KH8" s="32">
        <f>KG8/((1+InputData!$C$7)^(GenSurg!$B8-GenSurg!$B$7))</f>
        <v>0</v>
      </c>
      <c r="KI8" s="5">
        <f>KI7+KH8</f>
        <v>0</v>
      </c>
    </row>
    <row r="9" spans="1:295" ht="14.45" x14ac:dyDescent="0.3">
      <c r="A9" s="4">
        <v>2015</v>
      </c>
      <c r="B9" s="51">
        <v>3</v>
      </c>
      <c r="C9" s="4"/>
      <c r="D9" s="45">
        <v>0</v>
      </c>
      <c r="E9" s="4" t="s">
        <v>10</v>
      </c>
      <c r="F9" s="5">
        <f>InputData!$D$26*12</f>
        <v>35928</v>
      </c>
      <c r="G9" s="5">
        <f>InputData!$D$26*12</f>
        <v>35928</v>
      </c>
      <c r="H9" s="5">
        <f>(InputData!$H$37+InputData!$C$40)*12</f>
        <v>25411.199999999997</v>
      </c>
      <c r="I9" s="5">
        <f t="shared" si="30"/>
        <v>61339.199999999997</v>
      </c>
      <c r="J9" s="5">
        <f>G9*((1+InputData!$C$5)/(1+InputData!$C$3))^(GenSurg!$B9-GenSurg!$B$7)</f>
        <v>35226.98269896194</v>
      </c>
      <c r="K9" s="5">
        <f>H9*((1+InputData!$C$5)/(1+InputData!$C$3))^(GenSurg!$B9-GenSurg!$B$7)</f>
        <v>24915.383621683966</v>
      </c>
      <c r="L9" s="32">
        <f>IF(J9-InputData!$C$158-InputData!$C$159&gt;=0,J9-InputData!$C$158-InputData!$C$159,0)</f>
        <v>35226.98269896194</v>
      </c>
      <c r="M9" s="32">
        <f>IF(J9-IF(J9&lt;=InputData!$C$146,InputData!$C$145,0)-MAX(InputData!$C$144,S9)&gt;=0,J9-IF(J9&lt;=InputData!$C$146,InputData!$C$145,0)-MAX(InputData!$C$144,S9),0)</f>
        <v>25226.98269896194</v>
      </c>
      <c r="N9" s="32">
        <f>IF(M9&lt;0,"Error",IF(M9&lt;=InputData!$B$170,InputData!$C$170*M9,IF(M9&lt;=InputData!$B$171,InputData!$D$170+InputData!$C$171*(M9-InputData!$B$170),IF(M9&lt;=InputData!$B$172,InputData!$D$171+InputData!$C$172*(M9-InputData!$B$171),IF(M9&lt;=InputData!$B$173,InputData!$D$172+InputData!$C$173*(M9-InputData!$B$172),IF(M9&lt;=InputData!$B$174,InputData!$D$173+InputData!$C$174*(M9-InputData!$B$173),IF(M9&lt;=InputData!$B$175,InputData!$D$174+InputData!$C$175*(M9-InputData!$B$174),InputData!$D$175+InputData!$C$176*(M9-InputData!$B$175))))))))</f>
        <v>3337.7974048442907</v>
      </c>
      <c r="O9" s="32">
        <f>IF(J9&lt;=InputData!$C$150,InputData!$C$152,IF(J9&lt;InputData!$C$151,IF(InputData!$C$152-0.25*IF(J9-InputData!$C$150&lt;=0,0,J9-InputData!$C$150)&lt;=0,0,InputData!$C$152-0.25*IF(J9-InputData!$C$150&lt;=0,0,J9-InputData!$C$150)),0))</f>
        <v>51900</v>
      </c>
      <c r="P9" s="32">
        <f>IF(J9-O9&lt;=0,0,IF(J9-O9&lt;=InputData!$C$153,InputData!$C$154*(J9-O9),InputData!$C$155*(J9-O9)-InputData!$D$154))</f>
        <v>0</v>
      </c>
      <c r="Q9" s="32">
        <f t="shared" si="31"/>
        <v>3337.7974048442907</v>
      </c>
      <c r="R9" s="32">
        <f>IF(J9&gt;=0,IF(J9&lt;=InputData!$C$148,InputData!$C$147*J9,InputData!$C$147*InputData!$C$148)+InputData!$C$149*J9,0)</f>
        <v>2694.8641764705881</v>
      </c>
      <c r="S9" s="32">
        <f>IF(L9&lt;0,0,IF(L9&lt;=InputData!$B$163,InputData!$C$163*L9,IF(L9&lt;=InputData!$B$164,InputData!$D$163+InputData!$C$164*(L9-InputData!$B$163),IF(L9&lt;=InputData!$B$165,InputData!$D$164+InputData!$C$165*(L9-InputData!$B$164),InputData!$D$165+InputData!$C$166*(L9-InputData!$B$165)))))</f>
        <v>0</v>
      </c>
      <c r="T9" s="43">
        <f t="shared" si="32"/>
        <v>0.17125115803609961</v>
      </c>
      <c r="U9" s="43">
        <f t="shared" si="33"/>
        <v>0.10030635557556974</v>
      </c>
      <c r="V9" s="5">
        <f t="shared" si="34"/>
        <v>54109.70473933102</v>
      </c>
      <c r="W9" s="32">
        <f>V9/((1+InputData!$C$7)^(GenSurg!$B9-GenSurg!$B$7))</f>
        <v>51003.586331728744</v>
      </c>
      <c r="X9" s="5">
        <f t="shared" ref="X9:X36" si="111">X8+W9</f>
        <v>157045.52189700573</v>
      </c>
      <c r="Y9" s="53"/>
      <c r="Z9" s="45">
        <v>0</v>
      </c>
      <c r="AA9" s="4" t="s">
        <v>0</v>
      </c>
      <c r="AB9" s="4"/>
      <c r="AC9" s="5">
        <f>InputData!$C$67*10.5+(IntMed!G9+IntMed!H9)*45/365.25</f>
        <v>29481.190965092403</v>
      </c>
      <c r="AD9" s="5">
        <v>0</v>
      </c>
      <c r="AE9" s="5">
        <f t="shared" si="35"/>
        <v>29481.190965092403</v>
      </c>
      <c r="AF9" s="5">
        <f>AC9*((1+InputData!$C$5)/(1+InputData!$C$3))^(GenSurg!$B9-GenSurg!$B$7)</f>
        <v>28905.962037188354</v>
      </c>
      <c r="AG9" s="5">
        <f>AD9*((1+InputData!$C$5)/(1+InputData!$C$3))^(GenSurg!$B9-GenSurg!$B$7)</f>
        <v>0</v>
      </c>
      <c r="AH9" s="32">
        <f>IF(AF9-InputData!$C$158-InputData!$C$159&gt;=0,AF9-InputData!$C$158-InputData!$C$159,0)</f>
        <v>28905.962037188354</v>
      </c>
      <c r="AI9" s="32">
        <f>IF(AF9-IF(AF9&lt;=InputData!$C$146,InputData!$C$145,0)-MAX(InputData!$C$144,AO9)&gt;=0,AF9-IF(AF9&lt;=InputData!$C$146,InputData!$C$145,0)-MAX(InputData!$C$144,AO9),0)</f>
        <v>18905.962037188354</v>
      </c>
      <c r="AJ9" s="32">
        <f>IF(AI9&lt;0,"Error",IF(AI9&lt;=InputData!$B$170,InputData!$C$170*AI9,IF(AI9&lt;=InputData!$B$171,InputData!$D$170+InputData!$C$171*(AI9-InputData!$B$170),IF(AI9&lt;=InputData!$B$172,InputData!$D$171+InputData!$C$172*(AI9-InputData!$B$171),IF(AI9&lt;=InputData!$B$173,InputData!$D$172+InputData!$C$173*(AI9-InputData!$B$172),IF(AI9&lt;=InputData!$B$174,InputData!$D$173+InputData!$C$174*(AI9-InputData!$B$173),IF(AI9&lt;=InputData!$B$175,InputData!$D$174+InputData!$C$175*(AI9-InputData!$B$174),InputData!$D$175+InputData!$C$176*(AI9-InputData!$B$175))))))))</f>
        <v>2389.6443055782529</v>
      </c>
      <c r="AK9" s="32">
        <f>IF(AF9&lt;=InputData!$C$150,InputData!$C$152,IF(AF9&lt;InputData!$C$151,IF(InputData!$C$152-0.25*IF(AF9-InputData!$C$150&lt;=0,0,AF9-InputData!$C$150)&lt;=0,0,InputData!$C$152-0.25*IF(AF9-InputData!$C$150&lt;=0,0,AF9-InputData!$C$150)),0))</f>
        <v>51900</v>
      </c>
      <c r="AL9" s="32">
        <f>IF(AF9-AK9&lt;=0,0,IF(AF9-AK9&lt;=InputData!$C$153,InputData!$C$154*(AF9-AK9),InputData!$C$155*(AF9-AK9)-InputData!$D$154))</f>
        <v>0</v>
      </c>
      <c r="AM9" s="32">
        <f t="shared" si="36"/>
        <v>2389.6443055782529</v>
      </c>
      <c r="AN9" s="32">
        <v>0</v>
      </c>
      <c r="AO9" s="32">
        <f>IF(AH9&lt;0,0,IF(AH9&lt;=InputData!$B$163,InputData!$C$163*AH9,IF(AH9&lt;=InputData!$B$164,InputData!$D$163+InputData!$C$164*(AH9-InputData!$B$163),IF(AH9&lt;=InputData!$B$165,InputData!$D$164+InputData!$C$165*(AH9-InputData!$B$164),InputData!$D$165+InputData!$C$166*(AH9-InputData!$B$165)))))</f>
        <v>0</v>
      </c>
      <c r="AP9" s="43">
        <f t="shared" si="37"/>
        <v>8.2669599527734339E-2</v>
      </c>
      <c r="AQ9" s="43">
        <f t="shared" si="38"/>
        <v>8.2669599527734339E-2</v>
      </c>
      <c r="AR9" s="5">
        <f t="shared" si="39"/>
        <v>26516.317731610099</v>
      </c>
      <c r="AS9" s="32">
        <f>AR9/((1+InputData!$C$7)^(GenSurg!$B9-GenSurg!$B$7))</f>
        <v>24994.172619106514</v>
      </c>
      <c r="AT9" s="5">
        <f t="shared" ref="AT9:AT36" si="112">AT8+AS9</f>
        <v>94384.024082394724</v>
      </c>
      <c r="AU9" s="53"/>
      <c r="AV9" s="41" t="s">
        <v>0</v>
      </c>
      <c r="AW9" s="32">
        <v>0</v>
      </c>
      <c r="AX9" s="32">
        <f t="shared" si="40"/>
        <v>-57604.05</v>
      </c>
      <c r="AY9" s="32">
        <f t="shared" si="41"/>
        <v>-57604.05</v>
      </c>
      <c r="AZ9" s="32">
        <f>AZ8*(1+InputData!$C$8)</f>
        <v>11954.196000000002</v>
      </c>
      <c r="BA9" s="32">
        <f>AW9/((1+InputData!$C$3)^(GenSurg!$B9-GenSurg!$B$7))</f>
        <v>0</v>
      </c>
      <c r="BB9" s="32">
        <f>AX9/((1+InputData!$C$3)^(GenSurg!$B9-GenSurg!$B$7))</f>
        <v>-55367.214532871978</v>
      </c>
      <c r="BC9" s="32" t="s">
        <v>143</v>
      </c>
      <c r="BD9" s="118">
        <f>InputData!$C$88*11/40</f>
        <v>49500</v>
      </c>
      <c r="BE9" s="32">
        <f t="shared" ref="BE9:BE10" si="113">BE8+BD9</f>
        <v>130500</v>
      </c>
      <c r="BF9" s="32">
        <f>(BE9)*InputData!$C$6</f>
        <v>8104.05</v>
      </c>
      <c r="BG9" s="32">
        <v>0</v>
      </c>
      <c r="BH9" s="32">
        <f>BH8+BD9+BF9-BG9</f>
        <v>146149.20000000001</v>
      </c>
      <c r="BI9" s="32">
        <f>BG9/((1+InputData!$C$3)^(GenSurg!$B9-GenSurg!$B$7))</f>
        <v>0</v>
      </c>
      <c r="BJ9" s="32">
        <f>IF(BA9-InputData!$C$158-InputData!$C$159&gt;=0,BA9-InputData!$C$158-InputData!$C$159,0)</f>
        <v>0</v>
      </c>
      <c r="BK9" s="32">
        <f>IF(BA9-IF(BA9&lt;=InputData!$C$146,InputData!$C$145,0)-MAX(InputData!$C$144,BQ9)&gt;=0,BA9-IF(BA9&lt;=InputData!$C$146,InputData!$C$145,0)-MAX(InputData!$C$144,BQ9),0)</f>
        <v>0</v>
      </c>
      <c r="BL9" s="32">
        <f>IF(BK9&lt;0,"Error",IF(BK9&lt;=InputData!$B$170,InputData!$C$170*BK9,IF(BK9&lt;=InputData!$B$171,InputData!$D$170+InputData!$C$171*(BK9-InputData!$B$170),IF(BK9&lt;=InputData!$B$172,InputData!$D$171+InputData!$C$172*(BK9-InputData!$B$171),IF(BK9&lt;=InputData!$B$173,InputData!$D$172+InputData!$C$173*(BK9-InputData!$B$172),IF(BK9&lt;=InputData!$B$174,InputData!$D$173+InputData!$C$174*(BK9-InputData!$B$173),IF(BK9&lt;=InputData!$B$175,InputData!$D$174+InputData!$C$175*(BK9-InputData!$B$174),InputData!$D$175+InputData!$C$176*(BK9-InputData!$B$175))))))))</f>
        <v>0</v>
      </c>
      <c r="BM9" s="32">
        <f>IF(BA9&lt;=InputData!$C$150,InputData!$C$152,IF(BA9&lt;InputData!$C$151,IF(InputData!$C$152-0.25*IF(BA9-InputData!$C$150&lt;=0,0,BA9-InputData!$C$150)&lt;=0,0,InputData!$C$152-0.25*IF(BA9-InputData!$C$150&lt;=0,0,BA9-InputData!$C$150)),0))</f>
        <v>51900</v>
      </c>
      <c r="BN9" s="32">
        <f>IF(BA9-BM9&lt;=0,0,IF(BA9-BM9&lt;=InputData!$C$153,InputData!$C$154*(BA9-BM9),InputData!$C$155*(BA9-BM9)-InputData!$D$154))</f>
        <v>0</v>
      </c>
      <c r="BO9" s="32">
        <f t="shared" si="42"/>
        <v>0</v>
      </c>
      <c r="BP9" s="32">
        <f>IF(BA9&gt;=0,IF(BA9&lt;=InputData!$C$148,InputData!$C$147*BA9,InputData!$C$147*InputData!$C$148)+InputData!$C$149*BA9,0)</f>
        <v>0</v>
      </c>
      <c r="BQ9" s="32">
        <f>IF(BJ9&lt;0,0,IF(BJ9&lt;=InputData!$B$163,InputData!$C$163*BJ9,IF(BJ9&lt;=InputData!$B$164,InputData!$D$163+InputData!$C$164*(BJ9-InputData!$B$163),IF(BJ9&lt;=InputData!$B$165,InputData!$D$164+InputData!$C$165*(BJ9-InputData!$B$164),InputData!$D$165+InputData!$C$166*(BJ9-InputData!$B$165)))))</f>
        <v>0</v>
      </c>
      <c r="BR9" s="43">
        <f t="shared" si="43"/>
        <v>0</v>
      </c>
      <c r="BS9" s="32">
        <f t="shared" si="44"/>
        <v>-55367.214532871978</v>
      </c>
      <c r="BT9" s="32">
        <f t="shared" si="45"/>
        <v>-55367.214532871978</v>
      </c>
      <c r="BU9" s="32">
        <f>BT9/((1+InputData!$C$7)^(GenSurg!$B9-GenSurg!$B$7))</f>
        <v>-52188.909918816084</v>
      </c>
      <c r="BV9" s="5">
        <f t="shared" ref="BV9:BV36" si="114">BV8+BU9</f>
        <v>-138541.19578403595</v>
      </c>
      <c r="BW9" s="5"/>
      <c r="BX9" s="32" t="s">
        <v>143</v>
      </c>
      <c r="BY9" s="5">
        <f t="shared" si="46"/>
        <v>130500</v>
      </c>
      <c r="BZ9" s="5">
        <f t="shared" si="47"/>
        <v>8104.05</v>
      </c>
      <c r="CA9" s="5">
        <v>0</v>
      </c>
      <c r="CB9" s="5">
        <f t="shared" si="48"/>
        <v>146149.20000000001</v>
      </c>
      <c r="CC9" s="32">
        <f>CA9/((1+InputData!$C$3)^(GenSurg!$B9-GenSurg!$B$7))</f>
        <v>0</v>
      </c>
      <c r="CD9" s="5">
        <f t="shared" si="49"/>
        <v>-55367.214532871978</v>
      </c>
      <c r="CE9" s="32">
        <f>CD9/((1+InputData!$C$7)^(GenSurg!$B9-GenSurg!$B$7))</f>
        <v>-52188.909918816084</v>
      </c>
      <c r="CF9" s="5">
        <f t="shared" ref="CF9:CF36" si="115">CF8+CE9</f>
        <v>-138541.19578403595</v>
      </c>
      <c r="CG9" s="5"/>
      <c r="CH9" s="32" t="s">
        <v>143</v>
      </c>
      <c r="CI9" s="5">
        <f t="shared" si="50"/>
        <v>130500</v>
      </c>
      <c r="CJ9" s="5">
        <f t="shared" si="51"/>
        <v>8104.05</v>
      </c>
      <c r="CK9" s="5">
        <v>0</v>
      </c>
      <c r="CL9" s="5">
        <f t="shared" si="52"/>
        <v>146149.20000000001</v>
      </c>
      <c r="CM9" s="32">
        <f>CK9/((1+InputData!$C$3)^(GenSurg!$B9-GenSurg!$B$7))</f>
        <v>0</v>
      </c>
      <c r="CN9" s="5">
        <f t="shared" si="53"/>
        <v>-55367.214532871978</v>
      </c>
      <c r="CO9" s="32">
        <f>CN9/((1+InputData!$C$7)^(GenSurg!$B9-GenSurg!$B$7))</f>
        <v>-52188.909918816084</v>
      </c>
      <c r="CP9" s="5">
        <f t="shared" ref="CP9:CP36" si="116">CP8+CO9</f>
        <v>-138541.19578403595</v>
      </c>
      <c r="CQ9" s="5"/>
      <c r="CR9" s="32" t="s">
        <v>143</v>
      </c>
      <c r="CS9" s="5">
        <f t="shared" si="54"/>
        <v>130500</v>
      </c>
      <c r="CT9" s="5">
        <f t="shared" si="55"/>
        <v>8104.05</v>
      </c>
      <c r="CU9" s="5">
        <v>0</v>
      </c>
      <c r="CV9" s="5">
        <f t="shared" si="56"/>
        <v>146149.20000000001</v>
      </c>
      <c r="CW9" s="32">
        <f>CU9/((1+InputData!$C$3)^(GenSurg!$B9-GenSurg!$B$7))</f>
        <v>0</v>
      </c>
      <c r="CX9" s="5">
        <f t="shared" si="57"/>
        <v>-55367.214532871978</v>
      </c>
      <c r="CY9" s="32">
        <f>CX9/((1+InputData!$C$7)^(GenSurg!$B9-GenSurg!$B$7))</f>
        <v>-52188.909918816084</v>
      </c>
      <c r="CZ9" s="5">
        <f t="shared" ref="CZ9:CZ36" si="117">CZ8+CY9</f>
        <v>-138541.19578403595</v>
      </c>
      <c r="DA9" s="5"/>
      <c r="DB9" s="32" t="s">
        <v>143</v>
      </c>
      <c r="DC9" s="5">
        <f t="shared" si="58"/>
        <v>130500</v>
      </c>
      <c r="DD9" s="5">
        <f t="shared" si="59"/>
        <v>8104.05</v>
      </c>
      <c r="DE9" s="5">
        <v>0</v>
      </c>
      <c r="DF9" s="5">
        <f t="shared" si="60"/>
        <v>146149.20000000001</v>
      </c>
      <c r="DG9" s="32">
        <f>DE9/((1+InputData!$C$3)^(GenSurg!$B9-GenSurg!$B$7))</f>
        <v>0</v>
      </c>
      <c r="DH9" s="5">
        <f t="shared" si="61"/>
        <v>-55367.214532871978</v>
      </c>
      <c r="DI9" s="32">
        <f>DH9/((1+InputData!$C$7)^(GenSurg!$B9-GenSurg!$B$7))</f>
        <v>-52188.909918816084</v>
      </c>
      <c r="DJ9" s="5">
        <f t="shared" ref="DJ9:DJ36" si="118">DJ8+DI9</f>
        <v>-138541.19578403595</v>
      </c>
      <c r="DK9" s="5"/>
      <c r="DL9" s="32" t="s">
        <v>143</v>
      </c>
      <c r="DM9" s="5">
        <f t="shared" si="62"/>
        <v>130500</v>
      </c>
      <c r="DN9" s="5">
        <f t="shared" si="63"/>
        <v>8104.05</v>
      </c>
      <c r="DO9" s="5">
        <f t="shared" ref="DO9:DO10" si="119">DO8+DN9-DP9</f>
        <v>15649.2</v>
      </c>
      <c r="DP9" s="5">
        <v>0</v>
      </c>
      <c r="DQ9" s="5">
        <f t="shared" si="64"/>
        <v>146149.20000000001</v>
      </c>
      <c r="DR9" s="32">
        <f>DP9/((1+InputData!$C$3)^(GenSurg!$B9-GenSurg!$B$7))</f>
        <v>0</v>
      </c>
      <c r="DS9" s="5">
        <f t="shared" si="65"/>
        <v>-55367.214532871978</v>
      </c>
      <c r="DT9" s="32">
        <f>DS9/((1+InputData!$C$7)^(GenSurg!$B9-GenSurg!$B$7))</f>
        <v>-52188.909918816084</v>
      </c>
      <c r="DU9" s="5">
        <f t="shared" ref="DU9:DU36" si="120">DU8+DT9</f>
        <v>-138541.19578403595</v>
      </c>
      <c r="DV9" s="5"/>
      <c r="DW9" s="32" t="s">
        <v>143</v>
      </c>
      <c r="DX9" s="5">
        <f t="shared" si="66"/>
        <v>130500</v>
      </c>
      <c r="DY9" s="5">
        <f t="shared" si="67"/>
        <v>8104.05</v>
      </c>
      <c r="DZ9" s="5">
        <f t="shared" ref="DZ9:DZ10" si="121">DZ8+DY9</f>
        <v>15649.2</v>
      </c>
      <c r="EA9" s="5">
        <v>0</v>
      </c>
      <c r="EB9" s="5">
        <f t="shared" si="68"/>
        <v>146149.20000000001</v>
      </c>
      <c r="EC9" s="32">
        <f>EA9/((1+InputData!$C$3)^(GenSurg!$B9-GenSurg!$B$7))</f>
        <v>0</v>
      </c>
      <c r="ED9" s="5">
        <f t="shared" si="69"/>
        <v>-55367.214532871978</v>
      </c>
      <c r="EE9" s="32">
        <f>ED9/((1+InputData!$C$7)^(GenSurg!$B9-GenSurg!$B$7))</f>
        <v>-52188.909918816084</v>
      </c>
      <c r="EF9" s="5">
        <f t="shared" ref="EF9:EF36" si="122">EF8+EE9</f>
        <v>-138541.19578403595</v>
      </c>
      <c r="EG9" s="32"/>
      <c r="EH9" s="130" t="s">
        <v>143</v>
      </c>
      <c r="EI9" s="32">
        <f>EI8*(1+InputData!$C$10)</f>
        <v>46818</v>
      </c>
      <c r="EJ9" s="32">
        <f t="shared" ref="EJ9:EJ10" si="123">EJ8+EI9</f>
        <v>137718</v>
      </c>
      <c r="EK9" s="32">
        <f>(EJ9)*InputData!$C$6</f>
        <v>8552.2878000000001</v>
      </c>
      <c r="EL9" s="32">
        <f>EL8+EI9+EK9</f>
        <v>154709.6778</v>
      </c>
      <c r="EM9" s="32">
        <f>EM8*(1+InputData!$C$8)</f>
        <v>11954.196000000002</v>
      </c>
      <c r="EN9" s="32">
        <v>0</v>
      </c>
      <c r="EO9" s="32">
        <f>AW9/((1+InputData!$C$3)^(GenSurg!$B9-GenSurg!$B$7))</f>
        <v>0</v>
      </c>
      <c r="EP9" s="32">
        <f>AX9/((1+InputData!$C$3)^(GenSurg!$B9-GenSurg!$B$7))</f>
        <v>-55367.214532871978</v>
      </c>
      <c r="EQ9" s="32">
        <v>0</v>
      </c>
      <c r="ER9" s="32">
        <v>0</v>
      </c>
      <c r="ES9" s="32">
        <v>0</v>
      </c>
      <c r="ET9" s="43"/>
      <c r="EU9" s="32">
        <f t="shared" si="70"/>
        <v>-55367.214532871978</v>
      </c>
      <c r="EV9" s="32">
        <f>EN9/((1+InputData!$C$3)^(GenSurg!$B9-GenSurg!$B$7))</f>
        <v>0</v>
      </c>
      <c r="EW9" s="32">
        <f t="shared" si="71"/>
        <v>-55367.214532871978</v>
      </c>
      <c r="EX9" s="32">
        <f>EW9/((1+InputData!$C$7)^(GenSurg!$B9-GenSurg!$B$7))</f>
        <v>-52188.909918816084</v>
      </c>
      <c r="EY9" s="5">
        <f t="shared" ref="EY9:EY36" si="124">EY8+EX9</f>
        <v>-138541.19578403595</v>
      </c>
      <c r="EZ9" s="79"/>
      <c r="FA9" s="32">
        <f t="shared" si="72"/>
        <v>137718</v>
      </c>
      <c r="FB9" s="32">
        <f t="shared" si="73"/>
        <v>8552.2878000000001</v>
      </c>
      <c r="FC9" s="32">
        <f t="shared" si="74"/>
        <v>154709.6778</v>
      </c>
      <c r="FD9" s="32">
        <v>0</v>
      </c>
      <c r="FE9" s="32">
        <f>FD9/((1+InputData!$C$3)^(GenSurg!$B9-GenSurg!$B$7))</f>
        <v>0</v>
      </c>
      <c r="FF9" s="5">
        <f t="shared" si="75"/>
        <v>-55367.214532871978</v>
      </c>
      <c r="FG9" s="32">
        <f>FF9/((1+InputData!$C$7)^(GenSurg!$B9-GenSurg!$B$7))</f>
        <v>-52188.909918816084</v>
      </c>
      <c r="FH9" s="5">
        <f t="shared" ref="FH9:FH36" si="125">FH8+FG9</f>
        <v>-138541.19578403595</v>
      </c>
      <c r="FI9" s="79"/>
      <c r="FJ9" s="32">
        <f t="shared" si="76"/>
        <v>137718</v>
      </c>
      <c r="FK9" s="32">
        <f t="shared" si="77"/>
        <v>8552.2878000000001</v>
      </c>
      <c r="FL9" s="32">
        <f t="shared" si="78"/>
        <v>154709.6778</v>
      </c>
      <c r="FM9" s="32">
        <v>0</v>
      </c>
      <c r="FN9" s="32">
        <f>FM9/((1+InputData!$C$3)^(GenSurg!$B9-GenSurg!$B$7))</f>
        <v>0</v>
      </c>
      <c r="FO9" s="5">
        <f t="shared" si="79"/>
        <v>-55367.214532871978</v>
      </c>
      <c r="FP9" s="32">
        <f>FO9/((1+InputData!$C$7)^(GenSurg!$B9-GenSurg!$B$7))</f>
        <v>-52188.909918816084</v>
      </c>
      <c r="FQ9" s="5">
        <f t="shared" ref="FQ9:FQ36" si="126">FQ8+FP9</f>
        <v>-138541.19578403595</v>
      </c>
      <c r="FR9" s="79"/>
      <c r="FS9" s="32">
        <f t="shared" si="80"/>
        <v>137718</v>
      </c>
      <c r="FT9" s="32">
        <f t="shared" si="81"/>
        <v>8552.2878000000001</v>
      </c>
      <c r="FU9" s="32">
        <f t="shared" si="82"/>
        <v>154709.6778</v>
      </c>
      <c r="FV9" s="32">
        <v>0</v>
      </c>
      <c r="FW9" s="32">
        <f>FV9/((1+InputData!$C$3)^(GenSurg!$B9-GenSurg!$B$7))</f>
        <v>0</v>
      </c>
      <c r="FX9" s="5">
        <f t="shared" si="83"/>
        <v>-55367.214532871978</v>
      </c>
      <c r="FY9" s="32">
        <f>FX9/((1+InputData!$C$7)^(GenSurg!$B9-GenSurg!$B$7))</f>
        <v>-52188.909918816084</v>
      </c>
      <c r="FZ9" s="5">
        <f t="shared" ref="FZ9:FZ36" si="127">FZ8+FY9</f>
        <v>-138541.19578403595</v>
      </c>
      <c r="GC9" s="3">
        <f t="shared" si="1"/>
        <v>0</v>
      </c>
      <c r="GD9" s="4" t="str">
        <f t="shared" si="2"/>
        <v>Med School (O1&gt; 2 yrs)</v>
      </c>
      <c r="GE9" s="5">
        <f t="shared" si="3"/>
        <v>35928</v>
      </c>
      <c r="GF9" s="5">
        <f t="shared" si="4"/>
        <v>25411.199999999997</v>
      </c>
      <c r="GG9" s="5">
        <f t="shared" si="5"/>
        <v>61339.199999999997</v>
      </c>
      <c r="GH9" s="5">
        <f t="shared" si="6"/>
        <v>35226.98269896194</v>
      </c>
      <c r="GI9" s="5">
        <f t="shared" si="7"/>
        <v>24915.383621683966</v>
      </c>
      <c r="GJ9" s="32">
        <f>IF(GH9-InputData!$C$158-InputData!$C$159&gt;=0,GH9-InputData!$C$158-InputData!$C$159,0)</f>
        <v>35226.98269896194</v>
      </c>
      <c r="GK9" s="32">
        <f>IF(GH9-IF(GH9&lt;=InputData!$C$146,InputData!$C$145,0)-MAX(InputData!$C$144,GQ9)&gt;=0,GH9-IF(GH9&lt;=InputData!$C$146,InputData!$C$145,0)-MAX(InputData!$C$144,GQ9),0)</f>
        <v>25226.98269896194</v>
      </c>
      <c r="GL9" s="32">
        <f>IF(GK9&lt;0,"Error",IF(GK9&lt;=InputData!$B$170,InputData!$C$170*GK9,IF(GK9&lt;=InputData!$B$171,InputData!$D$170+InputData!$C$171*(GK9-InputData!$B$170),IF(GK9&lt;=InputData!$B$172,InputData!$D$171+InputData!$C$172*(GK9-InputData!$B$171),IF(GK9&lt;=InputData!$B$173,InputData!$D$172+InputData!$C$173*(GK9-InputData!$B$172),IF(GK9&lt;=InputData!$B$174,InputData!$D$173+InputData!$C$174*(GK9-InputData!$B$173),IF(GK9&lt;=InputData!$B$175,InputData!$D$174+InputData!$C$175*(GK9-InputData!$B$174),InputData!$D$175+InputData!$C$176*(GK9-InputData!$B$175))))))))</f>
        <v>3337.7974048442907</v>
      </c>
      <c r="GM9" s="32">
        <f>IF(GH9&lt;=InputData!$C$150,InputData!$C$152,IF(GH9&lt;InputData!$C$151,IF(InputData!$C$152-0.25*IF(GH9-InputData!$C$150&lt;=0,0,GH9-InputData!$C$150)&lt;=0,0,InputData!$C$152-0.25*IF(GH9-InputData!$C$150&lt;=0,0,GH9-InputData!$C$150)),0))</f>
        <v>51900</v>
      </c>
      <c r="GN9" s="32">
        <f>IF(GH9-GM9&lt;=0,0,IF(GH9-GM9&lt;=InputData!$C$153,InputData!$C$154*(GH9-GM9),InputData!$C$155*(GH9-GM9)-InputData!$D$154))</f>
        <v>0</v>
      </c>
      <c r="GO9" s="32">
        <f t="shared" si="84"/>
        <v>3337.7974048442907</v>
      </c>
      <c r="GP9" s="32">
        <f>IF(GH9&gt;=0,IF(GH9&lt;=InputData!$C$148,InputData!$C$147*GH9,InputData!$C$147*InputData!$C$148)+InputData!$C$149*GH9,0)</f>
        <v>2694.8641764705881</v>
      </c>
      <c r="GQ9" s="32">
        <f>IF(GJ9&lt;0,0,IF(GJ9&lt;=InputData!$B$163,InputData!$C$163*GJ9,IF(GJ9&lt;=InputData!$B$164,InputData!$D$163+InputData!$C$164*(GJ9-InputData!$B$163),IF(GJ9&lt;=InputData!$B$165,InputData!$D$164+InputData!$C$165*(GJ9-InputData!$B$164),InputData!$D$165+InputData!$C$166*(GJ9-InputData!$B$165)))))</f>
        <v>0</v>
      </c>
      <c r="GR9" s="43">
        <f t="shared" si="85"/>
        <v>0.17125115803609961</v>
      </c>
      <c r="GS9" s="43">
        <f t="shared" si="86"/>
        <v>0.10030635557556974</v>
      </c>
      <c r="GT9" s="5">
        <f t="shared" si="87"/>
        <v>54109.70473933102</v>
      </c>
      <c r="GU9" s="32">
        <f>GT9/((1+InputData!$C$7)^(GenSurg!$B9-GenSurg!$B$7))</f>
        <v>51003.586331728744</v>
      </c>
      <c r="GV9" s="32">
        <f t="shared" si="88"/>
        <v>157045.52189700573</v>
      </c>
      <c r="GX9" s="3">
        <f t="shared" si="8"/>
        <v>0</v>
      </c>
      <c r="GY9" s="4" t="str">
        <f t="shared" si="9"/>
        <v>Med School</v>
      </c>
      <c r="GZ9" s="5">
        <f t="shared" si="10"/>
        <v>29481.190965092403</v>
      </c>
      <c r="HA9" s="5">
        <f t="shared" si="11"/>
        <v>0</v>
      </c>
      <c r="HB9" s="5">
        <f t="shared" si="12"/>
        <v>29481.190965092403</v>
      </c>
      <c r="HC9" s="5">
        <f t="shared" si="13"/>
        <v>28905.962037188354</v>
      </c>
      <c r="HD9" s="5">
        <f t="shared" si="14"/>
        <v>0</v>
      </c>
      <c r="HE9" s="32">
        <f>IF(HC9-InputData!$C$158-InputData!$C$159&gt;=0,HC9-InputData!$C$158-InputData!$C$159,0)</f>
        <v>28905.962037188354</v>
      </c>
      <c r="HF9" s="32">
        <f>IF(HC9-IF(HC9&lt;=InputData!$C$146,InputData!$C$145,0)-MAX(InputData!$C$144,HL9)&gt;=0,HC9-IF(HC9&lt;=InputData!$C$146,InputData!$C$145,0)-MAX(InputData!$C$144,HL9),0)</f>
        <v>18905.962037188354</v>
      </c>
      <c r="HG9" s="32">
        <f>IF(HF9&lt;0,"Error",IF(HF9&lt;=InputData!$B$170,InputData!$C$170*HF9,IF(HF9&lt;=InputData!$B$171,InputData!$D$170+InputData!$C$171*(HF9-InputData!$B$170),IF(HF9&lt;=InputData!$B$172,InputData!$D$171+InputData!$C$172*(HF9-InputData!$B$171),IF(HF9&lt;=InputData!$B$173,InputData!$D$172+InputData!$C$173*(HF9-InputData!$B$172),IF(HF9&lt;=InputData!$B$174,InputData!$D$173+InputData!$C$174*(HF9-InputData!$B$173),IF(HF9&lt;=InputData!$B$175,InputData!$D$174+InputData!$C$175*(HF9-InputData!$B$174),InputData!$D$175+InputData!$C$176*(HF9-InputData!$B$175))))))))</f>
        <v>2389.6443055782529</v>
      </c>
      <c r="HH9" s="32">
        <f>IF(HC9&lt;=InputData!$C$150,InputData!$C$152,IF(HC9&lt;InputData!$C$151,IF(InputData!$C$152-0.25*IF(HC9-InputData!$C$150&lt;=0,0,HC9-InputData!$C$150)&lt;=0,0,InputData!$C$152-0.25*IF(HC9-InputData!$C$150&lt;=0,0,HC9-InputData!$C$150)),0))</f>
        <v>51900</v>
      </c>
      <c r="HI9" s="32">
        <f>IF(HC9-HH9&lt;=0,0,IF(HC9-HH9&lt;=InputData!$C$153,InputData!$C$154*(HC9-HH9),InputData!$C$155*(HC9-HH9)-InputData!$D$154))</f>
        <v>0</v>
      </c>
      <c r="HJ9" s="32">
        <f t="shared" si="89"/>
        <v>2389.6443055782529</v>
      </c>
      <c r="HK9" s="32">
        <v>0</v>
      </c>
      <c r="HL9" s="32">
        <f>IF(HE9&lt;0,0,IF(HE9&lt;=InputData!$B$163,InputData!$C$163*HE9,IF(HE9&lt;=InputData!$B$164,InputData!$D$163+InputData!$C$164*(HE9-InputData!$B$163),IF(HE9&lt;=InputData!$B$165,InputData!$D$164+InputData!$C$165*(HE9-InputData!$B$164),InputData!$D$165+InputData!$C$166*(HE9-InputData!$B$165)))))</f>
        <v>0</v>
      </c>
      <c r="HM9" s="43">
        <f t="shared" si="90"/>
        <v>8.2669599527734339E-2</v>
      </c>
      <c r="HN9" s="43">
        <f t="shared" si="91"/>
        <v>8.2669599527734339E-2</v>
      </c>
      <c r="HO9" s="5">
        <f t="shared" si="92"/>
        <v>26516.317731610099</v>
      </c>
      <c r="HP9" s="32">
        <f>HO9/((1+InputData!$C$7)^(GenSurg!$B9-GenSurg!$B$7))</f>
        <v>24994.172619106514</v>
      </c>
      <c r="HQ9" s="32">
        <f t="shared" si="93"/>
        <v>94384.024082394724</v>
      </c>
      <c r="HS9" s="93">
        <f t="shared" si="94"/>
        <v>0</v>
      </c>
      <c r="HT9" s="5" t="str">
        <f t="shared" si="95"/>
        <v>Med School (O1&gt; 2 yrs)</v>
      </c>
      <c r="HU9" s="5">
        <f t="shared" si="15"/>
        <v>35928</v>
      </c>
      <c r="HV9" s="5">
        <f t="shared" si="16"/>
        <v>25411.199999999997</v>
      </c>
      <c r="HW9" s="5">
        <f t="shared" si="17"/>
        <v>61339.199999999997</v>
      </c>
      <c r="HX9" s="5">
        <f t="shared" si="18"/>
        <v>35226.98269896194</v>
      </c>
      <c r="HY9" s="5">
        <f t="shared" si="19"/>
        <v>24915.383621683966</v>
      </c>
      <c r="HZ9" s="32">
        <f>IF(HX9-InputData!$C$158-InputData!$C$159&gt;=0,HX9-InputData!$C$158-InputData!$C$159,0)</f>
        <v>35226.98269896194</v>
      </c>
      <c r="IA9" s="32">
        <f>IF(HX9-IF(HX9&lt;=InputData!$C$146,InputData!$C$145,0)-MAX(InputData!$C$144,IG9)&gt;=0,HX9-IF(HX9&lt;=InputData!$C$146,InputData!$C$145,0)-MAX(InputData!$C$144,IG9),0)</f>
        <v>25226.98269896194</v>
      </c>
      <c r="IB9" s="32">
        <f>IF(IA9&lt;0,"Error",IF(IA9&lt;=InputData!$B$170,InputData!$C$170*IA9,IF(IA9&lt;=InputData!$B$171,InputData!$D$170+InputData!$C$171*(IA9-InputData!$B$170),IF(IA9&lt;=InputData!$B$172,InputData!$D$171+InputData!$C$172*(IA9-InputData!$B$171),IF(IA9&lt;=InputData!$B$173,InputData!$D$172+InputData!$C$173*(IA9-InputData!$B$172),IF(IA9&lt;=InputData!$B$174,InputData!$D$173+InputData!$C$174*(IA9-InputData!$B$173),IF(IA9&lt;=InputData!$B$175,InputData!$D$174+InputData!$C$175*(IA9-InputData!$B$174),InputData!$D$175+InputData!$C$176*(IA9-InputData!$B$175))))))))</f>
        <v>3337.7974048442907</v>
      </c>
      <c r="IC9" s="32">
        <f>IF(HX9&lt;=InputData!$C$150,InputData!$C$152,IF(HX9&lt;InputData!$C$151,IF(InputData!$C$152-0.25*IF(HX9-InputData!$C$150&lt;=0,0,HX9-InputData!$C$150)&lt;=0,0,InputData!$C$152-0.25*IF(HX9-InputData!$C$150&lt;=0,0,HX9-InputData!$C$150)),0))</f>
        <v>51900</v>
      </c>
      <c r="ID9" s="32">
        <f>IF(HX9-IC9&lt;=0,0,IF(HX9-IC9&lt;=InputData!$C$153,InputData!$C$154*(HX9-IC9),InputData!$C$155*(HX9-IC9)-InputData!$D$154))</f>
        <v>0</v>
      </c>
      <c r="IE9" s="32">
        <f t="shared" si="96"/>
        <v>3337.7974048442907</v>
      </c>
      <c r="IF9" s="32">
        <f>IF(HX9&gt;=0,IF(HX9&lt;=InputData!$C$148,InputData!$C$147*HX9,InputData!$C$147*InputData!$C$148)+InputData!$C$149*HX9,0)</f>
        <v>2694.8641764705881</v>
      </c>
      <c r="IG9" s="32">
        <f>IF(HZ9&lt;0,0,IF(HZ9&lt;=InputData!$B$163,InputData!$C$163*HZ9,IF(HZ9&lt;=InputData!$B$164,InputData!$D$163+InputData!$C$164*(HZ9-InputData!$B$163),IF(HZ9&lt;=InputData!$B$165,InputData!$D$164+InputData!$C$165*(HZ9-InputData!$B$164),InputData!$D$165+InputData!$C$166*(HZ9-InputData!$B$165)))))</f>
        <v>0</v>
      </c>
      <c r="IH9" s="43">
        <f t="shared" si="97"/>
        <v>0.17125115803609961</v>
      </c>
      <c r="II9" s="43">
        <f t="shared" si="98"/>
        <v>0.10030635557556974</v>
      </c>
      <c r="IJ9" s="5">
        <f t="shared" si="20"/>
        <v>54109.70473933102</v>
      </c>
      <c r="IK9" s="32">
        <f>IJ9/((1+InputData!$C$7)^(GenSurg!$B9-GenSurg!$B$7))</f>
        <v>51003.586331728744</v>
      </c>
      <c r="IL9" s="5">
        <f t="shared" si="99"/>
        <v>157045.52189700573</v>
      </c>
      <c r="IN9" s="93">
        <f t="shared" si="100"/>
        <v>0</v>
      </c>
      <c r="IO9" s="5" t="str">
        <f t="shared" si="101"/>
        <v>Med School</v>
      </c>
      <c r="IP9" s="5">
        <f t="shared" si="21"/>
        <v>29481.190965092403</v>
      </c>
      <c r="IQ9" s="5">
        <f t="shared" si="22"/>
        <v>0</v>
      </c>
      <c r="IR9" s="5">
        <f t="shared" si="23"/>
        <v>29481.190965092403</v>
      </c>
      <c r="IS9" s="5">
        <f t="shared" si="24"/>
        <v>28905.962037188354</v>
      </c>
      <c r="IT9" s="5">
        <f t="shared" si="25"/>
        <v>0</v>
      </c>
      <c r="IU9" s="32">
        <f>IF(IS9-InputData!$C$158-InputData!$C$159&gt;=0,IS9-InputData!$C$158-InputData!$C$159,0)</f>
        <v>28905.962037188354</v>
      </c>
      <c r="IV9" s="32">
        <f>IF(IS9-IF(IS9&lt;=InputData!$C$146,InputData!$C$145,0)-MAX(InputData!$C$144,JB9)&gt;=0,IS9-IF(IS9&lt;=InputData!$C$146,InputData!$C$145,0)-MAX(InputData!$C$144,JB9),0)</f>
        <v>18905.962037188354</v>
      </c>
      <c r="IW9" s="32">
        <f>IF(IV9&lt;0,"Error",IF(IV9&lt;=InputData!$B$170,InputData!$C$170*IV9,IF(IV9&lt;=InputData!$B$171,InputData!$D$170+InputData!$C$171*(IV9-InputData!$B$170),IF(IV9&lt;=InputData!$B$172,InputData!$D$171+InputData!$C$172*(IV9-InputData!$B$171),IF(IV9&lt;=InputData!$B$173,InputData!$D$172+InputData!$C$173*(IV9-InputData!$B$172),IF(IV9&lt;=InputData!$B$174,InputData!$D$173+InputData!$C$174*(IV9-InputData!$B$173),IF(IV9&lt;=InputData!$B$175,InputData!$D$174+InputData!$C$175*(IV9-InputData!$B$174),InputData!$D$175+InputData!$C$176*(IV9-InputData!$B$175))))))))</f>
        <v>2389.6443055782529</v>
      </c>
      <c r="IX9" s="32">
        <f>IF(IS9&lt;=InputData!$C$150,InputData!$C$152,IF(IS9&lt;InputData!$C$151,IF(InputData!$C$152-0.25*IF(IS9-InputData!$C$150&lt;=0,0,IS9-InputData!$C$150)&lt;=0,0,InputData!$C$152-0.25*IF(IS9-InputData!$C$150&lt;=0,0,IS9-InputData!$C$150)),0))</f>
        <v>51900</v>
      </c>
      <c r="IY9" s="32">
        <f>IF(IS9-IX9&lt;=0,0,IF(IS9-IX9&lt;=InputData!$C$153,InputData!$C$154*(IS9-IX9),InputData!$C$155*(IS9-IX9)-InputData!$D$154))</f>
        <v>0</v>
      </c>
      <c r="IZ9" s="32">
        <f t="shared" si="102"/>
        <v>2389.6443055782529</v>
      </c>
      <c r="JA9" s="32">
        <v>0</v>
      </c>
      <c r="JB9" s="32">
        <f>IF(IU9&lt;0,0,IF(IU9&lt;=InputData!$B$163,InputData!$C$163*IU9,IF(IU9&lt;=InputData!$B$164,InputData!$D$163+InputData!$C$164*(IU9-InputData!$B$163),IF(IU9&lt;=InputData!$B$165,InputData!$D$164+InputData!$C$165*(IU9-InputData!$B$164),InputData!$D$165+InputData!$C$166*(IU9-InputData!$B$165)))))</f>
        <v>0</v>
      </c>
      <c r="JC9" s="43">
        <f t="shared" si="103"/>
        <v>8.2669599527734339E-2</v>
      </c>
      <c r="JD9" s="43">
        <f t="shared" si="104"/>
        <v>8.2669599527734339E-2</v>
      </c>
      <c r="JE9" s="5">
        <f t="shared" si="105"/>
        <v>26516.317731610099</v>
      </c>
      <c r="JF9" s="32">
        <f>JE9/((1+InputData!$C$7)^(GenSurg!$B9-GenSurg!$B$7))</f>
        <v>24994.172619106514</v>
      </c>
      <c r="JG9" s="5">
        <f t="shared" si="106"/>
        <v>94384.024082394724</v>
      </c>
      <c r="JI9" s="41" t="str">
        <f t="shared" si="26"/>
        <v>Med School</v>
      </c>
      <c r="JJ9" s="5">
        <f t="shared" si="27"/>
        <v>0</v>
      </c>
      <c r="JK9" s="32">
        <f t="shared" si="107"/>
        <v>0</v>
      </c>
      <c r="JL9" s="32">
        <f t="shared" si="108"/>
        <v>0</v>
      </c>
      <c r="JM9" s="32">
        <f>JM8*(1+InputData!$C$8)</f>
        <v>11954.196000000002</v>
      </c>
      <c r="JN9" s="32">
        <f>JJ9/((1+InputData!$C$3)^(GenSurg!$B9-GenSurg!$B$7))</f>
        <v>0</v>
      </c>
      <c r="JO9" s="32">
        <f>JK9/((1+InputData!$C$3)^(GenSurg!$B9-GenSurg!$B$7))</f>
        <v>0</v>
      </c>
      <c r="JP9" s="32" t="s">
        <v>143</v>
      </c>
      <c r="JQ9" s="118">
        <v>0</v>
      </c>
      <c r="JR9" s="32">
        <f t="shared" ref="JR9:JR10" si="128">JR8+JQ9</f>
        <v>0</v>
      </c>
      <c r="JS9" s="32">
        <f>(JR9)*InputData!$C$6</f>
        <v>0</v>
      </c>
      <c r="JT9" s="32">
        <v>0</v>
      </c>
      <c r="JU9" s="32">
        <f>JU8+JQ9+JS9-JT9</f>
        <v>0</v>
      </c>
      <c r="JV9" s="32">
        <f>JT9/((1+InputData!$C$3)^(GenSurg!$B9-GenSurg!$B$7))</f>
        <v>0</v>
      </c>
      <c r="JW9" s="32">
        <f>IF(JN9-InputData!$C$158-InputData!$C$159&gt;=0,JN9-InputData!$C$158-InputData!$C$159,0)</f>
        <v>0</v>
      </c>
      <c r="JX9" s="32">
        <f>IF(JN9-IF(JN9&lt;=InputData!$C$146,InputData!$C$145,0)-MAX(InputData!$C$144,KD9)&gt;=0,JN9-IF(JN9&lt;=InputData!$C$146,InputData!$C$145,0)-MAX(InputData!$C$144,KD9),0)</f>
        <v>0</v>
      </c>
      <c r="JY9" s="32">
        <f>IF(JX9&lt;0,"Error",IF(JX9&lt;=InputData!$B$170,InputData!$C$170*JX9,IF(JX9&lt;=InputData!$B$171,InputData!$D$170+InputData!$C$171*(JX9-InputData!$B$170),IF(JX9&lt;=InputData!$B$172,InputData!$D$171+InputData!$C$172*(JX9-InputData!$B$171),IF(JX9&lt;=InputData!$B$173,InputData!$D$172+InputData!$C$173*(JX9-InputData!$B$172),IF(JX9&lt;=InputData!$B$174,InputData!$D$173+InputData!$C$174*(JX9-InputData!$B$173),IF(JX9&lt;=InputData!$B$175,InputData!$D$174+InputData!$C$175*(JX9-InputData!$B$174),InputData!$D$175+InputData!$C$176*(JX9-InputData!$B$175))))))))</f>
        <v>0</v>
      </c>
      <c r="JZ9" s="32">
        <f>IF(JN9&lt;=InputData!$C$150,InputData!$C$152,IF(JN9&lt;InputData!$C$151,IF(InputData!$C$152-0.25*IF(JN9-InputData!$C$150&lt;=0,0,JN9-InputData!$C$150)&lt;=0,0,InputData!$C$152-0.25*IF(JN9-InputData!$C$150&lt;=0,0,JN9-InputData!$C$150)),0))</f>
        <v>51900</v>
      </c>
      <c r="KA9" s="32">
        <f>IF(JN9-JZ9&lt;=0,0,IF(JN9-JZ9&lt;=InputData!$C$153,InputData!$C$154*(JN9-JZ9),InputData!$C$155*(JN9-JZ9)-InputData!$D$154))</f>
        <v>0</v>
      </c>
      <c r="KB9" s="32">
        <f t="shared" si="109"/>
        <v>0</v>
      </c>
      <c r="KC9" s="32">
        <f>IF(JN9&gt;=0,IF(JN9&lt;=InputData!$C$148,InputData!$C$147*JN9,InputData!$C$147*InputData!$C$148)+InputData!$C$149*JN9,0)</f>
        <v>0</v>
      </c>
      <c r="KD9" s="32">
        <f>IF(JW9&lt;0,0,IF(JW9&lt;=InputData!$B$163,InputData!$C$163*JW9,IF(JW9&lt;=InputData!$B$164,InputData!$D$163+InputData!$C$164*(JW9-InputData!$B$163),IF(JW9&lt;=InputData!$B$165,InputData!$D$164+InputData!$C$165*(JW9-InputData!$B$164),InputData!$D$165+InputData!$C$166*(JW9-InputData!$B$165)))))</f>
        <v>0</v>
      </c>
      <c r="KE9" s="43" t="e">
        <f t="shared" si="28"/>
        <v>#DIV/0!</v>
      </c>
      <c r="KF9" s="32">
        <f t="shared" si="29"/>
        <v>0</v>
      </c>
      <c r="KG9" s="32">
        <f t="shared" si="110"/>
        <v>0</v>
      </c>
      <c r="KH9" s="32">
        <f>KG9/((1+InputData!$C$7)^(GenSurg!$B9-GenSurg!$B$7))</f>
        <v>0</v>
      </c>
      <c r="KI9" s="5">
        <f t="shared" ref="KI9:KI36" si="129">KI8+KH9</f>
        <v>0</v>
      </c>
    </row>
    <row r="10" spans="1:295" ht="14.45" x14ac:dyDescent="0.3">
      <c r="A10" s="4">
        <v>2016</v>
      </c>
      <c r="B10" s="51">
        <v>4</v>
      </c>
      <c r="C10" s="4"/>
      <c r="D10" s="45">
        <v>0</v>
      </c>
      <c r="E10" s="46" t="s">
        <v>13</v>
      </c>
      <c r="F10" s="5">
        <f>InputData!$E$26*12</f>
        <v>43430.399999999994</v>
      </c>
      <c r="G10" s="5">
        <f>InputData!$E$26*12</f>
        <v>43430.399999999994</v>
      </c>
      <c r="H10" s="5">
        <f>(InputData!$H$37+InputData!$C$40)*12</f>
        <v>25411.199999999997</v>
      </c>
      <c r="I10" s="5">
        <f t="shared" si="30"/>
        <v>68841.599999999991</v>
      </c>
      <c r="J10" s="5">
        <f>G10*((1+InputData!$C$5)/(1+InputData!$C$3))^(GenSurg!$B10-GenSurg!$B$7)</f>
        <v>42165.517552072735</v>
      </c>
      <c r="K10" s="5">
        <f>H10*((1+InputData!$C$5)/(1+InputData!$C$3))^(GenSurg!$B10-GenSurg!$B$7)</f>
        <v>24671.115154804713</v>
      </c>
      <c r="L10" s="32">
        <f>IF(J10-InputData!$C$158-InputData!$C$159&gt;=0,J10-InputData!$C$158-InputData!$C$159,0)</f>
        <v>42165.517552072735</v>
      </c>
      <c r="M10" s="32">
        <f>IF(J10-IF(J10&lt;=InputData!$C$146,InputData!$C$145,0)-MAX(InputData!$C$144,S10)&gt;=0,J10-IF(J10&lt;=InputData!$C$146,InputData!$C$145,0)-MAX(InputData!$C$144,S10),0)</f>
        <v>32165.517552072735</v>
      </c>
      <c r="N10" s="32">
        <f>IF(M10&lt;0,"Error",IF(M10&lt;=InputData!$B$170,InputData!$C$170*M10,IF(M10&lt;=InputData!$B$171,InputData!$D$170+InputData!$C$171*(M10-InputData!$B$170),IF(M10&lt;=InputData!$B$172,InputData!$D$171+InputData!$C$172*(M10-InputData!$B$171),IF(M10&lt;=InputData!$B$173,InputData!$D$172+InputData!$C$173*(M10-InputData!$B$172),IF(M10&lt;=InputData!$B$174,InputData!$D$173+InputData!$C$174*(M10-InputData!$B$173),IF(M10&lt;=InputData!$B$175,InputData!$D$174+InputData!$C$175*(M10-InputData!$B$174),InputData!$D$175+InputData!$C$176*(M10-InputData!$B$175))))))))</f>
        <v>4378.5776328109096</v>
      </c>
      <c r="O10" s="32">
        <f>IF(J10&lt;=InputData!$C$150,InputData!$C$152,IF(J10&lt;InputData!$C$151,IF(InputData!$C$152-0.25*IF(J10-InputData!$C$150&lt;=0,0,J10-InputData!$C$150)&lt;=0,0,InputData!$C$152-0.25*IF(J10-InputData!$C$150&lt;=0,0,J10-InputData!$C$150)),0))</f>
        <v>51900</v>
      </c>
      <c r="P10" s="32">
        <f>IF(J10-O10&lt;=0,0,IF(J10-O10&lt;=InputData!$C$153,InputData!$C$154*(J10-O10),InputData!$C$155*(J10-O10)-InputData!$D$154))</f>
        <v>0</v>
      </c>
      <c r="Q10" s="32">
        <f t="shared" si="31"/>
        <v>4378.5776328109096</v>
      </c>
      <c r="R10" s="32">
        <f>IF(J10&gt;=0,IF(J10&lt;=InputData!$C$148,InputData!$C$147*J10,InputData!$C$147*InputData!$C$148)+InputData!$C$149*J10,0)</f>
        <v>3225.6620927335644</v>
      </c>
      <c r="S10" s="32">
        <f>IF(L10&lt;0,0,IF(L10&lt;=InputData!$B$163,InputData!$C$163*L10,IF(L10&lt;=InputData!$B$164,InputData!$D$163+InputData!$C$164*(L10-InputData!$B$163),IF(L10&lt;=InputData!$B$165,InputData!$D$164+InputData!$C$165*(L10-InputData!$B$164),InputData!$D$165+InputData!$C$166*(L10-InputData!$B$165)))))</f>
        <v>0</v>
      </c>
      <c r="T10" s="43">
        <f t="shared" si="32"/>
        <v>0.18034261564923379</v>
      </c>
      <c r="U10" s="43">
        <f t="shared" si="33"/>
        <v>0.11377353133414217</v>
      </c>
      <c r="V10" s="5">
        <f t="shared" si="34"/>
        <v>59232.392981332989</v>
      </c>
      <c r="W10" s="32">
        <f>V10/((1+InputData!$C$7)^(GenSurg!$B10-GenSurg!$B$7))</f>
        <v>54206.030400395517</v>
      </c>
      <c r="X10" s="5">
        <f t="shared" si="111"/>
        <v>211251.55229740124</v>
      </c>
      <c r="Y10" s="53"/>
      <c r="Z10" s="45">
        <v>0</v>
      </c>
      <c r="AA10" s="46" t="s">
        <v>0</v>
      </c>
      <c r="AB10" s="4"/>
      <c r="AC10" s="5">
        <f>InputData!$C$67*10.5+(IntMed!G10+IntMed!H10)*45/365.25</f>
        <v>30405.511293634496</v>
      </c>
      <c r="AD10" s="5">
        <v>0</v>
      </c>
      <c r="AE10" s="5">
        <f t="shared" si="35"/>
        <v>30405.511293634496</v>
      </c>
      <c r="AF10" s="5">
        <f>AC10*((1+InputData!$C$5)/(1+InputData!$C$3))^(GenSurg!$B10-GenSurg!$B$7)</f>
        <v>29519.970346381593</v>
      </c>
      <c r="AG10" s="5">
        <f>AD10*((1+InputData!$C$5)/(1+InputData!$C$3))^(GenSurg!$B10-GenSurg!$B$7)</f>
        <v>0</v>
      </c>
      <c r="AH10" s="32">
        <f>IF(AF10-InputData!$C$158-InputData!$C$159&gt;=0,AF10-InputData!$C$158-InputData!$C$159,0)</f>
        <v>29519.970346381593</v>
      </c>
      <c r="AI10" s="32">
        <f>IF(AF10-IF(AF10&lt;=InputData!$C$146,InputData!$C$145,0)-MAX(InputData!$C$144,AO10)&gt;=0,AF10-IF(AF10&lt;=InputData!$C$146,InputData!$C$145,0)-MAX(InputData!$C$144,AO10),0)</f>
        <v>19519.970346381593</v>
      </c>
      <c r="AJ10" s="32">
        <f>IF(AI10&lt;0,"Error",IF(AI10&lt;=InputData!$B$170,InputData!$C$170*AI10,IF(AI10&lt;=InputData!$B$171,InputData!$D$170+InputData!$C$171*(AI10-InputData!$B$170),IF(AI10&lt;=InputData!$B$172,InputData!$D$171+InputData!$C$172*(AI10-InputData!$B$171),IF(AI10&lt;=InputData!$B$173,InputData!$D$172+InputData!$C$173*(AI10-InputData!$B$172),IF(AI10&lt;=InputData!$B$174,InputData!$D$173+InputData!$C$174*(AI10-InputData!$B$173),IF(AI10&lt;=InputData!$B$175,InputData!$D$174+InputData!$C$175*(AI10-InputData!$B$174),InputData!$D$175+InputData!$C$176*(AI10-InputData!$B$175))))))))</f>
        <v>2481.7455519572386</v>
      </c>
      <c r="AK10" s="32">
        <f>IF(AF10&lt;=InputData!$C$150,InputData!$C$152,IF(AF10&lt;InputData!$C$151,IF(InputData!$C$152-0.25*IF(AF10-InputData!$C$150&lt;=0,0,AF10-InputData!$C$150)&lt;=0,0,InputData!$C$152-0.25*IF(AF10-InputData!$C$150&lt;=0,0,AF10-InputData!$C$150)),0))</f>
        <v>51900</v>
      </c>
      <c r="AL10" s="32">
        <f>IF(AF10-AK10&lt;=0,0,IF(AF10-AK10&lt;=InputData!$C$153,InputData!$C$154*(AF10-AK10),InputData!$C$155*(AF10-AK10)-InputData!$D$154))</f>
        <v>0</v>
      </c>
      <c r="AM10" s="32">
        <f t="shared" si="36"/>
        <v>2481.7455519572386</v>
      </c>
      <c r="AN10" s="32">
        <v>0</v>
      </c>
      <c r="AO10" s="32">
        <f>IF(AH10&lt;0,0,IF(AH10&lt;=InputData!$B$163,InputData!$C$163*AH10,IF(AH10&lt;=InputData!$B$164,InputData!$D$163+InputData!$C$164*(AH10-InputData!$B$163),IF(AH10&lt;=InputData!$B$165,InputData!$D$164+InputData!$C$165*(AH10-InputData!$B$164),InputData!$D$165+InputData!$C$166*(AH10-InputData!$B$165)))))</f>
        <v>0</v>
      </c>
      <c r="AP10" s="43">
        <f t="shared" si="37"/>
        <v>8.4070055722851977E-2</v>
      </c>
      <c r="AQ10" s="43">
        <f t="shared" si="38"/>
        <v>8.4070055722851977E-2</v>
      </c>
      <c r="AR10" s="5">
        <f t="shared" si="39"/>
        <v>27038.224794424354</v>
      </c>
      <c r="AS10" s="32">
        <f>AR10/((1+InputData!$C$7)^(GenSurg!$B10-GenSurg!$B$7))</f>
        <v>24743.805904333243</v>
      </c>
      <c r="AT10" s="5">
        <f t="shared" si="112"/>
        <v>119127.82998672797</v>
      </c>
      <c r="AU10" s="53"/>
      <c r="AV10" s="56" t="s">
        <v>0</v>
      </c>
      <c r="AW10" s="32">
        <v>0</v>
      </c>
      <c r="AX10" s="32">
        <f t="shared" si="40"/>
        <v>-60678</v>
      </c>
      <c r="AY10" s="32">
        <f t="shared" si="41"/>
        <v>-60678</v>
      </c>
      <c r="AZ10" s="32">
        <f>AZ9*(1+InputData!$C$8)</f>
        <v>12193.279920000003</v>
      </c>
      <c r="BA10" s="32">
        <f>AW10/((1+InputData!$C$3)^(GenSurg!$B10-GenSurg!$B$7))</f>
        <v>0</v>
      </c>
      <c r="BB10" s="32">
        <f>AX10/((1+InputData!$C$3)^(GenSurg!$B10-GenSurg!$B$7))</f>
        <v>-57178.234615645568</v>
      </c>
      <c r="BC10" s="32" t="s">
        <v>143</v>
      </c>
      <c r="BD10" s="118">
        <f>InputData!$C$88*11/40</f>
        <v>49500</v>
      </c>
      <c r="BE10" s="32">
        <f t="shared" si="113"/>
        <v>180000</v>
      </c>
      <c r="BF10" s="32">
        <f>(BE10)*InputData!$C$6</f>
        <v>11178</v>
      </c>
      <c r="BG10" s="32">
        <v>0</v>
      </c>
      <c r="BH10" s="32">
        <f>BH9+BD10+BF10-BG10</f>
        <v>206827.2</v>
      </c>
      <c r="BI10" s="32">
        <f>BG10/((1+InputData!$C$3)^(GenSurg!$B10-GenSurg!$B$7))</f>
        <v>0</v>
      </c>
      <c r="BJ10" s="32">
        <f>IF(BA10-InputData!$C$158-InputData!$C$159&gt;=0,BA10-InputData!$C$158-InputData!$C$159,0)</f>
        <v>0</v>
      </c>
      <c r="BK10" s="32">
        <f>IF(BA10-IF(BA10&lt;=InputData!$C$146,InputData!$C$145,0)-MAX(InputData!$C$144,BQ10)&gt;=0,BA10-IF(BA10&lt;=InputData!$C$146,InputData!$C$145,0)-MAX(InputData!$C$144,BQ10),0)</f>
        <v>0</v>
      </c>
      <c r="BL10" s="32">
        <f>IF(BK10&lt;0,"Error",IF(BK10&lt;=InputData!$B$170,InputData!$C$170*BK10,IF(BK10&lt;=InputData!$B$171,InputData!$D$170+InputData!$C$171*(BK10-InputData!$B$170),IF(BK10&lt;=InputData!$B$172,InputData!$D$171+InputData!$C$172*(BK10-InputData!$B$171),IF(BK10&lt;=InputData!$B$173,InputData!$D$172+InputData!$C$173*(BK10-InputData!$B$172),IF(BK10&lt;=InputData!$B$174,InputData!$D$173+InputData!$C$174*(BK10-InputData!$B$173),IF(BK10&lt;=InputData!$B$175,InputData!$D$174+InputData!$C$175*(BK10-InputData!$B$174),InputData!$D$175+InputData!$C$176*(BK10-InputData!$B$175))))))))</f>
        <v>0</v>
      </c>
      <c r="BM10" s="32">
        <f>IF(BA10&lt;=InputData!$C$150,InputData!$C$152,IF(BA10&lt;InputData!$C$151,IF(InputData!$C$152-0.25*IF(BA10-InputData!$C$150&lt;=0,0,BA10-InputData!$C$150)&lt;=0,0,InputData!$C$152-0.25*IF(BA10-InputData!$C$150&lt;=0,0,BA10-InputData!$C$150)),0))</f>
        <v>51900</v>
      </c>
      <c r="BN10" s="32">
        <f>IF(BA10-BM10&lt;=0,0,IF(BA10-BM10&lt;=InputData!$C$153,InputData!$C$154*(BA10-BM10),InputData!$C$155*(BA10-BM10)-InputData!$D$154))</f>
        <v>0</v>
      </c>
      <c r="BO10" s="32">
        <f t="shared" si="42"/>
        <v>0</v>
      </c>
      <c r="BP10" s="32">
        <f>IF(BA10&gt;=0,IF(BA10&lt;=InputData!$C$148,InputData!$C$147*BA10,InputData!$C$147*InputData!$C$148)+InputData!$C$149*BA10,0)</f>
        <v>0</v>
      </c>
      <c r="BQ10" s="32">
        <f>IF(BJ10&lt;0,0,IF(BJ10&lt;=InputData!$B$163,InputData!$C$163*BJ10,IF(BJ10&lt;=InputData!$B$164,InputData!$D$163+InputData!$C$164*(BJ10-InputData!$B$163),IF(BJ10&lt;=InputData!$B$165,InputData!$D$164+InputData!$C$165*(BJ10-InputData!$B$164),InputData!$D$165+InputData!$C$166*(BJ10-InputData!$B$165)))))</f>
        <v>0</v>
      </c>
      <c r="BR10" s="43">
        <f t="shared" si="43"/>
        <v>0</v>
      </c>
      <c r="BS10" s="32">
        <f t="shared" si="44"/>
        <v>-57178.234615645568</v>
      </c>
      <c r="BT10" s="32">
        <f t="shared" si="45"/>
        <v>-57178.234615645568</v>
      </c>
      <c r="BU10" s="32">
        <f>BT10/((1+InputData!$C$7)^(GenSurg!$B10-GenSurg!$B$7))</f>
        <v>-52326.184505046156</v>
      </c>
      <c r="BV10" s="5">
        <f t="shared" si="114"/>
        <v>-190867.38028908212</v>
      </c>
      <c r="BW10" s="5"/>
      <c r="BX10" s="134" t="s">
        <v>143</v>
      </c>
      <c r="BY10" s="5">
        <f t="shared" si="46"/>
        <v>180000</v>
      </c>
      <c r="BZ10" s="5">
        <f t="shared" si="47"/>
        <v>11178</v>
      </c>
      <c r="CA10" s="5">
        <v>0</v>
      </c>
      <c r="CB10" s="5">
        <f t="shared" si="48"/>
        <v>206827.2</v>
      </c>
      <c r="CC10" s="32">
        <f>CA10/((1+InputData!$C$3)^(GenSurg!$B10-GenSurg!$B$7))</f>
        <v>0</v>
      </c>
      <c r="CD10" s="5">
        <f t="shared" si="49"/>
        <v>-57178.234615645568</v>
      </c>
      <c r="CE10" s="32">
        <f>CD10/((1+InputData!$C$7)^(GenSurg!$B10-GenSurg!$B$7))</f>
        <v>-52326.184505046156</v>
      </c>
      <c r="CF10" s="5">
        <f t="shared" si="115"/>
        <v>-190867.38028908212</v>
      </c>
      <c r="CG10" s="5"/>
      <c r="CH10" s="134" t="s">
        <v>143</v>
      </c>
      <c r="CI10" s="5">
        <f t="shared" si="50"/>
        <v>180000</v>
      </c>
      <c r="CJ10" s="5">
        <f t="shared" si="51"/>
        <v>11178</v>
      </c>
      <c r="CK10" s="5">
        <v>0</v>
      </c>
      <c r="CL10" s="5">
        <f t="shared" si="52"/>
        <v>206827.2</v>
      </c>
      <c r="CM10" s="32">
        <f>CK10/((1+InputData!$C$3)^(GenSurg!$B10-GenSurg!$B$7))</f>
        <v>0</v>
      </c>
      <c r="CN10" s="5">
        <f t="shared" si="53"/>
        <v>-57178.234615645568</v>
      </c>
      <c r="CO10" s="32">
        <f>CN10/((1+InputData!$C$7)^(GenSurg!$B10-GenSurg!$B$7))</f>
        <v>-52326.184505046156</v>
      </c>
      <c r="CP10" s="5">
        <f t="shared" si="116"/>
        <v>-190867.38028908212</v>
      </c>
      <c r="CQ10" s="5"/>
      <c r="CR10" s="134" t="s">
        <v>143</v>
      </c>
      <c r="CS10" s="5">
        <f t="shared" si="54"/>
        <v>180000</v>
      </c>
      <c r="CT10" s="5">
        <f t="shared" si="55"/>
        <v>11178</v>
      </c>
      <c r="CU10" s="5">
        <v>0</v>
      </c>
      <c r="CV10" s="5">
        <f t="shared" si="56"/>
        <v>206827.2</v>
      </c>
      <c r="CW10" s="32">
        <f>CU10/((1+InputData!$C$3)^(GenSurg!$B10-GenSurg!$B$7))</f>
        <v>0</v>
      </c>
      <c r="CX10" s="5">
        <f t="shared" si="57"/>
        <v>-57178.234615645568</v>
      </c>
      <c r="CY10" s="32">
        <f>CX10/((1+InputData!$C$7)^(GenSurg!$B10-GenSurg!$B$7))</f>
        <v>-52326.184505046156</v>
      </c>
      <c r="CZ10" s="5">
        <f t="shared" si="117"/>
        <v>-190867.38028908212</v>
      </c>
      <c r="DA10" s="5"/>
      <c r="DB10" s="134" t="s">
        <v>143</v>
      </c>
      <c r="DC10" s="5">
        <f t="shared" si="58"/>
        <v>180000</v>
      </c>
      <c r="DD10" s="5">
        <f t="shared" si="59"/>
        <v>11178</v>
      </c>
      <c r="DE10" s="5">
        <v>0</v>
      </c>
      <c r="DF10" s="5">
        <f t="shared" si="60"/>
        <v>206827.2</v>
      </c>
      <c r="DG10" s="32">
        <f>DE10/((1+InputData!$C$3)^(GenSurg!$B10-GenSurg!$B$7))</f>
        <v>0</v>
      </c>
      <c r="DH10" s="5">
        <f t="shared" si="61"/>
        <v>-57178.234615645568</v>
      </c>
      <c r="DI10" s="32">
        <f>DH10/((1+InputData!$C$7)^(GenSurg!$B10-GenSurg!$B$7))</f>
        <v>-52326.184505046156</v>
      </c>
      <c r="DJ10" s="5">
        <f t="shared" si="118"/>
        <v>-190867.38028908212</v>
      </c>
      <c r="DK10" s="5"/>
      <c r="DL10" s="134" t="s">
        <v>143</v>
      </c>
      <c r="DM10" s="5">
        <f t="shared" si="62"/>
        <v>180000</v>
      </c>
      <c r="DN10" s="5">
        <f t="shared" si="63"/>
        <v>11178</v>
      </c>
      <c r="DO10" s="5">
        <f t="shared" si="119"/>
        <v>26827.200000000001</v>
      </c>
      <c r="DP10" s="5">
        <v>0</v>
      </c>
      <c r="DQ10" s="5">
        <f t="shared" si="64"/>
        <v>206827.2</v>
      </c>
      <c r="DR10" s="32">
        <f>DP10/((1+InputData!$C$3)^(GenSurg!$B10-GenSurg!$B$7))</f>
        <v>0</v>
      </c>
      <c r="DS10" s="5">
        <f t="shared" si="65"/>
        <v>-57178.234615645568</v>
      </c>
      <c r="DT10" s="32">
        <f>DS10/((1+InputData!$C$7)^(GenSurg!$B10-GenSurg!$B$7))</f>
        <v>-52326.184505046156</v>
      </c>
      <c r="DU10" s="5">
        <f t="shared" si="120"/>
        <v>-190867.38028908212</v>
      </c>
      <c r="DV10" s="5"/>
      <c r="DW10" s="134" t="s">
        <v>143</v>
      </c>
      <c r="DX10" s="5">
        <f t="shared" si="66"/>
        <v>180000</v>
      </c>
      <c r="DY10" s="5">
        <f t="shared" si="67"/>
        <v>11178</v>
      </c>
      <c r="DZ10" s="5">
        <f t="shared" si="121"/>
        <v>26827.200000000001</v>
      </c>
      <c r="EA10" s="5">
        <v>0</v>
      </c>
      <c r="EB10" s="5">
        <f t="shared" si="68"/>
        <v>206827.2</v>
      </c>
      <c r="EC10" s="32">
        <f>EA10/((1+InputData!$C$3)^(GenSurg!$B10-GenSurg!$B$7))</f>
        <v>0</v>
      </c>
      <c r="ED10" s="5">
        <f t="shared" si="69"/>
        <v>-57178.234615645568</v>
      </c>
      <c r="EE10" s="32">
        <f>ED10/((1+InputData!$C$7)^(GenSurg!$B10-GenSurg!$B$7))</f>
        <v>-52326.184505046156</v>
      </c>
      <c r="EF10" s="5">
        <f t="shared" si="122"/>
        <v>-190867.38028908212</v>
      </c>
      <c r="EG10" s="32"/>
      <c r="EH10" s="130" t="s">
        <v>143</v>
      </c>
      <c r="EI10" s="32">
        <f>EI9*(1+InputData!$C$10)</f>
        <v>47754.36</v>
      </c>
      <c r="EJ10" s="32">
        <f t="shared" si="123"/>
        <v>185472.36</v>
      </c>
      <c r="EK10" s="32">
        <f>(EJ10)*InputData!$C$6</f>
        <v>11517.833556</v>
      </c>
      <c r="EL10" s="32">
        <f>EL9+EI10+EK10</f>
        <v>213981.87135599999</v>
      </c>
      <c r="EM10" s="32">
        <f>EM9*(1+InputData!$C$8)</f>
        <v>12193.279920000003</v>
      </c>
      <c r="EN10" s="32">
        <v>0</v>
      </c>
      <c r="EO10" s="32">
        <f>AW10/((1+InputData!$C$3)^(GenSurg!$B10-GenSurg!$B$7))</f>
        <v>0</v>
      </c>
      <c r="EP10" s="32">
        <f>AX10/((1+InputData!$C$3)^(GenSurg!$B10-GenSurg!$B$7))</f>
        <v>-57178.234615645568</v>
      </c>
      <c r="EQ10" s="32">
        <v>0</v>
      </c>
      <c r="ER10" s="32">
        <v>0</v>
      </c>
      <c r="ES10" s="32">
        <v>0</v>
      </c>
      <c r="ET10" s="43"/>
      <c r="EU10" s="32">
        <f t="shared" si="70"/>
        <v>-57178.234615645568</v>
      </c>
      <c r="EV10" s="32">
        <f>EN10/((1+InputData!$C$3)^(GenSurg!$B10-GenSurg!$B$7))</f>
        <v>0</v>
      </c>
      <c r="EW10" s="32">
        <f t="shared" si="71"/>
        <v>-57178.234615645568</v>
      </c>
      <c r="EX10" s="32">
        <f>EW10/((1+InputData!$C$7)^(GenSurg!$B10-GenSurg!$B$7))</f>
        <v>-52326.184505046156</v>
      </c>
      <c r="EY10" s="5">
        <f t="shared" si="124"/>
        <v>-190867.38028908212</v>
      </c>
      <c r="EZ10" s="79"/>
      <c r="FA10" s="32">
        <f t="shared" si="72"/>
        <v>185472.36</v>
      </c>
      <c r="FB10" s="32">
        <f t="shared" si="73"/>
        <v>11517.833556</v>
      </c>
      <c r="FC10" s="32">
        <f t="shared" si="74"/>
        <v>213981.87135599999</v>
      </c>
      <c r="FD10" s="32">
        <v>0</v>
      </c>
      <c r="FE10" s="32">
        <f>FD10/((1+InputData!$C$3)^(GenSurg!$B10-GenSurg!$B$7))</f>
        <v>0</v>
      </c>
      <c r="FF10" s="5">
        <f t="shared" si="75"/>
        <v>-57178.234615645568</v>
      </c>
      <c r="FG10" s="32">
        <f>FF10/((1+InputData!$C$7)^(GenSurg!$B10-GenSurg!$B$7))</f>
        <v>-52326.184505046156</v>
      </c>
      <c r="FH10" s="5">
        <f t="shared" si="125"/>
        <v>-190867.38028908212</v>
      </c>
      <c r="FI10" s="79"/>
      <c r="FJ10" s="32">
        <f t="shared" si="76"/>
        <v>185472.36</v>
      </c>
      <c r="FK10" s="32">
        <f t="shared" si="77"/>
        <v>11517.833556</v>
      </c>
      <c r="FL10" s="32">
        <f t="shared" si="78"/>
        <v>213981.87135599999</v>
      </c>
      <c r="FM10" s="32">
        <v>0</v>
      </c>
      <c r="FN10" s="32">
        <f>FM10/((1+InputData!$C$3)^(GenSurg!$B10-GenSurg!$B$7))</f>
        <v>0</v>
      </c>
      <c r="FO10" s="5">
        <f t="shared" si="79"/>
        <v>-57178.234615645568</v>
      </c>
      <c r="FP10" s="32">
        <f>FO10/((1+InputData!$C$7)^(GenSurg!$B10-GenSurg!$B$7))</f>
        <v>-52326.184505046156</v>
      </c>
      <c r="FQ10" s="5">
        <f t="shared" si="126"/>
        <v>-190867.38028908212</v>
      </c>
      <c r="FR10" s="79"/>
      <c r="FS10" s="32">
        <f t="shared" si="80"/>
        <v>185472.36</v>
      </c>
      <c r="FT10" s="32">
        <f t="shared" si="81"/>
        <v>11517.833556</v>
      </c>
      <c r="FU10" s="32">
        <f t="shared" si="82"/>
        <v>213981.87135599999</v>
      </c>
      <c r="FV10" s="32">
        <v>0</v>
      </c>
      <c r="FW10" s="32">
        <f>FV10/((1+InputData!$C$3)^(GenSurg!$B10-GenSurg!$B$7))</f>
        <v>0</v>
      </c>
      <c r="FX10" s="5">
        <f t="shared" si="83"/>
        <v>-57178.234615645568</v>
      </c>
      <c r="FY10" s="32">
        <f>FX10/((1+InputData!$C$7)^(GenSurg!$B10-GenSurg!$B$7))</f>
        <v>-52326.184505046156</v>
      </c>
      <c r="FZ10" s="5">
        <f t="shared" si="127"/>
        <v>-190867.38028908212</v>
      </c>
      <c r="GC10" s="3">
        <f t="shared" si="1"/>
        <v>0</v>
      </c>
      <c r="GD10" s="46" t="str">
        <f t="shared" si="2"/>
        <v>Med School (O1 &gt; 3 yrs)</v>
      </c>
      <c r="GE10" s="5">
        <f t="shared" si="3"/>
        <v>43430.399999999994</v>
      </c>
      <c r="GF10" s="5">
        <f t="shared" si="4"/>
        <v>25411.199999999997</v>
      </c>
      <c r="GG10" s="5">
        <f t="shared" si="5"/>
        <v>68841.599999999991</v>
      </c>
      <c r="GH10" s="5">
        <f t="shared" si="6"/>
        <v>42165.517552072735</v>
      </c>
      <c r="GI10" s="5">
        <f t="shared" si="7"/>
        <v>24671.115154804713</v>
      </c>
      <c r="GJ10" s="32">
        <f>IF(GH10-InputData!$C$158-InputData!$C$159&gt;=0,GH10-InputData!$C$158-InputData!$C$159,0)</f>
        <v>42165.517552072735</v>
      </c>
      <c r="GK10" s="32">
        <f>IF(GH10-IF(GH10&lt;=InputData!$C$146,InputData!$C$145,0)-MAX(InputData!$C$144,GQ10)&gt;=0,GH10-IF(GH10&lt;=InputData!$C$146,InputData!$C$145,0)-MAX(InputData!$C$144,GQ10),0)</f>
        <v>32165.517552072735</v>
      </c>
      <c r="GL10" s="32">
        <f>IF(GK10&lt;0,"Error",IF(GK10&lt;=InputData!$B$170,InputData!$C$170*GK10,IF(GK10&lt;=InputData!$B$171,InputData!$D$170+InputData!$C$171*(GK10-InputData!$B$170),IF(GK10&lt;=InputData!$B$172,InputData!$D$171+InputData!$C$172*(GK10-InputData!$B$171),IF(GK10&lt;=InputData!$B$173,InputData!$D$172+InputData!$C$173*(GK10-InputData!$B$172),IF(GK10&lt;=InputData!$B$174,InputData!$D$173+InputData!$C$174*(GK10-InputData!$B$173),IF(GK10&lt;=InputData!$B$175,InputData!$D$174+InputData!$C$175*(GK10-InputData!$B$174),InputData!$D$175+InputData!$C$176*(GK10-InputData!$B$175))))))))</f>
        <v>4378.5776328109096</v>
      </c>
      <c r="GM10" s="32">
        <f>IF(GH10&lt;=InputData!$C$150,InputData!$C$152,IF(GH10&lt;InputData!$C$151,IF(InputData!$C$152-0.25*IF(GH10-InputData!$C$150&lt;=0,0,GH10-InputData!$C$150)&lt;=0,0,InputData!$C$152-0.25*IF(GH10-InputData!$C$150&lt;=0,0,GH10-InputData!$C$150)),0))</f>
        <v>51900</v>
      </c>
      <c r="GN10" s="32">
        <f>IF(GH10-GM10&lt;=0,0,IF(GH10-GM10&lt;=InputData!$C$153,InputData!$C$154*(GH10-GM10),InputData!$C$155*(GH10-GM10)-InputData!$D$154))</f>
        <v>0</v>
      </c>
      <c r="GO10" s="32">
        <f t="shared" si="84"/>
        <v>4378.5776328109096</v>
      </c>
      <c r="GP10" s="32">
        <f>IF(GH10&gt;=0,IF(GH10&lt;=InputData!$C$148,InputData!$C$147*GH10,InputData!$C$147*InputData!$C$148)+InputData!$C$149*GH10,0)</f>
        <v>3225.6620927335644</v>
      </c>
      <c r="GQ10" s="32">
        <f>IF(GJ10&lt;0,0,IF(GJ10&lt;=InputData!$B$163,InputData!$C$163*GJ10,IF(GJ10&lt;=InputData!$B$164,InputData!$D$163+InputData!$C$164*(GJ10-InputData!$B$163),IF(GJ10&lt;=InputData!$B$165,InputData!$D$164+InputData!$C$165*(GJ10-InputData!$B$164),InputData!$D$165+InputData!$C$166*(GJ10-InputData!$B$165)))))</f>
        <v>0</v>
      </c>
      <c r="GR10" s="43">
        <f t="shared" si="85"/>
        <v>0.18034261564923379</v>
      </c>
      <c r="GS10" s="43">
        <f t="shared" si="86"/>
        <v>0.11377353133414217</v>
      </c>
      <c r="GT10" s="5">
        <f t="shared" si="87"/>
        <v>59232.392981332989</v>
      </c>
      <c r="GU10" s="32">
        <f>GT10/((1+InputData!$C$7)^(GenSurg!$B10-GenSurg!$B$7))</f>
        <v>54206.030400395517</v>
      </c>
      <c r="GV10" s="32">
        <f t="shared" si="88"/>
        <v>211251.55229740124</v>
      </c>
      <c r="GX10" s="3">
        <f t="shared" si="8"/>
        <v>0</v>
      </c>
      <c r="GY10" s="46" t="str">
        <f t="shared" si="9"/>
        <v>Med School</v>
      </c>
      <c r="GZ10" s="5">
        <f t="shared" si="10"/>
        <v>30405.511293634496</v>
      </c>
      <c r="HA10" s="5">
        <f t="shared" si="11"/>
        <v>0</v>
      </c>
      <c r="HB10" s="5">
        <f t="shared" si="12"/>
        <v>30405.511293634496</v>
      </c>
      <c r="HC10" s="5">
        <f t="shared" si="13"/>
        <v>29519.970346381593</v>
      </c>
      <c r="HD10" s="5">
        <f t="shared" si="14"/>
        <v>0</v>
      </c>
      <c r="HE10" s="32">
        <f>IF(HC10-InputData!$C$158-InputData!$C$159&gt;=0,HC10-InputData!$C$158-InputData!$C$159,0)</f>
        <v>29519.970346381593</v>
      </c>
      <c r="HF10" s="32">
        <f>IF(HC10-IF(HC10&lt;=InputData!$C$146,InputData!$C$145,0)-MAX(InputData!$C$144,HL10)&gt;=0,HC10-IF(HC10&lt;=InputData!$C$146,InputData!$C$145,0)-MAX(InputData!$C$144,HL10),0)</f>
        <v>19519.970346381593</v>
      </c>
      <c r="HG10" s="32">
        <f>IF(HF10&lt;0,"Error",IF(HF10&lt;=InputData!$B$170,InputData!$C$170*HF10,IF(HF10&lt;=InputData!$B$171,InputData!$D$170+InputData!$C$171*(HF10-InputData!$B$170),IF(HF10&lt;=InputData!$B$172,InputData!$D$171+InputData!$C$172*(HF10-InputData!$B$171),IF(HF10&lt;=InputData!$B$173,InputData!$D$172+InputData!$C$173*(HF10-InputData!$B$172),IF(HF10&lt;=InputData!$B$174,InputData!$D$173+InputData!$C$174*(HF10-InputData!$B$173),IF(HF10&lt;=InputData!$B$175,InputData!$D$174+InputData!$C$175*(HF10-InputData!$B$174),InputData!$D$175+InputData!$C$176*(HF10-InputData!$B$175))))))))</f>
        <v>2481.7455519572386</v>
      </c>
      <c r="HH10" s="32">
        <f>IF(HC10&lt;=InputData!$C$150,InputData!$C$152,IF(HC10&lt;InputData!$C$151,IF(InputData!$C$152-0.25*IF(HC10-InputData!$C$150&lt;=0,0,HC10-InputData!$C$150)&lt;=0,0,InputData!$C$152-0.25*IF(HC10-InputData!$C$150&lt;=0,0,HC10-InputData!$C$150)),0))</f>
        <v>51900</v>
      </c>
      <c r="HI10" s="32">
        <f>IF(HC10-HH10&lt;=0,0,IF(HC10-HH10&lt;=InputData!$C$153,InputData!$C$154*(HC10-HH10),InputData!$C$155*(HC10-HH10)-InputData!$D$154))</f>
        <v>0</v>
      </c>
      <c r="HJ10" s="32">
        <f t="shared" si="89"/>
        <v>2481.7455519572386</v>
      </c>
      <c r="HK10" s="32">
        <v>0</v>
      </c>
      <c r="HL10" s="32">
        <f>IF(HE10&lt;0,0,IF(HE10&lt;=InputData!$B$163,InputData!$C$163*HE10,IF(HE10&lt;=InputData!$B$164,InputData!$D$163+InputData!$C$164*(HE10-InputData!$B$163),IF(HE10&lt;=InputData!$B$165,InputData!$D$164+InputData!$C$165*(HE10-InputData!$B$164),InputData!$D$165+InputData!$C$166*(HE10-InputData!$B$165)))))</f>
        <v>0</v>
      </c>
      <c r="HM10" s="43">
        <f t="shared" si="90"/>
        <v>8.4070055722851977E-2</v>
      </c>
      <c r="HN10" s="43">
        <f t="shared" si="91"/>
        <v>8.4070055722851977E-2</v>
      </c>
      <c r="HO10" s="5">
        <f t="shared" si="92"/>
        <v>27038.224794424354</v>
      </c>
      <c r="HP10" s="32">
        <f>HO10/((1+InputData!$C$7)^(GenSurg!$B10-GenSurg!$B$7))</f>
        <v>24743.805904333243</v>
      </c>
      <c r="HQ10" s="32">
        <f t="shared" si="93"/>
        <v>119127.82998672797</v>
      </c>
      <c r="HS10" s="93">
        <f t="shared" si="94"/>
        <v>0</v>
      </c>
      <c r="HT10" s="92" t="str">
        <f t="shared" si="95"/>
        <v>Med School (O1 &gt; 3 yrs)</v>
      </c>
      <c r="HU10" s="5">
        <f t="shared" si="15"/>
        <v>43430.399999999994</v>
      </c>
      <c r="HV10" s="5">
        <f t="shared" si="16"/>
        <v>25411.199999999997</v>
      </c>
      <c r="HW10" s="5">
        <f t="shared" si="17"/>
        <v>68841.599999999991</v>
      </c>
      <c r="HX10" s="5">
        <f t="shared" si="18"/>
        <v>42165.517552072735</v>
      </c>
      <c r="HY10" s="5">
        <f t="shared" si="19"/>
        <v>24671.115154804713</v>
      </c>
      <c r="HZ10" s="32">
        <f>IF(HX10-InputData!$C$158-InputData!$C$159&gt;=0,HX10-InputData!$C$158-InputData!$C$159,0)</f>
        <v>42165.517552072735</v>
      </c>
      <c r="IA10" s="32">
        <f>IF(HX10-IF(HX10&lt;=InputData!$C$146,InputData!$C$145,0)-MAX(InputData!$C$144,IG10)&gt;=0,HX10-IF(HX10&lt;=InputData!$C$146,InputData!$C$145,0)-MAX(InputData!$C$144,IG10),0)</f>
        <v>32165.517552072735</v>
      </c>
      <c r="IB10" s="32">
        <f>IF(IA10&lt;0,"Error",IF(IA10&lt;=InputData!$B$170,InputData!$C$170*IA10,IF(IA10&lt;=InputData!$B$171,InputData!$D$170+InputData!$C$171*(IA10-InputData!$B$170),IF(IA10&lt;=InputData!$B$172,InputData!$D$171+InputData!$C$172*(IA10-InputData!$B$171),IF(IA10&lt;=InputData!$B$173,InputData!$D$172+InputData!$C$173*(IA10-InputData!$B$172),IF(IA10&lt;=InputData!$B$174,InputData!$D$173+InputData!$C$174*(IA10-InputData!$B$173),IF(IA10&lt;=InputData!$B$175,InputData!$D$174+InputData!$C$175*(IA10-InputData!$B$174),InputData!$D$175+InputData!$C$176*(IA10-InputData!$B$175))))))))</f>
        <v>4378.5776328109096</v>
      </c>
      <c r="IC10" s="32">
        <f>IF(HX10&lt;=InputData!$C$150,InputData!$C$152,IF(HX10&lt;InputData!$C$151,IF(InputData!$C$152-0.25*IF(HX10-InputData!$C$150&lt;=0,0,HX10-InputData!$C$150)&lt;=0,0,InputData!$C$152-0.25*IF(HX10-InputData!$C$150&lt;=0,0,HX10-InputData!$C$150)),0))</f>
        <v>51900</v>
      </c>
      <c r="ID10" s="32">
        <f>IF(HX10-IC10&lt;=0,0,IF(HX10-IC10&lt;=InputData!$C$153,InputData!$C$154*(HX10-IC10),InputData!$C$155*(HX10-IC10)-InputData!$D$154))</f>
        <v>0</v>
      </c>
      <c r="IE10" s="32">
        <f t="shared" si="96"/>
        <v>4378.5776328109096</v>
      </c>
      <c r="IF10" s="32">
        <f>IF(HX10&gt;=0,IF(HX10&lt;=InputData!$C$148,InputData!$C$147*HX10,InputData!$C$147*InputData!$C$148)+InputData!$C$149*HX10,0)</f>
        <v>3225.6620927335644</v>
      </c>
      <c r="IG10" s="32">
        <f>IF(HZ10&lt;0,0,IF(HZ10&lt;=InputData!$B$163,InputData!$C$163*HZ10,IF(HZ10&lt;=InputData!$B$164,InputData!$D$163+InputData!$C$164*(HZ10-InputData!$B$163),IF(HZ10&lt;=InputData!$B$165,InputData!$D$164+InputData!$C$165*(HZ10-InputData!$B$164),InputData!$D$165+InputData!$C$166*(HZ10-InputData!$B$165)))))</f>
        <v>0</v>
      </c>
      <c r="IH10" s="43">
        <f t="shared" si="97"/>
        <v>0.18034261564923379</v>
      </c>
      <c r="II10" s="43">
        <f t="shared" si="98"/>
        <v>0.11377353133414217</v>
      </c>
      <c r="IJ10" s="5">
        <f t="shared" si="20"/>
        <v>59232.392981332989</v>
      </c>
      <c r="IK10" s="32">
        <f>IJ10/((1+InputData!$C$7)^(GenSurg!$B10-GenSurg!$B$7))</f>
        <v>54206.030400395517</v>
      </c>
      <c r="IL10" s="5">
        <f t="shared" si="99"/>
        <v>211251.55229740124</v>
      </c>
      <c r="IN10" s="93">
        <f t="shared" si="100"/>
        <v>0</v>
      </c>
      <c r="IO10" s="92" t="str">
        <f t="shared" si="101"/>
        <v>Med School</v>
      </c>
      <c r="IP10" s="5">
        <f t="shared" si="21"/>
        <v>30405.511293634496</v>
      </c>
      <c r="IQ10" s="5">
        <f t="shared" si="22"/>
        <v>0</v>
      </c>
      <c r="IR10" s="5">
        <f t="shared" si="23"/>
        <v>30405.511293634496</v>
      </c>
      <c r="IS10" s="5">
        <f t="shared" si="24"/>
        <v>29519.970346381593</v>
      </c>
      <c r="IT10" s="5">
        <f t="shared" si="25"/>
        <v>0</v>
      </c>
      <c r="IU10" s="32">
        <f>IF(IS10-InputData!$C$158-InputData!$C$159&gt;=0,IS10-InputData!$C$158-InputData!$C$159,0)</f>
        <v>29519.970346381593</v>
      </c>
      <c r="IV10" s="32">
        <f>IF(IS10-IF(IS10&lt;=InputData!$C$146,InputData!$C$145,0)-MAX(InputData!$C$144,JB10)&gt;=0,IS10-IF(IS10&lt;=InputData!$C$146,InputData!$C$145,0)-MAX(InputData!$C$144,JB10),0)</f>
        <v>19519.970346381593</v>
      </c>
      <c r="IW10" s="32">
        <f>IF(IV10&lt;0,"Error",IF(IV10&lt;=InputData!$B$170,InputData!$C$170*IV10,IF(IV10&lt;=InputData!$B$171,InputData!$D$170+InputData!$C$171*(IV10-InputData!$B$170),IF(IV10&lt;=InputData!$B$172,InputData!$D$171+InputData!$C$172*(IV10-InputData!$B$171),IF(IV10&lt;=InputData!$B$173,InputData!$D$172+InputData!$C$173*(IV10-InputData!$B$172),IF(IV10&lt;=InputData!$B$174,InputData!$D$173+InputData!$C$174*(IV10-InputData!$B$173),IF(IV10&lt;=InputData!$B$175,InputData!$D$174+InputData!$C$175*(IV10-InputData!$B$174),InputData!$D$175+InputData!$C$176*(IV10-InputData!$B$175))))))))</f>
        <v>2481.7455519572386</v>
      </c>
      <c r="IX10" s="32">
        <f>IF(IS10&lt;=InputData!$C$150,InputData!$C$152,IF(IS10&lt;InputData!$C$151,IF(InputData!$C$152-0.25*IF(IS10-InputData!$C$150&lt;=0,0,IS10-InputData!$C$150)&lt;=0,0,InputData!$C$152-0.25*IF(IS10-InputData!$C$150&lt;=0,0,IS10-InputData!$C$150)),0))</f>
        <v>51900</v>
      </c>
      <c r="IY10" s="32">
        <f>IF(IS10-IX10&lt;=0,0,IF(IS10-IX10&lt;=InputData!$C$153,InputData!$C$154*(IS10-IX10),InputData!$C$155*(IS10-IX10)-InputData!$D$154))</f>
        <v>0</v>
      </c>
      <c r="IZ10" s="32">
        <f t="shared" si="102"/>
        <v>2481.7455519572386</v>
      </c>
      <c r="JA10" s="32">
        <v>0</v>
      </c>
      <c r="JB10" s="32">
        <f>IF(IU10&lt;0,0,IF(IU10&lt;=InputData!$B$163,InputData!$C$163*IU10,IF(IU10&lt;=InputData!$B$164,InputData!$D$163+InputData!$C$164*(IU10-InputData!$B$163),IF(IU10&lt;=InputData!$B$165,InputData!$D$164+InputData!$C$165*(IU10-InputData!$B$164),InputData!$D$165+InputData!$C$166*(IU10-InputData!$B$165)))))</f>
        <v>0</v>
      </c>
      <c r="JC10" s="43">
        <f t="shared" si="103"/>
        <v>8.4070055722851977E-2</v>
      </c>
      <c r="JD10" s="43">
        <f t="shared" si="104"/>
        <v>8.4070055722851977E-2</v>
      </c>
      <c r="JE10" s="5">
        <f t="shared" si="105"/>
        <v>27038.224794424354</v>
      </c>
      <c r="JF10" s="32">
        <f>JE10/((1+InputData!$C$7)^(GenSurg!$B10-GenSurg!$B$7))</f>
        <v>24743.805904333243</v>
      </c>
      <c r="JG10" s="5">
        <f t="shared" si="106"/>
        <v>119127.82998672797</v>
      </c>
      <c r="JI10" s="56" t="str">
        <f t="shared" si="26"/>
        <v>Med School</v>
      </c>
      <c r="JJ10" s="5">
        <f t="shared" si="27"/>
        <v>0</v>
      </c>
      <c r="JK10" s="32">
        <f t="shared" si="107"/>
        <v>0</v>
      </c>
      <c r="JL10" s="32">
        <f t="shared" si="108"/>
        <v>0</v>
      </c>
      <c r="JM10" s="32">
        <f>JM9*(1+InputData!$C$8)</f>
        <v>12193.279920000003</v>
      </c>
      <c r="JN10" s="32">
        <f>JJ10/((1+InputData!$C$3)^(GenSurg!$B10-GenSurg!$B$7))</f>
        <v>0</v>
      </c>
      <c r="JO10" s="32">
        <f>JK10/((1+InputData!$C$3)^(GenSurg!$B10-GenSurg!$B$7))</f>
        <v>0</v>
      </c>
      <c r="JP10" s="32" t="s">
        <v>143</v>
      </c>
      <c r="JQ10" s="118">
        <v>0</v>
      </c>
      <c r="JR10" s="32">
        <f t="shared" si="128"/>
        <v>0</v>
      </c>
      <c r="JS10" s="32">
        <f>(JR10)*InputData!$C$6</f>
        <v>0</v>
      </c>
      <c r="JT10" s="32">
        <v>0</v>
      </c>
      <c r="JU10" s="32">
        <f>JU9+JQ10+JS10-JT10</f>
        <v>0</v>
      </c>
      <c r="JV10" s="32">
        <f>JT10/((1+InputData!$C$3)^(GenSurg!$B10-GenSurg!$B$7))</f>
        <v>0</v>
      </c>
      <c r="JW10" s="32">
        <f>IF(JN10-InputData!$C$158-InputData!$C$159&gt;=0,JN10-InputData!$C$158-InputData!$C$159,0)</f>
        <v>0</v>
      </c>
      <c r="JX10" s="32">
        <f>IF(JN10-IF(JN10&lt;=InputData!$C$146,InputData!$C$145,0)-MAX(InputData!$C$144,KD10)&gt;=0,JN10-IF(JN10&lt;=InputData!$C$146,InputData!$C$145,0)-MAX(InputData!$C$144,KD10),0)</f>
        <v>0</v>
      </c>
      <c r="JY10" s="32">
        <f>IF(JX10&lt;0,"Error",IF(JX10&lt;=InputData!$B$170,InputData!$C$170*JX10,IF(JX10&lt;=InputData!$B$171,InputData!$D$170+InputData!$C$171*(JX10-InputData!$B$170),IF(JX10&lt;=InputData!$B$172,InputData!$D$171+InputData!$C$172*(JX10-InputData!$B$171),IF(JX10&lt;=InputData!$B$173,InputData!$D$172+InputData!$C$173*(JX10-InputData!$B$172),IF(JX10&lt;=InputData!$B$174,InputData!$D$173+InputData!$C$174*(JX10-InputData!$B$173),IF(JX10&lt;=InputData!$B$175,InputData!$D$174+InputData!$C$175*(JX10-InputData!$B$174),InputData!$D$175+InputData!$C$176*(JX10-InputData!$B$175))))))))</f>
        <v>0</v>
      </c>
      <c r="JZ10" s="32">
        <f>IF(JN10&lt;=InputData!$C$150,InputData!$C$152,IF(JN10&lt;InputData!$C$151,IF(InputData!$C$152-0.25*IF(JN10-InputData!$C$150&lt;=0,0,JN10-InputData!$C$150)&lt;=0,0,InputData!$C$152-0.25*IF(JN10-InputData!$C$150&lt;=0,0,JN10-InputData!$C$150)),0))</f>
        <v>51900</v>
      </c>
      <c r="KA10" s="32">
        <f>IF(JN10-JZ10&lt;=0,0,IF(JN10-JZ10&lt;=InputData!$C$153,InputData!$C$154*(JN10-JZ10),InputData!$C$155*(JN10-JZ10)-InputData!$D$154))</f>
        <v>0</v>
      </c>
      <c r="KB10" s="32">
        <f t="shared" si="109"/>
        <v>0</v>
      </c>
      <c r="KC10" s="32">
        <f>IF(JN10&gt;=0,IF(JN10&lt;=InputData!$C$148,InputData!$C$147*JN10,InputData!$C$147*InputData!$C$148)+InputData!$C$149*JN10,0)</f>
        <v>0</v>
      </c>
      <c r="KD10" s="32">
        <f>IF(JW10&lt;0,0,IF(JW10&lt;=InputData!$B$163,InputData!$C$163*JW10,IF(JW10&lt;=InputData!$B$164,InputData!$D$163+InputData!$C$164*(JW10-InputData!$B$163),IF(JW10&lt;=InputData!$B$165,InputData!$D$164+InputData!$C$165*(JW10-InputData!$B$164),InputData!$D$165+InputData!$C$166*(JW10-InputData!$B$165)))))</f>
        <v>0</v>
      </c>
      <c r="KE10" s="43" t="e">
        <f t="shared" si="28"/>
        <v>#DIV/0!</v>
      </c>
      <c r="KF10" s="32">
        <f t="shared" si="29"/>
        <v>0</v>
      </c>
      <c r="KG10" s="32">
        <f t="shared" si="110"/>
        <v>0</v>
      </c>
      <c r="KH10" s="32">
        <f>KG10/((1+InputData!$C$7)^(GenSurg!$B10-GenSurg!$B$7))</f>
        <v>0</v>
      </c>
      <c r="KI10" s="5">
        <f t="shared" si="129"/>
        <v>0</v>
      </c>
    </row>
    <row r="11" spans="1:295" x14ac:dyDescent="0.25">
      <c r="A11" s="4">
        <v>2017</v>
      </c>
      <c r="B11" s="51">
        <v>5</v>
      </c>
      <c r="C11" s="4"/>
      <c r="D11" s="3">
        <v>1</v>
      </c>
      <c r="E11" s="97" t="s">
        <v>258</v>
      </c>
      <c r="F11" s="5">
        <f>InputData!$C$24*12</f>
        <v>46026</v>
      </c>
      <c r="G11" s="5">
        <f>(InputData!$C$24+InputData!$C$44)*12</f>
        <v>47226</v>
      </c>
      <c r="H11" s="5">
        <f>(InputData!$C$35+InputData!$C$40)*12</f>
        <v>19939.199999999997</v>
      </c>
      <c r="I11" s="5">
        <f t="shared" si="30"/>
        <v>67165.2</v>
      </c>
      <c r="J11" s="5">
        <f>G11*((1+InputData!$C$5)/(1+InputData!$C$3))^(GenSurg!$B11-GenSurg!$B$7)</f>
        <v>45401.05772195461</v>
      </c>
      <c r="K11" s="5">
        <f>H11*((1+InputData!$C$5)/(1+InputData!$C$3))^(GenSurg!$B11-GenSurg!$B$7)</f>
        <v>19168.694577766426</v>
      </c>
      <c r="L11" s="32">
        <f>IF(J11-InputData!$C$158-InputData!$C$159&gt;=0,J11-InputData!$C$158-InputData!$C$159,0)</f>
        <v>45401.05772195461</v>
      </c>
      <c r="M11" s="32">
        <f>IF(J11-IF(J11&lt;=InputData!$C$146,InputData!$C$145,0)-MAX(InputData!$C$144,S11)&gt;=0,J11-IF(J11&lt;=InputData!$C$146,InputData!$C$145,0)-MAX(InputData!$C$144,S11),0)</f>
        <v>35401.05772195461</v>
      </c>
      <c r="N11" s="32">
        <f>IF(M11&lt;0,"Error",IF(M11&lt;=InputData!$B$170,InputData!$C$170*M11,IF(M11&lt;=InputData!$B$171,InputData!$D$170+InputData!$C$171*(M11-InputData!$B$170),IF(M11&lt;=InputData!$B$172,InputData!$D$171+InputData!$C$172*(M11-InputData!$B$171),IF(M11&lt;=InputData!$B$173,InputData!$D$172+InputData!$C$173*(M11-InputData!$B$172),IF(M11&lt;=InputData!$B$174,InputData!$D$173+InputData!$C$174*(M11-InputData!$B$173),IF(M11&lt;=InputData!$B$175,InputData!$D$174+InputData!$C$175*(M11-InputData!$B$174),InputData!$D$175+InputData!$C$176*(M11-InputData!$B$175))))))))</f>
        <v>4863.9086582931914</v>
      </c>
      <c r="O11" s="32">
        <f>IF(J11&lt;=InputData!$C$150,InputData!$C$152,IF(J11&lt;InputData!$C$151,IF(InputData!$C$152-0.25*IF(J11-InputData!$C$150&lt;=0,0,J11-InputData!$C$150)&lt;=0,0,InputData!$C$152-0.25*IF(J11-InputData!$C$150&lt;=0,0,J11-InputData!$C$150)),0))</f>
        <v>51900</v>
      </c>
      <c r="P11" s="32">
        <f>IF(J11-O11&lt;=0,0,IF(J11-O11&lt;=InputData!$C$153,InputData!$C$154*(J11-O11),InputData!$C$155*(J11-O11)-InputData!$D$154))</f>
        <v>0</v>
      </c>
      <c r="Q11" s="32">
        <f t="shared" si="31"/>
        <v>4863.9086582931914</v>
      </c>
      <c r="R11" s="32">
        <f>IF(J11&gt;=0,IF(J11&lt;=InputData!$C$148,InputData!$C$147*J11,InputData!$C$147*InputData!$C$148)+InputData!$C$149*J11,0)</f>
        <v>3473.1809157295279</v>
      </c>
      <c r="S11" s="32">
        <f>IF(L11&lt;0,0,IF(L11&lt;=InputData!$B$163,InputData!$C$163*L11,IF(L11&lt;=InputData!$B$164,InputData!$D$163+InputData!$C$164*(L11-InputData!$B$163),IF(L11&lt;=InputData!$B$165,InputData!$D$164+InputData!$C$165*(L11-InputData!$B$164),InputData!$D$165+InputData!$C$166*(L11-InputData!$B$165)))))</f>
        <v>0</v>
      </c>
      <c r="T11" s="43">
        <f t="shared" si="32"/>
        <v>0.18363205599924048</v>
      </c>
      <c r="U11" s="43">
        <f t="shared" si="33"/>
        <v>0.12911757095371013</v>
      </c>
      <c r="V11" s="5">
        <f t="shared" si="34"/>
        <v>56232.662725698312</v>
      </c>
      <c r="W11" s="32">
        <f>V11/((1+InputData!$C$7)^(GenSurg!$B11-GenSurg!$B$7))</f>
        <v>49961.992501594294</v>
      </c>
      <c r="X11" s="5">
        <f t="shared" si="111"/>
        <v>261213.54479899554</v>
      </c>
      <c r="Y11" s="53"/>
      <c r="Z11" s="3">
        <v>1</v>
      </c>
      <c r="AA11" s="97" t="s">
        <v>258</v>
      </c>
      <c r="AB11" s="5">
        <f>F11</f>
        <v>46026</v>
      </c>
      <c r="AC11" s="5">
        <f>G11</f>
        <v>47226</v>
      </c>
      <c r="AD11" s="5">
        <f>H11</f>
        <v>19939.199999999997</v>
      </c>
      <c r="AE11" s="5">
        <f t="shared" si="35"/>
        <v>67165.2</v>
      </c>
      <c r="AF11" s="5">
        <f>AC11*((1+InputData!$C$5)/(1+InputData!$C$3))^(GenSurg!$B11-GenSurg!$B$7)</f>
        <v>45401.05772195461</v>
      </c>
      <c r="AG11" s="5">
        <f>AD11*((1+InputData!$C$5)/(1+InputData!$C$3))^(GenSurg!$B11-GenSurg!$B$7)</f>
        <v>19168.694577766426</v>
      </c>
      <c r="AH11" s="32">
        <f>IF(AF11-InputData!$C$158-InputData!$C$159&gt;=0,AF11-InputData!$C$158-InputData!$C$159,0)</f>
        <v>45401.05772195461</v>
      </c>
      <c r="AI11" s="32">
        <f>IF(AF11-IF(AF11&lt;=InputData!$C$146,InputData!$C$145,0)-MAX(InputData!$C$144,AO11)&gt;=0,AF11-IF(AF11&lt;=InputData!$C$146,InputData!$C$145,0)-MAX(InputData!$C$144,AO11),0)</f>
        <v>35401.05772195461</v>
      </c>
      <c r="AJ11" s="32">
        <f>IF(AI11&lt;0,"Error",IF(AI11&lt;=InputData!$B$170,InputData!$C$170*AI11,IF(AI11&lt;=InputData!$B$171,InputData!$D$170+InputData!$C$171*(AI11-InputData!$B$170),IF(AI11&lt;=InputData!$B$172,InputData!$D$171+InputData!$C$172*(AI11-InputData!$B$171),IF(AI11&lt;=InputData!$B$173,InputData!$D$172+InputData!$C$173*(AI11-InputData!$B$172),IF(AI11&lt;=InputData!$B$174,InputData!$D$173+InputData!$C$174*(AI11-InputData!$B$173),IF(AI11&lt;=InputData!$B$175,InputData!$D$174+InputData!$C$175*(AI11-InputData!$B$174),InputData!$D$175+InputData!$C$176*(AI11-InputData!$B$175))))))))</f>
        <v>4863.9086582931914</v>
      </c>
      <c r="AK11" s="32">
        <f>IF(AF11&lt;=InputData!$C$150,InputData!$C$152,IF(AF11&lt;InputData!$C$151,IF(InputData!$C$152-0.25*IF(AF11-InputData!$C$150&lt;=0,0,AF11-InputData!$C$150)&lt;=0,0,InputData!$C$152-0.25*IF(AF11-InputData!$C$150&lt;=0,0,AF11-InputData!$C$150)),0))</f>
        <v>51900</v>
      </c>
      <c r="AL11" s="32">
        <f>IF(AF11-AK11&lt;=0,0,IF(AF11-AK11&lt;=InputData!$C$153,InputData!$C$154*(AF11-AK11),InputData!$C$155*(AF11-AK11)-InputData!$D$154))</f>
        <v>0</v>
      </c>
      <c r="AM11" s="32">
        <f t="shared" si="36"/>
        <v>4863.9086582931914</v>
      </c>
      <c r="AN11" s="32">
        <f>IF(AF11&gt;=0,IF(AF11&lt;=InputData!$C$148,InputData!$C$147*AF11,InputData!$C$147*InputData!$C$148)+InputData!$C$149*AF11,0)</f>
        <v>3473.1809157295279</v>
      </c>
      <c r="AO11" s="32">
        <f>IF(AH11&lt;0,0,IF(AH11&lt;=InputData!$B$163,InputData!$C$163*AH11,IF(AH11&lt;=InputData!$B$164,InputData!$D$163+InputData!$C$164*(AH11-InputData!$B$163),IF(AH11&lt;=InputData!$B$165,InputData!$D$164+InputData!$C$165*(AH11-InputData!$B$164),InputData!$D$165+InputData!$C$166*(AH11-InputData!$B$165)))))</f>
        <v>0</v>
      </c>
      <c r="AP11" s="43">
        <f t="shared" si="37"/>
        <v>0.18363205599924048</v>
      </c>
      <c r="AQ11" s="43">
        <f t="shared" si="38"/>
        <v>0.12911757095371013</v>
      </c>
      <c r="AR11" s="5">
        <f t="shared" si="39"/>
        <v>56232.662725698312</v>
      </c>
      <c r="AS11" s="32">
        <f>AR11/((1+InputData!$C$7)^(GenSurg!$B11-GenSurg!$B$7))</f>
        <v>49961.992501594294</v>
      </c>
      <c r="AT11" s="5">
        <f t="shared" si="112"/>
        <v>169089.82248832227</v>
      </c>
      <c r="AU11" s="53"/>
      <c r="AV11" s="41" t="s">
        <v>1</v>
      </c>
      <c r="AW11" s="32">
        <f>InputData!$C$74*(1+InputData!$C$11)^(GenSurg!B11-GenSurg!$B$7)</f>
        <v>54353.24848224</v>
      </c>
      <c r="AX11" s="32">
        <v>0</v>
      </c>
      <c r="AY11" s="32">
        <f t="shared" si="41"/>
        <v>54353.24848224</v>
      </c>
      <c r="AZ11" s="32">
        <f>AZ10*(1+InputData!$C$8)</f>
        <v>12437.145518400002</v>
      </c>
      <c r="BA11" s="32">
        <f>AW11/((1+InputData!$C$3)^(GenSurg!$B11-GenSurg!$B$7))</f>
        <v>50214</v>
      </c>
      <c r="BB11" s="32">
        <f>AX11/((1+InputData!$C$3)^(GenSurg!$B11-GenSurg!$B$7))</f>
        <v>0</v>
      </c>
      <c r="BC11" s="126" t="s">
        <v>319</v>
      </c>
      <c r="BD11" s="32">
        <v>0</v>
      </c>
      <c r="BE11" s="118">
        <f>BE10</f>
        <v>180000</v>
      </c>
      <c r="BF11" s="118">
        <f>(0.5*BE10+0.5*(BH10+0.5*BE10*InputData!$C$6))*InputData!$C$6</f>
        <v>12184.523010000001</v>
      </c>
      <c r="BG11" s="32">
        <v>0</v>
      </c>
      <c r="BH11" s="118">
        <f>BH10+BD11+BF11-BG11</f>
        <v>219011.72301000002</v>
      </c>
      <c r="BI11" s="32">
        <f>BG11/((1+InputData!$C$3)^(GenSurg!$B11-GenSurg!$B$7))</f>
        <v>0</v>
      </c>
      <c r="BJ11" s="32">
        <f>IF(BA11-InputData!$C$158-InputData!$C$159&gt;=0,BA11-InputData!$C$158-InputData!$C$159,0)</f>
        <v>50214</v>
      </c>
      <c r="BK11" s="32">
        <f>IF(BA11-IF(BA11&lt;=InputData!$C$146,InputData!$C$145,0)-MAX(InputData!$C$144,BQ11)&gt;=0,BA11-IF(BA11&lt;=InputData!$C$146,InputData!$C$145,0)-MAX(InputData!$C$144,BQ11),0)</f>
        <v>40214</v>
      </c>
      <c r="BL11" s="32">
        <f>IF(BK11&lt;0,"Error",IF(BK11&lt;=InputData!$B$170,InputData!$C$170*BK11,IF(BK11&lt;=InputData!$B$171,InputData!$D$170+InputData!$C$171*(BK11-InputData!$B$170),IF(BK11&lt;=InputData!$B$172,InputData!$D$171+InputData!$C$172*(BK11-InputData!$B$171),IF(BK11&lt;=InputData!$B$173,InputData!$D$172+InputData!$C$173*(BK11-InputData!$B$172),IF(BK11&lt;=InputData!$B$174,InputData!$D$173+InputData!$C$174*(BK11-InputData!$B$173),IF(BK11&lt;=InputData!$B$175,InputData!$D$174+InputData!$C$175*(BK11-InputData!$B$174),InputData!$D$175+InputData!$C$176*(BK11-InputData!$B$175))))))))</f>
        <v>5982.25</v>
      </c>
      <c r="BM11" s="32">
        <f>IF(BA11&lt;=InputData!$C$150,InputData!$C$152,IF(BA11&lt;InputData!$C$151,IF(InputData!$C$152-0.25*IF(BA11-InputData!$C$150&lt;=0,0,BA11-InputData!$C$150)&lt;=0,0,InputData!$C$152-0.25*IF(BA11-InputData!$C$150&lt;=0,0,BA11-InputData!$C$150)),0))</f>
        <v>51900</v>
      </c>
      <c r="BN11" s="32">
        <f>IF(BA11-BM11&lt;=0,0,IF(BA11-BM11&lt;=InputData!$C$153,InputData!$C$154*(BA11-BM11),InputData!$C$155*(BA11-BM11)-InputData!$D$154))</f>
        <v>0</v>
      </c>
      <c r="BO11" s="32">
        <f t="shared" si="42"/>
        <v>5982.25</v>
      </c>
      <c r="BP11" s="32">
        <f>IF(BA11&gt;=0,IF(BA11&lt;=InputData!$C$148,InputData!$C$147*BA11,InputData!$C$147*InputData!$C$148)+InputData!$C$149*BA11,0)</f>
        <v>3841.3710000000001</v>
      </c>
      <c r="BQ11" s="32">
        <f>IF(BJ11&lt;0,0,IF(BJ11&lt;=InputData!$B$163,InputData!$C$163*BJ11,IF(BJ11&lt;=InputData!$B$164,InputData!$D$163+InputData!$C$164*(BJ11-InputData!$B$163),IF(BJ11&lt;=InputData!$B$165,InputData!$D$164+InputData!$C$165*(BJ11-InputData!$B$164),InputData!$D$165+InputData!$C$166*(BJ11-InputData!$B$165)))))</f>
        <v>0</v>
      </c>
      <c r="BR11" s="43">
        <f t="shared" si="43"/>
        <v>0.19563510176444815</v>
      </c>
      <c r="BS11" s="32">
        <f t="shared" si="44"/>
        <v>40390.379000000001</v>
      </c>
      <c r="BT11" s="32">
        <f t="shared" si="45"/>
        <v>40390.379000000001</v>
      </c>
      <c r="BU11" s="32">
        <f>BT11/((1+InputData!$C$7)^(GenSurg!$B11-GenSurg!$B$7))</f>
        <v>35886.328601905836</v>
      </c>
      <c r="BV11" s="5">
        <f t="shared" si="114"/>
        <v>-154981.05168717628</v>
      </c>
      <c r="BW11" s="5"/>
      <c r="BX11" s="126" t="s">
        <v>319</v>
      </c>
      <c r="BY11" s="5">
        <f t="shared" si="46"/>
        <v>180000</v>
      </c>
      <c r="BZ11" s="5">
        <f t="shared" si="47"/>
        <v>12184.523010000001</v>
      </c>
      <c r="CA11" s="5">
        <v>0</v>
      </c>
      <c r="CB11" s="5">
        <f t="shared" si="48"/>
        <v>219011.72301000002</v>
      </c>
      <c r="CC11" s="32">
        <f>CA11/((1+InputData!$C$3)^(GenSurg!$B11-GenSurg!$B$7))</f>
        <v>0</v>
      </c>
      <c r="CD11" s="5">
        <f t="shared" si="49"/>
        <v>40390.379000000001</v>
      </c>
      <c r="CE11" s="32">
        <f>CD11/((1+InputData!$C$7)^(GenSurg!$B11-GenSurg!$B$7))</f>
        <v>35886.328601905836</v>
      </c>
      <c r="CF11" s="5">
        <f t="shared" si="115"/>
        <v>-154981.05168717628</v>
      </c>
      <c r="CG11" s="5"/>
      <c r="CH11" s="126" t="s">
        <v>319</v>
      </c>
      <c r="CI11" s="5">
        <f t="shared" si="50"/>
        <v>180000</v>
      </c>
      <c r="CJ11" s="5">
        <f t="shared" si="51"/>
        <v>12184.523010000001</v>
      </c>
      <c r="CK11" s="5">
        <v>0</v>
      </c>
      <c r="CL11" s="5">
        <f t="shared" si="52"/>
        <v>219011.72301000002</v>
      </c>
      <c r="CM11" s="32">
        <f>CK11/((1+InputData!$C$3)^(GenSurg!$B11-GenSurg!$B$7))</f>
        <v>0</v>
      </c>
      <c r="CN11" s="5">
        <f t="shared" si="53"/>
        <v>40390.379000000001</v>
      </c>
      <c r="CO11" s="32">
        <f>CN11/((1+InputData!$C$7)^(GenSurg!$B11-GenSurg!$B$7))</f>
        <v>35886.328601905836</v>
      </c>
      <c r="CP11" s="5">
        <f t="shared" si="116"/>
        <v>-154981.05168717628</v>
      </c>
      <c r="CQ11" s="5"/>
      <c r="CR11" s="126" t="s">
        <v>319</v>
      </c>
      <c r="CS11" s="5">
        <f t="shared" si="54"/>
        <v>180000</v>
      </c>
      <c r="CT11" s="5">
        <f t="shared" si="55"/>
        <v>12184.523010000001</v>
      </c>
      <c r="CU11" s="5">
        <v>0</v>
      </c>
      <c r="CV11" s="5">
        <f t="shared" si="56"/>
        <v>219011.72301000002</v>
      </c>
      <c r="CW11" s="32">
        <f>CU11/((1+InputData!$C$3)^(GenSurg!$B11-GenSurg!$B$7))</f>
        <v>0</v>
      </c>
      <c r="CX11" s="5">
        <f t="shared" si="57"/>
        <v>40390.379000000001</v>
      </c>
      <c r="CY11" s="32">
        <f>CX11/((1+InputData!$C$7)^(GenSurg!$B11-GenSurg!$B$7))</f>
        <v>35886.328601905836</v>
      </c>
      <c r="CZ11" s="5">
        <f t="shared" si="117"/>
        <v>-154981.05168717628</v>
      </c>
      <c r="DA11" s="5"/>
      <c r="DB11" s="126" t="s">
        <v>328</v>
      </c>
      <c r="DC11" s="118">
        <f>DC10</f>
        <v>180000</v>
      </c>
      <c r="DD11" s="118">
        <f>(0.5*DC10+0.5*(DF10+0.5*DC10*InputData!$C$6))*InputData!$C$6</f>
        <v>12184.523010000001</v>
      </c>
      <c r="DE11" s="32">
        <f>MIN(0.5*$DD$2,DC2)</f>
        <v>14574.189981944686</v>
      </c>
      <c r="DF11" s="32">
        <f>DF10+$BD11+DD11-DE11</f>
        <v>204437.53302805533</v>
      </c>
      <c r="DG11" s="32">
        <f>DE11/((1+InputData!$C$3)^(GenSurg!$B11-GenSurg!$B$7))</f>
        <v>13464.298752861045</v>
      </c>
      <c r="DH11" s="5">
        <f t="shared" si="61"/>
        <v>26926.080247138954</v>
      </c>
      <c r="DI11" s="32">
        <f>DH11/((1+InputData!$C$7)^(GenSurg!$B11-GenSurg!$B$7))</f>
        <v>23923.473550721435</v>
      </c>
      <c r="DJ11" s="5">
        <f t="shared" si="118"/>
        <v>-166943.9067383607</v>
      </c>
      <c r="DK11" s="5"/>
      <c r="DL11" s="126" t="s">
        <v>328</v>
      </c>
      <c r="DM11" s="118">
        <f>DM10</f>
        <v>180000</v>
      </c>
      <c r="DN11" s="118">
        <f>(0.5*DM10+0.5*(DQ10+0.5*DM10*InputData!$C$6))*InputData!$C$6</f>
        <v>12184.523010000001</v>
      </c>
      <c r="DO11" s="118">
        <f>0.5*$DC$2*InputData!$C$6-DP11</f>
        <v>1240.8934793040016</v>
      </c>
      <c r="DP11" s="118">
        <f t="shared" ref="DP11:DP36" si="130">IF(0.15*($AY$11-1.5*$AZ11)&lt;=$DD$2,MIN(0.15*($AY11-1.5*$AZ11),$DD$2, DM11+DN11),"DNQ")</f>
        <v>5354.6295306959992</v>
      </c>
      <c r="DQ11" s="32">
        <f t="shared" ref="DQ11:DQ36" si="131">DQ10+$BD11+DN11-DP11</f>
        <v>213657.09347930402</v>
      </c>
      <c r="DR11" s="32">
        <f>DP11/((1+InputData!$C$3)^(GenSurg!$B11-GenSurg!$B$7))</f>
        <v>4946.8499999999995</v>
      </c>
      <c r="DS11" s="5">
        <f t="shared" si="65"/>
        <v>35443.529000000002</v>
      </c>
      <c r="DT11" s="32">
        <f>DS11/((1+InputData!$C$7)^(GenSurg!$B11-GenSurg!$B$7))</f>
        <v>31491.116448924113</v>
      </c>
      <c r="DU11" s="5">
        <f t="shared" si="120"/>
        <v>-159376.263840158</v>
      </c>
      <c r="DV11" s="5"/>
      <c r="DW11" s="126" t="s">
        <v>328</v>
      </c>
      <c r="DX11" s="118">
        <f>DX10</f>
        <v>180000</v>
      </c>
      <c r="DY11" s="118">
        <f>(0.5*DX10+0.5*(EB10+0.5*DX10*InputData!$C$6))*InputData!$C$6</f>
        <v>12184.523010000001</v>
      </c>
      <c r="DZ11" s="118">
        <f>0.5*$DC$2*InputData!$C$6-EA11</f>
        <v>3025.769989536001</v>
      </c>
      <c r="EA11" s="118">
        <f>IF(0.1*($AY$11-1.5*$AZ11)&lt;=$DD$2,MIN(0.1*($AY11-1.5*$AZ11),$DD$2, DX11+DY11),"DNQ")</f>
        <v>3569.7530204639997</v>
      </c>
      <c r="EB11" s="32">
        <f>EB10+$BD11+DY11-EA11</f>
        <v>215441.96998953601</v>
      </c>
      <c r="EC11" s="32">
        <f>EA11/((1+InputData!$C$3)^(GenSurg!$B11-GenSurg!$B$7))</f>
        <v>3297.8999999999996</v>
      </c>
      <c r="ED11" s="5">
        <f t="shared" si="69"/>
        <v>37092.478999999999</v>
      </c>
      <c r="EE11" s="32">
        <f>ED11/((1+InputData!$C$7)^(GenSurg!$B11-GenSurg!$B$7))</f>
        <v>32956.187166584685</v>
      </c>
      <c r="EF11" s="5">
        <f t="shared" si="122"/>
        <v>-157911.19312249744</v>
      </c>
      <c r="EG11" s="32"/>
      <c r="EH11" s="130" t="s">
        <v>142</v>
      </c>
      <c r="EI11" s="32">
        <v>0</v>
      </c>
      <c r="EJ11" s="32">
        <f>EJ$10</f>
        <v>185472.36</v>
      </c>
      <c r="EK11" s="32">
        <f>(EJ11)*InputData!$C$6</f>
        <v>11517.833556</v>
      </c>
      <c r="EL11" s="32">
        <f t="shared" ref="EL11:EL15" si="132">EL10+EI11+EK11</f>
        <v>225499.70491199999</v>
      </c>
      <c r="EM11" s="32">
        <f>EM10*(1+InputData!$C$8)</f>
        <v>12437.145518400002</v>
      </c>
      <c r="EN11" s="32">
        <v>0</v>
      </c>
      <c r="EO11" s="32">
        <f>AW11/((1+InputData!$C$3)^(GenSurg!$B11-GenSurg!$B$7))</f>
        <v>50214</v>
      </c>
      <c r="EP11" s="32">
        <f>AX11/((1+InputData!$C$3)^(GenSurg!$B11-GenSurg!$B$7))</f>
        <v>0</v>
      </c>
      <c r="EQ11" s="32">
        <v>6146</v>
      </c>
      <c r="ER11" s="32">
        <v>3339.23</v>
      </c>
      <c r="ES11" s="32">
        <v>0</v>
      </c>
      <c r="ET11" s="43">
        <f>(EQ11+ER11+ES11)/(EO11+EP11)</f>
        <v>0.18889612458676863</v>
      </c>
      <c r="EU11" s="32">
        <f t="shared" si="70"/>
        <v>40728.769999999997</v>
      </c>
      <c r="EV11" s="32">
        <f>EN11/((1+InputData!$C$3)^(GenSurg!$B11-GenSurg!$B$7))</f>
        <v>0</v>
      </c>
      <c r="EW11" s="32">
        <f t="shared" si="71"/>
        <v>40728.769999999997</v>
      </c>
      <c r="EX11" s="32">
        <f>EW11/((1+InputData!$C$7)^(GenSurg!$B11-GenSurg!$B$7))</f>
        <v>36186.984622537071</v>
      </c>
      <c r="EY11" s="5">
        <f t="shared" si="124"/>
        <v>-154680.39566654505</v>
      </c>
      <c r="EZ11" s="79"/>
      <c r="FA11" s="32">
        <f t="shared" si="72"/>
        <v>185472.36</v>
      </c>
      <c r="FB11" s="32">
        <f t="shared" si="73"/>
        <v>11517.833556</v>
      </c>
      <c r="FC11" s="32">
        <f t="shared" si="74"/>
        <v>225499.70491199999</v>
      </c>
      <c r="FD11" s="32">
        <v>0</v>
      </c>
      <c r="FE11" s="32">
        <f>FD11/((1+InputData!$C$3)^(GenSurg!$B11-GenSurg!$B$7))</f>
        <v>0</v>
      </c>
      <c r="FF11" s="5">
        <f t="shared" si="75"/>
        <v>40728.769999999997</v>
      </c>
      <c r="FG11" s="32">
        <f>FF11/((1+InputData!$C$7)^(GenSurg!$B11-GenSurg!$B$7))</f>
        <v>36186.984622537071</v>
      </c>
      <c r="FH11" s="5">
        <f t="shared" si="125"/>
        <v>-154680.39566654505</v>
      </c>
      <c r="FI11" s="79"/>
      <c r="FJ11" s="32">
        <f t="shared" si="76"/>
        <v>185472.36</v>
      </c>
      <c r="FK11" s="32">
        <f t="shared" si="77"/>
        <v>11517.833556</v>
      </c>
      <c r="FL11" s="32">
        <f t="shared" si="78"/>
        <v>225499.70491199999</v>
      </c>
      <c r="FM11" s="32">
        <v>0</v>
      </c>
      <c r="FN11" s="32">
        <f>FM11/((1+InputData!$C$3)^(GenSurg!$B11-GenSurg!$B$7))</f>
        <v>0</v>
      </c>
      <c r="FO11" s="5">
        <f t="shared" si="79"/>
        <v>40728.769999999997</v>
      </c>
      <c r="FP11" s="32">
        <f>FO11/((1+InputData!$C$7)^(GenSurg!$B11-GenSurg!$B$7))</f>
        <v>36186.984622537071</v>
      </c>
      <c r="FQ11" s="5">
        <f t="shared" si="126"/>
        <v>-154680.39566654505</v>
      </c>
      <c r="FR11" s="79"/>
      <c r="FS11" s="32">
        <f t="shared" si="80"/>
        <v>185472.36</v>
      </c>
      <c r="FT11" s="32">
        <f t="shared" si="81"/>
        <v>11517.833556</v>
      </c>
      <c r="FU11" s="32">
        <f t="shared" si="82"/>
        <v>225499.70491199999</v>
      </c>
      <c r="FV11" s="32">
        <v>0</v>
      </c>
      <c r="FW11" s="32">
        <f>FV11/((1+InputData!$C$3)^(GenSurg!$B11-GenSurg!$B$7))</f>
        <v>0</v>
      </c>
      <c r="FX11" s="5">
        <f t="shared" si="83"/>
        <v>40728.769999999997</v>
      </c>
      <c r="FY11" s="32">
        <f>FX11/((1+InputData!$C$7)^(GenSurg!$B11-GenSurg!$B$7))</f>
        <v>36186.984622537071</v>
      </c>
      <c r="FZ11" s="5">
        <f t="shared" si="127"/>
        <v>-154680.39566654505</v>
      </c>
      <c r="GC11" s="3">
        <f t="shared" si="1"/>
        <v>1</v>
      </c>
      <c r="GD11" s="4" t="str">
        <f t="shared" si="2"/>
        <v>Internship/Residency (O3&lt;=2 = (BP+BAH+BAS+VSP)*12)</v>
      </c>
      <c r="GE11" s="5">
        <f t="shared" si="3"/>
        <v>47226</v>
      </c>
      <c r="GF11" s="5">
        <f t="shared" si="4"/>
        <v>19939.199999999997</v>
      </c>
      <c r="GG11" s="5">
        <f t="shared" si="5"/>
        <v>67165.2</v>
      </c>
      <c r="GH11" s="5">
        <f t="shared" si="6"/>
        <v>45401.05772195461</v>
      </c>
      <c r="GI11" s="5">
        <f t="shared" si="7"/>
        <v>19168.694577766426</v>
      </c>
      <c r="GJ11" s="32">
        <f>IF(GH11-InputData!$C$158-InputData!$C$159&gt;=0,GH11-InputData!$C$158-InputData!$C$159,0)</f>
        <v>45401.05772195461</v>
      </c>
      <c r="GK11" s="32">
        <f>IF(GH11-IF(GH11&lt;=InputData!$C$146,InputData!$C$145,0)-MAX(InputData!$C$144,GQ11)&gt;=0,GH11-IF(GH11&lt;=InputData!$C$146,InputData!$C$145,0)-MAX(InputData!$C$144,GQ11),0)</f>
        <v>35401.05772195461</v>
      </c>
      <c r="GL11" s="32">
        <f>IF(GK11&lt;0,"Error",IF(GK11&lt;=InputData!$B$170,InputData!$C$170*GK11,IF(GK11&lt;=InputData!$B$171,InputData!$D$170+InputData!$C$171*(GK11-InputData!$B$170),IF(GK11&lt;=InputData!$B$172,InputData!$D$171+InputData!$C$172*(GK11-InputData!$B$171),IF(GK11&lt;=InputData!$B$173,InputData!$D$172+InputData!$C$173*(GK11-InputData!$B$172),IF(GK11&lt;=InputData!$B$174,InputData!$D$173+InputData!$C$174*(GK11-InputData!$B$173),IF(GK11&lt;=InputData!$B$175,InputData!$D$174+InputData!$C$175*(GK11-InputData!$B$174),InputData!$D$175+InputData!$C$176*(GK11-InputData!$B$175))))))))</f>
        <v>4863.9086582931914</v>
      </c>
      <c r="GM11" s="32">
        <f>IF(GH11&lt;=InputData!$C$150,InputData!$C$152,IF(GH11&lt;InputData!$C$151,IF(InputData!$C$152-0.25*IF(GH11-InputData!$C$150&lt;=0,0,GH11-InputData!$C$150)&lt;=0,0,InputData!$C$152-0.25*IF(GH11-InputData!$C$150&lt;=0,0,GH11-InputData!$C$150)),0))</f>
        <v>51900</v>
      </c>
      <c r="GN11" s="32">
        <f>IF(GH11-GM11&lt;=0,0,IF(GH11-GM11&lt;=InputData!$C$153,InputData!$C$154*(GH11-GM11),InputData!$C$155*(GH11-GM11)-InputData!$D$154))</f>
        <v>0</v>
      </c>
      <c r="GO11" s="32">
        <f t="shared" si="84"/>
        <v>4863.9086582931914</v>
      </c>
      <c r="GP11" s="32">
        <f>IF(GH11&gt;=0,IF(GH11&lt;=InputData!$C$148,InputData!$C$147*GH11,InputData!$C$147*InputData!$C$148)+InputData!$C$149*GH11,0)</f>
        <v>3473.1809157295279</v>
      </c>
      <c r="GQ11" s="32">
        <f>IF(GJ11&lt;0,0,IF(GJ11&lt;=InputData!$B$163,InputData!$C$163*GJ11,IF(GJ11&lt;=InputData!$B$164,InputData!$D$163+InputData!$C$164*(GJ11-InputData!$B$163),IF(GJ11&lt;=InputData!$B$165,InputData!$D$164+InputData!$C$165*(GJ11-InputData!$B$164),InputData!$D$165+InputData!$C$166*(GJ11-InputData!$B$165)))))</f>
        <v>0</v>
      </c>
      <c r="GR11" s="43">
        <f t="shared" si="85"/>
        <v>0.18363205599924048</v>
      </c>
      <c r="GS11" s="43">
        <f t="shared" si="86"/>
        <v>0.12911757095371013</v>
      </c>
      <c r="GT11" s="5">
        <f t="shared" si="87"/>
        <v>56232.662725698312</v>
      </c>
      <c r="GU11" s="32">
        <f>GT11/((1+InputData!$C$7)^(GenSurg!$B11-GenSurg!$B$7))</f>
        <v>49961.992501594294</v>
      </c>
      <c r="GV11" s="32">
        <f t="shared" si="88"/>
        <v>261213.54479899554</v>
      </c>
      <c r="GX11" s="3">
        <f t="shared" si="8"/>
        <v>1</v>
      </c>
      <c r="GY11" s="4" t="str">
        <f t="shared" si="9"/>
        <v>Internship/Residency (O3&lt;=2 = (BP+BAH+BAS+VSP)*12)</v>
      </c>
      <c r="GZ11" s="5">
        <f t="shared" si="10"/>
        <v>47226</v>
      </c>
      <c r="HA11" s="5">
        <f t="shared" si="11"/>
        <v>19939.199999999997</v>
      </c>
      <c r="HB11" s="5">
        <f t="shared" si="12"/>
        <v>67165.2</v>
      </c>
      <c r="HC11" s="5">
        <f t="shared" si="13"/>
        <v>45401.05772195461</v>
      </c>
      <c r="HD11" s="5">
        <f t="shared" si="14"/>
        <v>19168.694577766426</v>
      </c>
      <c r="HE11" s="32">
        <f>IF(HC11-InputData!$C$158-InputData!$C$159&gt;=0,HC11-InputData!$C$158-InputData!$C$159,0)</f>
        <v>45401.05772195461</v>
      </c>
      <c r="HF11" s="32">
        <f>IF(HC11-IF(HC11&lt;=InputData!$C$146,InputData!$C$145,0)-MAX(InputData!$C$144,HL11)&gt;=0,HC11-IF(HC11&lt;=InputData!$C$146,InputData!$C$145,0)-MAX(InputData!$C$144,HL11),0)</f>
        <v>35401.05772195461</v>
      </c>
      <c r="HG11" s="32">
        <f>IF(HF11&lt;0,"Error",IF(HF11&lt;=InputData!$B$170,InputData!$C$170*HF11,IF(HF11&lt;=InputData!$B$171,InputData!$D$170+InputData!$C$171*(HF11-InputData!$B$170),IF(HF11&lt;=InputData!$B$172,InputData!$D$171+InputData!$C$172*(HF11-InputData!$B$171),IF(HF11&lt;=InputData!$B$173,InputData!$D$172+InputData!$C$173*(HF11-InputData!$B$172),IF(HF11&lt;=InputData!$B$174,InputData!$D$173+InputData!$C$174*(HF11-InputData!$B$173),IF(HF11&lt;=InputData!$B$175,InputData!$D$174+InputData!$C$175*(HF11-InputData!$B$174),InputData!$D$175+InputData!$C$176*(HF11-InputData!$B$175))))))))</f>
        <v>4863.9086582931914</v>
      </c>
      <c r="HH11" s="32">
        <f>IF(HC11&lt;=InputData!$C$150,InputData!$C$152,IF(HC11&lt;InputData!$C$151,IF(InputData!$C$152-0.25*IF(HC11-InputData!$C$150&lt;=0,0,HC11-InputData!$C$150)&lt;=0,0,InputData!$C$152-0.25*IF(HC11-InputData!$C$150&lt;=0,0,HC11-InputData!$C$150)),0))</f>
        <v>51900</v>
      </c>
      <c r="HI11" s="32">
        <f>IF(HC11-HH11&lt;=0,0,IF(HC11-HH11&lt;=InputData!$C$153,InputData!$C$154*(HC11-HH11),InputData!$C$155*(HC11-HH11)-InputData!$D$154))</f>
        <v>0</v>
      </c>
      <c r="HJ11" s="32">
        <f t="shared" si="89"/>
        <v>4863.9086582931914</v>
      </c>
      <c r="HK11" s="32">
        <f>IF(HC11&gt;=0,IF(HC11&lt;=InputData!$C$148,InputData!$C$147*HC11,InputData!$C$147*InputData!$C$148)+InputData!$C$149*HC11,0)</f>
        <v>3473.1809157295279</v>
      </c>
      <c r="HL11" s="32">
        <f>IF(HE11&lt;0,0,IF(HE11&lt;=InputData!$B$163,InputData!$C$163*HE11,IF(HE11&lt;=InputData!$B$164,InputData!$D$163+InputData!$C$164*(HE11-InputData!$B$163),IF(HE11&lt;=InputData!$B$165,InputData!$D$164+InputData!$C$165*(HE11-InputData!$B$164),InputData!$D$165+InputData!$C$166*(HE11-InputData!$B$165)))))</f>
        <v>0</v>
      </c>
      <c r="HM11" s="43">
        <f t="shared" si="90"/>
        <v>0.18363205599924048</v>
      </c>
      <c r="HN11" s="43">
        <f t="shared" si="91"/>
        <v>0.12911757095371013</v>
      </c>
      <c r="HO11" s="5">
        <f t="shared" si="92"/>
        <v>56232.662725698312</v>
      </c>
      <c r="HP11" s="32">
        <f>HO11/((1+InputData!$C$7)^(GenSurg!$B11-GenSurg!$B$7))</f>
        <v>49961.992501594294</v>
      </c>
      <c r="HQ11" s="32">
        <f t="shared" si="93"/>
        <v>169089.82248832227</v>
      </c>
      <c r="HS11" s="93">
        <f t="shared" si="94"/>
        <v>1</v>
      </c>
      <c r="HT11" s="5" t="str">
        <f t="shared" si="95"/>
        <v>Internship/Residency (O3&lt;=2 = (BP+BAH+BAS+VSP)*12)</v>
      </c>
      <c r="HU11" s="5">
        <f t="shared" si="15"/>
        <v>47226</v>
      </c>
      <c r="HV11" s="5">
        <f t="shared" si="16"/>
        <v>19939.199999999997</v>
      </c>
      <c r="HW11" s="5">
        <f t="shared" si="17"/>
        <v>67165.2</v>
      </c>
      <c r="HX11" s="5">
        <f t="shared" si="18"/>
        <v>45401.05772195461</v>
      </c>
      <c r="HY11" s="5">
        <f t="shared" si="19"/>
        <v>19168.694577766426</v>
      </c>
      <c r="HZ11" s="32">
        <f>IF(HX11-InputData!$C$158-InputData!$C$159&gt;=0,HX11-InputData!$C$158-InputData!$C$159,0)</f>
        <v>45401.05772195461</v>
      </c>
      <c r="IA11" s="32">
        <f>IF(HX11-IF(HX11&lt;=InputData!$C$146,InputData!$C$145,0)-MAX(InputData!$C$144,IG11)&gt;=0,HX11-IF(HX11&lt;=InputData!$C$146,InputData!$C$145,0)-MAX(InputData!$C$144,IG11),0)</f>
        <v>35401.05772195461</v>
      </c>
      <c r="IB11" s="32">
        <f>IF(IA11&lt;0,"Error",IF(IA11&lt;=InputData!$B$170,InputData!$C$170*IA11,IF(IA11&lt;=InputData!$B$171,InputData!$D$170+InputData!$C$171*(IA11-InputData!$B$170),IF(IA11&lt;=InputData!$B$172,InputData!$D$171+InputData!$C$172*(IA11-InputData!$B$171),IF(IA11&lt;=InputData!$B$173,InputData!$D$172+InputData!$C$173*(IA11-InputData!$B$172),IF(IA11&lt;=InputData!$B$174,InputData!$D$173+InputData!$C$174*(IA11-InputData!$B$173),IF(IA11&lt;=InputData!$B$175,InputData!$D$174+InputData!$C$175*(IA11-InputData!$B$174),InputData!$D$175+InputData!$C$176*(IA11-InputData!$B$175))))))))</f>
        <v>4863.9086582931914</v>
      </c>
      <c r="IC11" s="32">
        <f>IF(HX11&lt;=InputData!$C$150,InputData!$C$152,IF(HX11&lt;InputData!$C$151,IF(InputData!$C$152-0.25*IF(HX11-InputData!$C$150&lt;=0,0,HX11-InputData!$C$150)&lt;=0,0,InputData!$C$152-0.25*IF(HX11-InputData!$C$150&lt;=0,0,HX11-InputData!$C$150)),0))</f>
        <v>51900</v>
      </c>
      <c r="ID11" s="32">
        <f>IF(HX11-IC11&lt;=0,0,IF(HX11-IC11&lt;=InputData!$C$153,InputData!$C$154*(HX11-IC11),InputData!$C$155*(HX11-IC11)-InputData!$D$154))</f>
        <v>0</v>
      </c>
      <c r="IE11" s="32">
        <f t="shared" si="96"/>
        <v>4863.9086582931914</v>
      </c>
      <c r="IF11" s="32">
        <f>IF(HX11&gt;=0,IF(HX11&lt;=InputData!$C$148,InputData!$C$147*HX11,InputData!$C$147*InputData!$C$148)+InputData!$C$149*HX11,0)</f>
        <v>3473.1809157295279</v>
      </c>
      <c r="IG11" s="32">
        <f>IF(HZ11&lt;0,0,IF(HZ11&lt;=InputData!$B$163,InputData!$C$163*HZ11,IF(HZ11&lt;=InputData!$B$164,InputData!$D$163+InputData!$C$164*(HZ11-InputData!$B$163),IF(HZ11&lt;=InputData!$B$165,InputData!$D$164+InputData!$C$165*(HZ11-InputData!$B$164),InputData!$D$165+InputData!$C$166*(HZ11-InputData!$B$165)))))</f>
        <v>0</v>
      </c>
      <c r="IH11" s="43">
        <f t="shared" si="97"/>
        <v>0.18363205599924048</v>
      </c>
      <c r="II11" s="43">
        <f t="shared" si="98"/>
        <v>0.12911757095371013</v>
      </c>
      <c r="IJ11" s="5">
        <f t="shared" si="20"/>
        <v>56232.662725698312</v>
      </c>
      <c r="IK11" s="32">
        <f>IJ11/((1+InputData!$C$7)^(GenSurg!$B11-GenSurg!$B$7))</f>
        <v>49961.992501594294</v>
      </c>
      <c r="IL11" s="5">
        <f t="shared" si="99"/>
        <v>261213.54479899554</v>
      </c>
      <c r="IN11" s="93">
        <f t="shared" si="100"/>
        <v>1</v>
      </c>
      <c r="IO11" s="5" t="str">
        <f t="shared" si="101"/>
        <v>Internship/Residency (O3&lt;=2 = (BP+BAH+BAS+VSP)*12)</v>
      </c>
      <c r="IP11" s="5">
        <f t="shared" si="21"/>
        <v>47226</v>
      </c>
      <c r="IQ11" s="5">
        <f t="shared" si="22"/>
        <v>19939.199999999997</v>
      </c>
      <c r="IR11" s="5">
        <f t="shared" si="23"/>
        <v>67165.2</v>
      </c>
      <c r="IS11" s="5">
        <f t="shared" si="24"/>
        <v>45401.05772195461</v>
      </c>
      <c r="IT11" s="5">
        <f t="shared" si="25"/>
        <v>19168.694577766426</v>
      </c>
      <c r="IU11" s="32">
        <f>IF(IS11-InputData!$C$158-InputData!$C$159&gt;=0,IS11-InputData!$C$158-InputData!$C$159,0)</f>
        <v>45401.05772195461</v>
      </c>
      <c r="IV11" s="32">
        <f>IF(IS11-IF(IS11&lt;=InputData!$C$146,InputData!$C$145,0)-MAX(InputData!$C$144,JB11)&gt;=0,IS11-IF(IS11&lt;=InputData!$C$146,InputData!$C$145,0)-MAX(InputData!$C$144,JB11),0)</f>
        <v>35401.05772195461</v>
      </c>
      <c r="IW11" s="32">
        <f>IF(IV11&lt;0,"Error",IF(IV11&lt;=InputData!$B$170,InputData!$C$170*IV11,IF(IV11&lt;=InputData!$B$171,InputData!$D$170+InputData!$C$171*(IV11-InputData!$B$170),IF(IV11&lt;=InputData!$B$172,InputData!$D$171+InputData!$C$172*(IV11-InputData!$B$171),IF(IV11&lt;=InputData!$B$173,InputData!$D$172+InputData!$C$173*(IV11-InputData!$B$172),IF(IV11&lt;=InputData!$B$174,InputData!$D$173+InputData!$C$174*(IV11-InputData!$B$173),IF(IV11&lt;=InputData!$B$175,InputData!$D$174+InputData!$C$175*(IV11-InputData!$B$174),InputData!$D$175+InputData!$C$176*(IV11-InputData!$B$175))))))))</f>
        <v>4863.9086582931914</v>
      </c>
      <c r="IX11" s="32">
        <f>IF(IS11&lt;=InputData!$C$150,InputData!$C$152,IF(IS11&lt;InputData!$C$151,IF(InputData!$C$152-0.25*IF(IS11-InputData!$C$150&lt;=0,0,IS11-InputData!$C$150)&lt;=0,0,InputData!$C$152-0.25*IF(IS11-InputData!$C$150&lt;=0,0,IS11-InputData!$C$150)),0))</f>
        <v>51900</v>
      </c>
      <c r="IY11" s="32">
        <f>IF(IS11-IX11&lt;=0,0,IF(IS11-IX11&lt;=InputData!$C$153,InputData!$C$154*(IS11-IX11),InputData!$C$155*(IS11-IX11)-InputData!$D$154))</f>
        <v>0</v>
      </c>
      <c r="IZ11" s="32">
        <f t="shared" si="102"/>
        <v>4863.9086582931914</v>
      </c>
      <c r="JA11" s="32">
        <f>IF(IS11&gt;=0,IF(IS11&lt;=InputData!$C$148,InputData!$C$147*IS11,InputData!$C$147*InputData!$C$148)+InputData!$C$149*IS11,0)</f>
        <v>3473.1809157295279</v>
      </c>
      <c r="JB11" s="32">
        <f>IF(IU11&lt;0,0,IF(IU11&lt;=InputData!$B$163,InputData!$C$163*IU11,IF(IU11&lt;=InputData!$B$164,InputData!$D$163+InputData!$C$164*(IU11-InputData!$B$163),IF(IU11&lt;=InputData!$B$165,InputData!$D$164+InputData!$C$165*(IU11-InputData!$B$164),InputData!$D$165+InputData!$C$166*(IU11-InputData!$B$165)))))</f>
        <v>0</v>
      </c>
      <c r="JC11" s="43">
        <f t="shared" si="103"/>
        <v>0.18363205599924048</v>
      </c>
      <c r="JD11" s="43">
        <f t="shared" si="104"/>
        <v>0.12911757095371013</v>
      </c>
      <c r="JE11" s="5">
        <f t="shared" si="105"/>
        <v>56232.662725698312</v>
      </c>
      <c r="JF11" s="32">
        <f>JE11/((1+InputData!$C$7)^(GenSurg!$B11-GenSurg!$B$7))</f>
        <v>49961.992501594294</v>
      </c>
      <c r="JG11" s="5">
        <f t="shared" si="106"/>
        <v>169089.82248832227</v>
      </c>
      <c r="JI11" s="41" t="str">
        <f t="shared" si="26"/>
        <v>Residency</v>
      </c>
      <c r="JJ11" s="5">
        <f t="shared" si="27"/>
        <v>54353.24848224</v>
      </c>
      <c r="JK11" s="32">
        <v>0</v>
      </c>
      <c r="JL11" s="32">
        <f t="shared" si="108"/>
        <v>54353.24848224</v>
      </c>
      <c r="JM11" s="32">
        <f>JM10*(1+InputData!$C$8)</f>
        <v>12437.145518400002</v>
      </c>
      <c r="JN11" s="32">
        <f>JJ11/((1+InputData!$C$3)^(GenSurg!$B11-GenSurg!$B$7))</f>
        <v>50214</v>
      </c>
      <c r="JO11" s="32">
        <f>JK11/((1+InputData!$C$3)^(GenSurg!$B11-GenSurg!$B$7))</f>
        <v>0</v>
      </c>
      <c r="JP11" s="126" t="s">
        <v>319</v>
      </c>
      <c r="JQ11" s="32">
        <v>0</v>
      </c>
      <c r="JR11" s="118">
        <f>JR10</f>
        <v>0</v>
      </c>
      <c r="JS11" s="118">
        <f>(0.5*JR10+0.5*(JU10+0.5*JR10*InputData!$C$6))*InputData!$C$6</f>
        <v>0</v>
      </c>
      <c r="JT11" s="32">
        <v>0</v>
      </c>
      <c r="JU11" s="118">
        <f>JU10+JQ11+JS11-JT11</f>
        <v>0</v>
      </c>
      <c r="JV11" s="32">
        <f>JT11/((1+InputData!$C$3)^(GenSurg!$B11-GenSurg!$B$7))</f>
        <v>0</v>
      </c>
      <c r="JW11" s="32">
        <f>IF(JN11-InputData!$C$158-InputData!$C$159&gt;=0,JN11-InputData!$C$158-InputData!$C$159,0)</f>
        <v>50214</v>
      </c>
      <c r="JX11" s="32">
        <f>IF(JN11-IF(JN11&lt;=InputData!$C$146,InputData!$C$145,0)-MAX(InputData!$C$144,KD11)&gt;=0,JN11-IF(JN11&lt;=InputData!$C$146,InputData!$C$145,0)-MAX(InputData!$C$144,KD11),0)</f>
        <v>40214</v>
      </c>
      <c r="JY11" s="32">
        <f>IF(JX11&lt;0,"Error",IF(JX11&lt;=InputData!$B$170,InputData!$C$170*JX11,IF(JX11&lt;=InputData!$B$171,InputData!$D$170+InputData!$C$171*(JX11-InputData!$B$170),IF(JX11&lt;=InputData!$B$172,InputData!$D$171+InputData!$C$172*(JX11-InputData!$B$171),IF(JX11&lt;=InputData!$B$173,InputData!$D$172+InputData!$C$173*(JX11-InputData!$B$172),IF(JX11&lt;=InputData!$B$174,InputData!$D$173+InputData!$C$174*(JX11-InputData!$B$173),IF(JX11&lt;=InputData!$B$175,InputData!$D$174+InputData!$C$175*(JX11-InputData!$B$174),InputData!$D$175+InputData!$C$176*(JX11-InputData!$B$175))))))))</f>
        <v>5982.25</v>
      </c>
      <c r="JZ11" s="32">
        <f>IF(JN11&lt;=InputData!$C$150,InputData!$C$152,IF(JN11&lt;InputData!$C$151,IF(InputData!$C$152-0.25*IF(JN11-InputData!$C$150&lt;=0,0,JN11-InputData!$C$150)&lt;=0,0,InputData!$C$152-0.25*IF(JN11-InputData!$C$150&lt;=0,0,JN11-InputData!$C$150)),0))</f>
        <v>51900</v>
      </c>
      <c r="KA11" s="32">
        <f>IF(JN11-JZ11&lt;=0,0,IF(JN11-JZ11&lt;=InputData!$C$153,InputData!$C$154*(JN11-JZ11),InputData!$C$155*(JN11-JZ11)-InputData!$D$154))</f>
        <v>0</v>
      </c>
      <c r="KB11" s="32">
        <f t="shared" si="109"/>
        <v>5982.25</v>
      </c>
      <c r="KC11" s="32">
        <f>IF(JN11&gt;=0,IF(JN11&lt;=InputData!$C$148,InputData!$C$147*JN11,InputData!$C$147*InputData!$C$148)+InputData!$C$149*JN11,0)</f>
        <v>3841.3710000000001</v>
      </c>
      <c r="KD11" s="32">
        <f>IF(JW11&lt;0,0,IF(JW11&lt;=InputData!$B$163,InputData!$C$163*JW11,IF(JW11&lt;=InputData!$B$164,InputData!$D$163+InputData!$C$164*(JW11-InputData!$B$163),IF(JW11&lt;=InputData!$B$165,InputData!$D$164+InputData!$C$165*(JW11-InputData!$B$164),InputData!$D$165+InputData!$C$166*(JW11-InputData!$B$165)))))</f>
        <v>0</v>
      </c>
      <c r="KE11" s="43">
        <f t="shared" si="28"/>
        <v>0.19563510176444815</v>
      </c>
      <c r="KF11" s="32">
        <f t="shared" si="29"/>
        <v>40390.379000000001</v>
      </c>
      <c r="KG11" s="32">
        <f t="shared" si="110"/>
        <v>40390.379000000001</v>
      </c>
      <c r="KH11" s="32">
        <f>KG11/((1+InputData!$C$7)^(GenSurg!$B11-GenSurg!$B$7))</f>
        <v>35886.328601905836</v>
      </c>
      <c r="KI11" s="5">
        <f t="shared" si="129"/>
        <v>35886.328601905836</v>
      </c>
    </row>
    <row r="12" spans="1:295" ht="14.45" x14ac:dyDescent="0.3">
      <c r="A12" s="4">
        <v>2018</v>
      </c>
      <c r="B12" s="51">
        <v>6</v>
      </c>
      <c r="C12" s="4"/>
      <c r="D12" s="3">
        <v>2</v>
      </c>
      <c r="E12" s="97" t="s">
        <v>257</v>
      </c>
      <c r="F12" s="5">
        <f>InputData!$C$24*12</f>
        <v>46026</v>
      </c>
      <c r="G12" s="5">
        <f>(InputData!$C$24+InputData!$D$45)*12</f>
        <v>51025.919999999998</v>
      </c>
      <c r="H12" s="5">
        <f>(InputData!$C$35+InputData!$C$40)*12</f>
        <v>19939.199999999997</v>
      </c>
      <c r="I12" s="5">
        <f t="shared" si="30"/>
        <v>70965.119999999995</v>
      </c>
      <c r="J12" s="5">
        <f>G12*((1+InputData!$C$5)/(1+InputData!$C$3))^(GenSurg!$B12-GenSurg!$B$7)</f>
        <v>48573.21545684366</v>
      </c>
      <c r="K12" s="5">
        <f>H12*((1+InputData!$C$5)/(1+InputData!$C$3))^(GenSurg!$B12-GenSurg!$B$7)</f>
        <v>18980.766199553032</v>
      </c>
      <c r="L12" s="32">
        <f>IF(J12-InputData!$C$158-InputData!$C$159&gt;=0,J12-InputData!$C$158-InputData!$C$159,0)</f>
        <v>48573.21545684366</v>
      </c>
      <c r="M12" s="32">
        <f>IF(J12-IF(J12&lt;=InputData!$C$146,InputData!$C$145,0)-MAX(InputData!$C$144,S12)&gt;=0,J12-IF(J12&lt;=InputData!$C$146,InputData!$C$145,0)-MAX(InputData!$C$144,S12),0)</f>
        <v>38573.21545684366</v>
      </c>
      <c r="N12" s="32">
        <f>IF(M12&lt;0,"Error",IF(M12&lt;=InputData!$B$170,InputData!$C$170*M12,IF(M12&lt;=InputData!$B$171,InputData!$D$170+InputData!$C$171*(M12-InputData!$B$170),IF(M12&lt;=InputData!$B$172,InputData!$D$171+InputData!$C$172*(M12-InputData!$B$171),IF(M12&lt;=InputData!$B$173,InputData!$D$172+InputData!$C$173*(M12-InputData!$B$172),IF(M12&lt;=InputData!$B$174,InputData!$D$173+InputData!$C$174*(M12-InputData!$B$173),IF(M12&lt;=InputData!$B$175,InputData!$D$174+InputData!$C$175*(M12-InputData!$B$174),InputData!$D$175+InputData!$C$176*(M12-InputData!$B$175))))))))</f>
        <v>5572.053864210915</v>
      </c>
      <c r="O12" s="32">
        <f>IF(J12&lt;=InputData!$C$150,InputData!$C$152,IF(J12&lt;InputData!$C$151,IF(InputData!$C$152-0.25*IF(J12-InputData!$C$150&lt;=0,0,J12-InputData!$C$150)&lt;=0,0,InputData!$C$152-0.25*IF(J12-InputData!$C$150&lt;=0,0,J12-InputData!$C$150)),0))</f>
        <v>51900</v>
      </c>
      <c r="P12" s="32">
        <f>IF(J12-O12&lt;=0,0,IF(J12-O12&lt;=InputData!$C$153,InputData!$C$154*(J12-O12),InputData!$C$155*(J12-O12)-InputData!$D$154))</f>
        <v>0</v>
      </c>
      <c r="Q12" s="32">
        <f t="shared" si="31"/>
        <v>5572.053864210915</v>
      </c>
      <c r="R12" s="32">
        <f>IF(J12&gt;=0,IF(J12&lt;=InputData!$C$148,InputData!$C$147*J12,InputData!$C$147*InputData!$C$148)+InputData!$C$149*J12,0)</f>
        <v>3715.85098244854</v>
      </c>
      <c r="S12" s="32">
        <f>IF(L12&lt;0,0,IF(L12&lt;=InputData!$B$163,InputData!$C$163*L12,IF(L12&lt;=InputData!$B$164,InputData!$D$163+InputData!$C$164*(L12-InputData!$B$163),IF(L12&lt;=InputData!$B$165,InputData!$D$164+InputData!$C$165*(L12-InputData!$B$164),InputData!$D$165+InputData!$C$166*(L12-InputData!$B$165)))))</f>
        <v>0</v>
      </c>
      <c r="T12" s="43">
        <f t="shared" si="32"/>
        <v>0.191214535815764</v>
      </c>
      <c r="U12" s="43">
        <f t="shared" si="33"/>
        <v>0.13748863677497211</v>
      </c>
      <c r="V12" s="5">
        <f t="shared" si="34"/>
        <v>58266.076809737235</v>
      </c>
      <c r="W12" s="32">
        <f>V12/((1+InputData!$C$7)^(GenSurg!$B12-GenSurg!$B$7))</f>
        <v>50260.829687681769</v>
      </c>
      <c r="X12" s="5">
        <f t="shared" si="111"/>
        <v>311474.37448667729</v>
      </c>
      <c r="Y12" s="53"/>
      <c r="Z12" s="3">
        <v>2</v>
      </c>
      <c r="AA12" s="97" t="s">
        <v>257</v>
      </c>
      <c r="AB12" s="5">
        <f t="shared" ref="AB12:AB30" si="133">F12</f>
        <v>46026</v>
      </c>
      <c r="AC12" s="5">
        <f t="shared" ref="AC12:AD19" si="134">G12</f>
        <v>51025.919999999998</v>
      </c>
      <c r="AD12" s="5">
        <f t="shared" si="134"/>
        <v>19939.199999999997</v>
      </c>
      <c r="AE12" s="5">
        <f t="shared" si="35"/>
        <v>70965.119999999995</v>
      </c>
      <c r="AF12" s="5">
        <f>AC12*((1+InputData!$C$5)/(1+InputData!$C$3))^(GenSurg!$B12-GenSurg!$B$7)</f>
        <v>48573.21545684366</v>
      </c>
      <c r="AG12" s="5">
        <f>AD12*((1+InputData!$C$5)/(1+InputData!$C$3))^(GenSurg!$B12-GenSurg!$B$7)</f>
        <v>18980.766199553032</v>
      </c>
      <c r="AH12" s="32">
        <f>IF(AF12-InputData!$C$158-InputData!$C$159&gt;=0,AF12-InputData!$C$158-InputData!$C$159,0)</f>
        <v>48573.21545684366</v>
      </c>
      <c r="AI12" s="32">
        <f>IF(AF12-IF(AF12&lt;=InputData!$C$146,InputData!$C$145,0)-MAX(InputData!$C$144,AO12)&gt;=0,AF12-IF(AF12&lt;=InputData!$C$146,InputData!$C$145,0)-MAX(InputData!$C$144,AO12),0)</f>
        <v>38573.21545684366</v>
      </c>
      <c r="AJ12" s="32">
        <f>IF(AI12&lt;0,"Error",IF(AI12&lt;=InputData!$B$170,InputData!$C$170*AI12,IF(AI12&lt;=InputData!$B$171,InputData!$D$170+InputData!$C$171*(AI12-InputData!$B$170),IF(AI12&lt;=InputData!$B$172,InputData!$D$171+InputData!$C$172*(AI12-InputData!$B$171),IF(AI12&lt;=InputData!$B$173,InputData!$D$172+InputData!$C$173*(AI12-InputData!$B$172),IF(AI12&lt;=InputData!$B$174,InputData!$D$173+InputData!$C$174*(AI12-InputData!$B$173),IF(AI12&lt;=InputData!$B$175,InputData!$D$174+InputData!$C$175*(AI12-InputData!$B$174),InputData!$D$175+InputData!$C$176*(AI12-InputData!$B$175))))))))</f>
        <v>5572.053864210915</v>
      </c>
      <c r="AK12" s="32">
        <f>IF(AF12&lt;=InputData!$C$150,InputData!$C$152,IF(AF12&lt;InputData!$C$151,IF(InputData!$C$152-0.25*IF(AF12-InputData!$C$150&lt;=0,0,AF12-InputData!$C$150)&lt;=0,0,InputData!$C$152-0.25*IF(AF12-InputData!$C$150&lt;=0,0,AF12-InputData!$C$150)),0))</f>
        <v>51900</v>
      </c>
      <c r="AL12" s="32">
        <f>IF(AF12-AK12&lt;=0,0,IF(AF12-AK12&lt;=InputData!$C$153,InputData!$C$154*(AF12-AK12),InputData!$C$155*(AF12-AK12)-InputData!$D$154))</f>
        <v>0</v>
      </c>
      <c r="AM12" s="32">
        <f t="shared" si="36"/>
        <v>5572.053864210915</v>
      </c>
      <c r="AN12" s="32">
        <f>IF(AF12&gt;=0,IF(AF12&lt;=InputData!$C$148,InputData!$C$147*AF12,InputData!$C$147*InputData!$C$148)+InputData!$C$149*AF12,0)</f>
        <v>3715.85098244854</v>
      </c>
      <c r="AO12" s="32">
        <f>IF(AH12&lt;0,0,IF(AH12&lt;=InputData!$B$163,InputData!$C$163*AH12,IF(AH12&lt;=InputData!$B$164,InputData!$D$163+InputData!$C$164*(AH12-InputData!$B$163),IF(AH12&lt;=InputData!$B$165,InputData!$D$164+InputData!$C$165*(AH12-InputData!$B$164),InputData!$D$165+InputData!$C$166*(AH12-InputData!$B$165)))))</f>
        <v>0</v>
      </c>
      <c r="AP12" s="43">
        <f t="shared" si="37"/>
        <v>0.191214535815764</v>
      </c>
      <c r="AQ12" s="43">
        <f t="shared" si="38"/>
        <v>0.13748863677497211</v>
      </c>
      <c r="AR12" s="5">
        <f t="shared" si="39"/>
        <v>58266.076809737235</v>
      </c>
      <c r="AS12" s="32">
        <f>AR12/((1+InputData!$C$7)^(GenSurg!$B12-GenSurg!$B$7))</f>
        <v>50260.829687681769</v>
      </c>
      <c r="AT12" s="5">
        <f t="shared" si="112"/>
        <v>219350.65217600405</v>
      </c>
      <c r="AU12" s="53"/>
      <c r="AV12" s="41" t="s">
        <v>1</v>
      </c>
      <c r="AW12" s="32">
        <f>AW11*(1+InputData!$C$9)</f>
        <v>57614.443391174405</v>
      </c>
      <c r="AX12" s="32">
        <v>0</v>
      </c>
      <c r="AY12" s="32">
        <f t="shared" si="41"/>
        <v>57614.443391174405</v>
      </c>
      <c r="AZ12" s="32">
        <f>AZ11*(1+InputData!$C$8)</f>
        <v>12685.888428768003</v>
      </c>
      <c r="BA12" s="32">
        <f>AW12/((1+InputData!$C$3)^(GenSurg!$B12-GenSurg!$B$7))</f>
        <v>52183.176470588238</v>
      </c>
      <c r="BB12" s="32">
        <f>AX12/((1+InputData!$C$3)^(GenSurg!$B12-GenSurg!$B$7))</f>
        <v>0</v>
      </c>
      <c r="BC12" s="32" t="s">
        <v>140</v>
      </c>
      <c r="BD12" s="32">
        <v>0</v>
      </c>
      <c r="BE12" s="118">
        <f>BH10+0.5*BE10*InputData!$C$6</f>
        <v>212416.2</v>
      </c>
      <c r="BF12" s="32">
        <f>(BE12)*InputData!$C$6</f>
        <v>13191.046020000002</v>
      </c>
      <c r="BG12" s="32">
        <v>0</v>
      </c>
      <c r="BH12" s="32">
        <f>BH11+BD12+BF12-BG12</f>
        <v>232202.76903000002</v>
      </c>
      <c r="BI12" s="32">
        <f>BG12/((1+InputData!$C$3)^(GenSurg!$B12-GenSurg!$B$7))</f>
        <v>0</v>
      </c>
      <c r="BJ12" s="32">
        <f>IF(BA12-InputData!$C$158-InputData!$C$159&gt;=0,BA12-InputData!$C$158-InputData!$C$159,0)</f>
        <v>52183.176470588238</v>
      </c>
      <c r="BK12" s="32">
        <f>IF(BA12-IF(BA12&lt;=InputData!$C$146,InputData!$C$145,0)-MAX(InputData!$C$144,BQ12)&gt;=0,BA12-IF(BA12&lt;=InputData!$C$146,InputData!$C$145,0)-MAX(InputData!$C$144,BQ12),0)</f>
        <v>42183.176470588238</v>
      </c>
      <c r="BL12" s="32">
        <f>IF(BK12&lt;0,"Error",IF(BK12&lt;=InputData!$B$170,InputData!$C$170*BK12,IF(BK12&lt;=InputData!$B$171,InputData!$D$170+InputData!$C$171*(BK12-InputData!$B$170),IF(BK12&lt;=InputData!$B$172,InputData!$D$171+InputData!$C$172*(BK12-InputData!$B$171),IF(BK12&lt;=InputData!$B$173,InputData!$D$172+InputData!$C$173*(BK12-InputData!$B$172),IF(BK12&lt;=InputData!$B$174,InputData!$D$173+InputData!$C$174*(BK12-InputData!$B$173),IF(BK12&lt;=InputData!$B$175,InputData!$D$174+InputData!$C$175*(BK12-InputData!$B$174),InputData!$D$175+InputData!$C$176*(BK12-InputData!$B$175))))))))</f>
        <v>6474.5441176470595</v>
      </c>
      <c r="BM12" s="32">
        <f>IF(BA12&lt;=InputData!$C$150,InputData!$C$152,IF(BA12&lt;InputData!$C$151,IF(InputData!$C$152-0.25*IF(BA12-InputData!$C$150&lt;=0,0,BA12-InputData!$C$150)&lt;=0,0,InputData!$C$152-0.25*IF(BA12-InputData!$C$150&lt;=0,0,BA12-InputData!$C$150)),0))</f>
        <v>51900</v>
      </c>
      <c r="BN12" s="32">
        <f>IF(BA12-BM12&lt;=0,0,IF(BA12-BM12&lt;=InputData!$C$153,InputData!$C$154*(BA12-BM12),InputData!$C$155*(BA12-BM12)-InputData!$D$154))</f>
        <v>73.625882352941844</v>
      </c>
      <c r="BO12" s="32">
        <f t="shared" si="42"/>
        <v>6474.5441176470595</v>
      </c>
      <c r="BP12" s="32">
        <f>IF(BA12&gt;=0,IF(BA12&lt;=InputData!$C$148,InputData!$C$147*BA12,InputData!$C$147*InputData!$C$148)+InputData!$C$149*BA12,0)</f>
        <v>3992.0129999999999</v>
      </c>
      <c r="BQ12" s="32">
        <f>IF(BJ12&lt;0,0,IF(BJ12&lt;=InputData!$B$163,InputData!$C$163*BJ12,IF(BJ12&lt;=InputData!$B$164,InputData!$D$163+InputData!$C$164*(BJ12-InputData!$B$163),IF(BJ12&lt;=InputData!$B$165,InputData!$D$164+InputData!$C$165*(BJ12-InputData!$B$164),InputData!$D$165+InputData!$C$166*(BJ12-InputData!$B$165)))))</f>
        <v>0</v>
      </c>
      <c r="BR12" s="43">
        <f t="shared" si="43"/>
        <v>0.20057339981107275</v>
      </c>
      <c r="BS12" s="32">
        <f t="shared" si="44"/>
        <v>41716.619352941183</v>
      </c>
      <c r="BT12" s="32">
        <f t="shared" si="45"/>
        <v>41716.619352941183</v>
      </c>
      <c r="BU12" s="32">
        <f>BT12/((1+InputData!$C$7)^(GenSurg!$B12-GenSurg!$B$7))</f>
        <v>35985.12230865749</v>
      </c>
      <c r="BV12" s="5">
        <f t="shared" si="114"/>
        <v>-118995.92937851879</v>
      </c>
      <c r="BW12" s="5"/>
      <c r="BX12" s="32" t="s">
        <v>140</v>
      </c>
      <c r="BY12" s="5">
        <f t="shared" si="46"/>
        <v>212416.2</v>
      </c>
      <c r="BZ12" s="5">
        <f t="shared" si="47"/>
        <v>13191.046020000002</v>
      </c>
      <c r="CA12" s="5">
        <v>0</v>
      </c>
      <c r="CB12" s="5">
        <f t="shared" si="48"/>
        <v>232202.76903000002</v>
      </c>
      <c r="CC12" s="32">
        <f>CA12/((1+InputData!$C$3)^(GenSurg!$B12-GenSurg!$B$7))</f>
        <v>0</v>
      </c>
      <c r="CD12" s="5">
        <f t="shared" si="49"/>
        <v>41716.619352941183</v>
      </c>
      <c r="CE12" s="32">
        <f>CD12/((1+InputData!$C$7)^(GenSurg!$B12-GenSurg!$B$7))</f>
        <v>35985.12230865749</v>
      </c>
      <c r="CF12" s="5">
        <f t="shared" si="115"/>
        <v>-118995.92937851879</v>
      </c>
      <c r="CG12" s="5"/>
      <c r="CH12" s="32" t="s">
        <v>140</v>
      </c>
      <c r="CI12" s="5">
        <f t="shared" si="50"/>
        <v>212416.2</v>
      </c>
      <c r="CJ12" s="5">
        <f t="shared" si="51"/>
        <v>13191.046020000002</v>
      </c>
      <c r="CK12" s="5">
        <v>0</v>
      </c>
      <c r="CL12" s="5">
        <f t="shared" si="52"/>
        <v>232202.76903000002</v>
      </c>
      <c r="CM12" s="32">
        <f>CK12/((1+InputData!$C$3)^(GenSurg!$B12-GenSurg!$B$7))</f>
        <v>0</v>
      </c>
      <c r="CN12" s="5">
        <f t="shared" si="53"/>
        <v>41716.619352941183</v>
      </c>
      <c r="CO12" s="32">
        <f>CN12/((1+InputData!$C$7)^(GenSurg!$B12-GenSurg!$B$7))</f>
        <v>35985.12230865749</v>
      </c>
      <c r="CP12" s="5">
        <f t="shared" si="116"/>
        <v>-118995.92937851879</v>
      </c>
      <c r="CQ12" s="5"/>
      <c r="CR12" s="32" t="s">
        <v>140</v>
      </c>
      <c r="CS12" s="5">
        <f t="shared" si="54"/>
        <v>212416.2</v>
      </c>
      <c r="CT12" s="5">
        <f t="shared" si="55"/>
        <v>13191.046020000002</v>
      </c>
      <c r="CU12" s="5">
        <v>0</v>
      </c>
      <c r="CV12" s="5">
        <f t="shared" si="56"/>
        <v>232202.76903000002</v>
      </c>
      <c r="CW12" s="32">
        <f>CU12/((1+InputData!$C$3)^(GenSurg!$B12-GenSurg!$B$7))</f>
        <v>0</v>
      </c>
      <c r="CX12" s="5">
        <f t="shared" si="57"/>
        <v>41716.619352941183</v>
      </c>
      <c r="CY12" s="32">
        <f>CX12/((1+InputData!$C$7)^(GenSurg!$B12-GenSurg!$B$7))</f>
        <v>35985.12230865749</v>
      </c>
      <c r="CZ12" s="5">
        <f t="shared" si="117"/>
        <v>-118995.92937851879</v>
      </c>
      <c r="DA12" s="5"/>
      <c r="DB12" s="32" t="s">
        <v>141</v>
      </c>
      <c r="DC12" s="5">
        <f>DF11</f>
        <v>204437.53302805533</v>
      </c>
      <c r="DD12" s="5">
        <f>DC12*InputData!$C$6</f>
        <v>12695.570801042237</v>
      </c>
      <c r="DE12" s="32">
        <f>MIN($DD$2,DC12+DD12)</f>
        <v>29148.379963889372</v>
      </c>
      <c r="DF12" s="32">
        <f>DF11+$BD12+DD12-DE12</f>
        <v>187984.72386520819</v>
      </c>
      <c r="DG12" s="32">
        <f>DE12/((1+InputData!$C$3)^(GenSurg!$B12-GenSurg!$B$7))</f>
        <v>26400.585789923614</v>
      </c>
      <c r="DH12" s="5">
        <f t="shared" si="61"/>
        <v>15316.033563017569</v>
      </c>
      <c r="DI12" s="32">
        <f>DH12/((1+InputData!$C$7)^(GenSurg!$B12-GenSurg!$B$7))</f>
        <v>13211.745093381642</v>
      </c>
      <c r="DJ12" s="5">
        <f t="shared" si="118"/>
        <v>-153732.16164497906</v>
      </c>
      <c r="DK12" s="5"/>
      <c r="DL12" s="32" t="s">
        <v>141</v>
      </c>
      <c r="DM12" s="133">
        <f>IF(0.15*($AY12-1.5*$AZ12)&lt;=$DD$2,DQ11-DO11,DQ11)</f>
        <v>212416.2</v>
      </c>
      <c r="DN12" s="5">
        <f>DM12*InputData!$C$6</f>
        <v>13191.046020000002</v>
      </c>
      <c r="DO12" s="133">
        <f>DO11+DN12-DP12</f>
        <v>8644.0978871006446</v>
      </c>
      <c r="DP12" s="32">
        <f t="shared" si="130"/>
        <v>5787.8416122033605</v>
      </c>
      <c r="DQ12" s="32">
        <f t="shared" si="131"/>
        <v>221060.29788710066</v>
      </c>
      <c r="DR12" s="32">
        <f>DP12/((1+InputData!$C$3)^(GenSurg!$B12-GenSurg!$B$7))</f>
        <v>5242.2264705882353</v>
      </c>
      <c r="DS12" s="5">
        <f t="shared" si="65"/>
        <v>36474.39288235295</v>
      </c>
      <c r="DT12" s="32">
        <f>DS12/((1+InputData!$C$7)^(GenSurg!$B12-GenSurg!$B$7))</f>
        <v>31463.131705396885</v>
      </c>
      <c r="DU12" s="5">
        <f t="shared" si="120"/>
        <v>-127913.13213476112</v>
      </c>
      <c r="DV12" s="5"/>
      <c r="DW12" s="32" t="s">
        <v>141</v>
      </c>
      <c r="DX12" s="133">
        <f>IF(0.1*($AY12-1.5*$AZ12)&lt;=$DD$2,EB11-DZ11,MIN(EB11,1.1*$DC$2))</f>
        <v>212416.2</v>
      </c>
      <c r="DY12" s="5">
        <f>DX12*InputData!$C$6</f>
        <v>13191.046020000002</v>
      </c>
      <c r="DZ12" s="133">
        <f>MAX(0,DZ11+DY12-EA12)</f>
        <v>12358.254934733763</v>
      </c>
      <c r="EA12" s="32">
        <f>IF(0.1*($AY$11-1.5*$AZ12)&lt;=$DD$2,MIN(0.1*($AY12-1.5*$AZ12),$DD$2, DX12+DY12),"DNQ")</f>
        <v>3858.5610748022405</v>
      </c>
      <c r="EB12" s="32">
        <f>EB11+$BD12+DY12-EA12</f>
        <v>224774.45493473377</v>
      </c>
      <c r="EC12" s="32">
        <f>EA12/((1+InputData!$C$3)^(GenSurg!$B12-GenSurg!$B$7))</f>
        <v>3494.8176470588237</v>
      </c>
      <c r="ED12" s="5">
        <f t="shared" si="69"/>
        <v>38221.801705882361</v>
      </c>
      <c r="EE12" s="32">
        <f>ED12/((1+InputData!$C$7)^(GenSurg!$B12-GenSurg!$B$7))</f>
        <v>32970.461906483753</v>
      </c>
      <c r="EF12" s="5">
        <f t="shared" si="122"/>
        <v>-124940.73121601369</v>
      </c>
      <c r="EG12" s="32"/>
      <c r="EH12" s="130" t="s">
        <v>140</v>
      </c>
      <c r="EI12" s="32">
        <v>0</v>
      </c>
      <c r="EJ12" s="32">
        <f t="shared" ref="EJ12:EJ15" si="135">EJ$10</f>
        <v>185472.36</v>
      </c>
      <c r="EK12" s="32">
        <f>(EJ12)*InputData!$C$6</f>
        <v>11517.833556</v>
      </c>
      <c r="EL12" s="32">
        <f t="shared" si="132"/>
        <v>237017.53846799998</v>
      </c>
      <c r="EM12" s="32">
        <f>EM11*(1+InputData!$C$8)</f>
        <v>12685.888428768003</v>
      </c>
      <c r="EN12" s="32">
        <v>0</v>
      </c>
      <c r="EO12" s="32">
        <f>AW12/((1+InputData!$C$3)^(GenSurg!$B12-GenSurg!$B$7))</f>
        <v>52183.176470588238</v>
      </c>
      <c r="EP12" s="32">
        <f>AX12/((1+InputData!$C$3)^(GenSurg!$B12-GenSurg!$B$7))</f>
        <v>0</v>
      </c>
      <c r="EQ12" s="32">
        <v>6638.3</v>
      </c>
      <c r="ER12" s="32">
        <v>3470.18</v>
      </c>
      <c r="ES12" s="32">
        <v>0</v>
      </c>
      <c r="ET12" s="43">
        <f t="shared" ref="ET12:ET36" si="136">(EQ12+ER12+ES12)/(EO12+EP12)</f>
        <v>0.19371147338448044</v>
      </c>
      <c r="EU12" s="32">
        <f t="shared" si="70"/>
        <v>42074.696470588235</v>
      </c>
      <c r="EV12" s="32">
        <f>EN12/((1+InputData!$C$3)^(GenSurg!$B12-GenSurg!$B$7))</f>
        <v>0</v>
      </c>
      <c r="EW12" s="32">
        <f t="shared" si="71"/>
        <v>42074.696470588235</v>
      </c>
      <c r="EX12" s="32">
        <f>EW12/((1+InputData!$C$7)^(GenSurg!$B12-GenSurg!$B$7))</f>
        <v>36294.002775826797</v>
      </c>
      <c r="EY12" s="5">
        <f t="shared" si="124"/>
        <v>-118386.39289071826</v>
      </c>
      <c r="EZ12" s="79"/>
      <c r="FA12" s="32">
        <f t="shared" si="72"/>
        <v>185472.36</v>
      </c>
      <c r="FB12" s="32">
        <f t="shared" si="73"/>
        <v>11517.833556</v>
      </c>
      <c r="FC12" s="32">
        <f t="shared" si="74"/>
        <v>237017.53846799998</v>
      </c>
      <c r="FD12" s="32">
        <v>0</v>
      </c>
      <c r="FE12" s="32">
        <f>FD12/((1+InputData!$C$3)^(GenSurg!$B12-GenSurg!$B$7))</f>
        <v>0</v>
      </c>
      <c r="FF12" s="5">
        <f t="shared" si="75"/>
        <v>42074.696470588235</v>
      </c>
      <c r="FG12" s="32">
        <f>FF12/((1+InputData!$C$7)^(GenSurg!$B12-GenSurg!$B$7))</f>
        <v>36294.002775826797</v>
      </c>
      <c r="FH12" s="5">
        <f t="shared" si="125"/>
        <v>-118386.39289071826</v>
      </c>
      <c r="FI12" s="79"/>
      <c r="FJ12" s="32">
        <f t="shared" si="76"/>
        <v>185472.36</v>
      </c>
      <c r="FK12" s="32">
        <f t="shared" si="77"/>
        <v>11517.833556</v>
      </c>
      <c r="FL12" s="32">
        <f t="shared" si="78"/>
        <v>237017.53846799998</v>
      </c>
      <c r="FM12" s="32">
        <v>0</v>
      </c>
      <c r="FN12" s="32">
        <f>FM12/((1+InputData!$C$3)^(GenSurg!$B12-GenSurg!$B$7))</f>
        <v>0</v>
      </c>
      <c r="FO12" s="5">
        <f t="shared" si="79"/>
        <v>42074.696470588235</v>
      </c>
      <c r="FP12" s="32">
        <f>FO12/((1+InputData!$C$7)^(GenSurg!$B12-GenSurg!$B$7))</f>
        <v>36294.002775826797</v>
      </c>
      <c r="FQ12" s="5">
        <f t="shared" si="126"/>
        <v>-118386.39289071826</v>
      </c>
      <c r="FR12" s="79"/>
      <c r="FS12" s="32">
        <f t="shared" si="80"/>
        <v>185472.36</v>
      </c>
      <c r="FT12" s="32">
        <f t="shared" si="81"/>
        <v>11517.833556</v>
      </c>
      <c r="FU12" s="32">
        <f t="shared" si="82"/>
        <v>237017.53846799998</v>
      </c>
      <c r="FV12" s="32">
        <v>0</v>
      </c>
      <c r="FW12" s="32">
        <f>FV12/((1+InputData!$C$3)^(GenSurg!$B12-GenSurg!$B$7))</f>
        <v>0</v>
      </c>
      <c r="FX12" s="5">
        <f t="shared" si="83"/>
        <v>42074.696470588235</v>
      </c>
      <c r="FY12" s="32">
        <f>FX12/((1+InputData!$C$7)^(GenSurg!$B12-GenSurg!$B$7))</f>
        <v>36294.002775826797</v>
      </c>
      <c r="FZ12" s="5">
        <f t="shared" si="127"/>
        <v>-118386.39289071826</v>
      </c>
      <c r="GC12" s="3">
        <f t="shared" si="1"/>
        <v>2</v>
      </c>
      <c r="GD12" s="4" t="str">
        <f t="shared" si="2"/>
        <v>Residency (O3&lt;=2 = (BP+BAH+BAS+VSP)*12)</v>
      </c>
      <c r="GE12" s="5">
        <f t="shared" si="3"/>
        <v>51025.919999999998</v>
      </c>
      <c r="GF12" s="5">
        <f t="shared" si="4"/>
        <v>19939.199999999997</v>
      </c>
      <c r="GG12" s="5">
        <f t="shared" si="5"/>
        <v>70965.119999999995</v>
      </c>
      <c r="GH12" s="5">
        <f t="shared" si="6"/>
        <v>48573.21545684366</v>
      </c>
      <c r="GI12" s="5">
        <f t="shared" si="7"/>
        <v>18980.766199553032</v>
      </c>
      <c r="GJ12" s="32">
        <f>IF(GH12-InputData!$C$158-InputData!$C$159&gt;=0,GH12-InputData!$C$158-InputData!$C$159,0)</f>
        <v>48573.21545684366</v>
      </c>
      <c r="GK12" s="32">
        <f>IF(GH12-IF(GH12&lt;=InputData!$C$146,InputData!$C$145,0)-MAX(InputData!$C$144,GQ12)&gt;=0,GH12-IF(GH12&lt;=InputData!$C$146,InputData!$C$145,0)-MAX(InputData!$C$144,GQ12),0)</f>
        <v>38573.21545684366</v>
      </c>
      <c r="GL12" s="32">
        <f>IF(GK12&lt;0,"Error",IF(GK12&lt;=InputData!$B$170,InputData!$C$170*GK12,IF(GK12&lt;=InputData!$B$171,InputData!$D$170+InputData!$C$171*(GK12-InputData!$B$170),IF(GK12&lt;=InputData!$B$172,InputData!$D$171+InputData!$C$172*(GK12-InputData!$B$171),IF(GK12&lt;=InputData!$B$173,InputData!$D$172+InputData!$C$173*(GK12-InputData!$B$172),IF(GK12&lt;=InputData!$B$174,InputData!$D$173+InputData!$C$174*(GK12-InputData!$B$173),IF(GK12&lt;=InputData!$B$175,InputData!$D$174+InputData!$C$175*(GK12-InputData!$B$174),InputData!$D$175+InputData!$C$176*(GK12-InputData!$B$175))))))))</f>
        <v>5572.053864210915</v>
      </c>
      <c r="GM12" s="32">
        <f>IF(GH12&lt;=InputData!$C$150,InputData!$C$152,IF(GH12&lt;InputData!$C$151,IF(InputData!$C$152-0.25*IF(GH12-InputData!$C$150&lt;=0,0,GH12-InputData!$C$150)&lt;=0,0,InputData!$C$152-0.25*IF(GH12-InputData!$C$150&lt;=0,0,GH12-InputData!$C$150)),0))</f>
        <v>51900</v>
      </c>
      <c r="GN12" s="32">
        <f>IF(GH12-GM12&lt;=0,0,IF(GH12-GM12&lt;=InputData!$C$153,InputData!$C$154*(GH12-GM12),InputData!$C$155*(GH12-GM12)-InputData!$D$154))</f>
        <v>0</v>
      </c>
      <c r="GO12" s="32">
        <f t="shared" si="84"/>
        <v>5572.053864210915</v>
      </c>
      <c r="GP12" s="32">
        <f>IF(GH12&gt;=0,IF(GH12&lt;=InputData!$C$148,InputData!$C$147*GH12,InputData!$C$147*InputData!$C$148)+InputData!$C$149*GH12,0)</f>
        <v>3715.85098244854</v>
      </c>
      <c r="GQ12" s="32">
        <f>IF(GJ12&lt;0,0,IF(GJ12&lt;=InputData!$B$163,InputData!$C$163*GJ12,IF(GJ12&lt;=InputData!$B$164,InputData!$D$163+InputData!$C$164*(GJ12-InputData!$B$163),IF(GJ12&lt;=InputData!$B$165,InputData!$D$164+InputData!$C$165*(GJ12-InputData!$B$164),InputData!$D$165+InputData!$C$166*(GJ12-InputData!$B$165)))))</f>
        <v>0</v>
      </c>
      <c r="GR12" s="43">
        <f t="shared" si="85"/>
        <v>0.191214535815764</v>
      </c>
      <c r="GS12" s="43">
        <f t="shared" si="86"/>
        <v>0.13748863677497211</v>
      </c>
      <c r="GT12" s="5">
        <f t="shared" si="87"/>
        <v>58266.076809737235</v>
      </c>
      <c r="GU12" s="32">
        <f>GT12/((1+InputData!$C$7)^(GenSurg!$B12-GenSurg!$B$7))</f>
        <v>50260.829687681769</v>
      </c>
      <c r="GV12" s="32">
        <f t="shared" si="88"/>
        <v>311474.37448667729</v>
      </c>
      <c r="GX12" s="3">
        <f t="shared" si="8"/>
        <v>2</v>
      </c>
      <c r="GY12" s="4" t="str">
        <f t="shared" si="9"/>
        <v>Residency (O3&lt;=2 = (BP+BAH+BAS+VSP)*12)</v>
      </c>
      <c r="GZ12" s="5">
        <f t="shared" si="10"/>
        <v>51025.919999999998</v>
      </c>
      <c r="HA12" s="5">
        <f t="shared" si="11"/>
        <v>19939.199999999997</v>
      </c>
      <c r="HB12" s="5">
        <f t="shared" si="12"/>
        <v>70965.119999999995</v>
      </c>
      <c r="HC12" s="5">
        <f t="shared" si="13"/>
        <v>48573.21545684366</v>
      </c>
      <c r="HD12" s="5">
        <f t="shared" si="14"/>
        <v>18980.766199553032</v>
      </c>
      <c r="HE12" s="32">
        <f>IF(HC12-InputData!$C$158-InputData!$C$159&gt;=0,HC12-InputData!$C$158-InputData!$C$159,0)</f>
        <v>48573.21545684366</v>
      </c>
      <c r="HF12" s="32">
        <f>IF(HC12-IF(HC12&lt;=InputData!$C$146,InputData!$C$145,0)-MAX(InputData!$C$144,HL12)&gt;=0,HC12-IF(HC12&lt;=InputData!$C$146,InputData!$C$145,0)-MAX(InputData!$C$144,HL12),0)</f>
        <v>38573.21545684366</v>
      </c>
      <c r="HG12" s="32">
        <f>IF(HF12&lt;0,"Error",IF(HF12&lt;=InputData!$B$170,InputData!$C$170*HF12,IF(HF12&lt;=InputData!$B$171,InputData!$D$170+InputData!$C$171*(HF12-InputData!$B$170),IF(HF12&lt;=InputData!$B$172,InputData!$D$171+InputData!$C$172*(HF12-InputData!$B$171),IF(HF12&lt;=InputData!$B$173,InputData!$D$172+InputData!$C$173*(HF12-InputData!$B$172),IF(HF12&lt;=InputData!$B$174,InputData!$D$173+InputData!$C$174*(HF12-InputData!$B$173),IF(HF12&lt;=InputData!$B$175,InputData!$D$174+InputData!$C$175*(HF12-InputData!$B$174),InputData!$D$175+InputData!$C$176*(HF12-InputData!$B$175))))))))</f>
        <v>5572.053864210915</v>
      </c>
      <c r="HH12" s="32">
        <f>IF(HC12&lt;=InputData!$C$150,InputData!$C$152,IF(HC12&lt;InputData!$C$151,IF(InputData!$C$152-0.25*IF(HC12-InputData!$C$150&lt;=0,0,HC12-InputData!$C$150)&lt;=0,0,InputData!$C$152-0.25*IF(HC12-InputData!$C$150&lt;=0,0,HC12-InputData!$C$150)),0))</f>
        <v>51900</v>
      </c>
      <c r="HI12" s="32">
        <f>IF(HC12-HH12&lt;=0,0,IF(HC12-HH12&lt;=InputData!$C$153,InputData!$C$154*(HC12-HH12),InputData!$C$155*(HC12-HH12)-InputData!$D$154))</f>
        <v>0</v>
      </c>
      <c r="HJ12" s="32">
        <f t="shared" si="89"/>
        <v>5572.053864210915</v>
      </c>
      <c r="HK12" s="32">
        <f>IF(HC12&gt;=0,IF(HC12&lt;=InputData!$C$148,InputData!$C$147*HC12,InputData!$C$147*InputData!$C$148)+InputData!$C$149*HC12,0)</f>
        <v>3715.85098244854</v>
      </c>
      <c r="HL12" s="32">
        <f>IF(HE12&lt;0,0,IF(HE12&lt;=InputData!$B$163,InputData!$C$163*HE12,IF(HE12&lt;=InputData!$B$164,InputData!$D$163+InputData!$C$164*(HE12-InputData!$B$163),IF(HE12&lt;=InputData!$B$165,InputData!$D$164+InputData!$C$165*(HE12-InputData!$B$164),InputData!$D$165+InputData!$C$166*(HE12-InputData!$B$165)))))</f>
        <v>0</v>
      </c>
      <c r="HM12" s="43">
        <f t="shared" si="90"/>
        <v>0.191214535815764</v>
      </c>
      <c r="HN12" s="43">
        <f t="shared" si="91"/>
        <v>0.13748863677497211</v>
      </c>
      <c r="HO12" s="5">
        <f t="shared" si="92"/>
        <v>58266.076809737235</v>
      </c>
      <c r="HP12" s="32">
        <f>HO12/((1+InputData!$C$7)^(GenSurg!$B12-GenSurg!$B$7))</f>
        <v>50260.829687681769</v>
      </c>
      <c r="HQ12" s="32">
        <f t="shared" si="93"/>
        <v>219350.65217600405</v>
      </c>
      <c r="HS12" s="93">
        <f t="shared" si="94"/>
        <v>2</v>
      </c>
      <c r="HT12" s="5" t="str">
        <f t="shared" si="95"/>
        <v>Residency (O3&lt;=2 = (BP+BAH+BAS+VSP)*12)</v>
      </c>
      <c r="HU12" s="5">
        <f t="shared" si="15"/>
        <v>51025.919999999998</v>
      </c>
      <c r="HV12" s="5">
        <f t="shared" si="16"/>
        <v>19939.199999999997</v>
      </c>
      <c r="HW12" s="5">
        <f t="shared" si="17"/>
        <v>70965.119999999995</v>
      </c>
      <c r="HX12" s="5">
        <f t="shared" si="18"/>
        <v>48573.21545684366</v>
      </c>
      <c r="HY12" s="5">
        <f t="shared" si="19"/>
        <v>18980.766199553032</v>
      </c>
      <c r="HZ12" s="32">
        <f>IF(HX12-InputData!$C$158-InputData!$C$159&gt;=0,HX12-InputData!$C$158-InputData!$C$159,0)</f>
        <v>48573.21545684366</v>
      </c>
      <c r="IA12" s="32">
        <f>IF(HX12-IF(HX12&lt;=InputData!$C$146,InputData!$C$145,0)-MAX(InputData!$C$144,IG12)&gt;=0,HX12-IF(HX12&lt;=InputData!$C$146,InputData!$C$145,0)-MAX(InputData!$C$144,IG12),0)</f>
        <v>38573.21545684366</v>
      </c>
      <c r="IB12" s="32">
        <f>IF(IA12&lt;0,"Error",IF(IA12&lt;=InputData!$B$170,InputData!$C$170*IA12,IF(IA12&lt;=InputData!$B$171,InputData!$D$170+InputData!$C$171*(IA12-InputData!$B$170),IF(IA12&lt;=InputData!$B$172,InputData!$D$171+InputData!$C$172*(IA12-InputData!$B$171),IF(IA12&lt;=InputData!$B$173,InputData!$D$172+InputData!$C$173*(IA12-InputData!$B$172),IF(IA12&lt;=InputData!$B$174,InputData!$D$173+InputData!$C$174*(IA12-InputData!$B$173),IF(IA12&lt;=InputData!$B$175,InputData!$D$174+InputData!$C$175*(IA12-InputData!$B$174),InputData!$D$175+InputData!$C$176*(IA12-InputData!$B$175))))))))</f>
        <v>5572.053864210915</v>
      </c>
      <c r="IC12" s="32">
        <f>IF(HX12&lt;=InputData!$C$150,InputData!$C$152,IF(HX12&lt;InputData!$C$151,IF(InputData!$C$152-0.25*IF(HX12-InputData!$C$150&lt;=0,0,HX12-InputData!$C$150)&lt;=0,0,InputData!$C$152-0.25*IF(HX12-InputData!$C$150&lt;=0,0,HX12-InputData!$C$150)),0))</f>
        <v>51900</v>
      </c>
      <c r="ID12" s="32">
        <f>IF(HX12-IC12&lt;=0,0,IF(HX12-IC12&lt;=InputData!$C$153,InputData!$C$154*(HX12-IC12),InputData!$C$155*(HX12-IC12)-InputData!$D$154))</f>
        <v>0</v>
      </c>
      <c r="IE12" s="32">
        <f t="shared" si="96"/>
        <v>5572.053864210915</v>
      </c>
      <c r="IF12" s="32">
        <f>IF(HX12&gt;=0,IF(HX12&lt;=InputData!$C$148,InputData!$C$147*HX12,InputData!$C$147*InputData!$C$148)+InputData!$C$149*HX12,0)</f>
        <v>3715.85098244854</v>
      </c>
      <c r="IG12" s="32">
        <f>IF(HZ12&lt;0,0,IF(HZ12&lt;=InputData!$B$163,InputData!$C$163*HZ12,IF(HZ12&lt;=InputData!$B$164,InputData!$D$163+InputData!$C$164*(HZ12-InputData!$B$163),IF(HZ12&lt;=InputData!$B$165,InputData!$D$164+InputData!$C$165*(HZ12-InputData!$B$164),InputData!$D$165+InputData!$C$166*(HZ12-InputData!$B$165)))))</f>
        <v>0</v>
      </c>
      <c r="IH12" s="43">
        <f t="shared" si="97"/>
        <v>0.191214535815764</v>
      </c>
      <c r="II12" s="43">
        <f t="shared" si="98"/>
        <v>0.13748863677497211</v>
      </c>
      <c r="IJ12" s="5">
        <f t="shared" si="20"/>
        <v>58266.076809737235</v>
      </c>
      <c r="IK12" s="32">
        <f>IJ12/((1+InputData!$C$7)^(GenSurg!$B12-GenSurg!$B$7))</f>
        <v>50260.829687681769</v>
      </c>
      <c r="IL12" s="5">
        <f t="shared" si="99"/>
        <v>311474.37448667729</v>
      </c>
      <c r="IN12" s="93">
        <f t="shared" si="100"/>
        <v>2</v>
      </c>
      <c r="IO12" s="5" t="str">
        <f t="shared" si="101"/>
        <v>Residency (O3&lt;=2 = (BP+BAH+BAS+VSP)*12)</v>
      </c>
      <c r="IP12" s="5">
        <f t="shared" si="21"/>
        <v>51025.919999999998</v>
      </c>
      <c r="IQ12" s="5">
        <f t="shared" si="22"/>
        <v>19939.199999999997</v>
      </c>
      <c r="IR12" s="5">
        <f t="shared" si="23"/>
        <v>70965.119999999995</v>
      </c>
      <c r="IS12" s="5">
        <f t="shared" si="24"/>
        <v>48573.21545684366</v>
      </c>
      <c r="IT12" s="5">
        <f t="shared" si="25"/>
        <v>18980.766199553032</v>
      </c>
      <c r="IU12" s="32">
        <f>IF(IS12-InputData!$C$158-InputData!$C$159&gt;=0,IS12-InputData!$C$158-InputData!$C$159,0)</f>
        <v>48573.21545684366</v>
      </c>
      <c r="IV12" s="32">
        <f>IF(IS12-IF(IS12&lt;=InputData!$C$146,InputData!$C$145,0)-MAX(InputData!$C$144,JB12)&gt;=0,IS12-IF(IS12&lt;=InputData!$C$146,InputData!$C$145,0)-MAX(InputData!$C$144,JB12),0)</f>
        <v>38573.21545684366</v>
      </c>
      <c r="IW12" s="32">
        <f>IF(IV12&lt;0,"Error",IF(IV12&lt;=InputData!$B$170,InputData!$C$170*IV12,IF(IV12&lt;=InputData!$B$171,InputData!$D$170+InputData!$C$171*(IV12-InputData!$B$170),IF(IV12&lt;=InputData!$B$172,InputData!$D$171+InputData!$C$172*(IV12-InputData!$B$171),IF(IV12&lt;=InputData!$B$173,InputData!$D$172+InputData!$C$173*(IV12-InputData!$B$172),IF(IV12&lt;=InputData!$B$174,InputData!$D$173+InputData!$C$174*(IV12-InputData!$B$173),IF(IV12&lt;=InputData!$B$175,InputData!$D$174+InputData!$C$175*(IV12-InputData!$B$174),InputData!$D$175+InputData!$C$176*(IV12-InputData!$B$175))))))))</f>
        <v>5572.053864210915</v>
      </c>
      <c r="IX12" s="32">
        <f>IF(IS12&lt;=InputData!$C$150,InputData!$C$152,IF(IS12&lt;InputData!$C$151,IF(InputData!$C$152-0.25*IF(IS12-InputData!$C$150&lt;=0,0,IS12-InputData!$C$150)&lt;=0,0,InputData!$C$152-0.25*IF(IS12-InputData!$C$150&lt;=0,0,IS12-InputData!$C$150)),0))</f>
        <v>51900</v>
      </c>
      <c r="IY12" s="32">
        <f>IF(IS12-IX12&lt;=0,0,IF(IS12-IX12&lt;=InputData!$C$153,InputData!$C$154*(IS12-IX12),InputData!$C$155*(IS12-IX12)-InputData!$D$154))</f>
        <v>0</v>
      </c>
      <c r="IZ12" s="32">
        <f t="shared" si="102"/>
        <v>5572.053864210915</v>
      </c>
      <c r="JA12" s="32">
        <f>IF(IS12&gt;=0,IF(IS12&lt;=InputData!$C$148,InputData!$C$147*IS12,InputData!$C$147*InputData!$C$148)+InputData!$C$149*IS12,0)</f>
        <v>3715.85098244854</v>
      </c>
      <c r="JB12" s="32">
        <f>IF(IU12&lt;0,0,IF(IU12&lt;=InputData!$B$163,InputData!$C$163*IU12,IF(IU12&lt;=InputData!$B$164,InputData!$D$163+InputData!$C$164*(IU12-InputData!$B$163),IF(IU12&lt;=InputData!$B$165,InputData!$D$164+InputData!$C$165*(IU12-InputData!$B$164),InputData!$D$165+InputData!$C$166*(IU12-InputData!$B$165)))))</f>
        <v>0</v>
      </c>
      <c r="JC12" s="43">
        <f t="shared" si="103"/>
        <v>0.191214535815764</v>
      </c>
      <c r="JD12" s="43">
        <f t="shared" si="104"/>
        <v>0.13748863677497211</v>
      </c>
      <c r="JE12" s="5">
        <f t="shared" si="105"/>
        <v>58266.076809737235</v>
      </c>
      <c r="JF12" s="32">
        <f>JE12/((1+InputData!$C$7)^(GenSurg!$B12-GenSurg!$B$7))</f>
        <v>50260.829687681769</v>
      </c>
      <c r="JG12" s="5">
        <f t="shared" si="106"/>
        <v>219350.65217600405</v>
      </c>
      <c r="JI12" s="41" t="str">
        <f t="shared" si="26"/>
        <v>Residency</v>
      </c>
      <c r="JJ12" s="5">
        <f t="shared" si="27"/>
        <v>57614.443391174405</v>
      </c>
      <c r="JK12" s="32">
        <v>0</v>
      </c>
      <c r="JL12" s="32">
        <f t="shared" si="108"/>
        <v>57614.443391174405</v>
      </c>
      <c r="JM12" s="32">
        <f>JM11*(1+InputData!$C$8)</f>
        <v>12685.888428768003</v>
      </c>
      <c r="JN12" s="32">
        <f>JJ12/((1+InputData!$C$3)^(GenSurg!$B12-GenSurg!$B$7))</f>
        <v>52183.176470588238</v>
      </c>
      <c r="JO12" s="32">
        <f>JK12/((1+InputData!$C$3)^(GenSurg!$B12-GenSurg!$B$7))</f>
        <v>0</v>
      </c>
      <c r="JP12" s="32" t="s">
        <v>140</v>
      </c>
      <c r="JQ12" s="32">
        <v>0</v>
      </c>
      <c r="JR12" s="118">
        <f>JU10+0.5*JR10*InputData!$C$6</f>
        <v>0</v>
      </c>
      <c r="JS12" s="32">
        <f>(JR12)*InputData!$C$6</f>
        <v>0</v>
      </c>
      <c r="JT12" s="32">
        <v>0</v>
      </c>
      <c r="JU12" s="32">
        <f>JU11+JQ12+JS12-JT12</f>
        <v>0</v>
      </c>
      <c r="JV12" s="32">
        <f>JT12/((1+InputData!$C$3)^(GenSurg!$B12-GenSurg!$B$7))</f>
        <v>0</v>
      </c>
      <c r="JW12" s="32">
        <f>IF(JN12-InputData!$C$158-InputData!$C$159&gt;=0,JN12-InputData!$C$158-InputData!$C$159,0)</f>
        <v>52183.176470588238</v>
      </c>
      <c r="JX12" s="32">
        <f>IF(JN12-IF(JN12&lt;=InputData!$C$146,InputData!$C$145,0)-MAX(InputData!$C$144,KD12)&gt;=0,JN12-IF(JN12&lt;=InputData!$C$146,InputData!$C$145,0)-MAX(InputData!$C$144,KD12),0)</f>
        <v>42183.176470588238</v>
      </c>
      <c r="JY12" s="32">
        <f>IF(JX12&lt;0,"Error",IF(JX12&lt;=InputData!$B$170,InputData!$C$170*JX12,IF(JX12&lt;=InputData!$B$171,InputData!$D$170+InputData!$C$171*(JX12-InputData!$B$170),IF(JX12&lt;=InputData!$B$172,InputData!$D$171+InputData!$C$172*(JX12-InputData!$B$171),IF(JX12&lt;=InputData!$B$173,InputData!$D$172+InputData!$C$173*(JX12-InputData!$B$172),IF(JX12&lt;=InputData!$B$174,InputData!$D$173+InputData!$C$174*(JX12-InputData!$B$173),IF(JX12&lt;=InputData!$B$175,InputData!$D$174+InputData!$C$175*(JX12-InputData!$B$174),InputData!$D$175+InputData!$C$176*(JX12-InputData!$B$175))))))))</f>
        <v>6474.5441176470595</v>
      </c>
      <c r="JZ12" s="32">
        <f>IF(JN12&lt;=InputData!$C$150,InputData!$C$152,IF(JN12&lt;InputData!$C$151,IF(InputData!$C$152-0.25*IF(JN12-InputData!$C$150&lt;=0,0,JN12-InputData!$C$150)&lt;=0,0,InputData!$C$152-0.25*IF(JN12-InputData!$C$150&lt;=0,0,JN12-InputData!$C$150)),0))</f>
        <v>51900</v>
      </c>
      <c r="KA12" s="32">
        <f>IF(JN12-JZ12&lt;=0,0,IF(JN12-JZ12&lt;=InputData!$C$153,InputData!$C$154*(JN12-JZ12),InputData!$C$155*(JN12-JZ12)-InputData!$D$154))</f>
        <v>73.625882352941844</v>
      </c>
      <c r="KB12" s="32">
        <f t="shared" si="109"/>
        <v>6474.5441176470595</v>
      </c>
      <c r="KC12" s="32">
        <f>IF(JN12&gt;=0,IF(JN12&lt;=InputData!$C$148,InputData!$C$147*JN12,InputData!$C$147*InputData!$C$148)+InputData!$C$149*JN12,0)</f>
        <v>3992.0129999999999</v>
      </c>
      <c r="KD12" s="32">
        <f>IF(JW12&lt;0,0,IF(JW12&lt;=InputData!$B$163,InputData!$C$163*JW12,IF(JW12&lt;=InputData!$B$164,InputData!$D$163+InputData!$C$164*(JW12-InputData!$B$163),IF(JW12&lt;=InputData!$B$165,InputData!$D$164+InputData!$C$165*(JW12-InputData!$B$164),InputData!$D$165+InputData!$C$166*(JW12-InputData!$B$165)))))</f>
        <v>0</v>
      </c>
      <c r="KE12" s="43">
        <f t="shared" si="28"/>
        <v>0.20057339981107275</v>
      </c>
      <c r="KF12" s="32">
        <f t="shared" si="29"/>
        <v>41716.619352941183</v>
      </c>
      <c r="KG12" s="32">
        <f t="shared" si="110"/>
        <v>41716.619352941183</v>
      </c>
      <c r="KH12" s="32">
        <f>KG12/((1+InputData!$C$7)^(GenSurg!$B12-GenSurg!$B$7))</f>
        <v>35985.12230865749</v>
      </c>
      <c r="KI12" s="5">
        <f t="shared" si="129"/>
        <v>71871.450910563319</v>
      </c>
    </row>
    <row r="13" spans="1:295" ht="14.45" x14ac:dyDescent="0.3">
      <c r="A13" s="4">
        <v>2019</v>
      </c>
      <c r="B13" s="51">
        <v>7</v>
      </c>
      <c r="C13" s="4"/>
      <c r="D13" s="3">
        <v>3</v>
      </c>
      <c r="E13" s="97" t="s">
        <v>256</v>
      </c>
      <c r="F13" s="5">
        <f>InputData!$D$24*12</f>
        <v>52174.799999999996</v>
      </c>
      <c r="G13" s="5">
        <f>(InputData!$D$24+InputData!$D$45)*12</f>
        <v>57174.719999999994</v>
      </c>
      <c r="H13" s="5">
        <f>(InputData!$C$35+InputData!$C$40)*12</f>
        <v>19939.199999999997</v>
      </c>
      <c r="I13" s="5">
        <f t="shared" si="30"/>
        <v>77113.919999999984</v>
      </c>
      <c r="J13" s="5">
        <f>G13*((1+InputData!$C$5)/(1+InputData!$C$3))^(GenSurg!$B13-GenSurg!$B$7)</f>
        <v>53892.863362138443</v>
      </c>
      <c r="K13" s="5">
        <f>H13*((1+InputData!$C$5)/(1+InputData!$C$3))^(GenSurg!$B13-GenSurg!$B$7)</f>
        <v>18794.680256420157</v>
      </c>
      <c r="L13" s="32">
        <f>IF(J13-InputData!$C$158-InputData!$C$159&gt;=0,J13-InputData!$C$158-InputData!$C$159,0)</f>
        <v>53892.863362138443</v>
      </c>
      <c r="M13" s="32">
        <f>IF(J13-IF(J13&lt;=InputData!$C$146,InputData!$C$145,0)-MAX(InputData!$C$144,S13)&gt;=0,J13-IF(J13&lt;=InputData!$C$146,InputData!$C$145,0)-MAX(InputData!$C$144,S13),0)</f>
        <v>43892.863362138443</v>
      </c>
      <c r="N13" s="32">
        <f>IF(M13&lt;0,"Error",IF(M13&lt;=InputData!$B$170,InputData!$C$170*M13,IF(M13&lt;=InputData!$B$171,InputData!$D$170+InputData!$C$171*(M13-InputData!$B$170),IF(M13&lt;=InputData!$B$172,InputData!$D$171+InputData!$C$172*(M13-InputData!$B$171),IF(M13&lt;=InputData!$B$173,InputData!$D$172+InputData!$C$173*(M13-InputData!$B$172),IF(M13&lt;=InputData!$B$174,InputData!$D$173+InputData!$C$174*(M13-InputData!$B$173),IF(M13&lt;=InputData!$B$175,InputData!$D$174+InputData!$C$175*(M13-InputData!$B$174),InputData!$D$175+InputData!$C$176*(M13-InputData!$B$175))))))))</f>
        <v>6901.9658405346108</v>
      </c>
      <c r="O13" s="32">
        <f>IF(J13&lt;=InputData!$C$150,InputData!$C$152,IF(J13&lt;InputData!$C$151,IF(InputData!$C$152-0.25*IF(J13-InputData!$C$150&lt;=0,0,J13-InputData!$C$150)&lt;=0,0,InputData!$C$152-0.25*IF(J13-InputData!$C$150&lt;=0,0,J13-InputData!$C$150)),0))</f>
        <v>51900</v>
      </c>
      <c r="P13" s="32">
        <f>IF(J13-O13&lt;=0,0,IF(J13-O13&lt;=InputData!$C$153,InputData!$C$154*(J13-O13),InputData!$C$155*(J13-O13)-InputData!$D$154))</f>
        <v>518.14447415599534</v>
      </c>
      <c r="Q13" s="32">
        <f t="shared" si="31"/>
        <v>6901.9658405346108</v>
      </c>
      <c r="R13" s="32">
        <f>IF(J13&gt;=0,IF(J13&lt;=InputData!$C$148,InputData!$C$147*J13,InputData!$C$147*InputData!$C$148)+InputData!$C$149*J13,0)</f>
        <v>4122.8040472035909</v>
      </c>
      <c r="S13" s="32">
        <f>IF(L13&lt;0,0,IF(L13&lt;=InputData!$B$163,InputData!$C$163*L13,IF(L13&lt;=InputData!$B$164,InputData!$D$163+InputData!$C$164*(L13-InputData!$B$163),IF(L13&lt;=InputData!$B$165,InputData!$D$164+InputData!$C$165*(L13-InputData!$B$164),InputData!$D$165+InputData!$C$166*(L13-InputData!$B$165)))))</f>
        <v>0</v>
      </c>
      <c r="T13" s="43">
        <f t="shared" si="32"/>
        <v>0.20456827119494778</v>
      </c>
      <c r="U13" s="43">
        <f t="shared" si="33"/>
        <v>0.15167344140273514</v>
      </c>
      <c r="V13" s="5">
        <f t="shared" si="34"/>
        <v>61662.773730820394</v>
      </c>
      <c r="W13" s="32">
        <f>V13/((1+InputData!$C$7)^(GenSurg!$B13-GenSurg!$B$7))</f>
        <v>51641.602223008493</v>
      </c>
      <c r="X13" s="5">
        <f t="shared" si="111"/>
        <v>363115.97670968575</v>
      </c>
      <c r="Y13" s="53"/>
      <c r="Z13" s="3">
        <v>3</v>
      </c>
      <c r="AA13" s="97" t="s">
        <v>256</v>
      </c>
      <c r="AB13" s="5">
        <f t="shared" si="133"/>
        <v>52174.799999999996</v>
      </c>
      <c r="AC13" s="5">
        <f t="shared" si="134"/>
        <v>57174.719999999994</v>
      </c>
      <c r="AD13" s="5">
        <f t="shared" si="134"/>
        <v>19939.199999999997</v>
      </c>
      <c r="AE13" s="5">
        <f t="shared" si="35"/>
        <v>77113.919999999984</v>
      </c>
      <c r="AF13" s="5">
        <f>AC13*((1+InputData!$C$5)/(1+InputData!$C$3))^(GenSurg!$B13-GenSurg!$B$7)</f>
        <v>53892.863362138443</v>
      </c>
      <c r="AG13" s="5">
        <f>AD13*((1+InputData!$C$5)/(1+InputData!$C$3))^(GenSurg!$B13-GenSurg!$B$7)</f>
        <v>18794.680256420157</v>
      </c>
      <c r="AH13" s="32">
        <f>IF(AF13-InputData!$C$158-InputData!$C$159&gt;=0,AF13-InputData!$C$158-InputData!$C$159,0)</f>
        <v>53892.863362138443</v>
      </c>
      <c r="AI13" s="32">
        <f>IF(AF13-IF(AF13&lt;=InputData!$C$146,InputData!$C$145,0)-MAX(InputData!$C$144,AO13)&gt;=0,AF13-IF(AF13&lt;=InputData!$C$146,InputData!$C$145,0)-MAX(InputData!$C$144,AO13),0)</f>
        <v>43892.863362138443</v>
      </c>
      <c r="AJ13" s="32">
        <f>IF(AI13&lt;0,"Error",IF(AI13&lt;=InputData!$B$170,InputData!$C$170*AI13,IF(AI13&lt;=InputData!$B$171,InputData!$D$170+InputData!$C$171*(AI13-InputData!$B$170),IF(AI13&lt;=InputData!$B$172,InputData!$D$171+InputData!$C$172*(AI13-InputData!$B$171),IF(AI13&lt;=InputData!$B$173,InputData!$D$172+InputData!$C$173*(AI13-InputData!$B$172),IF(AI13&lt;=InputData!$B$174,InputData!$D$173+InputData!$C$174*(AI13-InputData!$B$173),IF(AI13&lt;=InputData!$B$175,InputData!$D$174+InputData!$C$175*(AI13-InputData!$B$174),InputData!$D$175+InputData!$C$176*(AI13-InputData!$B$175))))))))</f>
        <v>6901.9658405346108</v>
      </c>
      <c r="AK13" s="32">
        <f>IF(AF13&lt;=InputData!$C$150,InputData!$C$152,IF(AF13&lt;InputData!$C$151,IF(InputData!$C$152-0.25*IF(AF13-InputData!$C$150&lt;=0,0,AF13-InputData!$C$150)&lt;=0,0,InputData!$C$152-0.25*IF(AF13-InputData!$C$150&lt;=0,0,AF13-InputData!$C$150)),0))</f>
        <v>51900</v>
      </c>
      <c r="AL13" s="32">
        <f>IF(AF13-AK13&lt;=0,0,IF(AF13-AK13&lt;=InputData!$C$153,InputData!$C$154*(AF13-AK13),InputData!$C$155*(AF13-AK13)-InputData!$D$154))</f>
        <v>518.14447415599534</v>
      </c>
      <c r="AM13" s="32">
        <f t="shared" si="36"/>
        <v>6901.9658405346108</v>
      </c>
      <c r="AN13" s="32">
        <f>IF(AF13&gt;=0,IF(AF13&lt;=InputData!$C$148,InputData!$C$147*AF13,InputData!$C$147*InputData!$C$148)+InputData!$C$149*AF13,0)</f>
        <v>4122.8040472035909</v>
      </c>
      <c r="AO13" s="32">
        <f>IF(AH13&lt;0,0,IF(AH13&lt;=InputData!$B$163,InputData!$C$163*AH13,IF(AH13&lt;=InputData!$B$164,InputData!$D$163+InputData!$C$164*(AH13-InputData!$B$163),IF(AH13&lt;=InputData!$B$165,InputData!$D$164+InputData!$C$165*(AH13-InputData!$B$164),InputData!$D$165+InputData!$C$166*(AH13-InputData!$B$165)))))</f>
        <v>0</v>
      </c>
      <c r="AP13" s="43">
        <f t="shared" si="37"/>
        <v>0.20456827119494778</v>
      </c>
      <c r="AQ13" s="43">
        <f t="shared" si="38"/>
        <v>0.15167344140273514</v>
      </c>
      <c r="AR13" s="5">
        <f t="shared" si="39"/>
        <v>61662.773730820394</v>
      </c>
      <c r="AS13" s="32">
        <f>AR13/((1+InputData!$C$7)^(GenSurg!$B13-GenSurg!$B$7))</f>
        <v>51641.602223008493</v>
      </c>
      <c r="AT13" s="5">
        <f t="shared" si="112"/>
        <v>270992.25439901254</v>
      </c>
      <c r="AU13" s="53"/>
      <c r="AV13" s="41" t="s">
        <v>1</v>
      </c>
      <c r="AW13" s="32">
        <f>AW12*(1+InputData!$C$9)</f>
        <v>61071.309994644871</v>
      </c>
      <c r="AX13" s="32">
        <v>0</v>
      </c>
      <c r="AY13" s="32">
        <f t="shared" si="41"/>
        <v>61071.309994644871</v>
      </c>
      <c r="AZ13" s="32">
        <f>AZ12*(1+InputData!$C$8)</f>
        <v>12939.606197343363</v>
      </c>
      <c r="BA13" s="32">
        <f>AW13/((1+InputData!$C$3)^(GenSurg!$B13-GenSurg!$B$7))</f>
        <v>54229.57554786621</v>
      </c>
      <c r="BB13" s="32">
        <f>AX13/((1+InputData!$C$3)^(GenSurg!$B13-GenSurg!$B$7))</f>
        <v>0</v>
      </c>
      <c r="BC13" s="32" t="s">
        <v>140</v>
      </c>
      <c r="BD13" s="32">
        <v>0</v>
      </c>
      <c r="BE13" s="32">
        <f>$BE$12</f>
        <v>212416.2</v>
      </c>
      <c r="BF13" s="32">
        <f>(BE13)*InputData!$C$6</f>
        <v>13191.046020000002</v>
      </c>
      <c r="BG13" s="32">
        <v>0</v>
      </c>
      <c r="BH13" s="32">
        <f t="shared" ref="BH13:BH36" si="137">BH12+BD13+BF13-BG13</f>
        <v>245393.81505000003</v>
      </c>
      <c r="BI13" s="32">
        <f>BG13/((1+InputData!$C$3)^(GenSurg!$B13-GenSurg!$B$7))</f>
        <v>0</v>
      </c>
      <c r="BJ13" s="32">
        <f>IF(BA13-InputData!$C$158-InputData!$C$159&gt;=0,BA13-InputData!$C$158-InputData!$C$159,0)</f>
        <v>54229.57554786621</v>
      </c>
      <c r="BK13" s="32">
        <f>IF(BA13-IF(BA13&lt;=InputData!$C$146,InputData!$C$145,0)-MAX(InputData!$C$144,BQ13)&gt;=0,BA13-IF(BA13&lt;=InputData!$C$146,InputData!$C$145,0)-MAX(InputData!$C$144,BQ13),0)</f>
        <v>44229.57554786621</v>
      </c>
      <c r="BL13" s="32">
        <f>IF(BK13&lt;0,"Error",IF(BK13&lt;=InputData!$B$170,InputData!$C$170*BK13,IF(BK13&lt;=InputData!$B$171,InputData!$D$170+InputData!$C$171*(BK13-InputData!$B$170),IF(BK13&lt;=InputData!$B$172,InputData!$D$171+InputData!$C$172*(BK13-InputData!$B$171),IF(BK13&lt;=InputData!$B$173,InputData!$D$172+InputData!$C$173*(BK13-InputData!$B$172),IF(BK13&lt;=InputData!$B$174,InputData!$D$173+InputData!$C$174*(BK13-InputData!$B$173),IF(BK13&lt;=InputData!$B$175,InputData!$D$174+InputData!$C$175*(BK13-InputData!$B$174),InputData!$D$175+InputData!$C$176*(BK13-InputData!$B$175))))))))</f>
        <v>6986.1438869665526</v>
      </c>
      <c r="BM13" s="32">
        <f>IF(BA13&lt;=InputData!$C$150,InputData!$C$152,IF(BA13&lt;InputData!$C$151,IF(InputData!$C$152-0.25*IF(BA13-InputData!$C$150&lt;=0,0,BA13-InputData!$C$150)&lt;=0,0,InputData!$C$152-0.25*IF(BA13-InputData!$C$150&lt;=0,0,BA13-InputData!$C$150)),0))</f>
        <v>51900</v>
      </c>
      <c r="BN13" s="32">
        <f>IF(BA13-BM13&lt;=0,0,IF(BA13-BM13&lt;=InputData!$C$153,InputData!$C$154*(BA13-BM13),InputData!$C$155*(BA13-BM13)-InputData!$D$154))</f>
        <v>605.68964244521476</v>
      </c>
      <c r="BO13" s="32">
        <f t="shared" si="42"/>
        <v>6986.1438869665526</v>
      </c>
      <c r="BP13" s="32">
        <f>IF(BA13&gt;=0,IF(BA13&lt;=InputData!$C$148,InputData!$C$147*BA13,InputData!$C$147*InputData!$C$148)+InputData!$C$149*BA13,0)</f>
        <v>4148.5625294117654</v>
      </c>
      <c r="BQ13" s="32">
        <f>IF(BJ13&lt;0,0,IF(BJ13&lt;=InputData!$B$163,InputData!$C$163*BJ13,IF(BJ13&lt;=InputData!$B$164,InputData!$D$163+InputData!$C$164*(BJ13-InputData!$B$163),IF(BJ13&lt;=InputData!$B$165,InputData!$D$164+InputData!$C$165*(BJ13-InputData!$B$164),InputData!$D$165+InputData!$C$166*(BJ13-InputData!$B$165)))))</f>
        <v>0</v>
      </c>
      <c r="BR13" s="43">
        <f t="shared" si="43"/>
        <v>0.20532534698801341</v>
      </c>
      <c r="BS13" s="32">
        <f t="shared" si="44"/>
        <v>43094.869131487896</v>
      </c>
      <c r="BT13" s="32">
        <f t="shared" si="45"/>
        <v>43094.869131487896</v>
      </c>
      <c r="BU13" s="32">
        <f>BT13/((1+InputData!$C$7)^(GenSurg!$B13-GenSurg!$B$7))</f>
        <v>36091.274441463502</v>
      </c>
      <c r="BV13" s="5">
        <f t="shared" si="114"/>
        <v>-82904.654937055282</v>
      </c>
      <c r="BW13" s="5"/>
      <c r="BX13" s="32" t="s">
        <v>140</v>
      </c>
      <c r="BY13" s="5">
        <f t="shared" si="46"/>
        <v>212416.2</v>
      </c>
      <c r="BZ13" s="5">
        <f t="shared" si="47"/>
        <v>13191.046020000002</v>
      </c>
      <c r="CA13" s="5">
        <v>0</v>
      </c>
      <c r="CB13" s="5">
        <f t="shared" si="48"/>
        <v>245393.81505000003</v>
      </c>
      <c r="CC13" s="32">
        <f>CA13/((1+InputData!$C$3)^(GenSurg!$B13-GenSurg!$B$7))</f>
        <v>0</v>
      </c>
      <c r="CD13" s="5">
        <f t="shared" si="49"/>
        <v>43094.869131487896</v>
      </c>
      <c r="CE13" s="32">
        <f>CD13/((1+InputData!$C$7)^(GenSurg!$B13-GenSurg!$B$7))</f>
        <v>36091.274441463502</v>
      </c>
      <c r="CF13" s="5">
        <f t="shared" si="115"/>
        <v>-82904.654937055282</v>
      </c>
      <c r="CG13" s="5"/>
      <c r="CH13" s="32" t="s">
        <v>140</v>
      </c>
      <c r="CI13" s="5">
        <f t="shared" si="50"/>
        <v>212416.2</v>
      </c>
      <c r="CJ13" s="5">
        <f t="shared" si="51"/>
        <v>13191.046020000002</v>
      </c>
      <c r="CK13" s="5">
        <v>0</v>
      </c>
      <c r="CL13" s="5">
        <f t="shared" si="52"/>
        <v>245393.81505000003</v>
      </c>
      <c r="CM13" s="32">
        <f>CK13/((1+InputData!$C$3)^(GenSurg!$B13-GenSurg!$B$7))</f>
        <v>0</v>
      </c>
      <c r="CN13" s="5">
        <f t="shared" si="53"/>
        <v>43094.869131487896</v>
      </c>
      <c r="CO13" s="32">
        <f>CN13/((1+InputData!$C$7)^(GenSurg!$B13-GenSurg!$B$7))</f>
        <v>36091.274441463502</v>
      </c>
      <c r="CP13" s="5">
        <f t="shared" si="116"/>
        <v>-82904.654937055282</v>
      </c>
      <c r="CQ13" s="5"/>
      <c r="CR13" s="32" t="s">
        <v>140</v>
      </c>
      <c r="CS13" s="5">
        <f t="shared" si="54"/>
        <v>212416.2</v>
      </c>
      <c r="CT13" s="5">
        <f t="shared" si="55"/>
        <v>13191.046020000002</v>
      </c>
      <c r="CU13" s="5">
        <v>0</v>
      </c>
      <c r="CV13" s="5">
        <f t="shared" si="56"/>
        <v>245393.81505000003</v>
      </c>
      <c r="CW13" s="32">
        <f>CU13/((1+InputData!$C$3)^(GenSurg!$B13-GenSurg!$B$7))</f>
        <v>0</v>
      </c>
      <c r="CX13" s="5">
        <f t="shared" si="57"/>
        <v>43094.869131487896</v>
      </c>
      <c r="CY13" s="32">
        <f>CX13/((1+InputData!$C$7)^(GenSurg!$B13-GenSurg!$B$7))</f>
        <v>36091.274441463502</v>
      </c>
      <c r="CZ13" s="5">
        <f t="shared" si="117"/>
        <v>-82904.654937055282</v>
      </c>
      <c r="DA13" s="5"/>
      <c r="DB13" s="32" t="s">
        <v>141</v>
      </c>
      <c r="DC13" s="5">
        <f t="shared" ref="DC13:DC36" si="138">DF12</f>
        <v>187984.72386520819</v>
      </c>
      <c r="DD13" s="5">
        <f>DC13*InputData!$C$6</f>
        <v>11673.851352029429</v>
      </c>
      <c r="DE13" s="32">
        <f t="shared" ref="DE13:DE36" si="139">MIN($DD$2,DC13+DD13)</f>
        <v>29148.379963889372</v>
      </c>
      <c r="DF13" s="32">
        <f t="shared" ref="DF13:DF36" si="140">DF12+$BD13+DD13-DE13</f>
        <v>170510.19525334824</v>
      </c>
      <c r="DG13" s="32">
        <f>DE13/((1+InputData!$C$3)^(GenSurg!$B13-GenSurg!$B$7))</f>
        <v>25882.927245023151</v>
      </c>
      <c r="DH13" s="5">
        <f t="shared" si="61"/>
        <v>17211.941886464745</v>
      </c>
      <c r="DI13" s="32">
        <f>DH13/((1+InputData!$C$7)^(GenSurg!$B13-GenSurg!$B$7))</f>
        <v>14414.730356868184</v>
      </c>
      <c r="DJ13" s="5">
        <f t="shared" si="118"/>
        <v>-139317.43128811088</v>
      </c>
      <c r="DK13" s="5"/>
      <c r="DL13" s="32" t="s">
        <v>141</v>
      </c>
      <c r="DM13" s="133">
        <f>IF(0.15*($AY13-1.5*$AZ13)&lt;=$DD$2,DQ12-DO12,DQ12)</f>
        <v>212416.2</v>
      </c>
      <c r="DN13" s="5">
        <f>DM13*InputData!$C$6</f>
        <v>13191.046020000002</v>
      </c>
      <c r="DO13" s="133">
        <f>DO12+DN13-DP13</f>
        <v>15585.858802306171</v>
      </c>
      <c r="DP13" s="32">
        <f t="shared" si="130"/>
        <v>6249.2851047944741</v>
      </c>
      <c r="DQ13" s="32">
        <f t="shared" si="131"/>
        <v>228002.05880230619</v>
      </c>
      <c r="DR13" s="32">
        <f>DP13/((1+InputData!$C$3)^(GenSurg!$B13-GenSurg!$B$7))</f>
        <v>5549.186332179931</v>
      </c>
      <c r="DS13" s="5">
        <f t="shared" si="65"/>
        <v>37545.682799307964</v>
      </c>
      <c r="DT13" s="32">
        <f>DS13/((1+InputData!$C$7)^(GenSurg!$B13-GenSurg!$B$7))</f>
        <v>31443.9182508587</v>
      </c>
      <c r="DU13" s="5">
        <f t="shared" si="120"/>
        <v>-96469.213883902426</v>
      </c>
      <c r="DV13" s="5"/>
      <c r="DW13" s="32" t="s">
        <v>141</v>
      </c>
      <c r="DX13" s="133">
        <f t="shared" ref="DX13:DX36" si="141">IF(0.1*($AY13-1.5*$AZ13)&lt;=$DD$2,EB12-DZ12,MIN(EB12,1.1*$DC$2))</f>
        <v>212416.2</v>
      </c>
      <c r="DY13" s="5">
        <f>DX13*InputData!$C$6</f>
        <v>13191.046020000002</v>
      </c>
      <c r="DZ13" s="133">
        <f t="shared" ref="DZ13:DZ36" si="142">MAX(0,DZ12+DY13-EA13)</f>
        <v>21383.110884870781</v>
      </c>
      <c r="EA13" s="32">
        <f t="shared" ref="EA13:EA36" si="143">IF(0.1*($AY$11-1.5*$AZ13)&lt;=$DD$2,MIN(0.1*($AY13-1.5*$AZ13),$DD$2, DX13+DY13),"DNQ")</f>
        <v>4166.1900698629825</v>
      </c>
      <c r="EB13" s="32">
        <f t="shared" ref="EB13:EB36" si="144">EB12+$BD13+DY13-EA13</f>
        <v>233799.31088487079</v>
      </c>
      <c r="EC13" s="32">
        <f>EA13/((1+InputData!$C$3)^(GenSurg!$B13-GenSurg!$B$7))</f>
        <v>3699.4575547866202</v>
      </c>
      <c r="ED13" s="5">
        <f t="shared" si="69"/>
        <v>39395.411576701277</v>
      </c>
      <c r="EE13" s="32">
        <f>ED13/((1+InputData!$C$7)^(GenSurg!$B13-GenSurg!$B$7))</f>
        <v>32993.036981060301</v>
      </c>
      <c r="EF13" s="5">
        <f t="shared" si="122"/>
        <v>-91947.694234953393</v>
      </c>
      <c r="EG13" s="32"/>
      <c r="EH13" s="130" t="s">
        <v>140</v>
      </c>
      <c r="EI13" s="32">
        <v>0</v>
      </c>
      <c r="EJ13" s="32">
        <f t="shared" si="135"/>
        <v>185472.36</v>
      </c>
      <c r="EK13" s="32">
        <f>(EJ13)*InputData!$C$6</f>
        <v>11517.833556</v>
      </c>
      <c r="EL13" s="32">
        <f t="shared" si="132"/>
        <v>248535.37202399998</v>
      </c>
      <c r="EM13" s="32">
        <f>EM12*(1+InputData!$C$8)</f>
        <v>12939.606197343363</v>
      </c>
      <c r="EN13" s="32">
        <v>0</v>
      </c>
      <c r="EO13" s="32">
        <f>AW13/((1+InputData!$C$3)^(GenSurg!$B13-GenSurg!$B$7))</f>
        <v>54229.57554786621</v>
      </c>
      <c r="EP13" s="32">
        <f>AX13/((1+InputData!$C$3)^(GenSurg!$B13-GenSurg!$B$7))</f>
        <v>0</v>
      </c>
      <c r="EQ13" s="32">
        <v>7149.9</v>
      </c>
      <c r="ER13" s="32">
        <v>3606.2649999999999</v>
      </c>
      <c r="ES13" s="32">
        <v>0</v>
      </c>
      <c r="ET13" s="43">
        <f t="shared" si="136"/>
        <v>0.19834499701193448</v>
      </c>
      <c r="EU13" s="32">
        <f t="shared" si="70"/>
        <v>43473.41054786621</v>
      </c>
      <c r="EV13" s="32">
        <f>EN13/((1+InputData!$C$3)^(GenSurg!$B13-GenSurg!$B$7))</f>
        <v>0</v>
      </c>
      <c r="EW13" s="32">
        <f t="shared" si="71"/>
        <v>43473.41054786621</v>
      </c>
      <c r="EX13" s="32">
        <f>EW13/((1+InputData!$C$7)^(GenSurg!$B13-GenSurg!$B$7))</f>
        <v>36408.29691818307</v>
      </c>
      <c r="EY13" s="5">
        <f t="shared" si="124"/>
        <v>-81978.095972535186</v>
      </c>
      <c r="EZ13" s="79"/>
      <c r="FA13" s="32">
        <f t="shared" si="72"/>
        <v>185472.36</v>
      </c>
      <c r="FB13" s="32">
        <f t="shared" si="73"/>
        <v>11517.833556</v>
      </c>
      <c r="FC13" s="32">
        <f t="shared" si="74"/>
        <v>248535.37202399998</v>
      </c>
      <c r="FD13" s="32">
        <v>0</v>
      </c>
      <c r="FE13" s="32">
        <f>FD13/((1+InputData!$C$3)^(GenSurg!$B13-GenSurg!$B$7))</f>
        <v>0</v>
      </c>
      <c r="FF13" s="5">
        <f t="shared" si="75"/>
        <v>43473.41054786621</v>
      </c>
      <c r="FG13" s="32">
        <f>FF13/((1+InputData!$C$7)^(GenSurg!$B13-GenSurg!$B$7))</f>
        <v>36408.29691818307</v>
      </c>
      <c r="FH13" s="5">
        <f t="shared" si="125"/>
        <v>-81978.095972535186</v>
      </c>
      <c r="FI13" s="79"/>
      <c r="FJ13" s="32">
        <f t="shared" si="76"/>
        <v>185472.36</v>
      </c>
      <c r="FK13" s="32">
        <f t="shared" si="77"/>
        <v>11517.833556</v>
      </c>
      <c r="FL13" s="32">
        <f t="shared" si="78"/>
        <v>248535.37202399998</v>
      </c>
      <c r="FM13" s="32">
        <v>0</v>
      </c>
      <c r="FN13" s="32">
        <f>FM13/((1+InputData!$C$3)^(GenSurg!$B13-GenSurg!$B$7))</f>
        <v>0</v>
      </c>
      <c r="FO13" s="5">
        <f t="shared" si="79"/>
        <v>43473.41054786621</v>
      </c>
      <c r="FP13" s="32">
        <f>FO13/((1+InputData!$C$7)^(GenSurg!$B13-GenSurg!$B$7))</f>
        <v>36408.29691818307</v>
      </c>
      <c r="FQ13" s="5">
        <f t="shared" si="126"/>
        <v>-81978.095972535186</v>
      </c>
      <c r="FR13" s="79"/>
      <c r="FS13" s="32">
        <f t="shared" si="80"/>
        <v>185472.36</v>
      </c>
      <c r="FT13" s="32">
        <f t="shared" si="81"/>
        <v>11517.833556</v>
      </c>
      <c r="FU13" s="32">
        <f t="shared" si="82"/>
        <v>248535.37202399998</v>
      </c>
      <c r="FV13" s="32">
        <v>0</v>
      </c>
      <c r="FW13" s="32">
        <f>FV13/((1+InputData!$C$3)^(GenSurg!$B13-GenSurg!$B$7))</f>
        <v>0</v>
      </c>
      <c r="FX13" s="5">
        <f t="shared" si="83"/>
        <v>43473.41054786621</v>
      </c>
      <c r="FY13" s="32">
        <f>FX13/((1+InputData!$C$7)^(GenSurg!$B13-GenSurg!$B$7))</f>
        <v>36408.29691818307</v>
      </c>
      <c r="FZ13" s="5">
        <f t="shared" si="127"/>
        <v>-81978.095972535186</v>
      </c>
      <c r="GC13" s="3">
        <f t="shared" si="1"/>
        <v>3</v>
      </c>
      <c r="GD13" s="4" t="str">
        <f t="shared" si="2"/>
        <v>Residency (O3&gt;2 = (BP+BAH+BAS+VSP)*12)</v>
      </c>
      <c r="GE13" s="5">
        <f t="shared" si="3"/>
        <v>57174.719999999994</v>
      </c>
      <c r="GF13" s="5">
        <f t="shared" si="4"/>
        <v>19939.199999999997</v>
      </c>
      <c r="GG13" s="5">
        <f t="shared" si="5"/>
        <v>77113.919999999984</v>
      </c>
      <c r="GH13" s="5">
        <f t="shared" si="6"/>
        <v>53892.863362138443</v>
      </c>
      <c r="GI13" s="5">
        <f t="shared" si="7"/>
        <v>18794.680256420157</v>
      </c>
      <c r="GJ13" s="32">
        <f>IF(GH13-InputData!$C$158-InputData!$C$159&gt;=0,GH13-InputData!$C$158-InputData!$C$159,0)</f>
        <v>53892.863362138443</v>
      </c>
      <c r="GK13" s="32">
        <f>IF(GH13-IF(GH13&lt;=InputData!$C$146,InputData!$C$145,0)-MAX(InputData!$C$144,GQ13)&gt;=0,GH13-IF(GH13&lt;=InputData!$C$146,InputData!$C$145,0)-MAX(InputData!$C$144,GQ13),0)</f>
        <v>43892.863362138443</v>
      </c>
      <c r="GL13" s="32">
        <f>IF(GK13&lt;0,"Error",IF(GK13&lt;=InputData!$B$170,InputData!$C$170*GK13,IF(GK13&lt;=InputData!$B$171,InputData!$D$170+InputData!$C$171*(GK13-InputData!$B$170),IF(GK13&lt;=InputData!$B$172,InputData!$D$171+InputData!$C$172*(GK13-InputData!$B$171),IF(GK13&lt;=InputData!$B$173,InputData!$D$172+InputData!$C$173*(GK13-InputData!$B$172),IF(GK13&lt;=InputData!$B$174,InputData!$D$173+InputData!$C$174*(GK13-InputData!$B$173),IF(GK13&lt;=InputData!$B$175,InputData!$D$174+InputData!$C$175*(GK13-InputData!$B$174),InputData!$D$175+InputData!$C$176*(GK13-InputData!$B$175))))))))</f>
        <v>6901.9658405346108</v>
      </c>
      <c r="GM13" s="32">
        <f>IF(GH13&lt;=InputData!$C$150,InputData!$C$152,IF(GH13&lt;InputData!$C$151,IF(InputData!$C$152-0.25*IF(GH13-InputData!$C$150&lt;=0,0,GH13-InputData!$C$150)&lt;=0,0,InputData!$C$152-0.25*IF(GH13-InputData!$C$150&lt;=0,0,GH13-InputData!$C$150)),0))</f>
        <v>51900</v>
      </c>
      <c r="GN13" s="32">
        <f>IF(GH13-GM13&lt;=0,0,IF(GH13-GM13&lt;=InputData!$C$153,InputData!$C$154*(GH13-GM13),InputData!$C$155*(GH13-GM13)-InputData!$D$154))</f>
        <v>518.14447415599534</v>
      </c>
      <c r="GO13" s="32">
        <f t="shared" si="84"/>
        <v>6901.9658405346108</v>
      </c>
      <c r="GP13" s="32">
        <f>IF(GH13&gt;=0,IF(GH13&lt;=InputData!$C$148,InputData!$C$147*GH13,InputData!$C$147*InputData!$C$148)+InputData!$C$149*GH13,0)</f>
        <v>4122.8040472035909</v>
      </c>
      <c r="GQ13" s="32">
        <f>IF(GJ13&lt;0,0,IF(GJ13&lt;=InputData!$B$163,InputData!$C$163*GJ13,IF(GJ13&lt;=InputData!$B$164,InputData!$D$163+InputData!$C$164*(GJ13-InputData!$B$163),IF(GJ13&lt;=InputData!$B$165,InputData!$D$164+InputData!$C$165*(GJ13-InputData!$B$164),InputData!$D$165+InputData!$C$166*(GJ13-InputData!$B$165)))))</f>
        <v>0</v>
      </c>
      <c r="GR13" s="43">
        <f t="shared" si="85"/>
        <v>0.20456827119494778</v>
      </c>
      <c r="GS13" s="43">
        <f t="shared" si="86"/>
        <v>0.15167344140273514</v>
      </c>
      <c r="GT13" s="5">
        <f t="shared" si="87"/>
        <v>61662.773730820394</v>
      </c>
      <c r="GU13" s="32">
        <f>GT13/((1+InputData!$C$7)^(GenSurg!$B13-GenSurg!$B$7))</f>
        <v>51641.602223008493</v>
      </c>
      <c r="GV13" s="32">
        <f t="shared" si="88"/>
        <v>363115.97670968575</v>
      </c>
      <c r="GX13" s="3">
        <f t="shared" si="8"/>
        <v>3</v>
      </c>
      <c r="GY13" s="4" t="str">
        <f t="shared" si="9"/>
        <v>Residency (O3&gt;2 = (BP+BAH+BAS+VSP)*12)</v>
      </c>
      <c r="GZ13" s="5">
        <f t="shared" si="10"/>
        <v>57174.719999999994</v>
      </c>
      <c r="HA13" s="5">
        <f t="shared" si="11"/>
        <v>19939.199999999997</v>
      </c>
      <c r="HB13" s="5">
        <f t="shared" si="12"/>
        <v>77113.919999999984</v>
      </c>
      <c r="HC13" s="5">
        <f t="shared" si="13"/>
        <v>53892.863362138443</v>
      </c>
      <c r="HD13" s="5">
        <f t="shared" si="14"/>
        <v>18794.680256420157</v>
      </c>
      <c r="HE13" s="32">
        <f>IF(HC13-InputData!$C$158-InputData!$C$159&gt;=0,HC13-InputData!$C$158-InputData!$C$159,0)</f>
        <v>53892.863362138443</v>
      </c>
      <c r="HF13" s="32">
        <f>IF(HC13-IF(HC13&lt;=InputData!$C$146,InputData!$C$145,0)-MAX(InputData!$C$144,HL13)&gt;=0,HC13-IF(HC13&lt;=InputData!$C$146,InputData!$C$145,0)-MAX(InputData!$C$144,HL13),0)</f>
        <v>43892.863362138443</v>
      </c>
      <c r="HG13" s="32">
        <f>IF(HF13&lt;0,"Error",IF(HF13&lt;=InputData!$B$170,InputData!$C$170*HF13,IF(HF13&lt;=InputData!$B$171,InputData!$D$170+InputData!$C$171*(HF13-InputData!$B$170),IF(HF13&lt;=InputData!$B$172,InputData!$D$171+InputData!$C$172*(HF13-InputData!$B$171),IF(HF13&lt;=InputData!$B$173,InputData!$D$172+InputData!$C$173*(HF13-InputData!$B$172),IF(HF13&lt;=InputData!$B$174,InputData!$D$173+InputData!$C$174*(HF13-InputData!$B$173),IF(HF13&lt;=InputData!$B$175,InputData!$D$174+InputData!$C$175*(HF13-InputData!$B$174),InputData!$D$175+InputData!$C$176*(HF13-InputData!$B$175))))))))</f>
        <v>6901.9658405346108</v>
      </c>
      <c r="HH13" s="32">
        <f>IF(HC13&lt;=InputData!$C$150,InputData!$C$152,IF(HC13&lt;InputData!$C$151,IF(InputData!$C$152-0.25*IF(HC13-InputData!$C$150&lt;=0,0,HC13-InputData!$C$150)&lt;=0,0,InputData!$C$152-0.25*IF(HC13-InputData!$C$150&lt;=0,0,HC13-InputData!$C$150)),0))</f>
        <v>51900</v>
      </c>
      <c r="HI13" s="32">
        <f>IF(HC13-HH13&lt;=0,0,IF(HC13-HH13&lt;=InputData!$C$153,InputData!$C$154*(HC13-HH13),InputData!$C$155*(HC13-HH13)-InputData!$D$154))</f>
        <v>518.14447415599534</v>
      </c>
      <c r="HJ13" s="32">
        <f t="shared" si="89"/>
        <v>6901.9658405346108</v>
      </c>
      <c r="HK13" s="32">
        <f>IF(HC13&gt;=0,IF(HC13&lt;=InputData!$C$148,InputData!$C$147*HC13,InputData!$C$147*InputData!$C$148)+InputData!$C$149*HC13,0)</f>
        <v>4122.8040472035909</v>
      </c>
      <c r="HL13" s="32">
        <f>IF(HE13&lt;0,0,IF(HE13&lt;=InputData!$B$163,InputData!$C$163*HE13,IF(HE13&lt;=InputData!$B$164,InputData!$D$163+InputData!$C$164*(HE13-InputData!$B$163),IF(HE13&lt;=InputData!$B$165,InputData!$D$164+InputData!$C$165*(HE13-InputData!$B$164),InputData!$D$165+InputData!$C$166*(HE13-InputData!$B$165)))))</f>
        <v>0</v>
      </c>
      <c r="HM13" s="43">
        <f t="shared" si="90"/>
        <v>0.20456827119494778</v>
      </c>
      <c r="HN13" s="43">
        <f t="shared" si="91"/>
        <v>0.15167344140273514</v>
      </c>
      <c r="HO13" s="5">
        <f t="shared" si="92"/>
        <v>61662.773730820394</v>
      </c>
      <c r="HP13" s="32">
        <f>HO13/((1+InputData!$C$7)^(GenSurg!$B13-GenSurg!$B$7))</f>
        <v>51641.602223008493</v>
      </c>
      <c r="HQ13" s="32">
        <f t="shared" si="93"/>
        <v>270992.25439901254</v>
      </c>
      <c r="HS13" s="93">
        <f t="shared" si="94"/>
        <v>3</v>
      </c>
      <c r="HT13" s="5" t="str">
        <f t="shared" si="95"/>
        <v>Residency (O3&gt;2 = (BP+BAH+BAS+VSP)*12)</v>
      </c>
      <c r="HU13" s="5">
        <f t="shared" si="15"/>
        <v>57174.719999999994</v>
      </c>
      <c r="HV13" s="5">
        <f t="shared" si="16"/>
        <v>19939.199999999997</v>
      </c>
      <c r="HW13" s="5">
        <f t="shared" si="17"/>
        <v>77113.919999999984</v>
      </c>
      <c r="HX13" s="5">
        <f t="shared" si="18"/>
        <v>53892.863362138443</v>
      </c>
      <c r="HY13" s="5">
        <f t="shared" si="19"/>
        <v>18794.680256420157</v>
      </c>
      <c r="HZ13" s="32">
        <f>IF(HX13-InputData!$C$158-InputData!$C$159&gt;=0,HX13-InputData!$C$158-InputData!$C$159,0)</f>
        <v>53892.863362138443</v>
      </c>
      <c r="IA13" s="32">
        <f>IF(HX13-IF(HX13&lt;=InputData!$C$146,InputData!$C$145,0)-MAX(InputData!$C$144,IG13)&gt;=0,HX13-IF(HX13&lt;=InputData!$C$146,InputData!$C$145,0)-MAX(InputData!$C$144,IG13),0)</f>
        <v>43892.863362138443</v>
      </c>
      <c r="IB13" s="32">
        <f>IF(IA13&lt;0,"Error",IF(IA13&lt;=InputData!$B$170,InputData!$C$170*IA13,IF(IA13&lt;=InputData!$B$171,InputData!$D$170+InputData!$C$171*(IA13-InputData!$B$170),IF(IA13&lt;=InputData!$B$172,InputData!$D$171+InputData!$C$172*(IA13-InputData!$B$171),IF(IA13&lt;=InputData!$B$173,InputData!$D$172+InputData!$C$173*(IA13-InputData!$B$172),IF(IA13&lt;=InputData!$B$174,InputData!$D$173+InputData!$C$174*(IA13-InputData!$B$173),IF(IA13&lt;=InputData!$B$175,InputData!$D$174+InputData!$C$175*(IA13-InputData!$B$174),InputData!$D$175+InputData!$C$176*(IA13-InputData!$B$175))))))))</f>
        <v>6901.9658405346108</v>
      </c>
      <c r="IC13" s="32">
        <f>IF(HX13&lt;=InputData!$C$150,InputData!$C$152,IF(HX13&lt;InputData!$C$151,IF(InputData!$C$152-0.25*IF(HX13-InputData!$C$150&lt;=0,0,HX13-InputData!$C$150)&lt;=0,0,InputData!$C$152-0.25*IF(HX13-InputData!$C$150&lt;=0,0,HX13-InputData!$C$150)),0))</f>
        <v>51900</v>
      </c>
      <c r="ID13" s="32">
        <f>IF(HX13-IC13&lt;=0,0,IF(HX13-IC13&lt;=InputData!$C$153,InputData!$C$154*(HX13-IC13),InputData!$C$155*(HX13-IC13)-InputData!$D$154))</f>
        <v>518.14447415599534</v>
      </c>
      <c r="IE13" s="32">
        <f t="shared" si="96"/>
        <v>6901.9658405346108</v>
      </c>
      <c r="IF13" s="32">
        <f>IF(HX13&gt;=0,IF(HX13&lt;=InputData!$C$148,InputData!$C$147*HX13,InputData!$C$147*InputData!$C$148)+InputData!$C$149*HX13,0)</f>
        <v>4122.8040472035909</v>
      </c>
      <c r="IG13" s="32">
        <f>IF(HZ13&lt;0,0,IF(HZ13&lt;=InputData!$B$163,InputData!$C$163*HZ13,IF(HZ13&lt;=InputData!$B$164,InputData!$D$163+InputData!$C$164*(HZ13-InputData!$B$163),IF(HZ13&lt;=InputData!$B$165,InputData!$D$164+InputData!$C$165*(HZ13-InputData!$B$164),InputData!$D$165+InputData!$C$166*(HZ13-InputData!$B$165)))))</f>
        <v>0</v>
      </c>
      <c r="IH13" s="43">
        <f t="shared" si="97"/>
        <v>0.20456827119494778</v>
      </c>
      <c r="II13" s="43">
        <f t="shared" si="98"/>
        <v>0.15167344140273514</v>
      </c>
      <c r="IJ13" s="5">
        <f t="shared" si="20"/>
        <v>61662.773730820394</v>
      </c>
      <c r="IK13" s="32">
        <f>IJ13/((1+InputData!$C$7)^(GenSurg!$B13-GenSurg!$B$7))</f>
        <v>51641.602223008493</v>
      </c>
      <c r="IL13" s="5">
        <f t="shared" si="99"/>
        <v>363115.97670968575</v>
      </c>
      <c r="IN13" s="93">
        <f t="shared" si="100"/>
        <v>3</v>
      </c>
      <c r="IO13" s="5" t="str">
        <f t="shared" si="101"/>
        <v>Residency (O3&gt;2 = (BP+BAH+BAS+VSP)*12)</v>
      </c>
      <c r="IP13" s="5">
        <f t="shared" si="21"/>
        <v>57174.719999999994</v>
      </c>
      <c r="IQ13" s="5">
        <f t="shared" si="22"/>
        <v>19939.199999999997</v>
      </c>
      <c r="IR13" s="5">
        <f t="shared" si="23"/>
        <v>77113.919999999984</v>
      </c>
      <c r="IS13" s="5">
        <f t="shared" si="24"/>
        <v>53892.863362138443</v>
      </c>
      <c r="IT13" s="5">
        <f t="shared" si="25"/>
        <v>18794.680256420157</v>
      </c>
      <c r="IU13" s="32">
        <f>IF(IS13-InputData!$C$158-InputData!$C$159&gt;=0,IS13-InputData!$C$158-InputData!$C$159,0)</f>
        <v>53892.863362138443</v>
      </c>
      <c r="IV13" s="32">
        <f>IF(IS13-IF(IS13&lt;=InputData!$C$146,InputData!$C$145,0)-MAX(InputData!$C$144,JB13)&gt;=0,IS13-IF(IS13&lt;=InputData!$C$146,InputData!$C$145,0)-MAX(InputData!$C$144,JB13),0)</f>
        <v>43892.863362138443</v>
      </c>
      <c r="IW13" s="32">
        <f>IF(IV13&lt;0,"Error",IF(IV13&lt;=InputData!$B$170,InputData!$C$170*IV13,IF(IV13&lt;=InputData!$B$171,InputData!$D$170+InputData!$C$171*(IV13-InputData!$B$170),IF(IV13&lt;=InputData!$B$172,InputData!$D$171+InputData!$C$172*(IV13-InputData!$B$171),IF(IV13&lt;=InputData!$B$173,InputData!$D$172+InputData!$C$173*(IV13-InputData!$B$172),IF(IV13&lt;=InputData!$B$174,InputData!$D$173+InputData!$C$174*(IV13-InputData!$B$173),IF(IV13&lt;=InputData!$B$175,InputData!$D$174+InputData!$C$175*(IV13-InputData!$B$174),InputData!$D$175+InputData!$C$176*(IV13-InputData!$B$175))))))))</f>
        <v>6901.9658405346108</v>
      </c>
      <c r="IX13" s="32">
        <f>IF(IS13&lt;=InputData!$C$150,InputData!$C$152,IF(IS13&lt;InputData!$C$151,IF(InputData!$C$152-0.25*IF(IS13-InputData!$C$150&lt;=0,0,IS13-InputData!$C$150)&lt;=0,0,InputData!$C$152-0.25*IF(IS13-InputData!$C$150&lt;=0,0,IS13-InputData!$C$150)),0))</f>
        <v>51900</v>
      </c>
      <c r="IY13" s="32">
        <f>IF(IS13-IX13&lt;=0,0,IF(IS13-IX13&lt;=InputData!$C$153,InputData!$C$154*(IS13-IX13),InputData!$C$155*(IS13-IX13)-InputData!$D$154))</f>
        <v>518.14447415599534</v>
      </c>
      <c r="IZ13" s="32">
        <f t="shared" si="102"/>
        <v>6901.9658405346108</v>
      </c>
      <c r="JA13" s="32">
        <f>IF(IS13&gt;=0,IF(IS13&lt;=InputData!$C$148,InputData!$C$147*IS13,InputData!$C$147*InputData!$C$148)+InputData!$C$149*IS13,0)</f>
        <v>4122.8040472035909</v>
      </c>
      <c r="JB13" s="32">
        <f>IF(IU13&lt;0,0,IF(IU13&lt;=InputData!$B$163,InputData!$C$163*IU13,IF(IU13&lt;=InputData!$B$164,InputData!$D$163+InputData!$C$164*(IU13-InputData!$B$163),IF(IU13&lt;=InputData!$B$165,InputData!$D$164+InputData!$C$165*(IU13-InputData!$B$164),InputData!$D$165+InputData!$C$166*(IU13-InputData!$B$165)))))</f>
        <v>0</v>
      </c>
      <c r="JC13" s="43">
        <f t="shared" si="103"/>
        <v>0.20456827119494778</v>
      </c>
      <c r="JD13" s="43">
        <f t="shared" si="104"/>
        <v>0.15167344140273514</v>
      </c>
      <c r="JE13" s="5">
        <f t="shared" si="105"/>
        <v>61662.773730820394</v>
      </c>
      <c r="JF13" s="32">
        <f>JE13/((1+InputData!$C$7)^(GenSurg!$B13-GenSurg!$B$7))</f>
        <v>51641.602223008493</v>
      </c>
      <c r="JG13" s="5">
        <f t="shared" si="106"/>
        <v>270992.25439901254</v>
      </c>
      <c r="JI13" s="41" t="str">
        <f t="shared" si="26"/>
        <v>Residency</v>
      </c>
      <c r="JJ13" s="5">
        <f t="shared" si="27"/>
        <v>61071.309994644871</v>
      </c>
      <c r="JK13" s="32">
        <v>0</v>
      </c>
      <c r="JL13" s="32">
        <f t="shared" si="108"/>
        <v>61071.309994644871</v>
      </c>
      <c r="JM13" s="32">
        <f>JM12*(1+InputData!$C$8)</f>
        <v>12939.606197343363</v>
      </c>
      <c r="JN13" s="32">
        <f>JJ13/((1+InputData!$C$3)^(GenSurg!$B13-GenSurg!$B$7))</f>
        <v>54229.57554786621</v>
      </c>
      <c r="JO13" s="32">
        <f>JK13/((1+InputData!$C$3)^(GenSurg!$B13-GenSurg!$B$7))</f>
        <v>0</v>
      </c>
      <c r="JP13" s="32" t="s">
        <v>140</v>
      </c>
      <c r="JQ13" s="32">
        <v>0</v>
      </c>
      <c r="JR13" s="32">
        <f>JR12</f>
        <v>0</v>
      </c>
      <c r="JS13" s="32">
        <f>(JR13)*InputData!$C$6</f>
        <v>0</v>
      </c>
      <c r="JT13" s="32">
        <v>0</v>
      </c>
      <c r="JU13" s="32">
        <f t="shared" ref="JU13:JU36" si="145">JU12+JQ13+JS13-JT13</f>
        <v>0</v>
      </c>
      <c r="JV13" s="32">
        <f>JT13/((1+InputData!$C$3)^(GenSurg!$B13-GenSurg!$B$7))</f>
        <v>0</v>
      </c>
      <c r="JW13" s="32">
        <f>IF(JN13-InputData!$C$158-InputData!$C$159&gt;=0,JN13-InputData!$C$158-InputData!$C$159,0)</f>
        <v>54229.57554786621</v>
      </c>
      <c r="JX13" s="32">
        <f>IF(JN13-IF(JN13&lt;=InputData!$C$146,InputData!$C$145,0)-MAX(InputData!$C$144,KD13)&gt;=0,JN13-IF(JN13&lt;=InputData!$C$146,InputData!$C$145,0)-MAX(InputData!$C$144,KD13),0)</f>
        <v>44229.57554786621</v>
      </c>
      <c r="JY13" s="32">
        <f>IF(JX13&lt;0,"Error",IF(JX13&lt;=InputData!$B$170,InputData!$C$170*JX13,IF(JX13&lt;=InputData!$B$171,InputData!$D$170+InputData!$C$171*(JX13-InputData!$B$170),IF(JX13&lt;=InputData!$B$172,InputData!$D$171+InputData!$C$172*(JX13-InputData!$B$171),IF(JX13&lt;=InputData!$B$173,InputData!$D$172+InputData!$C$173*(JX13-InputData!$B$172),IF(JX13&lt;=InputData!$B$174,InputData!$D$173+InputData!$C$174*(JX13-InputData!$B$173),IF(JX13&lt;=InputData!$B$175,InputData!$D$174+InputData!$C$175*(JX13-InputData!$B$174),InputData!$D$175+InputData!$C$176*(JX13-InputData!$B$175))))))))</f>
        <v>6986.1438869665526</v>
      </c>
      <c r="JZ13" s="32">
        <f>IF(JN13&lt;=InputData!$C$150,InputData!$C$152,IF(JN13&lt;InputData!$C$151,IF(InputData!$C$152-0.25*IF(JN13-InputData!$C$150&lt;=0,0,JN13-InputData!$C$150)&lt;=0,0,InputData!$C$152-0.25*IF(JN13-InputData!$C$150&lt;=0,0,JN13-InputData!$C$150)),0))</f>
        <v>51900</v>
      </c>
      <c r="KA13" s="32">
        <f>IF(JN13-JZ13&lt;=0,0,IF(JN13-JZ13&lt;=InputData!$C$153,InputData!$C$154*(JN13-JZ13),InputData!$C$155*(JN13-JZ13)-InputData!$D$154))</f>
        <v>605.68964244521476</v>
      </c>
      <c r="KB13" s="32">
        <f t="shared" si="109"/>
        <v>6986.1438869665526</v>
      </c>
      <c r="KC13" s="32">
        <f>IF(JN13&gt;=0,IF(JN13&lt;=InputData!$C$148,InputData!$C$147*JN13,InputData!$C$147*InputData!$C$148)+InputData!$C$149*JN13,0)</f>
        <v>4148.5625294117654</v>
      </c>
      <c r="KD13" s="32">
        <f>IF(JW13&lt;0,0,IF(JW13&lt;=InputData!$B$163,InputData!$C$163*JW13,IF(JW13&lt;=InputData!$B$164,InputData!$D$163+InputData!$C$164*(JW13-InputData!$B$163),IF(JW13&lt;=InputData!$B$165,InputData!$D$164+InputData!$C$165*(JW13-InputData!$B$164),InputData!$D$165+InputData!$C$166*(JW13-InputData!$B$165)))))</f>
        <v>0</v>
      </c>
      <c r="KE13" s="43">
        <f t="shared" si="28"/>
        <v>0.20532534698801341</v>
      </c>
      <c r="KF13" s="32">
        <f t="shared" si="29"/>
        <v>43094.869131487896</v>
      </c>
      <c r="KG13" s="32">
        <f t="shared" si="110"/>
        <v>43094.869131487896</v>
      </c>
      <c r="KH13" s="32">
        <f>KG13/((1+InputData!$C$7)^(GenSurg!$B13-GenSurg!$B$7))</f>
        <v>36091.274441463502</v>
      </c>
      <c r="KI13" s="5">
        <f t="shared" si="129"/>
        <v>107962.72535202681</v>
      </c>
    </row>
    <row r="14" spans="1:295" ht="14.45" x14ac:dyDescent="0.3">
      <c r="A14" s="4">
        <v>2020</v>
      </c>
      <c r="B14" s="51">
        <v>8</v>
      </c>
      <c r="C14" s="4"/>
      <c r="D14" s="3">
        <v>4</v>
      </c>
      <c r="E14" s="97" t="s">
        <v>274</v>
      </c>
      <c r="F14" s="5">
        <f>InputData!$E$24*12</f>
        <v>56314.799999999996</v>
      </c>
      <c r="G14" s="32">
        <f>(InputData!$E$24+InputData!$D$45)*12</f>
        <v>61314.719999999994</v>
      </c>
      <c r="H14" s="32">
        <f>(InputData!$C$35+InputData!$C$40)*12</f>
        <v>19939.199999999997</v>
      </c>
      <c r="I14" s="32">
        <f t="shared" si="30"/>
        <v>81253.919999999984</v>
      </c>
      <c r="J14" s="32">
        <f>G14*((1+InputData!$C$5)/(1+InputData!$C$3))^(GenSurg!$B14-GenSurg!$B$7)</f>
        <v>57228.605499249563</v>
      </c>
      <c r="K14" s="32">
        <f>H14*((1+InputData!$C$5)/(1+InputData!$C$3))^(GenSurg!$B14-GenSurg!$B$7)</f>
        <v>18610.418685278786</v>
      </c>
      <c r="L14" s="32">
        <f>IF(J14-InputData!$C$158-InputData!$C$159&gt;=0,J14-InputData!$C$158-InputData!$C$159,0)</f>
        <v>57228.605499249563</v>
      </c>
      <c r="M14" s="32">
        <f>IF(J14-IF(J14&lt;=InputData!$C$146,InputData!$C$145,0)-MAX(InputData!$C$144,S14)&gt;=0,J14-IF(J14&lt;=InputData!$C$146,InputData!$C$145,0)-MAX(InputData!$C$144,S14),0)</f>
        <v>47228.605499249563</v>
      </c>
      <c r="N14" s="32">
        <f>IF(M14&lt;0,"Error",IF(M14&lt;=InputData!$B$170,InputData!$C$170*M14,IF(M14&lt;=InputData!$B$171,InputData!$D$170+InputData!$C$171*(M14-InputData!$B$170),IF(M14&lt;=InputData!$B$172,InputData!$D$171+InputData!$C$172*(M14-InputData!$B$171),IF(M14&lt;=InputData!$B$173,InputData!$D$172+InputData!$C$173*(M14-InputData!$B$172),IF(M14&lt;=InputData!$B$174,InputData!$D$173+InputData!$C$174*(M14-InputData!$B$173),IF(M14&lt;=InputData!$B$175,InputData!$D$174+InputData!$C$175*(M14-InputData!$B$174),InputData!$D$175+InputData!$C$176*(M14-InputData!$B$175))))))))</f>
        <v>7735.9013748123907</v>
      </c>
      <c r="O14" s="32">
        <f>IF(J14&lt;=InputData!$C$150,InputData!$C$152,IF(J14&lt;InputData!$C$151,IF(InputData!$C$152-0.25*IF(J14-InputData!$C$150&lt;=0,0,J14-InputData!$C$150)&lt;=0,0,InputData!$C$152-0.25*IF(J14-InputData!$C$150&lt;=0,0,J14-InputData!$C$150)),0))</f>
        <v>51900</v>
      </c>
      <c r="P14" s="32">
        <f>IF(J14-O14&lt;=0,0,IF(J14-O14&lt;=InputData!$C$153,InputData!$C$154*(J14-O14),InputData!$C$155*(J14-O14)-InputData!$D$154))</f>
        <v>1385.4374298048863</v>
      </c>
      <c r="Q14" s="32">
        <f t="shared" si="31"/>
        <v>7735.9013748123907</v>
      </c>
      <c r="R14" s="32">
        <f>IF(J14&gt;=0,IF(J14&lt;=InputData!$C$148,InputData!$C$147*J14,InputData!$C$147*InputData!$C$148)+InputData!$C$149*J14,0)</f>
        <v>4377.9883206925915</v>
      </c>
      <c r="S14" s="32">
        <f>IF(L14&lt;0,0,IF(L14&lt;=InputData!$B$163,InputData!$C$163*L14,IF(L14&lt;=InputData!$B$164,InputData!$D$163+InputData!$C$164*(L14-InputData!$B$163),IF(L14&lt;=InputData!$B$165,InputData!$D$164+InputData!$C$165*(L14-InputData!$B$164),InputData!$D$165+InputData!$C$166*(L14-InputData!$B$165)))))</f>
        <v>0</v>
      </c>
      <c r="T14" s="43">
        <f t="shared" si="32"/>
        <v>0.21167543031716599</v>
      </c>
      <c r="U14" s="43">
        <f t="shared" si="33"/>
        <v>0.15973161345048389</v>
      </c>
      <c r="V14" s="5">
        <f t="shared" si="34"/>
        <v>63725.134489023359</v>
      </c>
      <c r="W14" s="32">
        <f>V14/((1+InputData!$C$7)^(GenSurg!$B14-GenSurg!$B$7))</f>
        <v>51814.365912238478</v>
      </c>
      <c r="X14" s="5">
        <f t="shared" si="111"/>
        <v>414930.34262192424</v>
      </c>
      <c r="Y14" s="53"/>
      <c r="Z14" s="3">
        <v>4</v>
      </c>
      <c r="AA14" s="97" t="s">
        <v>280</v>
      </c>
      <c r="AB14" s="5">
        <f t="shared" si="133"/>
        <v>56314.799999999996</v>
      </c>
      <c r="AC14" s="32">
        <f t="shared" si="134"/>
        <v>61314.719999999994</v>
      </c>
      <c r="AD14" s="32">
        <f t="shared" si="134"/>
        <v>19939.199999999997</v>
      </c>
      <c r="AE14" s="32">
        <f t="shared" si="35"/>
        <v>81253.919999999984</v>
      </c>
      <c r="AF14" s="5">
        <f>AC14*((1+InputData!$C$5)/(1+InputData!$C$3))^(GenSurg!$B14-GenSurg!$B$7)</f>
        <v>57228.605499249563</v>
      </c>
      <c r="AG14" s="5">
        <f>AD14*((1+InputData!$C$5)/(1+InputData!$C$3))^(GenSurg!$B14-GenSurg!$B$7)</f>
        <v>18610.418685278786</v>
      </c>
      <c r="AH14" s="32">
        <f>IF(AF14-InputData!$C$158-InputData!$C$159&gt;=0,AF14-InputData!$C$158-InputData!$C$159,0)</f>
        <v>57228.605499249563</v>
      </c>
      <c r="AI14" s="32">
        <f>IF(AF14-IF(AF14&lt;=InputData!$C$146,InputData!$C$145,0)-MAX(InputData!$C$144,AO14)&gt;=0,AF14-IF(AF14&lt;=InputData!$C$146,InputData!$C$145,0)-MAX(InputData!$C$144,AO14),0)</f>
        <v>47228.605499249563</v>
      </c>
      <c r="AJ14" s="32">
        <f>IF(AI14&lt;0,"Error",IF(AI14&lt;=InputData!$B$170,InputData!$C$170*AI14,IF(AI14&lt;=InputData!$B$171,InputData!$D$170+InputData!$C$171*(AI14-InputData!$B$170),IF(AI14&lt;=InputData!$B$172,InputData!$D$171+InputData!$C$172*(AI14-InputData!$B$171),IF(AI14&lt;=InputData!$B$173,InputData!$D$172+InputData!$C$173*(AI14-InputData!$B$172),IF(AI14&lt;=InputData!$B$174,InputData!$D$173+InputData!$C$174*(AI14-InputData!$B$173),IF(AI14&lt;=InputData!$B$175,InputData!$D$174+InputData!$C$175*(AI14-InputData!$B$174),InputData!$D$175+InputData!$C$176*(AI14-InputData!$B$175))))))))</f>
        <v>7735.9013748123907</v>
      </c>
      <c r="AK14" s="32">
        <f>IF(AF14&lt;=InputData!$C$150,InputData!$C$152,IF(AF14&lt;InputData!$C$151,IF(InputData!$C$152-0.25*IF(AF14-InputData!$C$150&lt;=0,0,AF14-InputData!$C$150)&lt;=0,0,InputData!$C$152-0.25*IF(AF14-InputData!$C$150&lt;=0,0,AF14-InputData!$C$150)),0))</f>
        <v>51900</v>
      </c>
      <c r="AL14" s="32">
        <f>IF(AF14-AK14&lt;=0,0,IF(AF14-AK14&lt;=InputData!$C$153,InputData!$C$154*(AF14-AK14),InputData!$C$155*(AF14-AK14)-InputData!$D$154))</f>
        <v>1385.4374298048863</v>
      </c>
      <c r="AM14" s="32">
        <f t="shared" si="36"/>
        <v>7735.9013748123907</v>
      </c>
      <c r="AN14" s="32">
        <f>IF(AF14&gt;=0,IF(AF14&lt;=InputData!$C$148,InputData!$C$147*AF14,InputData!$C$147*InputData!$C$148)+InputData!$C$149*AF14,0)</f>
        <v>4377.9883206925915</v>
      </c>
      <c r="AO14" s="32">
        <f>IF(AH14&lt;0,0,IF(AH14&lt;=InputData!$B$163,InputData!$C$163*AH14,IF(AH14&lt;=InputData!$B$164,InputData!$D$163+InputData!$C$164*(AH14-InputData!$B$163),IF(AH14&lt;=InputData!$B$165,InputData!$D$164+InputData!$C$165*(AH14-InputData!$B$164),InputData!$D$165+InputData!$C$166*(AH14-InputData!$B$165)))))</f>
        <v>0</v>
      </c>
      <c r="AP14" s="43">
        <f t="shared" si="37"/>
        <v>0.21167543031716599</v>
      </c>
      <c r="AQ14" s="43">
        <f t="shared" si="38"/>
        <v>0.15973161345048389</v>
      </c>
      <c r="AR14" s="5">
        <f t="shared" si="39"/>
        <v>63725.134489023359</v>
      </c>
      <c r="AS14" s="32">
        <f>AR14/((1+InputData!$C$7)^(GenSurg!$B14-GenSurg!$B$7))</f>
        <v>51814.365912238478</v>
      </c>
      <c r="AT14" s="5">
        <f t="shared" si="112"/>
        <v>322806.62031125103</v>
      </c>
      <c r="AU14" s="53"/>
      <c r="AV14" s="41" t="s">
        <v>1</v>
      </c>
      <c r="AW14" s="32">
        <f>AW13*(1+InputData!$C$9)</f>
        <v>64735.58859432357</v>
      </c>
      <c r="AX14" s="32">
        <v>0</v>
      </c>
      <c r="AY14" s="32">
        <f t="shared" si="41"/>
        <v>64735.58859432357</v>
      </c>
      <c r="AZ14" s="32">
        <f>AZ13*(1+InputData!$C$8)</f>
        <v>13198.398321290229</v>
      </c>
      <c r="BA14" s="32">
        <f>AW14/((1+InputData!$C$3)^(GenSurg!$B14-GenSurg!$B$7))</f>
        <v>56356.225569351176</v>
      </c>
      <c r="BB14" s="32">
        <f>AX14/((1+InputData!$C$3)^(GenSurg!$B14-GenSurg!$B$7))</f>
        <v>0</v>
      </c>
      <c r="BC14" s="32" t="s">
        <v>140</v>
      </c>
      <c r="BD14" s="32">
        <v>0</v>
      </c>
      <c r="BE14" s="32">
        <f>$BE$12</f>
        <v>212416.2</v>
      </c>
      <c r="BF14" s="32">
        <f>(BE14)*InputData!$C$6</f>
        <v>13191.046020000002</v>
      </c>
      <c r="BG14" s="32">
        <v>0</v>
      </c>
      <c r="BH14" s="32">
        <f t="shared" si="137"/>
        <v>258584.86107000004</v>
      </c>
      <c r="BI14" s="32">
        <f>BG14/((1+InputData!$C$3)^(GenSurg!$B14-GenSurg!$B$7))</f>
        <v>0</v>
      </c>
      <c r="BJ14" s="32">
        <f>IF(BA14-InputData!$C$158-InputData!$C$159&gt;=0,BA14-InputData!$C$158-InputData!$C$159,0)</f>
        <v>56356.225569351176</v>
      </c>
      <c r="BK14" s="32">
        <f>IF(BA14-IF(BA14&lt;=InputData!$C$146,InputData!$C$145,0)-MAX(InputData!$C$144,BQ14)&gt;=0,BA14-IF(BA14&lt;=InputData!$C$146,InputData!$C$145,0)-MAX(InputData!$C$144,BQ14),0)</f>
        <v>46356.225569351176</v>
      </c>
      <c r="BL14" s="32">
        <f>IF(BK14&lt;0,"Error",IF(BK14&lt;=InputData!$B$170,InputData!$C$170*BK14,IF(BK14&lt;=InputData!$B$171,InputData!$D$170+InputData!$C$171*(BK14-InputData!$B$170),IF(BK14&lt;=InputData!$B$172,InputData!$D$171+InputData!$C$172*(BK14-InputData!$B$171),IF(BK14&lt;=InputData!$B$173,InputData!$D$172+InputData!$C$173*(BK14-InputData!$B$172),IF(BK14&lt;=InputData!$B$174,InputData!$D$173+InputData!$C$174*(BK14-InputData!$B$173),IF(BK14&lt;=InputData!$B$175,InputData!$D$174+InputData!$C$175*(BK14-InputData!$B$174),InputData!$D$175+InputData!$C$176*(BK14-InputData!$B$175))))))))</f>
        <v>7517.806392337794</v>
      </c>
      <c r="BM14" s="32">
        <f>IF(BA14&lt;=InputData!$C$150,InputData!$C$152,IF(BA14&lt;InputData!$C$151,IF(InputData!$C$152-0.25*IF(BA14-InputData!$C$150&lt;=0,0,BA14-InputData!$C$150)&lt;=0,0,InputData!$C$152-0.25*IF(BA14-InputData!$C$150&lt;=0,0,BA14-InputData!$C$150)),0))</f>
        <v>51900</v>
      </c>
      <c r="BN14" s="32">
        <f>IF(BA14-BM14&lt;=0,0,IF(BA14-BM14&lt;=InputData!$C$153,InputData!$C$154*(BA14-BM14),InputData!$C$155*(BA14-BM14)-InputData!$D$154))</f>
        <v>1158.6186480313058</v>
      </c>
      <c r="BO14" s="32">
        <f t="shared" si="42"/>
        <v>7517.806392337794</v>
      </c>
      <c r="BP14" s="32">
        <f>IF(BA14&gt;=0,IF(BA14&lt;=InputData!$C$148,InputData!$C$147*BA14,InputData!$C$147*InputData!$C$148)+InputData!$C$149*BA14,0)</f>
        <v>4311.251256055365</v>
      </c>
      <c r="BQ14" s="32">
        <f>IF(BJ14&lt;0,0,IF(BJ14&lt;=InputData!$B$163,InputData!$C$163*BJ14,IF(BJ14&lt;=InputData!$B$164,InputData!$D$163+InputData!$C$164*(BJ14-InputData!$B$163),IF(BJ14&lt;=InputData!$B$165,InputData!$D$164+InputData!$C$165*(BJ14-InputData!$B$164),InputData!$D$165+InputData!$C$166*(BJ14-InputData!$B$165)))))</f>
        <v>0</v>
      </c>
      <c r="BR14" s="43">
        <f t="shared" si="43"/>
        <v>0.20989797540356012</v>
      </c>
      <c r="BS14" s="32">
        <f t="shared" si="44"/>
        <v>44527.167920958018</v>
      </c>
      <c r="BT14" s="32">
        <f t="shared" si="45"/>
        <v>44527.167920958018</v>
      </c>
      <c r="BU14" s="32">
        <f>BT14/((1+InputData!$C$7)^(GenSurg!$B14-GenSurg!$B$7))</f>
        <v>36204.662260691053</v>
      </c>
      <c r="BV14" s="5">
        <f t="shared" si="114"/>
        <v>-46699.992676364229</v>
      </c>
      <c r="BW14" s="5"/>
      <c r="BX14" s="32" t="s">
        <v>140</v>
      </c>
      <c r="BY14" s="5">
        <f t="shared" si="46"/>
        <v>212416.2</v>
      </c>
      <c r="BZ14" s="5">
        <f t="shared" si="47"/>
        <v>13191.046020000002</v>
      </c>
      <c r="CA14" s="5">
        <v>0</v>
      </c>
      <c r="CB14" s="5">
        <f t="shared" si="48"/>
        <v>258584.86107000004</v>
      </c>
      <c r="CC14" s="32">
        <f>CA14/((1+InputData!$C$3)^(GenSurg!$B14-GenSurg!$B$7))</f>
        <v>0</v>
      </c>
      <c r="CD14" s="5">
        <f t="shared" si="49"/>
        <v>44527.167920958018</v>
      </c>
      <c r="CE14" s="32">
        <f>CD14/((1+InputData!$C$7)^(GenSurg!$B14-GenSurg!$B$7))</f>
        <v>36204.662260691053</v>
      </c>
      <c r="CF14" s="5">
        <f t="shared" si="115"/>
        <v>-46699.992676364229</v>
      </c>
      <c r="CG14" s="5"/>
      <c r="CH14" s="32" t="s">
        <v>140</v>
      </c>
      <c r="CI14" s="5">
        <f t="shared" si="50"/>
        <v>212416.2</v>
      </c>
      <c r="CJ14" s="5">
        <f t="shared" si="51"/>
        <v>13191.046020000002</v>
      </c>
      <c r="CK14" s="5">
        <v>0</v>
      </c>
      <c r="CL14" s="5">
        <f t="shared" si="52"/>
        <v>258584.86107000004</v>
      </c>
      <c r="CM14" s="32">
        <f>CK14/((1+InputData!$C$3)^(GenSurg!$B14-GenSurg!$B$7))</f>
        <v>0</v>
      </c>
      <c r="CN14" s="5">
        <f t="shared" si="53"/>
        <v>44527.167920958018</v>
      </c>
      <c r="CO14" s="32">
        <f>CN14/((1+InputData!$C$7)^(GenSurg!$B14-GenSurg!$B$7))</f>
        <v>36204.662260691053</v>
      </c>
      <c r="CP14" s="5">
        <f t="shared" si="116"/>
        <v>-46699.992676364229</v>
      </c>
      <c r="CQ14" s="5"/>
      <c r="CR14" s="32" t="s">
        <v>140</v>
      </c>
      <c r="CS14" s="5">
        <f t="shared" si="54"/>
        <v>212416.2</v>
      </c>
      <c r="CT14" s="5">
        <f t="shared" si="55"/>
        <v>13191.046020000002</v>
      </c>
      <c r="CU14" s="5">
        <v>0</v>
      </c>
      <c r="CV14" s="5">
        <f t="shared" si="56"/>
        <v>258584.86107000004</v>
      </c>
      <c r="CW14" s="32">
        <f>CU14/((1+InputData!$C$3)^(GenSurg!$B14-GenSurg!$B$7))</f>
        <v>0</v>
      </c>
      <c r="CX14" s="5">
        <f t="shared" si="57"/>
        <v>44527.167920958018</v>
      </c>
      <c r="CY14" s="32">
        <f>CX14/((1+InputData!$C$7)^(GenSurg!$B14-GenSurg!$B$7))</f>
        <v>36204.662260691053</v>
      </c>
      <c r="CZ14" s="5">
        <f t="shared" si="117"/>
        <v>-46699.992676364229</v>
      </c>
      <c r="DA14" s="5"/>
      <c r="DB14" s="32" t="s">
        <v>141</v>
      </c>
      <c r="DC14" s="5">
        <f t="shared" si="138"/>
        <v>170510.19525334824</v>
      </c>
      <c r="DD14" s="5">
        <f>DC14*InputData!$C$6</f>
        <v>10588.683125232927</v>
      </c>
      <c r="DE14" s="32">
        <f t="shared" si="139"/>
        <v>29148.379963889372</v>
      </c>
      <c r="DF14" s="32">
        <f t="shared" si="140"/>
        <v>151950.4984146918</v>
      </c>
      <c r="DG14" s="32">
        <f>DE14/((1+InputData!$C$3)^(GenSurg!$B14-GenSurg!$B$7))</f>
        <v>25375.418867669763</v>
      </c>
      <c r="DH14" s="5">
        <f t="shared" si="61"/>
        <v>19151.749053288255</v>
      </c>
      <c r="DI14" s="32">
        <f>DH14/((1+InputData!$C$7)^(GenSurg!$B14-GenSurg!$B$7))</f>
        <v>15572.124582606792</v>
      </c>
      <c r="DJ14" s="5">
        <f t="shared" si="118"/>
        <v>-123745.30670550409</v>
      </c>
      <c r="DK14" s="5"/>
      <c r="DL14" s="32" t="s">
        <v>141</v>
      </c>
      <c r="DM14" s="133">
        <f>IF(0.15*($AY14-1.5*$AZ14)&lt;=$DD$2,DQ13-DO13,DQ13)</f>
        <v>212416.2</v>
      </c>
      <c r="DN14" s="5">
        <f>DM14*InputData!$C$6</f>
        <v>13191.046020000002</v>
      </c>
      <c r="DO14" s="133">
        <f>DO13+DN14-DP14</f>
        <v>22036.206155447937</v>
      </c>
      <c r="DP14" s="32">
        <f t="shared" si="130"/>
        <v>6740.698666858234</v>
      </c>
      <c r="DQ14" s="32">
        <f t="shared" si="131"/>
        <v>234452.40615544797</v>
      </c>
      <c r="DR14" s="32">
        <f>DP14/((1+InputData!$C$3)^(GenSurg!$B14-GenSurg!$B$7))</f>
        <v>5868.1838354026759</v>
      </c>
      <c r="DS14" s="5">
        <f t="shared" si="65"/>
        <v>38658.984085555341</v>
      </c>
      <c r="DT14" s="32">
        <f>DS14/((1+InputData!$C$7)^(GenSurg!$B14-GenSurg!$B$7))</f>
        <v>31433.291797122853</v>
      </c>
      <c r="DU14" s="5">
        <f t="shared" si="120"/>
        <v>-65035.922086779574</v>
      </c>
      <c r="DV14" s="5"/>
      <c r="DW14" s="32" t="s">
        <v>141</v>
      </c>
      <c r="DX14" s="133">
        <f t="shared" si="141"/>
        <v>212416.2</v>
      </c>
      <c r="DY14" s="5">
        <f>DX14*InputData!$C$6</f>
        <v>13191.046020000002</v>
      </c>
      <c r="DZ14" s="133">
        <f t="shared" si="142"/>
        <v>30080.35779363196</v>
      </c>
      <c r="EA14" s="32">
        <f t="shared" si="143"/>
        <v>4493.7991112388227</v>
      </c>
      <c r="EB14" s="32">
        <f t="shared" si="144"/>
        <v>242496.55779363198</v>
      </c>
      <c r="EC14" s="32">
        <f>EA14/((1+InputData!$C$3)^(GenSurg!$B14-GenSurg!$B$7))</f>
        <v>3912.1225569351172</v>
      </c>
      <c r="ED14" s="5">
        <f t="shared" si="69"/>
        <v>40615.045364022903</v>
      </c>
      <c r="EE14" s="32">
        <f>ED14/((1+InputData!$C$7)^(GenSurg!$B14-GenSurg!$B$7))</f>
        <v>33023.748618312253</v>
      </c>
      <c r="EF14" s="5">
        <f t="shared" si="122"/>
        <v>-58923.94561664114</v>
      </c>
      <c r="EG14" s="32"/>
      <c r="EH14" s="130" t="s">
        <v>140</v>
      </c>
      <c r="EI14" s="32">
        <v>0</v>
      </c>
      <c r="EJ14" s="32">
        <f t="shared" si="135"/>
        <v>185472.36</v>
      </c>
      <c r="EK14" s="32">
        <f>(EJ14)*InputData!$C$6</f>
        <v>11517.833556</v>
      </c>
      <c r="EL14" s="32">
        <f t="shared" si="132"/>
        <v>260053.20557999998</v>
      </c>
      <c r="EM14" s="32">
        <f>EM13*(1+InputData!$C$8)</f>
        <v>13198.398321290229</v>
      </c>
      <c r="EN14" s="32">
        <v>0</v>
      </c>
      <c r="EO14" s="32">
        <f>AW14/((1+InputData!$C$3)^(GenSurg!$B14-GenSurg!$B$7))</f>
        <v>56356.225569351176</v>
      </c>
      <c r="EP14" s="32">
        <f>AX14/((1+InputData!$C$3)^(GenSurg!$B14-GenSurg!$B$7))</f>
        <v>0</v>
      </c>
      <c r="EQ14" s="32">
        <v>7681.56</v>
      </c>
      <c r="ER14" s="32">
        <v>3747.69</v>
      </c>
      <c r="ES14" s="32">
        <v>0</v>
      </c>
      <c r="ET14" s="43">
        <f t="shared" si="136"/>
        <v>0.20280368112898772</v>
      </c>
      <c r="EU14" s="32">
        <f t="shared" si="70"/>
        <v>44926.975569351176</v>
      </c>
      <c r="EV14" s="32">
        <f>EN14/((1+InputData!$C$3)^(GenSurg!$B14-GenSurg!$B$7))</f>
        <v>0</v>
      </c>
      <c r="EW14" s="32">
        <f t="shared" si="71"/>
        <v>44926.975569351176</v>
      </c>
      <c r="EX14" s="32">
        <f>EW14/((1+InputData!$C$7)^(GenSurg!$B14-GenSurg!$B$7))</f>
        <v>36529.742465769676</v>
      </c>
      <c r="EY14" s="5">
        <f t="shared" si="124"/>
        <v>-45448.35350676551</v>
      </c>
      <c r="EZ14" s="79"/>
      <c r="FA14" s="32">
        <f t="shared" si="72"/>
        <v>185472.36</v>
      </c>
      <c r="FB14" s="32">
        <f t="shared" si="73"/>
        <v>11517.833556</v>
      </c>
      <c r="FC14" s="32">
        <f t="shared" si="74"/>
        <v>260053.20557999998</v>
      </c>
      <c r="FD14" s="32">
        <v>0</v>
      </c>
      <c r="FE14" s="32">
        <f>FD14/((1+InputData!$C$3)^(GenSurg!$B14-GenSurg!$B$7))</f>
        <v>0</v>
      </c>
      <c r="FF14" s="5">
        <f t="shared" si="75"/>
        <v>44926.975569351176</v>
      </c>
      <c r="FG14" s="32">
        <f>FF14/((1+InputData!$C$7)^(GenSurg!$B14-GenSurg!$B$7))</f>
        <v>36529.742465769676</v>
      </c>
      <c r="FH14" s="5">
        <f t="shared" si="125"/>
        <v>-45448.35350676551</v>
      </c>
      <c r="FI14" s="79"/>
      <c r="FJ14" s="32">
        <f t="shared" si="76"/>
        <v>185472.36</v>
      </c>
      <c r="FK14" s="32">
        <f>FJ14*InputData!$C$6</f>
        <v>11517.833556</v>
      </c>
      <c r="FL14" s="32">
        <f>FL13+$EI14+FK14-FM14</f>
        <v>260053.20557999998</v>
      </c>
      <c r="FM14" s="32">
        <v>0</v>
      </c>
      <c r="FN14" s="32">
        <f>FM14/((1+InputData!$C$3)^(GenSurg!$B14-GenSurg!$B$7))</f>
        <v>0</v>
      </c>
      <c r="FO14" s="5">
        <f t="shared" si="79"/>
        <v>44926.975569351176</v>
      </c>
      <c r="FP14" s="32">
        <f>FO14/((1+InputData!$C$7)^(GenSurg!$B14-GenSurg!$B$7))</f>
        <v>36529.742465769676</v>
      </c>
      <c r="FQ14" s="5">
        <f t="shared" si="126"/>
        <v>-45448.35350676551</v>
      </c>
      <c r="FR14" s="79"/>
      <c r="FS14" s="32">
        <f t="shared" si="80"/>
        <v>185472.36</v>
      </c>
      <c r="FT14" s="32">
        <f>FS14*InputData!$C$6</f>
        <v>11517.833556</v>
      </c>
      <c r="FU14" s="32">
        <f>FU13+$EI14+FT14-FV14</f>
        <v>260053.20557999998</v>
      </c>
      <c r="FV14" s="32">
        <v>0</v>
      </c>
      <c r="FW14" s="32">
        <f>FV14/((1+InputData!$C$3)^(GenSurg!$B14-GenSurg!$B$7))</f>
        <v>0</v>
      </c>
      <c r="FX14" s="5">
        <f t="shared" si="83"/>
        <v>44926.975569351176</v>
      </c>
      <c r="FY14" s="32">
        <f>FX14/((1+InputData!$C$7)^(GenSurg!$B14-GenSurg!$B$7))</f>
        <v>36529.742465769676</v>
      </c>
      <c r="FZ14" s="5">
        <f t="shared" si="127"/>
        <v>-45448.35350676551</v>
      </c>
      <c r="GC14" s="3">
        <f t="shared" si="1"/>
        <v>4</v>
      </c>
      <c r="GD14" s="4" t="str">
        <f t="shared" si="2"/>
        <v>Residency (O3&gt;3 = (BP+BAH+BAS+VSP)*12)</v>
      </c>
      <c r="GE14" s="5">
        <f t="shared" si="3"/>
        <v>61314.719999999994</v>
      </c>
      <c r="GF14" s="5">
        <f t="shared" si="4"/>
        <v>19939.199999999997</v>
      </c>
      <c r="GG14" s="5">
        <f t="shared" si="5"/>
        <v>81253.919999999984</v>
      </c>
      <c r="GH14" s="5">
        <f t="shared" si="6"/>
        <v>57228.605499249563</v>
      </c>
      <c r="GI14" s="5">
        <f t="shared" si="7"/>
        <v>18610.418685278786</v>
      </c>
      <c r="GJ14" s="32">
        <f>IF(GH14-InputData!$C$158-InputData!$C$159&gt;=0,GH14-InputData!$C$158-InputData!$C$159,0)</f>
        <v>57228.605499249563</v>
      </c>
      <c r="GK14" s="32">
        <f>IF(GH14-IF(GH14&lt;=InputData!$C$146,InputData!$C$145,0)-MAX(InputData!$C$144,GQ14)&gt;=0,GH14-IF(GH14&lt;=InputData!$C$146,InputData!$C$145,0)-MAX(InputData!$C$144,GQ14),0)</f>
        <v>47228.605499249563</v>
      </c>
      <c r="GL14" s="32">
        <f>IF(GK14&lt;0,"Error",IF(GK14&lt;=InputData!$B$170,InputData!$C$170*GK14,IF(GK14&lt;=InputData!$B$171,InputData!$D$170+InputData!$C$171*(GK14-InputData!$B$170),IF(GK14&lt;=InputData!$B$172,InputData!$D$171+InputData!$C$172*(GK14-InputData!$B$171),IF(GK14&lt;=InputData!$B$173,InputData!$D$172+InputData!$C$173*(GK14-InputData!$B$172),IF(GK14&lt;=InputData!$B$174,InputData!$D$173+InputData!$C$174*(GK14-InputData!$B$173),IF(GK14&lt;=InputData!$B$175,InputData!$D$174+InputData!$C$175*(GK14-InputData!$B$174),InputData!$D$175+InputData!$C$176*(GK14-InputData!$B$175))))))))</f>
        <v>7735.9013748123907</v>
      </c>
      <c r="GM14" s="32">
        <f>IF(GH14&lt;=InputData!$C$150,InputData!$C$152,IF(GH14&lt;InputData!$C$151,IF(InputData!$C$152-0.25*IF(GH14-InputData!$C$150&lt;=0,0,GH14-InputData!$C$150)&lt;=0,0,InputData!$C$152-0.25*IF(GH14-InputData!$C$150&lt;=0,0,GH14-InputData!$C$150)),0))</f>
        <v>51900</v>
      </c>
      <c r="GN14" s="32">
        <f>IF(GH14-GM14&lt;=0,0,IF(GH14-GM14&lt;=InputData!$C$153,InputData!$C$154*(GH14-GM14),InputData!$C$155*(GH14-GM14)-InputData!$D$154))</f>
        <v>1385.4374298048863</v>
      </c>
      <c r="GO14" s="32">
        <f t="shared" si="84"/>
        <v>7735.9013748123907</v>
      </c>
      <c r="GP14" s="32">
        <f>IF(GH14&gt;=0,IF(GH14&lt;=InputData!$C$148,InputData!$C$147*GH14,InputData!$C$147*InputData!$C$148)+InputData!$C$149*GH14,0)</f>
        <v>4377.9883206925915</v>
      </c>
      <c r="GQ14" s="32">
        <f>IF(GJ14&lt;0,0,IF(GJ14&lt;=InputData!$B$163,InputData!$C$163*GJ14,IF(GJ14&lt;=InputData!$B$164,InputData!$D$163+InputData!$C$164*(GJ14-InputData!$B$163),IF(GJ14&lt;=InputData!$B$165,InputData!$D$164+InputData!$C$165*(GJ14-InputData!$B$164),InputData!$D$165+InputData!$C$166*(GJ14-InputData!$B$165)))))</f>
        <v>0</v>
      </c>
      <c r="GR14" s="43">
        <f t="shared" si="85"/>
        <v>0.21167543031716599</v>
      </c>
      <c r="GS14" s="43">
        <f t="shared" si="86"/>
        <v>0.15973161345048389</v>
      </c>
      <c r="GT14" s="5">
        <f t="shared" si="87"/>
        <v>63725.134489023359</v>
      </c>
      <c r="GU14" s="32">
        <f>GT14/((1+InputData!$C$7)^(GenSurg!$B14-GenSurg!$B$7))</f>
        <v>51814.365912238478</v>
      </c>
      <c r="GV14" s="32">
        <f t="shared" si="88"/>
        <v>414930.34262192424</v>
      </c>
      <c r="GX14" s="3">
        <f t="shared" si="8"/>
        <v>4</v>
      </c>
      <c r="GY14" s="4" t="str">
        <f t="shared" si="9"/>
        <v>Residency (O3&gt;3 = (BP+BAH+BAS+VSP+BCPSP)*12)</v>
      </c>
      <c r="GZ14" s="5">
        <f t="shared" si="10"/>
        <v>61314.719999999994</v>
      </c>
      <c r="HA14" s="5">
        <f t="shared" si="11"/>
        <v>19939.199999999997</v>
      </c>
      <c r="HB14" s="5">
        <f t="shared" si="12"/>
        <v>81253.919999999984</v>
      </c>
      <c r="HC14" s="5">
        <f t="shared" si="13"/>
        <v>57228.605499249563</v>
      </c>
      <c r="HD14" s="5">
        <f t="shared" si="14"/>
        <v>18610.418685278786</v>
      </c>
      <c r="HE14" s="32">
        <f>IF(HC14-InputData!$C$158-InputData!$C$159&gt;=0,HC14-InputData!$C$158-InputData!$C$159,0)</f>
        <v>57228.605499249563</v>
      </c>
      <c r="HF14" s="32">
        <f>IF(HC14-IF(HC14&lt;=InputData!$C$146,InputData!$C$145,0)-MAX(InputData!$C$144,HL14)&gt;=0,HC14-IF(HC14&lt;=InputData!$C$146,InputData!$C$145,0)-MAX(InputData!$C$144,HL14),0)</f>
        <v>47228.605499249563</v>
      </c>
      <c r="HG14" s="32">
        <f>IF(HF14&lt;0,"Error",IF(HF14&lt;=InputData!$B$170,InputData!$C$170*HF14,IF(HF14&lt;=InputData!$B$171,InputData!$D$170+InputData!$C$171*(HF14-InputData!$B$170),IF(HF14&lt;=InputData!$B$172,InputData!$D$171+InputData!$C$172*(HF14-InputData!$B$171),IF(HF14&lt;=InputData!$B$173,InputData!$D$172+InputData!$C$173*(HF14-InputData!$B$172),IF(HF14&lt;=InputData!$B$174,InputData!$D$173+InputData!$C$174*(HF14-InputData!$B$173),IF(HF14&lt;=InputData!$B$175,InputData!$D$174+InputData!$C$175*(HF14-InputData!$B$174),InputData!$D$175+InputData!$C$176*(HF14-InputData!$B$175))))))))</f>
        <v>7735.9013748123907</v>
      </c>
      <c r="HH14" s="32">
        <f>IF(HC14&lt;=InputData!$C$150,InputData!$C$152,IF(HC14&lt;InputData!$C$151,IF(InputData!$C$152-0.25*IF(HC14-InputData!$C$150&lt;=0,0,HC14-InputData!$C$150)&lt;=0,0,InputData!$C$152-0.25*IF(HC14-InputData!$C$150&lt;=0,0,HC14-InputData!$C$150)),0))</f>
        <v>51900</v>
      </c>
      <c r="HI14" s="32">
        <f>IF(HC14-HH14&lt;=0,0,IF(HC14-HH14&lt;=InputData!$C$153,InputData!$C$154*(HC14-HH14),InputData!$C$155*(HC14-HH14)-InputData!$D$154))</f>
        <v>1385.4374298048863</v>
      </c>
      <c r="HJ14" s="32">
        <f t="shared" si="89"/>
        <v>7735.9013748123907</v>
      </c>
      <c r="HK14" s="32">
        <f>IF(HC14&gt;=0,IF(HC14&lt;=InputData!$C$148,InputData!$C$147*HC14,InputData!$C$147*InputData!$C$148)+InputData!$C$149*HC14,0)</f>
        <v>4377.9883206925915</v>
      </c>
      <c r="HL14" s="32">
        <f>IF(HE14&lt;0,0,IF(HE14&lt;=InputData!$B$163,InputData!$C$163*HE14,IF(HE14&lt;=InputData!$B$164,InputData!$D$163+InputData!$C$164*(HE14-InputData!$B$163),IF(HE14&lt;=InputData!$B$165,InputData!$D$164+InputData!$C$165*(HE14-InputData!$B$164),InputData!$D$165+InputData!$C$166*(HE14-InputData!$B$165)))))</f>
        <v>0</v>
      </c>
      <c r="HM14" s="43">
        <f t="shared" si="90"/>
        <v>0.21167543031716599</v>
      </c>
      <c r="HN14" s="43">
        <f t="shared" si="91"/>
        <v>0.15973161345048389</v>
      </c>
      <c r="HO14" s="5">
        <f t="shared" si="92"/>
        <v>63725.134489023359</v>
      </c>
      <c r="HP14" s="32">
        <f>HO14/((1+InputData!$C$7)^(GenSurg!$B14-GenSurg!$B$7))</f>
        <v>51814.365912238478</v>
      </c>
      <c r="HQ14" s="32">
        <f t="shared" si="93"/>
        <v>322806.62031125103</v>
      </c>
      <c r="HS14" s="93">
        <f t="shared" si="94"/>
        <v>4</v>
      </c>
      <c r="HT14" s="5" t="str">
        <f t="shared" si="95"/>
        <v>Residency (O3&gt;3 = (BP+BAH+BAS+VSP)*12)</v>
      </c>
      <c r="HU14" s="5">
        <f t="shared" si="15"/>
        <v>61314.719999999994</v>
      </c>
      <c r="HV14" s="5">
        <f t="shared" si="16"/>
        <v>19939.199999999997</v>
      </c>
      <c r="HW14" s="5">
        <f t="shared" si="17"/>
        <v>81253.919999999984</v>
      </c>
      <c r="HX14" s="5">
        <f t="shared" si="18"/>
        <v>57228.605499249563</v>
      </c>
      <c r="HY14" s="5">
        <f t="shared" si="19"/>
        <v>18610.418685278786</v>
      </c>
      <c r="HZ14" s="32">
        <f>IF(HX14-InputData!$C$158-InputData!$C$159&gt;=0,HX14-InputData!$C$158-InputData!$C$159,0)</f>
        <v>57228.605499249563</v>
      </c>
      <c r="IA14" s="32">
        <f>IF(HX14-IF(HX14&lt;=InputData!$C$146,InputData!$C$145,0)-MAX(InputData!$C$144,IG14)&gt;=0,HX14-IF(HX14&lt;=InputData!$C$146,InputData!$C$145,0)-MAX(InputData!$C$144,IG14),0)</f>
        <v>47228.605499249563</v>
      </c>
      <c r="IB14" s="32">
        <f>IF(IA14&lt;0,"Error",IF(IA14&lt;=InputData!$B$170,InputData!$C$170*IA14,IF(IA14&lt;=InputData!$B$171,InputData!$D$170+InputData!$C$171*(IA14-InputData!$B$170),IF(IA14&lt;=InputData!$B$172,InputData!$D$171+InputData!$C$172*(IA14-InputData!$B$171),IF(IA14&lt;=InputData!$B$173,InputData!$D$172+InputData!$C$173*(IA14-InputData!$B$172),IF(IA14&lt;=InputData!$B$174,InputData!$D$173+InputData!$C$174*(IA14-InputData!$B$173),IF(IA14&lt;=InputData!$B$175,InputData!$D$174+InputData!$C$175*(IA14-InputData!$B$174),InputData!$D$175+InputData!$C$176*(IA14-InputData!$B$175))))))))</f>
        <v>7735.9013748123907</v>
      </c>
      <c r="IC14" s="32">
        <f>IF(HX14&lt;=InputData!$C$150,InputData!$C$152,IF(HX14&lt;InputData!$C$151,IF(InputData!$C$152-0.25*IF(HX14-InputData!$C$150&lt;=0,0,HX14-InputData!$C$150)&lt;=0,0,InputData!$C$152-0.25*IF(HX14-InputData!$C$150&lt;=0,0,HX14-InputData!$C$150)),0))</f>
        <v>51900</v>
      </c>
      <c r="ID14" s="32">
        <f>IF(HX14-IC14&lt;=0,0,IF(HX14-IC14&lt;=InputData!$C$153,InputData!$C$154*(HX14-IC14),InputData!$C$155*(HX14-IC14)-InputData!$D$154))</f>
        <v>1385.4374298048863</v>
      </c>
      <c r="IE14" s="32">
        <f t="shared" si="96"/>
        <v>7735.9013748123907</v>
      </c>
      <c r="IF14" s="32">
        <f>IF(HX14&gt;=0,IF(HX14&lt;=InputData!$C$148,InputData!$C$147*HX14,InputData!$C$147*InputData!$C$148)+InputData!$C$149*HX14,0)</f>
        <v>4377.9883206925915</v>
      </c>
      <c r="IG14" s="32">
        <f>IF(HZ14&lt;0,0,IF(HZ14&lt;=InputData!$B$163,InputData!$C$163*HZ14,IF(HZ14&lt;=InputData!$B$164,InputData!$D$163+InputData!$C$164*(HZ14-InputData!$B$163),IF(HZ14&lt;=InputData!$B$165,InputData!$D$164+InputData!$C$165*(HZ14-InputData!$B$164),InputData!$D$165+InputData!$C$166*(HZ14-InputData!$B$165)))))</f>
        <v>0</v>
      </c>
      <c r="IH14" s="43">
        <f t="shared" si="97"/>
        <v>0.21167543031716599</v>
      </c>
      <c r="II14" s="43">
        <f t="shared" si="98"/>
        <v>0.15973161345048389</v>
      </c>
      <c r="IJ14" s="5">
        <f t="shared" si="20"/>
        <v>63725.134489023359</v>
      </c>
      <c r="IK14" s="32">
        <f>IJ14/((1+InputData!$C$7)^(GenSurg!$B14-GenSurg!$B$7))</f>
        <v>51814.365912238478</v>
      </c>
      <c r="IL14" s="5">
        <f t="shared" si="99"/>
        <v>414930.34262192424</v>
      </c>
      <c r="IN14" s="93">
        <f t="shared" si="100"/>
        <v>4</v>
      </c>
      <c r="IO14" s="5" t="str">
        <f t="shared" si="101"/>
        <v>Residency (O3&gt;3 = (BP+BAH+BAS+VSP+BCPSP)*12)</v>
      </c>
      <c r="IP14" s="5">
        <f t="shared" si="21"/>
        <v>61314.719999999994</v>
      </c>
      <c r="IQ14" s="5">
        <f t="shared" si="22"/>
        <v>19939.199999999997</v>
      </c>
      <c r="IR14" s="5">
        <f t="shared" si="23"/>
        <v>81253.919999999984</v>
      </c>
      <c r="IS14" s="5">
        <f t="shared" si="24"/>
        <v>57228.605499249563</v>
      </c>
      <c r="IT14" s="5">
        <f t="shared" si="25"/>
        <v>18610.418685278786</v>
      </c>
      <c r="IU14" s="32">
        <f>IF(IS14-InputData!$C$158-InputData!$C$159&gt;=0,IS14-InputData!$C$158-InputData!$C$159,0)</f>
        <v>57228.605499249563</v>
      </c>
      <c r="IV14" s="32">
        <f>IF(IS14-IF(IS14&lt;=InputData!$C$146,InputData!$C$145,0)-MAX(InputData!$C$144,JB14)&gt;=0,IS14-IF(IS14&lt;=InputData!$C$146,InputData!$C$145,0)-MAX(InputData!$C$144,JB14),0)</f>
        <v>47228.605499249563</v>
      </c>
      <c r="IW14" s="32">
        <f>IF(IV14&lt;0,"Error",IF(IV14&lt;=InputData!$B$170,InputData!$C$170*IV14,IF(IV14&lt;=InputData!$B$171,InputData!$D$170+InputData!$C$171*(IV14-InputData!$B$170),IF(IV14&lt;=InputData!$B$172,InputData!$D$171+InputData!$C$172*(IV14-InputData!$B$171),IF(IV14&lt;=InputData!$B$173,InputData!$D$172+InputData!$C$173*(IV14-InputData!$B$172),IF(IV14&lt;=InputData!$B$174,InputData!$D$173+InputData!$C$174*(IV14-InputData!$B$173),IF(IV14&lt;=InputData!$B$175,InputData!$D$174+InputData!$C$175*(IV14-InputData!$B$174),InputData!$D$175+InputData!$C$176*(IV14-InputData!$B$175))))))))</f>
        <v>7735.9013748123907</v>
      </c>
      <c r="IX14" s="32">
        <f>IF(IS14&lt;=InputData!$C$150,InputData!$C$152,IF(IS14&lt;InputData!$C$151,IF(InputData!$C$152-0.25*IF(IS14-InputData!$C$150&lt;=0,0,IS14-InputData!$C$150)&lt;=0,0,InputData!$C$152-0.25*IF(IS14-InputData!$C$150&lt;=0,0,IS14-InputData!$C$150)),0))</f>
        <v>51900</v>
      </c>
      <c r="IY14" s="32">
        <f>IF(IS14-IX14&lt;=0,0,IF(IS14-IX14&lt;=InputData!$C$153,InputData!$C$154*(IS14-IX14),InputData!$C$155*(IS14-IX14)-InputData!$D$154))</f>
        <v>1385.4374298048863</v>
      </c>
      <c r="IZ14" s="32">
        <f t="shared" si="102"/>
        <v>7735.9013748123907</v>
      </c>
      <c r="JA14" s="32">
        <f>IF(IS14&gt;=0,IF(IS14&lt;=InputData!$C$148,InputData!$C$147*IS14,InputData!$C$147*InputData!$C$148)+InputData!$C$149*IS14,0)</f>
        <v>4377.9883206925915</v>
      </c>
      <c r="JB14" s="32">
        <f>IF(IU14&lt;0,0,IF(IU14&lt;=InputData!$B$163,InputData!$C$163*IU14,IF(IU14&lt;=InputData!$B$164,InputData!$D$163+InputData!$C$164*(IU14-InputData!$B$163),IF(IU14&lt;=InputData!$B$165,InputData!$D$164+InputData!$C$165*(IU14-InputData!$B$164),InputData!$D$165+InputData!$C$166*(IU14-InputData!$B$165)))))</f>
        <v>0</v>
      </c>
      <c r="JC14" s="43">
        <f t="shared" si="103"/>
        <v>0.21167543031716599</v>
      </c>
      <c r="JD14" s="43">
        <f t="shared" si="104"/>
        <v>0.15973161345048389</v>
      </c>
      <c r="JE14" s="5">
        <f t="shared" si="105"/>
        <v>63725.134489023359</v>
      </c>
      <c r="JF14" s="32">
        <f>JE14/((1+InputData!$C$7)^(GenSurg!$B14-GenSurg!$B$7))</f>
        <v>51814.365912238478</v>
      </c>
      <c r="JG14" s="5">
        <f t="shared" si="106"/>
        <v>322806.62031125103</v>
      </c>
      <c r="JI14" s="41" t="str">
        <f t="shared" si="26"/>
        <v>Residency</v>
      </c>
      <c r="JJ14" s="5">
        <f t="shared" si="27"/>
        <v>64735.58859432357</v>
      </c>
      <c r="JK14" s="32">
        <v>0</v>
      </c>
      <c r="JL14" s="32">
        <f t="shared" si="108"/>
        <v>64735.58859432357</v>
      </c>
      <c r="JM14" s="32">
        <f>JM13*(1+InputData!$C$8)</f>
        <v>13198.398321290229</v>
      </c>
      <c r="JN14" s="32">
        <f>JJ14/((1+InputData!$C$3)^(GenSurg!$B14-GenSurg!$B$7))</f>
        <v>56356.225569351176</v>
      </c>
      <c r="JO14" s="32">
        <f>JK14/((1+InputData!$C$3)^(GenSurg!$B14-GenSurg!$B$7))</f>
        <v>0</v>
      </c>
      <c r="JP14" s="32" t="s">
        <v>140</v>
      </c>
      <c r="JQ14" s="32">
        <v>0</v>
      </c>
      <c r="JR14" s="32">
        <f>JR12</f>
        <v>0</v>
      </c>
      <c r="JS14" s="32">
        <f>(JR14)*InputData!$C$6</f>
        <v>0</v>
      </c>
      <c r="JT14" s="32">
        <v>0</v>
      </c>
      <c r="JU14" s="32">
        <f t="shared" si="145"/>
        <v>0</v>
      </c>
      <c r="JV14" s="32">
        <f>JT14/((1+InputData!$C$3)^(GenSurg!$B14-GenSurg!$B$7))</f>
        <v>0</v>
      </c>
      <c r="JW14" s="32">
        <f>IF(JN14-InputData!$C$158-InputData!$C$159&gt;=0,JN14-InputData!$C$158-InputData!$C$159,0)</f>
        <v>56356.225569351176</v>
      </c>
      <c r="JX14" s="32">
        <f>IF(JN14-IF(JN14&lt;=InputData!$C$146,InputData!$C$145,0)-MAX(InputData!$C$144,KD14)&gt;=0,JN14-IF(JN14&lt;=InputData!$C$146,InputData!$C$145,0)-MAX(InputData!$C$144,KD14),0)</f>
        <v>46356.225569351176</v>
      </c>
      <c r="JY14" s="32">
        <f>IF(JX14&lt;0,"Error",IF(JX14&lt;=InputData!$B$170,InputData!$C$170*JX14,IF(JX14&lt;=InputData!$B$171,InputData!$D$170+InputData!$C$171*(JX14-InputData!$B$170),IF(JX14&lt;=InputData!$B$172,InputData!$D$171+InputData!$C$172*(JX14-InputData!$B$171),IF(JX14&lt;=InputData!$B$173,InputData!$D$172+InputData!$C$173*(JX14-InputData!$B$172),IF(JX14&lt;=InputData!$B$174,InputData!$D$173+InputData!$C$174*(JX14-InputData!$B$173),IF(JX14&lt;=InputData!$B$175,InputData!$D$174+InputData!$C$175*(JX14-InputData!$B$174),InputData!$D$175+InputData!$C$176*(JX14-InputData!$B$175))))))))</f>
        <v>7517.806392337794</v>
      </c>
      <c r="JZ14" s="32">
        <f>IF(JN14&lt;=InputData!$C$150,InputData!$C$152,IF(JN14&lt;InputData!$C$151,IF(InputData!$C$152-0.25*IF(JN14-InputData!$C$150&lt;=0,0,JN14-InputData!$C$150)&lt;=0,0,InputData!$C$152-0.25*IF(JN14-InputData!$C$150&lt;=0,0,JN14-InputData!$C$150)),0))</f>
        <v>51900</v>
      </c>
      <c r="KA14" s="32">
        <f>IF(JN14-JZ14&lt;=0,0,IF(JN14-JZ14&lt;=InputData!$C$153,InputData!$C$154*(JN14-JZ14),InputData!$C$155*(JN14-JZ14)-InputData!$D$154))</f>
        <v>1158.6186480313058</v>
      </c>
      <c r="KB14" s="32">
        <f t="shared" si="109"/>
        <v>7517.806392337794</v>
      </c>
      <c r="KC14" s="32">
        <f>IF(JN14&gt;=0,IF(JN14&lt;=InputData!$C$148,InputData!$C$147*JN14,InputData!$C$147*InputData!$C$148)+InputData!$C$149*JN14,0)</f>
        <v>4311.251256055365</v>
      </c>
      <c r="KD14" s="32">
        <f>IF(JW14&lt;0,0,IF(JW14&lt;=InputData!$B$163,InputData!$C$163*JW14,IF(JW14&lt;=InputData!$B$164,InputData!$D$163+InputData!$C$164*(JW14-InputData!$B$163),IF(JW14&lt;=InputData!$B$165,InputData!$D$164+InputData!$C$165*(JW14-InputData!$B$164),InputData!$D$165+InputData!$C$166*(JW14-InputData!$B$165)))))</f>
        <v>0</v>
      </c>
      <c r="KE14" s="43">
        <f t="shared" si="28"/>
        <v>0.20989797540356012</v>
      </c>
      <c r="KF14" s="32">
        <f t="shared" si="29"/>
        <v>44527.167920958018</v>
      </c>
      <c r="KG14" s="32">
        <f t="shared" si="110"/>
        <v>44527.167920958018</v>
      </c>
      <c r="KH14" s="32">
        <f>KG14/((1+InputData!$C$7)^(GenSurg!$B14-GenSurg!$B$7))</f>
        <v>36204.662260691053</v>
      </c>
      <c r="KI14" s="5">
        <f t="shared" si="129"/>
        <v>144167.38761271787</v>
      </c>
    </row>
    <row r="15" spans="1:295" ht="14.45" x14ac:dyDescent="0.3">
      <c r="A15" s="4">
        <v>2021</v>
      </c>
      <c r="B15" s="51">
        <v>9</v>
      </c>
      <c r="C15" s="4"/>
      <c r="D15" s="3">
        <v>5</v>
      </c>
      <c r="E15" s="96" t="s">
        <v>275</v>
      </c>
      <c r="F15" s="5">
        <f>InputData!$F$24*12</f>
        <v>61398</v>
      </c>
      <c r="G15" s="32">
        <f>(InputData!$F$24+InputData!$D$45)*12</f>
        <v>66397.919999999998</v>
      </c>
      <c r="H15" s="32">
        <f>(InputData!$C$35+InputData!$C$40)*12</f>
        <v>19939.199999999997</v>
      </c>
      <c r="I15" s="32">
        <f t="shared" si="30"/>
        <v>86337.12</v>
      </c>
      <c r="J15" s="32">
        <f>G15*((1+InputData!$C$5)/(1+InputData!$C$3))^(GenSurg!$B15-GenSurg!$B$7)</f>
        <v>61365.473684213866</v>
      </c>
      <c r="K15" s="32">
        <f>H15*((1+InputData!$C$5)/(1+InputData!$C$3))^(GenSurg!$B15-GenSurg!$B$7)</f>
        <v>18427.963600128995</v>
      </c>
      <c r="L15" s="32">
        <f>IF(J15-InputData!$C$158-InputData!$C$159&gt;=0,J15-InputData!$C$158-InputData!$C$159,0)</f>
        <v>61365.473684213866</v>
      </c>
      <c r="M15" s="32">
        <f>IF(J15-IF(J15&lt;=InputData!$C$146,InputData!$C$145,0)-MAX(InputData!$C$144,S15)&gt;=0,J15-IF(J15&lt;=InputData!$C$146,InputData!$C$145,0)-MAX(InputData!$C$144,S15),0)</f>
        <v>51365.473684213866</v>
      </c>
      <c r="N15" s="32">
        <f>IF(M15&lt;0,"Error",IF(M15&lt;=InputData!$B$170,InputData!$C$170*M15,IF(M15&lt;=InputData!$B$171,InputData!$D$170+InputData!$C$171*(M15-InputData!$B$170),IF(M15&lt;=InputData!$B$172,InputData!$D$171+InputData!$C$172*(M15-InputData!$B$171),IF(M15&lt;=InputData!$B$173,InputData!$D$172+InputData!$C$173*(M15-InputData!$B$172),IF(M15&lt;=InputData!$B$174,InputData!$D$173+InputData!$C$174*(M15-InputData!$B$173),IF(M15&lt;=InputData!$B$175,InputData!$D$174+InputData!$C$175*(M15-InputData!$B$174),InputData!$D$175+InputData!$C$176*(M15-InputData!$B$175))))))))</f>
        <v>8770.1184210534666</v>
      </c>
      <c r="O15" s="32">
        <f>IF(J15&lt;=InputData!$C$150,InputData!$C$152,IF(J15&lt;InputData!$C$151,IF(InputData!$C$152-0.25*IF(J15-InputData!$C$150&lt;=0,0,J15-InputData!$C$150)&lt;=0,0,InputData!$C$152-0.25*IF(J15-InputData!$C$150&lt;=0,0,J15-InputData!$C$150)),0))</f>
        <v>51900</v>
      </c>
      <c r="P15" s="32">
        <f>IF(J15-O15&lt;=0,0,IF(J15-O15&lt;=InputData!$C$153,InputData!$C$154*(J15-O15),InputData!$C$155*(J15-O15)-InputData!$D$154))</f>
        <v>2461.0231578956054</v>
      </c>
      <c r="Q15" s="32">
        <f t="shared" si="31"/>
        <v>8770.1184210534666</v>
      </c>
      <c r="R15" s="32">
        <f>IF(J15&gt;=0,IF(J15&lt;=InputData!$C$148,InputData!$C$147*J15,InputData!$C$147*InputData!$C$148)+InputData!$C$149*J15,0)</f>
        <v>4694.4587368423608</v>
      </c>
      <c r="S15" s="32">
        <f>IF(L15&lt;0,0,IF(L15&lt;=InputData!$B$163,InputData!$C$163*L15,IF(L15&lt;=InputData!$B$164,InputData!$D$163+InputData!$C$164*(L15-InputData!$B$163),IF(L15&lt;=InputData!$B$165,InputData!$D$164+InputData!$C$165*(L15-InputData!$B$164),InputData!$D$165+InputData!$C$166*(L15-InputData!$B$165)))))</f>
        <v>0</v>
      </c>
      <c r="T15" s="43">
        <f t="shared" si="32"/>
        <v>0.21941616921567997</v>
      </c>
      <c r="U15" s="43">
        <f t="shared" si="33"/>
        <v>0.16874291440679492</v>
      </c>
      <c r="V15" s="5">
        <f t="shared" si="34"/>
        <v>66328.86012644702</v>
      </c>
      <c r="W15" s="32">
        <f>V15/((1+InputData!$C$7)^(GenSurg!$B15-GenSurg!$B$7))</f>
        <v>52360.614685334687</v>
      </c>
      <c r="X15" s="5">
        <f t="shared" si="111"/>
        <v>467290.95730725891</v>
      </c>
      <c r="Y15" s="53"/>
      <c r="Z15" s="3">
        <v>5</v>
      </c>
      <c r="AA15" s="96" t="s">
        <v>281</v>
      </c>
      <c r="AB15" s="5">
        <f t="shared" si="133"/>
        <v>61398</v>
      </c>
      <c r="AC15" s="32">
        <f t="shared" si="134"/>
        <v>66397.919999999998</v>
      </c>
      <c r="AD15" s="32">
        <f t="shared" si="134"/>
        <v>19939.199999999997</v>
      </c>
      <c r="AE15" s="32">
        <f t="shared" si="35"/>
        <v>86337.12</v>
      </c>
      <c r="AF15" s="5">
        <f>AC15*((1+InputData!$C$5)/(1+InputData!$C$3))^(GenSurg!$B15-GenSurg!$B$7)</f>
        <v>61365.473684213866</v>
      </c>
      <c r="AG15" s="5">
        <f>AD15*((1+InputData!$C$5)/(1+InputData!$C$3))^(GenSurg!$B15-GenSurg!$B$7)</f>
        <v>18427.963600128995</v>
      </c>
      <c r="AH15" s="32">
        <f>IF(AF15-InputData!$C$158-InputData!$C$159&gt;=0,AF15-InputData!$C$158-InputData!$C$159,0)</f>
        <v>61365.473684213866</v>
      </c>
      <c r="AI15" s="32">
        <f>IF(AF15-IF(AF15&lt;=InputData!$C$146,InputData!$C$145,0)-MAX(InputData!$C$144,AO15)&gt;=0,AF15-IF(AF15&lt;=InputData!$C$146,InputData!$C$145,0)-MAX(InputData!$C$144,AO15),0)</f>
        <v>51365.473684213866</v>
      </c>
      <c r="AJ15" s="32">
        <f>IF(AI15&lt;0,"Error",IF(AI15&lt;=InputData!$B$170,InputData!$C$170*AI15,IF(AI15&lt;=InputData!$B$171,InputData!$D$170+InputData!$C$171*(AI15-InputData!$B$170),IF(AI15&lt;=InputData!$B$172,InputData!$D$171+InputData!$C$172*(AI15-InputData!$B$171),IF(AI15&lt;=InputData!$B$173,InputData!$D$172+InputData!$C$173*(AI15-InputData!$B$172),IF(AI15&lt;=InputData!$B$174,InputData!$D$173+InputData!$C$174*(AI15-InputData!$B$173),IF(AI15&lt;=InputData!$B$175,InputData!$D$174+InputData!$C$175*(AI15-InputData!$B$174),InputData!$D$175+InputData!$C$176*(AI15-InputData!$B$175))))))))</f>
        <v>8770.1184210534666</v>
      </c>
      <c r="AK15" s="32">
        <f>IF(AF15&lt;=InputData!$C$150,InputData!$C$152,IF(AF15&lt;InputData!$C$151,IF(InputData!$C$152-0.25*IF(AF15-InputData!$C$150&lt;=0,0,AF15-InputData!$C$150)&lt;=0,0,InputData!$C$152-0.25*IF(AF15-InputData!$C$150&lt;=0,0,AF15-InputData!$C$150)),0))</f>
        <v>51900</v>
      </c>
      <c r="AL15" s="32">
        <f>IF(AF15-AK15&lt;=0,0,IF(AF15-AK15&lt;=InputData!$C$153,InputData!$C$154*(AF15-AK15),InputData!$C$155*(AF15-AK15)-InputData!$D$154))</f>
        <v>2461.0231578956054</v>
      </c>
      <c r="AM15" s="32">
        <f t="shared" si="36"/>
        <v>8770.1184210534666</v>
      </c>
      <c r="AN15" s="32">
        <f>IF(AF15&gt;=0,IF(AF15&lt;=InputData!$C$148,InputData!$C$147*AF15,InputData!$C$147*InputData!$C$148)+InputData!$C$149*AF15,0)</f>
        <v>4694.4587368423608</v>
      </c>
      <c r="AO15" s="32">
        <f>IF(AH15&lt;0,0,IF(AH15&lt;=InputData!$B$163,InputData!$C$163*AH15,IF(AH15&lt;=InputData!$B$164,InputData!$D$163+InputData!$C$164*(AH15-InputData!$B$163),IF(AH15&lt;=InputData!$B$165,InputData!$D$164+InputData!$C$165*(AH15-InputData!$B$164),InputData!$D$165+InputData!$C$166*(AH15-InputData!$B$165)))))</f>
        <v>0</v>
      </c>
      <c r="AP15" s="43">
        <f t="shared" si="37"/>
        <v>0.21941616921567997</v>
      </c>
      <c r="AQ15" s="43">
        <f t="shared" si="38"/>
        <v>0.16874291440679492</v>
      </c>
      <c r="AR15" s="5">
        <f t="shared" si="39"/>
        <v>66328.86012644702</v>
      </c>
      <c r="AS15" s="32">
        <f>AR15/((1+InputData!$C$7)^(GenSurg!$B15-GenSurg!$B$7))</f>
        <v>52360.614685334687</v>
      </c>
      <c r="AT15" s="5">
        <f t="shared" si="112"/>
        <v>375167.2349965857</v>
      </c>
      <c r="AU15" s="53"/>
      <c r="AV15" s="56" t="s">
        <v>1</v>
      </c>
      <c r="AW15" s="32">
        <f>AW14*(1+InputData!$C$9)</f>
        <v>68619.723909982989</v>
      </c>
      <c r="AX15" s="32">
        <v>0</v>
      </c>
      <c r="AY15" s="32">
        <f t="shared" si="41"/>
        <v>68619.723909982989</v>
      </c>
      <c r="AZ15" s="32">
        <f>AZ14*(1+InputData!$C$8)</f>
        <v>13462.366287716035</v>
      </c>
      <c r="BA15" s="32">
        <f>AW15/((1+InputData!$C$3)^(GenSurg!$B15-GenSurg!$B$7))</f>
        <v>58566.273630894357</v>
      </c>
      <c r="BB15" s="32">
        <f>AX15/((1+InputData!$C$3)^(GenSurg!$B15-GenSurg!$B$7))</f>
        <v>0</v>
      </c>
      <c r="BC15" s="32" t="s">
        <v>140</v>
      </c>
      <c r="BD15" s="32">
        <v>0</v>
      </c>
      <c r="BE15" s="32">
        <f>$BE$12</f>
        <v>212416.2</v>
      </c>
      <c r="BF15" s="32">
        <f>(BE15)*InputData!$C$6</f>
        <v>13191.046020000002</v>
      </c>
      <c r="BG15" s="32">
        <v>0</v>
      </c>
      <c r="BH15" s="32">
        <f t="shared" si="137"/>
        <v>271775.90709000005</v>
      </c>
      <c r="BI15" s="32">
        <f>BG15/((1+InputData!$C$3)^(GenSurg!$B15-GenSurg!$B$7))</f>
        <v>0</v>
      </c>
      <c r="BJ15" s="32">
        <f>IF(BA15-InputData!$C$158-InputData!$C$159&gt;=0,BA15-InputData!$C$158-InputData!$C$159,0)</f>
        <v>58566.273630894357</v>
      </c>
      <c r="BK15" s="32">
        <f>IF(BA15-IF(BA15&lt;=InputData!$C$146,InputData!$C$145,0)-MAX(InputData!$C$144,BQ15)&gt;=0,BA15-IF(BA15&lt;=InputData!$C$146,InputData!$C$145,0)-MAX(InputData!$C$144,BQ15),0)</f>
        <v>48566.273630894357</v>
      </c>
      <c r="BL15" s="32">
        <f>IF(BK15&lt;0,"Error",IF(BK15&lt;=InputData!$B$170,InputData!$C$170*BK15,IF(BK15&lt;=InputData!$B$171,InputData!$D$170+InputData!$C$171*(BK15-InputData!$B$170),IF(BK15&lt;=InputData!$B$172,InputData!$D$171+InputData!$C$172*(BK15-InputData!$B$171),IF(BK15&lt;=InputData!$B$173,InputData!$D$172+InputData!$C$173*(BK15-InputData!$B$172),IF(BK15&lt;=InputData!$B$174,InputData!$D$173+InputData!$C$174*(BK15-InputData!$B$173),IF(BK15&lt;=InputData!$B$175,InputData!$D$174+InputData!$C$175*(BK15-InputData!$B$174),InputData!$D$175+InputData!$C$176*(BK15-InputData!$B$175))))))))</f>
        <v>8070.3184077235892</v>
      </c>
      <c r="BM15" s="32">
        <f>IF(BA15&lt;=InputData!$C$150,InputData!$C$152,IF(BA15&lt;InputData!$C$151,IF(InputData!$C$152-0.25*IF(BA15-InputData!$C$150&lt;=0,0,BA15-InputData!$C$150)&lt;=0,0,InputData!$C$152-0.25*IF(BA15-InputData!$C$150&lt;=0,0,BA15-InputData!$C$150)),0))</f>
        <v>51900</v>
      </c>
      <c r="BN15" s="32">
        <f>IF(BA15-BM15&lt;=0,0,IF(BA15-BM15&lt;=InputData!$C$153,InputData!$C$154*(BA15-BM15),InputData!$C$155*(BA15-BM15)-InputData!$D$154))</f>
        <v>1733.2311440325327</v>
      </c>
      <c r="BO15" s="32">
        <f t="shared" si="42"/>
        <v>8070.3184077235892</v>
      </c>
      <c r="BP15" s="32">
        <f>IF(BA15&gt;=0,IF(BA15&lt;=InputData!$C$148,InputData!$C$147*BA15,InputData!$C$147*InputData!$C$148)+InputData!$C$149*BA15,0)</f>
        <v>4480.3199327634184</v>
      </c>
      <c r="BQ15" s="32">
        <f>IF(BJ15&lt;0,0,IF(BJ15&lt;=InputData!$B$163,InputData!$C$163*BJ15,IF(BJ15&lt;=InputData!$B$164,InputData!$D$163+InputData!$C$164*(BJ15-InputData!$B$163),IF(BJ15&lt;=InputData!$B$165,InputData!$D$164+InputData!$C$165*(BJ15-InputData!$B$164),InputData!$D$165+InputData!$C$166*(BJ15-InputData!$B$165)))))</f>
        <v>0</v>
      </c>
      <c r="BR15" s="43">
        <f t="shared" si="43"/>
        <v>0.21429805180342576</v>
      </c>
      <c r="BS15" s="32">
        <f t="shared" si="44"/>
        <v>46015.63529040735</v>
      </c>
      <c r="BT15" s="32">
        <f t="shared" si="45"/>
        <v>46015.63529040735</v>
      </c>
      <c r="BU15" s="32">
        <f>BT15/((1+InputData!$C$7)^(GenSurg!$B15-GenSurg!$B$7))</f>
        <v>36325.167421069789</v>
      </c>
      <c r="BV15" s="5">
        <f t="shared" si="114"/>
        <v>-10374.82525529444</v>
      </c>
      <c r="BW15" s="5"/>
      <c r="BX15" s="134" t="s">
        <v>140</v>
      </c>
      <c r="BY15" s="5">
        <f t="shared" si="46"/>
        <v>212416.2</v>
      </c>
      <c r="BZ15" s="5">
        <f t="shared" si="47"/>
        <v>13191.046020000002</v>
      </c>
      <c r="CA15" s="5">
        <v>0</v>
      </c>
      <c r="CB15" s="5">
        <f t="shared" si="48"/>
        <v>271775.90709000005</v>
      </c>
      <c r="CC15" s="32">
        <f>CA15/((1+InputData!$C$3)^(GenSurg!$B15-GenSurg!$B$7))</f>
        <v>0</v>
      </c>
      <c r="CD15" s="5">
        <f t="shared" si="49"/>
        <v>46015.63529040735</v>
      </c>
      <c r="CE15" s="32">
        <f>CD15/((1+InputData!$C$7)^(GenSurg!$B15-GenSurg!$B$7))</f>
        <v>36325.167421069789</v>
      </c>
      <c r="CF15" s="5">
        <f t="shared" si="115"/>
        <v>-10374.82525529444</v>
      </c>
      <c r="CG15" s="5"/>
      <c r="CH15" s="134" t="s">
        <v>140</v>
      </c>
      <c r="CI15" s="5">
        <f t="shared" si="50"/>
        <v>212416.2</v>
      </c>
      <c r="CJ15" s="5">
        <f t="shared" si="51"/>
        <v>13191.046020000002</v>
      </c>
      <c r="CK15" s="5">
        <v>0</v>
      </c>
      <c r="CL15" s="5">
        <f t="shared" si="52"/>
        <v>271775.90709000005</v>
      </c>
      <c r="CM15" s="32">
        <f>CK15/((1+InputData!$C$3)^(GenSurg!$B15-GenSurg!$B$7))</f>
        <v>0</v>
      </c>
      <c r="CN15" s="5">
        <f t="shared" si="53"/>
        <v>46015.63529040735</v>
      </c>
      <c r="CO15" s="32">
        <f>CN15/((1+InputData!$C$7)^(GenSurg!$B15-GenSurg!$B$7))</f>
        <v>36325.167421069789</v>
      </c>
      <c r="CP15" s="5">
        <f t="shared" si="116"/>
        <v>-10374.82525529444</v>
      </c>
      <c r="CQ15" s="5"/>
      <c r="CR15" s="134" t="s">
        <v>140</v>
      </c>
      <c r="CS15" s="5">
        <f t="shared" si="54"/>
        <v>212416.2</v>
      </c>
      <c r="CT15" s="5">
        <f t="shared" si="55"/>
        <v>13191.046020000002</v>
      </c>
      <c r="CU15" s="5">
        <v>0</v>
      </c>
      <c r="CV15" s="5">
        <f t="shared" si="56"/>
        <v>271775.90709000005</v>
      </c>
      <c r="CW15" s="32">
        <f>CU15/((1+InputData!$C$3)^(GenSurg!$B15-GenSurg!$B$7))</f>
        <v>0</v>
      </c>
      <c r="CX15" s="5">
        <f t="shared" si="57"/>
        <v>46015.63529040735</v>
      </c>
      <c r="CY15" s="32">
        <f>CX15/((1+InputData!$C$7)^(GenSurg!$B15-GenSurg!$B$7))</f>
        <v>36325.167421069789</v>
      </c>
      <c r="CZ15" s="5">
        <f t="shared" si="117"/>
        <v>-10374.82525529444</v>
      </c>
      <c r="DA15" s="5"/>
      <c r="DB15" s="134" t="s">
        <v>141</v>
      </c>
      <c r="DC15" s="5">
        <f t="shared" si="138"/>
        <v>151950.4984146918</v>
      </c>
      <c r="DD15" s="5">
        <f>DC15*InputData!$C$6</f>
        <v>9436.1259515523616</v>
      </c>
      <c r="DE15" s="32">
        <f t="shared" si="139"/>
        <v>29148.379963889372</v>
      </c>
      <c r="DF15" s="32">
        <f t="shared" si="140"/>
        <v>132238.24440235479</v>
      </c>
      <c r="DG15" s="32">
        <f>DE15/((1+InputData!$C$3)^(GenSurg!$B15-GenSurg!$B$7))</f>
        <v>24877.861634970352</v>
      </c>
      <c r="DH15" s="5">
        <f t="shared" si="61"/>
        <v>21137.773655436999</v>
      </c>
      <c r="DI15" s="32">
        <f>DH15/((1+InputData!$C$7)^(GenSurg!$B15-GenSurg!$B$7))</f>
        <v>16686.353716439804</v>
      </c>
      <c r="DJ15" s="5">
        <f t="shared" si="118"/>
        <v>-107058.95298906429</v>
      </c>
      <c r="DK15" s="5"/>
      <c r="DL15" s="134" t="s">
        <v>141</v>
      </c>
      <c r="DM15" s="133">
        <f>IF(0.15*($AY15-1.5*$AZ15)&lt;=$DD$2,DQ14-DO14,DQ14)</f>
        <v>212416.20000000004</v>
      </c>
      <c r="DN15" s="5">
        <f>DM15*InputData!$C$6</f>
        <v>13191.046020000003</v>
      </c>
      <c r="DO15" s="133">
        <f>DO14+DN15-DP15</f>
        <v>27963.326003686598</v>
      </c>
      <c r="DP15" s="32">
        <f t="shared" si="130"/>
        <v>7263.9261717613408</v>
      </c>
      <c r="DQ15" s="32">
        <f t="shared" si="131"/>
        <v>240379.52600368665</v>
      </c>
      <c r="DR15" s="32">
        <f>DP15/((1+InputData!$C$3)^(GenSurg!$B15-GenSurg!$B$7))</f>
        <v>6199.6910446341535</v>
      </c>
      <c r="DS15" s="5">
        <f t="shared" si="65"/>
        <v>39815.944245773193</v>
      </c>
      <c r="DT15" s="32">
        <f>DS15/((1+InputData!$C$7)^(GenSurg!$B15-GenSurg!$B$7))</f>
        <v>31431.074060542174</v>
      </c>
      <c r="DU15" s="5">
        <f t="shared" si="120"/>
        <v>-33604.8480262374</v>
      </c>
      <c r="DV15" s="5"/>
      <c r="DW15" s="32" t="s">
        <v>141</v>
      </c>
      <c r="DX15" s="135">
        <f t="shared" si="141"/>
        <v>212416.2</v>
      </c>
      <c r="DY15" s="5">
        <f>DX15*InputData!$C$6</f>
        <v>13191.046020000002</v>
      </c>
      <c r="DZ15" s="133">
        <f t="shared" si="142"/>
        <v>38428.786365791064</v>
      </c>
      <c r="EA15" s="32">
        <f t="shared" si="143"/>
        <v>4842.6174478408939</v>
      </c>
      <c r="EB15" s="32">
        <f t="shared" si="144"/>
        <v>250844.98636579109</v>
      </c>
      <c r="EC15" s="32">
        <f>EA15/((1+InputData!$C$3)^(GenSurg!$B15-GenSurg!$B$7))</f>
        <v>4133.1273630894357</v>
      </c>
      <c r="ED15" s="5">
        <f t="shared" si="69"/>
        <v>41882.507927317914</v>
      </c>
      <c r="EE15" s="32">
        <f>ED15/((1+InputData!$C$7)^(GenSurg!$B15-GenSurg!$B$7))</f>
        <v>33062.438514051377</v>
      </c>
      <c r="EF15" s="5">
        <f t="shared" si="122"/>
        <v>-25861.507102589763</v>
      </c>
      <c r="EG15" s="32"/>
      <c r="EH15" s="130" t="s">
        <v>140</v>
      </c>
      <c r="EI15" s="32">
        <v>0</v>
      </c>
      <c r="EJ15" s="32">
        <f t="shared" si="135"/>
        <v>185472.36</v>
      </c>
      <c r="EK15" s="32">
        <f>(EJ15)*InputData!$C$6</f>
        <v>11517.833556</v>
      </c>
      <c r="EL15" s="32">
        <f t="shared" si="132"/>
        <v>271571.03913599998</v>
      </c>
      <c r="EM15" s="32">
        <f>EM14*(1+InputData!$C$8)</f>
        <v>13462.366287716035</v>
      </c>
      <c r="EN15" s="32">
        <v>0</v>
      </c>
      <c r="EO15" s="32">
        <f>AW15/((1+InputData!$C$3)^(GenSurg!$B15-GenSurg!$B$7))</f>
        <v>58566.273630894357</v>
      </c>
      <c r="EP15" s="32">
        <f>AX15/((1+InputData!$C$3)^(GenSurg!$B15-GenSurg!$B$7))</f>
        <v>0</v>
      </c>
      <c r="EQ15" s="32">
        <v>8234.07</v>
      </c>
      <c r="ER15" s="32">
        <v>3894.6550000000002</v>
      </c>
      <c r="ES15" s="32">
        <v>0</v>
      </c>
      <c r="ET15" s="43">
        <f t="shared" si="136"/>
        <v>0.20709401927190335</v>
      </c>
      <c r="EU15" s="32">
        <f t="shared" si="70"/>
        <v>46437.548630894358</v>
      </c>
      <c r="EV15" s="32">
        <f>EN15/((1+InputData!$C$3)^(GenSurg!$B15-GenSurg!$B$7))</f>
        <v>0</v>
      </c>
      <c r="EW15" s="32">
        <f t="shared" si="71"/>
        <v>46437.548630894358</v>
      </c>
      <c r="EX15" s="32">
        <f>EW15/((1+InputData!$C$7)^(GenSurg!$B15-GenSurg!$B$7))</f>
        <v>36658.229708130471</v>
      </c>
      <c r="EY15" s="5">
        <f t="shared" si="124"/>
        <v>-8790.1237986350388</v>
      </c>
      <c r="EZ15" s="79"/>
      <c r="FA15" s="32">
        <f t="shared" si="72"/>
        <v>185472.36</v>
      </c>
      <c r="FB15" s="32">
        <f t="shared" si="73"/>
        <v>11517.833556</v>
      </c>
      <c r="FC15" s="32">
        <f t="shared" si="74"/>
        <v>271571.03913599998</v>
      </c>
      <c r="FD15" s="32">
        <v>0</v>
      </c>
      <c r="FE15" s="32">
        <f>FD15/((1+InputData!$C$3)^(GenSurg!$B15-GenSurg!$B$7))</f>
        <v>0</v>
      </c>
      <c r="FF15" s="5">
        <f t="shared" si="75"/>
        <v>46437.548630894358</v>
      </c>
      <c r="FG15" s="32">
        <f>FF15/((1+InputData!$C$7)^(GenSurg!$B15-GenSurg!$B$7))</f>
        <v>36658.229708130471</v>
      </c>
      <c r="FH15" s="5">
        <f t="shared" si="125"/>
        <v>-8790.1237986350388</v>
      </c>
      <c r="FI15" s="79"/>
      <c r="FJ15" s="32">
        <f t="shared" si="76"/>
        <v>185472.36</v>
      </c>
      <c r="FK15" s="32">
        <f>FJ15*InputData!$C$6</f>
        <v>11517.833556</v>
      </c>
      <c r="FL15" s="32">
        <f>FL14+$EI15+FK15-FM15</f>
        <v>271571.03913599998</v>
      </c>
      <c r="FM15" s="32">
        <v>0</v>
      </c>
      <c r="FN15" s="32">
        <f>FM15/((1+InputData!$C$3)^(GenSurg!$B15-GenSurg!$B$7))</f>
        <v>0</v>
      </c>
      <c r="FO15" s="5">
        <f t="shared" si="79"/>
        <v>46437.548630894358</v>
      </c>
      <c r="FP15" s="32">
        <f>FO15/((1+InputData!$C$7)^(GenSurg!$B15-GenSurg!$B$7))</f>
        <v>36658.229708130471</v>
      </c>
      <c r="FQ15" s="5">
        <f t="shared" si="126"/>
        <v>-8790.1237986350388</v>
      </c>
      <c r="FR15" s="79"/>
      <c r="FS15" s="32">
        <f t="shared" si="80"/>
        <v>185472.36</v>
      </c>
      <c r="FT15" s="32">
        <f>FS15*InputData!$C$6</f>
        <v>11517.833556</v>
      </c>
      <c r="FU15" s="32">
        <f>FU14+$EI15+FT15-FV15</f>
        <v>271571.03913599998</v>
      </c>
      <c r="FV15" s="32">
        <v>0</v>
      </c>
      <c r="FW15" s="32">
        <f>FV15/((1+InputData!$C$3)^(GenSurg!$B15-GenSurg!$B$7))</f>
        <v>0</v>
      </c>
      <c r="FX15" s="5">
        <f t="shared" si="83"/>
        <v>46437.548630894358</v>
      </c>
      <c r="FY15" s="32">
        <f>FX15/((1+InputData!$C$7)^(GenSurg!$B15-GenSurg!$B$7))</f>
        <v>36658.229708130471</v>
      </c>
      <c r="FZ15" s="5">
        <f t="shared" si="127"/>
        <v>-8790.1237986350388</v>
      </c>
      <c r="GC15" s="3">
        <f t="shared" si="1"/>
        <v>5</v>
      </c>
      <c r="GD15" s="46" t="str">
        <f t="shared" si="2"/>
        <v>Residency (O3&gt;4 = (BP+BAH+BAS+VSP)*12)</v>
      </c>
      <c r="GE15" s="5">
        <f t="shared" si="3"/>
        <v>66397.919999999998</v>
      </c>
      <c r="GF15" s="5">
        <f t="shared" si="4"/>
        <v>19939.199999999997</v>
      </c>
      <c r="GG15" s="5">
        <f t="shared" si="5"/>
        <v>86337.12</v>
      </c>
      <c r="GH15" s="5">
        <f t="shared" si="6"/>
        <v>61365.473684213866</v>
      </c>
      <c r="GI15" s="5">
        <f t="shared" si="7"/>
        <v>18427.963600128995</v>
      </c>
      <c r="GJ15" s="32">
        <f>IF(GH15-InputData!$C$158-InputData!$C$159&gt;=0,GH15-InputData!$C$158-InputData!$C$159,0)</f>
        <v>61365.473684213866</v>
      </c>
      <c r="GK15" s="32">
        <f>IF(GH15-IF(GH15&lt;=InputData!$C$146,InputData!$C$145,0)-MAX(InputData!$C$144,GQ15)&gt;=0,GH15-IF(GH15&lt;=InputData!$C$146,InputData!$C$145,0)-MAX(InputData!$C$144,GQ15),0)</f>
        <v>51365.473684213866</v>
      </c>
      <c r="GL15" s="32">
        <f>IF(GK15&lt;0,"Error",IF(GK15&lt;=InputData!$B$170,InputData!$C$170*GK15,IF(GK15&lt;=InputData!$B$171,InputData!$D$170+InputData!$C$171*(GK15-InputData!$B$170),IF(GK15&lt;=InputData!$B$172,InputData!$D$171+InputData!$C$172*(GK15-InputData!$B$171),IF(GK15&lt;=InputData!$B$173,InputData!$D$172+InputData!$C$173*(GK15-InputData!$B$172),IF(GK15&lt;=InputData!$B$174,InputData!$D$173+InputData!$C$174*(GK15-InputData!$B$173),IF(GK15&lt;=InputData!$B$175,InputData!$D$174+InputData!$C$175*(GK15-InputData!$B$174),InputData!$D$175+InputData!$C$176*(GK15-InputData!$B$175))))))))</f>
        <v>8770.1184210534666</v>
      </c>
      <c r="GM15" s="32">
        <f>IF(GH15&lt;=InputData!$C$150,InputData!$C$152,IF(GH15&lt;InputData!$C$151,IF(InputData!$C$152-0.25*IF(GH15-InputData!$C$150&lt;=0,0,GH15-InputData!$C$150)&lt;=0,0,InputData!$C$152-0.25*IF(GH15-InputData!$C$150&lt;=0,0,GH15-InputData!$C$150)),0))</f>
        <v>51900</v>
      </c>
      <c r="GN15" s="32">
        <f>IF(GH15-GM15&lt;=0,0,IF(GH15-GM15&lt;=InputData!$C$153,InputData!$C$154*(GH15-GM15),InputData!$C$155*(GH15-GM15)-InputData!$D$154))</f>
        <v>2461.0231578956054</v>
      </c>
      <c r="GO15" s="32">
        <f t="shared" si="84"/>
        <v>8770.1184210534666</v>
      </c>
      <c r="GP15" s="32">
        <f>IF(GH15&gt;=0,IF(GH15&lt;=InputData!$C$148,InputData!$C$147*GH15,InputData!$C$147*InputData!$C$148)+InputData!$C$149*GH15,0)</f>
        <v>4694.4587368423608</v>
      </c>
      <c r="GQ15" s="32">
        <f>IF(GJ15&lt;0,0,IF(GJ15&lt;=InputData!$B$163,InputData!$C$163*GJ15,IF(GJ15&lt;=InputData!$B$164,InputData!$D$163+InputData!$C$164*(GJ15-InputData!$B$163),IF(GJ15&lt;=InputData!$B$165,InputData!$D$164+InputData!$C$165*(GJ15-InputData!$B$164),InputData!$D$165+InputData!$C$166*(GJ15-InputData!$B$165)))))</f>
        <v>0</v>
      </c>
      <c r="GR15" s="43">
        <f t="shared" si="85"/>
        <v>0.21941616921567997</v>
      </c>
      <c r="GS15" s="43">
        <f t="shared" si="86"/>
        <v>0.16874291440679492</v>
      </c>
      <c r="GT15" s="5">
        <f t="shared" si="87"/>
        <v>66328.86012644702</v>
      </c>
      <c r="GU15" s="32">
        <f>GT15/((1+InputData!$C$7)^(GenSurg!$B15-GenSurg!$B$7))</f>
        <v>52360.614685334687</v>
      </c>
      <c r="GV15" s="32">
        <f t="shared" si="88"/>
        <v>467290.95730725891</v>
      </c>
      <c r="GX15" s="3">
        <f t="shared" si="8"/>
        <v>5</v>
      </c>
      <c r="GY15" s="46" t="str">
        <f t="shared" si="9"/>
        <v>Residency (O3&gt;4 = (BP+BAH+BAS+VSP+BCPSP)*12)</v>
      </c>
      <c r="GZ15" s="5">
        <f t="shared" si="10"/>
        <v>66397.919999999998</v>
      </c>
      <c r="HA15" s="5">
        <f t="shared" si="11"/>
        <v>19939.199999999997</v>
      </c>
      <c r="HB15" s="5">
        <f t="shared" si="12"/>
        <v>86337.12</v>
      </c>
      <c r="HC15" s="5">
        <f t="shared" si="13"/>
        <v>61365.473684213866</v>
      </c>
      <c r="HD15" s="5">
        <f t="shared" si="14"/>
        <v>18427.963600128995</v>
      </c>
      <c r="HE15" s="32">
        <f>IF(HC15-InputData!$C$158-InputData!$C$159&gt;=0,HC15-InputData!$C$158-InputData!$C$159,0)</f>
        <v>61365.473684213866</v>
      </c>
      <c r="HF15" s="32">
        <f>IF(HC15-IF(HC15&lt;=InputData!$C$146,InputData!$C$145,0)-MAX(InputData!$C$144,HL15)&gt;=0,HC15-IF(HC15&lt;=InputData!$C$146,InputData!$C$145,0)-MAX(InputData!$C$144,HL15),0)</f>
        <v>51365.473684213866</v>
      </c>
      <c r="HG15" s="32">
        <f>IF(HF15&lt;0,"Error",IF(HF15&lt;=InputData!$B$170,InputData!$C$170*HF15,IF(HF15&lt;=InputData!$B$171,InputData!$D$170+InputData!$C$171*(HF15-InputData!$B$170),IF(HF15&lt;=InputData!$B$172,InputData!$D$171+InputData!$C$172*(HF15-InputData!$B$171),IF(HF15&lt;=InputData!$B$173,InputData!$D$172+InputData!$C$173*(HF15-InputData!$B$172),IF(HF15&lt;=InputData!$B$174,InputData!$D$173+InputData!$C$174*(HF15-InputData!$B$173),IF(HF15&lt;=InputData!$B$175,InputData!$D$174+InputData!$C$175*(HF15-InputData!$B$174),InputData!$D$175+InputData!$C$176*(HF15-InputData!$B$175))))))))</f>
        <v>8770.1184210534666</v>
      </c>
      <c r="HH15" s="32">
        <f>IF(HC15&lt;=InputData!$C$150,InputData!$C$152,IF(HC15&lt;InputData!$C$151,IF(InputData!$C$152-0.25*IF(HC15-InputData!$C$150&lt;=0,0,HC15-InputData!$C$150)&lt;=0,0,InputData!$C$152-0.25*IF(HC15-InputData!$C$150&lt;=0,0,HC15-InputData!$C$150)),0))</f>
        <v>51900</v>
      </c>
      <c r="HI15" s="32">
        <f>IF(HC15-HH15&lt;=0,0,IF(HC15-HH15&lt;=InputData!$C$153,InputData!$C$154*(HC15-HH15),InputData!$C$155*(HC15-HH15)-InputData!$D$154))</f>
        <v>2461.0231578956054</v>
      </c>
      <c r="HJ15" s="32">
        <f t="shared" si="89"/>
        <v>8770.1184210534666</v>
      </c>
      <c r="HK15" s="32">
        <f>IF(HC15&gt;=0,IF(HC15&lt;=InputData!$C$148,InputData!$C$147*HC15,InputData!$C$147*InputData!$C$148)+InputData!$C$149*HC15,0)</f>
        <v>4694.4587368423608</v>
      </c>
      <c r="HL15" s="32">
        <f>IF(HE15&lt;0,0,IF(HE15&lt;=InputData!$B$163,InputData!$C$163*HE15,IF(HE15&lt;=InputData!$B$164,InputData!$D$163+InputData!$C$164*(HE15-InputData!$B$163),IF(HE15&lt;=InputData!$B$165,InputData!$D$164+InputData!$C$165*(HE15-InputData!$B$164),InputData!$D$165+InputData!$C$166*(HE15-InputData!$B$165)))))</f>
        <v>0</v>
      </c>
      <c r="HM15" s="43">
        <f t="shared" si="90"/>
        <v>0.21941616921567997</v>
      </c>
      <c r="HN15" s="43">
        <f t="shared" si="91"/>
        <v>0.16874291440679492</v>
      </c>
      <c r="HO15" s="5">
        <f t="shared" si="92"/>
        <v>66328.86012644702</v>
      </c>
      <c r="HP15" s="32">
        <f>HO15/((1+InputData!$C$7)^(GenSurg!$B15-GenSurg!$B$7))</f>
        <v>52360.614685334687</v>
      </c>
      <c r="HQ15" s="32">
        <f t="shared" si="93"/>
        <v>375167.2349965857</v>
      </c>
      <c r="HS15" s="93">
        <f t="shared" si="94"/>
        <v>5</v>
      </c>
      <c r="HT15" s="92" t="str">
        <f t="shared" si="95"/>
        <v>Residency (O3&gt;4 = (BP+BAH+BAS+VSP)*12)</v>
      </c>
      <c r="HU15" s="5">
        <f t="shared" si="15"/>
        <v>66397.919999999998</v>
      </c>
      <c r="HV15" s="5">
        <f t="shared" si="16"/>
        <v>19939.199999999997</v>
      </c>
      <c r="HW15" s="5">
        <f t="shared" si="17"/>
        <v>86337.12</v>
      </c>
      <c r="HX15" s="5">
        <f t="shared" si="18"/>
        <v>61365.473684213866</v>
      </c>
      <c r="HY15" s="5">
        <f t="shared" si="19"/>
        <v>18427.963600128995</v>
      </c>
      <c r="HZ15" s="32">
        <f>IF(HX15-InputData!$C$158-InputData!$C$159&gt;=0,HX15-InputData!$C$158-InputData!$C$159,0)</f>
        <v>61365.473684213866</v>
      </c>
      <c r="IA15" s="32">
        <f>IF(HX15-IF(HX15&lt;=InputData!$C$146,InputData!$C$145,0)-MAX(InputData!$C$144,IG15)&gt;=0,HX15-IF(HX15&lt;=InputData!$C$146,InputData!$C$145,0)-MAX(InputData!$C$144,IG15),0)</f>
        <v>51365.473684213866</v>
      </c>
      <c r="IB15" s="32">
        <f>IF(IA15&lt;0,"Error",IF(IA15&lt;=InputData!$B$170,InputData!$C$170*IA15,IF(IA15&lt;=InputData!$B$171,InputData!$D$170+InputData!$C$171*(IA15-InputData!$B$170),IF(IA15&lt;=InputData!$B$172,InputData!$D$171+InputData!$C$172*(IA15-InputData!$B$171),IF(IA15&lt;=InputData!$B$173,InputData!$D$172+InputData!$C$173*(IA15-InputData!$B$172),IF(IA15&lt;=InputData!$B$174,InputData!$D$173+InputData!$C$174*(IA15-InputData!$B$173),IF(IA15&lt;=InputData!$B$175,InputData!$D$174+InputData!$C$175*(IA15-InputData!$B$174),InputData!$D$175+InputData!$C$176*(IA15-InputData!$B$175))))))))</f>
        <v>8770.1184210534666</v>
      </c>
      <c r="IC15" s="32">
        <f>IF(HX15&lt;=InputData!$C$150,InputData!$C$152,IF(HX15&lt;InputData!$C$151,IF(InputData!$C$152-0.25*IF(HX15-InputData!$C$150&lt;=0,0,HX15-InputData!$C$150)&lt;=0,0,InputData!$C$152-0.25*IF(HX15-InputData!$C$150&lt;=0,0,HX15-InputData!$C$150)),0))</f>
        <v>51900</v>
      </c>
      <c r="ID15" s="32">
        <f>IF(HX15-IC15&lt;=0,0,IF(HX15-IC15&lt;=InputData!$C$153,InputData!$C$154*(HX15-IC15),InputData!$C$155*(HX15-IC15)-InputData!$D$154))</f>
        <v>2461.0231578956054</v>
      </c>
      <c r="IE15" s="32">
        <f t="shared" si="96"/>
        <v>8770.1184210534666</v>
      </c>
      <c r="IF15" s="32">
        <f>IF(HX15&gt;=0,IF(HX15&lt;=InputData!$C$148,InputData!$C$147*HX15,InputData!$C$147*InputData!$C$148)+InputData!$C$149*HX15,0)</f>
        <v>4694.4587368423608</v>
      </c>
      <c r="IG15" s="32">
        <f>IF(HZ15&lt;0,0,IF(HZ15&lt;=InputData!$B$163,InputData!$C$163*HZ15,IF(HZ15&lt;=InputData!$B$164,InputData!$D$163+InputData!$C$164*(HZ15-InputData!$B$163),IF(HZ15&lt;=InputData!$B$165,InputData!$D$164+InputData!$C$165*(HZ15-InputData!$B$164),InputData!$D$165+InputData!$C$166*(HZ15-InputData!$B$165)))))</f>
        <v>0</v>
      </c>
      <c r="IH15" s="43">
        <f t="shared" si="97"/>
        <v>0.21941616921567997</v>
      </c>
      <c r="II15" s="43">
        <f t="shared" si="98"/>
        <v>0.16874291440679492</v>
      </c>
      <c r="IJ15" s="5">
        <f t="shared" si="20"/>
        <v>66328.86012644702</v>
      </c>
      <c r="IK15" s="32">
        <f>IJ15/((1+InputData!$C$7)^(GenSurg!$B15-GenSurg!$B$7))</f>
        <v>52360.614685334687</v>
      </c>
      <c r="IL15" s="5">
        <f t="shared" si="99"/>
        <v>467290.95730725891</v>
      </c>
      <c r="IN15" s="93">
        <f t="shared" si="100"/>
        <v>5</v>
      </c>
      <c r="IO15" s="92" t="str">
        <f t="shared" si="101"/>
        <v>Residency (O3&gt;4 = (BP+BAH+BAS+VSP+BCPSP)*12)</v>
      </c>
      <c r="IP15" s="5">
        <f t="shared" si="21"/>
        <v>66397.919999999998</v>
      </c>
      <c r="IQ15" s="5">
        <f t="shared" si="22"/>
        <v>19939.199999999997</v>
      </c>
      <c r="IR15" s="5">
        <f t="shared" si="23"/>
        <v>86337.12</v>
      </c>
      <c r="IS15" s="5">
        <f t="shared" si="24"/>
        <v>61365.473684213866</v>
      </c>
      <c r="IT15" s="5">
        <f t="shared" si="25"/>
        <v>18427.963600128995</v>
      </c>
      <c r="IU15" s="32">
        <f>IF(IS15-InputData!$C$158-InputData!$C$159&gt;=0,IS15-InputData!$C$158-InputData!$C$159,0)</f>
        <v>61365.473684213866</v>
      </c>
      <c r="IV15" s="32">
        <f>IF(IS15-IF(IS15&lt;=InputData!$C$146,InputData!$C$145,0)-MAX(InputData!$C$144,JB15)&gt;=0,IS15-IF(IS15&lt;=InputData!$C$146,InputData!$C$145,0)-MAX(InputData!$C$144,JB15),0)</f>
        <v>51365.473684213866</v>
      </c>
      <c r="IW15" s="32">
        <f>IF(IV15&lt;0,"Error",IF(IV15&lt;=InputData!$B$170,InputData!$C$170*IV15,IF(IV15&lt;=InputData!$B$171,InputData!$D$170+InputData!$C$171*(IV15-InputData!$B$170),IF(IV15&lt;=InputData!$B$172,InputData!$D$171+InputData!$C$172*(IV15-InputData!$B$171),IF(IV15&lt;=InputData!$B$173,InputData!$D$172+InputData!$C$173*(IV15-InputData!$B$172),IF(IV15&lt;=InputData!$B$174,InputData!$D$173+InputData!$C$174*(IV15-InputData!$B$173),IF(IV15&lt;=InputData!$B$175,InputData!$D$174+InputData!$C$175*(IV15-InputData!$B$174),InputData!$D$175+InputData!$C$176*(IV15-InputData!$B$175))))))))</f>
        <v>8770.1184210534666</v>
      </c>
      <c r="IX15" s="32">
        <f>IF(IS15&lt;=InputData!$C$150,InputData!$C$152,IF(IS15&lt;InputData!$C$151,IF(InputData!$C$152-0.25*IF(IS15-InputData!$C$150&lt;=0,0,IS15-InputData!$C$150)&lt;=0,0,InputData!$C$152-0.25*IF(IS15-InputData!$C$150&lt;=0,0,IS15-InputData!$C$150)),0))</f>
        <v>51900</v>
      </c>
      <c r="IY15" s="32">
        <f>IF(IS15-IX15&lt;=0,0,IF(IS15-IX15&lt;=InputData!$C$153,InputData!$C$154*(IS15-IX15),InputData!$C$155*(IS15-IX15)-InputData!$D$154))</f>
        <v>2461.0231578956054</v>
      </c>
      <c r="IZ15" s="32">
        <f t="shared" si="102"/>
        <v>8770.1184210534666</v>
      </c>
      <c r="JA15" s="32">
        <f>IF(IS15&gt;=0,IF(IS15&lt;=InputData!$C$148,InputData!$C$147*IS15,InputData!$C$147*InputData!$C$148)+InputData!$C$149*IS15,0)</f>
        <v>4694.4587368423608</v>
      </c>
      <c r="JB15" s="32">
        <f>IF(IU15&lt;0,0,IF(IU15&lt;=InputData!$B$163,InputData!$C$163*IU15,IF(IU15&lt;=InputData!$B$164,InputData!$D$163+InputData!$C$164*(IU15-InputData!$B$163),IF(IU15&lt;=InputData!$B$165,InputData!$D$164+InputData!$C$165*(IU15-InputData!$B$164),InputData!$D$165+InputData!$C$166*(IU15-InputData!$B$165)))))</f>
        <v>0</v>
      </c>
      <c r="JC15" s="43">
        <f t="shared" si="103"/>
        <v>0.21941616921567997</v>
      </c>
      <c r="JD15" s="43">
        <f t="shared" si="104"/>
        <v>0.16874291440679492</v>
      </c>
      <c r="JE15" s="5">
        <f t="shared" si="105"/>
        <v>66328.86012644702</v>
      </c>
      <c r="JF15" s="32">
        <f>JE15/((1+InputData!$C$7)^(GenSurg!$B15-GenSurg!$B$7))</f>
        <v>52360.614685334687</v>
      </c>
      <c r="JG15" s="5">
        <f t="shared" si="106"/>
        <v>375167.2349965857</v>
      </c>
      <c r="JI15" s="56" t="str">
        <f t="shared" si="26"/>
        <v>Residency</v>
      </c>
      <c r="JJ15" s="5">
        <f t="shared" si="27"/>
        <v>68619.723909982989</v>
      </c>
      <c r="JK15" s="32">
        <v>0</v>
      </c>
      <c r="JL15" s="32">
        <f t="shared" si="108"/>
        <v>68619.723909982989</v>
      </c>
      <c r="JM15" s="32">
        <f>JM14*(1+InputData!$C$8)</f>
        <v>13462.366287716035</v>
      </c>
      <c r="JN15" s="32">
        <f>JJ15/((1+InputData!$C$3)^(GenSurg!$B15-GenSurg!$B$7))</f>
        <v>58566.273630894357</v>
      </c>
      <c r="JO15" s="32">
        <f>JK15/((1+InputData!$C$3)^(GenSurg!$B15-GenSurg!$B$7))</f>
        <v>0</v>
      </c>
      <c r="JP15" s="32" t="s">
        <v>140</v>
      </c>
      <c r="JQ15" s="32">
        <v>0</v>
      </c>
      <c r="JR15" s="32">
        <f>JR12</f>
        <v>0</v>
      </c>
      <c r="JS15" s="32">
        <f>(JR15)*InputData!$C$6</f>
        <v>0</v>
      </c>
      <c r="JT15" s="32">
        <v>0</v>
      </c>
      <c r="JU15" s="32">
        <f t="shared" si="145"/>
        <v>0</v>
      </c>
      <c r="JV15" s="32">
        <f>JT15/((1+InputData!$C$3)^(GenSurg!$B15-GenSurg!$B$7))</f>
        <v>0</v>
      </c>
      <c r="JW15" s="32">
        <f>IF(JN15-InputData!$C$158-InputData!$C$159&gt;=0,JN15-InputData!$C$158-InputData!$C$159,0)</f>
        <v>58566.273630894357</v>
      </c>
      <c r="JX15" s="32">
        <f>IF(JN15-IF(JN15&lt;=InputData!$C$146,InputData!$C$145,0)-MAX(InputData!$C$144,KD15)&gt;=0,JN15-IF(JN15&lt;=InputData!$C$146,InputData!$C$145,0)-MAX(InputData!$C$144,KD15),0)</f>
        <v>48566.273630894357</v>
      </c>
      <c r="JY15" s="32">
        <f>IF(JX15&lt;0,"Error",IF(JX15&lt;=InputData!$B$170,InputData!$C$170*JX15,IF(JX15&lt;=InputData!$B$171,InputData!$D$170+InputData!$C$171*(JX15-InputData!$B$170),IF(JX15&lt;=InputData!$B$172,InputData!$D$171+InputData!$C$172*(JX15-InputData!$B$171),IF(JX15&lt;=InputData!$B$173,InputData!$D$172+InputData!$C$173*(JX15-InputData!$B$172),IF(JX15&lt;=InputData!$B$174,InputData!$D$173+InputData!$C$174*(JX15-InputData!$B$173),IF(JX15&lt;=InputData!$B$175,InputData!$D$174+InputData!$C$175*(JX15-InputData!$B$174),InputData!$D$175+InputData!$C$176*(JX15-InputData!$B$175))))))))</f>
        <v>8070.3184077235892</v>
      </c>
      <c r="JZ15" s="32">
        <f>IF(JN15&lt;=InputData!$C$150,InputData!$C$152,IF(JN15&lt;InputData!$C$151,IF(InputData!$C$152-0.25*IF(JN15-InputData!$C$150&lt;=0,0,JN15-InputData!$C$150)&lt;=0,0,InputData!$C$152-0.25*IF(JN15-InputData!$C$150&lt;=0,0,JN15-InputData!$C$150)),0))</f>
        <v>51900</v>
      </c>
      <c r="KA15" s="32">
        <f>IF(JN15-JZ15&lt;=0,0,IF(JN15-JZ15&lt;=InputData!$C$153,InputData!$C$154*(JN15-JZ15),InputData!$C$155*(JN15-JZ15)-InputData!$D$154))</f>
        <v>1733.2311440325327</v>
      </c>
      <c r="KB15" s="32">
        <f t="shared" si="109"/>
        <v>8070.3184077235892</v>
      </c>
      <c r="KC15" s="32">
        <f>IF(JN15&gt;=0,IF(JN15&lt;=InputData!$C$148,InputData!$C$147*JN15,InputData!$C$147*InputData!$C$148)+InputData!$C$149*JN15,0)</f>
        <v>4480.3199327634184</v>
      </c>
      <c r="KD15" s="32">
        <f>IF(JW15&lt;0,0,IF(JW15&lt;=InputData!$B$163,InputData!$C$163*JW15,IF(JW15&lt;=InputData!$B$164,InputData!$D$163+InputData!$C$164*(JW15-InputData!$B$163),IF(JW15&lt;=InputData!$B$165,InputData!$D$164+InputData!$C$165*(JW15-InputData!$B$164),InputData!$D$165+InputData!$C$166*(JW15-InputData!$B$165)))))</f>
        <v>0</v>
      </c>
      <c r="KE15" s="43">
        <f t="shared" si="28"/>
        <v>0.21429805180342576</v>
      </c>
      <c r="KF15" s="32">
        <f t="shared" si="29"/>
        <v>46015.63529040735</v>
      </c>
      <c r="KG15" s="32">
        <f t="shared" si="110"/>
        <v>46015.63529040735</v>
      </c>
      <c r="KH15" s="32">
        <f>KG15/((1+InputData!$C$7)^(GenSurg!$B15-GenSurg!$B$7))</f>
        <v>36325.167421069789</v>
      </c>
      <c r="KI15" s="5">
        <f t="shared" si="129"/>
        <v>180492.55503378765</v>
      </c>
    </row>
    <row r="16" spans="1:295" ht="14.45" x14ac:dyDescent="0.3">
      <c r="A16" s="4">
        <v>2022</v>
      </c>
      <c r="B16" s="51">
        <v>10</v>
      </c>
      <c r="C16" s="4"/>
      <c r="D16" s="3">
        <v>6</v>
      </c>
      <c r="E16" s="4" t="s">
        <v>273</v>
      </c>
      <c r="F16" s="5">
        <f>InputData!$F$24*12</f>
        <v>61398</v>
      </c>
      <c r="G16" s="32">
        <f>(InputData!$F$24+InputData!$D$45)*12+InputData!$J$50</f>
        <v>81397.919999999998</v>
      </c>
      <c r="H16" s="32">
        <f>(InputData!$C$35+InputData!$C$40)*12</f>
        <v>19939.199999999997</v>
      </c>
      <c r="I16" s="32">
        <f t="shared" si="30"/>
        <v>101337.12</v>
      </c>
      <c r="J16" s="32">
        <f>G16*((1+InputData!$C$5)/(1+InputData!$C$3))^(GenSurg!$B16-GenSurg!$B$7)</f>
        <v>74491.055060082363</v>
      </c>
      <c r="K16" s="32">
        <f>H16*((1+InputData!$C$5)/(1+InputData!$C$3))^(GenSurg!$B16-GenSurg!$B$7)</f>
        <v>18247.297290323808</v>
      </c>
      <c r="L16" s="32">
        <f>IF(J16-InputData!$C$158-InputData!$C$159&gt;=0,J16-InputData!$C$158-InputData!$C$159,0)</f>
        <v>74491.055060082363</v>
      </c>
      <c r="M16" s="32">
        <f>IF(J16-IF(J16&lt;=InputData!$C$146,InputData!$C$145,0)-MAX(InputData!$C$144,S16)&gt;=0,J16-IF(J16&lt;=InputData!$C$146,InputData!$C$145,0)-MAX(InputData!$C$144,S16),0)</f>
        <v>64491.055060082363</v>
      </c>
      <c r="N16" s="32">
        <f>IF(M16&lt;0,"Error",IF(M16&lt;=InputData!$B$170,InputData!$C$170*M16,IF(M16&lt;=InputData!$B$171,InputData!$D$170+InputData!$C$171*(M16-InputData!$B$170),IF(M16&lt;=InputData!$B$172,InputData!$D$171+InputData!$C$172*(M16-InputData!$B$171),IF(M16&lt;=InputData!$B$173,InputData!$D$172+InputData!$C$173*(M16-InputData!$B$172),IF(M16&lt;=InputData!$B$174,InputData!$D$173+InputData!$C$174*(M16-InputData!$B$173),IF(M16&lt;=InputData!$B$175,InputData!$D$174+InputData!$C$175*(M16-InputData!$B$174),InputData!$D$175+InputData!$C$176*(M16-InputData!$B$175))))))))</f>
        <v>12051.513765020591</v>
      </c>
      <c r="O16" s="32">
        <f>IF(J16&lt;=InputData!$C$150,InputData!$C$152,IF(J16&lt;InputData!$C$151,IF(InputData!$C$152-0.25*IF(J16-InputData!$C$150&lt;=0,0,J16-InputData!$C$150)&lt;=0,0,InputData!$C$152-0.25*IF(J16-InputData!$C$150&lt;=0,0,J16-InputData!$C$150)),0))</f>
        <v>51900</v>
      </c>
      <c r="P16" s="32">
        <f>IF(J16-O16&lt;=0,0,IF(J16-O16&lt;=InputData!$C$153,InputData!$C$154*(J16-O16),InputData!$C$155*(J16-O16)-InputData!$D$154))</f>
        <v>5873.6743156214143</v>
      </c>
      <c r="Q16" s="32">
        <f t="shared" si="31"/>
        <v>12051.513765020591</v>
      </c>
      <c r="R16" s="32">
        <f>IF(J16&gt;=0,IF(J16&lt;=InputData!$C$148,InputData!$C$147*J16,InputData!$C$147*InputData!$C$148)+InputData!$C$149*J16,0)</f>
        <v>5698.5657120963015</v>
      </c>
      <c r="S16" s="32">
        <f>IF(L16&lt;0,0,IF(L16&lt;=InputData!$B$163,InputData!$C$163*L16,IF(L16&lt;=InputData!$B$164,InputData!$D$163+InputData!$C$164*(L16-InputData!$B$163),IF(L16&lt;=InputData!$B$165,InputData!$D$164+InputData!$C$165*(L16-InputData!$B$164),InputData!$D$165+InputData!$C$166*(L16-InputData!$B$165)))))</f>
        <v>0</v>
      </c>
      <c r="T16" s="43">
        <f t="shared" si="32"/>
        <v>0.2382847103293165</v>
      </c>
      <c r="U16" s="43">
        <f t="shared" si="33"/>
        <v>0.19139955614101603</v>
      </c>
      <c r="V16" s="5">
        <f t="shared" si="34"/>
        <v>74988.272873289287</v>
      </c>
      <c r="W16" s="32">
        <f>V16/((1+InputData!$C$7)^(GenSurg!$B16-GenSurg!$B$7))</f>
        <v>57472.267059638616</v>
      </c>
      <c r="X16" s="5">
        <f t="shared" si="111"/>
        <v>524763.22436689748</v>
      </c>
      <c r="Y16" s="53"/>
      <c r="Z16" s="3">
        <v>6</v>
      </c>
      <c r="AA16" s="97" t="s">
        <v>19</v>
      </c>
      <c r="AB16" s="5">
        <f t="shared" si="133"/>
        <v>61398</v>
      </c>
      <c r="AC16" s="32">
        <f t="shared" si="134"/>
        <v>81397.919999999998</v>
      </c>
      <c r="AD16" s="32">
        <f t="shared" si="134"/>
        <v>19939.199999999997</v>
      </c>
      <c r="AE16" s="32">
        <f t="shared" si="35"/>
        <v>101337.12</v>
      </c>
      <c r="AF16" s="5">
        <f>AC16*((1+InputData!$C$5)/(1+InputData!$C$3))^(GenSurg!$B16-GenSurg!$B$7)</f>
        <v>74491.055060082363</v>
      </c>
      <c r="AG16" s="5">
        <f>AD16*((1+InputData!$C$5)/(1+InputData!$C$3))^(GenSurg!$B16-GenSurg!$B$7)</f>
        <v>18247.297290323808</v>
      </c>
      <c r="AH16" s="32">
        <f>IF(AF16-InputData!$C$158-InputData!$C$159&gt;=0,AF16-InputData!$C$158-InputData!$C$159,0)</f>
        <v>74491.055060082363</v>
      </c>
      <c r="AI16" s="32">
        <f>IF(AF16-IF(AF16&lt;=InputData!$C$146,InputData!$C$145,0)-MAX(InputData!$C$144,AO16)&gt;=0,AF16-IF(AF16&lt;=InputData!$C$146,InputData!$C$145,0)-MAX(InputData!$C$144,AO16),0)</f>
        <v>64491.055060082363</v>
      </c>
      <c r="AJ16" s="32">
        <f>IF(AI16&lt;0,"Error",IF(AI16&lt;=InputData!$B$170,InputData!$C$170*AI16,IF(AI16&lt;=InputData!$B$171,InputData!$D$170+InputData!$C$171*(AI16-InputData!$B$170),IF(AI16&lt;=InputData!$B$172,InputData!$D$171+InputData!$C$172*(AI16-InputData!$B$171),IF(AI16&lt;=InputData!$B$173,InputData!$D$172+InputData!$C$173*(AI16-InputData!$B$172),IF(AI16&lt;=InputData!$B$174,InputData!$D$173+InputData!$C$174*(AI16-InputData!$B$173),IF(AI16&lt;=InputData!$B$175,InputData!$D$174+InputData!$C$175*(AI16-InputData!$B$174),InputData!$D$175+InputData!$C$176*(AI16-InputData!$B$175))))))))</f>
        <v>12051.513765020591</v>
      </c>
      <c r="AK16" s="32">
        <f>IF(AF16&lt;=InputData!$C$150,InputData!$C$152,IF(AF16&lt;InputData!$C$151,IF(InputData!$C$152-0.25*IF(AF16-InputData!$C$150&lt;=0,0,AF16-InputData!$C$150)&lt;=0,0,InputData!$C$152-0.25*IF(AF16-InputData!$C$150&lt;=0,0,AF16-InputData!$C$150)),0))</f>
        <v>51900</v>
      </c>
      <c r="AL16" s="32">
        <f>IF(AF16-AK16&lt;=0,0,IF(AF16-AK16&lt;=InputData!$C$153,InputData!$C$154*(AF16-AK16),InputData!$C$155*(AF16-AK16)-InputData!$D$154))</f>
        <v>5873.6743156214143</v>
      </c>
      <c r="AM16" s="32">
        <f t="shared" si="36"/>
        <v>12051.513765020591</v>
      </c>
      <c r="AN16" s="32">
        <f>IF(AF16&gt;=0,IF(AF16&lt;=InputData!$C$148,InputData!$C$147*AF16,InputData!$C$147*InputData!$C$148)+InputData!$C$149*AF16,0)</f>
        <v>5698.5657120963015</v>
      </c>
      <c r="AO16" s="32">
        <f>IF(AH16&lt;0,0,IF(AH16&lt;=InputData!$B$163,InputData!$C$163*AH16,IF(AH16&lt;=InputData!$B$164,InputData!$D$163+InputData!$C$164*(AH16-InputData!$B$163),IF(AH16&lt;=InputData!$B$165,InputData!$D$164+InputData!$C$165*(AH16-InputData!$B$164),InputData!$D$165+InputData!$C$166*(AH16-InputData!$B$165)))))</f>
        <v>0</v>
      </c>
      <c r="AP16" s="43">
        <f t="shared" si="37"/>
        <v>0.2382847103293165</v>
      </c>
      <c r="AQ16" s="43">
        <f t="shared" si="38"/>
        <v>0.19139955614101603</v>
      </c>
      <c r="AR16" s="5">
        <f t="shared" si="39"/>
        <v>74988.272873289287</v>
      </c>
      <c r="AS16" s="32">
        <f>AR16/((1+InputData!$C$7)^(GenSurg!$B16-GenSurg!$B$7))</f>
        <v>57472.267059638616</v>
      </c>
      <c r="AT16" s="5">
        <f t="shared" si="112"/>
        <v>432639.50205622433</v>
      </c>
      <c r="AU16" s="53"/>
      <c r="AV16" s="41" t="s">
        <v>109</v>
      </c>
      <c r="AW16" s="32">
        <f>InputData!$C$82*(1+InputData!$C$12)^(GenSurg!B16-GenSurg!$B$7)</f>
        <v>363260.33715843759</v>
      </c>
      <c r="AX16" s="32">
        <v>0</v>
      </c>
      <c r="AY16" s="32">
        <f t="shared" si="41"/>
        <v>363260.33715843759</v>
      </c>
      <c r="AZ16" s="32">
        <f>AZ15*(1+InputData!$C$8)</f>
        <v>13731.613613470356</v>
      </c>
      <c r="BA16" s="32">
        <f>AW16/((1+InputData!$C$3)^(GenSurg!$B16-GenSurg!$B$7))</f>
        <v>303960</v>
      </c>
      <c r="BB16" s="32">
        <f>AX16/((1+InputData!$C$3)^(GenSurg!$B16-GenSurg!$B$7))</f>
        <v>0</v>
      </c>
      <c r="BC16" s="60" t="s">
        <v>144</v>
      </c>
      <c r="BD16" s="32">
        <v>0</v>
      </c>
      <c r="BE16" s="118">
        <f t="shared" ref="BE16:BE36" si="146">BH15+BD16</f>
        <v>271775.90709000005</v>
      </c>
      <c r="BF16" s="32">
        <f>(BE16)*InputData!$C$6</f>
        <v>16877.283830289005</v>
      </c>
      <c r="BG16" s="32">
        <f>MIN($BE$16*InputData!$C$6/(1-(1+InputData!$C$6)^(-10)), BE16+BF16)</f>
        <v>37293.894744798265</v>
      </c>
      <c r="BH16" s="118">
        <f t="shared" si="137"/>
        <v>251359.29617549083</v>
      </c>
      <c r="BI16" s="32">
        <f>BG16/((1+InputData!$C$3)^(GenSurg!$B16-GenSurg!$B$7))</f>
        <v>31205.862812610612</v>
      </c>
      <c r="BJ16" s="32">
        <f>IF(BA16-InputData!$C$158-InputData!$C$159&gt;=0,BA16-InputData!$C$158-InputData!$C$159,0)</f>
        <v>303960</v>
      </c>
      <c r="BK16" s="32">
        <f>IF(BA16-IF(BA16&lt;=InputData!$C$146,InputData!$C$145,0)-MAX(InputData!$C$144,BQ16)&gt;=0,BA16-IF(BA16&lt;=InputData!$C$146,InputData!$C$145,0)-MAX(InputData!$C$144,BQ16),0)</f>
        <v>297860</v>
      </c>
      <c r="BL16" s="32">
        <f>IF(BK16&lt;0,"Error",IF(BK16&lt;=InputData!$B$170,InputData!$C$170*BK16,IF(BK16&lt;=InputData!$B$171,InputData!$D$170+InputData!$C$171*(BK16-InputData!$B$170),IF(BK16&lt;=InputData!$B$172,InputData!$D$171+InputData!$C$172*(BK16-InputData!$B$171),IF(BK16&lt;=InputData!$B$173,InputData!$D$172+InputData!$C$173*(BK16-InputData!$B$172),IF(BK16&lt;=InputData!$B$174,InputData!$D$173+InputData!$C$174*(BK16-InputData!$B$173),IF(BK16&lt;=InputData!$B$175,InputData!$D$174+InputData!$C$175*(BK16-InputData!$B$174),InputData!$D$175+InputData!$C$176*(BK16-InputData!$B$175))))))))</f>
        <v>82424.55</v>
      </c>
      <c r="BM16" s="32">
        <f>IF(BA16&lt;=InputData!$C$150,InputData!$C$152,IF(BA16&lt;InputData!$C$151,IF(InputData!$C$152-0.25*IF(BA16-InputData!$C$150&lt;=0,0,BA16-InputData!$C$150)&lt;=0,0,InputData!$C$152-0.25*IF(BA16-InputData!$C$150&lt;=0,0,BA16-InputData!$C$150)),0))</f>
        <v>4760</v>
      </c>
      <c r="BN16" s="32">
        <f>IF(BA16-BM16&lt;=0,0,IF(BA16-BM16&lt;=InputData!$C$153,InputData!$C$154*(BA16-BM16),InputData!$C$155*(BA16-BM16)-InputData!$D$154))</f>
        <v>80186.000000000015</v>
      </c>
      <c r="BO16" s="32">
        <f t="shared" si="42"/>
        <v>82424.55</v>
      </c>
      <c r="BP16" s="32">
        <f>IF(BA16&gt;=0,IF(BA16&lt;=InputData!$C$148,InputData!$C$147*BA16,InputData!$C$147*InputData!$C$148)+InputData!$C$149*BA16,0)</f>
        <v>11456.82</v>
      </c>
      <c r="BQ16" s="32">
        <f>IF(BJ16&lt;0,0,IF(BJ16&lt;=InputData!$B$163,InputData!$C$163*BJ16,IF(BJ16&lt;=InputData!$B$164,InputData!$D$163+InputData!$C$164*(BJ16-InputData!$B$163),IF(BJ16&lt;=InputData!$B$165,InputData!$D$164+InputData!$C$165*(BJ16-InputData!$B$164),InputData!$D$165+InputData!$C$166*(BJ16-InputData!$B$165)))))</f>
        <v>0</v>
      </c>
      <c r="BR16" s="43">
        <f t="shared" si="43"/>
        <v>0.30886093564942751</v>
      </c>
      <c r="BS16" s="32">
        <f t="shared" si="44"/>
        <v>210078.63</v>
      </c>
      <c r="BT16" s="32">
        <f t="shared" si="45"/>
        <v>178872.7671873894</v>
      </c>
      <c r="BU16" s="32">
        <f>BT16/((1+InputData!$C$7)^(GenSurg!$B16-GenSurg!$B$7))</f>
        <v>137091.0817330213</v>
      </c>
      <c r="BV16" s="5">
        <f t="shared" si="114"/>
        <v>126716.25647772686</v>
      </c>
      <c r="BW16" s="5"/>
      <c r="BX16" s="60" t="s">
        <v>144</v>
      </c>
      <c r="BY16" s="5">
        <f t="shared" ref="BY16:BY36" si="147">CB15</f>
        <v>271775.90709000005</v>
      </c>
      <c r="BZ16" s="32">
        <f>(BY16)*InputData!$C$6</f>
        <v>16877.283830289005</v>
      </c>
      <c r="CA16" s="32">
        <f>MIN($BY$16*InputData!$C$6/(1-(1+InputData!$C$6)^(-25)), BY16+BZ16)</f>
        <v>21686.214673809533</v>
      </c>
      <c r="CB16" s="32">
        <f t="shared" ref="CB16:CB36" si="148">CB15+$BD16+BZ16-CA16</f>
        <v>266966.97624647955</v>
      </c>
      <c r="CC16" s="32">
        <f>CA16/((1+InputData!$C$3)^(GenSurg!$B16-GenSurg!$B$7))</f>
        <v>18146.054325155041</v>
      </c>
      <c r="CD16" s="5">
        <f t="shared" si="49"/>
        <v>191932.57567484496</v>
      </c>
      <c r="CE16" s="32">
        <f>CD16/((1+InputData!$C$7)^(GenSurg!$B16-GenSurg!$B$7))</f>
        <v>147100.33747901057</v>
      </c>
      <c r="CF16" s="5">
        <f t="shared" si="115"/>
        <v>136725.51222371613</v>
      </c>
      <c r="CG16" s="5"/>
      <c r="CH16" s="60" t="s">
        <v>144</v>
      </c>
      <c r="CI16" s="5">
        <f t="shared" ref="CI16:CI36" si="149">CL15</f>
        <v>271775.90709000005</v>
      </c>
      <c r="CJ16" s="32">
        <f>(CI16)*InputData!$C$6</f>
        <v>16877.283830289005</v>
      </c>
      <c r="CK16" s="118" t="str">
        <f>IF(0.15*($AY$16-1.5*$AZ16)&lt;=$BG$16,MIN(0.15*($AY16-1.5*$AZ16),$BG$16, CI16+CJ16),"DNQ")</f>
        <v>DNQ</v>
      </c>
      <c r="CL16" s="32" t="e">
        <f t="shared" ref="CL16:CL36" si="150">CL15+$BD16+CJ16-CK16</f>
        <v>#VALUE!</v>
      </c>
      <c r="CM16" s="32" t="e">
        <f>CK16/((1+InputData!$C$3)^(GenSurg!$B16-GenSurg!$B$7))</f>
        <v>#VALUE!</v>
      </c>
      <c r="CN16" s="5" t="e">
        <f t="shared" si="53"/>
        <v>#VALUE!</v>
      </c>
      <c r="CO16" s="32" t="e">
        <f>CN16/((1+InputData!$C$7)^(GenSurg!$B16-GenSurg!$B$7))</f>
        <v>#VALUE!</v>
      </c>
      <c r="CP16" s="5" t="e">
        <f t="shared" si="116"/>
        <v>#VALUE!</v>
      </c>
      <c r="CQ16" s="5"/>
      <c r="CR16" s="60" t="s">
        <v>144</v>
      </c>
      <c r="CS16" s="5">
        <f t="shared" ref="CS16" si="151">CV15</f>
        <v>271775.90709000005</v>
      </c>
      <c r="CT16" s="32">
        <f>(CS16)*InputData!$C$6</f>
        <v>16877.283830289005</v>
      </c>
      <c r="CU16" s="32">
        <f>IF(0.1*($AY$16-1.5*$AZ16)&lt;=$BG$16,MIN(0.1*($AY16-1.5*$AZ16),$BG$16,CS16+CT16),"DNQ")</f>
        <v>34266.291673823209</v>
      </c>
      <c r="CV16" s="32">
        <f t="shared" ref="CV16:CV36" si="152">CV15+$BD16+CT16-CU16</f>
        <v>254386.89924646588</v>
      </c>
      <c r="CW16" s="32">
        <f>CU16/((1+InputData!$C$3)^(GenSurg!$B16-GenSurg!$B$7))</f>
        <v>28672.5</v>
      </c>
      <c r="CX16" s="5">
        <f t="shared" si="57"/>
        <v>181406.13</v>
      </c>
      <c r="CY16" s="32">
        <f>CX16/((1+InputData!$C$7)^(GenSurg!$B16-GenSurg!$B$7))</f>
        <v>139032.6933817032</v>
      </c>
      <c r="CZ16" s="5">
        <f t="shared" si="117"/>
        <v>128657.86812640875</v>
      </c>
      <c r="DA16" s="5"/>
      <c r="DB16" s="32" t="s">
        <v>141</v>
      </c>
      <c r="DC16" s="5">
        <f t="shared" si="138"/>
        <v>132238.24440235479</v>
      </c>
      <c r="DD16" s="5">
        <f>DC16*InputData!$C$6</f>
        <v>8211.9949773862318</v>
      </c>
      <c r="DE16" s="32">
        <f t="shared" si="139"/>
        <v>29148.379963889372</v>
      </c>
      <c r="DF16" s="32">
        <f t="shared" si="140"/>
        <v>111301.85941585165</v>
      </c>
      <c r="DG16" s="32">
        <f>DE16/((1+InputData!$C$3)^(GenSurg!$B16-GenSurg!$B$7))</f>
        <v>24390.060426441523</v>
      </c>
      <c r="DH16" s="5">
        <f t="shared" si="61"/>
        <v>185688.56957355849</v>
      </c>
      <c r="DI16" s="32">
        <f>DH16/((1+InputData!$C$7)^(GenSurg!$B16-GenSurg!$B$7))</f>
        <v>142314.82672612893</v>
      </c>
      <c r="DJ16" s="5">
        <f t="shared" si="118"/>
        <v>35255.873737064641</v>
      </c>
      <c r="DK16" s="5"/>
      <c r="DL16" s="32" t="s">
        <v>141</v>
      </c>
      <c r="DM16" s="32">
        <f t="shared" ref="DM16:DM36" si="153">IF(0.15*($AY16-1.5*$AZ16)&lt;=$DD$2,DQ15-DO15,DQ15)</f>
        <v>240379.52600368665</v>
      </c>
      <c r="DN16" s="5">
        <f>DM16*InputData!$C$6</f>
        <v>14927.568564828942</v>
      </c>
      <c r="DO16" s="32">
        <f t="shared" ref="DO16:DO36" si="154">MAX(0,DN16-DP16)</f>
        <v>0</v>
      </c>
      <c r="DP16" s="32">
        <f t="shared" si="130"/>
        <v>29148.379963889372</v>
      </c>
      <c r="DQ16" s="32">
        <f t="shared" si="131"/>
        <v>226158.71460462624</v>
      </c>
      <c r="DR16" s="32">
        <f>DP16/((1+InputData!$C$3)^(GenSurg!$B16-GenSurg!$B$7))</f>
        <v>24390.060426441523</v>
      </c>
      <c r="DS16" s="5">
        <f t="shared" si="65"/>
        <v>185688.56957355849</v>
      </c>
      <c r="DT16" s="32">
        <f>DS16/((1+InputData!$C$7)^(GenSurg!$B16-GenSurg!$B$7))</f>
        <v>142314.82672612893</v>
      </c>
      <c r="DU16" s="5">
        <f t="shared" si="120"/>
        <v>108709.97869989154</v>
      </c>
      <c r="DV16" s="5"/>
      <c r="DW16" s="32" t="s">
        <v>141</v>
      </c>
      <c r="DX16" s="133">
        <f t="shared" si="141"/>
        <v>233657.82000000004</v>
      </c>
      <c r="DY16" s="5">
        <f>DX16*InputData!$C$6</f>
        <v>14510.150622000003</v>
      </c>
      <c r="DZ16" s="133">
        <f t="shared" si="142"/>
        <v>23790.557023901692</v>
      </c>
      <c r="EA16" s="32">
        <f t="shared" si="143"/>
        <v>29148.379963889372</v>
      </c>
      <c r="EB16" s="32">
        <f t="shared" si="144"/>
        <v>236206.75702390174</v>
      </c>
      <c r="EC16" s="32">
        <f>EA16/((1+InputData!$C$3)^(GenSurg!$B16-GenSurg!$B$7))</f>
        <v>24390.060426441523</v>
      </c>
      <c r="ED16" s="5">
        <f t="shared" si="69"/>
        <v>185688.56957355849</v>
      </c>
      <c r="EE16" s="32">
        <f>ED16/((1+InputData!$C$7)^(GenSurg!$B16-GenSurg!$B$7))</f>
        <v>142314.82672612893</v>
      </c>
      <c r="EF16" s="5">
        <f t="shared" si="122"/>
        <v>116453.31962353917</v>
      </c>
      <c r="EG16" s="32"/>
      <c r="EH16" s="130" t="s">
        <v>144</v>
      </c>
      <c r="EI16" s="32">
        <v>0</v>
      </c>
      <c r="EJ16" s="60">
        <f>EL15</f>
        <v>271571.03913599998</v>
      </c>
      <c r="EK16" s="32">
        <f>(EJ16)*InputData!$C$6</f>
        <v>16864.5615303456</v>
      </c>
      <c r="EL16" s="32">
        <f>EL15+EI16+EK16-EN16</f>
        <v>254169.30899252236</v>
      </c>
      <c r="EM16" s="32">
        <f>EM15*(1+InputData!$C$8)</f>
        <v>13731.613613470356</v>
      </c>
      <c r="EN16" s="32">
        <f>MIN(0.1*(AW16-1.5*EM16),$FD$16,EJ16+EK16)</f>
        <v>34266.291673823209</v>
      </c>
      <c r="EO16" s="32">
        <f>AW16/((1+InputData!$C$3)^(GenSurg!$B16-GenSurg!$B$7))</f>
        <v>303960</v>
      </c>
      <c r="EP16" s="32">
        <f>AX16/((1+InputData!$C$3)^(GenSurg!$B16-GenSurg!$B$7))</f>
        <v>0</v>
      </c>
      <c r="EQ16" s="32">
        <v>8808.25</v>
      </c>
      <c r="ER16" s="32">
        <v>4047.39</v>
      </c>
      <c r="ES16" s="32">
        <v>0</v>
      </c>
      <c r="ET16" s="43">
        <f t="shared" si="136"/>
        <v>4.2293854454533486E-2</v>
      </c>
      <c r="EU16" s="32">
        <f t="shared" si="70"/>
        <v>291104.36</v>
      </c>
      <c r="EV16" s="32">
        <f>EN16/((1+InputData!$C$3)^(GenSurg!$B16-GenSurg!$B$7))</f>
        <v>28672.5</v>
      </c>
      <c r="EW16" s="32">
        <f t="shared" si="71"/>
        <v>262431.86</v>
      </c>
      <c r="EX16" s="32">
        <f>EW16/((1+InputData!$C$7)^(GenSurg!$B16-GenSurg!$B$7))</f>
        <v>201132.16860406016</v>
      </c>
      <c r="EY16" s="5">
        <f t="shared" si="124"/>
        <v>192342.04480542513</v>
      </c>
      <c r="EZ16" s="79"/>
      <c r="FA16" s="60">
        <f t="shared" si="72"/>
        <v>271571.03913599998</v>
      </c>
      <c r="FB16" s="32">
        <f>FA16*InputData!$C$6</f>
        <v>16864.5615303456</v>
      </c>
      <c r="FC16" s="32">
        <f t="shared" ref="FC16:FC36" si="155">FC15+$EI16+FB16-FD16</f>
        <v>251169.81850884345</v>
      </c>
      <c r="FD16" s="32">
        <f>MIN($EJ$16*InputData!$C$6/(1-(1+InputData!$C$6)^(-10)), FA16+FB16)</f>
        <v>37265.782157502101</v>
      </c>
      <c r="FE16" s="32">
        <f>FD16/((1+InputData!$C$3)^(GenSurg!$B16-GenSurg!$B$7))</f>
        <v>31182.339457153241</v>
      </c>
      <c r="FF16" s="5">
        <f t="shared" si="75"/>
        <v>259922.02054284676</v>
      </c>
      <c r="FG16" s="32">
        <f>FF16/((1+InputData!$C$7)^(GenSurg!$B16-GenSurg!$B$7))</f>
        <v>199208.5856486017</v>
      </c>
      <c r="FH16" s="5">
        <f t="shared" si="125"/>
        <v>190418.46184996667</v>
      </c>
      <c r="FI16" s="79"/>
      <c r="FJ16" s="60">
        <f t="shared" si="76"/>
        <v>271571.03913599998</v>
      </c>
      <c r="FK16" s="32">
        <f>FJ16*InputData!$C$6</f>
        <v>16864.5615303456</v>
      </c>
      <c r="FL16" s="32">
        <f t="shared" ref="FL16:FL36" si="156">FL15+$EI16+FK16-FM16</f>
        <v>266765.73332250281</v>
      </c>
      <c r="FM16" s="32">
        <f>MIN($EJ$16*InputData!$C$6/(1-(1+InputData!$C$6)^(-25)), FJ16+FK16)</f>
        <v>21669.867343842721</v>
      </c>
      <c r="FN16" s="32">
        <f>FM16/((1+InputData!$C$3)^(GenSurg!$B16-GenSurg!$B$7))</f>
        <v>18132.375610722356</v>
      </c>
      <c r="FO16" s="5">
        <f t="shared" si="79"/>
        <v>272971.98438927764</v>
      </c>
      <c r="FP16" s="32">
        <f>FO16/((1+InputData!$C$7)^(GenSurg!$B16-GenSurg!$B$7))</f>
        <v>209210.2962969857</v>
      </c>
      <c r="FQ16" s="5">
        <f t="shared" si="126"/>
        <v>200420.17249835067</v>
      </c>
      <c r="FR16" s="79"/>
      <c r="FS16" s="60">
        <f t="shared" si="80"/>
        <v>271571.03913599998</v>
      </c>
      <c r="FT16" s="32">
        <f>FS16*InputData!$C$6</f>
        <v>16864.5615303456</v>
      </c>
      <c r="FU16" s="32">
        <f t="shared" ref="FU16:FU36" si="157">FU15+$EI16+FT16-FV16</f>
        <v>251169.81850884345</v>
      </c>
      <c r="FV16" s="5">
        <f>MIN(0.15*($AW16-1.5*$EM16),$FD$16, FS16+FT16)</f>
        <v>37265.782157502101</v>
      </c>
      <c r="FW16" s="32">
        <f>FV16/((1+InputData!$C$3)^(GenSurg!$B16-GenSurg!$B$7))</f>
        <v>31182.339457153241</v>
      </c>
      <c r="FX16" s="5">
        <f t="shared" si="83"/>
        <v>259922.02054284676</v>
      </c>
      <c r="FY16" s="32">
        <f>FX16/((1+InputData!$C$7)^(GenSurg!$B16-GenSurg!$B$7))</f>
        <v>199208.5856486017</v>
      </c>
      <c r="FZ16" s="5">
        <f t="shared" si="127"/>
        <v>190418.46184996667</v>
      </c>
      <c r="GC16" s="3">
        <f t="shared" si="1"/>
        <v>6</v>
      </c>
      <c r="GD16" s="4" t="str">
        <f t="shared" si="2"/>
        <v>Service (O3&gt;4 = (BP+BAH+BAS+VSP)*12)+ASP</v>
      </c>
      <c r="GE16" s="5">
        <f t="shared" si="3"/>
        <v>81397.919999999998</v>
      </c>
      <c r="GF16" s="5">
        <f t="shared" si="4"/>
        <v>19939.199999999997</v>
      </c>
      <c r="GG16" s="5">
        <f t="shared" si="5"/>
        <v>101337.12</v>
      </c>
      <c r="GH16" s="5">
        <f t="shared" si="6"/>
        <v>74491.055060082363</v>
      </c>
      <c r="GI16" s="5">
        <f t="shared" si="7"/>
        <v>18247.297290323808</v>
      </c>
      <c r="GJ16" s="32">
        <f>IF(GH16-InputData!$C$158-InputData!$C$159&gt;=0,GH16-InputData!$C$158-InputData!$C$159,0)</f>
        <v>74491.055060082363</v>
      </c>
      <c r="GK16" s="32">
        <f>IF(GH16-IF(GH16&lt;=InputData!$C$146,InputData!$C$145,0)-MAX(InputData!$C$144,GQ16)&gt;=0,GH16-IF(GH16&lt;=InputData!$C$146,InputData!$C$145,0)-MAX(InputData!$C$144,GQ16),0)</f>
        <v>64491.055060082363</v>
      </c>
      <c r="GL16" s="32">
        <f>IF(GK16&lt;0,"Error",IF(GK16&lt;=InputData!$B$170,InputData!$C$170*GK16,IF(GK16&lt;=InputData!$B$171,InputData!$D$170+InputData!$C$171*(GK16-InputData!$B$170),IF(GK16&lt;=InputData!$B$172,InputData!$D$171+InputData!$C$172*(GK16-InputData!$B$171),IF(GK16&lt;=InputData!$B$173,InputData!$D$172+InputData!$C$173*(GK16-InputData!$B$172),IF(GK16&lt;=InputData!$B$174,InputData!$D$173+InputData!$C$174*(GK16-InputData!$B$173),IF(GK16&lt;=InputData!$B$175,InputData!$D$174+InputData!$C$175*(GK16-InputData!$B$174),InputData!$D$175+InputData!$C$176*(GK16-InputData!$B$175))))))))</f>
        <v>12051.513765020591</v>
      </c>
      <c r="GM16" s="32">
        <f>IF(GH16&lt;=InputData!$C$150,InputData!$C$152,IF(GH16&lt;InputData!$C$151,IF(InputData!$C$152-0.25*IF(GH16-InputData!$C$150&lt;=0,0,GH16-InputData!$C$150)&lt;=0,0,InputData!$C$152-0.25*IF(GH16-InputData!$C$150&lt;=0,0,GH16-InputData!$C$150)),0))</f>
        <v>51900</v>
      </c>
      <c r="GN16" s="32">
        <f>IF(GH16-GM16&lt;=0,0,IF(GH16-GM16&lt;=InputData!$C$153,InputData!$C$154*(GH16-GM16),InputData!$C$155*(GH16-GM16)-InputData!$D$154))</f>
        <v>5873.6743156214143</v>
      </c>
      <c r="GO16" s="32">
        <f t="shared" si="84"/>
        <v>12051.513765020591</v>
      </c>
      <c r="GP16" s="32">
        <f>IF(GH16&gt;=0,IF(GH16&lt;=InputData!$C$148,InputData!$C$147*GH16,InputData!$C$147*InputData!$C$148)+InputData!$C$149*GH16,0)</f>
        <v>5698.5657120963015</v>
      </c>
      <c r="GQ16" s="32">
        <f>IF(GJ16&lt;0,0,IF(GJ16&lt;=InputData!$B$163,InputData!$C$163*GJ16,IF(GJ16&lt;=InputData!$B$164,InputData!$D$163+InputData!$C$164*(GJ16-InputData!$B$163),IF(GJ16&lt;=InputData!$B$165,InputData!$D$164+InputData!$C$165*(GJ16-InputData!$B$164),InputData!$D$165+InputData!$C$166*(GJ16-InputData!$B$165)))))</f>
        <v>0</v>
      </c>
      <c r="GR16" s="43">
        <f t="shared" si="85"/>
        <v>0.2382847103293165</v>
      </c>
      <c r="GS16" s="43">
        <f t="shared" si="86"/>
        <v>0.19139955614101603</v>
      </c>
      <c r="GT16" s="5">
        <f t="shared" si="87"/>
        <v>74988.272873289287</v>
      </c>
      <c r="GU16" s="32">
        <f>GT16/((1+InputData!$C$7)^(GenSurg!$B16-GenSurg!$B$7))</f>
        <v>57472.267059638616</v>
      </c>
      <c r="GV16" s="32">
        <f t="shared" si="88"/>
        <v>524763.22436689748</v>
      </c>
      <c r="GX16" s="3">
        <f t="shared" si="8"/>
        <v>6</v>
      </c>
      <c r="GY16" s="4" t="str">
        <f t="shared" si="9"/>
        <v>Service (O3&gt;4 = (BP+BAH+BAS+VSP+BCPSP)*12)+ASP</v>
      </c>
      <c r="GZ16" s="5">
        <f t="shared" si="10"/>
        <v>81397.919999999998</v>
      </c>
      <c r="HA16" s="5">
        <f t="shared" si="11"/>
        <v>19939.199999999997</v>
      </c>
      <c r="HB16" s="5">
        <f t="shared" si="12"/>
        <v>101337.12</v>
      </c>
      <c r="HC16" s="5">
        <f t="shared" si="13"/>
        <v>74491.055060082363</v>
      </c>
      <c r="HD16" s="5">
        <f t="shared" si="14"/>
        <v>18247.297290323808</v>
      </c>
      <c r="HE16" s="32">
        <f>IF(HC16-InputData!$C$158-InputData!$C$159&gt;=0,HC16-InputData!$C$158-InputData!$C$159,0)</f>
        <v>74491.055060082363</v>
      </c>
      <c r="HF16" s="32">
        <f>IF(HC16-IF(HC16&lt;=InputData!$C$146,InputData!$C$145,0)-MAX(InputData!$C$144,HL16)&gt;=0,HC16-IF(HC16&lt;=InputData!$C$146,InputData!$C$145,0)-MAX(InputData!$C$144,HL16),0)</f>
        <v>64491.055060082363</v>
      </c>
      <c r="HG16" s="32">
        <f>IF(HF16&lt;0,"Error",IF(HF16&lt;=InputData!$B$170,InputData!$C$170*HF16,IF(HF16&lt;=InputData!$B$171,InputData!$D$170+InputData!$C$171*(HF16-InputData!$B$170),IF(HF16&lt;=InputData!$B$172,InputData!$D$171+InputData!$C$172*(HF16-InputData!$B$171),IF(HF16&lt;=InputData!$B$173,InputData!$D$172+InputData!$C$173*(HF16-InputData!$B$172),IF(HF16&lt;=InputData!$B$174,InputData!$D$173+InputData!$C$174*(HF16-InputData!$B$173),IF(HF16&lt;=InputData!$B$175,InputData!$D$174+InputData!$C$175*(HF16-InputData!$B$174),InputData!$D$175+InputData!$C$176*(HF16-InputData!$B$175))))))))</f>
        <v>12051.513765020591</v>
      </c>
      <c r="HH16" s="32">
        <f>IF(HC16&lt;=InputData!$C$150,InputData!$C$152,IF(HC16&lt;InputData!$C$151,IF(InputData!$C$152-0.25*IF(HC16-InputData!$C$150&lt;=0,0,HC16-InputData!$C$150)&lt;=0,0,InputData!$C$152-0.25*IF(HC16-InputData!$C$150&lt;=0,0,HC16-InputData!$C$150)),0))</f>
        <v>51900</v>
      </c>
      <c r="HI16" s="32">
        <f>IF(HC16-HH16&lt;=0,0,IF(HC16-HH16&lt;=InputData!$C$153,InputData!$C$154*(HC16-HH16),InputData!$C$155*(HC16-HH16)-InputData!$D$154))</f>
        <v>5873.6743156214143</v>
      </c>
      <c r="HJ16" s="32">
        <f t="shared" si="89"/>
        <v>12051.513765020591</v>
      </c>
      <c r="HK16" s="32">
        <f>IF(HC16&gt;=0,IF(HC16&lt;=InputData!$C$148,InputData!$C$147*HC16,InputData!$C$147*InputData!$C$148)+InputData!$C$149*HC16,0)</f>
        <v>5698.5657120963015</v>
      </c>
      <c r="HL16" s="32">
        <f>IF(HE16&lt;0,0,IF(HE16&lt;=InputData!$B$163,InputData!$C$163*HE16,IF(HE16&lt;=InputData!$B$164,InputData!$D$163+InputData!$C$164*(HE16-InputData!$B$163),IF(HE16&lt;=InputData!$B$165,InputData!$D$164+InputData!$C$165*(HE16-InputData!$B$164),InputData!$D$165+InputData!$C$166*(HE16-InputData!$B$165)))))</f>
        <v>0</v>
      </c>
      <c r="HM16" s="43">
        <f t="shared" si="90"/>
        <v>0.2382847103293165</v>
      </c>
      <c r="HN16" s="43">
        <f t="shared" si="91"/>
        <v>0.19139955614101603</v>
      </c>
      <c r="HO16" s="5">
        <f t="shared" si="92"/>
        <v>74988.272873289287</v>
      </c>
      <c r="HP16" s="32">
        <f>HO16/((1+InputData!$C$7)^(GenSurg!$B16-GenSurg!$B$7))</f>
        <v>57472.267059638616</v>
      </c>
      <c r="HQ16" s="32">
        <f t="shared" si="93"/>
        <v>432639.50205622433</v>
      </c>
      <c r="HS16" s="93">
        <f t="shared" si="94"/>
        <v>6</v>
      </c>
      <c r="HT16" s="100" t="str">
        <f t="shared" si="95"/>
        <v>Service (O3&gt;4 = (BP+BAH+BAS+VSP)*12)+ASP</v>
      </c>
      <c r="HU16" s="5">
        <f t="shared" si="15"/>
        <v>81397.919999999998</v>
      </c>
      <c r="HV16" s="5">
        <f t="shared" si="16"/>
        <v>19939.199999999997</v>
      </c>
      <c r="HW16" s="5">
        <f t="shared" si="17"/>
        <v>101337.12</v>
      </c>
      <c r="HX16" s="5">
        <f t="shared" si="18"/>
        <v>74491.055060082363</v>
      </c>
      <c r="HY16" s="5">
        <f t="shared" si="19"/>
        <v>18247.297290323808</v>
      </c>
      <c r="HZ16" s="32">
        <f>IF(HX16-InputData!$C$158-InputData!$C$159&gt;=0,HX16-InputData!$C$158-InputData!$C$159,0)</f>
        <v>74491.055060082363</v>
      </c>
      <c r="IA16" s="32">
        <f>IF(HX16-IF(HX16&lt;=InputData!$C$146,InputData!$C$145,0)-MAX(InputData!$C$144,IG16)&gt;=0,HX16-IF(HX16&lt;=InputData!$C$146,InputData!$C$145,0)-MAX(InputData!$C$144,IG16),0)</f>
        <v>64491.055060082363</v>
      </c>
      <c r="IB16" s="32">
        <f>IF(IA16&lt;0,"Error",IF(IA16&lt;=InputData!$B$170,InputData!$C$170*IA16,IF(IA16&lt;=InputData!$B$171,InputData!$D$170+InputData!$C$171*(IA16-InputData!$B$170),IF(IA16&lt;=InputData!$B$172,InputData!$D$171+InputData!$C$172*(IA16-InputData!$B$171),IF(IA16&lt;=InputData!$B$173,InputData!$D$172+InputData!$C$173*(IA16-InputData!$B$172),IF(IA16&lt;=InputData!$B$174,InputData!$D$173+InputData!$C$174*(IA16-InputData!$B$173),IF(IA16&lt;=InputData!$B$175,InputData!$D$174+InputData!$C$175*(IA16-InputData!$B$174),InputData!$D$175+InputData!$C$176*(IA16-InputData!$B$175))))))))</f>
        <v>12051.513765020591</v>
      </c>
      <c r="IC16" s="32">
        <f>IF(HX16&lt;=InputData!$C$150,InputData!$C$152,IF(HX16&lt;InputData!$C$151,IF(InputData!$C$152-0.25*IF(HX16-InputData!$C$150&lt;=0,0,HX16-InputData!$C$150)&lt;=0,0,InputData!$C$152-0.25*IF(HX16-InputData!$C$150&lt;=0,0,HX16-InputData!$C$150)),0))</f>
        <v>51900</v>
      </c>
      <c r="ID16" s="32">
        <f>IF(HX16-IC16&lt;=0,0,IF(HX16-IC16&lt;=InputData!$C$153,InputData!$C$154*(HX16-IC16),InputData!$C$155*(HX16-IC16)-InputData!$D$154))</f>
        <v>5873.6743156214143</v>
      </c>
      <c r="IE16" s="32">
        <f t="shared" si="96"/>
        <v>12051.513765020591</v>
      </c>
      <c r="IF16" s="32">
        <f>IF(HX16&gt;=0,IF(HX16&lt;=InputData!$C$148,InputData!$C$147*HX16,InputData!$C$147*InputData!$C$148)+InputData!$C$149*HX16,0)</f>
        <v>5698.5657120963015</v>
      </c>
      <c r="IG16" s="32">
        <f>IF(HZ16&lt;0,0,IF(HZ16&lt;=InputData!$B$163,InputData!$C$163*HZ16,IF(HZ16&lt;=InputData!$B$164,InputData!$D$163+InputData!$C$164*(HZ16-InputData!$B$163),IF(HZ16&lt;=InputData!$B$165,InputData!$D$164+InputData!$C$165*(HZ16-InputData!$B$164),InputData!$D$165+InputData!$C$166*(HZ16-InputData!$B$165)))))</f>
        <v>0</v>
      </c>
      <c r="IH16" s="43">
        <f t="shared" si="97"/>
        <v>0.2382847103293165</v>
      </c>
      <c r="II16" s="43">
        <f t="shared" si="98"/>
        <v>0.19139955614101603</v>
      </c>
      <c r="IJ16" s="5">
        <f t="shared" si="20"/>
        <v>74988.272873289287</v>
      </c>
      <c r="IK16" s="32">
        <f>IJ16/((1+InputData!$C$7)^(GenSurg!$B16-GenSurg!$B$7))</f>
        <v>57472.267059638616</v>
      </c>
      <c r="IL16" s="5">
        <f t="shared" si="99"/>
        <v>524763.22436689748</v>
      </c>
      <c r="IN16" s="93">
        <f t="shared" si="100"/>
        <v>6</v>
      </c>
      <c r="IO16" s="100" t="str">
        <f t="shared" si="101"/>
        <v>Service (O3&gt;4 = (BP+BAH+BAS+VSP+BCPSP)*12)+ASP</v>
      </c>
      <c r="IP16" s="5">
        <f t="shared" si="21"/>
        <v>81397.919999999998</v>
      </c>
      <c r="IQ16" s="5">
        <f t="shared" si="22"/>
        <v>19939.199999999997</v>
      </c>
      <c r="IR16" s="5">
        <f t="shared" si="23"/>
        <v>101337.12</v>
      </c>
      <c r="IS16" s="5">
        <f t="shared" si="24"/>
        <v>74491.055060082363</v>
      </c>
      <c r="IT16" s="5">
        <f t="shared" si="25"/>
        <v>18247.297290323808</v>
      </c>
      <c r="IU16" s="32">
        <f>IF(IS16-InputData!$C$158-InputData!$C$159&gt;=0,IS16-InputData!$C$158-InputData!$C$159,0)</f>
        <v>74491.055060082363</v>
      </c>
      <c r="IV16" s="32">
        <f>IF(IS16-IF(IS16&lt;=InputData!$C$146,InputData!$C$145,0)-MAX(InputData!$C$144,JB16)&gt;=0,IS16-IF(IS16&lt;=InputData!$C$146,InputData!$C$145,0)-MAX(InputData!$C$144,JB16),0)</f>
        <v>64491.055060082363</v>
      </c>
      <c r="IW16" s="32">
        <f>IF(IV16&lt;0,"Error",IF(IV16&lt;=InputData!$B$170,InputData!$C$170*IV16,IF(IV16&lt;=InputData!$B$171,InputData!$D$170+InputData!$C$171*(IV16-InputData!$B$170),IF(IV16&lt;=InputData!$B$172,InputData!$D$171+InputData!$C$172*(IV16-InputData!$B$171),IF(IV16&lt;=InputData!$B$173,InputData!$D$172+InputData!$C$173*(IV16-InputData!$B$172),IF(IV16&lt;=InputData!$B$174,InputData!$D$173+InputData!$C$174*(IV16-InputData!$B$173),IF(IV16&lt;=InputData!$B$175,InputData!$D$174+InputData!$C$175*(IV16-InputData!$B$174),InputData!$D$175+InputData!$C$176*(IV16-InputData!$B$175))))))))</f>
        <v>12051.513765020591</v>
      </c>
      <c r="IX16" s="32">
        <f>IF(IS16&lt;=InputData!$C$150,InputData!$C$152,IF(IS16&lt;InputData!$C$151,IF(InputData!$C$152-0.25*IF(IS16-InputData!$C$150&lt;=0,0,IS16-InputData!$C$150)&lt;=0,0,InputData!$C$152-0.25*IF(IS16-InputData!$C$150&lt;=0,0,IS16-InputData!$C$150)),0))</f>
        <v>51900</v>
      </c>
      <c r="IY16" s="32">
        <f>IF(IS16-IX16&lt;=0,0,IF(IS16-IX16&lt;=InputData!$C$153,InputData!$C$154*(IS16-IX16),InputData!$C$155*(IS16-IX16)-InputData!$D$154))</f>
        <v>5873.6743156214143</v>
      </c>
      <c r="IZ16" s="32">
        <f t="shared" si="102"/>
        <v>12051.513765020591</v>
      </c>
      <c r="JA16" s="32">
        <f>IF(IS16&gt;=0,IF(IS16&lt;=InputData!$C$148,InputData!$C$147*IS16,InputData!$C$147*InputData!$C$148)+InputData!$C$149*IS16,0)</f>
        <v>5698.5657120963015</v>
      </c>
      <c r="JB16" s="32">
        <f>IF(IU16&lt;0,0,IF(IU16&lt;=InputData!$B$163,InputData!$C$163*IU16,IF(IU16&lt;=InputData!$B$164,InputData!$D$163+InputData!$C$164*(IU16-InputData!$B$163),IF(IU16&lt;=InputData!$B$165,InputData!$D$164+InputData!$C$165*(IU16-InputData!$B$164),InputData!$D$165+InputData!$C$166*(IU16-InputData!$B$165)))))</f>
        <v>0</v>
      </c>
      <c r="JC16" s="43">
        <f t="shared" si="103"/>
        <v>0.2382847103293165</v>
      </c>
      <c r="JD16" s="43">
        <f t="shared" si="104"/>
        <v>0.19139955614101603</v>
      </c>
      <c r="JE16" s="5">
        <f t="shared" si="105"/>
        <v>74988.272873289287</v>
      </c>
      <c r="JF16" s="32">
        <f>JE16/((1+InputData!$C$7)^(GenSurg!$B16-GenSurg!$B$7))</f>
        <v>57472.267059638616</v>
      </c>
      <c r="JG16" s="5">
        <f t="shared" si="106"/>
        <v>432639.50205622433</v>
      </c>
      <c r="JI16" s="41" t="str">
        <f t="shared" si="26"/>
        <v>Private Practice</v>
      </c>
      <c r="JJ16" s="5">
        <f t="shared" si="27"/>
        <v>363260.33715843759</v>
      </c>
      <c r="JK16" s="32">
        <v>0</v>
      </c>
      <c r="JL16" s="32">
        <f t="shared" si="108"/>
        <v>363260.33715843759</v>
      </c>
      <c r="JM16" s="32">
        <f>JM15*(1+InputData!$C$8)</f>
        <v>13731.613613470356</v>
      </c>
      <c r="JN16" s="32">
        <f>JJ16/((1+InputData!$C$3)^(GenSurg!$B16-GenSurg!$B$7))</f>
        <v>303960</v>
      </c>
      <c r="JO16" s="32">
        <f>JK16/((1+InputData!$C$3)^(GenSurg!$B16-GenSurg!$B$7))</f>
        <v>0</v>
      </c>
      <c r="JP16" s="60" t="s">
        <v>144</v>
      </c>
      <c r="JQ16" s="32">
        <v>0</v>
      </c>
      <c r="JR16" s="118">
        <f t="shared" ref="JR16:JR36" si="158">JU15+JQ16</f>
        <v>0</v>
      </c>
      <c r="JS16" s="32">
        <f>(JR16)*InputData!$C$6</f>
        <v>0</v>
      </c>
      <c r="JT16" s="32">
        <f>MIN($BE$16*InputData!$C$6/(1-(1+InputData!$C$6)^(-10)), JR16+JS16)</f>
        <v>0</v>
      </c>
      <c r="JU16" s="118">
        <f t="shared" si="145"/>
        <v>0</v>
      </c>
      <c r="JV16" s="32">
        <f>JT16/((1+InputData!$C$3)^(GenSurg!$B16-GenSurg!$B$7))</f>
        <v>0</v>
      </c>
      <c r="JW16" s="32">
        <f>IF(JN16-InputData!$C$158-InputData!$C$159&gt;=0,JN16-InputData!$C$158-InputData!$C$159,0)</f>
        <v>303960</v>
      </c>
      <c r="JX16" s="32">
        <f>IF(JN16-IF(JN16&lt;=InputData!$C$146,InputData!$C$145,0)-MAX(InputData!$C$144,KD16)&gt;=0,JN16-IF(JN16&lt;=InputData!$C$146,InputData!$C$145,0)-MAX(InputData!$C$144,KD16),0)</f>
        <v>297860</v>
      </c>
      <c r="JY16" s="32">
        <f>IF(JX16&lt;0,"Error",IF(JX16&lt;=InputData!$B$170,InputData!$C$170*JX16,IF(JX16&lt;=InputData!$B$171,InputData!$D$170+InputData!$C$171*(JX16-InputData!$B$170),IF(JX16&lt;=InputData!$B$172,InputData!$D$171+InputData!$C$172*(JX16-InputData!$B$171),IF(JX16&lt;=InputData!$B$173,InputData!$D$172+InputData!$C$173*(JX16-InputData!$B$172),IF(JX16&lt;=InputData!$B$174,InputData!$D$173+InputData!$C$174*(JX16-InputData!$B$173),IF(JX16&lt;=InputData!$B$175,InputData!$D$174+InputData!$C$175*(JX16-InputData!$B$174),InputData!$D$175+InputData!$C$176*(JX16-InputData!$B$175))))))))</f>
        <v>82424.55</v>
      </c>
      <c r="JZ16" s="32">
        <f>IF(JN16&lt;=InputData!$C$150,InputData!$C$152,IF(JN16&lt;InputData!$C$151,IF(InputData!$C$152-0.25*IF(JN16-InputData!$C$150&lt;=0,0,JN16-InputData!$C$150)&lt;=0,0,InputData!$C$152-0.25*IF(JN16-InputData!$C$150&lt;=0,0,JN16-InputData!$C$150)),0))</f>
        <v>4760</v>
      </c>
      <c r="KA16" s="32">
        <f>IF(JN16-JZ16&lt;=0,0,IF(JN16-JZ16&lt;=InputData!$C$153,InputData!$C$154*(JN16-JZ16),InputData!$C$155*(JN16-JZ16)-InputData!$D$154))</f>
        <v>80186.000000000015</v>
      </c>
      <c r="KB16" s="32">
        <f t="shared" si="109"/>
        <v>82424.55</v>
      </c>
      <c r="KC16" s="32">
        <f>IF(JN16&gt;=0,IF(JN16&lt;=InputData!$C$148,InputData!$C$147*JN16,InputData!$C$147*InputData!$C$148)+InputData!$C$149*JN16,0)</f>
        <v>11456.82</v>
      </c>
      <c r="KD16" s="32">
        <f>IF(JW16&lt;0,0,IF(JW16&lt;=InputData!$B$163,InputData!$C$163*JW16,IF(JW16&lt;=InputData!$B$164,InputData!$D$163+InputData!$C$164*(JW16-InputData!$B$163),IF(JW16&lt;=InputData!$B$165,InputData!$D$164+InputData!$C$165*(JW16-InputData!$B$164),InputData!$D$165+InputData!$C$166*(JW16-InputData!$B$165)))))</f>
        <v>0</v>
      </c>
      <c r="KE16" s="43">
        <f t="shared" si="28"/>
        <v>0.30886093564942751</v>
      </c>
      <c r="KF16" s="32">
        <f t="shared" si="29"/>
        <v>210078.63</v>
      </c>
      <c r="KG16" s="32">
        <f t="shared" si="110"/>
        <v>210078.63</v>
      </c>
      <c r="KH16" s="32">
        <f>KG16/((1+InputData!$C$7)^(GenSurg!$B16-GenSurg!$B$7))</f>
        <v>161007.77713982583</v>
      </c>
      <c r="KI16" s="5">
        <f t="shared" si="129"/>
        <v>341500.33217361348</v>
      </c>
    </row>
    <row r="17" spans="1:295" ht="14.45" x14ac:dyDescent="0.3">
      <c r="A17" s="4">
        <v>2023</v>
      </c>
      <c r="B17" s="51">
        <v>11</v>
      </c>
      <c r="C17" s="4"/>
      <c r="D17" s="3">
        <v>7</v>
      </c>
      <c r="E17" s="4" t="s">
        <v>20</v>
      </c>
      <c r="F17" s="5">
        <f>InputData!$G$23*12</f>
        <v>69296.399999999994</v>
      </c>
      <c r="G17" s="32">
        <f>(InputData!$G$23+InputData!$E$45+InputData!$C$50)*12+InputData!$J$50</f>
        <v>98796.36</v>
      </c>
      <c r="H17" s="32">
        <f>(InputData!$C$34+InputData!$C$40)*12</f>
        <v>20659.199999999997</v>
      </c>
      <c r="I17" s="32">
        <f t="shared" si="30"/>
        <v>119455.56</v>
      </c>
      <c r="J17" s="32">
        <f>G17*((1+InputData!$C$5)/(1+InputData!$C$3))^(GenSurg!$B17-GenSurg!$B$7)</f>
        <v>89526.779922880974</v>
      </c>
      <c r="K17" s="32">
        <f>H17*((1+InputData!$C$5)/(1+InputData!$C$3))^(GenSurg!$B17-GenSurg!$B$7)</f>
        <v>18720.848134311655</v>
      </c>
      <c r="L17" s="32">
        <f>IF(J17-InputData!$C$158-InputData!$C$159&gt;=0,J17-InputData!$C$158-InputData!$C$159,0)</f>
        <v>89526.779922880974</v>
      </c>
      <c r="M17" s="32">
        <f>IF(J17-IF(J17&lt;=InputData!$C$146,InputData!$C$145,0)-MAX(InputData!$C$144,S17)&gt;=0,J17-IF(J17&lt;=InputData!$C$146,InputData!$C$145,0)-MAX(InputData!$C$144,S17),0)</f>
        <v>79526.779922880974</v>
      </c>
      <c r="N17" s="32">
        <f>IF(M17&lt;0,"Error",IF(M17&lt;=InputData!$B$170,InputData!$C$170*M17,IF(M17&lt;=InputData!$B$171,InputData!$D$170+InputData!$C$171*(M17-InputData!$B$170),IF(M17&lt;=InputData!$B$172,InputData!$D$171+InputData!$C$172*(M17-InputData!$B$171),IF(M17&lt;=InputData!$B$173,InputData!$D$172+InputData!$C$173*(M17-InputData!$B$172),IF(M17&lt;=InputData!$B$174,InputData!$D$173+InputData!$C$174*(M17-InputData!$B$173),IF(M17&lt;=InputData!$B$175,InputData!$D$174+InputData!$C$175*(M17-InputData!$B$174),InputData!$D$175+InputData!$C$176*(M17-InputData!$B$175))))))))</f>
        <v>15810.444980720244</v>
      </c>
      <c r="O17" s="32">
        <f>IF(J17&lt;=InputData!$C$150,InputData!$C$152,IF(J17&lt;InputData!$C$151,IF(InputData!$C$152-0.25*IF(J17-InputData!$C$150&lt;=0,0,J17-InputData!$C$150)&lt;=0,0,InputData!$C$152-0.25*IF(J17-InputData!$C$150&lt;=0,0,J17-InputData!$C$150)),0))</f>
        <v>51900</v>
      </c>
      <c r="P17" s="32">
        <f>IF(J17-O17&lt;=0,0,IF(J17-O17&lt;=InputData!$C$153,InputData!$C$154*(J17-O17),InputData!$C$155*(J17-O17)-InputData!$D$154))</f>
        <v>9782.9627799490536</v>
      </c>
      <c r="Q17" s="32">
        <f t="shared" si="31"/>
        <v>15810.444980720244</v>
      </c>
      <c r="R17" s="32">
        <f>IF(J17&gt;=0,IF(J17&lt;=InputData!$C$148,InputData!$C$147*J17,InputData!$C$147*InputData!$C$148)+InputData!$C$149*J17,0)</f>
        <v>6848.7986641003954</v>
      </c>
      <c r="S17" s="32">
        <f>IF(L17&lt;0,0,IF(L17&lt;=InputData!$B$163,InputData!$C$163*L17,IF(L17&lt;=InputData!$B$164,InputData!$D$163+InputData!$C$164*(L17-InputData!$B$163),IF(L17&lt;=InputData!$B$165,InputData!$D$164+InputData!$C$165*(L17-InputData!$B$164),InputData!$D$165+InputData!$C$166*(L17-InputData!$B$165)))))</f>
        <v>0</v>
      </c>
      <c r="T17" s="43">
        <f t="shared" si="32"/>
        <v>0.25310017476714203</v>
      </c>
      <c r="U17" s="43">
        <f t="shared" si="33"/>
        <v>0.20932785365836032</v>
      </c>
      <c r="V17" s="5">
        <f t="shared" si="34"/>
        <v>85588.38441237199</v>
      </c>
      <c r="W17" s="32">
        <f>V17/((1+InputData!$C$7)^(GenSurg!$B17-GenSurg!$B$7))</f>
        <v>63685.796027087723</v>
      </c>
      <c r="X17" s="5">
        <f t="shared" si="111"/>
        <v>588449.02039398521</v>
      </c>
      <c r="Y17" s="53"/>
      <c r="Z17" s="3">
        <v>7</v>
      </c>
      <c r="AA17" s="97" t="s">
        <v>20</v>
      </c>
      <c r="AB17" s="5">
        <f t="shared" si="133"/>
        <v>69296.399999999994</v>
      </c>
      <c r="AC17" s="32">
        <f t="shared" si="134"/>
        <v>98796.36</v>
      </c>
      <c r="AD17" s="32">
        <f t="shared" si="134"/>
        <v>20659.199999999997</v>
      </c>
      <c r="AE17" s="32">
        <f t="shared" si="35"/>
        <v>119455.56</v>
      </c>
      <c r="AF17" s="5">
        <f>AC17*((1+InputData!$C$5)/(1+InputData!$C$3))^(GenSurg!$B17-GenSurg!$B$7)</f>
        <v>89526.779922880974</v>
      </c>
      <c r="AG17" s="5">
        <f>AD17*((1+InputData!$C$5)/(1+InputData!$C$3))^(GenSurg!$B17-GenSurg!$B$7)</f>
        <v>18720.848134311655</v>
      </c>
      <c r="AH17" s="32">
        <f>IF(AF17-InputData!$C$158-InputData!$C$159&gt;=0,AF17-InputData!$C$158-InputData!$C$159,0)</f>
        <v>89526.779922880974</v>
      </c>
      <c r="AI17" s="32">
        <f>IF(AF17-IF(AF17&lt;=InputData!$C$146,InputData!$C$145,0)-MAX(InputData!$C$144,AO17)&gt;=0,AF17-IF(AF17&lt;=InputData!$C$146,InputData!$C$145,0)-MAX(InputData!$C$144,AO17),0)</f>
        <v>79526.779922880974</v>
      </c>
      <c r="AJ17" s="32">
        <f>IF(AI17&lt;0,"Error",IF(AI17&lt;=InputData!$B$170,InputData!$C$170*AI17,IF(AI17&lt;=InputData!$B$171,InputData!$D$170+InputData!$C$171*(AI17-InputData!$B$170),IF(AI17&lt;=InputData!$B$172,InputData!$D$171+InputData!$C$172*(AI17-InputData!$B$171),IF(AI17&lt;=InputData!$B$173,InputData!$D$172+InputData!$C$173*(AI17-InputData!$B$172),IF(AI17&lt;=InputData!$B$174,InputData!$D$173+InputData!$C$174*(AI17-InputData!$B$173),IF(AI17&lt;=InputData!$B$175,InputData!$D$174+InputData!$C$175*(AI17-InputData!$B$174),InputData!$D$175+InputData!$C$176*(AI17-InputData!$B$175))))))))</f>
        <v>15810.444980720244</v>
      </c>
      <c r="AK17" s="32">
        <f>IF(AF17&lt;=InputData!$C$150,InputData!$C$152,IF(AF17&lt;InputData!$C$151,IF(InputData!$C$152-0.25*IF(AF17-InputData!$C$150&lt;=0,0,AF17-InputData!$C$150)&lt;=0,0,InputData!$C$152-0.25*IF(AF17-InputData!$C$150&lt;=0,0,AF17-InputData!$C$150)),0))</f>
        <v>51900</v>
      </c>
      <c r="AL17" s="32">
        <f>IF(AF17-AK17&lt;=0,0,IF(AF17-AK17&lt;=InputData!$C$153,InputData!$C$154*(AF17-AK17),InputData!$C$155*(AF17-AK17)-InputData!$D$154))</f>
        <v>9782.9627799490536</v>
      </c>
      <c r="AM17" s="32">
        <f t="shared" si="36"/>
        <v>15810.444980720244</v>
      </c>
      <c r="AN17" s="32">
        <f>IF(AF17&gt;=0,IF(AF17&lt;=InputData!$C$148,InputData!$C$147*AF17,InputData!$C$147*InputData!$C$148)+InputData!$C$149*AF17,0)</f>
        <v>6848.7986641003954</v>
      </c>
      <c r="AO17" s="32">
        <f>IF(AH17&lt;0,0,IF(AH17&lt;=InputData!$B$163,InputData!$C$163*AH17,IF(AH17&lt;=InputData!$B$164,InputData!$D$163+InputData!$C$164*(AH17-InputData!$B$163),IF(AH17&lt;=InputData!$B$165,InputData!$D$164+InputData!$C$165*(AH17-InputData!$B$164),InputData!$D$165+InputData!$C$166*(AH17-InputData!$B$165)))))</f>
        <v>0</v>
      </c>
      <c r="AP17" s="43">
        <f t="shared" si="37"/>
        <v>0.25310017476714203</v>
      </c>
      <c r="AQ17" s="43">
        <f t="shared" si="38"/>
        <v>0.20932785365836032</v>
      </c>
      <c r="AR17" s="5">
        <f t="shared" si="39"/>
        <v>85588.38441237199</v>
      </c>
      <c r="AS17" s="32">
        <f>AR17/((1+InputData!$C$7)^(GenSurg!$B17-GenSurg!$B$7))</f>
        <v>63685.796027087723</v>
      </c>
      <c r="AT17" s="5">
        <f t="shared" si="112"/>
        <v>496325.29808331205</v>
      </c>
      <c r="AU17" s="53"/>
      <c r="AV17" s="41" t="s">
        <v>109</v>
      </c>
      <c r="AW17" s="32">
        <f>InputData!$C$82*(1+InputData!$C$12)^(GenSurg!B17-GenSurg!$B$7)</f>
        <v>370525.54390160635</v>
      </c>
      <c r="AX17" s="32">
        <v>0</v>
      </c>
      <c r="AY17" s="32">
        <f t="shared" si="41"/>
        <v>370525.54390160635</v>
      </c>
      <c r="AZ17" s="32">
        <f>AZ16*(1+InputData!$C$8)</f>
        <v>14006.245885739763</v>
      </c>
      <c r="BA17" s="32">
        <f>AW17/((1+InputData!$C$3)^(GenSurg!$B17-GenSurg!$B$7))</f>
        <v>303960</v>
      </c>
      <c r="BB17" s="32">
        <f>AX17/((1+InputData!$C$3)^(GenSurg!$B17-GenSurg!$B$7))</f>
        <v>0</v>
      </c>
      <c r="BC17" s="32" t="s">
        <v>141</v>
      </c>
      <c r="BD17" s="32">
        <v>0</v>
      </c>
      <c r="BE17" s="32">
        <f t="shared" si="146"/>
        <v>251359.29617549083</v>
      </c>
      <c r="BF17" s="32">
        <f>(BE17)*InputData!$C$6</f>
        <v>15609.412292497982</v>
      </c>
      <c r="BG17" s="32">
        <f>MIN($BE$16*InputData!$C$6/(1-(1+InputData!$C$6)^(-10)), BE17+BF17)</f>
        <v>37293.894744798265</v>
      </c>
      <c r="BH17" s="32">
        <f t="shared" si="137"/>
        <v>229674.81372319057</v>
      </c>
      <c r="BI17" s="32">
        <f>BG17/((1+InputData!$C$3)^(GenSurg!$B17-GenSurg!$B$7))</f>
        <v>30593.983149618245</v>
      </c>
      <c r="BJ17" s="32">
        <f>IF(BA17-InputData!$C$158-InputData!$C$159&gt;=0,BA17-InputData!$C$158-InputData!$C$159,0)</f>
        <v>303960</v>
      </c>
      <c r="BK17" s="32">
        <f>IF(BA17-IF(BA17&lt;=InputData!$C$146,InputData!$C$145,0)-MAX(InputData!$C$144,BQ17)&gt;=0,BA17-IF(BA17&lt;=InputData!$C$146,InputData!$C$145,0)-MAX(InputData!$C$144,BQ17),0)</f>
        <v>297860</v>
      </c>
      <c r="BL17" s="32">
        <f>IF(BK17&lt;0,"Error",IF(BK17&lt;=InputData!$B$170,InputData!$C$170*BK17,IF(BK17&lt;=InputData!$B$171,InputData!$D$170+InputData!$C$171*(BK17-InputData!$B$170),IF(BK17&lt;=InputData!$B$172,InputData!$D$171+InputData!$C$172*(BK17-InputData!$B$171),IF(BK17&lt;=InputData!$B$173,InputData!$D$172+InputData!$C$173*(BK17-InputData!$B$172),IF(BK17&lt;=InputData!$B$174,InputData!$D$173+InputData!$C$174*(BK17-InputData!$B$173),IF(BK17&lt;=InputData!$B$175,InputData!$D$174+InputData!$C$175*(BK17-InputData!$B$174),InputData!$D$175+InputData!$C$176*(BK17-InputData!$B$175))))))))</f>
        <v>82424.55</v>
      </c>
      <c r="BM17" s="32">
        <f>IF(BA17&lt;=InputData!$C$150,InputData!$C$152,IF(BA17&lt;InputData!$C$151,IF(InputData!$C$152-0.25*IF(BA17-InputData!$C$150&lt;=0,0,BA17-InputData!$C$150)&lt;=0,0,InputData!$C$152-0.25*IF(BA17-InputData!$C$150&lt;=0,0,BA17-InputData!$C$150)),0))</f>
        <v>4760</v>
      </c>
      <c r="BN17" s="32">
        <f>IF(BA17-BM17&lt;=0,0,IF(BA17-BM17&lt;=InputData!$C$153,InputData!$C$154*(BA17-BM17),InputData!$C$155*(BA17-BM17)-InputData!$D$154))</f>
        <v>80186.000000000015</v>
      </c>
      <c r="BO17" s="32">
        <f t="shared" si="42"/>
        <v>82424.55</v>
      </c>
      <c r="BP17" s="32">
        <f>IF(BA17&gt;=0,IF(BA17&lt;=InputData!$C$148,InputData!$C$147*BA17,InputData!$C$147*InputData!$C$148)+InputData!$C$149*BA17,0)</f>
        <v>11456.82</v>
      </c>
      <c r="BQ17" s="32">
        <f>IF(BJ17&lt;0,0,IF(BJ17&lt;=InputData!$B$163,InputData!$C$163*BJ17,IF(BJ17&lt;=InputData!$B$164,InputData!$D$163+InputData!$C$164*(BJ17-InputData!$B$163),IF(BJ17&lt;=InputData!$B$165,InputData!$D$164+InputData!$C$165*(BJ17-InputData!$B$164),InputData!$D$165+InputData!$C$166*(BJ17-InputData!$B$165)))))</f>
        <v>0</v>
      </c>
      <c r="BR17" s="43">
        <f t="shared" si="43"/>
        <v>0.30886093564942751</v>
      </c>
      <c r="BS17" s="32">
        <f t="shared" si="44"/>
        <v>210078.63</v>
      </c>
      <c r="BT17" s="32">
        <f t="shared" si="45"/>
        <v>179484.64685038175</v>
      </c>
      <c r="BU17" s="32">
        <f>BT17/((1+InputData!$C$7)^(GenSurg!$B17-GenSurg!$B$7))</f>
        <v>133553.43353875674</v>
      </c>
      <c r="BV17" s="5">
        <f t="shared" si="114"/>
        <v>260269.6900164836</v>
      </c>
      <c r="BW17" s="5"/>
      <c r="BX17" s="32" t="s">
        <v>141</v>
      </c>
      <c r="BY17" s="5">
        <f t="shared" si="147"/>
        <v>266966.97624647955</v>
      </c>
      <c r="BZ17" s="32">
        <f>(BY17)*InputData!$C$6</f>
        <v>16578.649224906381</v>
      </c>
      <c r="CA17" s="32">
        <f>MIN($BY$16*InputData!$C$6/(1-(1+InputData!$C$6)^(-25)), BY17+BZ17)</f>
        <v>21686.214673809533</v>
      </c>
      <c r="CB17" s="32">
        <f t="shared" si="148"/>
        <v>261859.41079757642</v>
      </c>
      <c r="CC17" s="32">
        <f>CA17/((1+InputData!$C$3)^(GenSurg!$B17-GenSurg!$B$7))</f>
        <v>17790.249338387297</v>
      </c>
      <c r="CD17" s="5">
        <f t="shared" si="49"/>
        <v>192288.3806616127</v>
      </c>
      <c r="CE17" s="32">
        <f>CD17/((1+InputData!$C$7)^(GenSurg!$B17-GenSurg!$B$7))</f>
        <v>143080.61395565115</v>
      </c>
      <c r="CF17" s="5">
        <f t="shared" si="115"/>
        <v>279806.1261793673</v>
      </c>
      <c r="CG17" s="5"/>
      <c r="CH17" s="32" t="s">
        <v>141</v>
      </c>
      <c r="CI17" s="5" t="e">
        <f t="shared" si="149"/>
        <v>#VALUE!</v>
      </c>
      <c r="CJ17" s="32" t="e">
        <f>(CI17)*InputData!$C$6</f>
        <v>#VALUE!</v>
      </c>
      <c r="CK17" s="5" t="str">
        <f t="shared" ref="CK17:CK36" si="159">IF(0.15*($AY$16-1.5*$AZ17)&lt;=$BG$16,MIN(0.15*($AY17-1.5*$AZ17),$BG$16, CI17+CJ17),"DNQ")</f>
        <v>DNQ</v>
      </c>
      <c r="CL17" s="32" t="e">
        <f t="shared" si="150"/>
        <v>#VALUE!</v>
      </c>
      <c r="CM17" s="32" t="e">
        <f>CK17/((1+InputData!$C$3)^(GenSurg!$B17-GenSurg!$B$7))</f>
        <v>#VALUE!</v>
      </c>
      <c r="CN17" s="5" t="e">
        <f t="shared" si="53"/>
        <v>#VALUE!</v>
      </c>
      <c r="CO17" s="32" t="e">
        <f>CN17/((1+InputData!$C$7)^(GenSurg!$B17-GenSurg!$B$7))</f>
        <v>#VALUE!</v>
      </c>
      <c r="CP17" s="5" t="e">
        <f t="shared" si="116"/>
        <v>#VALUE!</v>
      </c>
      <c r="CQ17" s="5"/>
      <c r="CR17" s="32" t="s">
        <v>141</v>
      </c>
      <c r="CS17" s="5">
        <f t="shared" ref="CS17:CS36" si="160">CV16</f>
        <v>254386.89924646588</v>
      </c>
      <c r="CT17" s="32">
        <f>(CS17)*InputData!$C$6</f>
        <v>15797.426443205532</v>
      </c>
      <c r="CU17" s="32">
        <f t="shared" ref="CU17:CU36" si="161">IF(0.1*($AY$16-1.5*$AZ17)&lt;=$BG$16,MIN(0.1*($AY17-1.5*$AZ17),$BG$16,CS17+CT17),"DNQ")</f>
        <v>34951.61750729967</v>
      </c>
      <c r="CV17" s="32">
        <f t="shared" si="152"/>
        <v>235232.70818237172</v>
      </c>
      <c r="CW17" s="32">
        <f>CU17/((1+InputData!$C$3)^(GenSurg!$B17-GenSurg!$B$7))</f>
        <v>28672.499999999996</v>
      </c>
      <c r="CX17" s="5">
        <f t="shared" si="57"/>
        <v>181406.13</v>
      </c>
      <c r="CY17" s="32">
        <f>CX17/((1+InputData!$C$7)^(GenSurg!$B17-GenSurg!$B$7))</f>
        <v>134983.19745796427</v>
      </c>
      <c r="CZ17" s="5">
        <f t="shared" si="117"/>
        <v>263641.06558437302</v>
      </c>
      <c r="DA17" s="5"/>
      <c r="DB17" s="32" t="s">
        <v>141</v>
      </c>
      <c r="DC17" s="5">
        <f t="shared" si="138"/>
        <v>111301.85941585165</v>
      </c>
      <c r="DD17" s="5">
        <f>DC17*InputData!$C$6</f>
        <v>6911.8454697243878</v>
      </c>
      <c r="DE17" s="32">
        <f t="shared" si="139"/>
        <v>29148.379963889372</v>
      </c>
      <c r="DF17" s="32">
        <f t="shared" si="140"/>
        <v>89065.324921686668</v>
      </c>
      <c r="DG17" s="32">
        <f>DE17/((1+InputData!$C$3)^(GenSurg!$B17-GenSurg!$B$7))</f>
        <v>23911.823947491688</v>
      </c>
      <c r="DH17" s="5">
        <f t="shared" si="61"/>
        <v>186166.80605250833</v>
      </c>
      <c r="DI17" s="32">
        <f>DH17/((1+InputData!$C$7)^(GenSurg!$B17-GenSurg!$B$7))</f>
        <v>138525.58753943027</v>
      </c>
      <c r="DJ17" s="5">
        <f t="shared" si="118"/>
        <v>173781.4612764949</v>
      </c>
      <c r="DK17" s="5"/>
      <c r="DL17" s="32" t="s">
        <v>141</v>
      </c>
      <c r="DM17" s="32">
        <f t="shared" si="153"/>
        <v>226158.71460462624</v>
      </c>
      <c r="DN17" s="5">
        <f>DM17*InputData!$C$6</f>
        <v>14044.456176947289</v>
      </c>
      <c r="DO17" s="32">
        <f t="shared" si="154"/>
        <v>0</v>
      </c>
      <c r="DP17" s="32">
        <f t="shared" si="130"/>
        <v>29148.379963889372</v>
      </c>
      <c r="DQ17" s="32">
        <f t="shared" si="131"/>
        <v>211054.79081768414</v>
      </c>
      <c r="DR17" s="32">
        <f>DP17/((1+InputData!$C$3)^(GenSurg!$B17-GenSurg!$B$7))</f>
        <v>23911.823947491688</v>
      </c>
      <c r="DS17" s="5">
        <f t="shared" si="65"/>
        <v>186166.80605250833</v>
      </c>
      <c r="DT17" s="32">
        <f>DS17/((1+InputData!$C$7)^(GenSurg!$B17-GenSurg!$B$7))</f>
        <v>138525.58753943027</v>
      </c>
      <c r="DU17" s="5">
        <f t="shared" si="120"/>
        <v>247235.56623932181</v>
      </c>
      <c r="DV17" s="5"/>
      <c r="DW17" s="32" t="s">
        <v>141</v>
      </c>
      <c r="DX17" s="133">
        <f t="shared" si="141"/>
        <v>233657.82000000004</v>
      </c>
      <c r="DY17" s="5">
        <f>DX17*InputData!$C$6</f>
        <v>14510.150622000003</v>
      </c>
      <c r="DZ17" s="133">
        <f t="shared" si="142"/>
        <v>9152.3276820123247</v>
      </c>
      <c r="EA17" s="32">
        <f t="shared" si="143"/>
        <v>29148.379963889372</v>
      </c>
      <c r="EB17" s="32">
        <f t="shared" si="144"/>
        <v>221568.52768201238</v>
      </c>
      <c r="EC17" s="32">
        <f>EA17/((1+InputData!$C$3)^(GenSurg!$B17-GenSurg!$B$7))</f>
        <v>23911.823947491688</v>
      </c>
      <c r="ED17" s="5">
        <f t="shared" si="69"/>
        <v>186166.80605250833</v>
      </c>
      <c r="EE17" s="32">
        <f>ED17/((1+InputData!$C$7)^(GenSurg!$B17-GenSurg!$B$7))</f>
        <v>138525.58753943027</v>
      </c>
      <c r="EF17" s="5">
        <f t="shared" si="122"/>
        <v>254978.90716296944</v>
      </c>
      <c r="EG17" s="32"/>
      <c r="EH17" s="130" t="s">
        <v>141</v>
      </c>
      <c r="EI17" s="32">
        <v>0</v>
      </c>
      <c r="EJ17" s="32">
        <f>EJ16-(EN16-EK16)</f>
        <v>254169.30899252236</v>
      </c>
      <c r="EK17" s="32">
        <f>(EJ17)*InputData!$C$6</f>
        <v>15783.914088435638</v>
      </c>
      <c r="EL17" s="32">
        <f>EL16+EI17+EK17-EN17</f>
        <v>235001.60557365834</v>
      </c>
      <c r="EM17" s="32">
        <f>EM16*(1+InputData!$C$8)</f>
        <v>14006.245885739763</v>
      </c>
      <c r="EN17" s="32">
        <f t="shared" ref="EN17:EN36" si="162">MIN(0.1*(AW17-1.5*EM17),$FD$16,EJ17+EK17)</f>
        <v>34951.61750729967</v>
      </c>
      <c r="EO17" s="32">
        <f>AW17/((1+InputData!$C$3)^(GenSurg!$B17-GenSurg!$B$7))</f>
        <v>303960</v>
      </c>
      <c r="EP17" s="32">
        <f>AX17/((1+InputData!$C$3)^(GenSurg!$B17-GenSurg!$B$7))</f>
        <v>0</v>
      </c>
      <c r="EQ17" s="32">
        <v>77010.5</v>
      </c>
      <c r="ER17" s="32">
        <v>9930.2000000000007</v>
      </c>
      <c r="ES17" s="32">
        <v>0</v>
      </c>
      <c r="ET17" s="43">
        <f t="shared" si="136"/>
        <v>0.28602677983945257</v>
      </c>
      <c r="EU17" s="32">
        <f t="shared" si="70"/>
        <v>217019.3</v>
      </c>
      <c r="EV17" s="32">
        <f>EN17/((1+InputData!$C$3)^(GenSurg!$B17-GenSurg!$B$7))</f>
        <v>28672.499999999996</v>
      </c>
      <c r="EW17" s="32">
        <f t="shared" si="71"/>
        <v>188346.8</v>
      </c>
      <c r="EX17" s="32">
        <f>EW17/((1+InputData!$C$7)^(GenSurg!$B17-GenSurg!$B$7))</f>
        <v>140147.7077702705</v>
      </c>
      <c r="EY17" s="5">
        <f t="shared" si="124"/>
        <v>332489.75257569563</v>
      </c>
      <c r="EZ17" s="79"/>
      <c r="FA17" s="32">
        <f t="shared" ref="FA17:FA36" si="163">FC16</f>
        <v>251169.81850884345</v>
      </c>
      <c r="FB17" s="32">
        <f>FA17*InputData!$C$6</f>
        <v>15597.645729399179</v>
      </c>
      <c r="FC17" s="32">
        <f t="shared" si="155"/>
        <v>229501.68208074055</v>
      </c>
      <c r="FD17" s="32">
        <f>MIN($EJ$16*InputData!$C$6/(1-(1+InputData!$C$6)^(-10)), FA17+FB17)</f>
        <v>37265.782157502101</v>
      </c>
      <c r="FE17" s="32">
        <f>FD17/((1+InputData!$C$3)^(GenSurg!$B17-GenSurg!$B$7))</f>
        <v>30570.921036424745</v>
      </c>
      <c r="FF17" s="5">
        <f t="shared" si="75"/>
        <v>186448.37896357523</v>
      </c>
      <c r="FG17" s="32">
        <f>FF17/((1+InputData!$C$7)^(GenSurg!$B17-GenSurg!$B$7))</f>
        <v>138735.10422915491</v>
      </c>
      <c r="FH17" s="5">
        <f t="shared" si="125"/>
        <v>329153.56607912155</v>
      </c>
      <c r="FI17" s="79"/>
      <c r="FJ17" s="32">
        <f t="shared" ref="FJ17:FJ36" si="164">FL16</f>
        <v>266765.73332250281</v>
      </c>
      <c r="FK17" s="32">
        <f>FJ17*InputData!$C$6</f>
        <v>16566.152039327426</v>
      </c>
      <c r="FL17" s="32">
        <f t="shared" si="156"/>
        <v>261662.01801798752</v>
      </c>
      <c r="FM17" s="32">
        <f>MIN($EJ$16*InputData!$C$6/(1-(1+InputData!$C$6)^(-25)), FJ17+FK17)</f>
        <v>21669.867343842721</v>
      </c>
      <c r="FN17" s="32">
        <f>FM17/((1+InputData!$C$3)^(GenSurg!$B17-GenSurg!$B$7))</f>
        <v>17776.838834041522</v>
      </c>
      <c r="FO17" s="5">
        <f t="shared" si="79"/>
        <v>199242.46116595846</v>
      </c>
      <c r="FP17" s="32">
        <f>FO17/((1+InputData!$C$7)^(GenSurg!$B17-GenSurg!$B$7))</f>
        <v>148255.10294263676</v>
      </c>
      <c r="FQ17" s="5">
        <f t="shared" si="126"/>
        <v>348675.27544098743</v>
      </c>
      <c r="FR17" s="79"/>
      <c r="FS17" s="32">
        <f t="shared" ref="FS17:FS36" si="165">FU16</f>
        <v>251169.81850884345</v>
      </c>
      <c r="FT17" s="32">
        <f>FS17*InputData!$C$6</f>
        <v>15597.645729399179</v>
      </c>
      <c r="FU17" s="32">
        <f t="shared" si="157"/>
        <v>229501.68208074055</v>
      </c>
      <c r="FV17" s="5">
        <f t="shared" ref="FV17:FV36" si="166">MIN(0.15*($AW17-1.5*$EM17),$FD$16, FS17+FT17)</f>
        <v>37265.782157502101</v>
      </c>
      <c r="FW17" s="32">
        <f>FV17/((1+InputData!$C$3)^(GenSurg!$B17-GenSurg!$B$7))</f>
        <v>30570.921036424745</v>
      </c>
      <c r="FX17" s="5">
        <f t="shared" si="83"/>
        <v>186448.37896357523</v>
      </c>
      <c r="FY17" s="32">
        <f>FX17/((1+InputData!$C$7)^(GenSurg!$B17-GenSurg!$B$7))</f>
        <v>138735.10422915491</v>
      </c>
      <c r="FZ17" s="5">
        <f t="shared" si="127"/>
        <v>329153.56607912155</v>
      </c>
      <c r="GC17" s="3">
        <f t="shared" si="1"/>
        <v>7</v>
      </c>
      <c r="GD17" s="4" t="str">
        <f t="shared" si="2"/>
        <v>Service (O4&gt;6 = (BP+BAH+BAS+VSP+BCPSP)*12)+ASP</v>
      </c>
      <c r="GE17" s="5">
        <f t="shared" si="3"/>
        <v>98796.36</v>
      </c>
      <c r="GF17" s="5">
        <f t="shared" si="4"/>
        <v>20659.199999999997</v>
      </c>
      <c r="GG17" s="5">
        <f t="shared" si="5"/>
        <v>119455.56</v>
      </c>
      <c r="GH17" s="5">
        <f t="shared" si="6"/>
        <v>89526.779922880974</v>
      </c>
      <c r="GI17" s="5">
        <f t="shared" si="7"/>
        <v>18720.848134311655</v>
      </c>
      <c r="GJ17" s="32">
        <f>IF(GH17-InputData!$C$158-InputData!$C$159&gt;=0,GH17-InputData!$C$158-InputData!$C$159,0)</f>
        <v>89526.779922880974</v>
      </c>
      <c r="GK17" s="32">
        <f>IF(GH17-IF(GH17&lt;=InputData!$C$146,InputData!$C$145,0)-MAX(InputData!$C$144,GQ17)&gt;=0,GH17-IF(GH17&lt;=InputData!$C$146,InputData!$C$145,0)-MAX(InputData!$C$144,GQ17),0)</f>
        <v>79526.779922880974</v>
      </c>
      <c r="GL17" s="32">
        <f>IF(GK17&lt;0,"Error",IF(GK17&lt;=InputData!$B$170,InputData!$C$170*GK17,IF(GK17&lt;=InputData!$B$171,InputData!$D$170+InputData!$C$171*(GK17-InputData!$B$170),IF(GK17&lt;=InputData!$B$172,InputData!$D$171+InputData!$C$172*(GK17-InputData!$B$171),IF(GK17&lt;=InputData!$B$173,InputData!$D$172+InputData!$C$173*(GK17-InputData!$B$172),IF(GK17&lt;=InputData!$B$174,InputData!$D$173+InputData!$C$174*(GK17-InputData!$B$173),IF(GK17&lt;=InputData!$B$175,InputData!$D$174+InputData!$C$175*(GK17-InputData!$B$174),InputData!$D$175+InputData!$C$176*(GK17-InputData!$B$175))))))))</f>
        <v>15810.444980720244</v>
      </c>
      <c r="GM17" s="32">
        <f>IF(GH17&lt;=InputData!$C$150,InputData!$C$152,IF(GH17&lt;InputData!$C$151,IF(InputData!$C$152-0.25*IF(GH17-InputData!$C$150&lt;=0,0,GH17-InputData!$C$150)&lt;=0,0,InputData!$C$152-0.25*IF(GH17-InputData!$C$150&lt;=0,0,GH17-InputData!$C$150)),0))</f>
        <v>51900</v>
      </c>
      <c r="GN17" s="32">
        <f>IF(GH17-GM17&lt;=0,0,IF(GH17-GM17&lt;=InputData!$C$153,InputData!$C$154*(GH17-GM17),InputData!$C$155*(GH17-GM17)-InputData!$D$154))</f>
        <v>9782.9627799490536</v>
      </c>
      <c r="GO17" s="32">
        <f t="shared" si="84"/>
        <v>15810.444980720244</v>
      </c>
      <c r="GP17" s="32">
        <f>IF(GH17&gt;=0,IF(GH17&lt;=InputData!$C$148,InputData!$C$147*GH17,InputData!$C$147*InputData!$C$148)+InputData!$C$149*GH17,0)</f>
        <v>6848.7986641003954</v>
      </c>
      <c r="GQ17" s="32">
        <f>IF(GJ17&lt;0,0,IF(GJ17&lt;=InputData!$B$163,InputData!$C$163*GJ17,IF(GJ17&lt;=InputData!$B$164,InputData!$D$163+InputData!$C$164*(GJ17-InputData!$B$163),IF(GJ17&lt;=InputData!$B$165,InputData!$D$164+InputData!$C$165*(GJ17-InputData!$B$164),InputData!$D$165+InputData!$C$166*(GJ17-InputData!$B$165)))))</f>
        <v>0</v>
      </c>
      <c r="GR17" s="43">
        <f t="shared" si="85"/>
        <v>0.25310017476714203</v>
      </c>
      <c r="GS17" s="43">
        <f t="shared" si="86"/>
        <v>0.20932785365836032</v>
      </c>
      <c r="GT17" s="5">
        <f t="shared" si="87"/>
        <v>85588.38441237199</v>
      </c>
      <c r="GU17" s="32">
        <f>GT17/((1+InputData!$C$7)^(GenSurg!$B17-GenSurg!$B$7))</f>
        <v>63685.796027087723</v>
      </c>
      <c r="GV17" s="32">
        <f t="shared" si="88"/>
        <v>588449.02039398521</v>
      </c>
      <c r="GX17" s="3">
        <f t="shared" si="8"/>
        <v>7</v>
      </c>
      <c r="GY17" s="4" t="str">
        <f t="shared" si="9"/>
        <v>Service (O4&gt;6 = (BP+BAH+BAS+VSP+BCPSP)*12)+ASP</v>
      </c>
      <c r="GZ17" s="5">
        <f t="shared" si="10"/>
        <v>98796.36</v>
      </c>
      <c r="HA17" s="5">
        <f t="shared" si="11"/>
        <v>20659.199999999997</v>
      </c>
      <c r="HB17" s="5">
        <f t="shared" si="12"/>
        <v>119455.56</v>
      </c>
      <c r="HC17" s="5">
        <f t="shared" si="13"/>
        <v>89526.779922880974</v>
      </c>
      <c r="HD17" s="5">
        <f t="shared" si="14"/>
        <v>18720.848134311655</v>
      </c>
      <c r="HE17" s="32">
        <f>IF(HC17-InputData!$C$158-InputData!$C$159&gt;=0,HC17-InputData!$C$158-InputData!$C$159,0)</f>
        <v>89526.779922880974</v>
      </c>
      <c r="HF17" s="32">
        <f>IF(HC17-IF(HC17&lt;=InputData!$C$146,InputData!$C$145,0)-MAX(InputData!$C$144,HL17)&gt;=0,HC17-IF(HC17&lt;=InputData!$C$146,InputData!$C$145,0)-MAX(InputData!$C$144,HL17),0)</f>
        <v>79526.779922880974</v>
      </c>
      <c r="HG17" s="32">
        <f>IF(HF17&lt;0,"Error",IF(HF17&lt;=InputData!$B$170,InputData!$C$170*HF17,IF(HF17&lt;=InputData!$B$171,InputData!$D$170+InputData!$C$171*(HF17-InputData!$B$170),IF(HF17&lt;=InputData!$B$172,InputData!$D$171+InputData!$C$172*(HF17-InputData!$B$171),IF(HF17&lt;=InputData!$B$173,InputData!$D$172+InputData!$C$173*(HF17-InputData!$B$172),IF(HF17&lt;=InputData!$B$174,InputData!$D$173+InputData!$C$174*(HF17-InputData!$B$173),IF(HF17&lt;=InputData!$B$175,InputData!$D$174+InputData!$C$175*(HF17-InputData!$B$174),InputData!$D$175+InputData!$C$176*(HF17-InputData!$B$175))))))))</f>
        <v>15810.444980720244</v>
      </c>
      <c r="HH17" s="32">
        <f>IF(HC17&lt;=InputData!$C$150,InputData!$C$152,IF(HC17&lt;InputData!$C$151,IF(InputData!$C$152-0.25*IF(HC17-InputData!$C$150&lt;=0,0,HC17-InputData!$C$150)&lt;=0,0,InputData!$C$152-0.25*IF(HC17-InputData!$C$150&lt;=0,0,HC17-InputData!$C$150)),0))</f>
        <v>51900</v>
      </c>
      <c r="HI17" s="32">
        <f>IF(HC17-HH17&lt;=0,0,IF(HC17-HH17&lt;=InputData!$C$153,InputData!$C$154*(HC17-HH17),InputData!$C$155*(HC17-HH17)-InputData!$D$154))</f>
        <v>9782.9627799490536</v>
      </c>
      <c r="HJ17" s="32">
        <f t="shared" si="89"/>
        <v>15810.444980720244</v>
      </c>
      <c r="HK17" s="32">
        <f>IF(HC17&gt;=0,IF(HC17&lt;=InputData!$C$148,InputData!$C$147*HC17,InputData!$C$147*InputData!$C$148)+InputData!$C$149*HC17,0)</f>
        <v>6848.7986641003954</v>
      </c>
      <c r="HL17" s="32">
        <f>IF(HE17&lt;0,0,IF(HE17&lt;=InputData!$B$163,InputData!$C$163*HE17,IF(HE17&lt;=InputData!$B$164,InputData!$D$163+InputData!$C$164*(HE17-InputData!$B$163),IF(HE17&lt;=InputData!$B$165,InputData!$D$164+InputData!$C$165*(HE17-InputData!$B$164),InputData!$D$165+InputData!$C$166*(HE17-InputData!$B$165)))))</f>
        <v>0</v>
      </c>
      <c r="HM17" s="43">
        <f t="shared" si="90"/>
        <v>0.25310017476714203</v>
      </c>
      <c r="HN17" s="43">
        <f t="shared" si="91"/>
        <v>0.20932785365836032</v>
      </c>
      <c r="HO17" s="5">
        <f t="shared" si="92"/>
        <v>85588.38441237199</v>
      </c>
      <c r="HP17" s="32">
        <f>HO17/((1+InputData!$C$7)^(GenSurg!$B17-GenSurg!$B$7))</f>
        <v>63685.796027087723</v>
      </c>
      <c r="HQ17" s="32">
        <f t="shared" si="93"/>
        <v>496325.29808331205</v>
      </c>
      <c r="HS17" s="93">
        <f t="shared" si="94"/>
        <v>7</v>
      </c>
      <c r="HT17" s="5" t="str">
        <f t="shared" si="95"/>
        <v>Service (O4&gt;6 = (BP+BAH+BAS+VSP+BCPSP)*12)+ASP</v>
      </c>
      <c r="HU17" s="5">
        <f t="shared" si="15"/>
        <v>98796.36</v>
      </c>
      <c r="HV17" s="5">
        <f t="shared" si="16"/>
        <v>20659.199999999997</v>
      </c>
      <c r="HW17" s="5">
        <f t="shared" si="17"/>
        <v>119455.56</v>
      </c>
      <c r="HX17" s="5">
        <f t="shared" si="18"/>
        <v>89526.779922880974</v>
      </c>
      <c r="HY17" s="5">
        <f t="shared" si="19"/>
        <v>18720.848134311655</v>
      </c>
      <c r="HZ17" s="32">
        <f>IF(HX17-InputData!$C$158-InputData!$C$159&gt;=0,HX17-InputData!$C$158-InputData!$C$159,0)</f>
        <v>89526.779922880974</v>
      </c>
      <c r="IA17" s="32">
        <f>IF(HX17-IF(HX17&lt;=InputData!$C$146,InputData!$C$145,0)-MAX(InputData!$C$144,IG17)&gt;=0,HX17-IF(HX17&lt;=InputData!$C$146,InputData!$C$145,0)-MAX(InputData!$C$144,IG17),0)</f>
        <v>79526.779922880974</v>
      </c>
      <c r="IB17" s="32">
        <f>IF(IA17&lt;0,"Error",IF(IA17&lt;=InputData!$B$170,InputData!$C$170*IA17,IF(IA17&lt;=InputData!$B$171,InputData!$D$170+InputData!$C$171*(IA17-InputData!$B$170),IF(IA17&lt;=InputData!$B$172,InputData!$D$171+InputData!$C$172*(IA17-InputData!$B$171),IF(IA17&lt;=InputData!$B$173,InputData!$D$172+InputData!$C$173*(IA17-InputData!$B$172),IF(IA17&lt;=InputData!$B$174,InputData!$D$173+InputData!$C$174*(IA17-InputData!$B$173),IF(IA17&lt;=InputData!$B$175,InputData!$D$174+InputData!$C$175*(IA17-InputData!$B$174),InputData!$D$175+InputData!$C$176*(IA17-InputData!$B$175))))))))</f>
        <v>15810.444980720244</v>
      </c>
      <c r="IC17" s="32">
        <f>IF(HX17&lt;=InputData!$C$150,InputData!$C$152,IF(HX17&lt;InputData!$C$151,IF(InputData!$C$152-0.25*IF(HX17-InputData!$C$150&lt;=0,0,HX17-InputData!$C$150)&lt;=0,0,InputData!$C$152-0.25*IF(HX17-InputData!$C$150&lt;=0,0,HX17-InputData!$C$150)),0))</f>
        <v>51900</v>
      </c>
      <c r="ID17" s="32">
        <f>IF(HX17-IC17&lt;=0,0,IF(HX17-IC17&lt;=InputData!$C$153,InputData!$C$154*(HX17-IC17),InputData!$C$155*(HX17-IC17)-InputData!$D$154))</f>
        <v>9782.9627799490536</v>
      </c>
      <c r="IE17" s="32">
        <f t="shared" si="96"/>
        <v>15810.444980720244</v>
      </c>
      <c r="IF17" s="32">
        <f>IF(HX17&gt;=0,IF(HX17&lt;=InputData!$C$148,InputData!$C$147*HX17,InputData!$C$147*InputData!$C$148)+InputData!$C$149*HX17,0)</f>
        <v>6848.7986641003954</v>
      </c>
      <c r="IG17" s="32">
        <f>IF(HZ17&lt;0,0,IF(HZ17&lt;=InputData!$B$163,InputData!$C$163*HZ17,IF(HZ17&lt;=InputData!$B$164,InputData!$D$163+InputData!$C$164*(HZ17-InputData!$B$163),IF(HZ17&lt;=InputData!$B$165,InputData!$D$164+InputData!$C$165*(HZ17-InputData!$B$164),InputData!$D$165+InputData!$C$166*(HZ17-InputData!$B$165)))))</f>
        <v>0</v>
      </c>
      <c r="IH17" s="43">
        <f t="shared" si="97"/>
        <v>0.25310017476714203</v>
      </c>
      <c r="II17" s="43">
        <f t="shared" si="98"/>
        <v>0.20932785365836032</v>
      </c>
      <c r="IJ17" s="5">
        <f t="shared" si="20"/>
        <v>85588.38441237199</v>
      </c>
      <c r="IK17" s="32">
        <f>IJ17/((1+InputData!$C$7)^(GenSurg!$B17-GenSurg!$B$7))</f>
        <v>63685.796027087723</v>
      </c>
      <c r="IL17" s="5">
        <f t="shared" si="99"/>
        <v>588449.02039398521</v>
      </c>
      <c r="IN17" s="93">
        <f t="shared" si="100"/>
        <v>7</v>
      </c>
      <c r="IO17" s="5" t="str">
        <f t="shared" si="101"/>
        <v>Service (O4&gt;6 = (BP+BAH+BAS+VSP+BCPSP)*12)+ASP</v>
      </c>
      <c r="IP17" s="5">
        <f t="shared" si="21"/>
        <v>98796.36</v>
      </c>
      <c r="IQ17" s="5">
        <f t="shared" si="22"/>
        <v>20659.199999999997</v>
      </c>
      <c r="IR17" s="5">
        <f t="shared" si="23"/>
        <v>119455.56</v>
      </c>
      <c r="IS17" s="5">
        <f t="shared" si="24"/>
        <v>89526.779922880974</v>
      </c>
      <c r="IT17" s="5">
        <f t="shared" si="25"/>
        <v>18720.848134311655</v>
      </c>
      <c r="IU17" s="32">
        <f>IF(IS17-InputData!$C$158-InputData!$C$159&gt;=0,IS17-InputData!$C$158-InputData!$C$159,0)</f>
        <v>89526.779922880974</v>
      </c>
      <c r="IV17" s="32">
        <f>IF(IS17-IF(IS17&lt;=InputData!$C$146,InputData!$C$145,0)-MAX(InputData!$C$144,JB17)&gt;=0,IS17-IF(IS17&lt;=InputData!$C$146,InputData!$C$145,0)-MAX(InputData!$C$144,JB17),0)</f>
        <v>79526.779922880974</v>
      </c>
      <c r="IW17" s="32">
        <f>IF(IV17&lt;0,"Error",IF(IV17&lt;=InputData!$B$170,InputData!$C$170*IV17,IF(IV17&lt;=InputData!$B$171,InputData!$D$170+InputData!$C$171*(IV17-InputData!$B$170),IF(IV17&lt;=InputData!$B$172,InputData!$D$171+InputData!$C$172*(IV17-InputData!$B$171),IF(IV17&lt;=InputData!$B$173,InputData!$D$172+InputData!$C$173*(IV17-InputData!$B$172),IF(IV17&lt;=InputData!$B$174,InputData!$D$173+InputData!$C$174*(IV17-InputData!$B$173),IF(IV17&lt;=InputData!$B$175,InputData!$D$174+InputData!$C$175*(IV17-InputData!$B$174),InputData!$D$175+InputData!$C$176*(IV17-InputData!$B$175))))))))</f>
        <v>15810.444980720244</v>
      </c>
      <c r="IX17" s="32">
        <f>IF(IS17&lt;=InputData!$C$150,InputData!$C$152,IF(IS17&lt;InputData!$C$151,IF(InputData!$C$152-0.25*IF(IS17-InputData!$C$150&lt;=0,0,IS17-InputData!$C$150)&lt;=0,0,InputData!$C$152-0.25*IF(IS17-InputData!$C$150&lt;=0,0,IS17-InputData!$C$150)),0))</f>
        <v>51900</v>
      </c>
      <c r="IY17" s="32">
        <f>IF(IS17-IX17&lt;=0,0,IF(IS17-IX17&lt;=InputData!$C$153,InputData!$C$154*(IS17-IX17),InputData!$C$155*(IS17-IX17)-InputData!$D$154))</f>
        <v>9782.9627799490536</v>
      </c>
      <c r="IZ17" s="32">
        <f t="shared" si="102"/>
        <v>15810.444980720244</v>
      </c>
      <c r="JA17" s="32">
        <f>IF(IS17&gt;=0,IF(IS17&lt;=InputData!$C$148,InputData!$C$147*IS17,InputData!$C$147*InputData!$C$148)+InputData!$C$149*IS17,0)</f>
        <v>6848.7986641003954</v>
      </c>
      <c r="JB17" s="32">
        <f>IF(IU17&lt;0,0,IF(IU17&lt;=InputData!$B$163,InputData!$C$163*IU17,IF(IU17&lt;=InputData!$B$164,InputData!$D$163+InputData!$C$164*(IU17-InputData!$B$163),IF(IU17&lt;=InputData!$B$165,InputData!$D$164+InputData!$C$165*(IU17-InputData!$B$164),InputData!$D$165+InputData!$C$166*(IU17-InputData!$B$165)))))</f>
        <v>0</v>
      </c>
      <c r="JC17" s="43">
        <f t="shared" si="103"/>
        <v>0.25310017476714203</v>
      </c>
      <c r="JD17" s="43">
        <f t="shared" si="104"/>
        <v>0.20932785365836032</v>
      </c>
      <c r="JE17" s="5">
        <f t="shared" si="105"/>
        <v>85588.38441237199</v>
      </c>
      <c r="JF17" s="32">
        <f>JE17/((1+InputData!$C$7)^(GenSurg!$B17-GenSurg!$B$7))</f>
        <v>63685.796027087723</v>
      </c>
      <c r="JG17" s="5">
        <f t="shared" si="106"/>
        <v>496325.29808331205</v>
      </c>
      <c r="JI17" s="41" t="str">
        <f t="shared" si="26"/>
        <v>Private Practice</v>
      </c>
      <c r="JJ17" s="5">
        <f t="shared" si="27"/>
        <v>370525.54390160635</v>
      </c>
      <c r="JK17" s="32">
        <v>0</v>
      </c>
      <c r="JL17" s="32">
        <f t="shared" si="108"/>
        <v>370525.54390160635</v>
      </c>
      <c r="JM17" s="32">
        <f>JM16*(1+InputData!$C$8)</f>
        <v>14006.245885739763</v>
      </c>
      <c r="JN17" s="32">
        <f>JJ17/((1+InputData!$C$3)^(GenSurg!$B17-GenSurg!$B$7))</f>
        <v>303960</v>
      </c>
      <c r="JO17" s="32">
        <f>JK17/((1+InputData!$C$3)^(GenSurg!$B17-GenSurg!$B$7))</f>
        <v>0</v>
      </c>
      <c r="JP17" s="32" t="s">
        <v>141</v>
      </c>
      <c r="JQ17" s="32">
        <v>0</v>
      </c>
      <c r="JR17" s="32">
        <f t="shared" si="158"/>
        <v>0</v>
      </c>
      <c r="JS17" s="32">
        <f>(JR17)*InputData!$C$6</f>
        <v>0</v>
      </c>
      <c r="JT17" s="32">
        <f>MIN($BE$16*InputData!$C$6/(1-(1+InputData!$C$6)^(-10)), JR17+JS17)</f>
        <v>0</v>
      </c>
      <c r="JU17" s="32">
        <f t="shared" si="145"/>
        <v>0</v>
      </c>
      <c r="JV17" s="32">
        <f>JT17/((1+InputData!$C$3)^(GenSurg!$B17-GenSurg!$B$7))</f>
        <v>0</v>
      </c>
      <c r="JW17" s="32">
        <f>IF(JN17-InputData!$C$158-InputData!$C$159&gt;=0,JN17-InputData!$C$158-InputData!$C$159,0)</f>
        <v>303960</v>
      </c>
      <c r="JX17" s="32">
        <f>IF(JN17-IF(JN17&lt;=InputData!$C$146,InputData!$C$145,0)-MAX(InputData!$C$144,KD17)&gt;=0,JN17-IF(JN17&lt;=InputData!$C$146,InputData!$C$145,0)-MAX(InputData!$C$144,KD17),0)</f>
        <v>297860</v>
      </c>
      <c r="JY17" s="32">
        <f>IF(JX17&lt;0,"Error",IF(JX17&lt;=InputData!$B$170,InputData!$C$170*JX17,IF(JX17&lt;=InputData!$B$171,InputData!$D$170+InputData!$C$171*(JX17-InputData!$B$170),IF(JX17&lt;=InputData!$B$172,InputData!$D$171+InputData!$C$172*(JX17-InputData!$B$171),IF(JX17&lt;=InputData!$B$173,InputData!$D$172+InputData!$C$173*(JX17-InputData!$B$172),IF(JX17&lt;=InputData!$B$174,InputData!$D$173+InputData!$C$174*(JX17-InputData!$B$173),IF(JX17&lt;=InputData!$B$175,InputData!$D$174+InputData!$C$175*(JX17-InputData!$B$174),InputData!$D$175+InputData!$C$176*(JX17-InputData!$B$175))))))))</f>
        <v>82424.55</v>
      </c>
      <c r="JZ17" s="32">
        <f>IF(JN17&lt;=InputData!$C$150,InputData!$C$152,IF(JN17&lt;InputData!$C$151,IF(InputData!$C$152-0.25*IF(JN17-InputData!$C$150&lt;=0,0,JN17-InputData!$C$150)&lt;=0,0,InputData!$C$152-0.25*IF(JN17-InputData!$C$150&lt;=0,0,JN17-InputData!$C$150)),0))</f>
        <v>4760</v>
      </c>
      <c r="KA17" s="32">
        <f>IF(JN17-JZ17&lt;=0,0,IF(JN17-JZ17&lt;=InputData!$C$153,InputData!$C$154*(JN17-JZ17),InputData!$C$155*(JN17-JZ17)-InputData!$D$154))</f>
        <v>80186.000000000015</v>
      </c>
      <c r="KB17" s="32">
        <f t="shared" si="109"/>
        <v>82424.55</v>
      </c>
      <c r="KC17" s="32">
        <f>IF(JN17&gt;=0,IF(JN17&lt;=InputData!$C$148,InputData!$C$147*JN17,InputData!$C$147*InputData!$C$148)+InputData!$C$149*JN17,0)</f>
        <v>11456.82</v>
      </c>
      <c r="KD17" s="32">
        <f>IF(JW17&lt;0,0,IF(JW17&lt;=InputData!$B$163,InputData!$C$163*JW17,IF(JW17&lt;=InputData!$B$164,InputData!$D$163+InputData!$C$164*(JW17-InputData!$B$163),IF(JW17&lt;=InputData!$B$165,InputData!$D$164+InputData!$C$165*(JW17-InputData!$B$164),InputData!$D$165+InputData!$C$166*(JW17-InputData!$B$165)))))</f>
        <v>0</v>
      </c>
      <c r="KE17" s="43">
        <f t="shared" si="28"/>
        <v>0.30886093564942751</v>
      </c>
      <c r="KF17" s="32">
        <f t="shared" si="29"/>
        <v>210078.63</v>
      </c>
      <c r="KG17" s="32">
        <f t="shared" si="110"/>
        <v>210078.63</v>
      </c>
      <c r="KH17" s="32">
        <f>KG17/((1+InputData!$C$7)^(GenSurg!$B17-GenSurg!$B$7))</f>
        <v>156318.23023284064</v>
      </c>
      <c r="KI17" s="5">
        <f t="shared" si="129"/>
        <v>497818.56240645412</v>
      </c>
    </row>
    <row r="18" spans="1:295" ht="14.45" x14ac:dyDescent="0.3">
      <c r="A18" s="4">
        <v>2024</v>
      </c>
      <c r="B18" s="51">
        <v>12</v>
      </c>
      <c r="C18" s="4"/>
      <c r="D18" s="3">
        <v>8</v>
      </c>
      <c r="E18" s="4" t="s">
        <v>20</v>
      </c>
      <c r="F18" s="5">
        <f>InputData!$G$23*12</f>
        <v>69296.399999999994</v>
      </c>
      <c r="G18" s="32">
        <f>(InputData!$G$23+InputData!$E$45+InputData!$C$50)*12+InputData!$J$50</f>
        <v>98796.36</v>
      </c>
      <c r="H18" s="32">
        <f>(InputData!$C$34+InputData!$C$40)*12</f>
        <v>20659.199999999997</v>
      </c>
      <c r="I18" s="32">
        <f t="shared" si="30"/>
        <v>119455.56</v>
      </c>
      <c r="J18" s="32">
        <f>G18*((1+InputData!$C$5)/(1+InputData!$C$3))^(GenSurg!$B18-GenSurg!$B$7)</f>
        <v>88649.066394225287</v>
      </c>
      <c r="K18" s="32">
        <f>H18*((1+InputData!$C$5)/(1+InputData!$C$3))^(GenSurg!$B18-GenSurg!$B$7)</f>
        <v>18537.310407504676</v>
      </c>
      <c r="L18" s="32">
        <f>IF(J18-InputData!$C$158-InputData!$C$159&gt;=0,J18-InputData!$C$158-InputData!$C$159,0)</f>
        <v>88649.066394225287</v>
      </c>
      <c r="M18" s="32">
        <f>IF(J18-IF(J18&lt;=InputData!$C$146,InputData!$C$145,0)-MAX(InputData!$C$144,S18)&gt;=0,J18-IF(J18&lt;=InputData!$C$146,InputData!$C$145,0)-MAX(InputData!$C$144,S18),0)</f>
        <v>78649.066394225287</v>
      </c>
      <c r="N18" s="32">
        <f>IF(M18&lt;0,"Error",IF(M18&lt;=InputData!$B$170,InputData!$C$170*M18,IF(M18&lt;=InputData!$B$171,InputData!$D$170+InputData!$C$171*(M18-InputData!$B$170),IF(M18&lt;=InputData!$B$172,InputData!$D$171+InputData!$C$172*(M18-InputData!$B$171),IF(M18&lt;=InputData!$B$173,InputData!$D$172+InputData!$C$173*(M18-InputData!$B$172),IF(M18&lt;=InputData!$B$174,InputData!$D$173+InputData!$C$174*(M18-InputData!$B$173),IF(M18&lt;=InputData!$B$175,InputData!$D$174+InputData!$C$175*(M18-InputData!$B$174),InputData!$D$175+InputData!$C$176*(M18-InputData!$B$175))))))))</f>
        <v>15591.016598556322</v>
      </c>
      <c r="O18" s="32">
        <f>IF(J18&lt;=InputData!$C$150,InputData!$C$152,IF(J18&lt;InputData!$C$151,IF(InputData!$C$152-0.25*IF(J18-InputData!$C$150&lt;=0,0,J18-InputData!$C$150)&lt;=0,0,InputData!$C$152-0.25*IF(J18-InputData!$C$150&lt;=0,0,J18-InputData!$C$150)),0))</f>
        <v>51900</v>
      </c>
      <c r="P18" s="32">
        <f>IF(J18-O18&lt;=0,0,IF(J18-O18&lt;=InputData!$C$153,InputData!$C$154*(J18-O18),InputData!$C$155*(J18-O18)-InputData!$D$154))</f>
        <v>9554.7572624985751</v>
      </c>
      <c r="Q18" s="32">
        <f t="shared" si="31"/>
        <v>15591.016598556322</v>
      </c>
      <c r="R18" s="32">
        <f>IF(J18&gt;=0,IF(J18&lt;=InputData!$C$148,InputData!$C$147*J18,InputData!$C$147*InputData!$C$148)+InputData!$C$149*J18,0)</f>
        <v>6781.6535791582337</v>
      </c>
      <c r="S18" s="32">
        <f>IF(L18&lt;0,0,IF(L18&lt;=InputData!$B$163,InputData!$C$163*L18,IF(L18&lt;=InputData!$B$164,InputData!$D$163+InputData!$C$164*(L18-InputData!$B$163),IF(L18&lt;=InputData!$B$165,InputData!$D$164+InputData!$C$165*(L18-InputData!$B$164),InputData!$D$165+InputData!$C$166*(L18-InputData!$B$165)))))</f>
        <v>0</v>
      </c>
      <c r="T18" s="43">
        <f t="shared" si="32"/>
        <v>0.25237344382424248</v>
      </c>
      <c r="U18" s="43">
        <f t="shared" si="33"/>
        <v>0.20872680694393494</v>
      </c>
      <c r="V18" s="5">
        <f t="shared" si="34"/>
        <v>84813.706624015409</v>
      </c>
      <c r="W18" s="32">
        <f>V18/((1+InputData!$C$7)^(GenSurg!$B18-GenSurg!$B$7))</f>
        <v>61271.226212394111</v>
      </c>
      <c r="X18" s="5">
        <f t="shared" si="111"/>
        <v>649720.24660637928</v>
      </c>
      <c r="Y18" s="53"/>
      <c r="Z18" s="3">
        <v>8</v>
      </c>
      <c r="AA18" s="97" t="s">
        <v>211</v>
      </c>
      <c r="AB18" s="5">
        <f t="shared" si="133"/>
        <v>69296.399999999994</v>
      </c>
      <c r="AC18" s="32">
        <f t="shared" si="134"/>
        <v>98796.36</v>
      </c>
      <c r="AD18" s="32">
        <f t="shared" si="134"/>
        <v>20659.199999999997</v>
      </c>
      <c r="AE18" s="32">
        <f t="shared" si="35"/>
        <v>119455.56</v>
      </c>
      <c r="AF18" s="5">
        <f>AC18*((1+InputData!$C$5)/(1+InputData!$C$3))^(GenSurg!$B18-GenSurg!$B$7)</f>
        <v>88649.066394225287</v>
      </c>
      <c r="AG18" s="5">
        <f>AD18*((1+InputData!$C$5)/(1+InputData!$C$3))^(GenSurg!$B18-GenSurg!$B$7)</f>
        <v>18537.310407504676</v>
      </c>
      <c r="AH18" s="32">
        <f>IF(AF18-InputData!$C$158-InputData!$C$159&gt;=0,AF18-InputData!$C$158-InputData!$C$159,0)</f>
        <v>88649.066394225287</v>
      </c>
      <c r="AI18" s="32">
        <f>IF(AF18-IF(AF18&lt;=InputData!$C$146,InputData!$C$145,0)-MAX(InputData!$C$144,AO18)&gt;=0,AF18-IF(AF18&lt;=InputData!$C$146,InputData!$C$145,0)-MAX(InputData!$C$144,AO18),0)</f>
        <v>78649.066394225287</v>
      </c>
      <c r="AJ18" s="32">
        <f>IF(AI18&lt;0,"Error",IF(AI18&lt;=InputData!$B$170,InputData!$C$170*AI18,IF(AI18&lt;=InputData!$B$171,InputData!$D$170+InputData!$C$171*(AI18-InputData!$B$170),IF(AI18&lt;=InputData!$B$172,InputData!$D$171+InputData!$C$172*(AI18-InputData!$B$171),IF(AI18&lt;=InputData!$B$173,InputData!$D$172+InputData!$C$173*(AI18-InputData!$B$172),IF(AI18&lt;=InputData!$B$174,InputData!$D$173+InputData!$C$174*(AI18-InputData!$B$173),IF(AI18&lt;=InputData!$B$175,InputData!$D$174+InputData!$C$175*(AI18-InputData!$B$174),InputData!$D$175+InputData!$C$176*(AI18-InputData!$B$175))))))))</f>
        <v>15591.016598556322</v>
      </c>
      <c r="AK18" s="32">
        <f>IF(AF18&lt;=InputData!$C$150,InputData!$C$152,IF(AF18&lt;InputData!$C$151,IF(InputData!$C$152-0.25*IF(AF18-InputData!$C$150&lt;=0,0,AF18-InputData!$C$150)&lt;=0,0,InputData!$C$152-0.25*IF(AF18-InputData!$C$150&lt;=0,0,AF18-InputData!$C$150)),0))</f>
        <v>51900</v>
      </c>
      <c r="AL18" s="32">
        <f>IF(AF18-AK18&lt;=0,0,IF(AF18-AK18&lt;=InputData!$C$153,InputData!$C$154*(AF18-AK18),InputData!$C$155*(AF18-AK18)-InputData!$D$154))</f>
        <v>9554.7572624985751</v>
      </c>
      <c r="AM18" s="32">
        <f t="shared" si="36"/>
        <v>15591.016598556322</v>
      </c>
      <c r="AN18" s="32">
        <f>IF(AF18&gt;=0,IF(AF18&lt;=InputData!$C$148,InputData!$C$147*AF18,InputData!$C$147*InputData!$C$148)+InputData!$C$149*AF18,0)</f>
        <v>6781.6535791582337</v>
      </c>
      <c r="AO18" s="32">
        <f>IF(AH18&lt;0,0,IF(AH18&lt;=InputData!$B$163,InputData!$C$163*AH18,IF(AH18&lt;=InputData!$B$164,InputData!$D$163+InputData!$C$164*(AH18-InputData!$B$163),IF(AH18&lt;=InputData!$B$165,InputData!$D$164+InputData!$C$165*(AH18-InputData!$B$164),InputData!$D$165+InputData!$C$166*(AH18-InputData!$B$165)))))</f>
        <v>0</v>
      </c>
      <c r="AP18" s="43">
        <f t="shared" si="37"/>
        <v>0.25237344382424248</v>
      </c>
      <c r="AQ18" s="43">
        <f t="shared" si="38"/>
        <v>0.20872680694393494</v>
      </c>
      <c r="AR18" s="5">
        <f t="shared" si="39"/>
        <v>84813.706624015409</v>
      </c>
      <c r="AS18" s="32">
        <f>AR18/((1+InputData!$C$7)^(GenSurg!$B18-GenSurg!$B$7))</f>
        <v>61271.226212394111</v>
      </c>
      <c r="AT18" s="5">
        <f t="shared" si="112"/>
        <v>557596.52429570619</v>
      </c>
      <c r="AU18" s="53"/>
      <c r="AV18" s="41" t="s">
        <v>109</v>
      </c>
      <c r="AW18" s="32">
        <f>$AW$17*(1+InputData!$C$3+InputData!$C$4)^(GenSurg!$B18-GenSurg!$B$17)</f>
        <v>381641.31021865457</v>
      </c>
      <c r="AX18" s="32">
        <v>0</v>
      </c>
      <c r="AY18" s="32">
        <f t="shared" si="41"/>
        <v>381641.31021865457</v>
      </c>
      <c r="AZ18" s="32">
        <f>AZ17*(1+InputData!$C$8)</f>
        <v>14286.370803454558</v>
      </c>
      <c r="BA18" s="32">
        <f>AW18/((1+InputData!$C$3)^(GenSurg!$B18-GenSurg!$B$7))</f>
        <v>306940.00000000006</v>
      </c>
      <c r="BB18" s="32">
        <f>AX18/((1+InputData!$C$3)^(GenSurg!$B18-GenSurg!$B$7))</f>
        <v>0</v>
      </c>
      <c r="BC18" s="32" t="s">
        <v>141</v>
      </c>
      <c r="BD18" s="32">
        <v>0</v>
      </c>
      <c r="BE18" s="32">
        <f t="shared" si="146"/>
        <v>229674.81372319057</v>
      </c>
      <c r="BF18" s="32">
        <f>(BE18)*InputData!$C$6</f>
        <v>14262.805932210134</v>
      </c>
      <c r="BG18" s="32">
        <f>MIN($BE$16*InputData!$C$6/(1-(1+InputData!$C$6)^(-10)), BE18+BF18)</f>
        <v>37293.894744798265</v>
      </c>
      <c r="BH18" s="32">
        <f t="shared" si="137"/>
        <v>206643.72491060244</v>
      </c>
      <c r="BI18" s="32">
        <f>BG18/((1+InputData!$C$3)^(GenSurg!$B18-GenSurg!$B$7))</f>
        <v>29994.101127076716</v>
      </c>
      <c r="BJ18" s="32">
        <f>IF(BA18-InputData!$C$158-InputData!$C$159&gt;=0,BA18-InputData!$C$158-InputData!$C$159,0)</f>
        <v>306940.00000000006</v>
      </c>
      <c r="BK18" s="32">
        <f>IF(BA18-IF(BA18&lt;=InputData!$C$146,InputData!$C$145,0)-MAX(InputData!$C$144,BQ18)&gt;=0,BA18-IF(BA18&lt;=InputData!$C$146,InputData!$C$145,0)-MAX(InputData!$C$144,BQ18),0)</f>
        <v>300840.00000000006</v>
      </c>
      <c r="BL18" s="32">
        <f>IF(BK18&lt;0,"Error",IF(BK18&lt;=InputData!$B$170,InputData!$C$170*BK18,IF(BK18&lt;=InputData!$B$171,InputData!$D$170+InputData!$C$171*(BK18-InputData!$B$170),IF(BK18&lt;=InputData!$B$172,InputData!$D$171+InputData!$C$172*(BK18-InputData!$B$171),IF(BK18&lt;=InputData!$B$173,InputData!$D$172+InputData!$C$173*(BK18-InputData!$B$172),IF(BK18&lt;=InputData!$B$174,InputData!$D$173+InputData!$C$174*(BK18-InputData!$B$173),IF(BK18&lt;=InputData!$B$175,InputData!$D$174+InputData!$C$175*(BK18-InputData!$B$174),InputData!$D$175+InputData!$C$176*(BK18-InputData!$B$175))))))))</f>
        <v>83407.950000000012</v>
      </c>
      <c r="BM18" s="32">
        <f>IF(BA18&lt;=InputData!$C$150,InputData!$C$152,IF(BA18&lt;InputData!$C$151,IF(InputData!$C$152-0.25*IF(BA18-InputData!$C$150&lt;=0,0,BA18-InputData!$C$150)&lt;=0,0,InputData!$C$152-0.25*IF(BA18-InputData!$C$150&lt;=0,0,BA18-InputData!$C$150)),0))</f>
        <v>4014.9999999999854</v>
      </c>
      <c r="BN18" s="32">
        <f>IF(BA18-BM18&lt;=0,0,IF(BA18-BM18&lt;=InputData!$C$153,InputData!$C$154*(BA18-BM18),InputData!$C$155*(BA18-BM18)-InputData!$D$154))</f>
        <v>81229.000000000029</v>
      </c>
      <c r="BO18" s="32">
        <f t="shared" si="42"/>
        <v>83407.950000000012</v>
      </c>
      <c r="BP18" s="32">
        <f>IF(BA18&gt;=0,IF(BA18&lt;=InputData!$C$148,InputData!$C$147*BA18,InputData!$C$147*InputData!$C$148)+InputData!$C$149*BA18,0)</f>
        <v>11500.03</v>
      </c>
      <c r="BQ18" s="32">
        <f>IF(BJ18&lt;0,0,IF(BJ18&lt;=InputData!$B$163,InputData!$C$163*BJ18,IF(BJ18&lt;=InputData!$B$164,InputData!$D$163+InputData!$C$164*(BJ18-InputData!$B$163),IF(BJ18&lt;=InputData!$B$165,InputData!$D$164+InputData!$C$165*(BJ18-InputData!$B$164),InputData!$D$165+InputData!$C$166*(BJ18-InputData!$B$165)))))</f>
        <v>0</v>
      </c>
      <c r="BR18" s="43">
        <f t="shared" si="43"/>
        <v>0.30920694598292825</v>
      </c>
      <c r="BS18" s="32">
        <f t="shared" si="44"/>
        <v>212032.02000000005</v>
      </c>
      <c r="BT18" s="32">
        <f t="shared" si="45"/>
        <v>182037.91887292333</v>
      </c>
      <c r="BU18" s="32">
        <f>BT18/((1+InputData!$C$7)^(GenSurg!$B18-GenSurg!$B$7))</f>
        <v>131508.0657415592</v>
      </c>
      <c r="BV18" s="5">
        <f t="shared" si="114"/>
        <v>391777.7557580428</v>
      </c>
      <c r="BW18" s="5"/>
      <c r="BX18" s="32" t="s">
        <v>141</v>
      </c>
      <c r="BY18" s="5">
        <f t="shared" si="147"/>
        <v>261859.41079757642</v>
      </c>
      <c r="BZ18" s="32">
        <f>(BY18)*InputData!$C$6</f>
        <v>16261.469410529497</v>
      </c>
      <c r="CA18" s="32">
        <f>MIN($BY$16*InputData!$C$6/(1-(1+InputData!$C$6)^(-25)), BY18+BZ18)</f>
        <v>21686.214673809533</v>
      </c>
      <c r="CB18" s="32">
        <f t="shared" si="148"/>
        <v>256434.66553429636</v>
      </c>
      <c r="CC18" s="32">
        <f>CA18/((1+InputData!$C$3)^(GenSurg!$B18-GenSurg!$B$7))</f>
        <v>17441.420919987548</v>
      </c>
      <c r="CD18" s="5">
        <f t="shared" si="49"/>
        <v>194590.5990800125</v>
      </c>
      <c r="CE18" s="32">
        <f>CD18/((1+InputData!$C$7)^(GenSurg!$B18-GenSurg!$B$7))</f>
        <v>140576.38900150056</v>
      </c>
      <c r="CF18" s="5">
        <f t="shared" si="115"/>
        <v>420382.51518086786</v>
      </c>
      <c r="CG18" s="5"/>
      <c r="CH18" s="32" t="s">
        <v>141</v>
      </c>
      <c r="CI18" s="5" t="e">
        <f t="shared" si="149"/>
        <v>#VALUE!</v>
      </c>
      <c r="CJ18" s="32" t="e">
        <f>(CI18)*InputData!$C$6</f>
        <v>#VALUE!</v>
      </c>
      <c r="CK18" s="5" t="str">
        <f t="shared" si="159"/>
        <v>DNQ</v>
      </c>
      <c r="CL18" s="32" t="e">
        <f t="shared" si="150"/>
        <v>#VALUE!</v>
      </c>
      <c r="CM18" s="32" t="e">
        <f>CK18/((1+InputData!$C$3)^(GenSurg!$B18-GenSurg!$B$7))</f>
        <v>#VALUE!</v>
      </c>
      <c r="CN18" s="5" t="e">
        <f t="shared" si="53"/>
        <v>#VALUE!</v>
      </c>
      <c r="CO18" s="32" t="e">
        <f>CN18/((1+InputData!$C$7)^(GenSurg!$B18-GenSurg!$B$7))</f>
        <v>#VALUE!</v>
      </c>
      <c r="CP18" s="5" t="e">
        <f t="shared" si="116"/>
        <v>#VALUE!</v>
      </c>
      <c r="CQ18" s="5"/>
      <c r="CR18" s="32" t="s">
        <v>141</v>
      </c>
      <c r="CS18" s="5">
        <f t="shared" si="160"/>
        <v>235232.70818237172</v>
      </c>
      <c r="CT18" s="32">
        <f>(CS18)*InputData!$C$6</f>
        <v>14607.951178125284</v>
      </c>
      <c r="CU18" s="32">
        <f t="shared" si="161"/>
        <v>36021.175401347275</v>
      </c>
      <c r="CV18" s="32">
        <f t="shared" si="152"/>
        <v>213819.48395914971</v>
      </c>
      <c r="CW18" s="32">
        <f>CU18/((1+InputData!$C$3)^(GenSurg!$B18-GenSurg!$B$7))</f>
        <v>28970.500000000007</v>
      </c>
      <c r="CX18" s="5">
        <f t="shared" si="57"/>
        <v>183061.52000000005</v>
      </c>
      <c r="CY18" s="32">
        <f>CX18/((1+InputData!$C$7)^(GenSurg!$B18-GenSurg!$B$7))</f>
        <v>132247.53697450989</v>
      </c>
      <c r="CZ18" s="5">
        <f t="shared" si="117"/>
        <v>395888.60255888291</v>
      </c>
      <c r="DA18" s="5"/>
      <c r="DB18" s="32" t="s">
        <v>141</v>
      </c>
      <c r="DC18" s="5">
        <f t="shared" si="138"/>
        <v>89065.324921686668</v>
      </c>
      <c r="DD18" s="5">
        <f>DC18*InputData!$C$6</f>
        <v>5530.9566776367419</v>
      </c>
      <c r="DE18" s="32">
        <f t="shared" si="139"/>
        <v>29148.379963889372</v>
      </c>
      <c r="DF18" s="32">
        <f t="shared" si="140"/>
        <v>65447.901635434042</v>
      </c>
      <c r="DG18" s="32">
        <f>DE18/((1+InputData!$C$3)^(GenSurg!$B18-GenSurg!$B$7))</f>
        <v>23442.964654403619</v>
      </c>
      <c r="DH18" s="5">
        <f t="shared" si="61"/>
        <v>188589.05534559643</v>
      </c>
      <c r="DI18" s="32">
        <f>DH18/((1+InputData!$C$7)^(GenSurg!$B18-GenSurg!$B$7))</f>
        <v>136240.74611532042</v>
      </c>
      <c r="DJ18" s="5">
        <f t="shared" si="118"/>
        <v>310022.20739181532</v>
      </c>
      <c r="DK18" s="5"/>
      <c r="DL18" s="32" t="s">
        <v>141</v>
      </c>
      <c r="DM18" s="32">
        <f t="shared" si="153"/>
        <v>211054.79081768414</v>
      </c>
      <c r="DN18" s="5">
        <f>DM18*InputData!$C$6</f>
        <v>13106.502509778185</v>
      </c>
      <c r="DO18" s="32">
        <f t="shared" si="154"/>
        <v>0</v>
      </c>
      <c r="DP18" s="32">
        <f t="shared" si="130"/>
        <v>29148.379963889372</v>
      </c>
      <c r="DQ18" s="32">
        <f t="shared" si="131"/>
        <v>195012.91336357297</v>
      </c>
      <c r="DR18" s="32">
        <f>DP18/((1+InputData!$C$3)^(GenSurg!$B18-GenSurg!$B$7))</f>
        <v>23442.964654403619</v>
      </c>
      <c r="DS18" s="5">
        <f t="shared" si="65"/>
        <v>188589.05534559643</v>
      </c>
      <c r="DT18" s="32">
        <f>DS18/((1+InputData!$C$7)^(GenSurg!$B18-GenSurg!$B$7))</f>
        <v>136240.74611532042</v>
      </c>
      <c r="DU18" s="5">
        <f t="shared" si="120"/>
        <v>383476.3123546422</v>
      </c>
      <c r="DV18" s="5"/>
      <c r="DW18" s="32" t="s">
        <v>141</v>
      </c>
      <c r="DX18" s="133">
        <f t="shared" si="141"/>
        <v>221568.52768201238</v>
      </c>
      <c r="DY18" s="5">
        <f>DX18*InputData!$C$6</f>
        <v>13759.405569052969</v>
      </c>
      <c r="DZ18" s="133">
        <f t="shared" si="142"/>
        <v>0</v>
      </c>
      <c r="EA18" s="32">
        <f t="shared" si="143"/>
        <v>29148.379963889372</v>
      </c>
      <c r="EB18" s="32">
        <f t="shared" si="144"/>
        <v>206179.55328717598</v>
      </c>
      <c r="EC18" s="32">
        <f>EA18/((1+InputData!$C$3)^(GenSurg!$B18-GenSurg!$B$7))</f>
        <v>23442.964654403619</v>
      </c>
      <c r="ED18" s="5">
        <f t="shared" si="69"/>
        <v>188589.05534559643</v>
      </c>
      <c r="EE18" s="32">
        <f>ED18/((1+InputData!$C$7)^(GenSurg!$B18-GenSurg!$B$7))</f>
        <v>136240.74611532042</v>
      </c>
      <c r="EF18" s="5">
        <f t="shared" si="122"/>
        <v>391219.65327828983</v>
      </c>
      <c r="EG18" s="32"/>
      <c r="EH18" s="130" t="s">
        <v>141</v>
      </c>
      <c r="EI18" s="32">
        <v>0</v>
      </c>
      <c r="EJ18" s="32">
        <f>EJ17-(EN17-EK17)</f>
        <v>235001.60557365834</v>
      </c>
      <c r="EK18" s="32">
        <f>(EJ18)*InputData!$C$6</f>
        <v>14593.599706124183</v>
      </c>
      <c r="EL18" s="32">
        <f t="shared" ref="EL18:EL36" si="167">EL17+EI18+EK18-EN18</f>
        <v>213574.02987843525</v>
      </c>
      <c r="EM18" s="32">
        <f>EM17*(1+InputData!$C$8)</f>
        <v>14286.370803454558</v>
      </c>
      <c r="EN18" s="32">
        <f t="shared" si="162"/>
        <v>36021.175401347275</v>
      </c>
      <c r="EO18" s="32">
        <f>AW18/((1+InputData!$C$3)^(GenSurg!$B18-GenSurg!$B$7))</f>
        <v>306940.00000000006</v>
      </c>
      <c r="EP18" s="32">
        <f>AX18/((1+InputData!$C$3)^(GenSurg!$B18-GenSurg!$B$7))</f>
        <v>0</v>
      </c>
      <c r="EQ18" s="32">
        <v>77948.740000000005</v>
      </c>
      <c r="ER18" s="32">
        <v>9971.4249999999993</v>
      </c>
      <c r="ES18" s="32">
        <v>0</v>
      </c>
      <c r="ET18" s="43">
        <f t="shared" si="136"/>
        <v>0.28644088421189806</v>
      </c>
      <c r="EU18" s="32">
        <f t="shared" si="70"/>
        <v>219019.83500000008</v>
      </c>
      <c r="EV18" s="32">
        <f>EN18/((1+InputData!$C$3)^(GenSurg!$B18-GenSurg!$B$7))</f>
        <v>28970.500000000007</v>
      </c>
      <c r="EW18" s="32">
        <f t="shared" si="71"/>
        <v>190049.33500000008</v>
      </c>
      <c r="EX18" s="32">
        <f>EW18/((1+InputData!$C$7)^(GenSurg!$B18-GenSurg!$B$7))</f>
        <v>137295.68320744589</v>
      </c>
      <c r="EY18" s="5">
        <f t="shared" si="124"/>
        <v>469785.43578314153</v>
      </c>
      <c r="EZ18" s="79"/>
      <c r="FA18" s="32">
        <f t="shared" si="163"/>
        <v>229501.68208074055</v>
      </c>
      <c r="FB18" s="32">
        <f>FA18*InputData!$C$6</f>
        <v>14252.054457213988</v>
      </c>
      <c r="FC18" s="32">
        <f t="shared" si="155"/>
        <v>206487.95438045243</v>
      </c>
      <c r="FD18" s="32">
        <f>MIN($EJ$16*InputData!$C$6/(1-(1+InputData!$C$6)^(-10)), FA18+FB18)</f>
        <v>37265.782157502101</v>
      </c>
      <c r="FE18" s="32">
        <f>FD18/((1+InputData!$C$3)^(GenSurg!$B18-GenSurg!$B$7))</f>
        <v>29971.491212181129</v>
      </c>
      <c r="FF18" s="5">
        <f t="shared" si="75"/>
        <v>189048.34378781894</v>
      </c>
      <c r="FG18" s="32">
        <f>FF18/((1+InputData!$C$7)^(GenSurg!$B18-GenSurg!$B$7))</f>
        <v>136572.54585807785</v>
      </c>
      <c r="FH18" s="5">
        <f t="shared" si="125"/>
        <v>465726.11193719937</v>
      </c>
      <c r="FI18" s="79"/>
      <c r="FJ18" s="32">
        <f t="shared" si="164"/>
        <v>261662.01801798752</v>
      </c>
      <c r="FK18" s="32">
        <f>FJ18*InputData!$C$6</f>
        <v>16249.211318917025</v>
      </c>
      <c r="FL18" s="32">
        <f t="shared" si="156"/>
        <v>256241.36199306182</v>
      </c>
      <c r="FM18" s="32">
        <f>MIN($EJ$16*InputData!$C$6/(1-(1+InputData!$C$6)^(-25)), FJ18+FK18)</f>
        <v>21669.867343842721</v>
      </c>
      <c r="FN18" s="32">
        <f>FM18/((1+InputData!$C$3)^(GenSurg!$B18-GenSurg!$B$7))</f>
        <v>17428.273366707381</v>
      </c>
      <c r="FO18" s="5">
        <f t="shared" si="79"/>
        <v>201591.5616332927</v>
      </c>
      <c r="FP18" s="32">
        <f>FO18/((1+InputData!$C$7)^(GenSurg!$B18-GenSurg!$B$7))</f>
        <v>145634.03330666138</v>
      </c>
      <c r="FQ18" s="5">
        <f t="shared" si="126"/>
        <v>494309.30874764884</v>
      </c>
      <c r="FR18" s="79"/>
      <c r="FS18" s="32">
        <f t="shared" si="165"/>
        <v>229501.68208074055</v>
      </c>
      <c r="FT18" s="32">
        <f>FS18*InputData!$C$6</f>
        <v>14252.054457213988</v>
      </c>
      <c r="FU18" s="32">
        <f t="shared" si="157"/>
        <v>206487.95438045243</v>
      </c>
      <c r="FV18" s="5">
        <f t="shared" si="166"/>
        <v>37265.782157502101</v>
      </c>
      <c r="FW18" s="32">
        <f>FV18/((1+InputData!$C$3)^(GenSurg!$B18-GenSurg!$B$7))</f>
        <v>29971.491212181129</v>
      </c>
      <c r="FX18" s="5">
        <f t="shared" si="83"/>
        <v>189048.34378781894</v>
      </c>
      <c r="FY18" s="32">
        <f>FX18/((1+InputData!$C$7)^(GenSurg!$B18-GenSurg!$B$7))</f>
        <v>136572.54585807785</v>
      </c>
      <c r="FZ18" s="5">
        <f t="shared" si="127"/>
        <v>465726.11193719937</v>
      </c>
      <c r="GC18" s="3">
        <f t="shared" si="1"/>
        <v>8</v>
      </c>
      <c r="GD18" s="4" t="str">
        <f t="shared" si="2"/>
        <v>Service (O4&gt;6 = (BP+BAH+BAS+VSP+BCPSP)*12)+ASP</v>
      </c>
      <c r="GE18" s="5">
        <f t="shared" si="3"/>
        <v>98796.36</v>
      </c>
      <c r="GF18" s="5">
        <f t="shared" si="4"/>
        <v>20659.199999999997</v>
      </c>
      <c r="GG18" s="5">
        <f t="shared" si="5"/>
        <v>119455.56</v>
      </c>
      <c r="GH18" s="5">
        <f t="shared" si="6"/>
        <v>88649.066394225287</v>
      </c>
      <c r="GI18" s="5">
        <f t="shared" si="7"/>
        <v>18537.310407504676</v>
      </c>
      <c r="GJ18" s="32">
        <f>IF(GH18-InputData!$C$158-InputData!$C$159&gt;=0,GH18-InputData!$C$158-InputData!$C$159,0)</f>
        <v>88649.066394225287</v>
      </c>
      <c r="GK18" s="32">
        <f>IF(GH18-IF(GH18&lt;=InputData!$C$146,InputData!$C$145,0)-MAX(InputData!$C$144,GQ18)&gt;=0,GH18-IF(GH18&lt;=InputData!$C$146,InputData!$C$145,0)-MAX(InputData!$C$144,GQ18),0)</f>
        <v>78649.066394225287</v>
      </c>
      <c r="GL18" s="32">
        <f>IF(GK18&lt;0,"Error",IF(GK18&lt;=InputData!$B$170,InputData!$C$170*GK18,IF(GK18&lt;=InputData!$B$171,InputData!$D$170+InputData!$C$171*(GK18-InputData!$B$170),IF(GK18&lt;=InputData!$B$172,InputData!$D$171+InputData!$C$172*(GK18-InputData!$B$171),IF(GK18&lt;=InputData!$B$173,InputData!$D$172+InputData!$C$173*(GK18-InputData!$B$172),IF(GK18&lt;=InputData!$B$174,InputData!$D$173+InputData!$C$174*(GK18-InputData!$B$173),IF(GK18&lt;=InputData!$B$175,InputData!$D$174+InputData!$C$175*(GK18-InputData!$B$174),InputData!$D$175+InputData!$C$176*(GK18-InputData!$B$175))))))))</f>
        <v>15591.016598556322</v>
      </c>
      <c r="GM18" s="32">
        <f>IF(GH18&lt;=InputData!$C$150,InputData!$C$152,IF(GH18&lt;InputData!$C$151,IF(InputData!$C$152-0.25*IF(GH18-InputData!$C$150&lt;=0,0,GH18-InputData!$C$150)&lt;=0,0,InputData!$C$152-0.25*IF(GH18-InputData!$C$150&lt;=0,0,GH18-InputData!$C$150)),0))</f>
        <v>51900</v>
      </c>
      <c r="GN18" s="32">
        <f>IF(GH18-GM18&lt;=0,0,IF(GH18-GM18&lt;=InputData!$C$153,InputData!$C$154*(GH18-GM18),InputData!$C$155*(GH18-GM18)-InputData!$D$154))</f>
        <v>9554.7572624985751</v>
      </c>
      <c r="GO18" s="32">
        <f t="shared" si="84"/>
        <v>15591.016598556322</v>
      </c>
      <c r="GP18" s="32">
        <f>IF(GH18&gt;=0,IF(GH18&lt;=InputData!$C$148,InputData!$C$147*GH18,InputData!$C$147*InputData!$C$148)+InputData!$C$149*GH18,0)</f>
        <v>6781.6535791582337</v>
      </c>
      <c r="GQ18" s="32">
        <f>IF(GJ18&lt;0,0,IF(GJ18&lt;=InputData!$B$163,InputData!$C$163*GJ18,IF(GJ18&lt;=InputData!$B$164,InputData!$D$163+InputData!$C$164*(GJ18-InputData!$B$163),IF(GJ18&lt;=InputData!$B$165,InputData!$D$164+InputData!$C$165*(GJ18-InputData!$B$164),InputData!$D$165+InputData!$C$166*(GJ18-InputData!$B$165)))))</f>
        <v>0</v>
      </c>
      <c r="GR18" s="43">
        <f t="shared" si="85"/>
        <v>0.25237344382424248</v>
      </c>
      <c r="GS18" s="43">
        <f t="shared" si="86"/>
        <v>0.20872680694393494</v>
      </c>
      <c r="GT18" s="5">
        <f t="shared" si="87"/>
        <v>84813.706624015409</v>
      </c>
      <c r="GU18" s="32">
        <f>GT18/((1+InputData!$C$7)^(GenSurg!$B18-GenSurg!$B$7))</f>
        <v>61271.226212394111</v>
      </c>
      <c r="GV18" s="32">
        <f t="shared" si="88"/>
        <v>649720.24660637928</v>
      </c>
      <c r="GX18" s="3">
        <f t="shared" si="8"/>
        <v>8</v>
      </c>
      <c r="GY18" s="4" t="str">
        <f t="shared" si="9"/>
        <v>Service (O4&gt;6 = (BP+BAH+BAS+VSP+BCPSP)*12+ASP)</v>
      </c>
      <c r="GZ18" s="5">
        <f t="shared" si="10"/>
        <v>98796.36</v>
      </c>
      <c r="HA18" s="5">
        <f t="shared" si="11"/>
        <v>20659.199999999997</v>
      </c>
      <c r="HB18" s="5">
        <f t="shared" si="12"/>
        <v>119455.56</v>
      </c>
      <c r="HC18" s="5">
        <f t="shared" si="13"/>
        <v>88649.066394225287</v>
      </c>
      <c r="HD18" s="5">
        <f t="shared" si="14"/>
        <v>18537.310407504676</v>
      </c>
      <c r="HE18" s="32">
        <f>IF(HC18-InputData!$C$158-InputData!$C$159&gt;=0,HC18-InputData!$C$158-InputData!$C$159,0)</f>
        <v>88649.066394225287</v>
      </c>
      <c r="HF18" s="32">
        <f>IF(HC18-IF(HC18&lt;=InputData!$C$146,InputData!$C$145,0)-MAX(InputData!$C$144,HL18)&gt;=0,HC18-IF(HC18&lt;=InputData!$C$146,InputData!$C$145,0)-MAX(InputData!$C$144,HL18),0)</f>
        <v>78649.066394225287</v>
      </c>
      <c r="HG18" s="32">
        <f>IF(HF18&lt;0,"Error",IF(HF18&lt;=InputData!$B$170,InputData!$C$170*HF18,IF(HF18&lt;=InputData!$B$171,InputData!$D$170+InputData!$C$171*(HF18-InputData!$B$170),IF(HF18&lt;=InputData!$B$172,InputData!$D$171+InputData!$C$172*(HF18-InputData!$B$171),IF(HF18&lt;=InputData!$B$173,InputData!$D$172+InputData!$C$173*(HF18-InputData!$B$172),IF(HF18&lt;=InputData!$B$174,InputData!$D$173+InputData!$C$174*(HF18-InputData!$B$173),IF(HF18&lt;=InputData!$B$175,InputData!$D$174+InputData!$C$175*(HF18-InputData!$B$174),InputData!$D$175+InputData!$C$176*(HF18-InputData!$B$175))))))))</f>
        <v>15591.016598556322</v>
      </c>
      <c r="HH18" s="32">
        <f>IF(HC18&lt;=InputData!$C$150,InputData!$C$152,IF(HC18&lt;InputData!$C$151,IF(InputData!$C$152-0.25*IF(HC18-InputData!$C$150&lt;=0,0,HC18-InputData!$C$150)&lt;=0,0,InputData!$C$152-0.25*IF(HC18-InputData!$C$150&lt;=0,0,HC18-InputData!$C$150)),0))</f>
        <v>51900</v>
      </c>
      <c r="HI18" s="32">
        <f>IF(HC18-HH18&lt;=0,0,IF(HC18-HH18&lt;=InputData!$C$153,InputData!$C$154*(HC18-HH18),InputData!$C$155*(HC18-HH18)-InputData!$D$154))</f>
        <v>9554.7572624985751</v>
      </c>
      <c r="HJ18" s="32">
        <f t="shared" si="89"/>
        <v>15591.016598556322</v>
      </c>
      <c r="HK18" s="32">
        <f>IF(HC18&gt;=0,IF(HC18&lt;=InputData!$C$148,InputData!$C$147*HC18,InputData!$C$147*InputData!$C$148)+InputData!$C$149*HC18,0)</f>
        <v>6781.6535791582337</v>
      </c>
      <c r="HL18" s="32">
        <f>IF(HE18&lt;0,0,IF(HE18&lt;=InputData!$B$163,InputData!$C$163*HE18,IF(HE18&lt;=InputData!$B$164,InputData!$D$163+InputData!$C$164*(HE18-InputData!$B$163),IF(HE18&lt;=InputData!$B$165,InputData!$D$164+InputData!$C$165*(HE18-InputData!$B$164),InputData!$D$165+InputData!$C$166*(HE18-InputData!$B$165)))))</f>
        <v>0</v>
      </c>
      <c r="HM18" s="43">
        <f t="shared" si="90"/>
        <v>0.25237344382424248</v>
      </c>
      <c r="HN18" s="43">
        <f t="shared" si="91"/>
        <v>0.20872680694393494</v>
      </c>
      <c r="HO18" s="5">
        <f t="shared" si="92"/>
        <v>84813.706624015409</v>
      </c>
      <c r="HP18" s="32">
        <f>HO18/((1+InputData!$C$7)^(GenSurg!$B18-GenSurg!$B$7))</f>
        <v>61271.226212394111</v>
      </c>
      <c r="HQ18" s="32">
        <f t="shared" si="93"/>
        <v>557596.52429570619</v>
      </c>
      <c r="HS18" s="93">
        <f t="shared" si="94"/>
        <v>8</v>
      </c>
      <c r="HT18" s="5" t="str">
        <f t="shared" si="95"/>
        <v>Service (O4&gt;6 = (BP+BAH+BAS+VSP+BCPSP)*12)+ASP</v>
      </c>
      <c r="HU18" s="5">
        <f t="shared" si="15"/>
        <v>98796.36</v>
      </c>
      <c r="HV18" s="5">
        <f t="shared" si="16"/>
        <v>20659.199999999997</v>
      </c>
      <c r="HW18" s="5">
        <f t="shared" si="17"/>
        <v>119455.56</v>
      </c>
      <c r="HX18" s="5">
        <f t="shared" si="18"/>
        <v>88649.066394225287</v>
      </c>
      <c r="HY18" s="5">
        <f t="shared" si="19"/>
        <v>18537.310407504676</v>
      </c>
      <c r="HZ18" s="32">
        <f>IF(HX18-InputData!$C$158-InputData!$C$159&gt;=0,HX18-InputData!$C$158-InputData!$C$159,0)</f>
        <v>88649.066394225287</v>
      </c>
      <c r="IA18" s="32">
        <f>IF(HX18-IF(HX18&lt;=InputData!$C$146,InputData!$C$145,0)-MAX(InputData!$C$144,IG18)&gt;=0,HX18-IF(HX18&lt;=InputData!$C$146,InputData!$C$145,0)-MAX(InputData!$C$144,IG18),0)</f>
        <v>78649.066394225287</v>
      </c>
      <c r="IB18" s="32">
        <f>IF(IA18&lt;0,"Error",IF(IA18&lt;=InputData!$B$170,InputData!$C$170*IA18,IF(IA18&lt;=InputData!$B$171,InputData!$D$170+InputData!$C$171*(IA18-InputData!$B$170),IF(IA18&lt;=InputData!$B$172,InputData!$D$171+InputData!$C$172*(IA18-InputData!$B$171),IF(IA18&lt;=InputData!$B$173,InputData!$D$172+InputData!$C$173*(IA18-InputData!$B$172),IF(IA18&lt;=InputData!$B$174,InputData!$D$173+InputData!$C$174*(IA18-InputData!$B$173),IF(IA18&lt;=InputData!$B$175,InputData!$D$174+InputData!$C$175*(IA18-InputData!$B$174),InputData!$D$175+InputData!$C$176*(IA18-InputData!$B$175))))))))</f>
        <v>15591.016598556322</v>
      </c>
      <c r="IC18" s="32">
        <f>IF(HX18&lt;=InputData!$C$150,InputData!$C$152,IF(HX18&lt;InputData!$C$151,IF(InputData!$C$152-0.25*IF(HX18-InputData!$C$150&lt;=0,0,HX18-InputData!$C$150)&lt;=0,0,InputData!$C$152-0.25*IF(HX18-InputData!$C$150&lt;=0,0,HX18-InputData!$C$150)),0))</f>
        <v>51900</v>
      </c>
      <c r="ID18" s="32">
        <f>IF(HX18-IC18&lt;=0,0,IF(HX18-IC18&lt;=InputData!$C$153,InputData!$C$154*(HX18-IC18),InputData!$C$155*(HX18-IC18)-InputData!$D$154))</f>
        <v>9554.7572624985751</v>
      </c>
      <c r="IE18" s="32">
        <f t="shared" si="96"/>
        <v>15591.016598556322</v>
      </c>
      <c r="IF18" s="32">
        <f>IF(HX18&gt;=0,IF(HX18&lt;=InputData!$C$148,InputData!$C$147*HX18,InputData!$C$147*InputData!$C$148)+InputData!$C$149*HX18,0)</f>
        <v>6781.6535791582337</v>
      </c>
      <c r="IG18" s="32">
        <f>IF(HZ18&lt;0,0,IF(HZ18&lt;=InputData!$B$163,InputData!$C$163*HZ18,IF(HZ18&lt;=InputData!$B$164,InputData!$D$163+InputData!$C$164*(HZ18-InputData!$B$163),IF(HZ18&lt;=InputData!$B$165,InputData!$D$164+InputData!$C$165*(HZ18-InputData!$B$164),InputData!$D$165+InputData!$C$166*(HZ18-InputData!$B$165)))))</f>
        <v>0</v>
      </c>
      <c r="IH18" s="43">
        <f t="shared" si="97"/>
        <v>0.25237344382424248</v>
      </c>
      <c r="II18" s="43">
        <f t="shared" si="98"/>
        <v>0.20872680694393494</v>
      </c>
      <c r="IJ18" s="5">
        <f t="shared" si="20"/>
        <v>84813.706624015409</v>
      </c>
      <c r="IK18" s="32">
        <f>IJ18/((1+InputData!$C$7)^(GenSurg!$B18-GenSurg!$B$7))</f>
        <v>61271.226212394111</v>
      </c>
      <c r="IL18" s="5">
        <f t="shared" si="99"/>
        <v>649720.24660637928</v>
      </c>
      <c r="IN18" s="93">
        <f t="shared" si="100"/>
        <v>8</v>
      </c>
      <c r="IO18" s="5" t="str">
        <f t="shared" si="101"/>
        <v>Service (O4&gt;6 = (BP+BAH+BAS+VSP+BCPSP)*12+ASP)</v>
      </c>
      <c r="IP18" s="5">
        <f t="shared" si="21"/>
        <v>98796.36</v>
      </c>
      <c r="IQ18" s="5">
        <f t="shared" si="22"/>
        <v>20659.199999999997</v>
      </c>
      <c r="IR18" s="5">
        <f t="shared" si="23"/>
        <v>119455.56</v>
      </c>
      <c r="IS18" s="5">
        <f t="shared" si="24"/>
        <v>88649.066394225287</v>
      </c>
      <c r="IT18" s="5">
        <f t="shared" si="25"/>
        <v>18537.310407504676</v>
      </c>
      <c r="IU18" s="32">
        <f>IF(IS18-InputData!$C$158-InputData!$C$159&gt;=0,IS18-InputData!$C$158-InputData!$C$159,0)</f>
        <v>88649.066394225287</v>
      </c>
      <c r="IV18" s="32">
        <f>IF(IS18-IF(IS18&lt;=InputData!$C$146,InputData!$C$145,0)-MAX(InputData!$C$144,JB18)&gt;=0,IS18-IF(IS18&lt;=InputData!$C$146,InputData!$C$145,0)-MAX(InputData!$C$144,JB18),0)</f>
        <v>78649.066394225287</v>
      </c>
      <c r="IW18" s="32">
        <f>IF(IV18&lt;0,"Error",IF(IV18&lt;=InputData!$B$170,InputData!$C$170*IV18,IF(IV18&lt;=InputData!$B$171,InputData!$D$170+InputData!$C$171*(IV18-InputData!$B$170),IF(IV18&lt;=InputData!$B$172,InputData!$D$171+InputData!$C$172*(IV18-InputData!$B$171),IF(IV18&lt;=InputData!$B$173,InputData!$D$172+InputData!$C$173*(IV18-InputData!$B$172),IF(IV18&lt;=InputData!$B$174,InputData!$D$173+InputData!$C$174*(IV18-InputData!$B$173),IF(IV18&lt;=InputData!$B$175,InputData!$D$174+InputData!$C$175*(IV18-InputData!$B$174),InputData!$D$175+InputData!$C$176*(IV18-InputData!$B$175))))))))</f>
        <v>15591.016598556322</v>
      </c>
      <c r="IX18" s="32">
        <f>IF(IS18&lt;=InputData!$C$150,InputData!$C$152,IF(IS18&lt;InputData!$C$151,IF(InputData!$C$152-0.25*IF(IS18-InputData!$C$150&lt;=0,0,IS18-InputData!$C$150)&lt;=0,0,InputData!$C$152-0.25*IF(IS18-InputData!$C$150&lt;=0,0,IS18-InputData!$C$150)),0))</f>
        <v>51900</v>
      </c>
      <c r="IY18" s="32">
        <f>IF(IS18-IX18&lt;=0,0,IF(IS18-IX18&lt;=InputData!$C$153,InputData!$C$154*(IS18-IX18),InputData!$C$155*(IS18-IX18)-InputData!$D$154))</f>
        <v>9554.7572624985751</v>
      </c>
      <c r="IZ18" s="32">
        <f t="shared" si="102"/>
        <v>15591.016598556322</v>
      </c>
      <c r="JA18" s="32">
        <f>IF(IS18&gt;=0,IF(IS18&lt;=InputData!$C$148,InputData!$C$147*IS18,InputData!$C$147*InputData!$C$148)+InputData!$C$149*IS18,0)</f>
        <v>6781.6535791582337</v>
      </c>
      <c r="JB18" s="32">
        <f>IF(IU18&lt;0,0,IF(IU18&lt;=InputData!$B$163,InputData!$C$163*IU18,IF(IU18&lt;=InputData!$B$164,InputData!$D$163+InputData!$C$164*(IU18-InputData!$B$163),IF(IU18&lt;=InputData!$B$165,InputData!$D$164+InputData!$C$165*(IU18-InputData!$B$164),InputData!$D$165+InputData!$C$166*(IU18-InputData!$B$165)))))</f>
        <v>0</v>
      </c>
      <c r="JC18" s="43">
        <f t="shared" si="103"/>
        <v>0.25237344382424248</v>
      </c>
      <c r="JD18" s="43">
        <f t="shared" si="104"/>
        <v>0.20872680694393494</v>
      </c>
      <c r="JE18" s="5">
        <f t="shared" si="105"/>
        <v>84813.706624015409</v>
      </c>
      <c r="JF18" s="32">
        <f>JE18/((1+InputData!$C$7)^(GenSurg!$B18-GenSurg!$B$7))</f>
        <v>61271.226212394111</v>
      </c>
      <c r="JG18" s="5">
        <f t="shared" si="106"/>
        <v>557596.52429570619</v>
      </c>
      <c r="JI18" s="41" t="str">
        <f t="shared" si="26"/>
        <v>Private Practice</v>
      </c>
      <c r="JJ18" s="5">
        <f t="shared" si="27"/>
        <v>381641.31021865457</v>
      </c>
      <c r="JK18" s="32">
        <v>0</v>
      </c>
      <c r="JL18" s="32">
        <f t="shared" si="108"/>
        <v>381641.31021865457</v>
      </c>
      <c r="JM18" s="32">
        <f>JM17*(1+InputData!$C$8)</f>
        <v>14286.370803454558</v>
      </c>
      <c r="JN18" s="32">
        <f>JJ18/((1+InputData!$C$3)^(GenSurg!$B18-GenSurg!$B$7))</f>
        <v>306940.00000000006</v>
      </c>
      <c r="JO18" s="32">
        <f>JK18/((1+InputData!$C$3)^(GenSurg!$B18-GenSurg!$B$7))</f>
        <v>0</v>
      </c>
      <c r="JP18" s="32" t="s">
        <v>141</v>
      </c>
      <c r="JQ18" s="32">
        <v>0</v>
      </c>
      <c r="JR18" s="32">
        <f t="shared" si="158"/>
        <v>0</v>
      </c>
      <c r="JS18" s="32">
        <f>(JR18)*InputData!$C$6</f>
        <v>0</v>
      </c>
      <c r="JT18" s="32">
        <f>MIN($BE$16*InputData!$C$6/(1-(1+InputData!$C$6)^(-10)), JR18+JS18)</f>
        <v>0</v>
      </c>
      <c r="JU18" s="32">
        <f t="shared" si="145"/>
        <v>0</v>
      </c>
      <c r="JV18" s="32">
        <f>JT18/((1+InputData!$C$3)^(GenSurg!$B18-GenSurg!$B$7))</f>
        <v>0</v>
      </c>
      <c r="JW18" s="32">
        <f>IF(JN18-InputData!$C$158-InputData!$C$159&gt;=0,JN18-InputData!$C$158-InputData!$C$159,0)</f>
        <v>306940.00000000006</v>
      </c>
      <c r="JX18" s="32">
        <f>IF(JN18-IF(JN18&lt;=InputData!$C$146,InputData!$C$145,0)-MAX(InputData!$C$144,KD18)&gt;=0,JN18-IF(JN18&lt;=InputData!$C$146,InputData!$C$145,0)-MAX(InputData!$C$144,KD18),0)</f>
        <v>300840.00000000006</v>
      </c>
      <c r="JY18" s="32">
        <f>IF(JX18&lt;0,"Error",IF(JX18&lt;=InputData!$B$170,InputData!$C$170*JX18,IF(JX18&lt;=InputData!$B$171,InputData!$D$170+InputData!$C$171*(JX18-InputData!$B$170),IF(JX18&lt;=InputData!$B$172,InputData!$D$171+InputData!$C$172*(JX18-InputData!$B$171),IF(JX18&lt;=InputData!$B$173,InputData!$D$172+InputData!$C$173*(JX18-InputData!$B$172),IF(JX18&lt;=InputData!$B$174,InputData!$D$173+InputData!$C$174*(JX18-InputData!$B$173),IF(JX18&lt;=InputData!$B$175,InputData!$D$174+InputData!$C$175*(JX18-InputData!$B$174),InputData!$D$175+InputData!$C$176*(JX18-InputData!$B$175))))))))</f>
        <v>83407.950000000012</v>
      </c>
      <c r="JZ18" s="32">
        <f>IF(JN18&lt;=InputData!$C$150,InputData!$C$152,IF(JN18&lt;InputData!$C$151,IF(InputData!$C$152-0.25*IF(JN18-InputData!$C$150&lt;=0,0,JN18-InputData!$C$150)&lt;=0,0,InputData!$C$152-0.25*IF(JN18-InputData!$C$150&lt;=0,0,JN18-InputData!$C$150)),0))</f>
        <v>4014.9999999999854</v>
      </c>
      <c r="KA18" s="32">
        <f>IF(JN18-JZ18&lt;=0,0,IF(JN18-JZ18&lt;=InputData!$C$153,InputData!$C$154*(JN18-JZ18),InputData!$C$155*(JN18-JZ18)-InputData!$D$154))</f>
        <v>81229.000000000029</v>
      </c>
      <c r="KB18" s="32">
        <f t="shared" si="109"/>
        <v>83407.950000000012</v>
      </c>
      <c r="KC18" s="32">
        <f>IF(JN18&gt;=0,IF(JN18&lt;=InputData!$C$148,InputData!$C$147*JN18,InputData!$C$147*InputData!$C$148)+InputData!$C$149*JN18,0)</f>
        <v>11500.03</v>
      </c>
      <c r="KD18" s="32">
        <f>IF(JW18&lt;0,0,IF(JW18&lt;=InputData!$B$163,InputData!$C$163*JW18,IF(JW18&lt;=InputData!$B$164,InputData!$D$163+InputData!$C$164*(JW18-InputData!$B$163),IF(JW18&lt;=InputData!$B$165,InputData!$D$164+InputData!$C$165*(JW18-InputData!$B$164),InputData!$D$165+InputData!$C$166*(JW18-InputData!$B$165)))))</f>
        <v>0</v>
      </c>
      <c r="KE18" s="43">
        <f t="shared" si="28"/>
        <v>0.30920694598292825</v>
      </c>
      <c r="KF18" s="32">
        <f t="shared" si="29"/>
        <v>212032.02000000005</v>
      </c>
      <c r="KG18" s="32">
        <f t="shared" si="110"/>
        <v>212032.02000000005</v>
      </c>
      <c r="KH18" s="32">
        <f>KG18/((1+InputData!$C$7)^(GenSurg!$B18-GenSurg!$B$7))</f>
        <v>153176.44256821432</v>
      </c>
      <c r="KI18" s="5">
        <f t="shared" si="129"/>
        <v>650995.00497466838</v>
      </c>
    </row>
    <row r="19" spans="1:295" ht="14.45" x14ac:dyDescent="0.3">
      <c r="A19" s="4">
        <v>2025</v>
      </c>
      <c r="B19" s="51">
        <v>13</v>
      </c>
      <c r="C19" s="4"/>
      <c r="D19" s="3">
        <v>9</v>
      </c>
      <c r="E19" s="4" t="s">
        <v>21</v>
      </c>
      <c r="F19" s="5">
        <f>InputData!$H$23*12</f>
        <v>73317.600000000006</v>
      </c>
      <c r="G19" s="32">
        <f>(InputData!$H$23+InputData!$F$45+InputData!$C$50)*12+InputData!$J$50</f>
        <v>102317.52</v>
      </c>
      <c r="H19" s="32">
        <f>(InputData!$C$34+InputData!$C$40)*12</f>
        <v>20659.199999999997</v>
      </c>
      <c r="I19" s="32">
        <f t="shared" si="30"/>
        <v>122976.72</v>
      </c>
      <c r="J19" s="32">
        <f>G19*((1+InputData!$C$5)/(1+InputData!$C$3))^(GenSurg!$B19-GenSurg!$B$7)</f>
        <v>90908.486892120462</v>
      </c>
      <c r="K19" s="32">
        <f>H19*((1+InputData!$C$5)/(1+InputData!$C$3))^(GenSurg!$B19-GenSurg!$B$7)</f>
        <v>18355.5720701762</v>
      </c>
      <c r="L19" s="32">
        <f>IF(J19-InputData!$C$158-InputData!$C$159&gt;=0,J19-InputData!$C$158-InputData!$C$159,0)</f>
        <v>90908.486892120462</v>
      </c>
      <c r="M19" s="32">
        <f>IF(J19-IF(J19&lt;=InputData!$C$146,InputData!$C$145,0)-MAX(InputData!$C$144,S19)&gt;=0,J19-IF(J19&lt;=InputData!$C$146,InputData!$C$145,0)-MAX(InputData!$C$144,S19),0)</f>
        <v>80908.486892120462</v>
      </c>
      <c r="N19" s="32">
        <f>IF(M19&lt;0,"Error",IF(M19&lt;=InputData!$B$170,InputData!$C$170*M19,IF(M19&lt;=InputData!$B$171,InputData!$D$170+InputData!$C$171*(M19-InputData!$B$170),IF(M19&lt;=InputData!$B$172,InputData!$D$171+InputData!$C$172*(M19-InputData!$B$171),IF(M19&lt;=InputData!$B$173,InputData!$D$172+InputData!$C$173*(M19-InputData!$B$172),IF(M19&lt;=InputData!$B$174,InputData!$D$173+InputData!$C$174*(M19-InputData!$B$173),IF(M19&lt;=InputData!$B$175,InputData!$D$174+InputData!$C$175*(M19-InputData!$B$174),InputData!$D$175+InputData!$C$176*(M19-InputData!$B$175))))))))</f>
        <v>16155.871723030115</v>
      </c>
      <c r="O19" s="32">
        <f>IF(J19&lt;=InputData!$C$150,InputData!$C$152,IF(J19&lt;InputData!$C$151,IF(InputData!$C$152-0.25*IF(J19-InputData!$C$150&lt;=0,0,J19-InputData!$C$150)&lt;=0,0,InputData!$C$152-0.25*IF(J19-InputData!$C$150&lt;=0,0,J19-InputData!$C$150)),0))</f>
        <v>51900</v>
      </c>
      <c r="P19" s="32">
        <f>IF(J19-O19&lt;=0,0,IF(J19-O19&lt;=InputData!$C$153,InputData!$C$154*(J19-O19),InputData!$C$155*(J19-O19)-InputData!$D$154))</f>
        <v>10142.206591951321</v>
      </c>
      <c r="Q19" s="32">
        <f t="shared" si="31"/>
        <v>16155.871723030115</v>
      </c>
      <c r="R19" s="32">
        <f>IF(J19&gt;=0,IF(J19&lt;=InputData!$C$148,InputData!$C$147*J19,InputData!$C$147*InputData!$C$148)+InputData!$C$149*J19,0)</f>
        <v>6954.4992472472159</v>
      </c>
      <c r="S19" s="32">
        <f>IF(L19&lt;0,0,IF(L19&lt;=InputData!$B$163,InputData!$C$163*L19,IF(L19&lt;=InputData!$B$164,InputData!$D$163+InputData!$C$164*(L19-InputData!$B$163),IF(L19&lt;=InputData!$B$165,InputData!$D$164+InputData!$C$165*(L19-InputData!$B$164),InputData!$D$165+InputData!$C$166*(L19-InputData!$B$165)))))</f>
        <v>0</v>
      </c>
      <c r="T19" s="43">
        <f t="shared" si="32"/>
        <v>0.25421576973008042</v>
      </c>
      <c r="U19" s="43">
        <f t="shared" si="33"/>
        <v>0.21150935806120783</v>
      </c>
      <c r="V19" s="5">
        <f t="shared" si="34"/>
        <v>86153.687992019331</v>
      </c>
      <c r="W19" s="32">
        <f>V19/((1+InputData!$C$7)^(GenSurg!$B19-GenSurg!$B$7))</f>
        <v>60426.463362025315</v>
      </c>
      <c r="X19" s="5">
        <f t="shared" si="111"/>
        <v>710146.70996840461</v>
      </c>
      <c r="Y19" s="53"/>
      <c r="Z19" s="3">
        <v>9</v>
      </c>
      <c r="AA19" s="96" t="s">
        <v>212</v>
      </c>
      <c r="AB19" s="5">
        <f t="shared" si="133"/>
        <v>73317.600000000006</v>
      </c>
      <c r="AC19" s="32">
        <f t="shared" si="134"/>
        <v>102317.52</v>
      </c>
      <c r="AD19" s="32">
        <f t="shared" si="134"/>
        <v>20659.199999999997</v>
      </c>
      <c r="AE19" s="32">
        <f t="shared" si="35"/>
        <v>122976.72</v>
      </c>
      <c r="AF19" s="5">
        <f>AC19*((1+InputData!$C$5)/(1+InputData!$C$3))^(GenSurg!$B19-GenSurg!$B$7)</f>
        <v>90908.486892120462</v>
      </c>
      <c r="AG19" s="5">
        <f>AD19*((1+InputData!$C$5)/(1+InputData!$C$3))^(GenSurg!$B19-GenSurg!$B$7)</f>
        <v>18355.5720701762</v>
      </c>
      <c r="AH19" s="32">
        <f>IF(AF19-InputData!$C$158-InputData!$C$159&gt;=0,AF19-InputData!$C$158-InputData!$C$159,0)</f>
        <v>90908.486892120462</v>
      </c>
      <c r="AI19" s="32">
        <f>IF(AF19-IF(AF19&lt;=InputData!$C$146,InputData!$C$145,0)-MAX(InputData!$C$144,AO19)&gt;=0,AF19-IF(AF19&lt;=InputData!$C$146,InputData!$C$145,0)-MAX(InputData!$C$144,AO19),0)</f>
        <v>80908.486892120462</v>
      </c>
      <c r="AJ19" s="32">
        <f>IF(AI19&lt;0,"Error",IF(AI19&lt;=InputData!$B$170,InputData!$C$170*AI19,IF(AI19&lt;=InputData!$B$171,InputData!$D$170+InputData!$C$171*(AI19-InputData!$B$170),IF(AI19&lt;=InputData!$B$172,InputData!$D$171+InputData!$C$172*(AI19-InputData!$B$171),IF(AI19&lt;=InputData!$B$173,InputData!$D$172+InputData!$C$173*(AI19-InputData!$B$172),IF(AI19&lt;=InputData!$B$174,InputData!$D$173+InputData!$C$174*(AI19-InputData!$B$173),IF(AI19&lt;=InputData!$B$175,InputData!$D$174+InputData!$C$175*(AI19-InputData!$B$174),InputData!$D$175+InputData!$C$176*(AI19-InputData!$B$175))))))))</f>
        <v>16155.871723030115</v>
      </c>
      <c r="AK19" s="32">
        <f>IF(AF19&lt;=InputData!$C$150,InputData!$C$152,IF(AF19&lt;InputData!$C$151,IF(InputData!$C$152-0.25*IF(AF19-InputData!$C$150&lt;=0,0,AF19-InputData!$C$150)&lt;=0,0,InputData!$C$152-0.25*IF(AF19-InputData!$C$150&lt;=0,0,AF19-InputData!$C$150)),0))</f>
        <v>51900</v>
      </c>
      <c r="AL19" s="32">
        <f>IF(AF19-AK19&lt;=0,0,IF(AF19-AK19&lt;=InputData!$C$153,InputData!$C$154*(AF19-AK19),InputData!$C$155*(AF19-AK19)-InputData!$D$154))</f>
        <v>10142.206591951321</v>
      </c>
      <c r="AM19" s="32">
        <f t="shared" si="36"/>
        <v>16155.871723030115</v>
      </c>
      <c r="AN19" s="32">
        <f>IF(AF19&gt;=0,IF(AF19&lt;=InputData!$C$148,InputData!$C$147*AF19,InputData!$C$147*InputData!$C$148)+InputData!$C$149*AF19,0)</f>
        <v>6954.4992472472159</v>
      </c>
      <c r="AO19" s="32">
        <f>IF(AH19&lt;0,0,IF(AH19&lt;=InputData!$B$163,InputData!$C$163*AH19,IF(AH19&lt;=InputData!$B$164,InputData!$D$163+InputData!$C$164*(AH19-InputData!$B$163),IF(AH19&lt;=InputData!$B$165,InputData!$D$164+InputData!$C$165*(AH19-InputData!$B$164),InputData!$D$165+InputData!$C$166*(AH19-InputData!$B$165)))))</f>
        <v>0</v>
      </c>
      <c r="AP19" s="43">
        <f t="shared" si="37"/>
        <v>0.25421576973008042</v>
      </c>
      <c r="AQ19" s="43">
        <f t="shared" si="38"/>
        <v>0.21150935806120783</v>
      </c>
      <c r="AR19" s="5">
        <f t="shared" si="39"/>
        <v>86153.687992019331</v>
      </c>
      <c r="AS19" s="32">
        <f>AR19/((1+InputData!$C$7)^(GenSurg!$B19-GenSurg!$B$7))</f>
        <v>60426.463362025315</v>
      </c>
      <c r="AT19" s="5">
        <f t="shared" si="112"/>
        <v>618022.98765773152</v>
      </c>
      <c r="AU19" s="53"/>
      <c r="AV19" s="41" t="s">
        <v>109</v>
      </c>
      <c r="AW19" s="32">
        <f>$AW$17*(1+InputData!$C$3+InputData!$C$4)^(GenSurg!$B19-GenSurg!$B$17)</f>
        <v>393090.54952521418</v>
      </c>
      <c r="AX19" s="32">
        <v>0</v>
      </c>
      <c r="AY19" s="32">
        <f t="shared" si="41"/>
        <v>393090.54952521418</v>
      </c>
      <c r="AZ19" s="32">
        <f>AZ18*(1+InputData!$C$8)</f>
        <v>14572.09821952365</v>
      </c>
      <c r="BA19" s="32">
        <f>AW19/((1+InputData!$C$3)^(GenSurg!$B19-GenSurg!$B$7))</f>
        <v>309949.21568627452</v>
      </c>
      <c r="BB19" s="32">
        <f>AX19/((1+InputData!$C$3)^(GenSurg!$B19-GenSurg!$B$7))</f>
        <v>0</v>
      </c>
      <c r="BC19" s="32" t="s">
        <v>141</v>
      </c>
      <c r="BD19" s="32">
        <v>0</v>
      </c>
      <c r="BE19" s="32">
        <f t="shared" si="146"/>
        <v>206643.72491060244</v>
      </c>
      <c r="BF19" s="32">
        <f>(BE19)*InputData!$C$6</f>
        <v>12832.575316948412</v>
      </c>
      <c r="BG19" s="32">
        <f>MIN($BE$16*InputData!$C$6/(1-(1+InputData!$C$6)^(-10)), BE19+BF19)</f>
        <v>37293.894744798265</v>
      </c>
      <c r="BH19" s="32">
        <f t="shared" si="137"/>
        <v>182182.4054827526</v>
      </c>
      <c r="BI19" s="32">
        <f>BG19/((1+InputData!$C$3)^(GenSurg!$B19-GenSurg!$B$7))</f>
        <v>29405.981497134031</v>
      </c>
      <c r="BJ19" s="32">
        <f>IF(BA19-InputData!$C$158-InputData!$C$159&gt;=0,BA19-InputData!$C$158-InputData!$C$159,0)</f>
        <v>309949.21568627452</v>
      </c>
      <c r="BK19" s="32">
        <f>IF(BA19-IF(BA19&lt;=InputData!$C$146,InputData!$C$145,0)-MAX(InputData!$C$144,BQ19)&gt;=0,BA19-IF(BA19&lt;=InputData!$C$146,InputData!$C$145,0)-MAX(InputData!$C$144,BQ19),0)</f>
        <v>303849.21568627452</v>
      </c>
      <c r="BL19" s="32">
        <f>IF(BK19&lt;0,"Error",IF(BK19&lt;=InputData!$B$170,InputData!$C$170*BK19,IF(BK19&lt;=InputData!$B$171,InputData!$D$170+InputData!$C$171*(BK19-InputData!$B$170),IF(BK19&lt;=InputData!$B$172,InputData!$D$171+InputData!$C$172*(BK19-InputData!$B$171),IF(BK19&lt;=InputData!$B$173,InputData!$D$172+InputData!$C$173*(BK19-InputData!$B$172),IF(BK19&lt;=InputData!$B$174,InputData!$D$173+InputData!$C$174*(BK19-InputData!$B$173),IF(BK19&lt;=InputData!$B$175,InputData!$D$174+InputData!$C$175*(BK19-InputData!$B$174),InputData!$D$175+InputData!$C$176*(BK19-InputData!$B$175))))))))</f>
        <v>84400.99117647059</v>
      </c>
      <c r="BM19" s="32">
        <f>IF(BA19&lt;=InputData!$C$150,InputData!$C$152,IF(BA19&lt;InputData!$C$151,IF(InputData!$C$152-0.25*IF(BA19-InputData!$C$150&lt;=0,0,BA19-InputData!$C$150)&lt;=0,0,InputData!$C$152-0.25*IF(BA19-InputData!$C$150&lt;=0,0,BA19-InputData!$C$150)),0))</f>
        <v>3262.6960784313706</v>
      </c>
      <c r="BN19" s="32">
        <f>IF(BA19-BM19&lt;=0,0,IF(BA19-BM19&lt;=InputData!$C$153,InputData!$C$154*(BA19-BM19),InputData!$C$155*(BA19-BM19)-InputData!$D$154))</f>
        <v>82282.225490196084</v>
      </c>
      <c r="BO19" s="32">
        <f t="shared" si="42"/>
        <v>84400.99117647059</v>
      </c>
      <c r="BP19" s="32">
        <f>IF(BA19&gt;=0,IF(BA19&lt;=InputData!$C$148,InputData!$C$147*BA19,InputData!$C$147*InputData!$C$148)+InputData!$C$149*BA19,0)</f>
        <v>11543.66362745098</v>
      </c>
      <c r="BQ19" s="32">
        <f>IF(BJ19&lt;0,0,IF(BJ19&lt;=InputData!$B$163,InputData!$C$163*BJ19,IF(BJ19&lt;=InputData!$B$164,InputData!$D$163+InputData!$C$164*(BJ19-InputData!$B$163),IF(BJ19&lt;=InputData!$B$165,InputData!$D$164+InputData!$C$165*(BJ19-InputData!$B$164),InputData!$D$165+InputData!$C$166*(BJ19-InputData!$B$165)))))</f>
        <v>0</v>
      </c>
      <c r="BR19" s="43">
        <f t="shared" si="43"/>
        <v>0.30954959699280277</v>
      </c>
      <c r="BS19" s="32">
        <f t="shared" si="44"/>
        <v>214004.56088235293</v>
      </c>
      <c r="BT19" s="32">
        <f t="shared" si="45"/>
        <v>184598.57938521891</v>
      </c>
      <c r="BU19" s="32">
        <f>BT19/((1+InputData!$C$7)^(GenSurg!$B19-GenSurg!$B$7))</f>
        <v>129473.7294929979</v>
      </c>
      <c r="BV19" s="5">
        <f t="shared" si="114"/>
        <v>521251.48525104066</v>
      </c>
      <c r="BW19" s="5"/>
      <c r="BX19" s="32" t="s">
        <v>141</v>
      </c>
      <c r="BY19" s="5">
        <f t="shared" si="147"/>
        <v>256434.66553429636</v>
      </c>
      <c r="BZ19" s="32">
        <f>(BY19)*InputData!$C$6</f>
        <v>15924.592729679805</v>
      </c>
      <c r="CA19" s="32">
        <f>MIN($BY$16*InputData!$C$6/(1-(1+InputData!$C$6)^(-25)), BY19+BZ19)</f>
        <v>21686.214673809533</v>
      </c>
      <c r="CB19" s="32">
        <f t="shared" si="148"/>
        <v>250673.04359016666</v>
      </c>
      <c r="CC19" s="32">
        <f>CA19/((1+InputData!$C$3)^(GenSurg!$B19-GenSurg!$B$7))</f>
        <v>17099.432274497594</v>
      </c>
      <c r="CD19" s="5">
        <f t="shared" si="49"/>
        <v>196905.12860785535</v>
      </c>
      <c r="CE19" s="32">
        <f>CD19/((1+InputData!$C$7)^(GenSurg!$B19-GenSurg!$B$7))</f>
        <v>138105.29551235956</v>
      </c>
      <c r="CF19" s="5">
        <f t="shared" si="115"/>
        <v>558487.81069322745</v>
      </c>
      <c r="CG19" s="5"/>
      <c r="CH19" s="32" t="s">
        <v>141</v>
      </c>
      <c r="CI19" s="5" t="e">
        <f t="shared" si="149"/>
        <v>#VALUE!</v>
      </c>
      <c r="CJ19" s="32" t="e">
        <f>(CI19)*InputData!$C$6</f>
        <v>#VALUE!</v>
      </c>
      <c r="CK19" s="5" t="str">
        <f t="shared" si="159"/>
        <v>DNQ</v>
      </c>
      <c r="CL19" s="32" t="e">
        <f t="shared" si="150"/>
        <v>#VALUE!</v>
      </c>
      <c r="CM19" s="32" t="e">
        <f>CK19/((1+InputData!$C$3)^(GenSurg!$B19-GenSurg!$B$7))</f>
        <v>#VALUE!</v>
      </c>
      <c r="CN19" s="5" t="e">
        <f t="shared" si="53"/>
        <v>#VALUE!</v>
      </c>
      <c r="CO19" s="32" t="e">
        <f>CN19/((1+InputData!$C$7)^(GenSurg!$B19-GenSurg!$B$7))</f>
        <v>#VALUE!</v>
      </c>
      <c r="CP19" s="5" t="e">
        <f t="shared" si="116"/>
        <v>#VALUE!</v>
      </c>
      <c r="CQ19" s="5"/>
      <c r="CR19" s="32" t="s">
        <v>141</v>
      </c>
      <c r="CS19" s="5">
        <f t="shared" si="160"/>
        <v>213819.48395914971</v>
      </c>
      <c r="CT19" s="32">
        <f>(CS19)*InputData!$C$6</f>
        <v>13278.189953863197</v>
      </c>
      <c r="CU19" s="32">
        <f t="shared" si="161"/>
        <v>37123.240219592873</v>
      </c>
      <c r="CV19" s="32">
        <f t="shared" si="152"/>
        <v>189974.43369342003</v>
      </c>
      <c r="CW19" s="32">
        <f>CU19/((1+InputData!$C$3)^(GenSurg!$B19-GenSurg!$B$7))</f>
        <v>29271.421568627451</v>
      </c>
      <c r="CX19" s="5">
        <f t="shared" si="57"/>
        <v>184733.13931372549</v>
      </c>
      <c r="CY19" s="32">
        <f>CX19/((1+InputData!$C$7)^(GenSurg!$B19-GenSurg!$B$7))</f>
        <v>129568.10711953262</v>
      </c>
      <c r="CZ19" s="5">
        <f t="shared" si="117"/>
        <v>525456.70967841556</v>
      </c>
      <c r="DA19" s="5"/>
      <c r="DB19" s="32" t="s">
        <v>141</v>
      </c>
      <c r="DC19" s="5">
        <f t="shared" si="138"/>
        <v>65447.901635434042</v>
      </c>
      <c r="DD19" s="5">
        <f>DC19*InputData!$C$6</f>
        <v>4064.3146915604543</v>
      </c>
      <c r="DE19" s="32">
        <f t="shared" si="139"/>
        <v>29148.379963889372</v>
      </c>
      <c r="DF19" s="32">
        <f t="shared" si="140"/>
        <v>40363.836363105132</v>
      </c>
      <c r="DG19" s="32">
        <f>DE19/((1+InputData!$C$3)^(GenSurg!$B19-GenSurg!$B$7))</f>
        <v>22983.298680787859</v>
      </c>
      <c r="DH19" s="5">
        <f t="shared" si="61"/>
        <v>191021.26220156508</v>
      </c>
      <c r="DI19" s="32">
        <f>DH19/((1+InputData!$C$7)^(GenSurg!$B19-GenSurg!$B$7))</f>
        <v>133978.46999724425</v>
      </c>
      <c r="DJ19" s="5">
        <f t="shared" si="118"/>
        <v>444000.67738905957</v>
      </c>
      <c r="DK19" s="5"/>
      <c r="DL19" s="32" t="s">
        <v>141</v>
      </c>
      <c r="DM19" s="32">
        <f t="shared" si="153"/>
        <v>195012.91336357297</v>
      </c>
      <c r="DN19" s="5">
        <f>DM19*InputData!$C$6</f>
        <v>12110.301919877882</v>
      </c>
      <c r="DO19" s="32">
        <f t="shared" si="154"/>
        <v>0</v>
      </c>
      <c r="DP19" s="32">
        <f t="shared" si="130"/>
        <v>29148.379963889372</v>
      </c>
      <c r="DQ19" s="32">
        <f t="shared" si="131"/>
        <v>177974.83531956148</v>
      </c>
      <c r="DR19" s="32">
        <f>DP19/((1+InputData!$C$3)^(GenSurg!$B19-GenSurg!$B$7))</f>
        <v>22983.298680787859</v>
      </c>
      <c r="DS19" s="5">
        <f t="shared" si="65"/>
        <v>191021.26220156508</v>
      </c>
      <c r="DT19" s="32">
        <f>DS19/((1+InputData!$C$7)^(GenSurg!$B19-GenSurg!$B$7))</f>
        <v>133978.46999724425</v>
      </c>
      <c r="DU19" s="5">
        <f t="shared" si="120"/>
        <v>517454.78235188645</v>
      </c>
      <c r="DV19" s="5"/>
      <c r="DW19" s="32" t="s">
        <v>141</v>
      </c>
      <c r="DX19" s="133">
        <f t="shared" si="141"/>
        <v>206179.55328717598</v>
      </c>
      <c r="DY19" s="5">
        <f>DX19*InputData!$C$6</f>
        <v>12803.750259133629</v>
      </c>
      <c r="DZ19" s="133">
        <f t="shared" si="142"/>
        <v>0</v>
      </c>
      <c r="EA19" s="32">
        <f t="shared" si="143"/>
        <v>29148.379963889372</v>
      </c>
      <c r="EB19" s="32">
        <f t="shared" si="144"/>
        <v>189834.92358242025</v>
      </c>
      <c r="EC19" s="32">
        <f>EA19/((1+InputData!$C$3)^(GenSurg!$B19-GenSurg!$B$7))</f>
        <v>22983.298680787859</v>
      </c>
      <c r="ED19" s="5">
        <f t="shared" si="69"/>
        <v>191021.26220156508</v>
      </c>
      <c r="EE19" s="32">
        <f>ED19/((1+InputData!$C$7)^(GenSurg!$B19-GenSurg!$B$7))</f>
        <v>133978.46999724425</v>
      </c>
      <c r="EF19" s="5">
        <f t="shared" si="122"/>
        <v>525198.12327553402</v>
      </c>
      <c r="EG19" s="32"/>
      <c r="EH19" s="130" t="s">
        <v>141</v>
      </c>
      <c r="EI19" s="32">
        <v>0</v>
      </c>
      <c r="EJ19" s="32">
        <f t="shared" ref="EJ19:EJ36" si="168">EJ18-(EN18-EK18)</f>
        <v>213574.02987843525</v>
      </c>
      <c r="EK19" s="32">
        <f>(EJ19)*InputData!$C$6</f>
        <v>13262.94725545083</v>
      </c>
      <c r="EL19" s="32">
        <f t="shared" si="167"/>
        <v>189713.7369142932</v>
      </c>
      <c r="EM19" s="32">
        <f>EM18*(1+InputData!$C$8)</f>
        <v>14572.09821952365</v>
      </c>
      <c r="EN19" s="32">
        <f t="shared" si="162"/>
        <v>37123.240219592873</v>
      </c>
      <c r="EO19" s="32">
        <f>AW19/((1+InputData!$C$3)^(GenSurg!$B19-GenSurg!$B$7))</f>
        <v>309949.21568627452</v>
      </c>
      <c r="EP19" s="32">
        <f>AX19/((1+InputData!$C$3)^(GenSurg!$B19-GenSurg!$B$7))</f>
        <v>0</v>
      </c>
      <c r="EQ19" s="32">
        <v>78896.17</v>
      </c>
      <c r="ER19" s="32">
        <v>10013.049999999999</v>
      </c>
      <c r="ES19" s="32">
        <v>0</v>
      </c>
      <c r="ET19" s="43">
        <f t="shared" si="136"/>
        <v>0.28685092750804841</v>
      </c>
      <c r="EU19" s="32">
        <f t="shared" si="70"/>
        <v>221039.99568627455</v>
      </c>
      <c r="EV19" s="32">
        <f>EN19/((1+InputData!$C$3)^(GenSurg!$B19-GenSurg!$B$7))</f>
        <v>29271.421568627451</v>
      </c>
      <c r="EW19" s="32">
        <f t="shared" si="71"/>
        <v>191768.57411764711</v>
      </c>
      <c r="EX19" s="32">
        <f>EW19/((1+InputData!$C$7)^(GenSurg!$B19-GenSurg!$B$7))</f>
        <v>134502.61953941264</v>
      </c>
      <c r="EY19" s="5">
        <f t="shared" si="124"/>
        <v>604288.0553225542</v>
      </c>
      <c r="EZ19" s="79"/>
      <c r="FA19" s="32">
        <f t="shared" si="163"/>
        <v>206487.95438045243</v>
      </c>
      <c r="FB19" s="32">
        <f>FA19*InputData!$C$6</f>
        <v>12822.901967026097</v>
      </c>
      <c r="FC19" s="32">
        <f t="shared" si="155"/>
        <v>182045.07418997641</v>
      </c>
      <c r="FD19" s="32">
        <f>MIN($EJ$16*InputData!$C$6/(1-(1+InputData!$C$6)^(-10)), FA19+FB19)</f>
        <v>37265.782157502101</v>
      </c>
      <c r="FE19" s="32">
        <f>FD19/((1+InputData!$C$3)^(GenSurg!$B19-GenSurg!$B$7))</f>
        <v>29383.814913903061</v>
      </c>
      <c r="FF19" s="5">
        <f t="shared" si="75"/>
        <v>191656.18077237147</v>
      </c>
      <c r="FG19" s="32">
        <f>FF19/((1+InputData!$C$7)^(GenSurg!$B19-GenSurg!$B$7))</f>
        <v>134423.78910836871</v>
      </c>
      <c r="FH19" s="5">
        <f t="shared" si="125"/>
        <v>600149.90104556805</v>
      </c>
      <c r="FI19" s="79"/>
      <c r="FJ19" s="32">
        <f t="shared" si="164"/>
        <v>256241.36199306182</v>
      </c>
      <c r="FK19" s="32">
        <f>FJ19*InputData!$C$6</f>
        <v>15912.588579769139</v>
      </c>
      <c r="FL19" s="32">
        <f t="shared" si="156"/>
        <v>250484.08322898825</v>
      </c>
      <c r="FM19" s="32">
        <f>MIN($EJ$16*InputData!$C$6/(1-(1+InputData!$C$6)^(-25)), FJ19+FK19)</f>
        <v>21669.867343842721</v>
      </c>
      <c r="FN19" s="32">
        <f>FM19/((1+InputData!$C$3)^(GenSurg!$B19-GenSurg!$B$7))</f>
        <v>17086.542516379781</v>
      </c>
      <c r="FO19" s="5">
        <f t="shared" si="79"/>
        <v>203953.45316989475</v>
      </c>
      <c r="FP19" s="32">
        <f>FO19/((1+InputData!$C$7)^(GenSurg!$B19-GenSurg!$B$7))</f>
        <v>143048.84854924396</v>
      </c>
      <c r="FQ19" s="5">
        <f t="shared" si="126"/>
        <v>637358.15729689284</v>
      </c>
      <c r="FR19" s="79"/>
      <c r="FS19" s="32">
        <f t="shared" si="165"/>
        <v>206487.95438045243</v>
      </c>
      <c r="FT19" s="32">
        <f>FS19*InputData!$C$6</f>
        <v>12822.901967026097</v>
      </c>
      <c r="FU19" s="32">
        <f t="shared" si="157"/>
        <v>182045.07418997641</v>
      </c>
      <c r="FV19" s="5">
        <f t="shared" si="166"/>
        <v>37265.782157502101</v>
      </c>
      <c r="FW19" s="32">
        <f>FV19/((1+InputData!$C$3)^(GenSurg!$B19-GenSurg!$B$7))</f>
        <v>29383.814913903061</v>
      </c>
      <c r="FX19" s="5">
        <f t="shared" si="83"/>
        <v>191656.18077237147</v>
      </c>
      <c r="FY19" s="32">
        <f>FX19/((1+InputData!$C$7)^(GenSurg!$B19-GenSurg!$B$7))</f>
        <v>134423.78910836871</v>
      </c>
      <c r="FZ19" s="5">
        <f t="shared" si="127"/>
        <v>600149.90104556805</v>
      </c>
      <c r="GC19" s="3">
        <f t="shared" si="1"/>
        <v>9</v>
      </c>
      <c r="GD19" s="4" t="str">
        <f t="shared" si="2"/>
        <v>Service (O4&gt;8 = (BP+BAH+BAS+VSP+BCPSP)*12)+ASP</v>
      </c>
      <c r="GE19" s="5">
        <f t="shared" si="3"/>
        <v>102317.52</v>
      </c>
      <c r="GF19" s="5">
        <f t="shared" si="4"/>
        <v>20659.199999999997</v>
      </c>
      <c r="GG19" s="5">
        <f t="shared" si="5"/>
        <v>122976.72</v>
      </c>
      <c r="GH19" s="5">
        <f t="shared" si="6"/>
        <v>90908.486892120462</v>
      </c>
      <c r="GI19" s="5">
        <f t="shared" si="7"/>
        <v>18355.5720701762</v>
      </c>
      <c r="GJ19" s="32">
        <f>IF(GH19-InputData!$C$158-InputData!$C$159&gt;=0,GH19-InputData!$C$158-InputData!$C$159,0)</f>
        <v>90908.486892120462</v>
      </c>
      <c r="GK19" s="32">
        <f>IF(GH19-IF(GH19&lt;=InputData!$C$146,InputData!$C$145,0)-MAX(InputData!$C$144,GQ19)&gt;=0,GH19-IF(GH19&lt;=InputData!$C$146,InputData!$C$145,0)-MAX(InputData!$C$144,GQ19),0)</f>
        <v>80908.486892120462</v>
      </c>
      <c r="GL19" s="32">
        <f>IF(GK19&lt;0,"Error",IF(GK19&lt;=InputData!$B$170,InputData!$C$170*GK19,IF(GK19&lt;=InputData!$B$171,InputData!$D$170+InputData!$C$171*(GK19-InputData!$B$170),IF(GK19&lt;=InputData!$B$172,InputData!$D$171+InputData!$C$172*(GK19-InputData!$B$171),IF(GK19&lt;=InputData!$B$173,InputData!$D$172+InputData!$C$173*(GK19-InputData!$B$172),IF(GK19&lt;=InputData!$B$174,InputData!$D$173+InputData!$C$174*(GK19-InputData!$B$173),IF(GK19&lt;=InputData!$B$175,InputData!$D$174+InputData!$C$175*(GK19-InputData!$B$174),InputData!$D$175+InputData!$C$176*(GK19-InputData!$B$175))))))))</f>
        <v>16155.871723030115</v>
      </c>
      <c r="GM19" s="32">
        <f>IF(GH19&lt;=InputData!$C$150,InputData!$C$152,IF(GH19&lt;InputData!$C$151,IF(InputData!$C$152-0.25*IF(GH19-InputData!$C$150&lt;=0,0,GH19-InputData!$C$150)&lt;=0,0,InputData!$C$152-0.25*IF(GH19-InputData!$C$150&lt;=0,0,GH19-InputData!$C$150)),0))</f>
        <v>51900</v>
      </c>
      <c r="GN19" s="32">
        <f>IF(GH19-GM19&lt;=0,0,IF(GH19-GM19&lt;=InputData!$C$153,InputData!$C$154*(GH19-GM19),InputData!$C$155*(GH19-GM19)-InputData!$D$154))</f>
        <v>10142.206591951321</v>
      </c>
      <c r="GO19" s="32">
        <f t="shared" si="84"/>
        <v>16155.871723030115</v>
      </c>
      <c r="GP19" s="32">
        <f>IF(GH19&gt;=0,IF(GH19&lt;=InputData!$C$148,InputData!$C$147*GH19,InputData!$C$147*InputData!$C$148)+InputData!$C$149*GH19,0)</f>
        <v>6954.4992472472159</v>
      </c>
      <c r="GQ19" s="32">
        <f>IF(GJ19&lt;0,0,IF(GJ19&lt;=InputData!$B$163,InputData!$C$163*GJ19,IF(GJ19&lt;=InputData!$B$164,InputData!$D$163+InputData!$C$164*(GJ19-InputData!$B$163),IF(GJ19&lt;=InputData!$B$165,InputData!$D$164+InputData!$C$165*(GJ19-InputData!$B$164),InputData!$D$165+InputData!$C$166*(GJ19-InputData!$B$165)))))</f>
        <v>0</v>
      </c>
      <c r="GR19" s="43">
        <f t="shared" si="85"/>
        <v>0.25421576973008042</v>
      </c>
      <c r="GS19" s="43">
        <f t="shared" si="86"/>
        <v>0.21150935806120783</v>
      </c>
      <c r="GT19" s="5">
        <f t="shared" si="87"/>
        <v>86153.687992019331</v>
      </c>
      <c r="GU19" s="32">
        <f>GT19/((1+InputData!$C$7)^(GenSurg!$B19-GenSurg!$B$7))</f>
        <v>60426.463362025315</v>
      </c>
      <c r="GV19" s="32">
        <f t="shared" si="88"/>
        <v>710146.70996840461</v>
      </c>
      <c r="GX19" s="3">
        <f t="shared" si="8"/>
        <v>9</v>
      </c>
      <c r="GY19" s="46" t="str">
        <f t="shared" si="9"/>
        <v>Service (O4&gt;8 = (BP+BAH+BAS+VSP+BCPSP)*12+ASP)</v>
      </c>
      <c r="GZ19" s="5">
        <f t="shared" si="10"/>
        <v>102317.52</v>
      </c>
      <c r="HA19" s="5">
        <f t="shared" si="11"/>
        <v>20659.199999999997</v>
      </c>
      <c r="HB19" s="5">
        <f t="shared" si="12"/>
        <v>122976.72</v>
      </c>
      <c r="HC19" s="5">
        <f t="shared" si="13"/>
        <v>90908.486892120462</v>
      </c>
      <c r="HD19" s="5">
        <f t="shared" si="14"/>
        <v>18355.5720701762</v>
      </c>
      <c r="HE19" s="32">
        <f>IF(HC19-InputData!$C$158-InputData!$C$159&gt;=0,HC19-InputData!$C$158-InputData!$C$159,0)</f>
        <v>90908.486892120462</v>
      </c>
      <c r="HF19" s="32">
        <f>IF(HC19-IF(HC19&lt;=InputData!$C$146,InputData!$C$145,0)-MAX(InputData!$C$144,HL19)&gt;=0,HC19-IF(HC19&lt;=InputData!$C$146,InputData!$C$145,0)-MAX(InputData!$C$144,HL19),0)</f>
        <v>80908.486892120462</v>
      </c>
      <c r="HG19" s="32">
        <f>IF(HF19&lt;0,"Error",IF(HF19&lt;=InputData!$B$170,InputData!$C$170*HF19,IF(HF19&lt;=InputData!$B$171,InputData!$D$170+InputData!$C$171*(HF19-InputData!$B$170),IF(HF19&lt;=InputData!$B$172,InputData!$D$171+InputData!$C$172*(HF19-InputData!$B$171),IF(HF19&lt;=InputData!$B$173,InputData!$D$172+InputData!$C$173*(HF19-InputData!$B$172),IF(HF19&lt;=InputData!$B$174,InputData!$D$173+InputData!$C$174*(HF19-InputData!$B$173),IF(HF19&lt;=InputData!$B$175,InputData!$D$174+InputData!$C$175*(HF19-InputData!$B$174),InputData!$D$175+InputData!$C$176*(HF19-InputData!$B$175))))))))</f>
        <v>16155.871723030115</v>
      </c>
      <c r="HH19" s="32">
        <f>IF(HC19&lt;=InputData!$C$150,InputData!$C$152,IF(HC19&lt;InputData!$C$151,IF(InputData!$C$152-0.25*IF(HC19-InputData!$C$150&lt;=0,0,HC19-InputData!$C$150)&lt;=0,0,InputData!$C$152-0.25*IF(HC19-InputData!$C$150&lt;=0,0,HC19-InputData!$C$150)),0))</f>
        <v>51900</v>
      </c>
      <c r="HI19" s="32">
        <f>IF(HC19-HH19&lt;=0,0,IF(HC19-HH19&lt;=InputData!$C$153,InputData!$C$154*(HC19-HH19),InputData!$C$155*(HC19-HH19)-InputData!$D$154))</f>
        <v>10142.206591951321</v>
      </c>
      <c r="HJ19" s="32">
        <f t="shared" si="89"/>
        <v>16155.871723030115</v>
      </c>
      <c r="HK19" s="32">
        <f>IF(HC19&gt;=0,IF(HC19&lt;=InputData!$C$148,InputData!$C$147*HC19,InputData!$C$147*InputData!$C$148)+InputData!$C$149*HC19,0)</f>
        <v>6954.4992472472159</v>
      </c>
      <c r="HL19" s="32">
        <f>IF(HE19&lt;0,0,IF(HE19&lt;=InputData!$B$163,InputData!$C$163*HE19,IF(HE19&lt;=InputData!$B$164,InputData!$D$163+InputData!$C$164*(HE19-InputData!$B$163),IF(HE19&lt;=InputData!$B$165,InputData!$D$164+InputData!$C$165*(HE19-InputData!$B$164),InputData!$D$165+InputData!$C$166*(HE19-InputData!$B$165)))))</f>
        <v>0</v>
      </c>
      <c r="HM19" s="43">
        <f t="shared" si="90"/>
        <v>0.25421576973008042</v>
      </c>
      <c r="HN19" s="43">
        <f t="shared" si="91"/>
        <v>0.21150935806120783</v>
      </c>
      <c r="HO19" s="5">
        <f t="shared" si="92"/>
        <v>86153.687992019331</v>
      </c>
      <c r="HP19" s="32">
        <f>HO19/((1+InputData!$C$7)^(GenSurg!$B19-GenSurg!$B$7))</f>
        <v>60426.463362025315</v>
      </c>
      <c r="HQ19" s="32">
        <f t="shared" si="93"/>
        <v>618022.98765773152</v>
      </c>
      <c r="HS19" s="93">
        <f t="shared" si="94"/>
        <v>9</v>
      </c>
      <c r="HT19" s="5" t="str">
        <f t="shared" si="95"/>
        <v>Service (O4&gt;8 = (BP+BAH+BAS+VSP+BCPSP)*12)+ASP</v>
      </c>
      <c r="HU19" s="5">
        <f t="shared" si="15"/>
        <v>102317.52</v>
      </c>
      <c r="HV19" s="5">
        <f t="shared" si="16"/>
        <v>20659.199999999997</v>
      </c>
      <c r="HW19" s="5">
        <f t="shared" si="17"/>
        <v>122976.72</v>
      </c>
      <c r="HX19" s="5">
        <f t="shared" si="18"/>
        <v>90908.486892120462</v>
      </c>
      <c r="HY19" s="5">
        <f t="shared" si="19"/>
        <v>18355.5720701762</v>
      </c>
      <c r="HZ19" s="32">
        <f>IF(HX19-InputData!$C$158-InputData!$C$159&gt;=0,HX19-InputData!$C$158-InputData!$C$159,0)</f>
        <v>90908.486892120462</v>
      </c>
      <c r="IA19" s="32">
        <f>IF(HX19-IF(HX19&lt;=InputData!$C$146,InputData!$C$145,0)-MAX(InputData!$C$144,IG19)&gt;=0,HX19-IF(HX19&lt;=InputData!$C$146,InputData!$C$145,0)-MAX(InputData!$C$144,IG19),0)</f>
        <v>80908.486892120462</v>
      </c>
      <c r="IB19" s="32">
        <f>IF(IA19&lt;0,"Error",IF(IA19&lt;=InputData!$B$170,InputData!$C$170*IA19,IF(IA19&lt;=InputData!$B$171,InputData!$D$170+InputData!$C$171*(IA19-InputData!$B$170),IF(IA19&lt;=InputData!$B$172,InputData!$D$171+InputData!$C$172*(IA19-InputData!$B$171),IF(IA19&lt;=InputData!$B$173,InputData!$D$172+InputData!$C$173*(IA19-InputData!$B$172),IF(IA19&lt;=InputData!$B$174,InputData!$D$173+InputData!$C$174*(IA19-InputData!$B$173),IF(IA19&lt;=InputData!$B$175,InputData!$D$174+InputData!$C$175*(IA19-InputData!$B$174),InputData!$D$175+InputData!$C$176*(IA19-InputData!$B$175))))))))</f>
        <v>16155.871723030115</v>
      </c>
      <c r="IC19" s="32">
        <f>IF(HX19&lt;=InputData!$C$150,InputData!$C$152,IF(HX19&lt;InputData!$C$151,IF(InputData!$C$152-0.25*IF(HX19-InputData!$C$150&lt;=0,0,HX19-InputData!$C$150)&lt;=0,0,InputData!$C$152-0.25*IF(HX19-InputData!$C$150&lt;=0,0,HX19-InputData!$C$150)),0))</f>
        <v>51900</v>
      </c>
      <c r="ID19" s="32">
        <f>IF(HX19-IC19&lt;=0,0,IF(HX19-IC19&lt;=InputData!$C$153,InputData!$C$154*(HX19-IC19),InputData!$C$155*(HX19-IC19)-InputData!$D$154))</f>
        <v>10142.206591951321</v>
      </c>
      <c r="IE19" s="32">
        <f t="shared" si="96"/>
        <v>16155.871723030115</v>
      </c>
      <c r="IF19" s="32">
        <f>IF(HX19&gt;=0,IF(HX19&lt;=InputData!$C$148,InputData!$C$147*HX19,InputData!$C$147*InputData!$C$148)+InputData!$C$149*HX19,0)</f>
        <v>6954.4992472472159</v>
      </c>
      <c r="IG19" s="32">
        <f>IF(HZ19&lt;0,0,IF(HZ19&lt;=InputData!$B$163,InputData!$C$163*HZ19,IF(HZ19&lt;=InputData!$B$164,InputData!$D$163+InputData!$C$164*(HZ19-InputData!$B$163),IF(HZ19&lt;=InputData!$B$165,InputData!$D$164+InputData!$C$165*(HZ19-InputData!$B$164),InputData!$D$165+InputData!$C$166*(HZ19-InputData!$B$165)))))</f>
        <v>0</v>
      </c>
      <c r="IH19" s="43">
        <f t="shared" si="97"/>
        <v>0.25421576973008042</v>
      </c>
      <c r="II19" s="43">
        <f t="shared" si="98"/>
        <v>0.21150935806120783</v>
      </c>
      <c r="IJ19" s="5">
        <f t="shared" si="20"/>
        <v>86153.687992019331</v>
      </c>
      <c r="IK19" s="32">
        <f>IJ19/((1+InputData!$C$7)^(GenSurg!$B19-GenSurg!$B$7))</f>
        <v>60426.463362025315</v>
      </c>
      <c r="IL19" s="5">
        <f t="shared" si="99"/>
        <v>710146.70996840461</v>
      </c>
      <c r="IN19" s="93">
        <f t="shared" si="100"/>
        <v>9</v>
      </c>
      <c r="IO19" s="92" t="str">
        <f t="shared" si="101"/>
        <v>Service (O4&gt;8 = (BP+BAH+BAS+VSP+BCPSP)*12+ASP)</v>
      </c>
      <c r="IP19" s="5">
        <f t="shared" si="21"/>
        <v>102317.52</v>
      </c>
      <c r="IQ19" s="5">
        <f t="shared" si="22"/>
        <v>20659.199999999997</v>
      </c>
      <c r="IR19" s="5">
        <f t="shared" si="23"/>
        <v>122976.72</v>
      </c>
      <c r="IS19" s="5">
        <f t="shared" si="24"/>
        <v>90908.486892120462</v>
      </c>
      <c r="IT19" s="5">
        <f t="shared" si="25"/>
        <v>18355.5720701762</v>
      </c>
      <c r="IU19" s="32">
        <f>IF(IS19-InputData!$C$158-InputData!$C$159&gt;=0,IS19-InputData!$C$158-InputData!$C$159,0)</f>
        <v>90908.486892120462</v>
      </c>
      <c r="IV19" s="32">
        <f>IF(IS19-IF(IS19&lt;=InputData!$C$146,InputData!$C$145,0)-MAX(InputData!$C$144,JB19)&gt;=0,IS19-IF(IS19&lt;=InputData!$C$146,InputData!$C$145,0)-MAX(InputData!$C$144,JB19),0)</f>
        <v>80908.486892120462</v>
      </c>
      <c r="IW19" s="32">
        <f>IF(IV19&lt;0,"Error",IF(IV19&lt;=InputData!$B$170,InputData!$C$170*IV19,IF(IV19&lt;=InputData!$B$171,InputData!$D$170+InputData!$C$171*(IV19-InputData!$B$170),IF(IV19&lt;=InputData!$B$172,InputData!$D$171+InputData!$C$172*(IV19-InputData!$B$171),IF(IV19&lt;=InputData!$B$173,InputData!$D$172+InputData!$C$173*(IV19-InputData!$B$172),IF(IV19&lt;=InputData!$B$174,InputData!$D$173+InputData!$C$174*(IV19-InputData!$B$173),IF(IV19&lt;=InputData!$B$175,InputData!$D$174+InputData!$C$175*(IV19-InputData!$B$174),InputData!$D$175+InputData!$C$176*(IV19-InputData!$B$175))))))))</f>
        <v>16155.871723030115</v>
      </c>
      <c r="IX19" s="32">
        <f>IF(IS19&lt;=InputData!$C$150,InputData!$C$152,IF(IS19&lt;InputData!$C$151,IF(InputData!$C$152-0.25*IF(IS19-InputData!$C$150&lt;=0,0,IS19-InputData!$C$150)&lt;=0,0,InputData!$C$152-0.25*IF(IS19-InputData!$C$150&lt;=0,0,IS19-InputData!$C$150)),0))</f>
        <v>51900</v>
      </c>
      <c r="IY19" s="32">
        <f>IF(IS19-IX19&lt;=0,0,IF(IS19-IX19&lt;=InputData!$C$153,InputData!$C$154*(IS19-IX19),InputData!$C$155*(IS19-IX19)-InputData!$D$154))</f>
        <v>10142.206591951321</v>
      </c>
      <c r="IZ19" s="32">
        <f t="shared" si="102"/>
        <v>16155.871723030115</v>
      </c>
      <c r="JA19" s="32">
        <f>IF(IS19&gt;=0,IF(IS19&lt;=InputData!$C$148,InputData!$C$147*IS19,InputData!$C$147*InputData!$C$148)+InputData!$C$149*IS19,0)</f>
        <v>6954.4992472472159</v>
      </c>
      <c r="JB19" s="32">
        <f>IF(IU19&lt;0,0,IF(IU19&lt;=InputData!$B$163,InputData!$C$163*IU19,IF(IU19&lt;=InputData!$B$164,InputData!$D$163+InputData!$C$164*(IU19-InputData!$B$163),IF(IU19&lt;=InputData!$B$165,InputData!$D$164+InputData!$C$165*(IU19-InputData!$B$164),InputData!$D$165+InputData!$C$166*(IU19-InputData!$B$165)))))</f>
        <v>0</v>
      </c>
      <c r="JC19" s="43">
        <f t="shared" si="103"/>
        <v>0.25421576973008042</v>
      </c>
      <c r="JD19" s="43">
        <f t="shared" si="104"/>
        <v>0.21150935806120783</v>
      </c>
      <c r="JE19" s="5">
        <f t="shared" si="105"/>
        <v>86153.687992019331</v>
      </c>
      <c r="JF19" s="32">
        <f>JE19/((1+InputData!$C$7)^(GenSurg!$B19-GenSurg!$B$7))</f>
        <v>60426.463362025315</v>
      </c>
      <c r="JG19" s="5">
        <f t="shared" si="106"/>
        <v>618022.98765773152</v>
      </c>
      <c r="JI19" s="41" t="str">
        <f t="shared" si="26"/>
        <v>Private Practice</v>
      </c>
      <c r="JJ19" s="5">
        <f t="shared" si="27"/>
        <v>393090.54952521418</v>
      </c>
      <c r="JK19" s="32">
        <v>0</v>
      </c>
      <c r="JL19" s="32">
        <f t="shared" si="108"/>
        <v>393090.54952521418</v>
      </c>
      <c r="JM19" s="32">
        <f>JM18*(1+InputData!$C$8)</f>
        <v>14572.09821952365</v>
      </c>
      <c r="JN19" s="32">
        <f>JJ19/((1+InputData!$C$3)^(GenSurg!$B19-GenSurg!$B$7))</f>
        <v>309949.21568627452</v>
      </c>
      <c r="JO19" s="32">
        <f>JK19/((1+InputData!$C$3)^(GenSurg!$B19-GenSurg!$B$7))</f>
        <v>0</v>
      </c>
      <c r="JP19" s="32" t="s">
        <v>141</v>
      </c>
      <c r="JQ19" s="32">
        <v>0</v>
      </c>
      <c r="JR19" s="32">
        <f t="shared" si="158"/>
        <v>0</v>
      </c>
      <c r="JS19" s="32">
        <f>(JR19)*InputData!$C$6</f>
        <v>0</v>
      </c>
      <c r="JT19" s="32">
        <f>MIN($BE$16*InputData!$C$6/(1-(1+InputData!$C$6)^(-10)), JR19+JS19)</f>
        <v>0</v>
      </c>
      <c r="JU19" s="32">
        <f t="shared" si="145"/>
        <v>0</v>
      </c>
      <c r="JV19" s="32">
        <f>JT19/((1+InputData!$C$3)^(GenSurg!$B19-GenSurg!$B$7))</f>
        <v>0</v>
      </c>
      <c r="JW19" s="32">
        <f>IF(JN19-InputData!$C$158-InputData!$C$159&gt;=0,JN19-InputData!$C$158-InputData!$C$159,0)</f>
        <v>309949.21568627452</v>
      </c>
      <c r="JX19" s="32">
        <f>IF(JN19-IF(JN19&lt;=InputData!$C$146,InputData!$C$145,0)-MAX(InputData!$C$144,KD19)&gt;=0,JN19-IF(JN19&lt;=InputData!$C$146,InputData!$C$145,0)-MAX(InputData!$C$144,KD19),0)</f>
        <v>303849.21568627452</v>
      </c>
      <c r="JY19" s="32">
        <f>IF(JX19&lt;0,"Error",IF(JX19&lt;=InputData!$B$170,InputData!$C$170*JX19,IF(JX19&lt;=InputData!$B$171,InputData!$D$170+InputData!$C$171*(JX19-InputData!$B$170),IF(JX19&lt;=InputData!$B$172,InputData!$D$171+InputData!$C$172*(JX19-InputData!$B$171),IF(JX19&lt;=InputData!$B$173,InputData!$D$172+InputData!$C$173*(JX19-InputData!$B$172),IF(JX19&lt;=InputData!$B$174,InputData!$D$173+InputData!$C$174*(JX19-InputData!$B$173),IF(JX19&lt;=InputData!$B$175,InputData!$D$174+InputData!$C$175*(JX19-InputData!$B$174),InputData!$D$175+InputData!$C$176*(JX19-InputData!$B$175))))))))</f>
        <v>84400.99117647059</v>
      </c>
      <c r="JZ19" s="32">
        <f>IF(JN19&lt;=InputData!$C$150,InputData!$C$152,IF(JN19&lt;InputData!$C$151,IF(InputData!$C$152-0.25*IF(JN19-InputData!$C$150&lt;=0,0,JN19-InputData!$C$150)&lt;=0,0,InputData!$C$152-0.25*IF(JN19-InputData!$C$150&lt;=0,0,JN19-InputData!$C$150)),0))</f>
        <v>3262.6960784313706</v>
      </c>
      <c r="KA19" s="32">
        <f>IF(JN19-JZ19&lt;=0,0,IF(JN19-JZ19&lt;=InputData!$C$153,InputData!$C$154*(JN19-JZ19),InputData!$C$155*(JN19-JZ19)-InputData!$D$154))</f>
        <v>82282.225490196084</v>
      </c>
      <c r="KB19" s="32">
        <f t="shared" si="109"/>
        <v>84400.99117647059</v>
      </c>
      <c r="KC19" s="32">
        <f>IF(JN19&gt;=0,IF(JN19&lt;=InputData!$C$148,InputData!$C$147*JN19,InputData!$C$147*InputData!$C$148)+InputData!$C$149*JN19,0)</f>
        <v>11543.66362745098</v>
      </c>
      <c r="KD19" s="32">
        <f>IF(JW19&lt;0,0,IF(JW19&lt;=InputData!$B$163,InputData!$C$163*JW19,IF(JW19&lt;=InputData!$B$164,InputData!$D$163+InputData!$C$164*(JW19-InputData!$B$163),IF(JW19&lt;=InputData!$B$165,InputData!$D$164+InputData!$C$165*(JW19-InputData!$B$164),InputData!$D$165+InputData!$C$166*(JW19-InputData!$B$165)))))</f>
        <v>0</v>
      </c>
      <c r="KE19" s="43">
        <f t="shared" si="28"/>
        <v>0.30954959699280277</v>
      </c>
      <c r="KF19" s="32">
        <f t="shared" si="29"/>
        <v>214004.56088235293</v>
      </c>
      <c r="KG19" s="32">
        <f t="shared" si="110"/>
        <v>214004.56088235293</v>
      </c>
      <c r="KH19" s="32">
        <f>KG19/((1+InputData!$C$7)^(GenSurg!$B19-GenSurg!$B$7))</f>
        <v>150098.49327241455</v>
      </c>
      <c r="KI19" s="5">
        <f t="shared" si="129"/>
        <v>801093.49824708293</v>
      </c>
    </row>
    <row r="20" spans="1:295" ht="14.45" x14ac:dyDescent="0.3">
      <c r="A20" s="4">
        <v>2026</v>
      </c>
      <c r="B20" s="51">
        <v>14</v>
      </c>
      <c r="C20" s="4"/>
      <c r="D20" s="3">
        <v>10</v>
      </c>
      <c r="E20" s="4" t="s">
        <v>21</v>
      </c>
      <c r="F20" s="5">
        <f>InputData!$H$23*12</f>
        <v>73317.600000000006</v>
      </c>
      <c r="G20" s="32">
        <f>(InputData!$H$23+InputData!$F$45+InputData!$C$50)*12+InputData!$J$50</f>
        <v>102317.52</v>
      </c>
      <c r="H20" s="32">
        <f>(InputData!$C$34+InputData!$C$40)*12</f>
        <v>20659.199999999997</v>
      </c>
      <c r="I20" s="32">
        <f t="shared" si="30"/>
        <v>122976.72</v>
      </c>
      <c r="J20" s="32">
        <f>G20*((1+InputData!$C$5)/(1+InputData!$C$3))^(GenSurg!$B20-GenSurg!$B$7)</f>
        <v>90017.227216707513</v>
      </c>
      <c r="K20" s="32">
        <f>H20*((1+InputData!$C$5)/(1+InputData!$C$3))^(GenSurg!$B20-GenSurg!$B$7)</f>
        <v>18175.615481252906</v>
      </c>
      <c r="L20" s="32">
        <f>IF(J20-InputData!$C$158-InputData!$C$159&gt;=0,J20-InputData!$C$158-InputData!$C$159,0)</f>
        <v>90017.227216707513</v>
      </c>
      <c r="M20" s="32">
        <f>IF(J20-IF(J20&lt;=InputData!$C$146,InputData!$C$145,0)-MAX(InputData!$C$144,S20)&gt;=0,J20-IF(J20&lt;=InputData!$C$146,InputData!$C$145,0)-MAX(InputData!$C$144,S20),0)</f>
        <v>80017.227216707513</v>
      </c>
      <c r="N20" s="32">
        <f>IF(M20&lt;0,"Error",IF(M20&lt;=InputData!$B$170,InputData!$C$170*M20,IF(M20&lt;=InputData!$B$171,InputData!$D$170+InputData!$C$171*(M20-InputData!$B$170),IF(M20&lt;=InputData!$B$172,InputData!$D$171+InputData!$C$172*(M20-InputData!$B$171),IF(M20&lt;=InputData!$B$173,InputData!$D$172+InputData!$C$173*(M20-InputData!$B$172),IF(M20&lt;=InputData!$B$174,InputData!$D$173+InputData!$C$174*(M20-InputData!$B$173),IF(M20&lt;=InputData!$B$175,InputData!$D$174+InputData!$C$175*(M20-InputData!$B$174),InputData!$D$175+InputData!$C$176*(M20-InputData!$B$175))))))))</f>
        <v>15933.056804176878</v>
      </c>
      <c r="O20" s="32">
        <f>IF(J20&lt;=InputData!$C$150,InputData!$C$152,IF(J20&lt;InputData!$C$151,IF(InputData!$C$152-0.25*IF(J20-InputData!$C$150&lt;=0,0,J20-InputData!$C$150)&lt;=0,0,InputData!$C$152-0.25*IF(J20-InputData!$C$150&lt;=0,0,J20-InputData!$C$150)),0))</f>
        <v>51900</v>
      </c>
      <c r="P20" s="32">
        <f>IF(J20-O20&lt;=0,0,IF(J20-O20&lt;=InputData!$C$153,InputData!$C$154*(J20-O20),InputData!$C$155*(J20-O20)-InputData!$D$154))</f>
        <v>9910.4790763439541</v>
      </c>
      <c r="Q20" s="32">
        <f t="shared" si="31"/>
        <v>15933.056804176878</v>
      </c>
      <c r="R20" s="32">
        <f>IF(J20&gt;=0,IF(J20&lt;=InputData!$C$148,InputData!$C$147*J20,InputData!$C$147*InputData!$C$148)+InputData!$C$149*J20,0)</f>
        <v>6886.317882078125</v>
      </c>
      <c r="S20" s="32">
        <f>IF(L20&lt;0,0,IF(L20&lt;=InputData!$B$163,InputData!$C$163*L20,IF(L20&lt;=InputData!$B$164,InputData!$D$163+InputData!$C$164*(L20-InputData!$B$163),IF(L20&lt;=InputData!$B$165,InputData!$D$164+InputData!$C$165*(L20-InputData!$B$164),InputData!$D$165+InputData!$C$166*(L20-InputData!$B$165)))))</f>
        <v>0</v>
      </c>
      <c r="T20" s="43">
        <f t="shared" si="32"/>
        <v>0.25350008428186344</v>
      </c>
      <c r="U20" s="43">
        <f t="shared" si="33"/>
        <v>0.21091390259482645</v>
      </c>
      <c r="V20" s="5">
        <f t="shared" si="34"/>
        <v>85373.468011705409</v>
      </c>
      <c r="W20" s="32">
        <f>V20/((1+InputData!$C$7)^(GenSurg!$B20-GenSurg!$B$7))</f>
        <v>58135.17744243551</v>
      </c>
      <c r="X20" s="5">
        <f t="shared" si="111"/>
        <v>768281.88741084014</v>
      </c>
      <c r="Y20" s="53"/>
      <c r="Z20" s="3">
        <v>10</v>
      </c>
      <c r="AA20" s="97" t="s">
        <v>278</v>
      </c>
      <c r="AB20" s="5">
        <f t="shared" si="133"/>
        <v>73317.600000000006</v>
      </c>
      <c r="AC20" s="32">
        <f>G20+InputData!$D$58+InputData!$J$58</f>
        <v>212317.52000000002</v>
      </c>
      <c r="AD20" s="32">
        <f t="shared" ref="AD20:AD36" si="169">H20</f>
        <v>20659.199999999997</v>
      </c>
      <c r="AE20" s="32">
        <f t="shared" si="35"/>
        <v>232976.72000000003</v>
      </c>
      <c r="AF20" s="5">
        <f>AC20*((1+InputData!$C$5)/(1+InputData!$C$3))^(GenSurg!$B20-GenSurg!$B$7)</f>
        <v>186793.37067520639</v>
      </c>
      <c r="AG20" s="5">
        <f>AD20*((1+InputData!$C$5)/(1+InputData!$C$3))^(GenSurg!$B20-GenSurg!$B$7)</f>
        <v>18175.615481252906</v>
      </c>
      <c r="AH20" s="32">
        <f>IF(AF20-InputData!$C$158-InputData!$C$159&gt;=0,AF20-InputData!$C$158-InputData!$C$159,0)</f>
        <v>186793.37067520639</v>
      </c>
      <c r="AI20" s="32">
        <f>IF(AF20-IF(AF20&lt;=InputData!$C$146,InputData!$C$145,0)-MAX(InputData!$C$144,AO20)&gt;=0,AF20-IF(AF20&lt;=InputData!$C$146,InputData!$C$145,0)-MAX(InputData!$C$144,AO20),0)</f>
        <v>180693.37067520639</v>
      </c>
      <c r="AJ20" s="32">
        <f>IF(AI20&lt;0,"Error",IF(AI20&lt;=InputData!$B$170,InputData!$C$170*AI20,IF(AI20&lt;=InputData!$B$171,InputData!$D$170+InputData!$C$171*(AI20-InputData!$B$170),IF(AI20&lt;=InputData!$B$172,InputData!$D$171+InputData!$C$172*(AI20-InputData!$B$171),IF(AI20&lt;=InputData!$B$173,InputData!$D$172+InputData!$C$173*(AI20-InputData!$B$172),IF(AI20&lt;=InputData!$B$174,InputData!$D$173+InputData!$C$174*(AI20-InputData!$B$173),IF(AI20&lt;=InputData!$B$175,InputData!$D$174+InputData!$C$175*(AI20-InputData!$B$174),InputData!$D$175+InputData!$C$176*(AI20-InputData!$B$175))))))))</f>
        <v>43887.393789057794</v>
      </c>
      <c r="AK20" s="32">
        <f>IF(AF20&lt;=InputData!$C$150,InputData!$C$152,IF(AF20&lt;InputData!$C$151,IF(InputData!$C$152-0.25*IF(AF20-InputData!$C$150&lt;=0,0,AF20-InputData!$C$150)&lt;=0,0,InputData!$C$152-0.25*IF(AF20-InputData!$C$150&lt;=0,0,AF20-InputData!$C$150)),0))</f>
        <v>34051.657331198403</v>
      </c>
      <c r="AL20" s="32">
        <f>IF(AF20-AK20&lt;=0,0,IF(AF20-AK20&lt;=InputData!$C$153,InputData!$C$154*(AF20-AK20),InputData!$C$155*(AF20-AK20)-InputData!$D$154))</f>
        <v>39712.84546944208</v>
      </c>
      <c r="AM20" s="32">
        <f t="shared" si="36"/>
        <v>43887.393789057794</v>
      </c>
      <c r="AN20" s="32">
        <f>IF(AF20&gt;=0,IF(AF20&lt;=InputData!$C$148,InputData!$C$147*AF20,InputData!$C$147*InputData!$C$148)+InputData!$C$149*AF20,0)</f>
        <v>9757.9038747904924</v>
      </c>
      <c r="AO20" s="32">
        <f>IF(AH20&lt;0,0,IF(AH20&lt;=InputData!$B$163,InputData!$C$163*AH20,IF(AH20&lt;=InputData!$B$164,InputData!$D$163+InputData!$C$164*(AH20-InputData!$B$163),IF(AH20&lt;=InputData!$B$165,InputData!$D$164+InputData!$C$165*(AH20-InputData!$B$164),InputData!$D$165+InputData!$C$166*(AH20-InputData!$B$165)))))</f>
        <v>0</v>
      </c>
      <c r="AP20" s="43">
        <f t="shared" si="37"/>
        <v>0.28719058642143119</v>
      </c>
      <c r="AQ20" s="43">
        <f t="shared" si="38"/>
        <v>0.26172397429384336</v>
      </c>
      <c r="AR20" s="5">
        <f t="shared" si="39"/>
        <v>151323.68849261099</v>
      </c>
      <c r="AS20" s="32">
        <f>AR20/((1+InputData!$C$7)^(GenSurg!$B20-GenSurg!$B$7))</f>
        <v>103044.06845175369</v>
      </c>
      <c r="AT20" s="5">
        <f t="shared" si="112"/>
        <v>721067.05610948522</v>
      </c>
      <c r="AU20" s="53"/>
      <c r="AV20" s="41" t="s">
        <v>109</v>
      </c>
      <c r="AW20" s="32">
        <f>$AW$17*(1+InputData!$C$3+InputData!$C$4)^(GenSurg!$B20-GenSurg!$B$17)</f>
        <v>404883.26601097058</v>
      </c>
      <c r="AX20" s="32">
        <v>0</v>
      </c>
      <c r="AY20" s="32">
        <f t="shared" si="41"/>
        <v>404883.26601097058</v>
      </c>
      <c r="AZ20" s="32">
        <f>AZ19*(1+InputData!$C$8)</f>
        <v>14863.540183914123</v>
      </c>
      <c r="BA20" s="32">
        <f>AW20/((1+InputData!$C$3)^(GenSurg!$B20-GenSurg!$B$7))</f>
        <v>312987.93348712032</v>
      </c>
      <c r="BB20" s="32">
        <f>AX20/((1+InputData!$C$3)^(GenSurg!$B20-GenSurg!$B$7))</f>
        <v>0</v>
      </c>
      <c r="BC20" s="32" t="s">
        <v>141</v>
      </c>
      <c r="BD20" s="32">
        <v>0</v>
      </c>
      <c r="BE20" s="32">
        <f t="shared" si="146"/>
        <v>182182.4054827526</v>
      </c>
      <c r="BF20" s="32">
        <f>(BE20)*InputData!$C$6</f>
        <v>11313.527380478938</v>
      </c>
      <c r="BG20" s="32">
        <f>MIN($BE$16*InputData!$C$6/(1-(1+InputData!$C$6)^(-10)), BE20+BF20)</f>
        <v>37293.894744798265</v>
      </c>
      <c r="BH20" s="32">
        <f t="shared" si="137"/>
        <v>156202.03811843327</v>
      </c>
      <c r="BI20" s="32">
        <f>BG20/((1+InputData!$C$3)^(GenSurg!$B20-GenSurg!$B$7))</f>
        <v>28829.393624641209</v>
      </c>
      <c r="BJ20" s="32">
        <f>IF(BA20-InputData!$C$158-InputData!$C$159&gt;=0,BA20-InputData!$C$158-InputData!$C$159,0)</f>
        <v>312987.93348712032</v>
      </c>
      <c r="BK20" s="32">
        <f>IF(BA20-IF(BA20&lt;=InputData!$C$146,InputData!$C$145,0)-MAX(InputData!$C$144,BQ20)&gt;=0,BA20-IF(BA20&lt;=InputData!$C$146,InputData!$C$145,0)-MAX(InputData!$C$144,BQ20),0)</f>
        <v>306887.93348712032</v>
      </c>
      <c r="BL20" s="32">
        <f>IF(BK20&lt;0,"Error",IF(BK20&lt;=InputData!$B$170,InputData!$C$170*BK20,IF(BK20&lt;=InputData!$B$171,InputData!$D$170+InputData!$C$171*(BK20-InputData!$B$170),IF(BK20&lt;=InputData!$B$172,InputData!$D$171+InputData!$C$172*(BK20-InputData!$B$171),IF(BK20&lt;=InputData!$B$173,InputData!$D$172+InputData!$C$173*(BK20-InputData!$B$172),IF(BK20&lt;=InputData!$B$174,InputData!$D$173+InputData!$C$174*(BK20-InputData!$B$173),IF(BK20&lt;=InputData!$B$175,InputData!$D$174+InputData!$C$175*(BK20-InputData!$B$174),InputData!$D$175+InputData!$C$176*(BK20-InputData!$B$175))))))))</f>
        <v>85403.768050749699</v>
      </c>
      <c r="BM20" s="32">
        <f>IF(BA20&lt;=InputData!$C$150,InputData!$C$152,IF(BA20&lt;InputData!$C$151,IF(InputData!$C$152-0.25*IF(BA20-InputData!$C$150&lt;=0,0,BA20-InputData!$C$150)&lt;=0,0,InputData!$C$152-0.25*IF(BA20-InputData!$C$150&lt;=0,0,BA20-InputData!$C$150)),0))</f>
        <v>2503.0166282199207</v>
      </c>
      <c r="BN20" s="32">
        <f>IF(BA20-BM20&lt;=0,0,IF(BA20-BM20&lt;=InputData!$C$153,InputData!$C$154*(BA20-BM20),InputData!$C$155*(BA20-BM20)-InputData!$D$154))</f>
        <v>83345.776720492126</v>
      </c>
      <c r="BO20" s="32">
        <f t="shared" si="42"/>
        <v>85403.768050749699</v>
      </c>
      <c r="BP20" s="32">
        <f>IF(BA20&gt;=0,IF(BA20&lt;=InputData!$C$148,InputData!$C$147*BA20,InputData!$C$147*InputData!$C$148)+InputData!$C$149*BA20,0)</f>
        <v>11587.725035563244</v>
      </c>
      <c r="BQ20" s="32">
        <f>IF(BJ20&lt;0,0,IF(BJ20&lt;=InputData!$B$163,InputData!$C$163*BJ20,IF(BJ20&lt;=InputData!$B$164,InputData!$D$163+InputData!$C$164*(BJ20-InputData!$B$163),IF(BJ20&lt;=InputData!$B$165,InputData!$D$164+InputData!$C$165*(BJ20-InputData!$B$164),InputData!$D$165+InputData!$C$166*(BJ20-InputData!$B$165)))))</f>
        <v>0</v>
      </c>
      <c r="BR20" s="43">
        <f t="shared" si="43"/>
        <v>0.30988892129384349</v>
      </c>
      <c r="BS20" s="32">
        <f t="shared" si="44"/>
        <v>215996.44040080736</v>
      </c>
      <c r="BT20" s="32">
        <f t="shared" si="45"/>
        <v>187167.04677616616</v>
      </c>
      <c r="BU20" s="32">
        <f>BT20/((1+InputData!$C$7)^(GenSurg!$B20-GenSurg!$B$7))</f>
        <v>127451.65130479615</v>
      </c>
      <c r="BV20" s="5">
        <f t="shared" si="114"/>
        <v>648703.13655583677</v>
      </c>
      <c r="BW20" s="5"/>
      <c r="BX20" s="32" t="s">
        <v>141</v>
      </c>
      <c r="BY20" s="5">
        <f t="shared" si="147"/>
        <v>250673.04359016666</v>
      </c>
      <c r="BZ20" s="32">
        <f>(BY20)*InputData!$C$6</f>
        <v>15566.796006949351</v>
      </c>
      <c r="CA20" s="32">
        <f>MIN($BY$16*InputData!$C$6/(1-(1+InputData!$C$6)^(-25)), BY20+BZ20)</f>
        <v>21686.214673809533</v>
      </c>
      <c r="CB20" s="32">
        <f t="shared" si="148"/>
        <v>244553.62492330646</v>
      </c>
      <c r="CC20" s="32">
        <f>CA20/((1+InputData!$C$3)^(GenSurg!$B20-GenSurg!$B$7))</f>
        <v>16764.149288723132</v>
      </c>
      <c r="CD20" s="5">
        <f t="shared" si="49"/>
        <v>199232.29111208423</v>
      </c>
      <c r="CE20" s="32">
        <f>CD20/((1+InputData!$C$7)^(GenSurg!$B20-GenSurg!$B$7))</f>
        <v>135667.49560268468</v>
      </c>
      <c r="CF20" s="5">
        <f t="shared" si="115"/>
        <v>694155.30629591213</v>
      </c>
      <c r="CG20" s="5"/>
      <c r="CH20" s="32" t="s">
        <v>141</v>
      </c>
      <c r="CI20" s="5" t="e">
        <f t="shared" si="149"/>
        <v>#VALUE!</v>
      </c>
      <c r="CJ20" s="32" t="e">
        <f>(CI20)*InputData!$C$6</f>
        <v>#VALUE!</v>
      </c>
      <c r="CK20" s="5" t="str">
        <f t="shared" si="159"/>
        <v>DNQ</v>
      </c>
      <c r="CL20" s="32" t="e">
        <f t="shared" si="150"/>
        <v>#VALUE!</v>
      </c>
      <c r="CM20" s="32" t="e">
        <f>CK20/((1+InputData!$C$3)^(GenSurg!$B20-GenSurg!$B$7))</f>
        <v>#VALUE!</v>
      </c>
      <c r="CN20" s="5" t="e">
        <f t="shared" si="53"/>
        <v>#VALUE!</v>
      </c>
      <c r="CO20" s="32" t="e">
        <f>CN20/((1+InputData!$C$7)^(GenSurg!$B20-GenSurg!$B$7))</f>
        <v>#VALUE!</v>
      </c>
      <c r="CP20" s="5" t="e">
        <f t="shared" si="116"/>
        <v>#VALUE!</v>
      </c>
      <c r="CQ20" s="5"/>
      <c r="CR20" s="32" t="s">
        <v>141</v>
      </c>
      <c r="CS20" s="5">
        <f t="shared" si="160"/>
        <v>189974.43369342003</v>
      </c>
      <c r="CT20" s="32">
        <f>(CS20)*InputData!$C$6</f>
        <v>11797.412332361384</v>
      </c>
      <c r="CU20" s="32">
        <f t="shared" si="161"/>
        <v>37293.894744798265</v>
      </c>
      <c r="CV20" s="32">
        <f t="shared" si="152"/>
        <v>164477.95128098316</v>
      </c>
      <c r="CW20" s="32">
        <f>CU20/((1+InputData!$C$3)^(GenSurg!$B20-GenSurg!$B$7))</f>
        <v>28829.393624641209</v>
      </c>
      <c r="CX20" s="5">
        <f t="shared" si="57"/>
        <v>187167.04677616616</v>
      </c>
      <c r="CY20" s="32">
        <f>CX20/((1+InputData!$C$7)^(GenSurg!$B20-GenSurg!$B$7))</f>
        <v>127451.65130479615</v>
      </c>
      <c r="CZ20" s="5">
        <f t="shared" si="117"/>
        <v>652908.36098321166</v>
      </c>
      <c r="DA20" s="5"/>
      <c r="DB20" s="32" t="s">
        <v>141</v>
      </c>
      <c r="DC20" s="5">
        <f t="shared" si="138"/>
        <v>40363.836363105132</v>
      </c>
      <c r="DD20" s="5">
        <f>DC20*InputData!$C$6</f>
        <v>2506.5942381488289</v>
      </c>
      <c r="DE20" s="32">
        <f t="shared" si="139"/>
        <v>29148.379963889372</v>
      </c>
      <c r="DF20" s="32">
        <f t="shared" si="140"/>
        <v>13722.050637364588</v>
      </c>
      <c r="DG20" s="32">
        <f>DE20/((1+InputData!$C$3)^(GenSurg!$B20-GenSurg!$B$7))</f>
        <v>22532.645765478293</v>
      </c>
      <c r="DH20" s="5">
        <f t="shared" si="61"/>
        <v>193463.79463532908</v>
      </c>
      <c r="DI20" s="32">
        <f>DH20/((1+InputData!$C$7)^(GenSurg!$B20-GenSurg!$B$7))</f>
        <v>131739.43019709233</v>
      </c>
      <c r="DJ20" s="5">
        <f t="shared" si="118"/>
        <v>575740.10758615192</v>
      </c>
      <c r="DK20" s="5"/>
      <c r="DL20" s="32" t="s">
        <v>141</v>
      </c>
      <c r="DM20" s="32">
        <f t="shared" si="153"/>
        <v>177974.83531956148</v>
      </c>
      <c r="DN20" s="5">
        <f>DM20*InputData!$C$6</f>
        <v>11052.237273344768</v>
      </c>
      <c r="DO20" s="32">
        <f t="shared" si="154"/>
        <v>0</v>
      </c>
      <c r="DP20" s="32">
        <f t="shared" si="130"/>
        <v>29148.379963889372</v>
      </c>
      <c r="DQ20" s="32">
        <f t="shared" si="131"/>
        <v>159878.69262901688</v>
      </c>
      <c r="DR20" s="32">
        <f>DP20/((1+InputData!$C$3)^(GenSurg!$B20-GenSurg!$B$7))</f>
        <v>22532.645765478293</v>
      </c>
      <c r="DS20" s="5">
        <f t="shared" si="65"/>
        <v>193463.79463532908</v>
      </c>
      <c r="DT20" s="32">
        <f>DS20/((1+InputData!$C$7)^(GenSurg!$B20-GenSurg!$B$7))</f>
        <v>131739.43019709233</v>
      </c>
      <c r="DU20" s="5">
        <f t="shared" si="120"/>
        <v>649194.21254897874</v>
      </c>
      <c r="DV20" s="5"/>
      <c r="DW20" s="32" t="s">
        <v>141</v>
      </c>
      <c r="DX20" s="133">
        <f t="shared" si="141"/>
        <v>189834.92358242025</v>
      </c>
      <c r="DY20" s="5">
        <f>DX20*InputData!$C$6</f>
        <v>11788.748754468297</v>
      </c>
      <c r="DZ20" s="133">
        <f t="shared" si="142"/>
        <v>0</v>
      </c>
      <c r="EA20" s="32">
        <f t="shared" si="143"/>
        <v>29148.379963889372</v>
      </c>
      <c r="EB20" s="32">
        <f t="shared" si="144"/>
        <v>172475.29237299919</v>
      </c>
      <c r="EC20" s="32">
        <f>EA20/((1+InputData!$C$3)^(GenSurg!$B20-GenSurg!$B$7))</f>
        <v>22532.645765478293</v>
      </c>
      <c r="ED20" s="5">
        <f t="shared" si="69"/>
        <v>193463.79463532908</v>
      </c>
      <c r="EE20" s="32">
        <f>ED20/((1+InputData!$C$7)^(GenSurg!$B20-GenSurg!$B$7))</f>
        <v>131739.43019709233</v>
      </c>
      <c r="EF20" s="5">
        <f t="shared" si="122"/>
        <v>656937.55347262637</v>
      </c>
      <c r="EG20" s="32"/>
      <c r="EH20" s="130" t="s">
        <v>141</v>
      </c>
      <c r="EI20" s="32">
        <v>0</v>
      </c>
      <c r="EJ20" s="32">
        <f t="shared" si="168"/>
        <v>189713.7369142932</v>
      </c>
      <c r="EK20" s="32">
        <f>(EJ20)*InputData!$C$6</f>
        <v>11781.223062377609</v>
      </c>
      <c r="EL20" s="32">
        <f t="shared" si="167"/>
        <v>164229.17781916869</v>
      </c>
      <c r="EM20" s="32">
        <f>EM19*(1+InputData!$C$8)</f>
        <v>14863.540183914123</v>
      </c>
      <c r="EN20" s="32">
        <f t="shared" si="162"/>
        <v>37265.782157502101</v>
      </c>
      <c r="EO20" s="32">
        <f>AW20/((1+InputData!$C$3)^(GenSurg!$B20-GenSurg!$B$7))</f>
        <v>312987.93348712032</v>
      </c>
      <c r="EP20" s="32">
        <f>AX20/((1+InputData!$C$3)^(GenSurg!$B20-GenSurg!$B$7))</f>
        <v>0</v>
      </c>
      <c r="EQ20" s="32">
        <v>79852.89</v>
      </c>
      <c r="ER20" s="32">
        <v>10055.09</v>
      </c>
      <c r="ES20" s="32">
        <v>0</v>
      </c>
      <c r="ET20" s="43">
        <f t="shared" si="136"/>
        <v>0.28725701658303632</v>
      </c>
      <c r="EU20" s="32">
        <f t="shared" si="70"/>
        <v>223079.95348712031</v>
      </c>
      <c r="EV20" s="32">
        <f>EN20/((1+InputData!$C$3)^(GenSurg!$B20-GenSurg!$B$7))</f>
        <v>28807.661680297122</v>
      </c>
      <c r="EW20" s="32">
        <f t="shared" si="71"/>
        <v>194272.2918068232</v>
      </c>
      <c r="EX20" s="32">
        <f>EW20/((1+InputData!$C$7)^(GenSurg!$B20-GenSurg!$B$7))</f>
        <v>132289.97742940194</v>
      </c>
      <c r="EY20" s="5">
        <f t="shared" si="124"/>
        <v>736578.03275195614</v>
      </c>
      <c r="EZ20" s="79"/>
      <c r="FA20" s="32">
        <f t="shared" si="163"/>
        <v>182045.07418997641</v>
      </c>
      <c r="FB20" s="32">
        <f>FA20*InputData!$C$6</f>
        <v>11304.999107197536</v>
      </c>
      <c r="FC20" s="32">
        <f t="shared" si="155"/>
        <v>156084.29113967184</v>
      </c>
      <c r="FD20" s="32">
        <f>MIN($EJ$16*InputData!$C$6/(1-(1+InputData!$C$6)^(-10)), FA20+FB20)</f>
        <v>37265.782157502101</v>
      </c>
      <c r="FE20" s="32">
        <f>FD20/((1+InputData!$C$3)^(GenSurg!$B20-GenSurg!$B$7))</f>
        <v>28807.661680297122</v>
      </c>
      <c r="FF20" s="5">
        <f t="shared" si="75"/>
        <v>194272.2918068232</v>
      </c>
      <c r="FG20" s="32">
        <f>FF20/((1+InputData!$C$7)^(GenSurg!$B20-GenSurg!$B$7))</f>
        <v>132289.97742940194</v>
      </c>
      <c r="FH20" s="5">
        <f t="shared" si="125"/>
        <v>732439.87847497</v>
      </c>
      <c r="FI20" s="79"/>
      <c r="FJ20" s="32">
        <f t="shared" si="164"/>
        <v>250484.08322898825</v>
      </c>
      <c r="FK20" s="32">
        <f>FJ20*InputData!$C$6</f>
        <v>15555.061568520172</v>
      </c>
      <c r="FL20" s="32">
        <f t="shared" si="156"/>
        <v>244369.27745366571</v>
      </c>
      <c r="FM20" s="32">
        <f>MIN($EJ$16*InputData!$C$6/(1-(1+InputData!$C$6)^(-25)), FJ20+FK20)</f>
        <v>21669.867343842721</v>
      </c>
      <c r="FN20" s="32">
        <f>FM20/((1+InputData!$C$3)^(GenSurg!$B20-GenSurg!$B$7))</f>
        <v>16751.512270960571</v>
      </c>
      <c r="FO20" s="5">
        <f t="shared" si="79"/>
        <v>206328.44121615973</v>
      </c>
      <c r="FP20" s="32">
        <f>FO20/((1+InputData!$C$7)^(GenSurg!$B20-GenSurg!$B$7))</f>
        <v>140499.62852484759</v>
      </c>
      <c r="FQ20" s="5">
        <f t="shared" si="126"/>
        <v>777857.7858217404</v>
      </c>
      <c r="FR20" s="79"/>
      <c r="FS20" s="32">
        <f t="shared" si="165"/>
        <v>182045.07418997641</v>
      </c>
      <c r="FT20" s="32">
        <f>FS20*InputData!$C$6</f>
        <v>11304.999107197536</v>
      </c>
      <c r="FU20" s="32">
        <f t="shared" si="157"/>
        <v>156084.29113967184</v>
      </c>
      <c r="FV20" s="5">
        <f t="shared" si="166"/>
        <v>37265.782157502101</v>
      </c>
      <c r="FW20" s="32">
        <f>FV20/((1+InputData!$C$3)^(GenSurg!$B20-GenSurg!$B$7))</f>
        <v>28807.661680297122</v>
      </c>
      <c r="FX20" s="5">
        <f t="shared" si="83"/>
        <v>194272.2918068232</v>
      </c>
      <c r="FY20" s="32">
        <f>FX20/((1+InputData!$C$7)^(GenSurg!$B20-GenSurg!$B$7))</f>
        <v>132289.97742940194</v>
      </c>
      <c r="FZ20" s="5">
        <f t="shared" si="127"/>
        <v>732439.87847497</v>
      </c>
      <c r="GC20" s="3">
        <f t="shared" si="1"/>
        <v>10</v>
      </c>
      <c r="GD20" s="4" t="str">
        <f t="shared" si="2"/>
        <v>Service (O4&gt;8 = (BP+BAH+BAS+VSP+BCPSP)*12)+ASP</v>
      </c>
      <c r="GE20" s="5">
        <f t="shared" si="3"/>
        <v>102317.52</v>
      </c>
      <c r="GF20" s="5">
        <f t="shared" si="4"/>
        <v>20659.199999999997</v>
      </c>
      <c r="GG20" s="5">
        <f t="shared" si="5"/>
        <v>122976.72</v>
      </c>
      <c r="GH20" s="5">
        <f t="shared" si="6"/>
        <v>90017.227216707513</v>
      </c>
      <c r="GI20" s="5">
        <f t="shared" si="7"/>
        <v>18175.615481252906</v>
      </c>
      <c r="GJ20" s="32">
        <f>IF(GH20-InputData!$C$158-InputData!$C$159&gt;=0,GH20-InputData!$C$158-InputData!$C$159,0)</f>
        <v>90017.227216707513</v>
      </c>
      <c r="GK20" s="32">
        <f>IF(GH20-IF(GH20&lt;=InputData!$C$146,InputData!$C$145,0)-MAX(InputData!$C$144,GQ20)&gt;=0,GH20-IF(GH20&lt;=InputData!$C$146,InputData!$C$145,0)-MAX(InputData!$C$144,GQ20),0)</f>
        <v>80017.227216707513</v>
      </c>
      <c r="GL20" s="32">
        <f>IF(GK20&lt;0,"Error",IF(GK20&lt;=InputData!$B$170,InputData!$C$170*GK20,IF(GK20&lt;=InputData!$B$171,InputData!$D$170+InputData!$C$171*(GK20-InputData!$B$170),IF(GK20&lt;=InputData!$B$172,InputData!$D$171+InputData!$C$172*(GK20-InputData!$B$171),IF(GK20&lt;=InputData!$B$173,InputData!$D$172+InputData!$C$173*(GK20-InputData!$B$172),IF(GK20&lt;=InputData!$B$174,InputData!$D$173+InputData!$C$174*(GK20-InputData!$B$173),IF(GK20&lt;=InputData!$B$175,InputData!$D$174+InputData!$C$175*(GK20-InputData!$B$174),InputData!$D$175+InputData!$C$176*(GK20-InputData!$B$175))))))))</f>
        <v>15933.056804176878</v>
      </c>
      <c r="GM20" s="32">
        <f>IF(GH20&lt;=InputData!$C$150,InputData!$C$152,IF(GH20&lt;InputData!$C$151,IF(InputData!$C$152-0.25*IF(GH20-InputData!$C$150&lt;=0,0,GH20-InputData!$C$150)&lt;=0,0,InputData!$C$152-0.25*IF(GH20-InputData!$C$150&lt;=0,0,GH20-InputData!$C$150)),0))</f>
        <v>51900</v>
      </c>
      <c r="GN20" s="32">
        <f>IF(GH20-GM20&lt;=0,0,IF(GH20-GM20&lt;=InputData!$C$153,InputData!$C$154*(GH20-GM20),InputData!$C$155*(GH20-GM20)-InputData!$D$154))</f>
        <v>9910.4790763439541</v>
      </c>
      <c r="GO20" s="32">
        <f t="shared" si="84"/>
        <v>15933.056804176878</v>
      </c>
      <c r="GP20" s="32">
        <f>IF(GH20&gt;=0,IF(GH20&lt;=InputData!$C$148,InputData!$C$147*GH20,InputData!$C$147*InputData!$C$148)+InputData!$C$149*GH20,0)</f>
        <v>6886.317882078125</v>
      </c>
      <c r="GQ20" s="32">
        <f>IF(GJ20&lt;0,0,IF(GJ20&lt;=InputData!$B$163,InputData!$C$163*GJ20,IF(GJ20&lt;=InputData!$B$164,InputData!$D$163+InputData!$C$164*(GJ20-InputData!$B$163),IF(GJ20&lt;=InputData!$B$165,InputData!$D$164+InputData!$C$165*(GJ20-InputData!$B$164),InputData!$D$165+InputData!$C$166*(GJ20-InputData!$B$165)))))</f>
        <v>0</v>
      </c>
      <c r="GR20" s="43">
        <f t="shared" si="85"/>
        <v>0.25350008428186344</v>
      </c>
      <c r="GS20" s="43">
        <f t="shared" si="86"/>
        <v>0.21091390259482645</v>
      </c>
      <c r="GT20" s="5">
        <f t="shared" si="87"/>
        <v>85373.468011705409</v>
      </c>
      <c r="GU20" s="32">
        <f>GT20/((1+InputData!$C$7)^(GenSurg!$B20-GenSurg!$B$7))</f>
        <v>58135.17744243551</v>
      </c>
      <c r="GV20" s="32">
        <f t="shared" si="88"/>
        <v>768281.88741084014</v>
      </c>
      <c r="GX20" s="3">
        <f t="shared" si="8"/>
        <v>10</v>
      </c>
      <c r="GY20" s="122" t="str">
        <f t="shared" si="9"/>
        <v>Multi-Year (O4&gt;8 = (BP+BAH+BAS+VSP+BCPSP)*12+ASP)+ISP+MSP</v>
      </c>
      <c r="GZ20" s="5">
        <f t="shared" si="10"/>
        <v>212317.52000000002</v>
      </c>
      <c r="HA20" s="5">
        <f t="shared" si="11"/>
        <v>20659.199999999997</v>
      </c>
      <c r="HB20" s="5">
        <f t="shared" si="12"/>
        <v>232976.72000000003</v>
      </c>
      <c r="HC20" s="5">
        <f t="shared" si="13"/>
        <v>186793.37067520639</v>
      </c>
      <c r="HD20" s="5">
        <f t="shared" si="14"/>
        <v>18175.615481252906</v>
      </c>
      <c r="HE20" s="32">
        <f>IF(HC20-InputData!$C$158-InputData!$C$159&gt;=0,HC20-InputData!$C$158-InputData!$C$159,0)</f>
        <v>186793.37067520639</v>
      </c>
      <c r="HF20" s="32">
        <f>IF(HC20-IF(HC20&lt;=InputData!$C$146,InputData!$C$145,0)-MAX(InputData!$C$144,HL20)&gt;=0,HC20-IF(HC20&lt;=InputData!$C$146,InputData!$C$145,0)-MAX(InputData!$C$144,HL20),0)</f>
        <v>180693.37067520639</v>
      </c>
      <c r="HG20" s="32">
        <f>IF(HF20&lt;0,"Error",IF(HF20&lt;=InputData!$B$170,InputData!$C$170*HF20,IF(HF20&lt;=InputData!$B$171,InputData!$D$170+InputData!$C$171*(HF20-InputData!$B$170),IF(HF20&lt;=InputData!$B$172,InputData!$D$171+InputData!$C$172*(HF20-InputData!$B$171),IF(HF20&lt;=InputData!$B$173,InputData!$D$172+InputData!$C$173*(HF20-InputData!$B$172),IF(HF20&lt;=InputData!$B$174,InputData!$D$173+InputData!$C$174*(HF20-InputData!$B$173),IF(HF20&lt;=InputData!$B$175,InputData!$D$174+InputData!$C$175*(HF20-InputData!$B$174),InputData!$D$175+InputData!$C$176*(HF20-InputData!$B$175))))))))</f>
        <v>43887.393789057794</v>
      </c>
      <c r="HH20" s="32">
        <f>IF(HC20&lt;=InputData!$C$150,InputData!$C$152,IF(HC20&lt;InputData!$C$151,IF(InputData!$C$152-0.25*IF(HC20-InputData!$C$150&lt;=0,0,HC20-InputData!$C$150)&lt;=0,0,InputData!$C$152-0.25*IF(HC20-InputData!$C$150&lt;=0,0,HC20-InputData!$C$150)),0))</f>
        <v>34051.657331198403</v>
      </c>
      <c r="HI20" s="32">
        <f>IF(HC20-HH20&lt;=0,0,IF(HC20-HH20&lt;=InputData!$C$153,InputData!$C$154*(HC20-HH20),InputData!$C$155*(HC20-HH20)-InputData!$D$154))</f>
        <v>39712.84546944208</v>
      </c>
      <c r="HJ20" s="32">
        <f t="shared" si="89"/>
        <v>43887.393789057794</v>
      </c>
      <c r="HK20" s="32">
        <f>IF(HC20&gt;=0,IF(HC20&lt;=InputData!$C$148,InputData!$C$147*HC20,InputData!$C$147*InputData!$C$148)+InputData!$C$149*HC20,0)</f>
        <v>9757.9038747904924</v>
      </c>
      <c r="HL20" s="32">
        <f>IF(HE20&lt;0,0,IF(HE20&lt;=InputData!$B$163,InputData!$C$163*HE20,IF(HE20&lt;=InputData!$B$164,InputData!$D$163+InputData!$C$164*(HE20-InputData!$B$163),IF(HE20&lt;=InputData!$B$165,InputData!$D$164+InputData!$C$165*(HE20-InputData!$B$164),InputData!$D$165+InputData!$C$166*(HE20-InputData!$B$165)))))</f>
        <v>0</v>
      </c>
      <c r="HM20" s="43">
        <f t="shared" si="90"/>
        <v>0.28719058642143119</v>
      </c>
      <c r="HN20" s="43">
        <f t="shared" si="91"/>
        <v>0.26172397429384336</v>
      </c>
      <c r="HO20" s="5">
        <f t="shared" si="92"/>
        <v>151323.68849261099</v>
      </c>
      <c r="HP20" s="32">
        <f>HO20/((1+InputData!$C$7)^(GenSurg!$B20-GenSurg!$B$7))</f>
        <v>103044.06845175369</v>
      </c>
      <c r="HQ20" s="32">
        <f t="shared" si="93"/>
        <v>721067.05610948522</v>
      </c>
      <c r="HS20" s="93">
        <f t="shared" si="94"/>
        <v>10</v>
      </c>
      <c r="HT20" s="5" t="str">
        <f t="shared" si="95"/>
        <v>Service (O4&gt;8 = (BP+BAH+BAS+VSP+BCPSP)*12)+ASP</v>
      </c>
      <c r="HU20" s="5">
        <f t="shared" si="15"/>
        <v>102317.52</v>
      </c>
      <c r="HV20" s="5">
        <f t="shared" si="16"/>
        <v>20659.199999999997</v>
      </c>
      <c r="HW20" s="5">
        <f t="shared" si="17"/>
        <v>122976.72</v>
      </c>
      <c r="HX20" s="5">
        <f t="shared" si="18"/>
        <v>90017.227216707513</v>
      </c>
      <c r="HY20" s="5">
        <f t="shared" si="19"/>
        <v>18175.615481252906</v>
      </c>
      <c r="HZ20" s="32">
        <f>IF(HX20-InputData!$C$158-InputData!$C$159&gt;=0,HX20-InputData!$C$158-InputData!$C$159,0)</f>
        <v>90017.227216707513</v>
      </c>
      <c r="IA20" s="32">
        <f>IF(HX20-IF(HX20&lt;=InputData!$C$146,InputData!$C$145,0)-MAX(InputData!$C$144,IG20)&gt;=0,HX20-IF(HX20&lt;=InputData!$C$146,InputData!$C$145,0)-MAX(InputData!$C$144,IG20),0)</f>
        <v>80017.227216707513</v>
      </c>
      <c r="IB20" s="32">
        <f>IF(IA20&lt;0,"Error",IF(IA20&lt;=InputData!$B$170,InputData!$C$170*IA20,IF(IA20&lt;=InputData!$B$171,InputData!$D$170+InputData!$C$171*(IA20-InputData!$B$170),IF(IA20&lt;=InputData!$B$172,InputData!$D$171+InputData!$C$172*(IA20-InputData!$B$171),IF(IA20&lt;=InputData!$B$173,InputData!$D$172+InputData!$C$173*(IA20-InputData!$B$172),IF(IA20&lt;=InputData!$B$174,InputData!$D$173+InputData!$C$174*(IA20-InputData!$B$173),IF(IA20&lt;=InputData!$B$175,InputData!$D$174+InputData!$C$175*(IA20-InputData!$B$174),InputData!$D$175+InputData!$C$176*(IA20-InputData!$B$175))))))))</f>
        <v>15933.056804176878</v>
      </c>
      <c r="IC20" s="32">
        <f>IF(HX20&lt;=InputData!$C$150,InputData!$C$152,IF(HX20&lt;InputData!$C$151,IF(InputData!$C$152-0.25*IF(HX20-InputData!$C$150&lt;=0,0,HX20-InputData!$C$150)&lt;=0,0,InputData!$C$152-0.25*IF(HX20-InputData!$C$150&lt;=0,0,HX20-InputData!$C$150)),0))</f>
        <v>51900</v>
      </c>
      <c r="ID20" s="32">
        <f>IF(HX20-IC20&lt;=0,0,IF(HX20-IC20&lt;=InputData!$C$153,InputData!$C$154*(HX20-IC20),InputData!$C$155*(HX20-IC20)-InputData!$D$154))</f>
        <v>9910.4790763439541</v>
      </c>
      <c r="IE20" s="32">
        <f t="shared" si="96"/>
        <v>15933.056804176878</v>
      </c>
      <c r="IF20" s="32">
        <f>IF(HX20&gt;=0,IF(HX20&lt;=InputData!$C$148,InputData!$C$147*HX20,InputData!$C$147*InputData!$C$148)+InputData!$C$149*HX20,0)</f>
        <v>6886.317882078125</v>
      </c>
      <c r="IG20" s="32">
        <f>IF(HZ20&lt;0,0,IF(HZ20&lt;=InputData!$B$163,InputData!$C$163*HZ20,IF(HZ20&lt;=InputData!$B$164,InputData!$D$163+InputData!$C$164*(HZ20-InputData!$B$163),IF(HZ20&lt;=InputData!$B$165,InputData!$D$164+InputData!$C$165*(HZ20-InputData!$B$164),InputData!$D$165+InputData!$C$166*(HZ20-InputData!$B$165)))))</f>
        <v>0</v>
      </c>
      <c r="IH20" s="43">
        <f t="shared" si="97"/>
        <v>0.25350008428186344</v>
      </c>
      <c r="II20" s="43">
        <f t="shared" si="98"/>
        <v>0.21091390259482645</v>
      </c>
      <c r="IJ20" s="5">
        <f t="shared" si="20"/>
        <v>85373.468011705409</v>
      </c>
      <c r="IK20" s="32">
        <f>IJ20/((1+InputData!$C$7)^(GenSurg!$B20-GenSurg!$B$7))</f>
        <v>58135.17744243551</v>
      </c>
      <c r="IL20" s="5">
        <f t="shared" si="99"/>
        <v>768281.88741084014</v>
      </c>
      <c r="IN20" s="227"/>
      <c r="IO20" s="53" t="s">
        <v>109</v>
      </c>
      <c r="IP20" s="32">
        <f>MIN(InputData!$C$13+InputData!$E$13*($B20-$B$20),1)*GenSurg!AW20</f>
        <v>364394.93940987351</v>
      </c>
      <c r="IQ20" s="32">
        <f>MIN(InputData!$C$13+InputData!$E$13*($B20-$B$20),1)*GenSurg!AX20</f>
        <v>0</v>
      </c>
      <c r="IR20" s="32">
        <f>MIN(InputData!$C$13+InputData!$E$13*($B20-$B$20),1)*GenSurg!AY20</f>
        <v>364394.93940987351</v>
      </c>
      <c r="IS20" s="32">
        <f>MIN(InputData!$C$13+InputData!$E$13*($B20-$B$20),1)*GenSurg!EO20</f>
        <v>281689.14013840829</v>
      </c>
      <c r="IT20" s="32">
        <f>MIN(InputData!$C$13+InputData!$E$13*($B20-$B$20),1)*GenSurg!EP20</f>
        <v>0</v>
      </c>
      <c r="IU20" s="32">
        <f>IF(IS20-InputData!$C$158-InputData!$C$159&gt;=0,IS20-InputData!$C$158-InputData!$C$159,0)</f>
        <v>281689.14013840829</v>
      </c>
      <c r="IV20" s="32">
        <f>IF(IS20-IF(IS20&lt;=InputData!$C$146,InputData!$C$145,0)-MAX(InputData!$C$144,JB20)&gt;=0,IS20-IF(IS20&lt;=InputData!$C$146,InputData!$C$145,0)-MAX(InputData!$C$144,JB20),0)</f>
        <v>275589.14013840829</v>
      </c>
      <c r="IW20" s="32">
        <f>IF(IV20&lt;0,"Error",IF(IV20&lt;=InputData!$B$170,InputData!$C$170*IV20,IF(IV20&lt;=InputData!$B$171,InputData!$D$170+InputData!$C$171*(IV20-InputData!$B$170),IF(IV20&lt;=InputData!$B$172,InputData!$D$171+InputData!$C$172*(IV20-InputData!$B$171),IF(IV20&lt;=InputData!$B$173,InputData!$D$172+InputData!$C$173*(IV20-InputData!$B$172),IF(IV20&lt;=InputData!$B$174,InputData!$D$173+InputData!$C$174*(IV20-InputData!$B$173),IF(IV20&lt;=InputData!$B$175,InputData!$D$174+InputData!$C$175*(IV20-InputData!$B$174),InputData!$D$175+InputData!$C$176*(IV20-InputData!$B$175))))))))</f>
        <v>75075.166245674744</v>
      </c>
      <c r="IX20" s="32">
        <f>IF(IS20&lt;=InputData!$C$150,InputData!$C$152,IF(IS20&lt;InputData!$C$151,IF(InputData!$C$152-0.25*IF(IS20-InputData!$C$150&lt;=0,0,IS20-InputData!$C$150)&lt;=0,0,InputData!$C$152-0.25*IF(IS20-InputData!$C$150&lt;=0,0,IS20-InputData!$C$150)),0))</f>
        <v>10327.714965397929</v>
      </c>
      <c r="IY20" s="32">
        <f>IF(IS20-IX20&lt;=0,0,IF(IS20-IX20&lt;=InputData!$C$153,InputData!$C$154*(IS20-IX20),InputData!$C$155*(IS20-IX20)-InputData!$D$154))</f>
        <v>72391.199048442897</v>
      </c>
      <c r="IZ20" s="32">
        <f t="shared" si="102"/>
        <v>75075.166245674744</v>
      </c>
      <c r="JA20" s="32">
        <f>IF(IS20&gt;=0,IF(IS20&lt;=InputData!$C$148,InputData!$C$147*IS20,InputData!$C$147*InputData!$C$148)+InputData!$C$149*IS20,0)</f>
        <v>11133.892532006921</v>
      </c>
      <c r="JB20" s="32">
        <f>IF(IU20&lt;0,0,IF(IU20&lt;=InputData!$B$163,InputData!$C$163*IU20,IF(IU20&lt;=InputData!$B$164,InputData!$D$163+InputData!$C$164*(IU20-InputData!$B$163),IF(IU20&lt;=InputData!$B$165,InputData!$D$164+InputData!$C$165*(IU20-InputData!$B$164),InputData!$D$165+InputData!$C$166*(IU20-InputData!$B$165)))))</f>
        <v>0</v>
      </c>
      <c r="JC20" s="43">
        <f t="shared" si="103"/>
        <v>0.3060432458820484</v>
      </c>
      <c r="JD20" s="43">
        <f t="shared" si="104"/>
        <v>0.3060432458820484</v>
      </c>
      <c r="JE20" s="5">
        <f t="shared" si="105"/>
        <v>195480.08136072662</v>
      </c>
      <c r="JF20" s="32">
        <f>JE20/((1+InputData!$C$7)^(GenSurg!$B20-GenSurg!$B$7))</f>
        <v>133112.42334456224</v>
      </c>
      <c r="JG20" s="5">
        <f t="shared" si="106"/>
        <v>751135.41100229369</v>
      </c>
      <c r="JI20" s="41" t="str">
        <f t="shared" si="26"/>
        <v>Private Practice</v>
      </c>
      <c r="JJ20" s="5">
        <f t="shared" si="27"/>
        <v>404883.26601097058</v>
      </c>
      <c r="JK20" s="32">
        <v>0</v>
      </c>
      <c r="JL20" s="32">
        <f t="shared" si="108"/>
        <v>404883.26601097058</v>
      </c>
      <c r="JM20" s="32">
        <f>JM19*(1+InputData!$C$8)</f>
        <v>14863.540183914123</v>
      </c>
      <c r="JN20" s="32">
        <f>JJ20/((1+InputData!$C$3)^(GenSurg!$B20-GenSurg!$B$7))</f>
        <v>312987.93348712032</v>
      </c>
      <c r="JO20" s="32">
        <f>JK20/((1+InputData!$C$3)^(GenSurg!$B20-GenSurg!$B$7))</f>
        <v>0</v>
      </c>
      <c r="JP20" s="32" t="s">
        <v>141</v>
      </c>
      <c r="JQ20" s="32">
        <v>0</v>
      </c>
      <c r="JR20" s="32">
        <f t="shared" si="158"/>
        <v>0</v>
      </c>
      <c r="JS20" s="32">
        <f>(JR20)*InputData!$C$6</f>
        <v>0</v>
      </c>
      <c r="JT20" s="32">
        <f>MIN($BE$16*InputData!$C$6/(1-(1+InputData!$C$6)^(-10)), JR20+JS20)</f>
        <v>0</v>
      </c>
      <c r="JU20" s="32">
        <f t="shared" si="145"/>
        <v>0</v>
      </c>
      <c r="JV20" s="32">
        <f>JT20/((1+InputData!$C$3)^(GenSurg!$B20-GenSurg!$B$7))</f>
        <v>0</v>
      </c>
      <c r="JW20" s="32">
        <f>IF(JN20-InputData!$C$158-InputData!$C$159&gt;=0,JN20-InputData!$C$158-InputData!$C$159,0)</f>
        <v>312987.93348712032</v>
      </c>
      <c r="JX20" s="32">
        <f>IF(JN20-IF(JN20&lt;=InputData!$C$146,InputData!$C$145,0)-MAX(InputData!$C$144,KD20)&gt;=0,JN20-IF(JN20&lt;=InputData!$C$146,InputData!$C$145,0)-MAX(InputData!$C$144,KD20),0)</f>
        <v>306887.93348712032</v>
      </c>
      <c r="JY20" s="32">
        <f>IF(JX20&lt;0,"Error",IF(JX20&lt;=InputData!$B$170,InputData!$C$170*JX20,IF(JX20&lt;=InputData!$B$171,InputData!$D$170+InputData!$C$171*(JX20-InputData!$B$170),IF(JX20&lt;=InputData!$B$172,InputData!$D$171+InputData!$C$172*(JX20-InputData!$B$171),IF(JX20&lt;=InputData!$B$173,InputData!$D$172+InputData!$C$173*(JX20-InputData!$B$172),IF(JX20&lt;=InputData!$B$174,InputData!$D$173+InputData!$C$174*(JX20-InputData!$B$173),IF(JX20&lt;=InputData!$B$175,InputData!$D$174+InputData!$C$175*(JX20-InputData!$B$174),InputData!$D$175+InputData!$C$176*(JX20-InputData!$B$175))))))))</f>
        <v>85403.768050749699</v>
      </c>
      <c r="JZ20" s="32">
        <f>IF(JN20&lt;=InputData!$C$150,InputData!$C$152,IF(JN20&lt;InputData!$C$151,IF(InputData!$C$152-0.25*IF(JN20-InputData!$C$150&lt;=0,0,JN20-InputData!$C$150)&lt;=0,0,InputData!$C$152-0.25*IF(JN20-InputData!$C$150&lt;=0,0,JN20-InputData!$C$150)),0))</f>
        <v>2503.0166282199207</v>
      </c>
      <c r="KA20" s="32">
        <f>IF(JN20-JZ20&lt;=0,0,IF(JN20-JZ20&lt;=InputData!$C$153,InputData!$C$154*(JN20-JZ20),InputData!$C$155*(JN20-JZ20)-InputData!$D$154))</f>
        <v>83345.776720492126</v>
      </c>
      <c r="KB20" s="32">
        <f t="shared" si="109"/>
        <v>85403.768050749699</v>
      </c>
      <c r="KC20" s="32">
        <f>IF(JN20&gt;=0,IF(JN20&lt;=InputData!$C$148,InputData!$C$147*JN20,InputData!$C$147*InputData!$C$148)+InputData!$C$149*JN20,0)</f>
        <v>11587.725035563244</v>
      </c>
      <c r="KD20" s="32">
        <f>IF(JW20&lt;0,0,IF(JW20&lt;=InputData!$B$163,InputData!$C$163*JW20,IF(JW20&lt;=InputData!$B$164,InputData!$D$163+InputData!$C$164*(JW20-InputData!$B$163),IF(JW20&lt;=InputData!$B$165,InputData!$D$164+InputData!$C$165*(JW20-InputData!$B$164),InputData!$D$165+InputData!$C$166*(JW20-InputData!$B$165)))))</f>
        <v>0</v>
      </c>
      <c r="KE20" s="43">
        <f t="shared" si="28"/>
        <v>0.30988892129384349</v>
      </c>
      <c r="KF20" s="32">
        <f t="shared" si="29"/>
        <v>215996.44040080736</v>
      </c>
      <c r="KG20" s="32">
        <f t="shared" si="110"/>
        <v>215996.44040080736</v>
      </c>
      <c r="KH20" s="32">
        <f>KG20/((1+InputData!$C$7)^(GenSurg!$B20-GenSurg!$B$7))</f>
        <v>147083.06552468636</v>
      </c>
      <c r="KI20" s="5">
        <f t="shared" si="129"/>
        <v>948176.56377176929</v>
      </c>
    </row>
    <row r="21" spans="1:295" ht="14.45" x14ac:dyDescent="0.3">
      <c r="A21" s="4">
        <v>2027</v>
      </c>
      <c r="B21" s="51">
        <v>15</v>
      </c>
      <c r="C21" s="4"/>
      <c r="D21" s="3">
        <v>11</v>
      </c>
      <c r="E21" s="4" t="s">
        <v>213</v>
      </c>
      <c r="F21" s="5">
        <f>InputData!$I$23*12</f>
        <v>78332.399999999994</v>
      </c>
      <c r="G21" s="32">
        <f>(InputData!$I$23+InputData!$G$45+InputData!$D$50)*12+InputData!$J$50</f>
        <v>107832.23999999999</v>
      </c>
      <c r="H21" s="32">
        <f>(InputData!$C$34+InputData!$C$40)*12</f>
        <v>20659.199999999997</v>
      </c>
      <c r="I21" s="32">
        <f t="shared" si="30"/>
        <v>128491.43999999999</v>
      </c>
      <c r="J21" s="32">
        <f>G21*((1+InputData!$C$5)/(1+InputData!$C$3))^(GenSurg!$B21-GenSurg!$B$7)</f>
        <v>93938.896710946457</v>
      </c>
      <c r="K21" s="32">
        <f>H21*((1+InputData!$C$5)/(1+InputData!$C$3))^(GenSurg!$B21-GenSurg!$B$7)</f>
        <v>17997.423172613169</v>
      </c>
      <c r="L21" s="32">
        <f>IF(J21-InputData!$C$158-InputData!$C$159&gt;=0,J21-InputData!$C$158-InputData!$C$159,0)</f>
        <v>93938.896710946457</v>
      </c>
      <c r="M21" s="32">
        <f>IF(J21-IF(J21&lt;=InputData!$C$146,InputData!$C$145,0)-MAX(InputData!$C$144,S21)&gt;=0,J21-IF(J21&lt;=InputData!$C$146,InputData!$C$145,0)-MAX(InputData!$C$144,S21),0)</f>
        <v>83938.896710946457</v>
      </c>
      <c r="N21" s="32">
        <f>IF(M21&lt;0,"Error",IF(M21&lt;=InputData!$B$170,InputData!$C$170*M21,IF(M21&lt;=InputData!$B$171,InputData!$D$170+InputData!$C$171*(M21-InputData!$B$170),IF(M21&lt;=InputData!$B$172,InputData!$D$171+InputData!$C$172*(M21-InputData!$B$171),IF(M21&lt;=InputData!$B$173,InputData!$D$172+InputData!$C$173*(M21-InputData!$B$172),IF(M21&lt;=InputData!$B$174,InputData!$D$173+InputData!$C$174*(M21-InputData!$B$173),IF(M21&lt;=InputData!$B$175,InputData!$D$174+InputData!$C$175*(M21-InputData!$B$174),InputData!$D$175+InputData!$C$176*(M21-InputData!$B$175))))))))</f>
        <v>16913.474177736614</v>
      </c>
      <c r="O21" s="32">
        <f>IF(J21&lt;=InputData!$C$150,InputData!$C$152,IF(J21&lt;InputData!$C$151,IF(InputData!$C$152-0.25*IF(J21-InputData!$C$150&lt;=0,0,J21-InputData!$C$150)&lt;=0,0,InputData!$C$152-0.25*IF(J21-InputData!$C$150&lt;=0,0,J21-InputData!$C$150)),0))</f>
        <v>51900</v>
      </c>
      <c r="P21" s="32">
        <f>IF(J21-O21&lt;=0,0,IF(J21-O21&lt;=InputData!$C$153,InputData!$C$154*(J21-O21),InputData!$C$155*(J21-O21)-InputData!$D$154))</f>
        <v>10930.11314484608</v>
      </c>
      <c r="Q21" s="32">
        <f t="shared" si="31"/>
        <v>16913.474177736614</v>
      </c>
      <c r="R21" s="32">
        <f>IF(J21&gt;=0,IF(J21&lt;=InputData!$C$148,InputData!$C$147*J21,InputData!$C$147*InputData!$C$148)+InputData!$C$149*J21,0)</f>
        <v>7186.3255983874042</v>
      </c>
      <c r="S21" s="32">
        <f>IF(L21&lt;0,0,IF(L21&lt;=InputData!$B$163,InputData!$C$163*L21,IF(L21&lt;=InputData!$B$164,InputData!$D$163+InputData!$C$164*(L21-InputData!$B$163),IF(L21&lt;=InputData!$B$165,InputData!$D$164+InputData!$C$165*(L21-InputData!$B$164),InputData!$D$165+InputData!$C$166*(L21-InputData!$B$165)))))</f>
        <v>0</v>
      </c>
      <c r="T21" s="43">
        <f t="shared" si="32"/>
        <v>0.2565476136075987</v>
      </c>
      <c r="U21" s="43">
        <f t="shared" si="33"/>
        <v>0.2152991969111861</v>
      </c>
      <c r="V21" s="5">
        <f t="shared" si="34"/>
        <v>87836.520107435616</v>
      </c>
      <c r="W21" s="32">
        <f>V21/((1+InputData!$C$7)^(GenSurg!$B21-GenSurg!$B$7))</f>
        <v>58070.287444170863</v>
      </c>
      <c r="X21" s="5">
        <f t="shared" si="111"/>
        <v>826352.17485501105</v>
      </c>
      <c r="Y21" s="53"/>
      <c r="Z21" s="3">
        <v>11</v>
      </c>
      <c r="AA21" s="97" t="s">
        <v>262</v>
      </c>
      <c r="AB21" s="5">
        <f t="shared" si="133"/>
        <v>78332.399999999994</v>
      </c>
      <c r="AC21" s="32">
        <f>G21+InputData!$D$58+InputData!$J$58</f>
        <v>217832.24</v>
      </c>
      <c r="AD21" s="32">
        <f t="shared" si="169"/>
        <v>20659.199999999997</v>
      </c>
      <c r="AE21" s="32">
        <f t="shared" si="35"/>
        <v>238491.44</v>
      </c>
      <c r="AF21" s="5">
        <f>AC21*((1+InputData!$C$5)/(1+InputData!$C$3))^(GenSurg!$B21-GenSurg!$B$7)</f>
        <v>189766.25444926397</v>
      </c>
      <c r="AG21" s="5">
        <f>AD21*((1+InputData!$C$5)/(1+InputData!$C$3))^(GenSurg!$B21-GenSurg!$B$7)</f>
        <v>17997.423172613169</v>
      </c>
      <c r="AH21" s="32">
        <f>IF(AF21-InputData!$C$158-InputData!$C$159&gt;=0,AF21-InputData!$C$158-InputData!$C$159,0)</f>
        <v>189766.25444926397</v>
      </c>
      <c r="AI21" s="32">
        <f>IF(AF21-IF(AF21&lt;=InputData!$C$146,InputData!$C$145,0)-MAX(InputData!$C$144,AO21)&gt;=0,AF21-IF(AF21&lt;=InputData!$C$146,InputData!$C$145,0)-MAX(InputData!$C$144,AO21),0)</f>
        <v>183666.25444926397</v>
      </c>
      <c r="AJ21" s="32">
        <f>IF(AI21&lt;0,"Error",IF(AI21&lt;=InputData!$B$170,InputData!$C$170*AI21,IF(AI21&lt;=InputData!$B$171,InputData!$D$170+InputData!$C$171*(AI21-InputData!$B$170),IF(AI21&lt;=InputData!$B$172,InputData!$D$171+InputData!$C$172*(AI21-InputData!$B$171),IF(AI21&lt;=InputData!$B$173,InputData!$D$172+InputData!$C$173*(AI21-InputData!$B$172),IF(AI21&lt;=InputData!$B$174,InputData!$D$173+InputData!$C$174*(AI21-InputData!$B$173),IF(AI21&lt;=InputData!$B$175,InputData!$D$174+InputData!$C$175*(AI21-InputData!$B$174),InputData!$D$175+InputData!$C$176*(AI21-InputData!$B$175))))))))</f>
        <v>44740.613968257108</v>
      </c>
      <c r="AK21" s="32">
        <f>IF(AF21&lt;=InputData!$C$150,InputData!$C$152,IF(AF21&lt;InputData!$C$151,IF(InputData!$C$152-0.25*IF(AF21-InputData!$C$150&lt;=0,0,AF21-InputData!$C$150)&lt;=0,0,InputData!$C$152-0.25*IF(AF21-InputData!$C$150&lt;=0,0,AF21-InputData!$C$150)),0))</f>
        <v>33308.436387684007</v>
      </c>
      <c r="AL21" s="32">
        <f>IF(AF21-AK21&lt;=0,0,IF(AF21-AK21&lt;=InputData!$C$153,InputData!$C$154*(AF21-AK21),InputData!$C$155*(AF21-AK21)-InputData!$D$154))</f>
        <v>40679.032696010785</v>
      </c>
      <c r="AM21" s="32">
        <f t="shared" si="36"/>
        <v>44740.613968257108</v>
      </c>
      <c r="AN21" s="32">
        <f>IF(AF21&gt;=0,IF(AF21&lt;=InputData!$C$148,InputData!$C$147*AF21,InputData!$C$147*InputData!$C$148)+InputData!$C$149*AF21,0)</f>
        <v>9801.0106895143272</v>
      </c>
      <c r="AO21" s="32">
        <f>IF(AH21&lt;0,0,IF(AH21&lt;=InputData!$B$163,InputData!$C$163*AH21,IF(AH21&lt;=InputData!$B$164,InputData!$D$163+InputData!$C$164*(AH21-InputData!$B$163),IF(AH21&lt;=InputData!$B$165,InputData!$D$164+InputData!$C$165*(AH21-InputData!$B$164),InputData!$D$165+InputData!$C$166*(AH21-InputData!$B$165)))))</f>
        <v>0</v>
      </c>
      <c r="AP21" s="43">
        <f t="shared" si="37"/>
        <v>0.28741477148327083</v>
      </c>
      <c r="AQ21" s="43">
        <f t="shared" si="38"/>
        <v>0.26251761271301399</v>
      </c>
      <c r="AR21" s="5">
        <f t="shared" si="39"/>
        <v>153222.05296410568</v>
      </c>
      <c r="AS21" s="32">
        <f>AR21/((1+InputData!$C$7)^(GenSurg!$B21-GenSurg!$B$7))</f>
        <v>101297.82745865382</v>
      </c>
      <c r="AT21" s="5">
        <f t="shared" si="112"/>
        <v>822364.88356813905</v>
      </c>
      <c r="AU21" s="53"/>
      <c r="AV21" s="41" t="s">
        <v>109</v>
      </c>
      <c r="AW21" s="32">
        <f>$AW$17*(1+InputData!$C$3+InputData!$C$4)^(GenSurg!$B21-GenSurg!$B$17)</f>
        <v>417029.76399129967</v>
      </c>
      <c r="AX21" s="32">
        <v>0</v>
      </c>
      <c r="AY21" s="32">
        <f t="shared" si="41"/>
        <v>417029.76399129967</v>
      </c>
      <c r="AZ21" s="32">
        <f>AZ20*(1+InputData!$C$8)</f>
        <v>15160.810987592406</v>
      </c>
      <c r="BA21" s="32">
        <f>AW21/((1+InputData!$C$3)^(GenSurg!$B21-GenSurg!$B$7))</f>
        <v>316056.44263895479</v>
      </c>
      <c r="BB21" s="32">
        <f>AX21/((1+InputData!$C$3)^(GenSurg!$B21-GenSurg!$B$7))</f>
        <v>0</v>
      </c>
      <c r="BC21" s="32" t="s">
        <v>141</v>
      </c>
      <c r="BD21" s="32">
        <v>0</v>
      </c>
      <c r="BE21" s="32">
        <f t="shared" si="146"/>
        <v>156202.03811843327</v>
      </c>
      <c r="BF21" s="32">
        <f>(BE21)*InputData!$C$6</f>
        <v>9700.1465671547066</v>
      </c>
      <c r="BG21" s="32">
        <f>MIN($BE$16*InputData!$C$6/(1-(1+InputData!$C$6)^(-10)), BE21+BF21)</f>
        <v>37293.894744798265</v>
      </c>
      <c r="BH21" s="32">
        <f t="shared" si="137"/>
        <v>128608.28994078971</v>
      </c>
      <c r="BI21" s="32">
        <f>BG21/((1+InputData!$C$3)^(GenSurg!$B21-GenSurg!$B$7))</f>
        <v>28264.111396707063</v>
      </c>
      <c r="BJ21" s="32">
        <f>IF(BA21-InputData!$C$158-InputData!$C$159&gt;=0,BA21-InputData!$C$158-InputData!$C$159,0)</f>
        <v>316056.44263895479</v>
      </c>
      <c r="BK21" s="32">
        <f>IF(BA21-IF(BA21&lt;=InputData!$C$146,InputData!$C$145,0)-MAX(InputData!$C$144,BQ21)&gt;=0,BA21-IF(BA21&lt;=InputData!$C$146,InputData!$C$145,0)-MAX(InputData!$C$144,BQ21),0)</f>
        <v>309956.44263895479</v>
      </c>
      <c r="BL21" s="32">
        <f>IF(BK21&lt;0,"Error",IF(BK21&lt;=InputData!$B$170,InputData!$C$170*BK21,IF(BK21&lt;=InputData!$B$171,InputData!$D$170+InputData!$C$171*(BK21-InputData!$B$170),IF(BK21&lt;=InputData!$B$172,InputData!$D$171+InputData!$C$172*(BK21-InputData!$B$171),IF(BK21&lt;=InputData!$B$173,InputData!$D$172+InputData!$C$173*(BK21-InputData!$B$172),IF(BK21&lt;=InputData!$B$174,InputData!$D$173+InputData!$C$174*(BK21-InputData!$B$173),IF(BK21&lt;=InputData!$B$175,InputData!$D$174+InputData!$C$175*(BK21-InputData!$B$174),InputData!$D$175+InputData!$C$176*(BK21-InputData!$B$175))))))))</f>
        <v>86416.376070855084</v>
      </c>
      <c r="BM21" s="32">
        <f>IF(BA21&lt;=InputData!$C$150,InputData!$C$152,IF(BA21&lt;InputData!$C$151,IF(InputData!$C$152-0.25*IF(BA21-InputData!$C$150&lt;=0,0,BA21-InputData!$C$150)&lt;=0,0,InputData!$C$152-0.25*IF(BA21-InputData!$C$150&lt;=0,0,BA21-InputData!$C$150)),0))</f>
        <v>1735.889340261303</v>
      </c>
      <c r="BN21" s="32">
        <f>IF(BA21-BM21&lt;=0,0,IF(BA21-BM21&lt;=InputData!$C$153,InputData!$C$154*(BA21-BM21),InputData!$C$155*(BA21-BM21)-InputData!$D$154))</f>
        <v>84419.754923634187</v>
      </c>
      <c r="BO21" s="32">
        <f t="shared" si="42"/>
        <v>86416.376070855084</v>
      </c>
      <c r="BP21" s="32">
        <f>IF(BA21&gt;=0,IF(BA21&lt;=InputData!$C$148,InputData!$C$147*BA21,InputData!$C$147*InputData!$C$148)+InputData!$C$149*BA21,0)</f>
        <v>11632.218418264845</v>
      </c>
      <c r="BQ21" s="32">
        <f>IF(BJ21&lt;0,0,IF(BJ21&lt;=InputData!$B$163,InputData!$C$163*BJ21,IF(BJ21&lt;=InputData!$B$164,InputData!$D$163+InputData!$C$164*(BJ21-InputData!$B$163),IF(BJ21&lt;=InputData!$B$165,InputData!$D$164+InputData!$C$165*(BJ21-InputData!$B$164),InputData!$D$165+InputData!$C$166*(BJ21-InputData!$B$165)))))</f>
        <v>0</v>
      </c>
      <c r="BR21" s="43">
        <f t="shared" si="43"/>
        <v>0.31022495118419452</v>
      </c>
      <c r="BS21" s="32">
        <f t="shared" si="44"/>
        <v>218007.84814983484</v>
      </c>
      <c r="BT21" s="32">
        <f t="shared" si="45"/>
        <v>189743.73675312777</v>
      </c>
      <c r="BU21" s="32">
        <f>BT21/((1+InputData!$C$7)^(GenSurg!$B21-GenSurg!$B$7))</f>
        <v>125442.96291005354</v>
      </c>
      <c r="BV21" s="5">
        <f t="shared" si="114"/>
        <v>774146.09946589032</v>
      </c>
      <c r="BW21" s="5"/>
      <c r="BX21" s="32" t="s">
        <v>141</v>
      </c>
      <c r="BY21" s="5">
        <f t="shared" si="147"/>
        <v>244553.62492330646</v>
      </c>
      <c r="BZ21" s="32">
        <f>(BY21)*InputData!$C$6</f>
        <v>15186.780107737331</v>
      </c>
      <c r="CA21" s="32">
        <f>MIN($BY$16*InputData!$C$6/(1-(1+InputData!$C$6)^(-25)), BY21+BZ21)</f>
        <v>21686.214673809533</v>
      </c>
      <c r="CB21" s="32">
        <f t="shared" si="148"/>
        <v>238054.19035723427</v>
      </c>
      <c r="CC21" s="32">
        <f>CA21/((1+InputData!$C$3)^(GenSurg!$B21-GenSurg!$B$7))</f>
        <v>16435.440479140325</v>
      </c>
      <c r="CD21" s="5">
        <f t="shared" si="49"/>
        <v>201572.40767069452</v>
      </c>
      <c r="CE21" s="32">
        <f>CD21/((1+InputData!$C$7)^(GenSurg!$B21-GenSurg!$B$7))</f>
        <v>133263.10787282579</v>
      </c>
      <c r="CF21" s="5">
        <f t="shared" si="115"/>
        <v>827418.41416873795</v>
      </c>
      <c r="CG21" s="5"/>
      <c r="CH21" s="32" t="s">
        <v>141</v>
      </c>
      <c r="CI21" s="5" t="e">
        <f t="shared" si="149"/>
        <v>#VALUE!</v>
      </c>
      <c r="CJ21" s="32" t="e">
        <f>(CI21)*InputData!$C$6</f>
        <v>#VALUE!</v>
      </c>
      <c r="CK21" s="5" t="str">
        <f t="shared" si="159"/>
        <v>DNQ</v>
      </c>
      <c r="CL21" s="32" t="e">
        <f t="shared" si="150"/>
        <v>#VALUE!</v>
      </c>
      <c r="CM21" s="32" t="e">
        <f>CK21/((1+InputData!$C$3)^(GenSurg!$B21-GenSurg!$B$7))</f>
        <v>#VALUE!</v>
      </c>
      <c r="CN21" s="5" t="e">
        <f t="shared" si="53"/>
        <v>#VALUE!</v>
      </c>
      <c r="CO21" s="32" t="e">
        <f>CN21/((1+InputData!$C$7)^(GenSurg!$B21-GenSurg!$B$7))</f>
        <v>#VALUE!</v>
      </c>
      <c r="CP21" s="5" t="e">
        <f t="shared" si="116"/>
        <v>#VALUE!</v>
      </c>
      <c r="CQ21" s="5"/>
      <c r="CR21" s="32" t="s">
        <v>141</v>
      </c>
      <c r="CS21" s="5">
        <f t="shared" si="160"/>
        <v>164477.95128098316</v>
      </c>
      <c r="CT21" s="32">
        <f>(CS21)*InputData!$C$6</f>
        <v>10214.080774549055</v>
      </c>
      <c r="CU21" s="32">
        <f t="shared" si="161"/>
        <v>37293.894744798265</v>
      </c>
      <c r="CV21" s="32">
        <f t="shared" si="152"/>
        <v>137398.13731073396</v>
      </c>
      <c r="CW21" s="32">
        <f>CU21/((1+InputData!$C$3)^(GenSurg!$B21-GenSurg!$B$7))</f>
        <v>28264.111396707063</v>
      </c>
      <c r="CX21" s="5">
        <f t="shared" si="57"/>
        <v>189743.73675312777</v>
      </c>
      <c r="CY21" s="32">
        <f>CX21/((1+InputData!$C$7)^(GenSurg!$B21-GenSurg!$B$7))</f>
        <v>125442.96291005354</v>
      </c>
      <c r="CZ21" s="5">
        <f t="shared" si="117"/>
        <v>778351.32389326522</v>
      </c>
      <c r="DA21" s="5"/>
      <c r="DB21" s="32" t="s">
        <v>141</v>
      </c>
      <c r="DC21" s="5">
        <f t="shared" si="138"/>
        <v>13722.050637364588</v>
      </c>
      <c r="DD21" s="5">
        <f>DC21*InputData!$C$6</f>
        <v>852.13934458034089</v>
      </c>
      <c r="DE21" s="32">
        <f t="shared" si="139"/>
        <v>14574.189981944928</v>
      </c>
      <c r="DF21" s="32">
        <f t="shared" si="140"/>
        <v>0</v>
      </c>
      <c r="DG21" s="32">
        <f>DE21/((1+InputData!$C$3)^(GenSurg!$B21-GenSurg!$B$7))</f>
        <v>11045.414590920915</v>
      </c>
      <c r="DH21" s="5">
        <f t="shared" si="61"/>
        <v>206962.43355891394</v>
      </c>
      <c r="DI21" s="32">
        <f>DH21/((1+InputData!$C$7)^(GenSurg!$B21-GenSurg!$B$7))</f>
        <v>136826.54996135095</v>
      </c>
      <c r="DJ21" s="5">
        <f t="shared" si="118"/>
        <v>712566.65754750289</v>
      </c>
      <c r="DK21" s="5"/>
      <c r="DL21" s="32" t="s">
        <v>141</v>
      </c>
      <c r="DM21" s="32">
        <f t="shared" si="153"/>
        <v>159878.69262901688</v>
      </c>
      <c r="DN21" s="5">
        <f>DM21*InputData!$C$6</f>
        <v>9928.4668122619478</v>
      </c>
      <c r="DO21" s="32">
        <f t="shared" si="154"/>
        <v>0</v>
      </c>
      <c r="DP21" s="32">
        <f t="shared" si="130"/>
        <v>29148.379963889372</v>
      </c>
      <c r="DQ21" s="32">
        <f t="shared" si="131"/>
        <v>140658.77947738947</v>
      </c>
      <c r="DR21" s="32">
        <f>DP21/((1+InputData!$C$3)^(GenSurg!$B21-GenSurg!$B$7))</f>
        <v>22090.829181841462</v>
      </c>
      <c r="DS21" s="5">
        <f t="shared" si="65"/>
        <v>195917.01896799338</v>
      </c>
      <c r="DT21" s="32">
        <f>DS21/((1+InputData!$C$7)^(GenSurg!$B21-GenSurg!$B$7))</f>
        <v>129524.22970264459</v>
      </c>
      <c r="DU21" s="5">
        <f t="shared" si="120"/>
        <v>778718.44225162338</v>
      </c>
      <c r="DV21" s="5"/>
      <c r="DW21" s="32" t="s">
        <v>141</v>
      </c>
      <c r="DX21" s="133">
        <f t="shared" si="141"/>
        <v>172475.29237299919</v>
      </c>
      <c r="DY21" s="5">
        <f>DX21*InputData!$C$6</f>
        <v>10710.715656363251</v>
      </c>
      <c r="DZ21" s="133">
        <f t="shared" si="142"/>
        <v>0</v>
      </c>
      <c r="EA21" s="32">
        <f t="shared" si="143"/>
        <v>29148.379963889372</v>
      </c>
      <c r="EB21" s="32">
        <f t="shared" si="144"/>
        <v>154037.62806547308</v>
      </c>
      <c r="EC21" s="32">
        <f>EA21/((1+InputData!$C$3)^(GenSurg!$B21-GenSurg!$B$7))</f>
        <v>22090.829181841462</v>
      </c>
      <c r="ED21" s="5">
        <f t="shared" si="69"/>
        <v>195917.01896799338</v>
      </c>
      <c r="EE21" s="32">
        <f>ED21/((1+InputData!$C$7)^(GenSurg!$B21-GenSurg!$B$7))</f>
        <v>129524.22970264459</v>
      </c>
      <c r="EF21" s="5">
        <f t="shared" si="122"/>
        <v>786461.783175271</v>
      </c>
      <c r="EG21" s="32"/>
      <c r="EH21" s="130" t="s">
        <v>141</v>
      </c>
      <c r="EI21" s="32">
        <v>0</v>
      </c>
      <c r="EJ21" s="32">
        <f t="shared" si="168"/>
        <v>164229.17781916872</v>
      </c>
      <c r="EK21" s="32">
        <f>(EJ21)*InputData!$C$6</f>
        <v>10198.631942570379</v>
      </c>
      <c r="EL21" s="32">
        <f t="shared" si="167"/>
        <v>137162.02760423697</v>
      </c>
      <c r="EM21" s="32">
        <f>EM20*(1+InputData!$C$8)</f>
        <v>15160.810987592406</v>
      </c>
      <c r="EN21" s="32">
        <f t="shared" si="162"/>
        <v>37265.782157502101</v>
      </c>
      <c r="EO21" s="32">
        <f>AW21/((1+InputData!$C$3)^(GenSurg!$B21-GenSurg!$B$7))</f>
        <v>316056.44263895479</v>
      </c>
      <c r="EP21" s="32">
        <f>AX21/((1+InputData!$C$3)^(GenSurg!$B21-GenSurg!$B$7))</f>
        <v>0</v>
      </c>
      <c r="EQ21" s="32">
        <v>80818.990000000005</v>
      </c>
      <c r="ER21" s="32">
        <v>10097.540000000001</v>
      </c>
      <c r="ES21" s="32">
        <v>0</v>
      </c>
      <c r="ET21" s="43">
        <f t="shared" si="136"/>
        <v>0.28765915746213078</v>
      </c>
      <c r="EU21" s="32">
        <f t="shared" si="70"/>
        <v>225139.91263895479</v>
      </c>
      <c r="EV21" s="32">
        <f>EN21/((1+InputData!$C$3)^(GenSurg!$B21-GenSurg!$B$7))</f>
        <v>28242.805568918742</v>
      </c>
      <c r="EW21" s="32">
        <f t="shared" si="71"/>
        <v>196897.10707003606</v>
      </c>
      <c r="EX21" s="32">
        <f>EW21/((1+InputData!$C$7)^(GenSurg!$B21-GenSurg!$B$7))</f>
        <v>130172.18339817598</v>
      </c>
      <c r="EY21" s="5">
        <f t="shared" si="124"/>
        <v>866750.21615013212</v>
      </c>
      <c r="EZ21" s="79"/>
      <c r="FA21" s="32">
        <f t="shared" si="163"/>
        <v>156084.29113967184</v>
      </c>
      <c r="FB21" s="32">
        <f>FA21*InputData!$C$6</f>
        <v>9692.8344797736208</v>
      </c>
      <c r="FC21" s="32">
        <f t="shared" si="155"/>
        <v>128511.34346194335</v>
      </c>
      <c r="FD21" s="32">
        <f>MIN($EJ$16*InputData!$C$6/(1-(1+InputData!$C$6)^(-10)), FA21+FB21)</f>
        <v>37265.782157502101</v>
      </c>
      <c r="FE21" s="32">
        <f>FD21/((1+InputData!$C$3)^(GenSurg!$B21-GenSurg!$B$7))</f>
        <v>28242.805568918742</v>
      </c>
      <c r="FF21" s="5">
        <f t="shared" si="75"/>
        <v>196897.10707003606</v>
      </c>
      <c r="FG21" s="32">
        <f>FF21/((1+InputData!$C$7)^(GenSurg!$B21-GenSurg!$B$7))</f>
        <v>130172.18339817598</v>
      </c>
      <c r="FH21" s="5">
        <f t="shared" si="125"/>
        <v>862612.06187314598</v>
      </c>
      <c r="FI21" s="79"/>
      <c r="FJ21" s="32">
        <f t="shared" si="164"/>
        <v>244369.27745366571</v>
      </c>
      <c r="FK21" s="32">
        <f>FJ21*InputData!$C$6</f>
        <v>15175.332129872641</v>
      </c>
      <c r="FL21" s="32">
        <f t="shared" si="156"/>
        <v>237874.74223969562</v>
      </c>
      <c r="FM21" s="32">
        <f>MIN($EJ$16*InputData!$C$6/(1-(1+InputData!$C$6)^(-25)), FJ21+FK21)</f>
        <v>21669.867343842721</v>
      </c>
      <c r="FN21" s="32">
        <f>FM21/((1+InputData!$C$3)^(GenSurg!$B21-GenSurg!$B$7))</f>
        <v>16423.051246039773</v>
      </c>
      <c r="FO21" s="5">
        <f t="shared" si="79"/>
        <v>208716.86139291502</v>
      </c>
      <c r="FP21" s="32">
        <f>FO21/((1+InputData!$C$7)^(GenSurg!$B21-GenSurg!$B$7))</f>
        <v>137986.43344143286</v>
      </c>
      <c r="FQ21" s="5">
        <f t="shared" si="126"/>
        <v>915844.21926317329</v>
      </c>
      <c r="FR21" s="79"/>
      <c r="FS21" s="32">
        <f t="shared" si="165"/>
        <v>156084.29113967184</v>
      </c>
      <c r="FT21" s="32">
        <f>FS21*InputData!$C$6</f>
        <v>9692.8344797736208</v>
      </c>
      <c r="FU21" s="32">
        <f t="shared" si="157"/>
        <v>128511.34346194335</v>
      </c>
      <c r="FV21" s="5">
        <f t="shared" si="166"/>
        <v>37265.782157502101</v>
      </c>
      <c r="FW21" s="32">
        <f>FV21/((1+InputData!$C$3)^(GenSurg!$B21-GenSurg!$B$7))</f>
        <v>28242.805568918742</v>
      </c>
      <c r="FX21" s="5">
        <f t="shared" si="83"/>
        <v>196897.10707003606</v>
      </c>
      <c r="FY21" s="32">
        <f>FX21/((1+InputData!$C$7)^(GenSurg!$B21-GenSurg!$B$7))</f>
        <v>130172.18339817598</v>
      </c>
      <c r="FZ21" s="5">
        <f t="shared" si="127"/>
        <v>862612.06187314598</v>
      </c>
      <c r="GC21" s="3">
        <f t="shared" si="1"/>
        <v>11</v>
      </c>
      <c r="GD21" s="4" t="str">
        <f t="shared" si="2"/>
        <v>Service (O4&gt;10 = (BP+BAH+BAS+VSP+BCPSP)*12+ASP)</v>
      </c>
      <c r="GE21" s="5">
        <f t="shared" si="3"/>
        <v>107832.23999999999</v>
      </c>
      <c r="GF21" s="5">
        <f t="shared" si="4"/>
        <v>20659.199999999997</v>
      </c>
      <c r="GG21" s="5">
        <f t="shared" si="5"/>
        <v>128491.43999999999</v>
      </c>
      <c r="GH21" s="5">
        <f t="shared" si="6"/>
        <v>93938.896710946457</v>
      </c>
      <c r="GI21" s="5">
        <f t="shared" si="7"/>
        <v>17997.423172613169</v>
      </c>
      <c r="GJ21" s="32">
        <f>IF(GH21-InputData!$C$158-InputData!$C$159&gt;=0,GH21-InputData!$C$158-InputData!$C$159,0)</f>
        <v>93938.896710946457</v>
      </c>
      <c r="GK21" s="32">
        <f>IF(GH21-IF(GH21&lt;=InputData!$C$146,InputData!$C$145,0)-MAX(InputData!$C$144,GQ21)&gt;=0,GH21-IF(GH21&lt;=InputData!$C$146,InputData!$C$145,0)-MAX(InputData!$C$144,GQ21),0)</f>
        <v>83938.896710946457</v>
      </c>
      <c r="GL21" s="32">
        <f>IF(GK21&lt;0,"Error",IF(GK21&lt;=InputData!$B$170,InputData!$C$170*GK21,IF(GK21&lt;=InputData!$B$171,InputData!$D$170+InputData!$C$171*(GK21-InputData!$B$170),IF(GK21&lt;=InputData!$B$172,InputData!$D$171+InputData!$C$172*(GK21-InputData!$B$171),IF(GK21&lt;=InputData!$B$173,InputData!$D$172+InputData!$C$173*(GK21-InputData!$B$172),IF(GK21&lt;=InputData!$B$174,InputData!$D$173+InputData!$C$174*(GK21-InputData!$B$173),IF(GK21&lt;=InputData!$B$175,InputData!$D$174+InputData!$C$175*(GK21-InputData!$B$174),InputData!$D$175+InputData!$C$176*(GK21-InputData!$B$175))))))))</f>
        <v>16913.474177736614</v>
      </c>
      <c r="GM21" s="32">
        <f>IF(GH21&lt;=InputData!$C$150,InputData!$C$152,IF(GH21&lt;InputData!$C$151,IF(InputData!$C$152-0.25*IF(GH21-InputData!$C$150&lt;=0,0,GH21-InputData!$C$150)&lt;=0,0,InputData!$C$152-0.25*IF(GH21-InputData!$C$150&lt;=0,0,GH21-InputData!$C$150)),0))</f>
        <v>51900</v>
      </c>
      <c r="GN21" s="32">
        <f>IF(GH21-GM21&lt;=0,0,IF(GH21-GM21&lt;=InputData!$C$153,InputData!$C$154*(GH21-GM21),InputData!$C$155*(GH21-GM21)-InputData!$D$154))</f>
        <v>10930.11314484608</v>
      </c>
      <c r="GO21" s="32">
        <f t="shared" si="84"/>
        <v>16913.474177736614</v>
      </c>
      <c r="GP21" s="32">
        <f>IF(GH21&gt;=0,IF(GH21&lt;=InputData!$C$148,InputData!$C$147*GH21,InputData!$C$147*InputData!$C$148)+InputData!$C$149*GH21,0)</f>
        <v>7186.3255983874042</v>
      </c>
      <c r="GQ21" s="32">
        <f>IF(GJ21&lt;0,0,IF(GJ21&lt;=InputData!$B$163,InputData!$C$163*GJ21,IF(GJ21&lt;=InputData!$B$164,InputData!$D$163+InputData!$C$164*(GJ21-InputData!$B$163),IF(GJ21&lt;=InputData!$B$165,InputData!$D$164+InputData!$C$165*(GJ21-InputData!$B$164),InputData!$D$165+InputData!$C$166*(GJ21-InputData!$B$165)))))</f>
        <v>0</v>
      </c>
      <c r="GR21" s="43">
        <f t="shared" si="85"/>
        <v>0.2565476136075987</v>
      </c>
      <c r="GS21" s="43">
        <f t="shared" si="86"/>
        <v>0.2152991969111861</v>
      </c>
      <c r="GT21" s="5">
        <f t="shared" si="87"/>
        <v>87836.520107435616</v>
      </c>
      <c r="GU21" s="32">
        <f>GT21/((1+InputData!$C$7)^(GenSurg!$B21-GenSurg!$B$7))</f>
        <v>58070.287444170863</v>
      </c>
      <c r="GV21" s="32">
        <f t="shared" si="88"/>
        <v>826352.17485501105</v>
      </c>
      <c r="GX21" s="3">
        <f t="shared" si="8"/>
        <v>11</v>
      </c>
      <c r="GY21" s="122" t="str">
        <f t="shared" si="9"/>
        <v>Multi-Year (O4&gt;10 = (BP+BAH+BAS+VSP+BCPSP)*12+ASP+ISP+MSP)</v>
      </c>
      <c r="GZ21" s="5">
        <f t="shared" si="10"/>
        <v>217832.24</v>
      </c>
      <c r="HA21" s="5">
        <f t="shared" si="11"/>
        <v>20659.199999999997</v>
      </c>
      <c r="HB21" s="5">
        <f t="shared" si="12"/>
        <v>238491.44</v>
      </c>
      <c r="HC21" s="5">
        <f t="shared" si="13"/>
        <v>189766.25444926397</v>
      </c>
      <c r="HD21" s="5">
        <f t="shared" si="14"/>
        <v>17997.423172613169</v>
      </c>
      <c r="HE21" s="32">
        <f>IF(HC21-InputData!$C$158-InputData!$C$159&gt;=0,HC21-InputData!$C$158-InputData!$C$159,0)</f>
        <v>189766.25444926397</v>
      </c>
      <c r="HF21" s="32">
        <f>IF(HC21-IF(HC21&lt;=InputData!$C$146,InputData!$C$145,0)-MAX(InputData!$C$144,HL21)&gt;=0,HC21-IF(HC21&lt;=InputData!$C$146,InputData!$C$145,0)-MAX(InputData!$C$144,HL21),0)</f>
        <v>183666.25444926397</v>
      </c>
      <c r="HG21" s="32">
        <f>IF(HF21&lt;0,"Error",IF(HF21&lt;=InputData!$B$170,InputData!$C$170*HF21,IF(HF21&lt;=InputData!$B$171,InputData!$D$170+InputData!$C$171*(HF21-InputData!$B$170),IF(HF21&lt;=InputData!$B$172,InputData!$D$171+InputData!$C$172*(HF21-InputData!$B$171),IF(HF21&lt;=InputData!$B$173,InputData!$D$172+InputData!$C$173*(HF21-InputData!$B$172),IF(HF21&lt;=InputData!$B$174,InputData!$D$173+InputData!$C$174*(HF21-InputData!$B$173),IF(HF21&lt;=InputData!$B$175,InputData!$D$174+InputData!$C$175*(HF21-InputData!$B$174),InputData!$D$175+InputData!$C$176*(HF21-InputData!$B$175))))))))</f>
        <v>44740.613968257108</v>
      </c>
      <c r="HH21" s="32">
        <f>IF(HC21&lt;=InputData!$C$150,InputData!$C$152,IF(HC21&lt;InputData!$C$151,IF(InputData!$C$152-0.25*IF(HC21-InputData!$C$150&lt;=0,0,HC21-InputData!$C$150)&lt;=0,0,InputData!$C$152-0.25*IF(HC21-InputData!$C$150&lt;=0,0,HC21-InputData!$C$150)),0))</f>
        <v>33308.436387684007</v>
      </c>
      <c r="HI21" s="32">
        <f>IF(HC21-HH21&lt;=0,0,IF(HC21-HH21&lt;=InputData!$C$153,InputData!$C$154*(HC21-HH21),InputData!$C$155*(HC21-HH21)-InputData!$D$154))</f>
        <v>40679.032696010785</v>
      </c>
      <c r="HJ21" s="32">
        <f t="shared" si="89"/>
        <v>44740.613968257108</v>
      </c>
      <c r="HK21" s="32">
        <f>IF(HC21&gt;=0,IF(HC21&lt;=InputData!$C$148,InputData!$C$147*HC21,InputData!$C$147*InputData!$C$148)+InputData!$C$149*HC21,0)</f>
        <v>9801.0106895143272</v>
      </c>
      <c r="HL21" s="32">
        <f>IF(HE21&lt;0,0,IF(HE21&lt;=InputData!$B$163,InputData!$C$163*HE21,IF(HE21&lt;=InputData!$B$164,InputData!$D$163+InputData!$C$164*(HE21-InputData!$B$163),IF(HE21&lt;=InputData!$B$165,InputData!$D$164+InputData!$C$165*(HE21-InputData!$B$164),InputData!$D$165+InputData!$C$166*(HE21-InputData!$B$165)))))</f>
        <v>0</v>
      </c>
      <c r="HM21" s="43">
        <f t="shared" si="90"/>
        <v>0.28741477148327083</v>
      </c>
      <c r="HN21" s="43">
        <f t="shared" si="91"/>
        <v>0.26251761271301399</v>
      </c>
      <c r="HO21" s="5">
        <f t="shared" si="92"/>
        <v>153222.05296410568</v>
      </c>
      <c r="HP21" s="32">
        <f>HO21/((1+InputData!$C$7)^(GenSurg!$B21-GenSurg!$B$7))</f>
        <v>101297.82745865382</v>
      </c>
      <c r="HQ21" s="32">
        <f t="shared" si="93"/>
        <v>822364.88356813905</v>
      </c>
      <c r="HS21" s="93">
        <f t="shared" si="94"/>
        <v>11</v>
      </c>
      <c r="HT21" s="5" t="str">
        <f t="shared" si="95"/>
        <v>Service (O4&gt;10 = (BP+BAH+BAS+VSP+BCPSP)*12+ASP)</v>
      </c>
      <c r="HU21" s="5">
        <f t="shared" si="15"/>
        <v>107832.23999999999</v>
      </c>
      <c r="HV21" s="5">
        <f t="shared" si="16"/>
        <v>20659.199999999997</v>
      </c>
      <c r="HW21" s="5">
        <f t="shared" si="17"/>
        <v>128491.43999999999</v>
      </c>
      <c r="HX21" s="5">
        <f t="shared" si="18"/>
        <v>93938.896710946457</v>
      </c>
      <c r="HY21" s="5">
        <f t="shared" si="19"/>
        <v>17997.423172613169</v>
      </c>
      <c r="HZ21" s="32">
        <f>IF(HX21-InputData!$C$158-InputData!$C$159&gt;=0,HX21-InputData!$C$158-InputData!$C$159,0)</f>
        <v>93938.896710946457</v>
      </c>
      <c r="IA21" s="32">
        <f>IF(HX21-IF(HX21&lt;=InputData!$C$146,InputData!$C$145,0)-MAX(InputData!$C$144,IG21)&gt;=0,HX21-IF(HX21&lt;=InputData!$C$146,InputData!$C$145,0)-MAX(InputData!$C$144,IG21),0)</f>
        <v>83938.896710946457</v>
      </c>
      <c r="IB21" s="32">
        <f>IF(IA21&lt;0,"Error",IF(IA21&lt;=InputData!$B$170,InputData!$C$170*IA21,IF(IA21&lt;=InputData!$B$171,InputData!$D$170+InputData!$C$171*(IA21-InputData!$B$170),IF(IA21&lt;=InputData!$B$172,InputData!$D$171+InputData!$C$172*(IA21-InputData!$B$171),IF(IA21&lt;=InputData!$B$173,InputData!$D$172+InputData!$C$173*(IA21-InputData!$B$172),IF(IA21&lt;=InputData!$B$174,InputData!$D$173+InputData!$C$174*(IA21-InputData!$B$173),IF(IA21&lt;=InputData!$B$175,InputData!$D$174+InputData!$C$175*(IA21-InputData!$B$174),InputData!$D$175+InputData!$C$176*(IA21-InputData!$B$175))))))))</f>
        <v>16913.474177736614</v>
      </c>
      <c r="IC21" s="32">
        <f>IF(HX21&lt;=InputData!$C$150,InputData!$C$152,IF(HX21&lt;InputData!$C$151,IF(InputData!$C$152-0.25*IF(HX21-InputData!$C$150&lt;=0,0,HX21-InputData!$C$150)&lt;=0,0,InputData!$C$152-0.25*IF(HX21-InputData!$C$150&lt;=0,0,HX21-InputData!$C$150)),0))</f>
        <v>51900</v>
      </c>
      <c r="ID21" s="32">
        <f>IF(HX21-IC21&lt;=0,0,IF(HX21-IC21&lt;=InputData!$C$153,InputData!$C$154*(HX21-IC21),InputData!$C$155*(HX21-IC21)-InputData!$D$154))</f>
        <v>10930.11314484608</v>
      </c>
      <c r="IE21" s="32">
        <f t="shared" si="96"/>
        <v>16913.474177736614</v>
      </c>
      <c r="IF21" s="32">
        <f>IF(HX21&gt;=0,IF(HX21&lt;=InputData!$C$148,InputData!$C$147*HX21,InputData!$C$147*InputData!$C$148)+InputData!$C$149*HX21,0)</f>
        <v>7186.3255983874042</v>
      </c>
      <c r="IG21" s="32">
        <f>IF(HZ21&lt;0,0,IF(HZ21&lt;=InputData!$B$163,InputData!$C$163*HZ21,IF(HZ21&lt;=InputData!$B$164,InputData!$D$163+InputData!$C$164*(HZ21-InputData!$B$163),IF(HZ21&lt;=InputData!$B$165,InputData!$D$164+InputData!$C$165*(HZ21-InputData!$B$164),InputData!$D$165+InputData!$C$166*(HZ21-InputData!$B$165)))))</f>
        <v>0</v>
      </c>
      <c r="IH21" s="43">
        <f t="shared" si="97"/>
        <v>0.2565476136075987</v>
      </c>
      <c r="II21" s="43">
        <f t="shared" si="98"/>
        <v>0.2152991969111861</v>
      </c>
      <c r="IJ21" s="5">
        <f t="shared" si="20"/>
        <v>87836.520107435616</v>
      </c>
      <c r="IK21" s="32">
        <f>IJ21/((1+InputData!$C$7)^(GenSurg!$B21-GenSurg!$B$7))</f>
        <v>58070.287444170863</v>
      </c>
      <c r="IL21" s="5">
        <f t="shared" si="99"/>
        <v>826352.17485501105</v>
      </c>
      <c r="IN21" s="227"/>
      <c r="IO21" s="53" t="s">
        <v>109</v>
      </c>
      <c r="IP21" s="32">
        <f>MIN(InputData!$C$13+InputData!$E$13*($B21-$B$20),1)*GenSurg!AW21</f>
        <v>375326.78759216971</v>
      </c>
      <c r="IQ21" s="32">
        <f>MIN(InputData!$C$13+InputData!$E$13*($B21-$B$20),1)*GenSurg!AX21</f>
        <v>0</v>
      </c>
      <c r="IR21" s="32">
        <f>MIN(InputData!$C$13+InputData!$E$13*($B21-$B$20),1)*GenSurg!AY21</f>
        <v>375326.78759216971</v>
      </c>
      <c r="IS21" s="32">
        <f>MIN(InputData!$C$13+InputData!$E$13*($B21-$B$20),1)*GenSurg!EO21</f>
        <v>284450.79837505933</v>
      </c>
      <c r="IT21" s="32">
        <f>MIN(InputData!$C$13+InputData!$E$13*($B21-$B$20),1)*GenSurg!EP21</f>
        <v>0</v>
      </c>
      <c r="IU21" s="32">
        <f>IF(IS21-InputData!$C$158-InputData!$C$159&gt;=0,IS21-InputData!$C$158-InputData!$C$159,0)</f>
        <v>284450.79837505933</v>
      </c>
      <c r="IV21" s="32">
        <f>IF(IS21-IF(IS21&lt;=InputData!$C$146,InputData!$C$145,0)-MAX(InputData!$C$144,JB21)&gt;=0,IS21-IF(IS21&lt;=InputData!$C$146,InputData!$C$145,0)-MAX(InputData!$C$144,JB21),0)</f>
        <v>278350.79837505933</v>
      </c>
      <c r="IW21" s="32">
        <f>IF(IV21&lt;0,"Error",IF(IV21&lt;=InputData!$B$170,InputData!$C$170*IV21,IF(IV21&lt;=InputData!$B$171,InputData!$D$170+InputData!$C$171*(IV21-InputData!$B$170),IF(IV21&lt;=InputData!$B$172,InputData!$D$171+InputData!$C$172*(IV21-InputData!$B$171),IF(IV21&lt;=InputData!$B$173,InputData!$D$172+InputData!$C$173*(IV21-InputData!$B$172),IF(IV21&lt;=InputData!$B$174,InputData!$D$173+InputData!$C$174*(IV21-InputData!$B$173),IF(IV21&lt;=InputData!$B$175,InputData!$D$174+InputData!$C$175*(IV21-InputData!$B$174),InputData!$D$175+InputData!$C$176*(IV21-InputData!$B$175))))))))</f>
        <v>75986.513463769574</v>
      </c>
      <c r="IX21" s="32">
        <f>IF(IS21&lt;=InputData!$C$150,InputData!$C$152,IF(IS21&lt;InputData!$C$151,IF(InputData!$C$152-0.25*IF(IS21-InputData!$C$150&lt;=0,0,IS21-InputData!$C$150)&lt;=0,0,InputData!$C$152-0.25*IF(IS21-InputData!$C$150&lt;=0,0,IS21-InputData!$C$150)),0))</f>
        <v>9637.3004062351683</v>
      </c>
      <c r="IY21" s="32">
        <f>IF(IS21-IX21&lt;=0,0,IF(IS21-IX21&lt;=InputData!$C$153,InputData!$C$154*(IS21-IX21),InputData!$C$155*(IS21-IX21)-InputData!$D$154))</f>
        <v>73357.77943127077</v>
      </c>
      <c r="IZ21" s="32">
        <f t="shared" si="102"/>
        <v>75986.513463769574</v>
      </c>
      <c r="JA21" s="32">
        <f>IF(IS21&gt;=0,IF(IS21&lt;=InputData!$C$148,InputData!$C$147*IS21,InputData!$C$147*InputData!$C$148)+InputData!$C$149*IS21,0)</f>
        <v>11173.93657643836</v>
      </c>
      <c r="JB21" s="32">
        <f>IF(IU21&lt;0,0,IF(IU21&lt;=InputData!$B$163,InputData!$C$163*IU21,IF(IU21&lt;=InputData!$B$164,InputData!$D$163+InputData!$C$164*(IU21-InputData!$B$163),IF(IU21&lt;=InputData!$B$165,InputData!$D$164+InputData!$C$165*(IU21-InputData!$B$164),InputData!$D$165+InputData!$C$166*(IU21-InputData!$B$165)))))</f>
        <v>0</v>
      </c>
      <c r="JC21" s="43">
        <f t="shared" si="103"/>
        <v>0.30641661242688278</v>
      </c>
      <c r="JD21" s="43">
        <f t="shared" si="104"/>
        <v>0.30641661242688278</v>
      </c>
      <c r="JE21" s="5">
        <f t="shared" si="105"/>
        <v>197290.34833485138</v>
      </c>
      <c r="JF21" s="32">
        <f>JE21/((1+InputData!$C$7)^(GenSurg!$B21-GenSurg!$B$7))</f>
        <v>130432.16220032804</v>
      </c>
      <c r="JG21" s="5">
        <f t="shared" si="106"/>
        <v>881567.57320262177</v>
      </c>
      <c r="JI21" s="41" t="str">
        <f t="shared" si="26"/>
        <v>Private Practice</v>
      </c>
      <c r="JJ21" s="5">
        <f t="shared" si="27"/>
        <v>417029.76399129967</v>
      </c>
      <c r="JK21" s="32">
        <v>0</v>
      </c>
      <c r="JL21" s="32">
        <f t="shared" si="108"/>
        <v>417029.76399129967</v>
      </c>
      <c r="JM21" s="32">
        <f>JM20*(1+InputData!$C$8)</f>
        <v>15160.810987592406</v>
      </c>
      <c r="JN21" s="32">
        <f>JJ21/((1+InputData!$C$3)^(GenSurg!$B21-GenSurg!$B$7))</f>
        <v>316056.44263895479</v>
      </c>
      <c r="JO21" s="32">
        <f>JK21/((1+InputData!$C$3)^(GenSurg!$B21-GenSurg!$B$7))</f>
        <v>0</v>
      </c>
      <c r="JP21" s="32" t="s">
        <v>141</v>
      </c>
      <c r="JQ21" s="32">
        <v>0</v>
      </c>
      <c r="JR21" s="32">
        <f t="shared" si="158"/>
        <v>0</v>
      </c>
      <c r="JS21" s="32">
        <f>(JR21)*InputData!$C$6</f>
        <v>0</v>
      </c>
      <c r="JT21" s="32">
        <f>MIN($BE$16*InputData!$C$6/(1-(1+InputData!$C$6)^(-10)), JR21+JS21)</f>
        <v>0</v>
      </c>
      <c r="JU21" s="32">
        <f t="shared" si="145"/>
        <v>0</v>
      </c>
      <c r="JV21" s="32">
        <f>JT21/((1+InputData!$C$3)^(GenSurg!$B21-GenSurg!$B$7))</f>
        <v>0</v>
      </c>
      <c r="JW21" s="32">
        <f>IF(JN21-InputData!$C$158-InputData!$C$159&gt;=0,JN21-InputData!$C$158-InputData!$C$159,0)</f>
        <v>316056.44263895479</v>
      </c>
      <c r="JX21" s="32">
        <f>IF(JN21-IF(JN21&lt;=InputData!$C$146,InputData!$C$145,0)-MAX(InputData!$C$144,KD21)&gt;=0,JN21-IF(JN21&lt;=InputData!$C$146,InputData!$C$145,0)-MAX(InputData!$C$144,KD21),0)</f>
        <v>309956.44263895479</v>
      </c>
      <c r="JY21" s="32">
        <f>IF(JX21&lt;0,"Error",IF(JX21&lt;=InputData!$B$170,InputData!$C$170*JX21,IF(JX21&lt;=InputData!$B$171,InputData!$D$170+InputData!$C$171*(JX21-InputData!$B$170),IF(JX21&lt;=InputData!$B$172,InputData!$D$171+InputData!$C$172*(JX21-InputData!$B$171),IF(JX21&lt;=InputData!$B$173,InputData!$D$172+InputData!$C$173*(JX21-InputData!$B$172),IF(JX21&lt;=InputData!$B$174,InputData!$D$173+InputData!$C$174*(JX21-InputData!$B$173),IF(JX21&lt;=InputData!$B$175,InputData!$D$174+InputData!$C$175*(JX21-InputData!$B$174),InputData!$D$175+InputData!$C$176*(JX21-InputData!$B$175))))))))</f>
        <v>86416.376070855084</v>
      </c>
      <c r="JZ21" s="32">
        <f>IF(JN21&lt;=InputData!$C$150,InputData!$C$152,IF(JN21&lt;InputData!$C$151,IF(InputData!$C$152-0.25*IF(JN21-InputData!$C$150&lt;=0,0,JN21-InputData!$C$150)&lt;=0,0,InputData!$C$152-0.25*IF(JN21-InputData!$C$150&lt;=0,0,JN21-InputData!$C$150)),0))</f>
        <v>1735.889340261303</v>
      </c>
      <c r="KA21" s="32">
        <f>IF(JN21-JZ21&lt;=0,0,IF(JN21-JZ21&lt;=InputData!$C$153,InputData!$C$154*(JN21-JZ21),InputData!$C$155*(JN21-JZ21)-InputData!$D$154))</f>
        <v>84419.754923634187</v>
      </c>
      <c r="KB21" s="32">
        <f t="shared" si="109"/>
        <v>86416.376070855084</v>
      </c>
      <c r="KC21" s="32">
        <f>IF(JN21&gt;=0,IF(JN21&lt;=InputData!$C$148,InputData!$C$147*JN21,InputData!$C$147*InputData!$C$148)+InputData!$C$149*JN21,0)</f>
        <v>11632.218418264845</v>
      </c>
      <c r="KD21" s="32">
        <f>IF(JW21&lt;0,0,IF(JW21&lt;=InputData!$B$163,InputData!$C$163*JW21,IF(JW21&lt;=InputData!$B$164,InputData!$D$163+InputData!$C$164*(JW21-InputData!$B$163),IF(JW21&lt;=InputData!$B$165,InputData!$D$164+InputData!$C$165*(JW21-InputData!$B$164),InputData!$D$165+InputData!$C$166*(JW21-InputData!$B$165)))))</f>
        <v>0</v>
      </c>
      <c r="KE21" s="43">
        <f t="shared" si="28"/>
        <v>0.31022495118419452</v>
      </c>
      <c r="KF21" s="32">
        <f t="shared" si="29"/>
        <v>218007.84814983484</v>
      </c>
      <c r="KG21" s="32">
        <f t="shared" si="110"/>
        <v>218007.84814983484</v>
      </c>
      <c r="KH21" s="32">
        <f>KG21/((1+InputData!$C$7)^(GenSurg!$B21-GenSurg!$B$7))</f>
        <v>144128.87022005755</v>
      </c>
      <c r="KI21" s="5">
        <f t="shared" si="129"/>
        <v>1092305.4339918268</v>
      </c>
    </row>
    <row r="22" spans="1:295" ht="14.45" x14ac:dyDescent="0.3">
      <c r="A22" s="4">
        <v>2028</v>
      </c>
      <c r="B22" s="51">
        <v>16</v>
      </c>
      <c r="C22" s="4"/>
      <c r="D22" s="3">
        <v>12</v>
      </c>
      <c r="E22" s="46" t="s">
        <v>213</v>
      </c>
      <c r="F22" s="5">
        <f>InputData!$I$23*12</f>
        <v>78332.399999999994</v>
      </c>
      <c r="G22" s="32">
        <f>(InputData!$I$23+InputData!$G$45+InputData!$D$50)*12+InputData!$J$50</f>
        <v>107832.23999999999</v>
      </c>
      <c r="H22" s="32">
        <f>(InputData!$C$34+InputData!$C$40)*12</f>
        <v>20659.199999999997</v>
      </c>
      <c r="I22" s="32">
        <f t="shared" si="30"/>
        <v>128491.43999999999</v>
      </c>
      <c r="J22" s="32">
        <f>G22*((1+InputData!$C$5)/(1+InputData!$C$3))^(GenSurg!$B22-GenSurg!$B$7)</f>
        <v>93017.927135348946</v>
      </c>
      <c r="K22" s="32">
        <f>H22*((1+InputData!$C$5)/(1+InputData!$C$3))^(GenSurg!$B22-GenSurg!$B$7)</f>
        <v>17820.977847391474</v>
      </c>
      <c r="L22" s="32">
        <f>IF(J22-InputData!$C$158-InputData!$C$159&gt;=0,J22-InputData!$C$158-InputData!$C$159,0)</f>
        <v>93017.927135348946</v>
      </c>
      <c r="M22" s="32">
        <f>IF(J22-IF(J22&lt;=InputData!$C$146,InputData!$C$145,0)-MAX(InputData!$C$144,S22)&gt;=0,J22-IF(J22&lt;=InputData!$C$146,InputData!$C$145,0)-MAX(InputData!$C$144,S22),0)</f>
        <v>83017.927135348946</v>
      </c>
      <c r="N22" s="32">
        <f>IF(M22&lt;0,"Error",IF(M22&lt;=InputData!$B$170,InputData!$C$170*M22,IF(M22&lt;=InputData!$B$171,InputData!$D$170+InputData!$C$171*(M22-InputData!$B$170),IF(M22&lt;=InputData!$B$172,InputData!$D$171+InputData!$C$172*(M22-InputData!$B$171),IF(M22&lt;=InputData!$B$173,InputData!$D$172+InputData!$C$173*(M22-InputData!$B$172),IF(M22&lt;=InputData!$B$174,InputData!$D$173+InputData!$C$174*(M22-InputData!$B$173),IF(M22&lt;=InputData!$B$175,InputData!$D$174+InputData!$C$175*(M22-InputData!$B$174),InputData!$D$175+InputData!$C$176*(M22-InputData!$B$175))))))))</f>
        <v>16683.231783837236</v>
      </c>
      <c r="O22" s="32">
        <f>IF(J22&lt;=InputData!$C$150,InputData!$C$152,IF(J22&lt;InputData!$C$151,IF(InputData!$C$152-0.25*IF(J22-InputData!$C$150&lt;=0,0,J22-InputData!$C$150)&lt;=0,0,InputData!$C$152-0.25*IF(J22-InputData!$C$150&lt;=0,0,J22-InputData!$C$150)),0))</f>
        <v>51900</v>
      </c>
      <c r="P22" s="32">
        <f>IF(J22-O22&lt;=0,0,IF(J22-O22&lt;=InputData!$C$153,InputData!$C$154*(J22-O22),InputData!$C$155*(J22-O22)-InputData!$D$154))</f>
        <v>10690.661055190727</v>
      </c>
      <c r="Q22" s="32">
        <f t="shared" si="31"/>
        <v>16683.231783837236</v>
      </c>
      <c r="R22" s="32">
        <f>IF(J22&gt;=0,IF(J22&lt;=InputData!$C$148,InputData!$C$147*J22,InputData!$C$147*InputData!$C$148)+InputData!$C$149*J22,0)</f>
        <v>7115.871425854195</v>
      </c>
      <c r="S22" s="32">
        <f>IF(L22&lt;0,0,IF(L22&lt;=InputData!$B$163,InputData!$C$163*L22,IF(L22&lt;=InputData!$B$164,InputData!$D$163+InputData!$C$164*(L22-InputData!$B$163),IF(L22&lt;=InputData!$B$165,InputData!$D$164+InputData!$C$165*(L22-InputData!$B$164),InputData!$D$165+InputData!$C$166*(L22-InputData!$B$165)))))</f>
        <v>0</v>
      </c>
      <c r="T22" s="43">
        <f t="shared" si="32"/>
        <v>0.25585501572252545</v>
      </c>
      <c r="U22" s="43">
        <f t="shared" si="33"/>
        <v>0.21471795678058506</v>
      </c>
      <c r="V22" s="5">
        <f t="shared" si="34"/>
        <v>87039.801773048996</v>
      </c>
      <c r="W22" s="32">
        <f>V22/((1+InputData!$C$7)^(GenSurg!$B22-GenSurg!$B$7))</f>
        <v>55867.536667073509</v>
      </c>
      <c r="X22" s="5">
        <f t="shared" si="111"/>
        <v>882219.71152208454</v>
      </c>
      <c r="Y22" s="53"/>
      <c r="Z22" s="3">
        <v>12</v>
      </c>
      <c r="AA22" s="97" t="s">
        <v>262</v>
      </c>
      <c r="AB22" s="5">
        <f t="shared" si="133"/>
        <v>78332.399999999994</v>
      </c>
      <c r="AC22" s="32">
        <f>G22+InputData!$D$58+InputData!$J$58</f>
        <v>217832.24</v>
      </c>
      <c r="AD22" s="32">
        <f t="shared" si="169"/>
        <v>20659.199999999997</v>
      </c>
      <c r="AE22" s="32">
        <f t="shared" si="35"/>
        <v>238491.44</v>
      </c>
      <c r="AF22" s="5">
        <f>AC22*((1+InputData!$C$5)/(1+InputData!$C$3))^(GenSurg!$B22-GenSurg!$B$7)</f>
        <v>187905.8009742712</v>
      </c>
      <c r="AG22" s="5">
        <f>AD22*((1+InputData!$C$5)/(1+InputData!$C$3))^(GenSurg!$B22-GenSurg!$B$7)</f>
        <v>17820.977847391474</v>
      </c>
      <c r="AH22" s="32">
        <f>IF(AF22-InputData!$C$158-InputData!$C$159&gt;=0,AF22-InputData!$C$158-InputData!$C$159,0)</f>
        <v>187905.8009742712</v>
      </c>
      <c r="AI22" s="32">
        <f>IF(AF22-IF(AF22&lt;=InputData!$C$146,InputData!$C$145,0)-MAX(InputData!$C$144,AO22)&gt;=0,AF22-IF(AF22&lt;=InputData!$C$146,InputData!$C$145,0)-MAX(InputData!$C$144,AO22),0)</f>
        <v>181805.8009742712</v>
      </c>
      <c r="AJ22" s="32">
        <f>IF(AI22&lt;0,"Error",IF(AI22&lt;=InputData!$B$170,InputData!$C$170*AI22,IF(AI22&lt;=InputData!$B$171,InputData!$D$170+InputData!$C$171*(AI22-InputData!$B$170),IF(AI22&lt;=InputData!$B$172,InputData!$D$171+InputData!$C$172*(AI22-InputData!$B$171),IF(AI22&lt;=InputData!$B$173,InputData!$D$172+InputData!$C$173*(AI22-InputData!$B$172),IF(AI22&lt;=InputData!$B$174,InputData!$D$173+InputData!$C$174*(AI22-InputData!$B$173),IF(AI22&lt;=InputData!$B$175,InputData!$D$174+InputData!$C$175*(AI22-InputData!$B$174),InputData!$D$175+InputData!$C$176*(AI22-InputData!$B$175))))))))</f>
        <v>44198.87427279594</v>
      </c>
      <c r="AK22" s="32">
        <f>IF(AF22&lt;=InputData!$C$150,InputData!$C$152,IF(AF22&lt;InputData!$C$151,IF(InputData!$C$152-0.25*IF(AF22-InputData!$C$150&lt;=0,0,AF22-InputData!$C$150)&lt;=0,0,InputData!$C$152-0.25*IF(AF22-InputData!$C$150&lt;=0,0,AF22-InputData!$C$150)),0))</f>
        <v>33773.5497564322</v>
      </c>
      <c r="AL22" s="32">
        <f>IF(AF22-AK22&lt;=0,0,IF(AF22-AK22&lt;=InputData!$C$153,InputData!$C$154*(AF22-AK22),InputData!$C$155*(AF22-AK22)-InputData!$D$154))</f>
        <v>40074.385316638145</v>
      </c>
      <c r="AM22" s="32">
        <f t="shared" si="36"/>
        <v>44198.87427279594</v>
      </c>
      <c r="AN22" s="32">
        <f>IF(AF22&gt;=0,IF(AF22&lt;=InputData!$C$148,InputData!$C$147*AF22,InputData!$C$147*InputData!$C$148)+InputData!$C$149*AF22,0)</f>
        <v>9774.0341141269328</v>
      </c>
      <c r="AO22" s="32">
        <f>IF(AH22&lt;0,0,IF(AH22&lt;=InputData!$B$163,InputData!$C$163*AH22,IF(AH22&lt;=InputData!$B$164,InputData!$D$163+InputData!$C$164*(AH22-InputData!$B$163),IF(AH22&lt;=InputData!$B$165,InputData!$D$164+InputData!$C$165*(AH22-InputData!$B$164),InputData!$D$165+InputData!$C$166*(AH22-InputData!$B$165)))))</f>
        <v>0</v>
      </c>
      <c r="AP22" s="43">
        <f t="shared" si="37"/>
        <v>0.28723385923733696</v>
      </c>
      <c r="AQ22" s="43">
        <f t="shared" si="38"/>
        <v>0.26235237189860483</v>
      </c>
      <c r="AR22" s="5">
        <f t="shared" si="39"/>
        <v>151753.8704347398</v>
      </c>
      <c r="AS22" s="32">
        <f>AR22/((1+InputData!$C$7)^(GenSurg!$B22-GenSurg!$B$7))</f>
        <v>97405.034802231268</v>
      </c>
      <c r="AT22" s="5">
        <f t="shared" si="112"/>
        <v>919769.91837037029</v>
      </c>
      <c r="AU22" s="53"/>
      <c r="AV22" s="41" t="s">
        <v>109</v>
      </c>
      <c r="AW22" s="32">
        <f>$AW$17*(1+InputData!$C$3+InputData!$C$4)^(GenSurg!$B22-GenSurg!$B$17)</f>
        <v>429540.65691103868</v>
      </c>
      <c r="AX22" s="32">
        <v>0</v>
      </c>
      <c r="AY22" s="32">
        <f t="shared" si="41"/>
        <v>429540.65691103868</v>
      </c>
      <c r="AZ22" s="32">
        <f>AZ21*(1+InputData!$C$8)</f>
        <v>15464.027207344254</v>
      </c>
      <c r="BA22" s="32">
        <f>AW22/((1+InputData!$C$3)^(GenSurg!$B22-GenSurg!$B$7))</f>
        <v>319155.0352138466</v>
      </c>
      <c r="BB22" s="32">
        <f>AX22/((1+InputData!$C$3)^(GenSurg!$B22-GenSurg!$B$7))</f>
        <v>0</v>
      </c>
      <c r="BC22" s="32" t="s">
        <v>141</v>
      </c>
      <c r="BD22" s="32">
        <v>0</v>
      </c>
      <c r="BE22" s="32">
        <f t="shared" si="146"/>
        <v>128608.28994078971</v>
      </c>
      <c r="BF22" s="32">
        <f>(BE22)*InputData!$C$6</f>
        <v>7986.5748053230409</v>
      </c>
      <c r="BG22" s="32">
        <f>MIN($BE$16*InputData!$C$6/(1-(1+InputData!$C$6)^(-10)), BE22+BF22)</f>
        <v>37293.894744798265</v>
      </c>
      <c r="BH22" s="32">
        <f t="shared" si="137"/>
        <v>99300.97000131449</v>
      </c>
      <c r="BI22" s="32">
        <f>BG22/((1+InputData!$C$3)^(GenSurg!$B22-GenSurg!$B$7))</f>
        <v>27709.913134026541</v>
      </c>
      <c r="BJ22" s="32">
        <f>IF(BA22-InputData!$C$158-InputData!$C$159&gt;=0,BA22-InputData!$C$158-InputData!$C$159,0)</f>
        <v>319155.0352138466</v>
      </c>
      <c r="BK22" s="32">
        <f>IF(BA22-IF(BA22&lt;=InputData!$C$146,InputData!$C$145,0)-MAX(InputData!$C$144,BQ22)&gt;=0,BA22-IF(BA22&lt;=InputData!$C$146,InputData!$C$145,0)-MAX(InputData!$C$144,BQ22),0)</f>
        <v>313055.0352138466</v>
      </c>
      <c r="BL22" s="32">
        <f>IF(BK22&lt;0,"Error",IF(BK22&lt;=InputData!$B$170,InputData!$C$170*BK22,IF(BK22&lt;=InputData!$B$171,InputData!$D$170+InputData!$C$171*(BK22-InputData!$B$170),IF(BK22&lt;=InputData!$B$172,InputData!$D$171+InputData!$C$172*(BK22-InputData!$B$171),IF(BK22&lt;=InputData!$B$173,InputData!$D$172+InputData!$C$173*(BK22-InputData!$B$172),IF(BK22&lt;=InputData!$B$174,InputData!$D$173+InputData!$C$174*(BK22-InputData!$B$173),IF(BK22&lt;=InputData!$B$175,InputData!$D$174+InputData!$C$175*(BK22-InputData!$B$174),InputData!$D$175+InputData!$C$176*(BK22-InputData!$B$175))))))))</f>
        <v>87438.911620569386</v>
      </c>
      <c r="BM22" s="32">
        <f>IF(BA22&lt;=InputData!$C$150,InputData!$C$152,IF(BA22&lt;InputData!$C$151,IF(InputData!$C$152-0.25*IF(BA22-InputData!$C$150&lt;=0,0,BA22-InputData!$C$150)&lt;=0,0,InputData!$C$152-0.25*IF(BA22-InputData!$C$150&lt;=0,0,BA22-InputData!$C$150)),0))</f>
        <v>961.24119653835078</v>
      </c>
      <c r="BN22" s="32">
        <f>IF(BA22-BM22&lt;=0,0,IF(BA22-BM22&lt;=InputData!$C$153,InputData!$C$154*(BA22-BM22),InputData!$C$155*(BA22-BM22)-InputData!$D$154))</f>
        <v>85504.262324846321</v>
      </c>
      <c r="BO22" s="32">
        <f t="shared" si="42"/>
        <v>87438.911620569386</v>
      </c>
      <c r="BP22" s="32">
        <f>IF(BA22&gt;=0,IF(BA22&lt;=InputData!$C$148,InputData!$C$147*BA22,InputData!$C$147*InputData!$C$148)+InputData!$C$149*BA22,0)</f>
        <v>11677.148010600777</v>
      </c>
      <c r="BQ22" s="32">
        <f>IF(BJ22&lt;0,0,IF(BJ22&lt;=InputData!$B$163,InputData!$C$163*BJ22,IF(BJ22&lt;=InputData!$B$164,InputData!$D$163+InputData!$C$164*(BJ22-InputData!$B$163),IF(BJ22&lt;=InputData!$B$165,InputData!$D$164+InputData!$C$165*(BJ22-InputData!$B$164),InputData!$D$165+InputData!$C$166*(BJ22-InputData!$B$165)))))</f>
        <v>0</v>
      </c>
      <c r="BR22" s="43">
        <f t="shared" si="43"/>
        <v>0.31055771864842568</v>
      </c>
      <c r="BS22" s="32">
        <f t="shared" si="44"/>
        <v>220038.97558267642</v>
      </c>
      <c r="BT22" s="32">
        <f t="shared" si="45"/>
        <v>192329.06244864987</v>
      </c>
      <c r="BU22" s="32">
        <f>BT22/((1+InputData!$C$7)^(GenSurg!$B22-GenSurg!$B$7))</f>
        <v>123448.70656427533</v>
      </c>
      <c r="BV22" s="5">
        <f t="shared" si="114"/>
        <v>897594.80603016564</v>
      </c>
      <c r="BW22" s="5"/>
      <c r="BX22" s="32" t="s">
        <v>141</v>
      </c>
      <c r="BY22" s="5">
        <f t="shared" si="147"/>
        <v>238054.19035723427</v>
      </c>
      <c r="BZ22" s="32">
        <f>(BY22)*InputData!$C$6</f>
        <v>14783.165221184248</v>
      </c>
      <c r="CA22" s="32">
        <f>MIN($BY$16*InputData!$C$6/(1-(1+InputData!$C$6)^(-25)), BY22+BZ22)</f>
        <v>21686.214673809533</v>
      </c>
      <c r="CB22" s="32">
        <f t="shared" si="148"/>
        <v>231151.140904609</v>
      </c>
      <c r="CC22" s="32">
        <f>CA22/((1+InputData!$C$3)^(GenSurg!$B22-GenSurg!$B$7))</f>
        <v>16113.176940333655</v>
      </c>
      <c r="CD22" s="5">
        <f t="shared" si="49"/>
        <v>203925.79864234276</v>
      </c>
      <c r="CE22" s="32">
        <f>CD22/((1+InputData!$C$7)^(GenSurg!$B22-GenSurg!$B$7))</f>
        <v>130892.21024100506</v>
      </c>
      <c r="CF22" s="5">
        <f t="shared" si="115"/>
        <v>958310.624409743</v>
      </c>
      <c r="CG22" s="5"/>
      <c r="CH22" s="32" t="s">
        <v>141</v>
      </c>
      <c r="CI22" s="5" t="e">
        <f t="shared" si="149"/>
        <v>#VALUE!</v>
      </c>
      <c r="CJ22" s="32" t="e">
        <f>(CI22)*InputData!$C$6</f>
        <v>#VALUE!</v>
      </c>
      <c r="CK22" s="5" t="str">
        <f t="shared" si="159"/>
        <v>DNQ</v>
      </c>
      <c r="CL22" s="32" t="e">
        <f t="shared" si="150"/>
        <v>#VALUE!</v>
      </c>
      <c r="CM22" s="32" t="e">
        <f>CK22/((1+InputData!$C$3)^(GenSurg!$B22-GenSurg!$B$7))</f>
        <v>#VALUE!</v>
      </c>
      <c r="CN22" s="5" t="e">
        <f t="shared" si="53"/>
        <v>#VALUE!</v>
      </c>
      <c r="CO22" s="32" t="e">
        <f>CN22/((1+InputData!$C$7)^(GenSurg!$B22-GenSurg!$B$7))</f>
        <v>#VALUE!</v>
      </c>
      <c r="CP22" s="5" t="e">
        <f t="shared" si="116"/>
        <v>#VALUE!</v>
      </c>
      <c r="CQ22" s="5"/>
      <c r="CR22" s="32" t="s">
        <v>141</v>
      </c>
      <c r="CS22" s="5">
        <f t="shared" si="160"/>
        <v>137398.13731073396</v>
      </c>
      <c r="CT22" s="32">
        <f>(CS22)*InputData!$C$6</f>
        <v>8532.4243269965791</v>
      </c>
      <c r="CU22" s="32">
        <f t="shared" si="161"/>
        <v>37293.894744798265</v>
      </c>
      <c r="CV22" s="32">
        <f t="shared" si="152"/>
        <v>108636.66689293228</v>
      </c>
      <c r="CW22" s="32">
        <f>CU22/((1+InputData!$C$3)^(GenSurg!$B22-GenSurg!$B$7))</f>
        <v>27709.913134026541</v>
      </c>
      <c r="CX22" s="5">
        <f t="shared" si="57"/>
        <v>192329.06244864987</v>
      </c>
      <c r="CY22" s="32">
        <f>CX22/((1+InputData!$C$7)^(GenSurg!$B22-GenSurg!$B$7))</f>
        <v>123448.70656427533</v>
      </c>
      <c r="CZ22" s="5">
        <f t="shared" si="117"/>
        <v>901800.03045754053</v>
      </c>
      <c r="DA22" s="5"/>
      <c r="DB22" s="32" t="s">
        <v>141</v>
      </c>
      <c r="DC22" s="5">
        <f t="shared" si="138"/>
        <v>0</v>
      </c>
      <c r="DD22" s="5">
        <f>DC22*InputData!$C$6</f>
        <v>0</v>
      </c>
      <c r="DE22" s="32">
        <f t="shared" si="139"/>
        <v>0</v>
      </c>
      <c r="DF22" s="32">
        <f t="shared" si="140"/>
        <v>0</v>
      </c>
      <c r="DG22" s="32">
        <f>DE22/((1+InputData!$C$3)^(GenSurg!$B22-GenSurg!$B$7))</f>
        <v>0</v>
      </c>
      <c r="DH22" s="5">
        <f t="shared" si="61"/>
        <v>220038.97558267642</v>
      </c>
      <c r="DI22" s="32">
        <f>DH22/((1+InputData!$C$7)^(GenSurg!$B22-GenSurg!$B$7))</f>
        <v>141234.64537067548</v>
      </c>
      <c r="DJ22" s="5">
        <f t="shared" si="118"/>
        <v>853801.30291817838</v>
      </c>
      <c r="DK22" s="5"/>
      <c r="DL22" s="32" t="s">
        <v>141</v>
      </c>
      <c r="DM22" s="32">
        <f t="shared" si="153"/>
        <v>140658.77947738947</v>
      </c>
      <c r="DN22" s="5">
        <f>DM22*InputData!$C$6</f>
        <v>8734.9102055458861</v>
      </c>
      <c r="DO22" s="32">
        <f t="shared" si="154"/>
        <v>0</v>
      </c>
      <c r="DP22" s="32">
        <f t="shared" si="130"/>
        <v>29148.379963889372</v>
      </c>
      <c r="DQ22" s="32">
        <f t="shared" si="131"/>
        <v>120245.309719046</v>
      </c>
      <c r="DR22" s="32">
        <f>DP22/((1+InputData!$C$3)^(GenSurg!$B22-GenSurg!$B$7))</f>
        <v>21657.675668472028</v>
      </c>
      <c r="DS22" s="5">
        <f t="shared" si="65"/>
        <v>198381.2999142044</v>
      </c>
      <c r="DT22" s="32">
        <f>DS22/((1+InputData!$C$7)^(GenSurg!$B22-GenSurg!$B$7))</f>
        <v>127333.40749002354</v>
      </c>
      <c r="DU22" s="5">
        <f t="shared" si="120"/>
        <v>906051.8497416469</v>
      </c>
      <c r="DV22" s="5"/>
      <c r="DW22" s="32" t="s">
        <v>141</v>
      </c>
      <c r="DX22" s="133">
        <f t="shared" si="141"/>
        <v>154037.62806547308</v>
      </c>
      <c r="DY22" s="5">
        <f>DX22*InputData!$C$6</f>
        <v>9565.7367028658791</v>
      </c>
      <c r="DZ22" s="133">
        <f t="shared" si="142"/>
        <v>0</v>
      </c>
      <c r="EA22" s="32">
        <f t="shared" si="143"/>
        <v>29148.379963889372</v>
      </c>
      <c r="EB22" s="32">
        <f t="shared" si="144"/>
        <v>134454.9848044496</v>
      </c>
      <c r="EC22" s="32">
        <f>EA22/((1+InputData!$C$3)^(GenSurg!$B22-GenSurg!$B$7))</f>
        <v>21657.675668472028</v>
      </c>
      <c r="ED22" s="5">
        <f t="shared" si="69"/>
        <v>198381.2999142044</v>
      </c>
      <c r="EE22" s="32">
        <f>ED22/((1+InputData!$C$7)^(GenSurg!$B22-GenSurg!$B$7))</f>
        <v>127333.40749002354</v>
      </c>
      <c r="EF22" s="5">
        <f t="shared" si="122"/>
        <v>913795.19066529453</v>
      </c>
      <c r="EG22" s="32"/>
      <c r="EH22" s="130" t="s">
        <v>141</v>
      </c>
      <c r="EI22" s="32">
        <v>0</v>
      </c>
      <c r="EJ22" s="32">
        <f t="shared" si="168"/>
        <v>137162.027604237</v>
      </c>
      <c r="EK22" s="32">
        <f>(EJ22)*InputData!$C$6</f>
        <v>8517.7619142231179</v>
      </c>
      <c r="EL22" s="32">
        <f t="shared" si="167"/>
        <v>108414.00736095797</v>
      </c>
      <c r="EM22" s="32">
        <f>EM21*(1+InputData!$C$8)</f>
        <v>15464.027207344254</v>
      </c>
      <c r="EN22" s="32">
        <f t="shared" si="162"/>
        <v>37265.782157502101</v>
      </c>
      <c r="EO22" s="32">
        <f>AW22/((1+InputData!$C$3)^(GenSurg!$B22-GenSurg!$B$7))</f>
        <v>319155.0352138466</v>
      </c>
      <c r="EP22" s="32">
        <f>AX22/((1+InputData!$C$3)^(GenSurg!$B22-GenSurg!$B$7))</f>
        <v>0</v>
      </c>
      <c r="EQ22" s="32">
        <v>81794.570000000007</v>
      </c>
      <c r="ER22" s="32">
        <v>10140.41</v>
      </c>
      <c r="ES22" s="32">
        <v>0</v>
      </c>
      <c r="ET22" s="43">
        <f t="shared" si="136"/>
        <v>0.28805743245880455</v>
      </c>
      <c r="EU22" s="32">
        <f t="shared" si="70"/>
        <v>227220.05521384659</v>
      </c>
      <c r="EV22" s="32">
        <f>EN22/((1+InputData!$C$3)^(GenSurg!$B22-GenSurg!$B$7))</f>
        <v>27689.025067567403</v>
      </c>
      <c r="EW22" s="32">
        <f t="shared" si="71"/>
        <v>199531.0301462792</v>
      </c>
      <c r="EX22" s="32">
        <f>EW22/((1+InputData!$C$7)^(GenSurg!$B22-GenSurg!$B$7))</f>
        <v>128071.37557576394</v>
      </c>
      <c r="EY22" s="5">
        <f t="shared" si="124"/>
        <v>994821.59172589611</v>
      </c>
      <c r="EZ22" s="79"/>
      <c r="FA22" s="32">
        <f t="shared" si="163"/>
        <v>128511.34346194335</v>
      </c>
      <c r="FB22" s="32">
        <f>FA22*InputData!$C$6</f>
        <v>7980.554428986683</v>
      </c>
      <c r="FC22" s="32">
        <f t="shared" si="155"/>
        <v>99226.115733427927</v>
      </c>
      <c r="FD22" s="32">
        <f>MIN($EJ$16*InputData!$C$6/(1-(1+InputData!$C$6)^(-10)), FA22+FB22)</f>
        <v>37265.782157502101</v>
      </c>
      <c r="FE22" s="32">
        <f>FD22/((1+InputData!$C$3)^(GenSurg!$B22-GenSurg!$B$7))</f>
        <v>27689.025067567403</v>
      </c>
      <c r="FF22" s="5">
        <f t="shared" si="75"/>
        <v>199531.0301462792</v>
      </c>
      <c r="FG22" s="32">
        <f>FF22/((1+InputData!$C$7)^(GenSurg!$B22-GenSurg!$B$7))</f>
        <v>128071.37557576394</v>
      </c>
      <c r="FH22" s="5">
        <f t="shared" si="125"/>
        <v>990683.43744890997</v>
      </c>
      <c r="FI22" s="79"/>
      <c r="FJ22" s="32">
        <f t="shared" si="164"/>
        <v>237874.74223969562</v>
      </c>
      <c r="FK22" s="32">
        <f>FJ22*InputData!$C$6</f>
        <v>14772.021493085098</v>
      </c>
      <c r="FL22" s="32">
        <f t="shared" si="156"/>
        <v>230976.89638893801</v>
      </c>
      <c r="FM22" s="32">
        <f>MIN($EJ$16*InputData!$C$6/(1-(1+InputData!$C$6)^(-25)), FJ22+FK22)</f>
        <v>21669.867343842721</v>
      </c>
      <c r="FN22" s="32">
        <f>FM22/((1+InputData!$C$3)^(GenSurg!$B22-GenSurg!$B$7))</f>
        <v>16101.030633372331</v>
      </c>
      <c r="FO22" s="5">
        <f t="shared" si="79"/>
        <v>211119.02458047424</v>
      </c>
      <c r="FP22" s="32">
        <f>FO22/((1+InputData!$C$7)^(GenSurg!$B22-GenSurg!$B$7))</f>
        <v>135509.26824971871</v>
      </c>
      <c r="FQ22" s="5">
        <f t="shared" si="126"/>
        <v>1051353.4875128921</v>
      </c>
      <c r="FR22" s="79"/>
      <c r="FS22" s="32">
        <f t="shared" si="165"/>
        <v>128511.34346194335</v>
      </c>
      <c r="FT22" s="32">
        <f>FS22*InputData!$C$6</f>
        <v>7980.554428986683</v>
      </c>
      <c r="FU22" s="32">
        <f t="shared" si="157"/>
        <v>99226.115733427927</v>
      </c>
      <c r="FV22" s="5">
        <f t="shared" si="166"/>
        <v>37265.782157502101</v>
      </c>
      <c r="FW22" s="32">
        <f>FV22/((1+InputData!$C$3)^(GenSurg!$B22-GenSurg!$B$7))</f>
        <v>27689.025067567403</v>
      </c>
      <c r="FX22" s="5">
        <f t="shared" si="83"/>
        <v>199531.0301462792</v>
      </c>
      <c r="FY22" s="32">
        <f>FX22/((1+InputData!$C$7)^(GenSurg!$B22-GenSurg!$B$7))</f>
        <v>128071.37557576394</v>
      </c>
      <c r="FZ22" s="5">
        <f t="shared" si="127"/>
        <v>990683.43744890997</v>
      </c>
      <c r="GC22" s="3">
        <f t="shared" si="1"/>
        <v>12</v>
      </c>
      <c r="GD22" s="46" t="str">
        <f t="shared" si="2"/>
        <v>Service (O4&gt;10 = (BP+BAH+BAS+VSP+BCPSP)*12+ASP)</v>
      </c>
      <c r="GE22" s="5">
        <f t="shared" si="3"/>
        <v>107832.23999999999</v>
      </c>
      <c r="GF22" s="5">
        <f t="shared" si="4"/>
        <v>20659.199999999997</v>
      </c>
      <c r="GG22" s="5">
        <f t="shared" si="5"/>
        <v>128491.43999999999</v>
      </c>
      <c r="GH22" s="5">
        <f t="shared" si="6"/>
        <v>93017.927135348946</v>
      </c>
      <c r="GI22" s="5">
        <f t="shared" si="7"/>
        <v>17820.977847391474</v>
      </c>
      <c r="GJ22" s="32">
        <f>IF(GH22-InputData!$C$158-InputData!$C$159&gt;=0,GH22-InputData!$C$158-InputData!$C$159,0)</f>
        <v>93017.927135348946</v>
      </c>
      <c r="GK22" s="32">
        <f>IF(GH22-IF(GH22&lt;=InputData!$C$146,InputData!$C$145,0)-MAX(InputData!$C$144,GQ22)&gt;=0,GH22-IF(GH22&lt;=InputData!$C$146,InputData!$C$145,0)-MAX(InputData!$C$144,GQ22),0)</f>
        <v>83017.927135348946</v>
      </c>
      <c r="GL22" s="32">
        <f>IF(GK22&lt;0,"Error",IF(GK22&lt;=InputData!$B$170,InputData!$C$170*GK22,IF(GK22&lt;=InputData!$B$171,InputData!$D$170+InputData!$C$171*(GK22-InputData!$B$170),IF(GK22&lt;=InputData!$B$172,InputData!$D$171+InputData!$C$172*(GK22-InputData!$B$171),IF(GK22&lt;=InputData!$B$173,InputData!$D$172+InputData!$C$173*(GK22-InputData!$B$172),IF(GK22&lt;=InputData!$B$174,InputData!$D$173+InputData!$C$174*(GK22-InputData!$B$173),IF(GK22&lt;=InputData!$B$175,InputData!$D$174+InputData!$C$175*(GK22-InputData!$B$174),InputData!$D$175+InputData!$C$176*(GK22-InputData!$B$175))))))))</f>
        <v>16683.231783837236</v>
      </c>
      <c r="GM22" s="32">
        <f>IF(GH22&lt;=InputData!$C$150,InputData!$C$152,IF(GH22&lt;InputData!$C$151,IF(InputData!$C$152-0.25*IF(GH22-InputData!$C$150&lt;=0,0,GH22-InputData!$C$150)&lt;=0,0,InputData!$C$152-0.25*IF(GH22-InputData!$C$150&lt;=0,0,GH22-InputData!$C$150)),0))</f>
        <v>51900</v>
      </c>
      <c r="GN22" s="32">
        <f>IF(GH22-GM22&lt;=0,0,IF(GH22-GM22&lt;=InputData!$C$153,InputData!$C$154*(GH22-GM22),InputData!$C$155*(GH22-GM22)-InputData!$D$154))</f>
        <v>10690.661055190727</v>
      </c>
      <c r="GO22" s="32">
        <f t="shared" si="84"/>
        <v>16683.231783837236</v>
      </c>
      <c r="GP22" s="32">
        <f>IF(GH22&gt;=0,IF(GH22&lt;=InputData!$C$148,InputData!$C$147*GH22,InputData!$C$147*InputData!$C$148)+InputData!$C$149*GH22,0)</f>
        <v>7115.871425854195</v>
      </c>
      <c r="GQ22" s="32">
        <f>IF(GJ22&lt;0,0,IF(GJ22&lt;=InputData!$B$163,InputData!$C$163*GJ22,IF(GJ22&lt;=InputData!$B$164,InputData!$D$163+InputData!$C$164*(GJ22-InputData!$B$163),IF(GJ22&lt;=InputData!$B$165,InputData!$D$164+InputData!$C$165*(GJ22-InputData!$B$164),InputData!$D$165+InputData!$C$166*(GJ22-InputData!$B$165)))))</f>
        <v>0</v>
      </c>
      <c r="GR22" s="43">
        <f t="shared" si="85"/>
        <v>0.25585501572252545</v>
      </c>
      <c r="GS22" s="43">
        <f t="shared" si="86"/>
        <v>0.21471795678058506</v>
      </c>
      <c r="GT22" s="5">
        <f t="shared" si="87"/>
        <v>87039.801773048996</v>
      </c>
      <c r="GU22" s="32">
        <f>GT22/((1+InputData!$C$7)^(GenSurg!$B22-GenSurg!$B$7))</f>
        <v>55867.536667073509</v>
      </c>
      <c r="GV22" s="32">
        <f t="shared" si="88"/>
        <v>882219.71152208454</v>
      </c>
      <c r="GX22" s="3">
        <f t="shared" si="8"/>
        <v>12</v>
      </c>
      <c r="GY22" s="122" t="str">
        <f t="shared" si="9"/>
        <v>Multi-Year (O4&gt;10 = (BP+BAH+BAS+VSP+BCPSP)*12+ASP+ISP+MSP)</v>
      </c>
      <c r="GZ22" s="5">
        <f t="shared" si="10"/>
        <v>217832.24</v>
      </c>
      <c r="HA22" s="5">
        <f t="shared" si="11"/>
        <v>20659.199999999997</v>
      </c>
      <c r="HB22" s="5">
        <f t="shared" si="12"/>
        <v>238491.44</v>
      </c>
      <c r="HC22" s="5">
        <f t="shared" si="13"/>
        <v>187905.8009742712</v>
      </c>
      <c r="HD22" s="5">
        <f t="shared" si="14"/>
        <v>17820.977847391474</v>
      </c>
      <c r="HE22" s="32">
        <f>IF(HC22-InputData!$C$158-InputData!$C$159&gt;=0,HC22-InputData!$C$158-InputData!$C$159,0)</f>
        <v>187905.8009742712</v>
      </c>
      <c r="HF22" s="32">
        <f>IF(HC22-IF(HC22&lt;=InputData!$C$146,InputData!$C$145,0)-MAX(InputData!$C$144,HL22)&gt;=0,HC22-IF(HC22&lt;=InputData!$C$146,InputData!$C$145,0)-MAX(InputData!$C$144,HL22),0)</f>
        <v>181805.8009742712</v>
      </c>
      <c r="HG22" s="32">
        <f>IF(HF22&lt;0,"Error",IF(HF22&lt;=InputData!$B$170,InputData!$C$170*HF22,IF(HF22&lt;=InputData!$B$171,InputData!$D$170+InputData!$C$171*(HF22-InputData!$B$170),IF(HF22&lt;=InputData!$B$172,InputData!$D$171+InputData!$C$172*(HF22-InputData!$B$171),IF(HF22&lt;=InputData!$B$173,InputData!$D$172+InputData!$C$173*(HF22-InputData!$B$172),IF(HF22&lt;=InputData!$B$174,InputData!$D$173+InputData!$C$174*(HF22-InputData!$B$173),IF(HF22&lt;=InputData!$B$175,InputData!$D$174+InputData!$C$175*(HF22-InputData!$B$174),InputData!$D$175+InputData!$C$176*(HF22-InputData!$B$175))))))))</f>
        <v>44198.87427279594</v>
      </c>
      <c r="HH22" s="32">
        <f>IF(HC22&lt;=InputData!$C$150,InputData!$C$152,IF(HC22&lt;InputData!$C$151,IF(InputData!$C$152-0.25*IF(HC22-InputData!$C$150&lt;=0,0,HC22-InputData!$C$150)&lt;=0,0,InputData!$C$152-0.25*IF(HC22-InputData!$C$150&lt;=0,0,HC22-InputData!$C$150)),0))</f>
        <v>33773.5497564322</v>
      </c>
      <c r="HI22" s="32">
        <f>IF(HC22-HH22&lt;=0,0,IF(HC22-HH22&lt;=InputData!$C$153,InputData!$C$154*(HC22-HH22),InputData!$C$155*(HC22-HH22)-InputData!$D$154))</f>
        <v>40074.385316638145</v>
      </c>
      <c r="HJ22" s="32">
        <f t="shared" si="89"/>
        <v>44198.87427279594</v>
      </c>
      <c r="HK22" s="32">
        <f>IF(HC22&gt;=0,IF(HC22&lt;=InputData!$C$148,InputData!$C$147*HC22,InputData!$C$147*InputData!$C$148)+InputData!$C$149*HC22,0)</f>
        <v>9774.0341141269328</v>
      </c>
      <c r="HL22" s="32">
        <f>IF(HE22&lt;0,0,IF(HE22&lt;=InputData!$B$163,InputData!$C$163*HE22,IF(HE22&lt;=InputData!$B$164,InputData!$D$163+InputData!$C$164*(HE22-InputData!$B$163),IF(HE22&lt;=InputData!$B$165,InputData!$D$164+InputData!$C$165*(HE22-InputData!$B$164),InputData!$D$165+InputData!$C$166*(HE22-InputData!$B$165)))))</f>
        <v>0</v>
      </c>
      <c r="HM22" s="43">
        <f t="shared" si="90"/>
        <v>0.28723385923733696</v>
      </c>
      <c r="HN22" s="43">
        <f t="shared" si="91"/>
        <v>0.26235237189860483</v>
      </c>
      <c r="HO22" s="5">
        <f t="shared" si="92"/>
        <v>151753.8704347398</v>
      </c>
      <c r="HP22" s="32">
        <f>HO22/((1+InputData!$C$7)^(GenSurg!$B22-GenSurg!$B$7))</f>
        <v>97405.034802231268</v>
      </c>
      <c r="HQ22" s="32">
        <f t="shared" si="93"/>
        <v>919769.91837037029</v>
      </c>
      <c r="HS22" s="93">
        <f t="shared" si="94"/>
        <v>12</v>
      </c>
      <c r="HT22" s="92" t="str">
        <f t="shared" si="95"/>
        <v>Service (O4&gt;10 = (BP+BAH+BAS+VSP+BCPSP)*12+ASP)</v>
      </c>
      <c r="HU22" s="5">
        <f t="shared" si="15"/>
        <v>107832.23999999999</v>
      </c>
      <c r="HV22" s="5">
        <f t="shared" si="16"/>
        <v>20659.199999999997</v>
      </c>
      <c r="HW22" s="5">
        <f t="shared" si="17"/>
        <v>128491.43999999999</v>
      </c>
      <c r="HX22" s="5">
        <f t="shared" si="18"/>
        <v>93017.927135348946</v>
      </c>
      <c r="HY22" s="5">
        <f t="shared" si="19"/>
        <v>17820.977847391474</v>
      </c>
      <c r="HZ22" s="32">
        <f>IF(HX22-InputData!$C$158-InputData!$C$159&gt;=0,HX22-InputData!$C$158-InputData!$C$159,0)</f>
        <v>93017.927135348946</v>
      </c>
      <c r="IA22" s="32">
        <f>IF(HX22-IF(HX22&lt;=InputData!$C$146,InputData!$C$145,0)-MAX(InputData!$C$144,IG22)&gt;=0,HX22-IF(HX22&lt;=InputData!$C$146,InputData!$C$145,0)-MAX(InputData!$C$144,IG22),0)</f>
        <v>83017.927135348946</v>
      </c>
      <c r="IB22" s="32">
        <f>IF(IA22&lt;0,"Error",IF(IA22&lt;=InputData!$B$170,InputData!$C$170*IA22,IF(IA22&lt;=InputData!$B$171,InputData!$D$170+InputData!$C$171*(IA22-InputData!$B$170),IF(IA22&lt;=InputData!$B$172,InputData!$D$171+InputData!$C$172*(IA22-InputData!$B$171),IF(IA22&lt;=InputData!$B$173,InputData!$D$172+InputData!$C$173*(IA22-InputData!$B$172),IF(IA22&lt;=InputData!$B$174,InputData!$D$173+InputData!$C$174*(IA22-InputData!$B$173),IF(IA22&lt;=InputData!$B$175,InputData!$D$174+InputData!$C$175*(IA22-InputData!$B$174),InputData!$D$175+InputData!$C$176*(IA22-InputData!$B$175))))))))</f>
        <v>16683.231783837236</v>
      </c>
      <c r="IC22" s="32">
        <f>IF(HX22&lt;=InputData!$C$150,InputData!$C$152,IF(HX22&lt;InputData!$C$151,IF(InputData!$C$152-0.25*IF(HX22-InputData!$C$150&lt;=0,0,HX22-InputData!$C$150)&lt;=0,0,InputData!$C$152-0.25*IF(HX22-InputData!$C$150&lt;=0,0,HX22-InputData!$C$150)),0))</f>
        <v>51900</v>
      </c>
      <c r="ID22" s="32">
        <f>IF(HX22-IC22&lt;=0,0,IF(HX22-IC22&lt;=InputData!$C$153,InputData!$C$154*(HX22-IC22),InputData!$C$155*(HX22-IC22)-InputData!$D$154))</f>
        <v>10690.661055190727</v>
      </c>
      <c r="IE22" s="32">
        <f t="shared" si="96"/>
        <v>16683.231783837236</v>
      </c>
      <c r="IF22" s="32">
        <f>IF(HX22&gt;=0,IF(HX22&lt;=InputData!$C$148,InputData!$C$147*HX22,InputData!$C$147*InputData!$C$148)+InputData!$C$149*HX22,0)</f>
        <v>7115.871425854195</v>
      </c>
      <c r="IG22" s="32">
        <f>IF(HZ22&lt;0,0,IF(HZ22&lt;=InputData!$B$163,InputData!$C$163*HZ22,IF(HZ22&lt;=InputData!$B$164,InputData!$D$163+InputData!$C$164*(HZ22-InputData!$B$163),IF(HZ22&lt;=InputData!$B$165,InputData!$D$164+InputData!$C$165*(HZ22-InputData!$B$164),InputData!$D$165+InputData!$C$166*(HZ22-InputData!$B$165)))))</f>
        <v>0</v>
      </c>
      <c r="IH22" s="43">
        <f t="shared" si="97"/>
        <v>0.25585501572252545</v>
      </c>
      <c r="II22" s="43">
        <f t="shared" si="98"/>
        <v>0.21471795678058506</v>
      </c>
      <c r="IJ22" s="5">
        <f t="shared" si="20"/>
        <v>87039.801773048996</v>
      </c>
      <c r="IK22" s="32">
        <f>IJ22/((1+InputData!$C$7)^(GenSurg!$B22-GenSurg!$B$7))</f>
        <v>55867.536667073509</v>
      </c>
      <c r="IL22" s="5">
        <f t="shared" si="99"/>
        <v>882219.71152208454</v>
      </c>
      <c r="IN22" s="227"/>
      <c r="IO22" s="53" t="s">
        <v>109</v>
      </c>
      <c r="IP22" s="32">
        <f>MIN(InputData!$C$13+InputData!$E$13*($B22-$B$20),1)*GenSurg!AW22</f>
        <v>386586.59121993481</v>
      </c>
      <c r="IQ22" s="32">
        <f>MIN(InputData!$C$13+InputData!$E$13*($B22-$B$20),1)*GenSurg!AX22</f>
        <v>0</v>
      </c>
      <c r="IR22" s="32">
        <f>MIN(InputData!$C$13+InputData!$E$13*($B22-$B$20),1)*GenSurg!AY22</f>
        <v>386586.59121993481</v>
      </c>
      <c r="IS22" s="32">
        <f>MIN(InputData!$C$13+InputData!$E$13*($B22-$B$20),1)*GenSurg!EO22</f>
        <v>287239.53169246193</v>
      </c>
      <c r="IT22" s="32">
        <f>MIN(InputData!$C$13+InputData!$E$13*($B22-$B$20),1)*GenSurg!EP22</f>
        <v>0</v>
      </c>
      <c r="IU22" s="32">
        <f>IF(IS22-InputData!$C$158-InputData!$C$159&gt;=0,IS22-InputData!$C$158-InputData!$C$159,0)</f>
        <v>287239.53169246193</v>
      </c>
      <c r="IV22" s="32">
        <f>IF(IS22-IF(IS22&lt;=InputData!$C$146,InputData!$C$145,0)-MAX(InputData!$C$144,JB22)&gt;=0,IS22-IF(IS22&lt;=InputData!$C$146,InputData!$C$145,0)-MAX(InputData!$C$144,JB22),0)</f>
        <v>281139.53169246193</v>
      </c>
      <c r="IW22" s="32">
        <f>IF(IV22&lt;0,"Error",IF(IV22&lt;=InputData!$B$170,InputData!$C$170*IV22,IF(IV22&lt;=InputData!$B$171,InputData!$D$170+InputData!$C$171*(IV22-InputData!$B$170),IF(IV22&lt;=InputData!$B$172,InputData!$D$171+InputData!$C$172*(IV22-InputData!$B$171),IF(IV22&lt;=InputData!$B$173,InputData!$D$172+InputData!$C$173*(IV22-InputData!$B$172),IF(IV22&lt;=InputData!$B$174,InputData!$D$173+InputData!$C$174*(IV22-InputData!$B$173),IF(IV22&lt;=InputData!$B$175,InputData!$D$174+InputData!$C$175*(IV22-InputData!$B$174),InputData!$D$175+InputData!$C$176*(IV22-InputData!$B$175))))))))</f>
        <v>76906.795458512439</v>
      </c>
      <c r="IX22" s="32">
        <f>IF(IS22&lt;=InputData!$C$150,InputData!$C$152,IF(IS22&lt;InputData!$C$151,IF(InputData!$C$152-0.25*IF(IS22-InputData!$C$150&lt;=0,0,IS22-InputData!$C$150)&lt;=0,0,InputData!$C$152-0.25*IF(IS22-InputData!$C$150&lt;=0,0,IS22-InputData!$C$150)),0))</f>
        <v>8940.1170768845186</v>
      </c>
      <c r="IY22" s="32">
        <f>IF(IS22-IX22&lt;=0,0,IF(IS22-IX22&lt;=InputData!$C$153,InputData!$C$154*(IS22-IX22),InputData!$C$155*(IS22-IX22)-InputData!$D$154))</f>
        <v>74333.836092361686</v>
      </c>
      <c r="IZ22" s="32">
        <f t="shared" si="102"/>
        <v>76906.795458512439</v>
      </c>
      <c r="JA22" s="32">
        <f>IF(IS22&gt;=0,IF(IS22&lt;=InputData!$C$148,InputData!$C$147*IS22,InputData!$C$147*InputData!$C$148)+InputData!$C$149*IS22,0)</f>
        <v>11214.373209540698</v>
      </c>
      <c r="JB22" s="32">
        <f>IF(IU22&lt;0,0,IF(IU22&lt;=InputData!$B$163,InputData!$C$163*IU22,IF(IU22&lt;=InputData!$B$164,InputData!$D$163+InputData!$C$164*(IU22-InputData!$B$163),IF(IU22&lt;=InputData!$B$165,InputData!$D$164+InputData!$C$165*(IU22-InputData!$B$164),InputData!$D$165+InputData!$C$166*(IU22-InputData!$B$165)))))</f>
        <v>0</v>
      </c>
      <c r="JC22" s="43">
        <f t="shared" si="103"/>
        <v>0.30678635405380633</v>
      </c>
      <c r="JD22" s="43">
        <f t="shared" si="104"/>
        <v>0.30678635405380633</v>
      </c>
      <c r="JE22" s="5">
        <f t="shared" si="105"/>
        <v>199118.36302440878</v>
      </c>
      <c r="JF22" s="32">
        <f>JE22/((1+InputData!$C$7)^(GenSurg!$B22-GenSurg!$B$7))</f>
        <v>127806.50025329361</v>
      </c>
      <c r="JG22" s="5">
        <f t="shared" si="106"/>
        <v>1009374.0734559153</v>
      </c>
      <c r="JI22" s="41" t="str">
        <f t="shared" si="26"/>
        <v>Private Practice</v>
      </c>
      <c r="JJ22" s="5">
        <f t="shared" si="27"/>
        <v>429540.65691103868</v>
      </c>
      <c r="JK22" s="32">
        <v>0</v>
      </c>
      <c r="JL22" s="32">
        <f t="shared" si="108"/>
        <v>429540.65691103868</v>
      </c>
      <c r="JM22" s="32">
        <f>JM21*(1+InputData!$C$8)</f>
        <v>15464.027207344254</v>
      </c>
      <c r="JN22" s="32">
        <f>JJ22/((1+InputData!$C$3)^(GenSurg!$B22-GenSurg!$B$7))</f>
        <v>319155.0352138466</v>
      </c>
      <c r="JO22" s="32">
        <f>JK22/((1+InputData!$C$3)^(GenSurg!$B22-GenSurg!$B$7))</f>
        <v>0</v>
      </c>
      <c r="JP22" s="32" t="s">
        <v>141</v>
      </c>
      <c r="JQ22" s="32">
        <v>0</v>
      </c>
      <c r="JR22" s="32">
        <f t="shared" si="158"/>
        <v>0</v>
      </c>
      <c r="JS22" s="32">
        <f>(JR22)*InputData!$C$6</f>
        <v>0</v>
      </c>
      <c r="JT22" s="32">
        <f>MIN($BE$16*InputData!$C$6/(1-(1+InputData!$C$6)^(-10)), JR22+JS22)</f>
        <v>0</v>
      </c>
      <c r="JU22" s="32">
        <f t="shared" si="145"/>
        <v>0</v>
      </c>
      <c r="JV22" s="32">
        <f>JT22/((1+InputData!$C$3)^(GenSurg!$B22-GenSurg!$B$7))</f>
        <v>0</v>
      </c>
      <c r="JW22" s="32">
        <f>IF(JN22-InputData!$C$158-InputData!$C$159&gt;=0,JN22-InputData!$C$158-InputData!$C$159,0)</f>
        <v>319155.0352138466</v>
      </c>
      <c r="JX22" s="32">
        <f>IF(JN22-IF(JN22&lt;=InputData!$C$146,InputData!$C$145,0)-MAX(InputData!$C$144,KD22)&gt;=0,JN22-IF(JN22&lt;=InputData!$C$146,InputData!$C$145,0)-MAX(InputData!$C$144,KD22),0)</f>
        <v>313055.0352138466</v>
      </c>
      <c r="JY22" s="32">
        <f>IF(JX22&lt;0,"Error",IF(JX22&lt;=InputData!$B$170,InputData!$C$170*JX22,IF(JX22&lt;=InputData!$B$171,InputData!$D$170+InputData!$C$171*(JX22-InputData!$B$170),IF(JX22&lt;=InputData!$B$172,InputData!$D$171+InputData!$C$172*(JX22-InputData!$B$171),IF(JX22&lt;=InputData!$B$173,InputData!$D$172+InputData!$C$173*(JX22-InputData!$B$172),IF(JX22&lt;=InputData!$B$174,InputData!$D$173+InputData!$C$174*(JX22-InputData!$B$173),IF(JX22&lt;=InputData!$B$175,InputData!$D$174+InputData!$C$175*(JX22-InputData!$B$174),InputData!$D$175+InputData!$C$176*(JX22-InputData!$B$175))))))))</f>
        <v>87438.911620569386</v>
      </c>
      <c r="JZ22" s="32">
        <f>IF(JN22&lt;=InputData!$C$150,InputData!$C$152,IF(JN22&lt;InputData!$C$151,IF(InputData!$C$152-0.25*IF(JN22-InputData!$C$150&lt;=0,0,JN22-InputData!$C$150)&lt;=0,0,InputData!$C$152-0.25*IF(JN22-InputData!$C$150&lt;=0,0,JN22-InputData!$C$150)),0))</f>
        <v>961.24119653835078</v>
      </c>
      <c r="KA22" s="32">
        <f>IF(JN22-JZ22&lt;=0,0,IF(JN22-JZ22&lt;=InputData!$C$153,InputData!$C$154*(JN22-JZ22),InputData!$C$155*(JN22-JZ22)-InputData!$D$154))</f>
        <v>85504.262324846321</v>
      </c>
      <c r="KB22" s="32">
        <f t="shared" si="109"/>
        <v>87438.911620569386</v>
      </c>
      <c r="KC22" s="32">
        <f>IF(JN22&gt;=0,IF(JN22&lt;=InputData!$C$148,InputData!$C$147*JN22,InputData!$C$147*InputData!$C$148)+InputData!$C$149*JN22,0)</f>
        <v>11677.148010600777</v>
      </c>
      <c r="KD22" s="32">
        <f>IF(JW22&lt;0,0,IF(JW22&lt;=InputData!$B$163,InputData!$C$163*JW22,IF(JW22&lt;=InputData!$B$164,InputData!$D$163+InputData!$C$164*(JW22-InputData!$B$163),IF(JW22&lt;=InputData!$B$165,InputData!$D$164+InputData!$C$165*(JW22-InputData!$B$164),InputData!$D$165+InputData!$C$166*(JW22-InputData!$B$165)))))</f>
        <v>0</v>
      </c>
      <c r="KE22" s="43">
        <f t="shared" si="28"/>
        <v>0.31055771864842568</v>
      </c>
      <c r="KF22" s="32">
        <f t="shared" si="29"/>
        <v>220038.97558267642</v>
      </c>
      <c r="KG22" s="32">
        <f t="shared" si="110"/>
        <v>220038.97558267642</v>
      </c>
      <c r="KH22" s="32">
        <f>KG22/((1+InputData!$C$7)^(GenSurg!$B22-GenSurg!$B$7))</f>
        <v>141234.64537067548</v>
      </c>
      <c r="KI22" s="5">
        <f t="shared" si="129"/>
        <v>1233540.0793625023</v>
      </c>
    </row>
    <row r="23" spans="1:295" ht="14.45" x14ac:dyDescent="0.3">
      <c r="A23" s="4">
        <v>2029</v>
      </c>
      <c r="B23" s="51">
        <v>17</v>
      </c>
      <c r="C23" s="4"/>
      <c r="D23" s="3">
        <v>13</v>
      </c>
      <c r="E23" s="97" t="s">
        <v>279</v>
      </c>
      <c r="F23" s="5">
        <f>InputData!$J$22*12</f>
        <v>85420.799999999988</v>
      </c>
      <c r="G23" s="32">
        <f>(InputData!$J$22+InputData!$H$45+InputData!$E$50)*12+InputData!$J$50+InputData!$D$58+InputData!$J$58</f>
        <v>224420.72</v>
      </c>
      <c r="H23" s="32">
        <f>(InputData!$C$33+InputData!$C$40)*12</f>
        <v>21019.199999999997</v>
      </c>
      <c r="I23" s="32">
        <f t="shared" si="30"/>
        <v>245439.91999999998</v>
      </c>
      <c r="J23" s="32">
        <f>G23*((1+InputData!$C$5)/(1+InputData!$C$3))^(GenSurg!$B23-GenSurg!$B$7)</f>
        <v>191691.20334992956</v>
      </c>
      <c r="K23" s="32">
        <f>H23*((1+InputData!$C$5)/(1+InputData!$C$3))^(GenSurg!$B23-GenSurg!$B$7)</f>
        <v>17953.759980151739</v>
      </c>
      <c r="L23" s="32">
        <f>IF(J23-InputData!$C$158-InputData!$C$159&gt;=0,J23-InputData!$C$158-InputData!$C$159,0)</f>
        <v>191691.20334992956</v>
      </c>
      <c r="M23" s="32">
        <f>IF(J23-IF(J23&lt;=InputData!$C$146,InputData!$C$145,0)-MAX(InputData!$C$144,S23)&gt;=0,J23-IF(J23&lt;=InputData!$C$146,InputData!$C$145,0)-MAX(InputData!$C$144,S23),0)</f>
        <v>185591.20334992956</v>
      </c>
      <c r="N23" s="32">
        <f>IF(M23&lt;0,"Error",IF(M23&lt;=InputData!$B$170,InputData!$C$170*M23,IF(M23&lt;=InputData!$B$171,InputData!$D$170+InputData!$C$171*(M23-InputData!$B$170),IF(M23&lt;=InputData!$B$172,InputData!$D$171+InputData!$C$172*(M23-InputData!$B$171),IF(M23&lt;=InputData!$B$173,InputData!$D$172+InputData!$C$173*(M23-InputData!$B$172),IF(M23&lt;=InputData!$B$174,InputData!$D$173+InputData!$C$174*(M23-InputData!$B$173),IF(M23&lt;=InputData!$B$175,InputData!$D$174+InputData!$C$175*(M23-InputData!$B$174),InputData!$D$175+InputData!$C$176*(M23-InputData!$B$175))))))))</f>
        <v>45375.847105476758</v>
      </c>
      <c r="O23" s="32">
        <f>IF(J23&lt;=InputData!$C$150,InputData!$C$152,IF(J23&lt;InputData!$C$151,IF(InputData!$C$152-0.25*IF(J23-InputData!$C$150&lt;=0,0,J23-InputData!$C$150)&lt;=0,0,InputData!$C$152-0.25*IF(J23-InputData!$C$150&lt;=0,0,J23-InputData!$C$150)),0))</f>
        <v>32827.199162517609</v>
      </c>
      <c r="P23" s="32">
        <f>IF(J23-O23&lt;=0,0,IF(J23-O23&lt;=InputData!$C$153,InputData!$C$154*(J23-O23),InputData!$C$155*(J23-O23)-InputData!$D$154))</f>
        <v>41304.641088727105</v>
      </c>
      <c r="Q23" s="32">
        <f t="shared" si="31"/>
        <v>45375.847105476758</v>
      </c>
      <c r="R23" s="32">
        <f>IF(J23&gt;=0,IF(J23&lt;=InputData!$C$148,InputData!$C$147*J23,InputData!$C$147*InputData!$C$148)+InputData!$C$149*J23,0)</f>
        <v>9828.9224485739778</v>
      </c>
      <c r="S23" s="32">
        <f>IF(L23&lt;0,0,IF(L23&lt;=InputData!$B$163,InputData!$C$163*L23,IF(L23&lt;=InputData!$B$164,InputData!$D$163+InputData!$C$164*(L23-InputData!$B$163),IF(L23&lt;=InputData!$B$165,InputData!$D$164+InputData!$C$165*(L23-InputData!$B$164),InputData!$D$165+InputData!$C$166*(L23-InputData!$B$165)))))</f>
        <v>0</v>
      </c>
      <c r="T23" s="43">
        <f t="shared" si="32"/>
        <v>0.28798801713021338</v>
      </c>
      <c r="U23" s="43">
        <f t="shared" si="33"/>
        <v>0.26332504572090321</v>
      </c>
      <c r="V23" s="5">
        <f t="shared" si="34"/>
        <v>154440.19377603056</v>
      </c>
      <c r="W23" s="32">
        <f>V23/((1+InputData!$C$7)^(GenSurg!$B23-GenSurg!$B$7))</f>
        <v>96242.022847970322</v>
      </c>
      <c r="X23" s="5">
        <f t="shared" si="111"/>
        <v>978461.73437005491</v>
      </c>
      <c r="Y23" s="53"/>
      <c r="Z23" s="3">
        <v>13</v>
      </c>
      <c r="AA23" s="97" t="s">
        <v>263</v>
      </c>
      <c r="AB23" s="5">
        <f t="shared" si="133"/>
        <v>85420.799999999988</v>
      </c>
      <c r="AC23" s="32">
        <f t="shared" ref="AC23:AC30" si="170">G23</f>
        <v>224420.72</v>
      </c>
      <c r="AD23" s="32">
        <f t="shared" si="169"/>
        <v>21019.199999999997</v>
      </c>
      <c r="AE23" s="32">
        <f t="shared" si="35"/>
        <v>245439.91999999998</v>
      </c>
      <c r="AF23" s="5">
        <f>AC23*((1+InputData!$C$5)/(1+InputData!$C$3))^(GenSurg!$B23-GenSurg!$B$7)</f>
        <v>191691.20334992956</v>
      </c>
      <c r="AG23" s="5">
        <f>AD23*((1+InputData!$C$5)/(1+InputData!$C$3))^(GenSurg!$B23-GenSurg!$B$7)</f>
        <v>17953.759980151739</v>
      </c>
      <c r="AH23" s="32">
        <f>IF(AF23-InputData!$C$158-InputData!$C$159&gt;=0,AF23-InputData!$C$158-InputData!$C$159,0)</f>
        <v>191691.20334992956</v>
      </c>
      <c r="AI23" s="32">
        <f>IF(AF23-IF(AF23&lt;=InputData!$C$146,InputData!$C$145,0)-MAX(InputData!$C$144,AO23)&gt;=0,AF23-IF(AF23&lt;=InputData!$C$146,InputData!$C$145,0)-MAX(InputData!$C$144,AO23),0)</f>
        <v>185591.20334992956</v>
      </c>
      <c r="AJ23" s="32">
        <f>IF(AI23&lt;0,"Error",IF(AI23&lt;=InputData!$B$170,InputData!$C$170*AI23,IF(AI23&lt;=InputData!$B$171,InputData!$D$170+InputData!$C$171*(AI23-InputData!$B$170),IF(AI23&lt;=InputData!$B$172,InputData!$D$171+InputData!$C$172*(AI23-InputData!$B$171),IF(AI23&lt;=InputData!$B$173,InputData!$D$172+InputData!$C$173*(AI23-InputData!$B$172),IF(AI23&lt;=InputData!$B$174,InputData!$D$173+InputData!$C$174*(AI23-InputData!$B$173),IF(AI23&lt;=InputData!$B$175,InputData!$D$174+InputData!$C$175*(AI23-InputData!$B$174),InputData!$D$175+InputData!$C$176*(AI23-InputData!$B$175))))))))</f>
        <v>45375.847105476758</v>
      </c>
      <c r="AK23" s="32">
        <f>IF(AF23&lt;=InputData!$C$150,InputData!$C$152,IF(AF23&lt;InputData!$C$151,IF(InputData!$C$152-0.25*IF(AF23-InputData!$C$150&lt;=0,0,AF23-InputData!$C$150)&lt;=0,0,InputData!$C$152-0.25*IF(AF23-InputData!$C$150&lt;=0,0,AF23-InputData!$C$150)),0))</f>
        <v>32827.199162517609</v>
      </c>
      <c r="AL23" s="32">
        <f>IF(AF23-AK23&lt;=0,0,IF(AF23-AK23&lt;=InputData!$C$153,InputData!$C$154*(AF23-AK23),InputData!$C$155*(AF23-AK23)-InputData!$D$154))</f>
        <v>41304.641088727105</v>
      </c>
      <c r="AM23" s="32">
        <f t="shared" si="36"/>
        <v>45375.847105476758</v>
      </c>
      <c r="AN23" s="32">
        <f>IF(AF23&gt;=0,IF(AF23&lt;=InputData!$C$148,InputData!$C$147*AF23,InputData!$C$147*InputData!$C$148)+InputData!$C$149*AF23,0)</f>
        <v>9828.9224485739778</v>
      </c>
      <c r="AO23" s="32">
        <f>IF(AH23&lt;0,0,IF(AH23&lt;=InputData!$B$163,InputData!$C$163*AH23,IF(AH23&lt;=InputData!$B$164,InputData!$D$163+InputData!$C$164*(AH23-InputData!$B$163),IF(AH23&lt;=InputData!$B$165,InputData!$D$164+InputData!$C$165*(AH23-InputData!$B$164),InputData!$D$165+InputData!$C$166*(AH23-InputData!$B$165)))))</f>
        <v>0</v>
      </c>
      <c r="AP23" s="43">
        <f t="shared" si="37"/>
        <v>0.28798801713021338</v>
      </c>
      <c r="AQ23" s="43">
        <f t="shared" si="38"/>
        <v>0.26332504572090321</v>
      </c>
      <c r="AR23" s="5">
        <f t="shared" si="39"/>
        <v>154440.19377603056</v>
      </c>
      <c r="AS23" s="32">
        <f>AR23/((1+InputData!$C$7)^(GenSurg!$B23-GenSurg!$B$7))</f>
        <v>96242.022847970322</v>
      </c>
      <c r="AT23" s="5">
        <f t="shared" si="112"/>
        <v>1016011.9412183407</v>
      </c>
      <c r="AU23" s="53"/>
      <c r="AV23" s="41" t="s">
        <v>109</v>
      </c>
      <c r="AW23" s="32">
        <f>$AW$17*(1+InputData!$C$3+InputData!$C$4)^(GenSurg!$B23-GenSurg!$B$17)</f>
        <v>442426.87661836983</v>
      </c>
      <c r="AX23" s="32">
        <v>0</v>
      </c>
      <c r="AY23" s="32">
        <f t="shared" si="41"/>
        <v>442426.87661836983</v>
      </c>
      <c r="AZ23" s="32">
        <f>AZ22*(1+InputData!$C$8)</f>
        <v>15773.307751491138</v>
      </c>
      <c r="BA23" s="32">
        <f>AW23/((1+InputData!$C$3)^(GenSurg!$B23-GenSurg!$B$7))</f>
        <v>322284.00614731561</v>
      </c>
      <c r="BB23" s="32">
        <f>AX23/((1+InputData!$C$3)^(GenSurg!$B23-GenSurg!$B$7))</f>
        <v>0</v>
      </c>
      <c r="BC23" s="32" t="s">
        <v>141</v>
      </c>
      <c r="BD23" s="32">
        <v>0</v>
      </c>
      <c r="BE23" s="32">
        <f t="shared" si="146"/>
        <v>99300.97000131449</v>
      </c>
      <c r="BF23" s="32">
        <f>(BE23)*InputData!$C$6</f>
        <v>6166.5902370816302</v>
      </c>
      <c r="BG23" s="32">
        <f>MIN($BE$16*InputData!$C$6/(1-(1+InputData!$C$6)^(-10)), BE23+BF23)</f>
        <v>37293.894744798265</v>
      </c>
      <c r="BH23" s="32">
        <f t="shared" si="137"/>
        <v>68173.665493597859</v>
      </c>
      <c r="BI23" s="32">
        <f>BG23/((1+InputData!$C$3)^(GenSurg!$B23-GenSurg!$B$7))</f>
        <v>27166.581503947586</v>
      </c>
      <c r="BJ23" s="32">
        <f>IF(BA23-InputData!$C$158-InputData!$C$159&gt;=0,BA23-InputData!$C$158-InputData!$C$159,0)</f>
        <v>322284.00614731561</v>
      </c>
      <c r="BK23" s="32">
        <f>IF(BA23-IF(BA23&lt;=InputData!$C$146,InputData!$C$145,0)-MAX(InputData!$C$144,BQ23)&gt;=0,BA23-IF(BA23&lt;=InputData!$C$146,InputData!$C$145,0)-MAX(InputData!$C$144,BQ23),0)</f>
        <v>316184.00614731561</v>
      </c>
      <c r="BL23" s="32">
        <f>IF(BK23&lt;0,"Error",IF(BK23&lt;=InputData!$B$170,InputData!$C$170*BK23,IF(BK23&lt;=InputData!$B$171,InputData!$D$170+InputData!$C$171*(BK23-InputData!$B$170),IF(BK23&lt;=InputData!$B$172,InputData!$D$171+InputData!$C$172*(BK23-InputData!$B$171),IF(BK23&lt;=InputData!$B$173,InputData!$D$172+InputData!$C$173*(BK23-InputData!$B$172),IF(BK23&lt;=InputData!$B$174,InputData!$D$173+InputData!$C$174*(BK23-InputData!$B$173),IF(BK23&lt;=InputData!$B$175,InputData!$D$174+InputData!$C$175*(BK23-InputData!$B$174),InputData!$D$175+InputData!$C$176*(BK23-InputData!$B$175))))))))</f>
        <v>88471.472028614153</v>
      </c>
      <c r="BM23" s="32">
        <f>IF(BA23&lt;=InputData!$C$150,InputData!$C$152,IF(BA23&lt;InputData!$C$151,IF(InputData!$C$152-0.25*IF(BA23-InputData!$C$150&lt;=0,0,BA23-InputData!$C$150)&lt;=0,0,InputData!$C$152-0.25*IF(BA23-InputData!$C$150&lt;=0,0,BA23-InputData!$C$150)),0))</f>
        <v>178.99846317109768</v>
      </c>
      <c r="BN23" s="32">
        <f>IF(BA23-BM23&lt;=0,0,IF(BA23-BM23&lt;=InputData!$C$153,InputData!$C$154*(BA23-BM23),InputData!$C$155*(BA23-BM23)-InputData!$D$154))</f>
        <v>86599.402151560484</v>
      </c>
      <c r="BO23" s="32">
        <f t="shared" si="42"/>
        <v>88471.472028614153</v>
      </c>
      <c r="BP23" s="32">
        <f>IF(BA23&gt;=0,IF(BA23&lt;=InputData!$C$148,InputData!$C$147*BA23,InputData!$C$147*InputData!$C$148)+InputData!$C$149*BA23,0)</f>
        <v>11722.518089136076</v>
      </c>
      <c r="BQ23" s="32">
        <f>IF(BJ23&lt;0,0,IF(BJ23&lt;=InputData!$B$163,InputData!$C$163*BJ23,IF(BJ23&lt;=InputData!$B$164,InputData!$D$163+InputData!$C$164*(BJ23-InputData!$B$163),IF(BJ23&lt;=InputData!$B$165,InputData!$D$164+InputData!$C$165*(BJ23-InputData!$B$164),InputData!$D$165+InputData!$C$166*(BJ23-InputData!$B$165)))))</f>
        <v>0</v>
      </c>
      <c r="BR23" s="43">
        <f t="shared" si="43"/>
        <v>0.31088725536057688</v>
      </c>
      <c r="BS23" s="32">
        <f t="shared" si="44"/>
        <v>222090.01602956536</v>
      </c>
      <c r="BT23" s="32">
        <f t="shared" si="45"/>
        <v>194923.43452561778</v>
      </c>
      <c r="BU23" s="32">
        <f>BT23/((1+InputData!$C$7)^(GenSurg!$B23-GenSurg!$B$7))</f>
        <v>121469.84007560159</v>
      </c>
      <c r="BV23" s="5">
        <f t="shared" si="114"/>
        <v>1019064.6461057672</v>
      </c>
      <c r="BW23" s="5"/>
      <c r="BX23" s="32" t="s">
        <v>141</v>
      </c>
      <c r="BY23" s="5">
        <f t="shared" si="147"/>
        <v>231151.140904609</v>
      </c>
      <c r="BZ23" s="32">
        <f>(BY23)*InputData!$C$6</f>
        <v>14354.485850176219</v>
      </c>
      <c r="CA23" s="32">
        <f>MIN($BY$16*InputData!$C$6/(1-(1+InputData!$C$6)^(-25)), BY23+BZ23)</f>
        <v>21686.214673809533</v>
      </c>
      <c r="CB23" s="32">
        <f t="shared" si="148"/>
        <v>223819.41208097569</v>
      </c>
      <c r="CC23" s="32">
        <f>CA23/((1+InputData!$C$3)^(GenSurg!$B23-GenSurg!$B$7))</f>
        <v>15797.232294444757</v>
      </c>
      <c r="CD23" s="5">
        <f t="shared" si="49"/>
        <v>206292.78373512061</v>
      </c>
      <c r="CE23" s="32">
        <f>CD23/((1+InputData!$C$7)^(GenSurg!$B23-GenSurg!$B$7))</f>
        <v>128554.8426234121</v>
      </c>
      <c r="CF23" s="5">
        <f t="shared" si="115"/>
        <v>1086865.467033155</v>
      </c>
      <c r="CG23" s="5"/>
      <c r="CH23" s="32" t="s">
        <v>141</v>
      </c>
      <c r="CI23" s="5" t="e">
        <f t="shared" si="149"/>
        <v>#VALUE!</v>
      </c>
      <c r="CJ23" s="32" t="e">
        <f>(CI23)*InputData!$C$6</f>
        <v>#VALUE!</v>
      </c>
      <c r="CK23" s="5" t="str">
        <f t="shared" si="159"/>
        <v>DNQ</v>
      </c>
      <c r="CL23" s="32" t="e">
        <f t="shared" si="150"/>
        <v>#VALUE!</v>
      </c>
      <c r="CM23" s="32" t="e">
        <f>CK23/((1+InputData!$C$3)^(GenSurg!$B23-GenSurg!$B$7))</f>
        <v>#VALUE!</v>
      </c>
      <c r="CN23" s="5" t="e">
        <f t="shared" si="53"/>
        <v>#VALUE!</v>
      </c>
      <c r="CO23" s="32" t="e">
        <f>CN23/((1+InputData!$C$7)^(GenSurg!$B23-GenSurg!$B$7))</f>
        <v>#VALUE!</v>
      </c>
      <c r="CP23" s="5" t="e">
        <f t="shared" si="116"/>
        <v>#VALUE!</v>
      </c>
      <c r="CQ23" s="5"/>
      <c r="CR23" s="32" t="s">
        <v>141</v>
      </c>
      <c r="CS23" s="5">
        <f t="shared" si="160"/>
        <v>108636.66689293228</v>
      </c>
      <c r="CT23" s="32">
        <f>(CS23)*InputData!$C$6</f>
        <v>6746.3370140510942</v>
      </c>
      <c r="CU23" s="32">
        <f t="shared" si="161"/>
        <v>37293.894744798265</v>
      </c>
      <c r="CV23" s="32">
        <f t="shared" si="152"/>
        <v>78089.109162185108</v>
      </c>
      <c r="CW23" s="32">
        <f>CU23/((1+InputData!$C$3)^(GenSurg!$B23-GenSurg!$B$7))</f>
        <v>27166.581503947586</v>
      </c>
      <c r="CX23" s="5">
        <f t="shared" si="57"/>
        <v>194923.43452561778</v>
      </c>
      <c r="CY23" s="32">
        <f>CX23/((1+InputData!$C$7)^(GenSurg!$B23-GenSurg!$B$7))</f>
        <v>121469.84007560159</v>
      </c>
      <c r="CZ23" s="5">
        <f t="shared" si="117"/>
        <v>1023269.8705331421</v>
      </c>
      <c r="DA23" s="5"/>
      <c r="DB23" s="32" t="s">
        <v>141</v>
      </c>
      <c r="DC23" s="5">
        <f t="shared" si="138"/>
        <v>0</v>
      </c>
      <c r="DD23" s="5">
        <f>DC23*InputData!$C$6</f>
        <v>0</v>
      </c>
      <c r="DE23" s="32">
        <f t="shared" si="139"/>
        <v>0</v>
      </c>
      <c r="DF23" s="32">
        <f t="shared" si="140"/>
        <v>0</v>
      </c>
      <c r="DG23" s="32">
        <f>DE23/((1+InputData!$C$3)^(GenSurg!$B23-GenSurg!$B$7))</f>
        <v>0</v>
      </c>
      <c r="DH23" s="5">
        <f t="shared" si="61"/>
        <v>222090.01602956536</v>
      </c>
      <c r="DI23" s="32">
        <f>DH23/((1+InputData!$C$7)^(GenSurg!$B23-GenSurg!$B$7))</f>
        <v>138399.15552049037</v>
      </c>
      <c r="DJ23" s="5">
        <f t="shared" si="118"/>
        <v>992200.45843866875</v>
      </c>
      <c r="DK23" s="5"/>
      <c r="DL23" s="32" t="s">
        <v>141</v>
      </c>
      <c r="DM23" s="32">
        <f t="shared" si="153"/>
        <v>120245.309719046</v>
      </c>
      <c r="DN23" s="5">
        <f>DM23*InputData!$C$6</f>
        <v>7467.2337335527563</v>
      </c>
      <c r="DO23" s="32">
        <f t="shared" si="154"/>
        <v>0</v>
      </c>
      <c r="DP23" s="32">
        <f t="shared" si="130"/>
        <v>29148.379963889372</v>
      </c>
      <c r="DQ23" s="32">
        <f t="shared" si="131"/>
        <v>98564.163488709382</v>
      </c>
      <c r="DR23" s="32">
        <f>DP23/((1+InputData!$C$3)^(GenSurg!$B23-GenSurg!$B$7))</f>
        <v>21233.015361247082</v>
      </c>
      <c r="DS23" s="5">
        <f t="shared" si="65"/>
        <v>200857.00066831827</v>
      </c>
      <c r="DT23" s="32">
        <f>DS23/((1+InputData!$C$7)^(GenSurg!$B23-GenSurg!$B$7))</f>
        <v>125167.44232740837</v>
      </c>
      <c r="DU23" s="5">
        <f t="shared" si="120"/>
        <v>1031219.2920690553</v>
      </c>
      <c r="DV23" s="5"/>
      <c r="DW23" s="32" t="s">
        <v>141</v>
      </c>
      <c r="DX23" s="133">
        <f t="shared" si="141"/>
        <v>134454.9848044496</v>
      </c>
      <c r="DY23" s="5">
        <f>DX23*InputData!$C$6</f>
        <v>8349.6545563563213</v>
      </c>
      <c r="DZ23" s="133">
        <f t="shared" si="142"/>
        <v>0</v>
      </c>
      <c r="EA23" s="32">
        <f t="shared" si="143"/>
        <v>29148.379963889372</v>
      </c>
      <c r="EB23" s="32">
        <f t="shared" si="144"/>
        <v>113656.25939691655</v>
      </c>
      <c r="EC23" s="32">
        <f>EA23/((1+InputData!$C$3)^(GenSurg!$B23-GenSurg!$B$7))</f>
        <v>21233.015361247082</v>
      </c>
      <c r="ED23" s="5">
        <f t="shared" si="69"/>
        <v>200857.00066831827</v>
      </c>
      <c r="EE23" s="32">
        <f>ED23/((1+InputData!$C$7)^(GenSurg!$B23-GenSurg!$B$7))</f>
        <v>125167.44232740837</v>
      </c>
      <c r="EF23" s="5">
        <f t="shared" si="122"/>
        <v>1038962.6329927029</v>
      </c>
      <c r="EG23" s="32"/>
      <c r="EH23" s="130" t="s">
        <v>141</v>
      </c>
      <c r="EI23" s="32">
        <v>0</v>
      </c>
      <c r="EJ23" s="32">
        <f t="shared" si="168"/>
        <v>108414.00736095801</v>
      </c>
      <c r="EK23" s="32">
        <f>(EJ23)*InputData!$C$6</f>
        <v>6732.5098571154931</v>
      </c>
      <c r="EL23" s="32">
        <f t="shared" si="167"/>
        <v>77880.735060571373</v>
      </c>
      <c r="EM23" s="32">
        <f>EM22*(1+InputData!$C$8)</f>
        <v>15773.307751491138</v>
      </c>
      <c r="EN23" s="32">
        <f t="shared" si="162"/>
        <v>37265.782157502101</v>
      </c>
      <c r="EO23" s="32">
        <f>AW23/((1+InputData!$C$3)^(GenSurg!$B23-GenSurg!$B$7))</f>
        <v>322284.00614731561</v>
      </c>
      <c r="EP23" s="32">
        <f>AX23/((1+InputData!$C$3)^(GenSurg!$B23-GenSurg!$B$7))</f>
        <v>0</v>
      </c>
      <c r="EQ23" s="32">
        <v>82779.710000000006</v>
      </c>
      <c r="ER23" s="32">
        <v>10183.700000000001</v>
      </c>
      <c r="ES23" s="32">
        <v>0</v>
      </c>
      <c r="ET23" s="43">
        <f t="shared" si="136"/>
        <v>0.2884518258020739</v>
      </c>
      <c r="EU23" s="32">
        <f t="shared" si="70"/>
        <v>229320.59614731558</v>
      </c>
      <c r="EV23" s="32">
        <f>EN23/((1+InputData!$C$3)^(GenSurg!$B23-GenSurg!$B$7))</f>
        <v>27146.103007419017</v>
      </c>
      <c r="EW23" s="32">
        <f t="shared" si="71"/>
        <v>202174.49313989657</v>
      </c>
      <c r="EX23" s="32">
        <f>EW23/((1+InputData!$C$7)^(GenSurg!$B23-GenSurg!$B$7))</f>
        <v>125988.46007836735</v>
      </c>
      <c r="EY23" s="5">
        <f t="shared" si="124"/>
        <v>1120810.0518042634</v>
      </c>
      <c r="EZ23" s="79"/>
      <c r="FA23" s="32">
        <f t="shared" si="163"/>
        <v>99226.115733427927</v>
      </c>
      <c r="FB23" s="32">
        <f>FA23*InputData!$C$6</f>
        <v>6161.9417870458747</v>
      </c>
      <c r="FC23" s="32">
        <f t="shared" si="155"/>
        <v>68122.275362971704</v>
      </c>
      <c r="FD23" s="32">
        <f>MIN($EJ$16*InputData!$C$6/(1-(1+InputData!$C$6)^(-10)), FA23+FB23)</f>
        <v>37265.782157502101</v>
      </c>
      <c r="FE23" s="32">
        <f>FD23/((1+InputData!$C$3)^(GenSurg!$B23-GenSurg!$B$7))</f>
        <v>27146.103007419017</v>
      </c>
      <c r="FF23" s="5">
        <f t="shared" si="75"/>
        <v>202174.49313989657</v>
      </c>
      <c r="FG23" s="32">
        <f>FF23/((1+InputData!$C$7)^(GenSurg!$B23-GenSurg!$B$7))</f>
        <v>125988.46007836735</v>
      </c>
      <c r="FH23" s="5">
        <f t="shared" si="125"/>
        <v>1116671.8975272772</v>
      </c>
      <c r="FI23" s="79"/>
      <c r="FJ23" s="32">
        <f t="shared" si="164"/>
        <v>230976.89638893801</v>
      </c>
      <c r="FK23" s="32">
        <f>FJ23*InputData!$C$6</f>
        <v>14343.66526575305</v>
      </c>
      <c r="FL23" s="32">
        <f t="shared" si="156"/>
        <v>223650.69431084834</v>
      </c>
      <c r="FM23" s="32">
        <f>MIN($EJ$16*InputData!$C$6/(1-(1+InputData!$C$6)^(-25)), FJ23+FK23)</f>
        <v>21669.867343842721</v>
      </c>
      <c r="FN23" s="32">
        <f>FM23/((1+InputData!$C$3)^(GenSurg!$B23-GenSurg!$B$7))</f>
        <v>15785.324150365028</v>
      </c>
      <c r="FO23" s="5">
        <f t="shared" si="79"/>
        <v>213535.27199695056</v>
      </c>
      <c r="FP23" s="32">
        <f>FO23/((1+InputData!$C$7)^(GenSurg!$B23-GenSurg!$B$7))</f>
        <v>133068.12186587427</v>
      </c>
      <c r="FQ23" s="5">
        <f t="shared" si="126"/>
        <v>1184421.6093787663</v>
      </c>
      <c r="FR23" s="79"/>
      <c r="FS23" s="32">
        <f t="shared" si="165"/>
        <v>99226.115733427927</v>
      </c>
      <c r="FT23" s="32">
        <f>FS23*InputData!$C$6</f>
        <v>6161.9417870458747</v>
      </c>
      <c r="FU23" s="32">
        <f t="shared" si="157"/>
        <v>68122.275362971704</v>
      </c>
      <c r="FV23" s="5">
        <f t="shared" si="166"/>
        <v>37265.782157502101</v>
      </c>
      <c r="FW23" s="32">
        <f>FV23/((1+InputData!$C$3)^(GenSurg!$B23-GenSurg!$B$7))</f>
        <v>27146.103007419017</v>
      </c>
      <c r="FX23" s="5">
        <f t="shared" si="83"/>
        <v>202174.49313989657</v>
      </c>
      <c r="FY23" s="32">
        <f>FX23/((1+InputData!$C$7)^(GenSurg!$B23-GenSurg!$B$7))</f>
        <v>125988.46007836735</v>
      </c>
      <c r="FZ23" s="5">
        <f t="shared" si="127"/>
        <v>1116671.8975272772</v>
      </c>
      <c r="GC23" s="3">
        <f t="shared" si="1"/>
        <v>13</v>
      </c>
      <c r="GD23" s="122" t="str">
        <f t="shared" si="2"/>
        <v>Multi-Year (O5&gt;12 = (BP+BAH+BAS+VSP+BCPSP)*12+ASP)+ISP+MSP</v>
      </c>
      <c r="GE23" s="5">
        <f t="shared" si="3"/>
        <v>224420.72</v>
      </c>
      <c r="GF23" s="5">
        <f t="shared" si="4"/>
        <v>21019.199999999997</v>
      </c>
      <c r="GG23" s="5">
        <f t="shared" si="5"/>
        <v>245439.91999999998</v>
      </c>
      <c r="GH23" s="5">
        <f t="shared" si="6"/>
        <v>191691.20334992956</v>
      </c>
      <c r="GI23" s="5">
        <f t="shared" si="7"/>
        <v>17953.759980151739</v>
      </c>
      <c r="GJ23" s="32">
        <f>IF(GH23-InputData!$C$158-InputData!$C$159&gt;=0,GH23-InputData!$C$158-InputData!$C$159,0)</f>
        <v>191691.20334992956</v>
      </c>
      <c r="GK23" s="32">
        <f>IF(GH23-IF(GH23&lt;=InputData!$C$146,InputData!$C$145,0)-MAX(InputData!$C$144,GQ23)&gt;=0,GH23-IF(GH23&lt;=InputData!$C$146,InputData!$C$145,0)-MAX(InputData!$C$144,GQ23),0)</f>
        <v>185591.20334992956</v>
      </c>
      <c r="GL23" s="32">
        <f>IF(GK23&lt;0,"Error",IF(GK23&lt;=InputData!$B$170,InputData!$C$170*GK23,IF(GK23&lt;=InputData!$B$171,InputData!$D$170+InputData!$C$171*(GK23-InputData!$B$170),IF(GK23&lt;=InputData!$B$172,InputData!$D$171+InputData!$C$172*(GK23-InputData!$B$171),IF(GK23&lt;=InputData!$B$173,InputData!$D$172+InputData!$C$173*(GK23-InputData!$B$172),IF(GK23&lt;=InputData!$B$174,InputData!$D$173+InputData!$C$174*(GK23-InputData!$B$173),IF(GK23&lt;=InputData!$B$175,InputData!$D$174+InputData!$C$175*(GK23-InputData!$B$174),InputData!$D$175+InputData!$C$176*(GK23-InputData!$B$175))))))))</f>
        <v>45375.847105476758</v>
      </c>
      <c r="GM23" s="32">
        <f>IF(GH23&lt;=InputData!$C$150,InputData!$C$152,IF(GH23&lt;InputData!$C$151,IF(InputData!$C$152-0.25*IF(GH23-InputData!$C$150&lt;=0,0,GH23-InputData!$C$150)&lt;=0,0,InputData!$C$152-0.25*IF(GH23-InputData!$C$150&lt;=0,0,GH23-InputData!$C$150)),0))</f>
        <v>32827.199162517609</v>
      </c>
      <c r="GN23" s="32">
        <f>IF(GH23-GM23&lt;=0,0,IF(GH23-GM23&lt;=InputData!$C$153,InputData!$C$154*(GH23-GM23),InputData!$C$155*(GH23-GM23)-InputData!$D$154))</f>
        <v>41304.641088727105</v>
      </c>
      <c r="GO23" s="32">
        <f t="shared" si="84"/>
        <v>45375.847105476758</v>
      </c>
      <c r="GP23" s="32">
        <f>IF(GH23&gt;=0,IF(GH23&lt;=InputData!$C$148,InputData!$C$147*GH23,InputData!$C$147*InputData!$C$148)+InputData!$C$149*GH23,0)</f>
        <v>9828.9224485739778</v>
      </c>
      <c r="GQ23" s="32">
        <f>IF(GJ23&lt;0,0,IF(GJ23&lt;=InputData!$B$163,InputData!$C$163*GJ23,IF(GJ23&lt;=InputData!$B$164,InputData!$D$163+InputData!$C$164*(GJ23-InputData!$B$163),IF(GJ23&lt;=InputData!$B$165,InputData!$D$164+InputData!$C$165*(GJ23-InputData!$B$164),InputData!$D$165+InputData!$C$166*(GJ23-InputData!$B$165)))))</f>
        <v>0</v>
      </c>
      <c r="GR23" s="43">
        <f t="shared" si="85"/>
        <v>0.28798801713021338</v>
      </c>
      <c r="GS23" s="43">
        <f t="shared" si="86"/>
        <v>0.26332504572090321</v>
      </c>
      <c r="GT23" s="5">
        <f t="shared" si="87"/>
        <v>154440.19377603056</v>
      </c>
      <c r="GU23" s="32">
        <f>GT23/((1+InputData!$C$7)^(GenSurg!$B23-GenSurg!$B$7))</f>
        <v>96242.022847970322</v>
      </c>
      <c r="GV23" s="32">
        <f t="shared" si="88"/>
        <v>978461.73437005491</v>
      </c>
      <c r="GX23" s="3">
        <f t="shared" si="8"/>
        <v>13</v>
      </c>
      <c r="GY23" s="122" t="str">
        <f t="shared" si="9"/>
        <v>Multi-Year (O5&gt;12 = (BP+BAH+BAS+VSP+BCPSP)*12+ASP+ISP+MSP)</v>
      </c>
      <c r="GZ23" s="5">
        <f t="shared" si="10"/>
        <v>224420.72</v>
      </c>
      <c r="HA23" s="5">
        <f t="shared" si="11"/>
        <v>21019.199999999997</v>
      </c>
      <c r="HB23" s="5">
        <f t="shared" si="12"/>
        <v>245439.91999999998</v>
      </c>
      <c r="HC23" s="5">
        <f t="shared" si="13"/>
        <v>191691.20334992956</v>
      </c>
      <c r="HD23" s="5">
        <f t="shared" si="14"/>
        <v>17953.759980151739</v>
      </c>
      <c r="HE23" s="32">
        <f>IF(HC23-InputData!$C$158-InputData!$C$159&gt;=0,HC23-InputData!$C$158-InputData!$C$159,0)</f>
        <v>191691.20334992956</v>
      </c>
      <c r="HF23" s="32">
        <f>IF(HC23-IF(HC23&lt;=InputData!$C$146,InputData!$C$145,0)-MAX(InputData!$C$144,HL23)&gt;=0,HC23-IF(HC23&lt;=InputData!$C$146,InputData!$C$145,0)-MAX(InputData!$C$144,HL23),0)</f>
        <v>185591.20334992956</v>
      </c>
      <c r="HG23" s="32">
        <f>IF(HF23&lt;0,"Error",IF(HF23&lt;=InputData!$B$170,InputData!$C$170*HF23,IF(HF23&lt;=InputData!$B$171,InputData!$D$170+InputData!$C$171*(HF23-InputData!$B$170),IF(HF23&lt;=InputData!$B$172,InputData!$D$171+InputData!$C$172*(HF23-InputData!$B$171),IF(HF23&lt;=InputData!$B$173,InputData!$D$172+InputData!$C$173*(HF23-InputData!$B$172),IF(HF23&lt;=InputData!$B$174,InputData!$D$173+InputData!$C$174*(HF23-InputData!$B$173),IF(HF23&lt;=InputData!$B$175,InputData!$D$174+InputData!$C$175*(HF23-InputData!$B$174),InputData!$D$175+InputData!$C$176*(HF23-InputData!$B$175))))))))</f>
        <v>45375.847105476758</v>
      </c>
      <c r="HH23" s="32">
        <f>IF(HC23&lt;=InputData!$C$150,InputData!$C$152,IF(HC23&lt;InputData!$C$151,IF(InputData!$C$152-0.25*IF(HC23-InputData!$C$150&lt;=0,0,HC23-InputData!$C$150)&lt;=0,0,InputData!$C$152-0.25*IF(HC23-InputData!$C$150&lt;=0,0,HC23-InputData!$C$150)),0))</f>
        <v>32827.199162517609</v>
      </c>
      <c r="HI23" s="32">
        <f>IF(HC23-HH23&lt;=0,0,IF(HC23-HH23&lt;=InputData!$C$153,InputData!$C$154*(HC23-HH23),InputData!$C$155*(HC23-HH23)-InputData!$D$154))</f>
        <v>41304.641088727105</v>
      </c>
      <c r="HJ23" s="32">
        <f t="shared" si="89"/>
        <v>45375.847105476758</v>
      </c>
      <c r="HK23" s="32">
        <f>IF(HC23&gt;=0,IF(HC23&lt;=InputData!$C$148,InputData!$C$147*HC23,InputData!$C$147*InputData!$C$148)+InputData!$C$149*HC23,0)</f>
        <v>9828.9224485739778</v>
      </c>
      <c r="HL23" s="32">
        <f>IF(HE23&lt;0,0,IF(HE23&lt;=InputData!$B$163,InputData!$C$163*HE23,IF(HE23&lt;=InputData!$B$164,InputData!$D$163+InputData!$C$164*(HE23-InputData!$B$163),IF(HE23&lt;=InputData!$B$165,InputData!$D$164+InputData!$C$165*(HE23-InputData!$B$164),InputData!$D$165+InputData!$C$166*(HE23-InputData!$B$165)))))</f>
        <v>0</v>
      </c>
      <c r="HM23" s="43">
        <f t="shared" si="90"/>
        <v>0.28798801713021338</v>
      </c>
      <c r="HN23" s="43">
        <f t="shared" si="91"/>
        <v>0.26332504572090321</v>
      </c>
      <c r="HO23" s="5">
        <f t="shared" si="92"/>
        <v>154440.19377603056</v>
      </c>
      <c r="HP23" s="32">
        <f>HO23/((1+InputData!$C$7)^(GenSurg!$B23-GenSurg!$B$7))</f>
        <v>96242.022847970322</v>
      </c>
      <c r="HQ23" s="32">
        <f t="shared" si="93"/>
        <v>1016011.9412183407</v>
      </c>
      <c r="HS23" s="41"/>
      <c r="HT23" s="53" t="s">
        <v>109</v>
      </c>
      <c r="HU23" s="32">
        <f>MIN(InputData!$C$13+InputData!$E$13*($B23-$B$23),1)*GenSurg!AW23</f>
        <v>398184.18895653286</v>
      </c>
      <c r="HV23" s="32">
        <f>MIN(InputData!$C$13+InputData!$E$13*($B23-$B$23),1)*GenSurg!AX23</f>
        <v>0</v>
      </c>
      <c r="HW23" s="32">
        <f>MIN(InputData!$C$13+InputData!$E$13*($B23-$B$23),1)*GenSurg!AY23</f>
        <v>398184.18895653286</v>
      </c>
      <c r="HX23" s="32">
        <f>MIN(InputData!$C$13+InputData!$E$13*($B23-$B$23),1)*GenSurg!EO23</f>
        <v>290055.60553258407</v>
      </c>
      <c r="HY23" s="32">
        <f>MIN(InputData!$C$13+InputData!$E$13*($B23-$B$23),1)*GenSurg!EP23</f>
        <v>0</v>
      </c>
      <c r="HZ23" s="32">
        <f>IF(HX23-InputData!$C$158-InputData!$C$159&gt;=0,HX23-InputData!$C$158-InputData!$C$159,0)</f>
        <v>290055.60553258407</v>
      </c>
      <c r="IA23" s="32">
        <f>IF(HX23-IF(HX23&lt;=InputData!$C$146,InputData!$C$145,0)-MAX(InputData!$C$144,IG23)&gt;=0,HX23-IF(HX23&lt;=InputData!$C$146,InputData!$C$145,0)-MAX(InputData!$C$144,IG23),0)</f>
        <v>283955.60553258407</v>
      </c>
      <c r="IB23" s="32">
        <f>IF(IA23&lt;0,"Error",IF(IA23&lt;=InputData!$B$170,InputData!$C$170*IA23,IF(IA23&lt;=InputData!$B$171,InputData!$D$170+InputData!$C$171*(IA23-InputData!$B$170),IF(IA23&lt;=InputData!$B$172,InputData!$D$171+InputData!$C$172*(IA23-InputData!$B$171),IF(IA23&lt;=InputData!$B$173,InputData!$D$172+InputData!$C$173*(IA23-InputData!$B$172),IF(IA23&lt;=InputData!$B$174,InputData!$D$173+InputData!$C$174*(IA23-InputData!$B$173),IF(IA23&lt;=InputData!$B$175,InputData!$D$174+InputData!$C$175*(IA23-InputData!$B$174),InputData!$D$175+InputData!$C$176*(IA23-InputData!$B$175))))))))</f>
        <v>77836.099825752754</v>
      </c>
      <c r="IC23" s="32">
        <f>IF(HX23&lt;=InputData!$C$150,InputData!$C$152,IF(HX23&lt;InputData!$C$151,IF(InputData!$C$152-0.25*IF(HX23-InputData!$C$150&lt;=0,0,HX23-InputData!$C$150)&lt;=0,0,InputData!$C$152-0.25*IF(HX23-InputData!$C$150&lt;=0,0,HX23-InputData!$C$150)),0))</f>
        <v>8236.0986168539821</v>
      </c>
      <c r="ID23" s="32">
        <f>IF(HX23-IC23&lt;=0,0,IF(HX23-IC23&lt;=InputData!$C$153,InputData!$C$154*(HX23-IC23),InputData!$C$155*(HX23-IC23)-InputData!$D$154))</f>
        <v>75319.461936404434</v>
      </c>
      <c r="IE23" s="32">
        <f t="shared" si="96"/>
        <v>77836.099825752754</v>
      </c>
      <c r="IF23" s="32">
        <f>IF(HX23&gt;=0,IF(HX23&lt;=InputData!$C$148,InputData!$C$147*HX23,InputData!$C$147*InputData!$C$148)+InputData!$C$149*HX23,0)</f>
        <v>11255.206280222468</v>
      </c>
      <c r="IG23" s="32">
        <f>IF(HZ23&lt;0,0,IF(HZ23&lt;=InputData!$B$163,InputData!$C$163*HZ23,IF(HZ23&lt;=InputData!$B$164,InputData!$D$163+InputData!$C$164*(HZ23-InputData!$B$163),IF(HZ23&lt;=InputData!$B$165,InputData!$D$164+InputData!$C$165*(HZ23-InputData!$B$164),InputData!$D$165+InputData!$C$166*(HZ23-InputData!$B$165)))))</f>
        <v>0</v>
      </c>
      <c r="IH23" s="43">
        <f t="shared" si="97"/>
        <v>0.30715250595619653</v>
      </c>
      <c r="II23" s="43">
        <f t="shared" si="98"/>
        <v>0.30715250595619653</v>
      </c>
      <c r="IJ23" s="5">
        <f t="shared" si="20"/>
        <v>200964.29942660884</v>
      </c>
      <c r="IK23" s="32">
        <f>IJ23/((1+InputData!$C$7)^(GenSurg!$B23-GenSurg!$B$7))</f>
        <v>125234.30736619441</v>
      </c>
      <c r="IL23" s="5">
        <f t="shared" si="99"/>
        <v>1007454.018888279</v>
      </c>
      <c r="IN23" s="227"/>
      <c r="IO23" s="53" t="s">
        <v>109</v>
      </c>
      <c r="IP23" s="32">
        <f>MIN(InputData!$C$13+InputData!$E$13*($B23-$B$20),1)*GenSurg!AW23</f>
        <v>398184.18895653286</v>
      </c>
      <c r="IQ23" s="32">
        <f>MIN(InputData!$C$13+InputData!$E$13*($B23-$B$20),1)*GenSurg!AX23</f>
        <v>0</v>
      </c>
      <c r="IR23" s="32">
        <f>MIN(InputData!$C$13+InputData!$E$13*($B23-$B$20),1)*GenSurg!AY23</f>
        <v>398184.18895653286</v>
      </c>
      <c r="IS23" s="32">
        <f>MIN(InputData!$C$13+InputData!$E$13*($B23-$B$20),1)*GenSurg!EO23</f>
        <v>290055.60553258407</v>
      </c>
      <c r="IT23" s="32">
        <f>MIN(InputData!$C$13+InputData!$E$13*($B23-$B$20),1)*GenSurg!EP23</f>
        <v>0</v>
      </c>
      <c r="IU23" s="32">
        <f>IF(IS23-InputData!$C$158-InputData!$C$159&gt;=0,IS23-InputData!$C$158-InputData!$C$159,0)</f>
        <v>290055.60553258407</v>
      </c>
      <c r="IV23" s="32">
        <f>IF(IS23-IF(IS23&lt;=InputData!$C$146,InputData!$C$145,0)-MAX(InputData!$C$144,JB23)&gt;=0,IS23-IF(IS23&lt;=InputData!$C$146,InputData!$C$145,0)-MAX(InputData!$C$144,JB23),0)</f>
        <v>283955.60553258407</v>
      </c>
      <c r="IW23" s="32">
        <f>IF(IV23&lt;0,"Error",IF(IV23&lt;=InputData!$B$170,InputData!$C$170*IV23,IF(IV23&lt;=InputData!$B$171,InputData!$D$170+InputData!$C$171*(IV23-InputData!$B$170),IF(IV23&lt;=InputData!$B$172,InputData!$D$171+InputData!$C$172*(IV23-InputData!$B$171),IF(IV23&lt;=InputData!$B$173,InputData!$D$172+InputData!$C$173*(IV23-InputData!$B$172),IF(IV23&lt;=InputData!$B$174,InputData!$D$173+InputData!$C$174*(IV23-InputData!$B$173),IF(IV23&lt;=InputData!$B$175,InputData!$D$174+InputData!$C$175*(IV23-InputData!$B$174),InputData!$D$175+InputData!$C$176*(IV23-InputData!$B$175))))))))</f>
        <v>77836.099825752754</v>
      </c>
      <c r="IX23" s="32">
        <f>IF(IS23&lt;=InputData!$C$150,InputData!$C$152,IF(IS23&lt;InputData!$C$151,IF(InputData!$C$152-0.25*IF(IS23-InputData!$C$150&lt;=0,0,IS23-InputData!$C$150)&lt;=0,0,InputData!$C$152-0.25*IF(IS23-InputData!$C$150&lt;=0,0,IS23-InputData!$C$150)),0))</f>
        <v>8236.0986168539821</v>
      </c>
      <c r="IY23" s="32">
        <f>IF(IS23-IX23&lt;=0,0,IF(IS23-IX23&lt;=InputData!$C$153,InputData!$C$154*(IS23-IX23),InputData!$C$155*(IS23-IX23)-InputData!$D$154))</f>
        <v>75319.461936404434</v>
      </c>
      <c r="IZ23" s="32">
        <f t="shared" si="102"/>
        <v>77836.099825752754</v>
      </c>
      <c r="JA23" s="32">
        <f>IF(IS23&gt;=0,IF(IS23&lt;=InputData!$C$148,InputData!$C$147*IS23,InputData!$C$147*InputData!$C$148)+InputData!$C$149*IS23,0)</f>
        <v>11255.206280222468</v>
      </c>
      <c r="JB23" s="32">
        <f>IF(IU23&lt;0,0,IF(IU23&lt;=InputData!$B$163,InputData!$C$163*IU23,IF(IU23&lt;=InputData!$B$164,InputData!$D$163+InputData!$C$164*(IU23-InputData!$B$163),IF(IU23&lt;=InputData!$B$165,InputData!$D$164+InputData!$C$165*(IU23-InputData!$B$164),InputData!$D$165+InputData!$C$166*(IU23-InputData!$B$165)))))</f>
        <v>0</v>
      </c>
      <c r="JC23" s="43">
        <f t="shared" si="103"/>
        <v>0.30715250595619653</v>
      </c>
      <c r="JD23" s="43">
        <f t="shared" si="104"/>
        <v>0.30715250595619653</v>
      </c>
      <c r="JE23" s="5">
        <f t="shared" si="105"/>
        <v>200964.29942660884</v>
      </c>
      <c r="JF23" s="32">
        <f>JE23/((1+InputData!$C$7)^(GenSurg!$B23-GenSurg!$B$7))</f>
        <v>125234.30736619441</v>
      </c>
      <c r="JG23" s="5">
        <f t="shared" si="106"/>
        <v>1134608.3808221098</v>
      </c>
      <c r="JI23" s="41" t="str">
        <f t="shared" si="26"/>
        <v>Private Practice</v>
      </c>
      <c r="JJ23" s="5">
        <f t="shared" si="27"/>
        <v>442426.87661836983</v>
      </c>
      <c r="JK23" s="32">
        <v>0</v>
      </c>
      <c r="JL23" s="32">
        <f t="shared" si="108"/>
        <v>442426.87661836983</v>
      </c>
      <c r="JM23" s="32">
        <f>JM22*(1+InputData!$C$8)</f>
        <v>15773.307751491138</v>
      </c>
      <c r="JN23" s="32">
        <f>JJ23/((1+InputData!$C$3)^(GenSurg!$B23-GenSurg!$B$7))</f>
        <v>322284.00614731561</v>
      </c>
      <c r="JO23" s="32">
        <f>JK23/((1+InputData!$C$3)^(GenSurg!$B23-GenSurg!$B$7))</f>
        <v>0</v>
      </c>
      <c r="JP23" s="32" t="s">
        <v>141</v>
      </c>
      <c r="JQ23" s="32">
        <v>0</v>
      </c>
      <c r="JR23" s="32">
        <f t="shared" si="158"/>
        <v>0</v>
      </c>
      <c r="JS23" s="32">
        <f>(JR23)*InputData!$C$6</f>
        <v>0</v>
      </c>
      <c r="JT23" s="32">
        <f>MIN($BE$16*InputData!$C$6/(1-(1+InputData!$C$6)^(-10)), JR23+JS23)</f>
        <v>0</v>
      </c>
      <c r="JU23" s="32">
        <f t="shared" si="145"/>
        <v>0</v>
      </c>
      <c r="JV23" s="32">
        <f>JT23/((1+InputData!$C$3)^(GenSurg!$B23-GenSurg!$B$7))</f>
        <v>0</v>
      </c>
      <c r="JW23" s="32">
        <f>IF(JN23-InputData!$C$158-InputData!$C$159&gt;=0,JN23-InputData!$C$158-InputData!$C$159,0)</f>
        <v>322284.00614731561</v>
      </c>
      <c r="JX23" s="32">
        <f>IF(JN23-IF(JN23&lt;=InputData!$C$146,InputData!$C$145,0)-MAX(InputData!$C$144,KD23)&gt;=0,JN23-IF(JN23&lt;=InputData!$C$146,InputData!$C$145,0)-MAX(InputData!$C$144,KD23),0)</f>
        <v>316184.00614731561</v>
      </c>
      <c r="JY23" s="32">
        <f>IF(JX23&lt;0,"Error",IF(JX23&lt;=InputData!$B$170,InputData!$C$170*JX23,IF(JX23&lt;=InputData!$B$171,InputData!$D$170+InputData!$C$171*(JX23-InputData!$B$170),IF(JX23&lt;=InputData!$B$172,InputData!$D$171+InputData!$C$172*(JX23-InputData!$B$171),IF(JX23&lt;=InputData!$B$173,InputData!$D$172+InputData!$C$173*(JX23-InputData!$B$172),IF(JX23&lt;=InputData!$B$174,InputData!$D$173+InputData!$C$174*(JX23-InputData!$B$173),IF(JX23&lt;=InputData!$B$175,InputData!$D$174+InputData!$C$175*(JX23-InputData!$B$174),InputData!$D$175+InputData!$C$176*(JX23-InputData!$B$175))))))))</f>
        <v>88471.472028614153</v>
      </c>
      <c r="JZ23" s="32">
        <f>IF(JN23&lt;=InputData!$C$150,InputData!$C$152,IF(JN23&lt;InputData!$C$151,IF(InputData!$C$152-0.25*IF(JN23-InputData!$C$150&lt;=0,0,JN23-InputData!$C$150)&lt;=0,0,InputData!$C$152-0.25*IF(JN23-InputData!$C$150&lt;=0,0,JN23-InputData!$C$150)),0))</f>
        <v>178.99846317109768</v>
      </c>
      <c r="KA23" s="32">
        <f>IF(JN23-JZ23&lt;=0,0,IF(JN23-JZ23&lt;=InputData!$C$153,InputData!$C$154*(JN23-JZ23),InputData!$C$155*(JN23-JZ23)-InputData!$D$154))</f>
        <v>86599.402151560484</v>
      </c>
      <c r="KB23" s="32">
        <f t="shared" si="109"/>
        <v>88471.472028614153</v>
      </c>
      <c r="KC23" s="32">
        <f>IF(JN23&gt;=0,IF(JN23&lt;=InputData!$C$148,InputData!$C$147*JN23,InputData!$C$147*InputData!$C$148)+InputData!$C$149*JN23,0)</f>
        <v>11722.518089136076</v>
      </c>
      <c r="KD23" s="32">
        <f>IF(JW23&lt;0,0,IF(JW23&lt;=InputData!$B$163,InputData!$C$163*JW23,IF(JW23&lt;=InputData!$B$164,InputData!$D$163+InputData!$C$164*(JW23-InputData!$B$163),IF(JW23&lt;=InputData!$B$165,InputData!$D$164+InputData!$C$165*(JW23-InputData!$B$164),InputData!$D$165+InputData!$C$166*(JW23-InputData!$B$165)))))</f>
        <v>0</v>
      </c>
      <c r="KE23" s="43">
        <f t="shared" si="28"/>
        <v>0.31088725536057688</v>
      </c>
      <c r="KF23" s="32">
        <f t="shared" si="29"/>
        <v>222090.01602956536</v>
      </c>
      <c r="KG23" s="32">
        <f t="shared" si="110"/>
        <v>222090.01602956536</v>
      </c>
      <c r="KH23" s="32">
        <f>KG23/((1+InputData!$C$7)^(GenSurg!$B23-GenSurg!$B$7))</f>
        <v>138399.15552049037</v>
      </c>
      <c r="KI23" s="5">
        <f t="shared" si="129"/>
        <v>1371939.2348829927</v>
      </c>
    </row>
    <row r="24" spans="1:295" ht="14.45" x14ac:dyDescent="0.3">
      <c r="A24" s="4">
        <v>2030</v>
      </c>
      <c r="B24" s="51">
        <v>18</v>
      </c>
      <c r="C24" s="4"/>
      <c r="D24" s="3">
        <v>14</v>
      </c>
      <c r="E24" s="97" t="s">
        <v>263</v>
      </c>
      <c r="F24" s="5">
        <f>InputData!$J$22*12</f>
        <v>85420.799999999988</v>
      </c>
      <c r="G24" s="32">
        <f>(InputData!$J$22+InputData!$H$45+InputData!$E$50)*12+InputData!$J$50+InputData!$D$58+InputData!$J$58</f>
        <v>224420.72</v>
      </c>
      <c r="H24" s="32">
        <f>(InputData!$C$33+InputData!$C$40)*12</f>
        <v>21019.199999999997</v>
      </c>
      <c r="I24" s="32">
        <f t="shared" si="30"/>
        <v>245439.91999999998</v>
      </c>
      <c r="J24" s="32">
        <f>G24*((1+InputData!$C$5)/(1+InputData!$C$3))^(GenSurg!$B24-GenSurg!$B$7)</f>
        <v>189811.87782689105</v>
      </c>
      <c r="K24" s="32">
        <f>H24*((1+InputData!$C$5)/(1+InputData!$C$3))^(GenSurg!$B24-GenSurg!$B$7)</f>
        <v>17777.742725444368</v>
      </c>
      <c r="L24" s="32">
        <f>IF(J24-InputData!$C$158-InputData!$C$159&gt;=0,J24-InputData!$C$158-InputData!$C$159,0)</f>
        <v>189811.87782689105</v>
      </c>
      <c r="M24" s="32">
        <f>IF(J24-IF(J24&lt;=InputData!$C$146,InputData!$C$145,0)-MAX(InputData!$C$144,S24)&gt;=0,J24-IF(J24&lt;=InputData!$C$146,InputData!$C$145,0)-MAX(InputData!$C$144,S24),0)</f>
        <v>183711.87782689105</v>
      </c>
      <c r="N24" s="32">
        <f>IF(M24&lt;0,"Error",IF(M24&lt;=InputData!$B$170,InputData!$C$170*M24,IF(M24&lt;=InputData!$B$171,InputData!$D$170+InputData!$C$171*(M24-InputData!$B$170),IF(M24&lt;=InputData!$B$172,InputData!$D$171+InputData!$C$172*(M24-InputData!$B$171),IF(M24&lt;=InputData!$B$173,InputData!$D$172+InputData!$C$173*(M24-InputData!$B$172),IF(M24&lt;=InputData!$B$174,InputData!$D$173+InputData!$C$174*(M24-InputData!$B$173),IF(M24&lt;=InputData!$B$175,InputData!$D$174+InputData!$C$175*(M24-InputData!$B$174),InputData!$D$175+InputData!$C$176*(M24-InputData!$B$175))))))))</f>
        <v>44755.669682874046</v>
      </c>
      <c r="O24" s="32">
        <f>IF(J24&lt;=InputData!$C$150,InputData!$C$152,IF(J24&lt;InputData!$C$151,IF(InputData!$C$152-0.25*IF(J24-InputData!$C$150&lt;=0,0,J24-InputData!$C$150)&lt;=0,0,InputData!$C$152-0.25*IF(J24-InputData!$C$150&lt;=0,0,J24-InputData!$C$150)),0))</f>
        <v>33297.030543277237</v>
      </c>
      <c r="P24" s="32">
        <f>IF(J24-O24&lt;=0,0,IF(J24-O24&lt;=InputData!$C$153,InputData!$C$154*(J24-O24),InputData!$C$155*(J24-O24)-InputData!$D$154))</f>
        <v>40693.860293739592</v>
      </c>
      <c r="Q24" s="32">
        <f t="shared" si="31"/>
        <v>44755.669682874046</v>
      </c>
      <c r="R24" s="32">
        <f>IF(J24&gt;=0,IF(J24&lt;=InputData!$C$148,InputData!$C$147*J24,InputData!$C$147*InputData!$C$148)+InputData!$C$149*J24,0)</f>
        <v>9801.6722284899206</v>
      </c>
      <c r="S24" s="32">
        <f>IF(L24&lt;0,0,IF(L24&lt;=InputData!$B$163,InputData!$C$163*L24,IF(L24&lt;=InputData!$B$164,InputData!$D$163+InputData!$C$164*(L24-InputData!$B$163),IF(L24&lt;=InputData!$B$165,InputData!$D$164+InputData!$C$165*(L24-InputData!$B$164),InputData!$D$165+InputData!$C$166*(L24-InputData!$B$165)))))</f>
        <v>0</v>
      </c>
      <c r="T24" s="43">
        <f t="shared" si="32"/>
        <v>0.28742849254734421</v>
      </c>
      <c r="U24" s="43">
        <f t="shared" si="33"/>
        <v>0.2628134381969715</v>
      </c>
      <c r="V24" s="5">
        <f t="shared" si="34"/>
        <v>153032.27864097146</v>
      </c>
      <c r="W24" s="32">
        <f>V24/((1+InputData!$C$7)^(GenSurg!$B24-GenSurg!$B$7))</f>
        <v>92587.04532288725</v>
      </c>
      <c r="X24" s="5">
        <f t="shared" si="111"/>
        <v>1071048.7796929423</v>
      </c>
      <c r="Y24" s="53"/>
      <c r="Z24" s="3">
        <v>14</v>
      </c>
      <c r="AA24" s="97" t="s">
        <v>263</v>
      </c>
      <c r="AB24" s="5">
        <f t="shared" si="133"/>
        <v>85420.799999999988</v>
      </c>
      <c r="AC24" s="32">
        <f t="shared" si="170"/>
        <v>224420.72</v>
      </c>
      <c r="AD24" s="32">
        <f t="shared" si="169"/>
        <v>21019.199999999997</v>
      </c>
      <c r="AE24" s="32">
        <f t="shared" si="35"/>
        <v>245439.91999999998</v>
      </c>
      <c r="AF24" s="5">
        <f>AC24*((1+InputData!$C$5)/(1+InputData!$C$3))^(GenSurg!$B24-GenSurg!$B$7)</f>
        <v>189811.87782689105</v>
      </c>
      <c r="AG24" s="5">
        <f>AD24*((1+InputData!$C$5)/(1+InputData!$C$3))^(GenSurg!$B24-GenSurg!$B$7)</f>
        <v>17777.742725444368</v>
      </c>
      <c r="AH24" s="32">
        <f>IF(AF24-InputData!$C$158-InputData!$C$159&gt;=0,AF24-InputData!$C$158-InputData!$C$159,0)</f>
        <v>189811.87782689105</v>
      </c>
      <c r="AI24" s="32">
        <f>IF(AF24-IF(AF24&lt;=InputData!$C$146,InputData!$C$145,0)-MAX(InputData!$C$144,AO24)&gt;=0,AF24-IF(AF24&lt;=InputData!$C$146,InputData!$C$145,0)-MAX(InputData!$C$144,AO24),0)</f>
        <v>183711.87782689105</v>
      </c>
      <c r="AJ24" s="32">
        <f>IF(AI24&lt;0,"Error",IF(AI24&lt;=InputData!$B$170,InputData!$C$170*AI24,IF(AI24&lt;=InputData!$B$171,InputData!$D$170+InputData!$C$171*(AI24-InputData!$B$170),IF(AI24&lt;=InputData!$B$172,InputData!$D$171+InputData!$C$172*(AI24-InputData!$B$171),IF(AI24&lt;=InputData!$B$173,InputData!$D$172+InputData!$C$173*(AI24-InputData!$B$172),IF(AI24&lt;=InputData!$B$174,InputData!$D$173+InputData!$C$174*(AI24-InputData!$B$173),IF(AI24&lt;=InputData!$B$175,InputData!$D$174+InputData!$C$175*(AI24-InputData!$B$174),InputData!$D$175+InputData!$C$176*(AI24-InputData!$B$175))))))))</f>
        <v>44755.669682874046</v>
      </c>
      <c r="AK24" s="32">
        <f>IF(AF24&lt;=InputData!$C$150,InputData!$C$152,IF(AF24&lt;InputData!$C$151,IF(InputData!$C$152-0.25*IF(AF24-InputData!$C$150&lt;=0,0,AF24-InputData!$C$150)&lt;=0,0,InputData!$C$152-0.25*IF(AF24-InputData!$C$150&lt;=0,0,AF24-InputData!$C$150)),0))</f>
        <v>33297.030543277237</v>
      </c>
      <c r="AL24" s="32">
        <f>IF(AF24-AK24&lt;=0,0,IF(AF24-AK24&lt;=InputData!$C$153,InputData!$C$154*(AF24-AK24),InputData!$C$155*(AF24-AK24)-InputData!$D$154))</f>
        <v>40693.860293739592</v>
      </c>
      <c r="AM24" s="32">
        <f t="shared" si="36"/>
        <v>44755.669682874046</v>
      </c>
      <c r="AN24" s="32">
        <f>IF(AF24&gt;=0,IF(AF24&lt;=InputData!$C$148,InputData!$C$147*AF24,InputData!$C$147*InputData!$C$148)+InputData!$C$149*AF24,0)</f>
        <v>9801.6722284899206</v>
      </c>
      <c r="AO24" s="32">
        <f>IF(AH24&lt;0,0,IF(AH24&lt;=InputData!$B$163,InputData!$C$163*AH24,IF(AH24&lt;=InputData!$B$164,InputData!$D$163+InputData!$C$164*(AH24-InputData!$B$163),IF(AH24&lt;=InputData!$B$165,InputData!$D$164+InputData!$C$165*(AH24-InputData!$B$164),InputData!$D$165+InputData!$C$166*(AH24-InputData!$B$165)))))</f>
        <v>0</v>
      </c>
      <c r="AP24" s="43">
        <f t="shared" si="37"/>
        <v>0.28742849254734421</v>
      </c>
      <c r="AQ24" s="43">
        <f t="shared" si="38"/>
        <v>0.2628134381969715</v>
      </c>
      <c r="AR24" s="5">
        <f t="shared" si="39"/>
        <v>153032.27864097146</v>
      </c>
      <c r="AS24" s="32">
        <f>AR24/((1+InputData!$C$7)^(GenSurg!$B24-GenSurg!$B$7))</f>
        <v>92587.04532288725</v>
      </c>
      <c r="AT24" s="5">
        <f t="shared" si="112"/>
        <v>1108598.9865412279</v>
      </c>
      <c r="AU24" s="53"/>
      <c r="AV24" s="41" t="s">
        <v>109</v>
      </c>
      <c r="AW24" s="32">
        <f>$AW$17*(1+InputData!$C$3+InputData!$C$4)^(GenSurg!$B24-GenSurg!$B$17)</f>
        <v>455699.68291692098</v>
      </c>
      <c r="AX24" s="32">
        <v>0</v>
      </c>
      <c r="AY24" s="32">
        <f t="shared" si="41"/>
        <v>455699.68291692098</v>
      </c>
      <c r="AZ24" s="32">
        <f>AZ23*(1+InputData!$C$8)</f>
        <v>16088.773906520961</v>
      </c>
      <c r="BA24" s="32">
        <f>AW24/((1+InputData!$C$3)^(GenSurg!$B24-GenSurg!$B$7))</f>
        <v>325443.65326640697</v>
      </c>
      <c r="BB24" s="32">
        <f>AX24/((1+InputData!$C$3)^(GenSurg!$B24-GenSurg!$B$7))</f>
        <v>0</v>
      </c>
      <c r="BC24" s="32" t="s">
        <v>141</v>
      </c>
      <c r="BD24" s="32">
        <v>0</v>
      </c>
      <c r="BE24" s="32">
        <f t="shared" si="146"/>
        <v>68173.665493597859</v>
      </c>
      <c r="BF24" s="32">
        <f>(BE24)*InputData!$C$6</f>
        <v>4233.5846271524269</v>
      </c>
      <c r="BG24" s="32">
        <f>MIN($BE$16*InputData!$C$6/(1-(1+InputData!$C$6)^(-10)), BE24+BF24)</f>
        <v>37293.894744798265</v>
      </c>
      <c r="BH24" s="32">
        <f t="shared" si="137"/>
        <v>35113.355375952015</v>
      </c>
      <c r="BI24" s="32">
        <f>BG24/((1+InputData!$C$3)^(GenSurg!$B24-GenSurg!$B$7))</f>
        <v>26633.903435242726</v>
      </c>
      <c r="BJ24" s="32">
        <f>IF(BA24-InputData!$C$158-InputData!$C$159&gt;=0,BA24-InputData!$C$158-InputData!$C$159,0)</f>
        <v>325443.65326640697</v>
      </c>
      <c r="BK24" s="32">
        <f>IF(BA24-IF(BA24&lt;=InputData!$C$146,InputData!$C$145,0)-MAX(InputData!$C$144,BQ24)&gt;=0,BA24-IF(BA24&lt;=InputData!$C$146,InputData!$C$145,0)-MAX(InputData!$C$144,BQ24),0)</f>
        <v>319343.65326640697</v>
      </c>
      <c r="BL24" s="32">
        <f>IF(BK24&lt;0,"Error",IF(BK24&lt;=InputData!$B$170,InputData!$C$170*BK24,IF(BK24&lt;=InputData!$B$171,InputData!$D$170+InputData!$C$171*(BK24-InputData!$B$170),IF(BK24&lt;=InputData!$B$172,InputData!$D$171+InputData!$C$172*(BK24-InputData!$B$171),IF(BK24&lt;=InputData!$B$173,InputData!$D$172+InputData!$C$173*(BK24-InputData!$B$172),IF(BK24&lt;=InputData!$B$174,InputData!$D$173+InputData!$C$174*(BK24-InputData!$B$173),IF(BK24&lt;=InputData!$B$175,InputData!$D$174+InputData!$C$175*(BK24-InputData!$B$174),InputData!$D$175+InputData!$C$176*(BK24-InputData!$B$175))))))))</f>
        <v>89514.155577914295</v>
      </c>
      <c r="BM24" s="32">
        <f>IF(BA24&lt;=InputData!$C$150,InputData!$C$152,IF(BA24&lt;InputData!$C$151,IF(InputData!$C$152-0.25*IF(BA24-InputData!$C$150&lt;=0,0,BA24-InputData!$C$150)&lt;=0,0,InputData!$C$152-0.25*IF(BA24-InputData!$C$150&lt;=0,0,BA24-InputData!$C$150)),0))</f>
        <v>0</v>
      </c>
      <c r="BN24" s="32">
        <f>IF(BA24-BM24&lt;=0,0,IF(BA24-BM24&lt;=InputData!$C$153,InputData!$C$154*(BA24-BM24),InputData!$C$155*(BA24-BM24)-InputData!$D$154))</f>
        <v>87534.222914593964</v>
      </c>
      <c r="BO24" s="32">
        <f t="shared" si="42"/>
        <v>89514.155577914295</v>
      </c>
      <c r="BP24" s="32">
        <f>IF(BA24&gt;=0,IF(BA24&lt;=InputData!$C$148,InputData!$C$147*BA24,InputData!$C$147*InputData!$C$148)+InputData!$C$149*BA24,0)</f>
        <v>11768.332972362901</v>
      </c>
      <c r="BQ24" s="32">
        <f>IF(BJ24&lt;0,0,IF(BJ24&lt;=InputData!$B$163,InputData!$C$163*BJ24,IF(BJ24&lt;=InputData!$B$164,InputData!$D$163+InputData!$C$164*(BJ24-InputData!$B$163),IF(BJ24&lt;=InputData!$B$165,InputData!$D$164+InputData!$C$165*(BJ24-InputData!$B$164),InputData!$D$165+InputData!$C$166*(BJ24-InputData!$B$165)))))</f>
        <v>0</v>
      </c>
      <c r="BR24" s="43">
        <f t="shared" si="43"/>
        <v>0.31121359268717319</v>
      </c>
      <c r="BS24" s="32">
        <f t="shared" si="44"/>
        <v>224161.16471612977</v>
      </c>
      <c r="BT24" s="32">
        <f t="shared" si="45"/>
        <v>197527.26128088706</v>
      </c>
      <c r="BU24" s="32">
        <f>BT24/((1+InputData!$C$7)^(GenSurg!$B24-GenSurg!$B$7))</f>
        <v>119507.24157761378</v>
      </c>
      <c r="BV24" s="5">
        <f t="shared" si="114"/>
        <v>1138571.8876833811</v>
      </c>
      <c r="BW24" s="5"/>
      <c r="BX24" s="32" t="s">
        <v>141</v>
      </c>
      <c r="BY24" s="5">
        <f t="shared" si="147"/>
        <v>223819.41208097569</v>
      </c>
      <c r="BZ24" s="32">
        <f>(BY24)*InputData!$C$6</f>
        <v>13899.18549022859</v>
      </c>
      <c r="CA24" s="32">
        <f>MIN($BY$16*InputData!$C$6/(1-(1+InputData!$C$6)^(-25)), BY24+BZ24)</f>
        <v>21686.214673809533</v>
      </c>
      <c r="CB24" s="32">
        <f t="shared" si="148"/>
        <v>216032.38289739474</v>
      </c>
      <c r="CC24" s="32">
        <f>CA24/((1+InputData!$C$3)^(GenSurg!$B24-GenSurg!$B$7))</f>
        <v>15487.482641612505</v>
      </c>
      <c r="CD24" s="5">
        <f t="shared" si="49"/>
        <v>208673.68207451727</v>
      </c>
      <c r="CE24" s="32">
        <f>CD24/((1+InputData!$C$7)^(GenSurg!$B24-GenSurg!$B$7))</f>
        <v>126251.00947006619</v>
      </c>
      <c r="CF24" s="5">
        <f t="shared" si="115"/>
        <v>1213116.4765032213</v>
      </c>
      <c r="CG24" s="5"/>
      <c r="CH24" s="32" t="s">
        <v>141</v>
      </c>
      <c r="CI24" s="5" t="e">
        <f t="shared" si="149"/>
        <v>#VALUE!</v>
      </c>
      <c r="CJ24" s="32" t="e">
        <f>(CI24)*InputData!$C$6</f>
        <v>#VALUE!</v>
      </c>
      <c r="CK24" s="5" t="str">
        <f t="shared" si="159"/>
        <v>DNQ</v>
      </c>
      <c r="CL24" s="32" t="e">
        <f t="shared" si="150"/>
        <v>#VALUE!</v>
      </c>
      <c r="CM24" s="32" t="e">
        <f>CK24/((1+InputData!$C$3)^(GenSurg!$B24-GenSurg!$B$7))</f>
        <v>#VALUE!</v>
      </c>
      <c r="CN24" s="5" t="e">
        <f t="shared" si="53"/>
        <v>#VALUE!</v>
      </c>
      <c r="CO24" s="32" t="e">
        <f>CN24/((1+InputData!$C$7)^(GenSurg!$B24-GenSurg!$B$7))</f>
        <v>#VALUE!</v>
      </c>
      <c r="CP24" s="5" t="e">
        <f t="shared" si="116"/>
        <v>#VALUE!</v>
      </c>
      <c r="CQ24" s="5"/>
      <c r="CR24" s="32" t="s">
        <v>141</v>
      </c>
      <c r="CS24" s="5">
        <f t="shared" si="160"/>
        <v>78089.109162185108</v>
      </c>
      <c r="CT24" s="32">
        <f>(CS24)*InputData!$C$6</f>
        <v>4849.333678971695</v>
      </c>
      <c r="CU24" s="32">
        <f t="shared" si="161"/>
        <v>37293.894744798265</v>
      </c>
      <c r="CV24" s="32">
        <f t="shared" si="152"/>
        <v>45644.548096358543</v>
      </c>
      <c r="CW24" s="32">
        <f>CU24/((1+InputData!$C$3)^(GenSurg!$B24-GenSurg!$B$7))</f>
        <v>26633.903435242726</v>
      </c>
      <c r="CX24" s="5">
        <f t="shared" si="57"/>
        <v>197527.26128088706</v>
      </c>
      <c r="CY24" s="32">
        <f>CX24/((1+InputData!$C$7)^(GenSurg!$B24-GenSurg!$B$7))</f>
        <v>119507.24157761378</v>
      </c>
      <c r="CZ24" s="5">
        <f t="shared" si="117"/>
        <v>1142777.1121107559</v>
      </c>
      <c r="DA24" s="5"/>
      <c r="DB24" s="32" t="s">
        <v>141</v>
      </c>
      <c r="DC24" s="5">
        <f t="shared" si="138"/>
        <v>0</v>
      </c>
      <c r="DD24" s="5">
        <f>DC24*InputData!$C$6</f>
        <v>0</v>
      </c>
      <c r="DE24" s="32">
        <f t="shared" si="139"/>
        <v>0</v>
      </c>
      <c r="DF24" s="32">
        <f t="shared" si="140"/>
        <v>0</v>
      </c>
      <c r="DG24" s="32">
        <f>DE24/((1+InputData!$C$3)^(GenSurg!$B24-GenSurg!$B$7))</f>
        <v>0</v>
      </c>
      <c r="DH24" s="5">
        <f t="shared" si="61"/>
        <v>224161.16471612977</v>
      </c>
      <c r="DI24" s="32">
        <f>DH24/((1+InputData!$C$7)^(GenSurg!$B24-GenSurg!$B$7))</f>
        <v>135621.19117297718</v>
      </c>
      <c r="DJ24" s="5">
        <f t="shared" si="118"/>
        <v>1127821.6496116458</v>
      </c>
      <c r="DK24" s="5"/>
      <c r="DL24" s="32" t="s">
        <v>141</v>
      </c>
      <c r="DM24" s="32">
        <f t="shared" si="153"/>
        <v>98564.163488709382</v>
      </c>
      <c r="DN24" s="5">
        <f>DM24*InputData!$C$6</f>
        <v>6120.8345526488529</v>
      </c>
      <c r="DO24" s="32">
        <f t="shared" si="154"/>
        <v>0</v>
      </c>
      <c r="DP24" s="32">
        <f t="shared" si="130"/>
        <v>29148.379963889372</v>
      </c>
      <c r="DQ24" s="32">
        <f t="shared" si="131"/>
        <v>75536.618077468869</v>
      </c>
      <c r="DR24" s="32">
        <f>DP24/((1+InputData!$C$3)^(GenSurg!$B24-GenSurg!$B$7))</f>
        <v>20816.681726712824</v>
      </c>
      <c r="DS24" s="5">
        <f t="shared" si="65"/>
        <v>203344.48298941695</v>
      </c>
      <c r="DT24" s="32">
        <f>DS24/((1+InputData!$C$7)^(GenSurg!$B24-GenSurg!$B$7))</f>
        <v>123026.75638039959</v>
      </c>
      <c r="DU24" s="5">
        <f t="shared" si="120"/>
        <v>1154246.0484494548</v>
      </c>
      <c r="DV24" s="5"/>
      <c r="DW24" s="32" t="s">
        <v>141</v>
      </c>
      <c r="DX24" s="133">
        <f t="shared" si="141"/>
        <v>113656.25939691655</v>
      </c>
      <c r="DY24" s="5">
        <f>DX24*InputData!$C$6</f>
        <v>7058.0537085485175</v>
      </c>
      <c r="DZ24" s="133">
        <f t="shared" si="142"/>
        <v>0</v>
      </c>
      <c r="EA24" s="32">
        <f t="shared" si="143"/>
        <v>29148.379963889372</v>
      </c>
      <c r="EB24" s="32">
        <f t="shared" si="144"/>
        <v>91565.93314157569</v>
      </c>
      <c r="EC24" s="32">
        <f>EA24/((1+InputData!$C$3)^(GenSurg!$B24-GenSurg!$B$7))</f>
        <v>20816.681726712824</v>
      </c>
      <c r="ED24" s="5">
        <f t="shared" si="69"/>
        <v>203344.48298941695</v>
      </c>
      <c r="EE24" s="32">
        <f>ED24/((1+InputData!$C$7)^(GenSurg!$B24-GenSurg!$B$7))</f>
        <v>123026.75638039959</v>
      </c>
      <c r="EF24" s="5">
        <f t="shared" si="122"/>
        <v>1161989.3893731025</v>
      </c>
      <c r="EG24" s="32"/>
      <c r="EH24" s="130" t="s">
        <v>141</v>
      </c>
      <c r="EI24" s="32">
        <v>0</v>
      </c>
      <c r="EJ24" s="32">
        <f t="shared" si="168"/>
        <v>77880.735060571402</v>
      </c>
      <c r="EK24" s="32">
        <f>(EJ24)*InputData!$C$6</f>
        <v>4836.3936472614841</v>
      </c>
      <c r="EL24" s="32">
        <f t="shared" si="167"/>
        <v>45451.34655033076</v>
      </c>
      <c r="EM24" s="32">
        <f>EM23*(1+InputData!$C$8)</f>
        <v>16088.773906520961</v>
      </c>
      <c r="EN24" s="32">
        <f t="shared" si="162"/>
        <v>37265.782157502101</v>
      </c>
      <c r="EO24" s="32">
        <f>AW24/((1+InputData!$C$3)^(GenSurg!$B24-GenSurg!$B$7))</f>
        <v>325443.65326640697</v>
      </c>
      <c r="EP24" s="32">
        <f>AX24/((1+InputData!$C$3)^(GenSurg!$B24-GenSurg!$B$7))</f>
        <v>0</v>
      </c>
      <c r="EQ24" s="32">
        <v>83774.5</v>
      </c>
      <c r="ER24" s="32">
        <v>10227.41</v>
      </c>
      <c r="ES24" s="32">
        <v>0</v>
      </c>
      <c r="ET24" s="43">
        <f t="shared" si="136"/>
        <v>0.28884235122277951</v>
      </c>
      <c r="EU24" s="32">
        <f t="shared" si="70"/>
        <v>231441.74326640696</v>
      </c>
      <c r="EV24" s="32">
        <f>EN24/((1+InputData!$C$3)^(GenSurg!$B24-GenSurg!$B$7))</f>
        <v>26613.826477861781</v>
      </c>
      <c r="EW24" s="32">
        <f t="shared" si="71"/>
        <v>204827.91678854518</v>
      </c>
      <c r="EX24" s="32">
        <f>EW24/((1+InputData!$C$7)^(GenSurg!$B24-GenSurg!$B$7))</f>
        <v>123924.25822519415</v>
      </c>
      <c r="EY24" s="5">
        <f t="shared" si="124"/>
        <v>1244734.3100294576</v>
      </c>
      <c r="EZ24" s="79"/>
      <c r="FA24" s="32">
        <f t="shared" si="163"/>
        <v>68122.275362971704</v>
      </c>
      <c r="FB24" s="32">
        <f>FA24*InputData!$C$6</f>
        <v>4230.3933000405432</v>
      </c>
      <c r="FC24" s="32">
        <f t="shared" si="155"/>
        <v>35086.886505510141</v>
      </c>
      <c r="FD24" s="32">
        <f>MIN($EJ$16*InputData!$C$6/(1-(1+InputData!$C$6)^(-10)), FA24+FB24)</f>
        <v>37265.782157502101</v>
      </c>
      <c r="FE24" s="32">
        <f>FD24/((1+InputData!$C$3)^(GenSurg!$B24-GenSurg!$B$7))</f>
        <v>26613.826477861781</v>
      </c>
      <c r="FF24" s="5">
        <f t="shared" si="75"/>
        <v>204827.91678854518</v>
      </c>
      <c r="FG24" s="32">
        <f>FF24/((1+InputData!$C$7)^(GenSurg!$B24-GenSurg!$B$7))</f>
        <v>123924.25822519415</v>
      </c>
      <c r="FH24" s="5">
        <f t="shared" si="125"/>
        <v>1240596.1557524714</v>
      </c>
      <c r="FI24" s="79"/>
      <c r="FJ24" s="32">
        <f t="shared" si="164"/>
        <v>223650.69431084834</v>
      </c>
      <c r="FK24" s="32">
        <f>FJ24*InputData!$C$6</f>
        <v>13888.708116703683</v>
      </c>
      <c r="FL24" s="32">
        <f t="shared" si="156"/>
        <v>215869.53508370931</v>
      </c>
      <c r="FM24" s="32">
        <f>MIN($EJ$16*InputData!$C$6/(1-(1+InputData!$C$6)^(-25)), FJ24+FK24)</f>
        <v>21669.867343842721</v>
      </c>
      <c r="FN24" s="32">
        <f>FM24/((1+InputData!$C$3)^(GenSurg!$B24-GenSurg!$B$7))</f>
        <v>15475.807990553947</v>
      </c>
      <c r="FO24" s="5">
        <f t="shared" si="79"/>
        <v>215965.93527585303</v>
      </c>
      <c r="FP24" s="32">
        <f>FO24/((1+InputData!$C$7)^(GenSurg!$B24-GenSurg!$B$7))</f>
        <v>130662.94258413851</v>
      </c>
      <c r="FQ24" s="5">
        <f t="shared" si="126"/>
        <v>1315084.5519629049</v>
      </c>
      <c r="FR24" s="79"/>
      <c r="FS24" s="32">
        <f t="shared" si="165"/>
        <v>68122.275362971704</v>
      </c>
      <c r="FT24" s="32">
        <f>FS24*InputData!$C$6</f>
        <v>4230.3933000405432</v>
      </c>
      <c r="FU24" s="32">
        <f t="shared" si="157"/>
        <v>35086.886505510141</v>
      </c>
      <c r="FV24" s="5">
        <f t="shared" si="166"/>
        <v>37265.782157502101</v>
      </c>
      <c r="FW24" s="32">
        <f>FV24/((1+InputData!$C$3)^(GenSurg!$B24-GenSurg!$B$7))</f>
        <v>26613.826477861781</v>
      </c>
      <c r="FX24" s="5">
        <f t="shared" si="83"/>
        <v>204827.91678854518</v>
      </c>
      <c r="FY24" s="32">
        <f>FX24/((1+InputData!$C$7)^(GenSurg!$B24-GenSurg!$B$7))</f>
        <v>123924.25822519415</v>
      </c>
      <c r="FZ24" s="5">
        <f t="shared" si="127"/>
        <v>1240596.1557524714</v>
      </c>
      <c r="GC24" s="3">
        <f t="shared" si="1"/>
        <v>14</v>
      </c>
      <c r="GD24" s="122" t="str">
        <f t="shared" si="2"/>
        <v>Multi-Year (O5&gt;12 = (BP+BAH+BAS+VSP+BCPSP)*12+ASP+ISP+MSP)</v>
      </c>
      <c r="GE24" s="5">
        <f t="shared" si="3"/>
        <v>224420.72</v>
      </c>
      <c r="GF24" s="5">
        <f t="shared" si="4"/>
        <v>21019.199999999997</v>
      </c>
      <c r="GG24" s="5">
        <f t="shared" si="5"/>
        <v>245439.91999999998</v>
      </c>
      <c r="GH24" s="5">
        <f t="shared" si="6"/>
        <v>189811.87782689105</v>
      </c>
      <c r="GI24" s="5">
        <f t="shared" si="7"/>
        <v>17777.742725444368</v>
      </c>
      <c r="GJ24" s="32">
        <f>IF(GH24-InputData!$C$158-InputData!$C$159&gt;=0,GH24-InputData!$C$158-InputData!$C$159,0)</f>
        <v>189811.87782689105</v>
      </c>
      <c r="GK24" s="32">
        <f>IF(GH24-IF(GH24&lt;=InputData!$C$146,InputData!$C$145,0)-MAX(InputData!$C$144,GQ24)&gt;=0,GH24-IF(GH24&lt;=InputData!$C$146,InputData!$C$145,0)-MAX(InputData!$C$144,GQ24),0)</f>
        <v>183711.87782689105</v>
      </c>
      <c r="GL24" s="32">
        <f>IF(GK24&lt;0,"Error",IF(GK24&lt;=InputData!$B$170,InputData!$C$170*GK24,IF(GK24&lt;=InputData!$B$171,InputData!$D$170+InputData!$C$171*(GK24-InputData!$B$170),IF(GK24&lt;=InputData!$B$172,InputData!$D$171+InputData!$C$172*(GK24-InputData!$B$171),IF(GK24&lt;=InputData!$B$173,InputData!$D$172+InputData!$C$173*(GK24-InputData!$B$172),IF(GK24&lt;=InputData!$B$174,InputData!$D$173+InputData!$C$174*(GK24-InputData!$B$173),IF(GK24&lt;=InputData!$B$175,InputData!$D$174+InputData!$C$175*(GK24-InputData!$B$174),InputData!$D$175+InputData!$C$176*(GK24-InputData!$B$175))))))))</f>
        <v>44755.669682874046</v>
      </c>
      <c r="GM24" s="32">
        <f>IF(GH24&lt;=InputData!$C$150,InputData!$C$152,IF(GH24&lt;InputData!$C$151,IF(InputData!$C$152-0.25*IF(GH24-InputData!$C$150&lt;=0,0,GH24-InputData!$C$150)&lt;=0,0,InputData!$C$152-0.25*IF(GH24-InputData!$C$150&lt;=0,0,GH24-InputData!$C$150)),0))</f>
        <v>33297.030543277237</v>
      </c>
      <c r="GN24" s="32">
        <f>IF(GH24-GM24&lt;=0,0,IF(GH24-GM24&lt;=InputData!$C$153,InputData!$C$154*(GH24-GM24),InputData!$C$155*(GH24-GM24)-InputData!$D$154))</f>
        <v>40693.860293739592</v>
      </c>
      <c r="GO24" s="32">
        <f t="shared" si="84"/>
        <v>44755.669682874046</v>
      </c>
      <c r="GP24" s="32">
        <f>IF(GH24&gt;=0,IF(GH24&lt;=InputData!$C$148,InputData!$C$147*GH24,InputData!$C$147*InputData!$C$148)+InputData!$C$149*GH24,0)</f>
        <v>9801.6722284899206</v>
      </c>
      <c r="GQ24" s="32">
        <f>IF(GJ24&lt;0,0,IF(GJ24&lt;=InputData!$B$163,InputData!$C$163*GJ24,IF(GJ24&lt;=InputData!$B$164,InputData!$D$163+InputData!$C$164*(GJ24-InputData!$B$163),IF(GJ24&lt;=InputData!$B$165,InputData!$D$164+InputData!$C$165*(GJ24-InputData!$B$164),InputData!$D$165+InputData!$C$166*(GJ24-InputData!$B$165)))))</f>
        <v>0</v>
      </c>
      <c r="GR24" s="43">
        <f t="shared" si="85"/>
        <v>0.28742849254734421</v>
      </c>
      <c r="GS24" s="43">
        <f t="shared" si="86"/>
        <v>0.2628134381969715</v>
      </c>
      <c r="GT24" s="5">
        <f t="shared" si="87"/>
        <v>153032.27864097146</v>
      </c>
      <c r="GU24" s="32">
        <f>GT24/((1+InputData!$C$7)^(GenSurg!$B24-GenSurg!$B$7))</f>
        <v>92587.04532288725</v>
      </c>
      <c r="GV24" s="32">
        <f t="shared" si="88"/>
        <v>1071048.7796929423</v>
      </c>
      <c r="GX24" s="3">
        <f t="shared" si="8"/>
        <v>14</v>
      </c>
      <c r="GY24" s="4" t="str">
        <f t="shared" si="9"/>
        <v>Multi-Year (O5&gt;12 = (BP+BAH+BAS+VSP+BCPSP)*12+ASP+ISP+MSP)</v>
      </c>
      <c r="GZ24" s="5">
        <f t="shared" si="10"/>
        <v>224420.72</v>
      </c>
      <c r="HA24" s="5">
        <f t="shared" si="11"/>
        <v>21019.199999999997</v>
      </c>
      <c r="HB24" s="5">
        <f t="shared" si="12"/>
        <v>245439.91999999998</v>
      </c>
      <c r="HC24" s="5">
        <f t="shared" si="13"/>
        <v>189811.87782689105</v>
      </c>
      <c r="HD24" s="5">
        <f t="shared" si="14"/>
        <v>17777.742725444368</v>
      </c>
      <c r="HE24" s="32">
        <f>IF(HC24-InputData!$C$158-InputData!$C$159&gt;=0,HC24-InputData!$C$158-InputData!$C$159,0)</f>
        <v>189811.87782689105</v>
      </c>
      <c r="HF24" s="32">
        <f>IF(HC24-IF(HC24&lt;=InputData!$C$146,InputData!$C$145,0)-MAX(InputData!$C$144,HL24)&gt;=0,HC24-IF(HC24&lt;=InputData!$C$146,InputData!$C$145,0)-MAX(InputData!$C$144,HL24),0)</f>
        <v>183711.87782689105</v>
      </c>
      <c r="HG24" s="32">
        <f>IF(HF24&lt;0,"Error",IF(HF24&lt;=InputData!$B$170,InputData!$C$170*HF24,IF(HF24&lt;=InputData!$B$171,InputData!$D$170+InputData!$C$171*(HF24-InputData!$B$170),IF(HF24&lt;=InputData!$B$172,InputData!$D$171+InputData!$C$172*(HF24-InputData!$B$171),IF(HF24&lt;=InputData!$B$173,InputData!$D$172+InputData!$C$173*(HF24-InputData!$B$172),IF(HF24&lt;=InputData!$B$174,InputData!$D$173+InputData!$C$174*(HF24-InputData!$B$173),IF(HF24&lt;=InputData!$B$175,InputData!$D$174+InputData!$C$175*(HF24-InputData!$B$174),InputData!$D$175+InputData!$C$176*(HF24-InputData!$B$175))))))))</f>
        <v>44755.669682874046</v>
      </c>
      <c r="HH24" s="32">
        <f>IF(HC24&lt;=InputData!$C$150,InputData!$C$152,IF(HC24&lt;InputData!$C$151,IF(InputData!$C$152-0.25*IF(HC24-InputData!$C$150&lt;=0,0,HC24-InputData!$C$150)&lt;=0,0,InputData!$C$152-0.25*IF(HC24-InputData!$C$150&lt;=0,0,HC24-InputData!$C$150)),0))</f>
        <v>33297.030543277237</v>
      </c>
      <c r="HI24" s="32">
        <f>IF(HC24-HH24&lt;=0,0,IF(HC24-HH24&lt;=InputData!$C$153,InputData!$C$154*(HC24-HH24),InputData!$C$155*(HC24-HH24)-InputData!$D$154))</f>
        <v>40693.860293739592</v>
      </c>
      <c r="HJ24" s="32">
        <f t="shared" si="89"/>
        <v>44755.669682874046</v>
      </c>
      <c r="HK24" s="32">
        <f>IF(HC24&gt;=0,IF(HC24&lt;=InputData!$C$148,InputData!$C$147*HC24,InputData!$C$147*InputData!$C$148)+InputData!$C$149*HC24,0)</f>
        <v>9801.6722284899206</v>
      </c>
      <c r="HL24" s="32">
        <f>IF(HE24&lt;0,0,IF(HE24&lt;=InputData!$B$163,InputData!$C$163*HE24,IF(HE24&lt;=InputData!$B$164,InputData!$D$163+InputData!$C$164*(HE24-InputData!$B$163),IF(HE24&lt;=InputData!$B$165,InputData!$D$164+InputData!$C$165*(HE24-InputData!$B$164),InputData!$D$165+InputData!$C$166*(HE24-InputData!$B$165)))))</f>
        <v>0</v>
      </c>
      <c r="HM24" s="43">
        <f t="shared" si="90"/>
        <v>0.28742849254734421</v>
      </c>
      <c r="HN24" s="43">
        <f t="shared" si="91"/>
        <v>0.2628134381969715</v>
      </c>
      <c r="HO24" s="5">
        <f t="shared" si="92"/>
        <v>153032.27864097146</v>
      </c>
      <c r="HP24" s="32">
        <f>HO24/((1+InputData!$C$7)^(GenSurg!$B24-GenSurg!$B$7))</f>
        <v>92587.04532288725</v>
      </c>
      <c r="HQ24" s="32">
        <f t="shared" si="93"/>
        <v>1108598.9865412279</v>
      </c>
      <c r="HS24" s="41"/>
      <c r="HT24" s="53" t="s">
        <v>109</v>
      </c>
      <c r="HU24" s="32">
        <f>MIN(InputData!$C$13+InputData!$E$13*($B24-$B$23),1)*GenSurg!AW24</f>
        <v>410129.71462522889</v>
      </c>
      <c r="HV24" s="32">
        <f>MIN(InputData!$C$13+InputData!$E$13*($B24-$B$23),1)*GenSurg!AX24</f>
        <v>0</v>
      </c>
      <c r="HW24" s="32">
        <f>MIN(InputData!$C$13+InputData!$E$13*($B24-$B$23),1)*GenSurg!AY24</f>
        <v>410129.71462522889</v>
      </c>
      <c r="HX24" s="32">
        <f>MIN(InputData!$C$13+InputData!$E$13*($B24-$B$23),1)*GenSurg!EO24</f>
        <v>292899.28793976631</v>
      </c>
      <c r="HY24" s="32">
        <f>MIN(InputData!$C$13+InputData!$E$13*($B24-$B$23),1)*GenSurg!EP24</f>
        <v>0</v>
      </c>
      <c r="HZ24" s="32">
        <f>IF(HX24-InputData!$C$158-InputData!$C$159&gt;=0,HX24-InputData!$C$158-InputData!$C$159,0)</f>
        <v>292899.28793976631</v>
      </c>
      <c r="IA24" s="32">
        <f>IF(HX24-IF(HX24&lt;=InputData!$C$146,InputData!$C$145,0)-MAX(InputData!$C$144,IG24)&gt;=0,HX24-IF(HX24&lt;=InputData!$C$146,InputData!$C$145,0)-MAX(InputData!$C$144,IG24),0)</f>
        <v>286799.28793976631</v>
      </c>
      <c r="IB24" s="32">
        <f>IF(IA24&lt;0,"Error",IF(IA24&lt;=InputData!$B$170,InputData!$C$170*IA24,IF(IA24&lt;=InputData!$B$171,InputData!$D$170+InputData!$C$171*(IA24-InputData!$B$170),IF(IA24&lt;=InputData!$B$172,InputData!$D$171+InputData!$C$172*(IA24-InputData!$B$171),IF(IA24&lt;=InputData!$B$173,InputData!$D$172+InputData!$C$173*(IA24-InputData!$B$172),IF(IA24&lt;=InputData!$B$174,InputData!$D$173+InputData!$C$174*(IA24-InputData!$B$173),IF(IA24&lt;=InputData!$B$175,InputData!$D$174+InputData!$C$175*(IA24-InputData!$B$174),InputData!$D$175+InputData!$C$176*(IA24-InputData!$B$175))))))))</f>
        <v>78774.515020122883</v>
      </c>
      <c r="IC24" s="32">
        <f>IF(HX24&lt;=InputData!$C$150,InputData!$C$152,IF(HX24&lt;InputData!$C$151,IF(InputData!$C$152-0.25*IF(HX24-InputData!$C$150&lt;=0,0,HX24-InputData!$C$150)&lt;=0,0,InputData!$C$152-0.25*IF(HX24-InputData!$C$150&lt;=0,0,HX24-InputData!$C$150)),0))</f>
        <v>7525.1780150584236</v>
      </c>
      <c r="ID24" s="32">
        <f>IF(HX24-IC24&lt;=0,0,IF(HX24-IC24&lt;=InputData!$C$153,InputData!$C$154*(HX24-IC24),InputData!$C$155*(HX24-IC24)-InputData!$D$154))</f>
        <v>76314.750778918227</v>
      </c>
      <c r="IE24" s="32">
        <f t="shared" si="96"/>
        <v>78774.515020122883</v>
      </c>
      <c r="IF24" s="32">
        <f>IF(HX24&gt;=0,IF(HX24&lt;=InputData!$C$148,InputData!$C$147*HX24,InputData!$C$147*InputData!$C$148)+InputData!$C$149*HX24,0)</f>
        <v>11296.43967512661</v>
      </c>
      <c r="IG24" s="32">
        <f>IF(HZ24&lt;0,0,IF(HZ24&lt;=InputData!$B$163,InputData!$C$163*HZ24,IF(HZ24&lt;=InputData!$B$164,InputData!$D$163+InputData!$C$164*(HZ24-InputData!$B$163),IF(HZ24&lt;=InputData!$B$165,InputData!$D$164+InputData!$C$165*(HZ24-InputData!$B$164),InputData!$D$165+InputData!$C$166*(HZ24-InputData!$B$165)))))</f>
        <v>0</v>
      </c>
      <c r="IH24" s="43">
        <f t="shared" si="97"/>
        <v>0.30751510298574802</v>
      </c>
      <c r="II24" s="43">
        <f t="shared" si="98"/>
        <v>0.30751510298574802</v>
      </c>
      <c r="IJ24" s="5">
        <f t="shared" si="20"/>
        <v>202828.33324451683</v>
      </c>
      <c r="IK24" s="32">
        <f>IJ24/((1+InputData!$C$7)^(GenSurg!$B24-GenSurg!$B$7))</f>
        <v>122714.47729621643</v>
      </c>
      <c r="IL24" s="5">
        <f t="shared" si="99"/>
        <v>1130168.4961844955</v>
      </c>
      <c r="IN24" s="227"/>
      <c r="IO24" s="53" t="s">
        <v>109</v>
      </c>
      <c r="IP24" s="32">
        <f>MIN(InputData!$C$13+InputData!$E$13*($B24-$B$20),1)*GenSurg!AW24</f>
        <v>410129.71462522889</v>
      </c>
      <c r="IQ24" s="32">
        <f>MIN(InputData!$C$13+InputData!$E$13*($B24-$B$20),1)*GenSurg!AX24</f>
        <v>0</v>
      </c>
      <c r="IR24" s="32">
        <f>MIN(InputData!$C$13+InputData!$E$13*($B24-$B$20),1)*GenSurg!AY24</f>
        <v>410129.71462522889</v>
      </c>
      <c r="IS24" s="32">
        <f>MIN(InputData!$C$13+InputData!$E$13*($B24-$B$20),1)*GenSurg!EO24</f>
        <v>292899.28793976631</v>
      </c>
      <c r="IT24" s="32">
        <f>MIN(InputData!$C$13+InputData!$E$13*($B24-$B$20),1)*GenSurg!EP24</f>
        <v>0</v>
      </c>
      <c r="IU24" s="32">
        <f>IF(IS24-InputData!$C$158-InputData!$C$159&gt;=0,IS24-InputData!$C$158-InputData!$C$159,0)</f>
        <v>292899.28793976631</v>
      </c>
      <c r="IV24" s="32">
        <f>IF(IS24-IF(IS24&lt;=InputData!$C$146,InputData!$C$145,0)-MAX(InputData!$C$144,JB24)&gt;=0,IS24-IF(IS24&lt;=InputData!$C$146,InputData!$C$145,0)-MAX(InputData!$C$144,JB24),0)</f>
        <v>286799.28793976631</v>
      </c>
      <c r="IW24" s="32">
        <f>IF(IV24&lt;0,"Error",IF(IV24&lt;=InputData!$B$170,InputData!$C$170*IV24,IF(IV24&lt;=InputData!$B$171,InputData!$D$170+InputData!$C$171*(IV24-InputData!$B$170),IF(IV24&lt;=InputData!$B$172,InputData!$D$171+InputData!$C$172*(IV24-InputData!$B$171),IF(IV24&lt;=InputData!$B$173,InputData!$D$172+InputData!$C$173*(IV24-InputData!$B$172),IF(IV24&lt;=InputData!$B$174,InputData!$D$173+InputData!$C$174*(IV24-InputData!$B$173),IF(IV24&lt;=InputData!$B$175,InputData!$D$174+InputData!$C$175*(IV24-InputData!$B$174),InputData!$D$175+InputData!$C$176*(IV24-InputData!$B$175))))))))</f>
        <v>78774.515020122883</v>
      </c>
      <c r="IX24" s="32">
        <f>IF(IS24&lt;=InputData!$C$150,InputData!$C$152,IF(IS24&lt;InputData!$C$151,IF(InputData!$C$152-0.25*IF(IS24-InputData!$C$150&lt;=0,0,IS24-InputData!$C$150)&lt;=0,0,InputData!$C$152-0.25*IF(IS24-InputData!$C$150&lt;=0,0,IS24-InputData!$C$150)),0))</f>
        <v>7525.1780150584236</v>
      </c>
      <c r="IY24" s="32">
        <f>IF(IS24-IX24&lt;=0,0,IF(IS24-IX24&lt;=InputData!$C$153,InputData!$C$154*(IS24-IX24),InputData!$C$155*(IS24-IX24)-InputData!$D$154))</f>
        <v>76314.750778918227</v>
      </c>
      <c r="IZ24" s="32">
        <f t="shared" si="102"/>
        <v>78774.515020122883</v>
      </c>
      <c r="JA24" s="32">
        <f>IF(IS24&gt;=0,IF(IS24&lt;=InputData!$C$148,InputData!$C$147*IS24,InputData!$C$147*InputData!$C$148)+InputData!$C$149*IS24,0)</f>
        <v>11296.43967512661</v>
      </c>
      <c r="JB24" s="32">
        <f>IF(IU24&lt;0,0,IF(IU24&lt;=InputData!$B$163,InputData!$C$163*IU24,IF(IU24&lt;=InputData!$B$164,InputData!$D$163+InputData!$C$164*(IU24-InputData!$B$163),IF(IU24&lt;=InputData!$B$165,InputData!$D$164+InputData!$C$165*(IU24-InputData!$B$164),InputData!$D$165+InputData!$C$166*(IU24-InputData!$B$165)))))</f>
        <v>0</v>
      </c>
      <c r="JC24" s="43">
        <f t="shared" si="103"/>
        <v>0.30751510298574802</v>
      </c>
      <c r="JD24" s="43">
        <f t="shared" si="104"/>
        <v>0.30751510298574802</v>
      </c>
      <c r="JE24" s="5">
        <f t="shared" si="105"/>
        <v>202828.33324451683</v>
      </c>
      <c r="JF24" s="32">
        <f>JE24/((1+InputData!$C$7)^(GenSurg!$B24-GenSurg!$B$7))</f>
        <v>122714.47729621643</v>
      </c>
      <c r="JG24" s="5">
        <f t="shared" si="106"/>
        <v>1257322.8581183262</v>
      </c>
      <c r="JI24" s="41" t="str">
        <f t="shared" si="26"/>
        <v>Private Practice</v>
      </c>
      <c r="JJ24" s="5">
        <f t="shared" si="27"/>
        <v>455699.68291692098</v>
      </c>
      <c r="JK24" s="32">
        <v>0</v>
      </c>
      <c r="JL24" s="32">
        <f t="shared" si="108"/>
        <v>455699.68291692098</v>
      </c>
      <c r="JM24" s="32">
        <f>JM23*(1+InputData!$C$8)</f>
        <v>16088.773906520961</v>
      </c>
      <c r="JN24" s="32">
        <f>JJ24/((1+InputData!$C$3)^(GenSurg!$B24-GenSurg!$B$7))</f>
        <v>325443.65326640697</v>
      </c>
      <c r="JO24" s="32">
        <f>JK24/((1+InputData!$C$3)^(GenSurg!$B24-GenSurg!$B$7))</f>
        <v>0</v>
      </c>
      <c r="JP24" s="32" t="s">
        <v>141</v>
      </c>
      <c r="JQ24" s="32">
        <v>0</v>
      </c>
      <c r="JR24" s="32">
        <f t="shared" si="158"/>
        <v>0</v>
      </c>
      <c r="JS24" s="32">
        <f>(JR24)*InputData!$C$6</f>
        <v>0</v>
      </c>
      <c r="JT24" s="32">
        <f>MIN($BE$16*InputData!$C$6/(1-(1+InputData!$C$6)^(-10)), JR24+JS24)</f>
        <v>0</v>
      </c>
      <c r="JU24" s="32">
        <f t="shared" si="145"/>
        <v>0</v>
      </c>
      <c r="JV24" s="32">
        <f>JT24/((1+InputData!$C$3)^(GenSurg!$B24-GenSurg!$B$7))</f>
        <v>0</v>
      </c>
      <c r="JW24" s="32">
        <f>IF(JN24-InputData!$C$158-InputData!$C$159&gt;=0,JN24-InputData!$C$158-InputData!$C$159,0)</f>
        <v>325443.65326640697</v>
      </c>
      <c r="JX24" s="32">
        <f>IF(JN24-IF(JN24&lt;=InputData!$C$146,InputData!$C$145,0)-MAX(InputData!$C$144,KD24)&gt;=0,JN24-IF(JN24&lt;=InputData!$C$146,InputData!$C$145,0)-MAX(InputData!$C$144,KD24),0)</f>
        <v>319343.65326640697</v>
      </c>
      <c r="JY24" s="32">
        <f>IF(JX24&lt;0,"Error",IF(JX24&lt;=InputData!$B$170,InputData!$C$170*JX24,IF(JX24&lt;=InputData!$B$171,InputData!$D$170+InputData!$C$171*(JX24-InputData!$B$170),IF(JX24&lt;=InputData!$B$172,InputData!$D$171+InputData!$C$172*(JX24-InputData!$B$171),IF(JX24&lt;=InputData!$B$173,InputData!$D$172+InputData!$C$173*(JX24-InputData!$B$172),IF(JX24&lt;=InputData!$B$174,InputData!$D$173+InputData!$C$174*(JX24-InputData!$B$173),IF(JX24&lt;=InputData!$B$175,InputData!$D$174+InputData!$C$175*(JX24-InputData!$B$174),InputData!$D$175+InputData!$C$176*(JX24-InputData!$B$175))))))))</f>
        <v>89514.155577914295</v>
      </c>
      <c r="JZ24" s="32">
        <f>IF(JN24&lt;=InputData!$C$150,InputData!$C$152,IF(JN24&lt;InputData!$C$151,IF(InputData!$C$152-0.25*IF(JN24-InputData!$C$150&lt;=0,0,JN24-InputData!$C$150)&lt;=0,0,InputData!$C$152-0.25*IF(JN24-InputData!$C$150&lt;=0,0,JN24-InputData!$C$150)),0))</f>
        <v>0</v>
      </c>
      <c r="KA24" s="32">
        <f>IF(JN24-JZ24&lt;=0,0,IF(JN24-JZ24&lt;=InputData!$C$153,InputData!$C$154*(JN24-JZ24),InputData!$C$155*(JN24-JZ24)-InputData!$D$154))</f>
        <v>87534.222914593964</v>
      </c>
      <c r="KB24" s="32">
        <f t="shared" si="109"/>
        <v>89514.155577914295</v>
      </c>
      <c r="KC24" s="32">
        <f>IF(JN24&gt;=0,IF(JN24&lt;=InputData!$C$148,InputData!$C$147*JN24,InputData!$C$147*InputData!$C$148)+InputData!$C$149*JN24,0)</f>
        <v>11768.332972362901</v>
      </c>
      <c r="KD24" s="32">
        <f>IF(JW24&lt;0,0,IF(JW24&lt;=InputData!$B$163,InputData!$C$163*JW24,IF(JW24&lt;=InputData!$B$164,InputData!$D$163+InputData!$C$164*(JW24-InputData!$B$163),IF(JW24&lt;=InputData!$B$165,InputData!$D$164+InputData!$C$165*(JW24-InputData!$B$164),InputData!$D$165+InputData!$C$166*(JW24-InputData!$B$165)))))</f>
        <v>0</v>
      </c>
      <c r="KE24" s="43">
        <f t="shared" si="28"/>
        <v>0.31121359268717319</v>
      </c>
      <c r="KF24" s="32">
        <f t="shared" si="29"/>
        <v>224161.16471612977</v>
      </c>
      <c r="KG24" s="32">
        <f t="shared" si="110"/>
        <v>224161.16471612977</v>
      </c>
      <c r="KH24" s="32">
        <f>KG24/((1+InputData!$C$7)^(GenSurg!$B24-GenSurg!$B$7))</f>
        <v>135621.19117297718</v>
      </c>
      <c r="KI24" s="5">
        <f t="shared" si="129"/>
        <v>1507560.4260559699</v>
      </c>
    </row>
    <row r="25" spans="1:295" x14ac:dyDescent="0.25">
      <c r="A25" s="4">
        <v>2031</v>
      </c>
      <c r="B25" s="51">
        <v>19</v>
      </c>
      <c r="C25" s="4"/>
      <c r="D25" s="3">
        <v>15</v>
      </c>
      <c r="E25" s="97" t="s">
        <v>264</v>
      </c>
      <c r="F25" s="5">
        <f>InputData!$K$22*12</f>
        <v>89103.6</v>
      </c>
      <c r="G25" s="32">
        <f>(InputData!$K$22+InputData!$I$45+InputData!$F$50)*12+InputData!$J$50+InputData!$D$58+InputData!$J$58</f>
        <v>228103.52000000002</v>
      </c>
      <c r="H25" s="32">
        <f>(InputData!$C$33+InputData!$C$40)*12</f>
        <v>21019.199999999997</v>
      </c>
      <c r="I25" s="32">
        <f t="shared" si="30"/>
        <v>249122.72000000003</v>
      </c>
      <c r="J25" s="32">
        <f>G25*((1+InputData!$C$5)/(1+InputData!$C$3))^(GenSurg!$B25-GenSurg!$B$7)</f>
        <v>191035.29948442741</v>
      </c>
      <c r="K25" s="32">
        <f>H25*((1+InputData!$C$5)/(1+InputData!$C$3))^(GenSurg!$B25-GenSurg!$B$7)</f>
        <v>17603.451130096877</v>
      </c>
      <c r="L25" s="32">
        <f>IF(J25-InputData!$C$158-InputData!$C$159&gt;=0,J25-InputData!$C$158-InputData!$C$159,0)</f>
        <v>191035.29948442741</v>
      </c>
      <c r="M25" s="32">
        <f>IF(J25-IF(J25&lt;=InputData!$C$146,InputData!$C$145,0)-MAX(InputData!$C$144,S25)&gt;=0,J25-IF(J25&lt;=InputData!$C$146,InputData!$C$145,0)-MAX(InputData!$C$144,S25),0)</f>
        <v>184935.29948442741</v>
      </c>
      <c r="N25" s="32">
        <f>IF(M25&lt;0,"Error",IF(M25&lt;=InputData!$B$170,InputData!$C$170*M25,IF(M25&lt;=InputData!$B$171,InputData!$D$170+InputData!$C$171*(M25-InputData!$B$170),IF(M25&lt;=InputData!$B$172,InputData!$D$171+InputData!$C$172*(M25-InputData!$B$171),IF(M25&lt;=InputData!$B$173,InputData!$D$172+InputData!$C$173*(M25-InputData!$B$172),IF(M25&lt;=InputData!$B$174,InputData!$D$173+InputData!$C$174*(M25-InputData!$B$173),IF(M25&lt;=InputData!$B$175,InputData!$D$174+InputData!$C$175*(M25-InputData!$B$174),InputData!$D$175+InputData!$C$176*(M25-InputData!$B$175))))))))</f>
        <v>45159.398829861042</v>
      </c>
      <c r="O25" s="32">
        <f>IF(J25&lt;=InputData!$C$150,InputData!$C$152,IF(J25&lt;InputData!$C$151,IF(InputData!$C$152-0.25*IF(J25-InputData!$C$150&lt;=0,0,J25-InputData!$C$150)&lt;=0,0,InputData!$C$152-0.25*IF(J25-InputData!$C$150&lt;=0,0,J25-InputData!$C$150)),0))</f>
        <v>32991.175128893148</v>
      </c>
      <c r="P25" s="32">
        <f>IF(J25-O25&lt;=0,0,IF(J25-O25&lt;=InputData!$C$153,InputData!$C$154*(J25-O25),InputData!$C$155*(J25-O25)-InputData!$D$154))</f>
        <v>41091.472332438912</v>
      </c>
      <c r="Q25" s="32">
        <f t="shared" si="31"/>
        <v>45159.398829861042</v>
      </c>
      <c r="R25" s="32">
        <f>IF(J25&gt;=0,IF(J25&lt;=InputData!$C$148,InputData!$C$147*J25,InputData!$C$147*InputData!$C$148)+InputData!$C$149*J25,0)</f>
        <v>9819.4118425241977</v>
      </c>
      <c r="S25" s="32">
        <f>IF(L25&lt;0,0,IF(L25&lt;=InputData!$B$163,InputData!$C$163*L25,IF(L25&lt;=InputData!$B$164,InputData!$D$163+InputData!$C$164*(L25-InputData!$B$163),IF(L25&lt;=InputData!$B$165,InputData!$D$164+InputData!$C$165*(L25-InputData!$B$164),InputData!$D$165+InputData!$C$166*(L25-InputData!$B$165)))))</f>
        <v>0</v>
      </c>
      <c r="T25" s="43">
        <f t="shared" si="32"/>
        <v>0.2877939879214152</v>
      </c>
      <c r="U25" s="43">
        <f t="shared" si="33"/>
        <v>0.26351198188472047</v>
      </c>
      <c r="V25" s="5">
        <f t="shared" si="34"/>
        <v>153659.93994213906</v>
      </c>
      <c r="W25" s="32">
        <f>V25/((1+InputData!$C$7)^(GenSurg!$B25-GenSurg!$B$7))</f>
        <v>90259.020128654345</v>
      </c>
      <c r="X25" s="5">
        <f t="shared" si="111"/>
        <v>1161307.7998215966</v>
      </c>
      <c r="Y25" s="53"/>
      <c r="Z25" s="3">
        <v>15</v>
      </c>
      <c r="AA25" s="97" t="s">
        <v>264</v>
      </c>
      <c r="AB25" s="5">
        <f t="shared" si="133"/>
        <v>89103.6</v>
      </c>
      <c r="AC25" s="32">
        <f t="shared" si="170"/>
        <v>228103.52000000002</v>
      </c>
      <c r="AD25" s="32">
        <f t="shared" si="169"/>
        <v>21019.199999999997</v>
      </c>
      <c r="AE25" s="32">
        <f t="shared" si="35"/>
        <v>249122.72000000003</v>
      </c>
      <c r="AF25" s="5">
        <f>AC25*((1+InputData!$C$5)/(1+InputData!$C$3))^(GenSurg!$B25-GenSurg!$B$7)</f>
        <v>191035.29948442741</v>
      </c>
      <c r="AG25" s="5">
        <f>AD25*((1+InputData!$C$5)/(1+InputData!$C$3))^(GenSurg!$B25-GenSurg!$B$7)</f>
        <v>17603.451130096877</v>
      </c>
      <c r="AH25" s="32">
        <f>IF(AF25-InputData!$C$158-InputData!$C$159&gt;=0,AF25-InputData!$C$158-InputData!$C$159,0)</f>
        <v>191035.29948442741</v>
      </c>
      <c r="AI25" s="32">
        <f>IF(AF25-IF(AF25&lt;=InputData!$C$146,InputData!$C$145,0)-MAX(InputData!$C$144,AO25)&gt;=0,AF25-IF(AF25&lt;=InputData!$C$146,InputData!$C$145,0)-MAX(InputData!$C$144,AO25),0)</f>
        <v>184935.29948442741</v>
      </c>
      <c r="AJ25" s="32">
        <f>IF(AI25&lt;0,"Error",IF(AI25&lt;=InputData!$B$170,InputData!$C$170*AI25,IF(AI25&lt;=InputData!$B$171,InputData!$D$170+InputData!$C$171*(AI25-InputData!$B$170),IF(AI25&lt;=InputData!$B$172,InputData!$D$171+InputData!$C$172*(AI25-InputData!$B$171),IF(AI25&lt;=InputData!$B$173,InputData!$D$172+InputData!$C$173*(AI25-InputData!$B$172),IF(AI25&lt;=InputData!$B$174,InputData!$D$173+InputData!$C$174*(AI25-InputData!$B$173),IF(AI25&lt;=InputData!$B$175,InputData!$D$174+InputData!$C$175*(AI25-InputData!$B$174),InputData!$D$175+InputData!$C$176*(AI25-InputData!$B$175))))))))</f>
        <v>45159.398829861042</v>
      </c>
      <c r="AK25" s="32">
        <f>IF(AF25&lt;=InputData!$C$150,InputData!$C$152,IF(AF25&lt;InputData!$C$151,IF(InputData!$C$152-0.25*IF(AF25-InputData!$C$150&lt;=0,0,AF25-InputData!$C$150)&lt;=0,0,InputData!$C$152-0.25*IF(AF25-InputData!$C$150&lt;=0,0,AF25-InputData!$C$150)),0))</f>
        <v>32991.175128893148</v>
      </c>
      <c r="AL25" s="32">
        <f>IF(AF25-AK25&lt;=0,0,IF(AF25-AK25&lt;=InputData!$C$153,InputData!$C$154*(AF25-AK25),InputData!$C$155*(AF25-AK25)-InputData!$D$154))</f>
        <v>41091.472332438912</v>
      </c>
      <c r="AM25" s="32">
        <f t="shared" si="36"/>
        <v>45159.398829861042</v>
      </c>
      <c r="AN25" s="32">
        <f>IF(AF25&gt;=0,IF(AF25&lt;=InputData!$C$148,InputData!$C$147*AF25,InputData!$C$147*InputData!$C$148)+InputData!$C$149*AF25,0)</f>
        <v>9819.4118425241977</v>
      </c>
      <c r="AO25" s="32">
        <f>IF(AH25&lt;0,0,IF(AH25&lt;=InputData!$B$163,InputData!$C$163*AH25,IF(AH25&lt;=InputData!$B$164,InputData!$D$163+InputData!$C$164*(AH25-InputData!$B$163),IF(AH25&lt;=InputData!$B$165,InputData!$D$164+InputData!$C$165*(AH25-InputData!$B$164),InputData!$D$165+InputData!$C$166*(AH25-InputData!$B$165)))))</f>
        <v>0</v>
      </c>
      <c r="AP25" s="43">
        <f t="shared" si="37"/>
        <v>0.2877939879214152</v>
      </c>
      <c r="AQ25" s="43">
        <f t="shared" si="38"/>
        <v>0.26351198188472047</v>
      </c>
      <c r="AR25" s="5">
        <f t="shared" si="39"/>
        <v>153659.93994213906</v>
      </c>
      <c r="AS25" s="32">
        <f>AR25/((1+InputData!$C$7)^(GenSurg!$B25-GenSurg!$B$7))</f>
        <v>90259.020128654345</v>
      </c>
      <c r="AT25" s="5">
        <f t="shared" si="112"/>
        <v>1198858.0066698822</v>
      </c>
      <c r="AU25" s="53"/>
      <c r="AV25" s="41" t="s">
        <v>109</v>
      </c>
      <c r="AW25" s="32">
        <f>$AW$17*(1+InputData!$C$3+InputData!$C$4)^(GenSurg!$B25-GenSurg!$B$17)</f>
        <v>469370.67340442853</v>
      </c>
      <c r="AX25" s="32">
        <v>0</v>
      </c>
      <c r="AY25" s="32">
        <f t="shared" si="41"/>
        <v>469370.67340442853</v>
      </c>
      <c r="AZ25" s="32">
        <f>AZ24*(1+InputData!$C$8)</f>
        <v>16410.549384651382</v>
      </c>
      <c r="BA25" s="32">
        <f>AW25/((1+InputData!$C$3)^(GenSurg!$B25-GenSurg!$B$7))</f>
        <v>328634.2773180384</v>
      </c>
      <c r="BB25" s="32">
        <f>AX25/((1+InputData!$C$3)^(GenSurg!$B25-GenSurg!$B$7))</f>
        <v>0</v>
      </c>
      <c r="BC25" s="32" t="s">
        <v>141</v>
      </c>
      <c r="BD25" s="32">
        <v>0</v>
      </c>
      <c r="BE25" s="32">
        <f t="shared" si="146"/>
        <v>35113.355375952015</v>
      </c>
      <c r="BF25" s="32">
        <f>(BE25)*InputData!$C$6</f>
        <v>2180.5393688466202</v>
      </c>
      <c r="BG25" s="32">
        <f>MIN($BE$16*InputData!$C$6/(1-(1+InputData!$C$6)^(-10)), BE25+BF25)</f>
        <v>37293.894744798265</v>
      </c>
      <c r="BH25" s="32">
        <f t="shared" si="137"/>
        <v>3.7107383832335472E-10</v>
      </c>
      <c r="BI25" s="32">
        <f>BG25/((1+InputData!$C$3)^(GenSurg!$B25-GenSurg!$B$7))</f>
        <v>26111.670034551698</v>
      </c>
      <c r="BJ25" s="32">
        <f>IF(BA25-InputData!$C$158-InputData!$C$159&gt;=0,BA25-InputData!$C$158-InputData!$C$159,0)</f>
        <v>328634.2773180384</v>
      </c>
      <c r="BK25" s="32">
        <f>IF(BA25-IF(BA25&lt;=InputData!$C$146,InputData!$C$145,0)-MAX(InputData!$C$144,BQ25)&gt;=0,BA25-IF(BA25&lt;=InputData!$C$146,InputData!$C$145,0)-MAX(InputData!$C$144,BQ25),0)</f>
        <v>322534.2773180384</v>
      </c>
      <c r="BL25" s="32">
        <f>IF(BK25&lt;0,"Error",IF(BK25&lt;=InputData!$B$170,InputData!$C$170*BK25,IF(BK25&lt;=InputData!$B$171,InputData!$D$170+InputData!$C$171*(BK25-InputData!$B$170),IF(BK25&lt;=InputData!$B$172,InputData!$D$171+InputData!$C$172*(BK25-InputData!$B$171),IF(BK25&lt;=InputData!$B$173,InputData!$D$172+InputData!$C$173*(BK25-InputData!$B$172),IF(BK25&lt;=InputData!$B$174,InputData!$D$173+InputData!$C$174*(BK25-InputData!$B$173),IF(BK25&lt;=InputData!$B$175,InputData!$D$174+InputData!$C$175*(BK25-InputData!$B$174),InputData!$D$175+InputData!$C$176*(BK25-InputData!$B$175))))))))</f>
        <v>90567.061514952671</v>
      </c>
      <c r="BM25" s="32">
        <f>IF(BA25&lt;=InputData!$C$150,InputData!$C$152,IF(BA25&lt;InputData!$C$151,IF(InputData!$C$152-0.25*IF(BA25-InputData!$C$150&lt;=0,0,BA25-InputData!$C$150)&lt;=0,0,InputData!$C$152-0.25*IF(BA25-InputData!$C$150&lt;=0,0,BA25-InputData!$C$150)),0))</f>
        <v>0</v>
      </c>
      <c r="BN25" s="32">
        <f>IF(BA25-BM25&lt;=0,0,IF(BA25-BM25&lt;=InputData!$C$153,InputData!$C$154*(BA25-BM25),InputData!$C$155*(BA25-BM25)-InputData!$D$154))</f>
        <v>88427.59764905076</v>
      </c>
      <c r="BO25" s="32">
        <f t="shared" si="42"/>
        <v>90567.061514952671</v>
      </c>
      <c r="BP25" s="32">
        <f>IF(BA25&gt;=0,IF(BA25&lt;=InputData!$C$148,InputData!$C$147*BA25,InputData!$C$147*InputData!$C$148)+InputData!$C$149*BA25,0)</f>
        <v>11814.597021111556</v>
      </c>
      <c r="BQ25" s="32">
        <f>IF(BJ25&lt;0,0,IF(BJ25&lt;=InputData!$B$163,InputData!$C$163*BJ25,IF(BJ25&lt;=InputData!$B$164,InputData!$D$163+InputData!$C$164*(BJ25-InputData!$B$163),IF(BJ25&lt;=InputData!$B$165,InputData!$D$164+InputData!$C$165*(BJ25-InputData!$B$164),InputData!$D$165+InputData!$C$166*(BJ25-InputData!$B$165)))))</f>
        <v>0</v>
      </c>
      <c r="BR25" s="43">
        <f t="shared" si="43"/>
        <v>0.31153676169021038</v>
      </c>
      <c r="BS25" s="32">
        <f t="shared" si="44"/>
        <v>226252.61878197416</v>
      </c>
      <c r="BT25" s="32">
        <f t="shared" si="45"/>
        <v>200140.94874742246</v>
      </c>
      <c r="BU25" s="32">
        <f>BT25/((1+InputData!$C$7)^(GenSurg!$B25-GenSurg!$B$7))</f>
        <v>117561.71405744278</v>
      </c>
      <c r="BV25" s="5">
        <f t="shared" si="114"/>
        <v>1256133.6017408238</v>
      </c>
      <c r="BW25" s="5"/>
      <c r="BX25" s="32" t="s">
        <v>141</v>
      </c>
      <c r="BY25" s="5">
        <f t="shared" si="147"/>
        <v>216032.38289739474</v>
      </c>
      <c r="BZ25" s="32">
        <f>(BY25)*InputData!$C$6</f>
        <v>13415.610977928214</v>
      </c>
      <c r="CA25" s="32">
        <f>MIN($BY$16*InputData!$C$6/(1-(1+InputData!$C$6)^(-25)), BY25+BZ25)</f>
        <v>21686.214673809533</v>
      </c>
      <c r="CB25" s="32">
        <f t="shared" si="148"/>
        <v>207761.77920151342</v>
      </c>
      <c r="CC25" s="32">
        <f>CA25/((1+InputData!$C$3)^(GenSurg!$B25-GenSurg!$B$7))</f>
        <v>15183.806511384812</v>
      </c>
      <c r="CD25" s="5">
        <f t="shared" si="49"/>
        <v>211068.81227058935</v>
      </c>
      <c r="CE25" s="32">
        <f>CD25/((1+InputData!$C$7)^(GenSurg!$B25-GenSurg!$B$7))</f>
        <v>123980.68216371768</v>
      </c>
      <c r="CF25" s="5">
        <f t="shared" si="115"/>
        <v>1337097.158666939</v>
      </c>
      <c r="CG25" s="5"/>
      <c r="CH25" s="32" t="s">
        <v>141</v>
      </c>
      <c r="CI25" s="5" t="e">
        <f t="shared" si="149"/>
        <v>#VALUE!</v>
      </c>
      <c r="CJ25" s="32" t="e">
        <f>(CI25)*InputData!$C$6</f>
        <v>#VALUE!</v>
      </c>
      <c r="CK25" s="5" t="str">
        <f t="shared" si="159"/>
        <v>DNQ</v>
      </c>
      <c r="CL25" s="32" t="e">
        <f t="shared" si="150"/>
        <v>#VALUE!</v>
      </c>
      <c r="CM25" s="32" t="e">
        <f>CK25/((1+InputData!$C$3)^(GenSurg!$B25-GenSurg!$B$7))</f>
        <v>#VALUE!</v>
      </c>
      <c r="CN25" s="5" t="e">
        <f t="shared" si="53"/>
        <v>#VALUE!</v>
      </c>
      <c r="CO25" s="32" t="e">
        <f>CN25/((1+InputData!$C$7)^(GenSurg!$B25-GenSurg!$B$7))</f>
        <v>#VALUE!</v>
      </c>
      <c r="CP25" s="5" t="e">
        <f t="shared" si="116"/>
        <v>#VALUE!</v>
      </c>
      <c r="CQ25" s="5"/>
      <c r="CR25" s="32" t="s">
        <v>141</v>
      </c>
      <c r="CS25" s="5">
        <f t="shared" si="160"/>
        <v>45644.548096358543</v>
      </c>
      <c r="CT25" s="32">
        <f>(CS25)*InputData!$C$6</f>
        <v>2834.5264367838658</v>
      </c>
      <c r="CU25" s="32">
        <f t="shared" si="161"/>
        <v>37293.894744798265</v>
      </c>
      <c r="CV25" s="32">
        <f t="shared" si="152"/>
        <v>11185.179788344147</v>
      </c>
      <c r="CW25" s="32">
        <f>CU25/((1+InputData!$C$3)^(GenSurg!$B25-GenSurg!$B$7))</f>
        <v>26111.670034551698</v>
      </c>
      <c r="CX25" s="5">
        <f t="shared" si="57"/>
        <v>200140.94874742246</v>
      </c>
      <c r="CY25" s="32">
        <f>CX25/((1+InputData!$C$7)^(GenSurg!$B25-GenSurg!$B$7))</f>
        <v>117561.71405744278</v>
      </c>
      <c r="CZ25" s="5">
        <f t="shared" si="117"/>
        <v>1260338.8261681986</v>
      </c>
      <c r="DA25" s="5"/>
      <c r="DB25" s="32" t="s">
        <v>141</v>
      </c>
      <c r="DC25" s="5">
        <f t="shared" si="138"/>
        <v>0</v>
      </c>
      <c r="DD25" s="5">
        <f>DC25*InputData!$C$6</f>
        <v>0</v>
      </c>
      <c r="DE25" s="32">
        <f t="shared" si="139"/>
        <v>0</v>
      </c>
      <c r="DF25" s="32">
        <f t="shared" si="140"/>
        <v>0</v>
      </c>
      <c r="DG25" s="32">
        <f>DE25/((1+InputData!$C$3)^(GenSurg!$B25-GenSurg!$B$7))</f>
        <v>0</v>
      </c>
      <c r="DH25" s="5">
        <f t="shared" si="61"/>
        <v>226252.61878197416</v>
      </c>
      <c r="DI25" s="32">
        <f>DH25/((1+InputData!$C$7)^(GenSurg!$B25-GenSurg!$B$7))</f>
        <v>132899.56823159411</v>
      </c>
      <c r="DJ25" s="5">
        <f t="shared" si="118"/>
        <v>1260721.2178432399</v>
      </c>
      <c r="DK25" s="5"/>
      <c r="DL25" s="32" t="s">
        <v>141</v>
      </c>
      <c r="DM25" s="32">
        <f t="shared" si="153"/>
        <v>75536.618077468869</v>
      </c>
      <c r="DN25" s="5">
        <f>DM25*InputData!$C$6</f>
        <v>4690.8239826108165</v>
      </c>
      <c r="DO25" s="32">
        <f t="shared" si="154"/>
        <v>0</v>
      </c>
      <c r="DP25" s="32">
        <f t="shared" si="130"/>
        <v>29148.379963889372</v>
      </c>
      <c r="DQ25" s="32">
        <f t="shared" si="131"/>
        <v>51079.062096190319</v>
      </c>
      <c r="DR25" s="32">
        <f>DP25/((1+InputData!$C$3)^(GenSurg!$B25-GenSurg!$B$7))</f>
        <v>20408.511496777282</v>
      </c>
      <c r="DS25" s="5">
        <f t="shared" si="65"/>
        <v>205844.10728519689</v>
      </c>
      <c r="DT25" s="32">
        <f>DS25/((1+InputData!$C$7)^(GenSurg!$B25-GenSurg!$B$7))</f>
        <v>120911.71862891223</v>
      </c>
      <c r="DU25" s="5">
        <f t="shared" si="120"/>
        <v>1275157.7670783671</v>
      </c>
      <c r="DV25" s="5"/>
      <c r="DW25" s="32" t="s">
        <v>141</v>
      </c>
      <c r="DX25" s="133">
        <f t="shared" si="141"/>
        <v>91565.93314157569</v>
      </c>
      <c r="DY25" s="5">
        <f>DX25*InputData!$C$6</f>
        <v>5686.2444480918502</v>
      </c>
      <c r="DZ25" s="133">
        <f t="shared" si="142"/>
        <v>0</v>
      </c>
      <c r="EA25" s="32">
        <f t="shared" si="143"/>
        <v>29148.379963889372</v>
      </c>
      <c r="EB25" s="32">
        <f t="shared" si="144"/>
        <v>68103.79762577817</v>
      </c>
      <c r="EC25" s="32">
        <f>EA25/((1+InputData!$C$3)^(GenSurg!$B25-GenSurg!$B$7))</f>
        <v>20408.511496777282</v>
      </c>
      <c r="ED25" s="5">
        <f t="shared" si="69"/>
        <v>205844.10728519689</v>
      </c>
      <c r="EE25" s="32">
        <f>ED25/((1+InputData!$C$7)^(GenSurg!$B25-GenSurg!$B$7))</f>
        <v>120911.71862891223</v>
      </c>
      <c r="EF25" s="5">
        <f t="shared" si="122"/>
        <v>1282901.1080020147</v>
      </c>
      <c r="EG25" s="32"/>
      <c r="EH25" s="130" t="s">
        <v>141</v>
      </c>
      <c r="EI25" s="32">
        <v>0</v>
      </c>
      <c r="EJ25" s="32">
        <f t="shared" si="168"/>
        <v>45451.346550330782</v>
      </c>
      <c r="EK25" s="32">
        <f>(EJ25)*InputData!$C$6</f>
        <v>2822.5286207755416</v>
      </c>
      <c r="EL25" s="32">
        <f t="shared" si="167"/>
        <v>11008.093013604201</v>
      </c>
      <c r="EM25" s="32">
        <f>EM24*(1+InputData!$C$8)</f>
        <v>16410.549384651382</v>
      </c>
      <c r="EN25" s="32">
        <f t="shared" si="162"/>
        <v>37265.782157502101</v>
      </c>
      <c r="EO25" s="32">
        <f>AW25/((1+InputData!$C$3)^(GenSurg!$B25-GenSurg!$B$7))</f>
        <v>328634.2773180384</v>
      </c>
      <c r="EP25" s="32">
        <f>AX25/((1+InputData!$C$3)^(GenSurg!$B25-GenSurg!$B$7))</f>
        <v>0</v>
      </c>
      <c r="EQ25" s="32">
        <v>84779.05</v>
      </c>
      <c r="ER25" s="32">
        <v>10271.540000000001</v>
      </c>
      <c r="ES25" s="32">
        <v>0</v>
      </c>
      <c r="ET25" s="43">
        <f t="shared" si="136"/>
        <v>0.28922908095802202</v>
      </c>
      <c r="EU25" s="32">
        <f t="shared" si="70"/>
        <v>233583.6873180384</v>
      </c>
      <c r="EV25" s="32">
        <f>EN25/((1+InputData!$C$3)^(GenSurg!$B25-GenSurg!$B$7))</f>
        <v>26091.986743001748</v>
      </c>
      <c r="EW25" s="32">
        <f t="shared" si="71"/>
        <v>207491.70057503664</v>
      </c>
      <c r="EX25" s="32">
        <f>EW25/((1+InputData!$C$7)^(GenSurg!$B25-GenSurg!$B$7))</f>
        <v>121879.50604290888</v>
      </c>
      <c r="EY25" s="5">
        <f t="shared" si="124"/>
        <v>1366613.8160723664</v>
      </c>
      <c r="EZ25" s="79"/>
      <c r="FA25" s="32">
        <f t="shared" si="163"/>
        <v>35086.886505510141</v>
      </c>
      <c r="FB25" s="32">
        <f>FA25*InputData!$C$6</f>
        <v>2178.8956519921799</v>
      </c>
      <c r="FC25" s="32">
        <f t="shared" si="155"/>
        <v>2.1827872842550278E-10</v>
      </c>
      <c r="FD25" s="32">
        <f>MIN($EJ$16*InputData!$C$6/(1-(1+InputData!$C$6)^(-10)), FA25+FB25)</f>
        <v>37265.782157502101</v>
      </c>
      <c r="FE25" s="32">
        <f>FD25/((1+InputData!$C$3)^(GenSurg!$B25-GenSurg!$B$7))</f>
        <v>26091.986743001748</v>
      </c>
      <c r="FF25" s="5">
        <f t="shared" si="75"/>
        <v>207491.70057503664</v>
      </c>
      <c r="FG25" s="32">
        <f>FF25/((1+InputData!$C$7)^(GenSurg!$B25-GenSurg!$B$7))</f>
        <v>121879.50604290888</v>
      </c>
      <c r="FH25" s="5">
        <f t="shared" si="125"/>
        <v>1362475.6617953803</v>
      </c>
      <c r="FI25" s="79"/>
      <c r="FJ25" s="32">
        <f t="shared" si="164"/>
        <v>215869.53508370931</v>
      </c>
      <c r="FK25" s="32">
        <f>FJ25*InputData!$C$6</f>
        <v>13405.498128698349</v>
      </c>
      <c r="FL25" s="32">
        <f t="shared" si="156"/>
        <v>207605.16586856495</v>
      </c>
      <c r="FM25" s="32">
        <f>MIN($EJ$16*InputData!$C$6/(1-(1+InputData!$C$6)^(-25)), FJ25+FK25)</f>
        <v>21669.867343842721</v>
      </c>
      <c r="FN25" s="32">
        <f>FM25/((1+InputData!$C$3)^(GenSurg!$B25-GenSurg!$B$7))</f>
        <v>15172.360775052892</v>
      </c>
      <c r="FO25" s="5">
        <f t="shared" si="79"/>
        <v>218411.32654298551</v>
      </c>
      <c r="FP25" s="32">
        <f>FO25/((1+InputData!$C$7)^(GenSurg!$B25-GenSurg!$B$7))</f>
        <v>128293.63545366877</v>
      </c>
      <c r="FQ25" s="5">
        <f t="shared" si="126"/>
        <v>1443378.1874165735</v>
      </c>
      <c r="FR25" s="79"/>
      <c r="FS25" s="32">
        <f t="shared" si="165"/>
        <v>35086.886505510141</v>
      </c>
      <c r="FT25" s="32">
        <f>FS25*InputData!$C$6</f>
        <v>2178.8956519921799</v>
      </c>
      <c r="FU25" s="32">
        <f t="shared" si="157"/>
        <v>2.1827872842550278E-10</v>
      </c>
      <c r="FV25" s="5">
        <f t="shared" si="166"/>
        <v>37265.782157502101</v>
      </c>
      <c r="FW25" s="32">
        <f>FV25/((1+InputData!$C$3)^(GenSurg!$B25-GenSurg!$B$7))</f>
        <v>26091.986743001748</v>
      </c>
      <c r="FX25" s="5">
        <f t="shared" si="83"/>
        <v>207491.70057503664</v>
      </c>
      <c r="FY25" s="32">
        <f>FX25/((1+InputData!$C$7)^(GenSurg!$B25-GenSurg!$B$7))</f>
        <v>121879.50604290888</v>
      </c>
      <c r="FZ25" s="5">
        <f t="shared" si="127"/>
        <v>1362475.6617953803</v>
      </c>
      <c r="GC25" s="3">
        <f t="shared" si="1"/>
        <v>15</v>
      </c>
      <c r="GD25" s="122" t="str">
        <f t="shared" si="2"/>
        <v>Multi-Year (O5&gt;14 = (BP+BAH+BAS+VSP+BCPSP)*12+ASP+ISP+MSP)</v>
      </c>
      <c r="GE25" s="5">
        <f t="shared" si="3"/>
        <v>228103.52000000002</v>
      </c>
      <c r="GF25" s="5">
        <f t="shared" si="4"/>
        <v>21019.199999999997</v>
      </c>
      <c r="GG25" s="5">
        <f t="shared" si="5"/>
        <v>249122.72000000003</v>
      </c>
      <c r="GH25" s="5">
        <f t="shared" si="6"/>
        <v>191035.29948442741</v>
      </c>
      <c r="GI25" s="5">
        <f t="shared" si="7"/>
        <v>17603.451130096877</v>
      </c>
      <c r="GJ25" s="32">
        <f>IF(GH25-InputData!$C$158-InputData!$C$159&gt;=0,GH25-InputData!$C$158-InputData!$C$159,0)</f>
        <v>191035.29948442741</v>
      </c>
      <c r="GK25" s="32">
        <f>IF(GH25-IF(GH25&lt;=InputData!$C$146,InputData!$C$145,0)-MAX(InputData!$C$144,GQ25)&gt;=0,GH25-IF(GH25&lt;=InputData!$C$146,InputData!$C$145,0)-MAX(InputData!$C$144,GQ25),0)</f>
        <v>184935.29948442741</v>
      </c>
      <c r="GL25" s="32">
        <f>IF(GK25&lt;0,"Error",IF(GK25&lt;=InputData!$B$170,InputData!$C$170*GK25,IF(GK25&lt;=InputData!$B$171,InputData!$D$170+InputData!$C$171*(GK25-InputData!$B$170),IF(GK25&lt;=InputData!$B$172,InputData!$D$171+InputData!$C$172*(GK25-InputData!$B$171),IF(GK25&lt;=InputData!$B$173,InputData!$D$172+InputData!$C$173*(GK25-InputData!$B$172),IF(GK25&lt;=InputData!$B$174,InputData!$D$173+InputData!$C$174*(GK25-InputData!$B$173),IF(GK25&lt;=InputData!$B$175,InputData!$D$174+InputData!$C$175*(GK25-InputData!$B$174),InputData!$D$175+InputData!$C$176*(GK25-InputData!$B$175))))))))</f>
        <v>45159.398829861042</v>
      </c>
      <c r="GM25" s="32">
        <f>IF(GH25&lt;=InputData!$C$150,InputData!$C$152,IF(GH25&lt;InputData!$C$151,IF(InputData!$C$152-0.25*IF(GH25-InputData!$C$150&lt;=0,0,GH25-InputData!$C$150)&lt;=0,0,InputData!$C$152-0.25*IF(GH25-InputData!$C$150&lt;=0,0,GH25-InputData!$C$150)),0))</f>
        <v>32991.175128893148</v>
      </c>
      <c r="GN25" s="32">
        <f>IF(GH25-GM25&lt;=0,0,IF(GH25-GM25&lt;=InputData!$C$153,InputData!$C$154*(GH25-GM25),InputData!$C$155*(GH25-GM25)-InputData!$D$154))</f>
        <v>41091.472332438912</v>
      </c>
      <c r="GO25" s="32">
        <f t="shared" si="84"/>
        <v>45159.398829861042</v>
      </c>
      <c r="GP25" s="32">
        <f>IF(GH25&gt;=0,IF(GH25&lt;=InputData!$C$148,InputData!$C$147*GH25,InputData!$C$147*InputData!$C$148)+InputData!$C$149*GH25,0)</f>
        <v>9819.4118425241977</v>
      </c>
      <c r="GQ25" s="32">
        <f>IF(GJ25&lt;0,0,IF(GJ25&lt;=InputData!$B$163,InputData!$C$163*GJ25,IF(GJ25&lt;=InputData!$B$164,InputData!$D$163+InputData!$C$164*(GJ25-InputData!$B$163),IF(GJ25&lt;=InputData!$B$165,InputData!$D$164+InputData!$C$165*(GJ25-InputData!$B$164),InputData!$D$165+InputData!$C$166*(GJ25-InputData!$B$165)))))</f>
        <v>0</v>
      </c>
      <c r="GR25" s="43">
        <f t="shared" si="85"/>
        <v>0.2877939879214152</v>
      </c>
      <c r="GS25" s="43">
        <f t="shared" si="86"/>
        <v>0.26351198188472047</v>
      </c>
      <c r="GT25" s="5">
        <f t="shared" si="87"/>
        <v>153659.93994213906</v>
      </c>
      <c r="GU25" s="32">
        <f>GT25/((1+InputData!$C$7)^(GenSurg!$B25-GenSurg!$B$7))</f>
        <v>90259.020128654345</v>
      </c>
      <c r="GV25" s="32">
        <f t="shared" si="88"/>
        <v>1161307.7998215966</v>
      </c>
      <c r="GX25" s="3">
        <f t="shared" si="8"/>
        <v>15</v>
      </c>
      <c r="GY25" s="4" t="str">
        <f t="shared" si="9"/>
        <v>Multi-Year (O5&gt;14 = (BP+BAH+BAS+VSP+BCPSP)*12+ASP+ISP+MSP)</v>
      </c>
      <c r="GZ25" s="5">
        <f t="shared" si="10"/>
        <v>228103.52000000002</v>
      </c>
      <c r="HA25" s="5">
        <f t="shared" si="11"/>
        <v>21019.199999999997</v>
      </c>
      <c r="HB25" s="5">
        <f t="shared" si="12"/>
        <v>249122.72000000003</v>
      </c>
      <c r="HC25" s="5">
        <f t="shared" si="13"/>
        <v>191035.29948442741</v>
      </c>
      <c r="HD25" s="5">
        <f t="shared" si="14"/>
        <v>17603.451130096877</v>
      </c>
      <c r="HE25" s="32">
        <f>IF(HC25-InputData!$C$158-InputData!$C$159&gt;=0,HC25-InputData!$C$158-InputData!$C$159,0)</f>
        <v>191035.29948442741</v>
      </c>
      <c r="HF25" s="32">
        <f>IF(HC25-IF(HC25&lt;=InputData!$C$146,InputData!$C$145,0)-MAX(InputData!$C$144,HL25)&gt;=0,HC25-IF(HC25&lt;=InputData!$C$146,InputData!$C$145,0)-MAX(InputData!$C$144,HL25),0)</f>
        <v>184935.29948442741</v>
      </c>
      <c r="HG25" s="32">
        <f>IF(HF25&lt;0,"Error",IF(HF25&lt;=InputData!$B$170,InputData!$C$170*HF25,IF(HF25&lt;=InputData!$B$171,InputData!$D$170+InputData!$C$171*(HF25-InputData!$B$170),IF(HF25&lt;=InputData!$B$172,InputData!$D$171+InputData!$C$172*(HF25-InputData!$B$171),IF(HF25&lt;=InputData!$B$173,InputData!$D$172+InputData!$C$173*(HF25-InputData!$B$172),IF(HF25&lt;=InputData!$B$174,InputData!$D$173+InputData!$C$174*(HF25-InputData!$B$173),IF(HF25&lt;=InputData!$B$175,InputData!$D$174+InputData!$C$175*(HF25-InputData!$B$174),InputData!$D$175+InputData!$C$176*(HF25-InputData!$B$175))))))))</f>
        <v>45159.398829861042</v>
      </c>
      <c r="HH25" s="32">
        <f>IF(HC25&lt;=InputData!$C$150,InputData!$C$152,IF(HC25&lt;InputData!$C$151,IF(InputData!$C$152-0.25*IF(HC25-InputData!$C$150&lt;=0,0,HC25-InputData!$C$150)&lt;=0,0,InputData!$C$152-0.25*IF(HC25-InputData!$C$150&lt;=0,0,HC25-InputData!$C$150)),0))</f>
        <v>32991.175128893148</v>
      </c>
      <c r="HI25" s="32">
        <f>IF(HC25-HH25&lt;=0,0,IF(HC25-HH25&lt;=InputData!$C$153,InputData!$C$154*(HC25-HH25),InputData!$C$155*(HC25-HH25)-InputData!$D$154))</f>
        <v>41091.472332438912</v>
      </c>
      <c r="HJ25" s="32">
        <f t="shared" si="89"/>
        <v>45159.398829861042</v>
      </c>
      <c r="HK25" s="32">
        <f>IF(HC25&gt;=0,IF(HC25&lt;=InputData!$C$148,InputData!$C$147*HC25,InputData!$C$147*InputData!$C$148)+InputData!$C$149*HC25,0)</f>
        <v>9819.4118425241977</v>
      </c>
      <c r="HL25" s="32">
        <f>IF(HE25&lt;0,0,IF(HE25&lt;=InputData!$B$163,InputData!$C$163*HE25,IF(HE25&lt;=InputData!$B$164,InputData!$D$163+InputData!$C$164*(HE25-InputData!$B$163),IF(HE25&lt;=InputData!$B$165,InputData!$D$164+InputData!$C$165*(HE25-InputData!$B$164),InputData!$D$165+InputData!$C$166*(HE25-InputData!$B$165)))))</f>
        <v>0</v>
      </c>
      <c r="HM25" s="43">
        <f t="shared" si="90"/>
        <v>0.2877939879214152</v>
      </c>
      <c r="HN25" s="43">
        <f t="shared" si="91"/>
        <v>0.26351198188472047</v>
      </c>
      <c r="HO25" s="5">
        <f t="shared" si="92"/>
        <v>153659.93994213906</v>
      </c>
      <c r="HP25" s="32">
        <f>HO25/((1+InputData!$C$7)^(GenSurg!$B25-GenSurg!$B$7))</f>
        <v>90259.020128654345</v>
      </c>
      <c r="HQ25" s="32">
        <f t="shared" si="93"/>
        <v>1198858.0066698822</v>
      </c>
      <c r="HS25" s="227"/>
      <c r="HT25" s="53" t="s">
        <v>109</v>
      </c>
      <c r="HU25" s="32">
        <f>MIN(InputData!$C$13+InputData!$E$13*($B25-$B$23),1)*GenSurg!AW25</f>
        <v>422433.60606398567</v>
      </c>
      <c r="HV25" s="32">
        <f>MIN(InputData!$C$13+InputData!$E$13*($B25-$B$23),1)*GenSurg!AX25</f>
        <v>0</v>
      </c>
      <c r="HW25" s="32">
        <f>MIN(InputData!$C$13+InputData!$E$13*($B25-$B$23),1)*GenSurg!AY25</f>
        <v>422433.60606398567</v>
      </c>
      <c r="HX25" s="32">
        <f>MIN(InputData!$C$13+InputData!$E$13*($B25-$B$23),1)*GenSurg!EO25</f>
        <v>295770.84958623454</v>
      </c>
      <c r="HY25" s="32">
        <f>MIN(InputData!$C$13+InputData!$E$13*($B25-$B$23),1)*GenSurg!EP25</f>
        <v>0</v>
      </c>
      <c r="HZ25" s="32">
        <f>IF(HX25-InputData!$C$158-InputData!$C$159&gt;=0,HX25-InputData!$C$158-InputData!$C$159,0)</f>
        <v>295770.84958623454</v>
      </c>
      <c r="IA25" s="32">
        <f>IF(HX25-IF(HX25&lt;=InputData!$C$146,InputData!$C$145,0)-MAX(InputData!$C$144,IG25)&gt;=0,HX25-IF(HX25&lt;=InputData!$C$146,InputData!$C$145,0)-MAX(InputData!$C$144,IG25),0)</f>
        <v>289670.84958623454</v>
      </c>
      <c r="IB25" s="32">
        <f>IF(IA25&lt;0,"Error",IF(IA25&lt;=InputData!$B$170,InputData!$C$170*IA25,IF(IA25&lt;=InputData!$B$171,InputData!$D$170+InputData!$C$171*(IA25-InputData!$B$170),IF(IA25&lt;=InputData!$B$172,InputData!$D$171+InputData!$C$172*(IA25-InputData!$B$171),IF(IA25&lt;=InputData!$B$173,InputData!$D$172+InputData!$C$173*(IA25-InputData!$B$172),IF(IA25&lt;=InputData!$B$174,InputData!$D$173+InputData!$C$174*(IA25-InputData!$B$173),IF(IA25&lt;=InputData!$B$175,InputData!$D$174+InputData!$C$175*(IA25-InputData!$B$174),InputData!$D$175+InputData!$C$176*(IA25-InputData!$B$175))))))))</f>
        <v>79722.1303634574</v>
      </c>
      <c r="IC25" s="32">
        <f>IF(HX25&lt;=InputData!$C$150,InputData!$C$152,IF(HX25&lt;InputData!$C$151,IF(InputData!$C$152-0.25*IF(HX25-InputData!$C$150&lt;=0,0,HX25-InputData!$C$150)&lt;=0,0,InputData!$C$152-0.25*IF(HX25-InputData!$C$150&lt;=0,0,HX25-InputData!$C$150)),0))</f>
        <v>6807.2876034413639</v>
      </c>
      <c r="ID25" s="32">
        <f>IF(HX25-IC25&lt;=0,0,IF(HX25-IC25&lt;=InputData!$C$153,InputData!$C$154*(HX25-IC25),InputData!$C$155*(HX25-IC25)-InputData!$D$154))</f>
        <v>77319.797355182091</v>
      </c>
      <c r="IE25" s="32">
        <f t="shared" si="96"/>
        <v>79722.1303634574</v>
      </c>
      <c r="IF25" s="32">
        <f>IF(HX25&gt;=0,IF(HX25&lt;=InputData!$C$148,InputData!$C$147*HX25,InputData!$C$147*InputData!$C$148)+InputData!$C$149*HX25,0)</f>
        <v>11338.0773190004</v>
      </c>
      <c r="IG25" s="32">
        <f>IF(HZ25&lt;0,0,IF(HZ25&lt;=InputData!$B$163,InputData!$C$163*HZ25,IF(HZ25&lt;=InputData!$B$164,InputData!$D$163+InputData!$C$164*(HZ25-InputData!$B$163),IF(HZ25&lt;=InputData!$B$165,InputData!$D$164+InputData!$C$165*(HZ25-InputData!$B$164),InputData!$D$165+InputData!$C$166*(HZ25-InputData!$B$165)))))</f>
        <v>0</v>
      </c>
      <c r="IH25" s="43">
        <f t="shared" si="97"/>
        <v>0.30787417965578928</v>
      </c>
      <c r="II25" s="43">
        <f t="shared" si="98"/>
        <v>0.30787417965578928</v>
      </c>
      <c r="IJ25" s="5">
        <f t="shared" si="20"/>
        <v>204710.64190377673</v>
      </c>
      <c r="IK25" s="32">
        <f>IJ25/((1+InputData!$C$7)^(GenSurg!$B25-GenSurg!$B$7))</f>
        <v>120245.9271759463</v>
      </c>
      <c r="IL25" s="5">
        <f t="shared" si="99"/>
        <v>1250414.4233604418</v>
      </c>
      <c r="IN25" s="227"/>
      <c r="IO25" s="53" t="s">
        <v>109</v>
      </c>
      <c r="IP25" s="32">
        <f>MIN(InputData!$C$13+InputData!$E$13*($B25-$B$20),1)*GenSurg!AW25</f>
        <v>422433.60606398567</v>
      </c>
      <c r="IQ25" s="32">
        <f>MIN(InputData!$C$13+InputData!$E$13*($B25-$B$20),1)*GenSurg!AX25</f>
        <v>0</v>
      </c>
      <c r="IR25" s="32">
        <f>MIN(InputData!$C$13+InputData!$E$13*($B25-$B$20),1)*GenSurg!AY25</f>
        <v>422433.60606398567</v>
      </c>
      <c r="IS25" s="32">
        <f>MIN(InputData!$C$13+InputData!$E$13*($B25-$B$20),1)*GenSurg!EO25</f>
        <v>295770.84958623454</v>
      </c>
      <c r="IT25" s="32">
        <f>MIN(InputData!$C$13+InputData!$E$13*($B25-$B$20),1)*GenSurg!EP25</f>
        <v>0</v>
      </c>
      <c r="IU25" s="32">
        <f>IF(IS25-InputData!$C$158-InputData!$C$159&gt;=0,IS25-InputData!$C$158-InputData!$C$159,0)</f>
        <v>295770.84958623454</v>
      </c>
      <c r="IV25" s="32">
        <f>IF(IS25-IF(IS25&lt;=InputData!$C$146,InputData!$C$145,0)-MAX(InputData!$C$144,JB25)&gt;=0,IS25-IF(IS25&lt;=InputData!$C$146,InputData!$C$145,0)-MAX(InputData!$C$144,JB25),0)</f>
        <v>289670.84958623454</v>
      </c>
      <c r="IW25" s="32">
        <f>IF(IV25&lt;0,"Error",IF(IV25&lt;=InputData!$B$170,InputData!$C$170*IV25,IF(IV25&lt;=InputData!$B$171,InputData!$D$170+InputData!$C$171*(IV25-InputData!$B$170),IF(IV25&lt;=InputData!$B$172,InputData!$D$171+InputData!$C$172*(IV25-InputData!$B$171),IF(IV25&lt;=InputData!$B$173,InputData!$D$172+InputData!$C$173*(IV25-InputData!$B$172),IF(IV25&lt;=InputData!$B$174,InputData!$D$173+InputData!$C$174*(IV25-InputData!$B$173),IF(IV25&lt;=InputData!$B$175,InputData!$D$174+InputData!$C$175*(IV25-InputData!$B$174),InputData!$D$175+InputData!$C$176*(IV25-InputData!$B$175))))))))</f>
        <v>79722.1303634574</v>
      </c>
      <c r="IX25" s="32">
        <f>IF(IS25&lt;=InputData!$C$150,InputData!$C$152,IF(IS25&lt;InputData!$C$151,IF(InputData!$C$152-0.25*IF(IS25-InputData!$C$150&lt;=0,0,IS25-InputData!$C$150)&lt;=0,0,InputData!$C$152-0.25*IF(IS25-InputData!$C$150&lt;=0,0,IS25-InputData!$C$150)),0))</f>
        <v>6807.2876034413639</v>
      </c>
      <c r="IY25" s="32">
        <f>IF(IS25-IX25&lt;=0,0,IF(IS25-IX25&lt;=InputData!$C$153,InputData!$C$154*(IS25-IX25),InputData!$C$155*(IS25-IX25)-InputData!$D$154))</f>
        <v>77319.797355182091</v>
      </c>
      <c r="IZ25" s="32">
        <f t="shared" si="102"/>
        <v>79722.1303634574</v>
      </c>
      <c r="JA25" s="32">
        <f>IF(IS25&gt;=0,IF(IS25&lt;=InputData!$C$148,InputData!$C$147*IS25,InputData!$C$147*InputData!$C$148)+InputData!$C$149*IS25,0)</f>
        <v>11338.0773190004</v>
      </c>
      <c r="JB25" s="32">
        <f>IF(IU25&lt;0,0,IF(IU25&lt;=InputData!$B$163,InputData!$C$163*IU25,IF(IU25&lt;=InputData!$B$164,InputData!$D$163+InputData!$C$164*(IU25-InputData!$B$163),IF(IU25&lt;=InputData!$B$165,InputData!$D$164+InputData!$C$165*(IU25-InputData!$B$164),InputData!$D$165+InputData!$C$166*(IU25-InputData!$B$165)))))</f>
        <v>0</v>
      </c>
      <c r="JC25" s="43">
        <f t="shared" si="103"/>
        <v>0.30787417965578928</v>
      </c>
      <c r="JD25" s="43">
        <f t="shared" si="104"/>
        <v>0.30787417965578928</v>
      </c>
      <c r="JE25" s="5">
        <f t="shared" si="105"/>
        <v>204710.64190377673</v>
      </c>
      <c r="JF25" s="32">
        <f>JE25/((1+InputData!$C$7)^(GenSurg!$B25-GenSurg!$B$7))</f>
        <v>120245.9271759463</v>
      </c>
      <c r="JG25" s="5">
        <f t="shared" si="106"/>
        <v>1377568.7852942725</v>
      </c>
      <c r="JI25" s="41" t="str">
        <f t="shared" si="26"/>
        <v>Private Practice</v>
      </c>
      <c r="JJ25" s="5">
        <f t="shared" si="27"/>
        <v>469370.67340442853</v>
      </c>
      <c r="JK25" s="32">
        <v>0</v>
      </c>
      <c r="JL25" s="32">
        <f t="shared" si="108"/>
        <v>469370.67340442853</v>
      </c>
      <c r="JM25" s="32">
        <f>JM24*(1+InputData!$C$8)</f>
        <v>16410.549384651382</v>
      </c>
      <c r="JN25" s="32">
        <f>JJ25/((1+InputData!$C$3)^(GenSurg!$B25-GenSurg!$B$7))</f>
        <v>328634.2773180384</v>
      </c>
      <c r="JO25" s="32">
        <f>JK25/((1+InputData!$C$3)^(GenSurg!$B25-GenSurg!$B$7))</f>
        <v>0</v>
      </c>
      <c r="JP25" s="32" t="s">
        <v>141</v>
      </c>
      <c r="JQ25" s="32">
        <v>0</v>
      </c>
      <c r="JR25" s="32">
        <f t="shared" si="158"/>
        <v>0</v>
      </c>
      <c r="JS25" s="32">
        <f>(JR25)*InputData!$C$6</f>
        <v>0</v>
      </c>
      <c r="JT25" s="32">
        <f>MIN($BE$16*InputData!$C$6/(1-(1+InputData!$C$6)^(-10)), JR25+JS25)</f>
        <v>0</v>
      </c>
      <c r="JU25" s="32">
        <f t="shared" si="145"/>
        <v>0</v>
      </c>
      <c r="JV25" s="32">
        <f>JT25/((1+InputData!$C$3)^(GenSurg!$B25-GenSurg!$B$7))</f>
        <v>0</v>
      </c>
      <c r="JW25" s="32">
        <f>IF(JN25-InputData!$C$158-InputData!$C$159&gt;=0,JN25-InputData!$C$158-InputData!$C$159,0)</f>
        <v>328634.2773180384</v>
      </c>
      <c r="JX25" s="32">
        <f>IF(JN25-IF(JN25&lt;=InputData!$C$146,InputData!$C$145,0)-MAX(InputData!$C$144,KD25)&gt;=0,JN25-IF(JN25&lt;=InputData!$C$146,InputData!$C$145,0)-MAX(InputData!$C$144,KD25),0)</f>
        <v>322534.2773180384</v>
      </c>
      <c r="JY25" s="32">
        <f>IF(JX25&lt;0,"Error",IF(JX25&lt;=InputData!$B$170,InputData!$C$170*JX25,IF(JX25&lt;=InputData!$B$171,InputData!$D$170+InputData!$C$171*(JX25-InputData!$B$170),IF(JX25&lt;=InputData!$B$172,InputData!$D$171+InputData!$C$172*(JX25-InputData!$B$171),IF(JX25&lt;=InputData!$B$173,InputData!$D$172+InputData!$C$173*(JX25-InputData!$B$172),IF(JX25&lt;=InputData!$B$174,InputData!$D$173+InputData!$C$174*(JX25-InputData!$B$173),IF(JX25&lt;=InputData!$B$175,InputData!$D$174+InputData!$C$175*(JX25-InputData!$B$174),InputData!$D$175+InputData!$C$176*(JX25-InputData!$B$175))))))))</f>
        <v>90567.061514952671</v>
      </c>
      <c r="JZ25" s="32">
        <f>IF(JN25&lt;=InputData!$C$150,InputData!$C$152,IF(JN25&lt;InputData!$C$151,IF(InputData!$C$152-0.25*IF(JN25-InputData!$C$150&lt;=0,0,JN25-InputData!$C$150)&lt;=0,0,InputData!$C$152-0.25*IF(JN25-InputData!$C$150&lt;=0,0,JN25-InputData!$C$150)),0))</f>
        <v>0</v>
      </c>
      <c r="KA25" s="32">
        <f>IF(JN25-JZ25&lt;=0,0,IF(JN25-JZ25&lt;=InputData!$C$153,InputData!$C$154*(JN25-JZ25),InputData!$C$155*(JN25-JZ25)-InputData!$D$154))</f>
        <v>88427.59764905076</v>
      </c>
      <c r="KB25" s="32">
        <f t="shared" si="109"/>
        <v>90567.061514952671</v>
      </c>
      <c r="KC25" s="32">
        <f>IF(JN25&gt;=0,IF(JN25&lt;=InputData!$C$148,InputData!$C$147*JN25,InputData!$C$147*InputData!$C$148)+InputData!$C$149*JN25,0)</f>
        <v>11814.597021111556</v>
      </c>
      <c r="KD25" s="32">
        <f>IF(JW25&lt;0,0,IF(JW25&lt;=InputData!$B$163,InputData!$C$163*JW25,IF(JW25&lt;=InputData!$B$164,InputData!$D$163+InputData!$C$164*(JW25-InputData!$B$163),IF(JW25&lt;=InputData!$B$165,InputData!$D$164+InputData!$C$165*(JW25-InputData!$B$164),InputData!$D$165+InputData!$C$166*(JW25-InputData!$B$165)))))</f>
        <v>0</v>
      </c>
      <c r="KE25" s="43">
        <f t="shared" si="28"/>
        <v>0.31153676169021038</v>
      </c>
      <c r="KF25" s="32">
        <f t="shared" si="29"/>
        <v>226252.61878197416</v>
      </c>
      <c r="KG25" s="32">
        <f t="shared" si="110"/>
        <v>226252.61878197416</v>
      </c>
      <c r="KH25" s="32">
        <f>KG25/((1+InputData!$C$7)^(GenSurg!$B25-GenSurg!$B$7))</f>
        <v>132899.56823159411</v>
      </c>
      <c r="KI25" s="5">
        <f t="shared" si="129"/>
        <v>1640459.994287564</v>
      </c>
    </row>
    <row r="26" spans="1:295" x14ac:dyDescent="0.25">
      <c r="A26" s="4">
        <v>2032</v>
      </c>
      <c r="B26" s="51">
        <v>20</v>
      </c>
      <c r="C26" s="4"/>
      <c r="D26" s="3">
        <v>16</v>
      </c>
      <c r="E26" s="97" t="s">
        <v>264</v>
      </c>
      <c r="F26" s="5">
        <f>InputData!$K$22*12</f>
        <v>89103.6</v>
      </c>
      <c r="G26" s="32">
        <f>(InputData!$K$22+InputData!$I$45+InputData!$F$50)*12+InputData!$J$50+InputData!$D$58+InputData!$J$58</f>
        <v>228103.52000000002</v>
      </c>
      <c r="H26" s="32">
        <f>(InputData!$C$33+InputData!$C$40)*12</f>
        <v>21019.199999999997</v>
      </c>
      <c r="I26" s="32">
        <f t="shared" si="30"/>
        <v>249122.72000000003</v>
      </c>
      <c r="J26" s="32">
        <f>G26*((1+InputData!$C$5)/(1+InputData!$C$3))^(GenSurg!$B26-GenSurg!$B$7)</f>
        <v>189162.40439144283</v>
      </c>
      <c r="K26" s="32">
        <f>H26*((1+InputData!$C$5)/(1+InputData!$C$3))^(GenSurg!$B26-GenSurg!$B$7)</f>
        <v>17430.868275880242</v>
      </c>
      <c r="L26" s="32">
        <f>IF(J26-InputData!$C$158-InputData!$C$159&gt;=0,J26-InputData!$C$158-InputData!$C$159,0)</f>
        <v>189162.40439144283</v>
      </c>
      <c r="M26" s="32">
        <f>IF(J26-IF(J26&lt;=InputData!$C$146,InputData!$C$145,0)-MAX(InputData!$C$144,S26)&gt;=0,J26-IF(J26&lt;=InputData!$C$146,InputData!$C$145,0)-MAX(InputData!$C$144,S26),0)</f>
        <v>183062.40439144283</v>
      </c>
      <c r="N26" s="32">
        <f>IF(M26&lt;0,"Error",IF(M26&lt;=InputData!$B$170,InputData!$C$170*M26,IF(M26&lt;=InputData!$B$171,InputData!$D$170+InputData!$C$171*(M26-InputData!$B$170),IF(M26&lt;=InputData!$B$172,InputData!$D$171+InputData!$C$172*(M26-InputData!$B$171),IF(M26&lt;=InputData!$B$173,InputData!$D$172+InputData!$C$173*(M26-InputData!$B$172),IF(M26&lt;=InputData!$B$174,InputData!$D$173+InputData!$C$174*(M26-InputData!$B$173),IF(M26&lt;=InputData!$B$175,InputData!$D$174+InputData!$C$175*(M26-InputData!$B$174),InputData!$D$175+InputData!$C$176*(M26-InputData!$B$175))))))))</f>
        <v>44550.723229603995</v>
      </c>
      <c r="O26" s="32">
        <f>IF(J26&lt;=InputData!$C$150,InputData!$C$152,IF(J26&lt;InputData!$C$151,IF(InputData!$C$152-0.25*IF(J26-InputData!$C$150&lt;=0,0,J26-InputData!$C$150)&lt;=0,0,InputData!$C$152-0.25*IF(J26-InputData!$C$150&lt;=0,0,J26-InputData!$C$150)),0))</f>
        <v>33459.398902139292</v>
      </c>
      <c r="P26" s="32">
        <f>IF(J26-O26&lt;=0,0,IF(J26-O26&lt;=InputData!$C$153,InputData!$C$154*(J26-O26),InputData!$C$155*(J26-O26)-InputData!$D$154))</f>
        <v>40482.781427218928</v>
      </c>
      <c r="Q26" s="32">
        <f t="shared" si="31"/>
        <v>44550.723229603995</v>
      </c>
      <c r="R26" s="32">
        <f>IF(J26&gt;=0,IF(J26&lt;=InputData!$C$148,InputData!$C$147*J26,InputData!$C$147*InputData!$C$148)+InputData!$C$149*J26,0)</f>
        <v>9792.2548636759202</v>
      </c>
      <c r="S26" s="32">
        <f>IF(L26&lt;0,0,IF(L26&lt;=InputData!$B$163,InputData!$C$163*L26,IF(L26&lt;=InputData!$B$164,InputData!$D$163+InputData!$C$164*(L26-InputData!$B$163),IF(L26&lt;=InputData!$B$165,InputData!$D$164+InputData!$C$165*(L26-InputData!$B$164),InputData!$D$165+InputData!$C$166*(L26-InputData!$B$165)))))</f>
        <v>0</v>
      </c>
      <c r="T26" s="43">
        <f t="shared" si="32"/>
        <v>0.28728212811688197</v>
      </c>
      <c r="U26" s="43">
        <f t="shared" si="33"/>
        <v>0.26304330916325802</v>
      </c>
      <c r="V26" s="5">
        <f t="shared" si="34"/>
        <v>152250.29457404316</v>
      </c>
      <c r="W26" s="32">
        <f>V26/((1+InputData!$C$7)^(GenSurg!$B26-GenSurg!$B$7))</f>
        <v>86826.215573576264</v>
      </c>
      <c r="X26" s="5">
        <f t="shared" si="111"/>
        <v>1248134.0153951729</v>
      </c>
      <c r="Y26" s="53"/>
      <c r="Z26" s="3">
        <v>16</v>
      </c>
      <c r="AA26" s="97" t="s">
        <v>264</v>
      </c>
      <c r="AB26" s="5">
        <f t="shared" si="133"/>
        <v>89103.6</v>
      </c>
      <c r="AC26" s="32">
        <f t="shared" si="170"/>
        <v>228103.52000000002</v>
      </c>
      <c r="AD26" s="32">
        <f t="shared" si="169"/>
        <v>21019.199999999997</v>
      </c>
      <c r="AE26" s="32">
        <f t="shared" si="35"/>
        <v>249122.72000000003</v>
      </c>
      <c r="AF26" s="5">
        <f>AC26*((1+InputData!$C$5)/(1+InputData!$C$3))^(GenSurg!$B26-GenSurg!$B$7)</f>
        <v>189162.40439144283</v>
      </c>
      <c r="AG26" s="5">
        <f>AD26*((1+InputData!$C$5)/(1+InputData!$C$3))^(GenSurg!$B26-GenSurg!$B$7)</f>
        <v>17430.868275880242</v>
      </c>
      <c r="AH26" s="32">
        <f>IF(AF26-InputData!$C$158-InputData!$C$159&gt;=0,AF26-InputData!$C$158-InputData!$C$159,0)</f>
        <v>189162.40439144283</v>
      </c>
      <c r="AI26" s="32">
        <f>IF(AF26-IF(AF26&lt;=InputData!$C$146,InputData!$C$145,0)-MAX(InputData!$C$144,AO26)&gt;=0,AF26-IF(AF26&lt;=InputData!$C$146,InputData!$C$145,0)-MAX(InputData!$C$144,AO26),0)</f>
        <v>183062.40439144283</v>
      </c>
      <c r="AJ26" s="32">
        <f>IF(AI26&lt;0,"Error",IF(AI26&lt;=InputData!$B$170,InputData!$C$170*AI26,IF(AI26&lt;=InputData!$B$171,InputData!$D$170+InputData!$C$171*(AI26-InputData!$B$170),IF(AI26&lt;=InputData!$B$172,InputData!$D$171+InputData!$C$172*(AI26-InputData!$B$171),IF(AI26&lt;=InputData!$B$173,InputData!$D$172+InputData!$C$173*(AI26-InputData!$B$172),IF(AI26&lt;=InputData!$B$174,InputData!$D$173+InputData!$C$174*(AI26-InputData!$B$173),IF(AI26&lt;=InputData!$B$175,InputData!$D$174+InputData!$C$175*(AI26-InputData!$B$174),InputData!$D$175+InputData!$C$176*(AI26-InputData!$B$175))))))))</f>
        <v>44550.723229603995</v>
      </c>
      <c r="AK26" s="32">
        <f>IF(AF26&lt;=InputData!$C$150,InputData!$C$152,IF(AF26&lt;InputData!$C$151,IF(InputData!$C$152-0.25*IF(AF26-InputData!$C$150&lt;=0,0,AF26-InputData!$C$150)&lt;=0,0,InputData!$C$152-0.25*IF(AF26-InputData!$C$150&lt;=0,0,AF26-InputData!$C$150)),0))</f>
        <v>33459.398902139292</v>
      </c>
      <c r="AL26" s="32">
        <f>IF(AF26-AK26&lt;=0,0,IF(AF26-AK26&lt;=InputData!$C$153,InputData!$C$154*(AF26-AK26),InputData!$C$155*(AF26-AK26)-InputData!$D$154))</f>
        <v>40482.781427218928</v>
      </c>
      <c r="AM26" s="32">
        <f t="shared" si="36"/>
        <v>44550.723229603995</v>
      </c>
      <c r="AN26" s="32">
        <f>IF(AF26&gt;=0,IF(AF26&lt;=InputData!$C$148,InputData!$C$147*AF26,InputData!$C$147*InputData!$C$148)+InputData!$C$149*AF26,0)</f>
        <v>9792.2548636759202</v>
      </c>
      <c r="AO26" s="32">
        <f>IF(AH26&lt;0,0,IF(AH26&lt;=InputData!$B$163,InputData!$C$163*AH26,IF(AH26&lt;=InputData!$B$164,InputData!$D$163+InputData!$C$164*(AH26-InputData!$B$163),IF(AH26&lt;=InputData!$B$165,InputData!$D$164+InputData!$C$165*(AH26-InputData!$B$164),InputData!$D$165+InputData!$C$166*(AH26-InputData!$B$165)))))</f>
        <v>0</v>
      </c>
      <c r="AP26" s="43">
        <f t="shared" si="37"/>
        <v>0.28728212811688197</v>
      </c>
      <c r="AQ26" s="43">
        <f t="shared" si="38"/>
        <v>0.26304330916325802</v>
      </c>
      <c r="AR26" s="5">
        <f t="shared" si="39"/>
        <v>152250.29457404316</v>
      </c>
      <c r="AS26" s="32">
        <f>AR26/((1+InputData!$C$7)^(GenSurg!$B26-GenSurg!$B$7))</f>
        <v>86826.215573576264</v>
      </c>
      <c r="AT26" s="5">
        <f t="shared" si="112"/>
        <v>1285684.2222434585</v>
      </c>
      <c r="AU26" s="53"/>
      <c r="AV26" s="41" t="s">
        <v>109</v>
      </c>
      <c r="AW26" s="32">
        <f>$AW$17*(1+InputData!$C$3+InputData!$C$4)^(GenSurg!$B26-GenSurg!$B$17)</f>
        <v>483451.79360656138</v>
      </c>
      <c r="AX26" s="32">
        <v>0</v>
      </c>
      <c r="AY26" s="32">
        <f t="shared" si="41"/>
        <v>483451.79360656138</v>
      </c>
      <c r="AZ26" s="32">
        <f>AZ25*(1+InputData!$C$8)</f>
        <v>16738.760372344408</v>
      </c>
      <c r="BA26" s="32">
        <f>AW26/((1+InputData!$C$3)^(GenSurg!$B26-GenSurg!$B$7))</f>
        <v>331856.18199762702</v>
      </c>
      <c r="BB26" s="32">
        <f>AX26/((1+InputData!$C$3)^(GenSurg!$B26-GenSurg!$B$7))</f>
        <v>0</v>
      </c>
      <c r="BC26" s="32" t="s">
        <v>141</v>
      </c>
      <c r="BD26" s="32">
        <v>0</v>
      </c>
      <c r="BE26" s="32">
        <f t="shared" si="146"/>
        <v>3.7107383832335472E-10</v>
      </c>
      <c r="BF26" s="32">
        <f>(BE26)*InputData!$C$6</f>
        <v>2.3043685359880328E-11</v>
      </c>
      <c r="BG26" s="32">
        <f>MIN($BE$16*InputData!$C$6/(1-(1+InputData!$C$6)^(-10)), BE26+BF26)</f>
        <v>3.9411752368323503E-10</v>
      </c>
      <c r="BH26" s="32">
        <f t="shared" si="137"/>
        <v>0</v>
      </c>
      <c r="BI26" s="32">
        <f>BG26/((1+InputData!$C$3)^(GenSurg!$B26-GenSurg!$B$7))</f>
        <v>2.705343912206403E-10</v>
      </c>
      <c r="BJ26" s="32">
        <f>IF(BA26-InputData!$C$158-InputData!$C$159&gt;=0,BA26-InputData!$C$158-InputData!$C$159,0)</f>
        <v>331856.18199762702</v>
      </c>
      <c r="BK26" s="32">
        <f>IF(BA26-IF(BA26&lt;=InputData!$C$146,InputData!$C$145,0)-MAX(InputData!$C$144,BQ26)&gt;=0,BA26-IF(BA26&lt;=InputData!$C$146,InputData!$C$145,0)-MAX(InputData!$C$144,BQ26),0)</f>
        <v>325756.18199762702</v>
      </c>
      <c r="BL26" s="32">
        <f>IF(BK26&lt;0,"Error",IF(BK26&lt;=InputData!$B$170,InputData!$C$170*BK26,IF(BK26&lt;=InputData!$B$171,InputData!$D$170+InputData!$C$171*(BK26-InputData!$B$170),IF(BK26&lt;=InputData!$B$172,InputData!$D$171+InputData!$C$172*(BK26-InputData!$B$171),IF(BK26&lt;=InputData!$B$173,InputData!$D$172+InputData!$C$173*(BK26-InputData!$B$172),IF(BK26&lt;=InputData!$B$174,InputData!$D$173+InputData!$C$174*(BK26-InputData!$B$173),IF(BK26&lt;=InputData!$B$175,InputData!$D$174+InputData!$C$175*(BK26-InputData!$B$174),InputData!$D$175+InputData!$C$176*(BK26-InputData!$B$175))))))))</f>
        <v>91630.290059216917</v>
      </c>
      <c r="BM26" s="32">
        <f>IF(BA26&lt;=InputData!$C$150,InputData!$C$152,IF(BA26&lt;InputData!$C$151,IF(InputData!$C$152-0.25*IF(BA26-InputData!$C$150&lt;=0,0,BA26-InputData!$C$150)&lt;=0,0,InputData!$C$152-0.25*IF(BA26-InputData!$C$150&lt;=0,0,BA26-InputData!$C$150)),0))</f>
        <v>0</v>
      </c>
      <c r="BN26" s="32">
        <f>IF(BA26-BM26&lt;=0,0,IF(BA26-BM26&lt;=InputData!$C$153,InputData!$C$154*(BA26-BM26),InputData!$C$155*(BA26-BM26)-InputData!$D$154))</f>
        <v>89329.730959335575</v>
      </c>
      <c r="BO26" s="32">
        <f t="shared" si="42"/>
        <v>91630.290059216917</v>
      </c>
      <c r="BP26" s="32">
        <f>IF(BA26&gt;=0,IF(BA26&lt;=InputData!$C$148,InputData!$C$147*BA26,InputData!$C$147*InputData!$C$148)+InputData!$C$149*BA26,0)</f>
        <v>11861.314638965592</v>
      </c>
      <c r="BQ26" s="32">
        <f>IF(BJ26&lt;0,0,IF(BJ26&lt;=InputData!$B$163,InputData!$C$163*BJ26,IF(BJ26&lt;=InputData!$B$164,InputData!$D$163+InputData!$C$164*(BJ26-InputData!$B$163),IF(BJ26&lt;=InputData!$B$165,InputData!$D$164+InputData!$C$165*(BJ26-InputData!$B$164),InputData!$D$165+InputData!$C$166*(BJ26-InputData!$B$165)))))</f>
        <v>0</v>
      </c>
      <c r="BR26" s="43">
        <f t="shared" si="43"/>
        <v>0.31185679313011122</v>
      </c>
      <c r="BS26" s="32">
        <f t="shared" si="44"/>
        <v>228364.57729944453</v>
      </c>
      <c r="BT26" s="32">
        <f t="shared" si="45"/>
        <v>228364.57729944427</v>
      </c>
      <c r="BU26" s="32">
        <f>BT26/((1+InputData!$C$7)^(GenSurg!$B26-GenSurg!$B$7))</f>
        <v>130233.1274526848</v>
      </c>
      <c r="BV26" s="5">
        <f t="shared" si="114"/>
        <v>1386366.7291935086</v>
      </c>
      <c r="BW26" s="5"/>
      <c r="BX26" s="32" t="s">
        <v>141</v>
      </c>
      <c r="BY26" s="5">
        <f t="shared" si="147"/>
        <v>207761.77920151342</v>
      </c>
      <c r="BZ26" s="32">
        <f>(BY26)*InputData!$C$6</f>
        <v>12902.006488413983</v>
      </c>
      <c r="CA26" s="32">
        <f>MIN($BY$16*InputData!$C$6/(1-(1+InputData!$C$6)^(-25)), BY26+BZ26)</f>
        <v>21686.214673809533</v>
      </c>
      <c r="CB26" s="32">
        <f t="shared" si="148"/>
        <v>198977.57101611787</v>
      </c>
      <c r="CC26" s="32">
        <f>CA26/((1+InputData!$C$3)^(GenSurg!$B26-GenSurg!$B$7))</f>
        <v>14886.084815083148</v>
      </c>
      <c r="CD26" s="5">
        <f t="shared" si="49"/>
        <v>213478.49248436137</v>
      </c>
      <c r="CE26" s="32">
        <f>CD26/((1+InputData!$C$7)^(GenSurg!$B26-GenSurg!$B$7))</f>
        <v>121743.80128870584</v>
      </c>
      <c r="CF26" s="5">
        <f t="shared" si="115"/>
        <v>1458840.9599556448</v>
      </c>
      <c r="CG26" s="5"/>
      <c r="CH26" s="32" t="s">
        <v>141</v>
      </c>
      <c r="CI26" s="5" t="e">
        <f t="shared" si="149"/>
        <v>#VALUE!</v>
      </c>
      <c r="CJ26" s="32" t="e">
        <f>(CI26)*InputData!$C$6</f>
        <v>#VALUE!</v>
      </c>
      <c r="CK26" s="5" t="str">
        <f t="shared" si="159"/>
        <v>DNQ</v>
      </c>
      <c r="CL26" s="32" t="e">
        <f t="shared" si="150"/>
        <v>#VALUE!</v>
      </c>
      <c r="CM26" s="32" t="e">
        <f>CK26/((1+InputData!$C$3)^(GenSurg!$B26-GenSurg!$B$7))</f>
        <v>#VALUE!</v>
      </c>
      <c r="CN26" s="5" t="e">
        <f t="shared" si="53"/>
        <v>#VALUE!</v>
      </c>
      <c r="CO26" s="32" t="e">
        <f>CN26/((1+InputData!$C$7)^(GenSurg!$B26-GenSurg!$B$7))</f>
        <v>#VALUE!</v>
      </c>
      <c r="CP26" s="5" t="e">
        <f t="shared" si="116"/>
        <v>#VALUE!</v>
      </c>
      <c r="CQ26" s="5"/>
      <c r="CR26" s="32" t="s">
        <v>141</v>
      </c>
      <c r="CS26" s="5">
        <f t="shared" si="160"/>
        <v>11185.179788344147</v>
      </c>
      <c r="CT26" s="32">
        <f>(CS26)*InputData!$C$6</f>
        <v>694.59966485617156</v>
      </c>
      <c r="CU26" s="32">
        <f t="shared" si="161"/>
        <v>11879.779453200319</v>
      </c>
      <c r="CV26" s="32">
        <f t="shared" si="152"/>
        <v>0</v>
      </c>
      <c r="CW26" s="32">
        <f>CU26/((1+InputData!$C$3)^(GenSurg!$B26-GenSurg!$B$7))</f>
        <v>8154.6460359629309</v>
      </c>
      <c r="CX26" s="5">
        <f t="shared" si="57"/>
        <v>220209.93126348159</v>
      </c>
      <c r="CY26" s="32">
        <f>CX26/((1+InputData!$C$7)^(GenSurg!$B26-GenSurg!$B$7))</f>
        <v>125582.64676477802</v>
      </c>
      <c r="CZ26" s="5">
        <f t="shared" si="117"/>
        <v>1385921.4729329767</v>
      </c>
      <c r="DA26" s="5"/>
      <c r="DB26" s="32" t="s">
        <v>141</v>
      </c>
      <c r="DC26" s="5">
        <f t="shared" si="138"/>
        <v>0</v>
      </c>
      <c r="DD26" s="5">
        <f>DC26*InputData!$C$6</f>
        <v>0</v>
      </c>
      <c r="DE26" s="32">
        <f t="shared" si="139"/>
        <v>0</v>
      </c>
      <c r="DF26" s="32">
        <f t="shared" si="140"/>
        <v>0</v>
      </c>
      <c r="DG26" s="32">
        <f>DE26/((1+InputData!$C$3)^(GenSurg!$B26-GenSurg!$B$7))</f>
        <v>0</v>
      </c>
      <c r="DH26" s="5">
        <f t="shared" si="61"/>
        <v>228364.57729944453</v>
      </c>
      <c r="DI26" s="32">
        <f>DH26/((1+InputData!$C$7)^(GenSurg!$B26-GenSurg!$B$7))</f>
        <v>130233.12745268494</v>
      </c>
      <c r="DJ26" s="5">
        <f t="shared" si="118"/>
        <v>1390954.3452959249</v>
      </c>
      <c r="DK26" s="5"/>
      <c r="DL26" s="32" t="s">
        <v>141</v>
      </c>
      <c r="DM26" s="32">
        <f t="shared" si="153"/>
        <v>51079.062096190319</v>
      </c>
      <c r="DN26" s="5">
        <f>DM26*InputData!$C$6</f>
        <v>3172.0097561734187</v>
      </c>
      <c r="DO26" s="32">
        <f t="shared" si="154"/>
        <v>0</v>
      </c>
      <c r="DP26" s="32">
        <f t="shared" si="130"/>
        <v>29148.379963889372</v>
      </c>
      <c r="DQ26" s="32">
        <f t="shared" si="131"/>
        <v>25102.691888474368</v>
      </c>
      <c r="DR26" s="32">
        <f>DP26/((1+InputData!$C$3)^(GenSurg!$B26-GenSurg!$B$7))</f>
        <v>20008.344604683611</v>
      </c>
      <c r="DS26" s="5">
        <f t="shared" si="65"/>
        <v>208356.23269476093</v>
      </c>
      <c r="DT26" s="32">
        <f>DS26/((1+InputData!$C$7)^(GenSurg!$B26-GenSurg!$B$7))</f>
        <v>118822.64810499611</v>
      </c>
      <c r="DU26" s="5">
        <f t="shared" si="120"/>
        <v>1393980.4151833632</v>
      </c>
      <c r="DV26" s="5"/>
      <c r="DW26" s="32" t="s">
        <v>141</v>
      </c>
      <c r="DX26" s="133">
        <f t="shared" si="141"/>
        <v>68103.79762577817</v>
      </c>
      <c r="DY26" s="5">
        <f>DX26*InputData!$C$6</f>
        <v>4229.245832560825</v>
      </c>
      <c r="DZ26" s="133">
        <f t="shared" si="142"/>
        <v>0</v>
      </c>
      <c r="EA26" s="32">
        <f t="shared" si="143"/>
        <v>29148.379963889372</v>
      </c>
      <c r="EB26" s="32">
        <f t="shared" si="144"/>
        <v>43184.663494449633</v>
      </c>
      <c r="EC26" s="32">
        <f>EA26/((1+InputData!$C$3)^(GenSurg!$B26-GenSurg!$B$7))</f>
        <v>20008.344604683611</v>
      </c>
      <c r="ED26" s="5">
        <f t="shared" si="69"/>
        <v>208356.23269476093</v>
      </c>
      <c r="EE26" s="32">
        <f>ED26/((1+InputData!$C$7)^(GenSurg!$B26-GenSurg!$B$7))</f>
        <v>118822.64810499611</v>
      </c>
      <c r="EF26" s="5">
        <f t="shared" si="122"/>
        <v>1401723.7561070109</v>
      </c>
      <c r="EG26" s="32"/>
      <c r="EH26" s="130" t="s">
        <v>141</v>
      </c>
      <c r="EI26" s="32">
        <v>0</v>
      </c>
      <c r="EJ26" s="32">
        <f t="shared" si="168"/>
        <v>11008.093013604223</v>
      </c>
      <c r="EK26" s="32">
        <f>(EJ26)*InputData!$C$6</f>
        <v>683.60257614482225</v>
      </c>
      <c r="EL26" s="32">
        <f t="shared" si="167"/>
        <v>-2.1827872842550278E-11</v>
      </c>
      <c r="EM26" s="32">
        <f>EM25*(1+InputData!$C$8)</f>
        <v>16738.760372344408</v>
      </c>
      <c r="EN26" s="32">
        <f t="shared" si="162"/>
        <v>11691.695589749044</v>
      </c>
      <c r="EO26" s="32">
        <f>AW26/((1+InputData!$C$3)^(GenSurg!$B26-GenSurg!$B$7))</f>
        <v>331856.18199762702</v>
      </c>
      <c r="EP26" s="32">
        <f>AX26/((1+InputData!$C$3)^(GenSurg!$B26-GenSurg!$B$7))</f>
        <v>0</v>
      </c>
      <c r="EQ26" s="32">
        <v>85793.45</v>
      </c>
      <c r="ER26" s="32">
        <v>10316.120000000001</v>
      </c>
      <c r="ES26" s="32">
        <v>0</v>
      </c>
      <c r="ET26" s="43">
        <f t="shared" si="136"/>
        <v>0.2896121127575898</v>
      </c>
      <c r="EU26" s="32">
        <f t="shared" si="70"/>
        <v>235746.61199762701</v>
      </c>
      <c r="EV26" s="32">
        <f>EN26/((1+InputData!$C$3)^(GenSurg!$B26-GenSurg!$B$7))</f>
        <v>8025.5394866735551</v>
      </c>
      <c r="EW26" s="32">
        <f t="shared" si="71"/>
        <v>227721.07251095347</v>
      </c>
      <c r="EX26" s="32">
        <f>EW26/((1+InputData!$C$7)^(GenSurg!$B26-GenSurg!$B$7))</f>
        <v>129866.14566362192</v>
      </c>
      <c r="EY26" s="5">
        <f t="shared" si="124"/>
        <v>1496479.9617359883</v>
      </c>
      <c r="EZ26" s="79"/>
      <c r="FA26" s="32">
        <f t="shared" si="163"/>
        <v>2.1827872842550278E-10</v>
      </c>
      <c r="FB26" s="32">
        <f>FA26*InputData!$C$6</f>
        <v>1.3555109035223722E-11</v>
      </c>
      <c r="FC26" s="32">
        <f t="shared" si="155"/>
        <v>0</v>
      </c>
      <c r="FD26" s="32">
        <f>MIN($EJ$16*InputData!$C$6/(1-(1+InputData!$C$6)^(-10)), FA26+FB26)</f>
        <v>2.318338374607265E-10</v>
      </c>
      <c r="FE26" s="32">
        <f>FD26/((1+InputData!$C$3)^(GenSurg!$B26-GenSurg!$B$7))</f>
        <v>1.5913787718861193E-10</v>
      </c>
      <c r="FF26" s="5">
        <f t="shared" si="75"/>
        <v>235746.61199762687</v>
      </c>
      <c r="FG26" s="32">
        <f>FF26/((1+InputData!$C$7)^(GenSurg!$B26-GenSurg!$B$7))</f>
        <v>134442.99869049911</v>
      </c>
      <c r="FH26" s="5">
        <f t="shared" si="125"/>
        <v>1496918.6604858795</v>
      </c>
      <c r="FI26" s="79"/>
      <c r="FJ26" s="32">
        <f t="shared" si="164"/>
        <v>207605.16586856495</v>
      </c>
      <c r="FK26" s="32">
        <f>FJ26*InputData!$C$6</f>
        <v>12892.280800437884</v>
      </c>
      <c r="FL26" s="32">
        <f t="shared" si="156"/>
        <v>198827.5793251601</v>
      </c>
      <c r="FM26" s="32">
        <f>MIN($EJ$16*InputData!$C$6/(1-(1+InputData!$C$6)^(-25)), FJ26+FK26)</f>
        <v>21669.867343842721</v>
      </c>
      <c r="FN26" s="32">
        <f>FM26/((1+InputData!$C$3)^(GenSurg!$B26-GenSurg!$B$7))</f>
        <v>14874.863504953815</v>
      </c>
      <c r="FO26" s="5">
        <f t="shared" si="79"/>
        <v>220871.74849267318</v>
      </c>
      <c r="FP26" s="32">
        <f>FO26/((1+InputData!$C$7)^(GenSurg!$B26-GenSurg!$B$7))</f>
        <v>125960.07188288937</v>
      </c>
      <c r="FQ26" s="5">
        <f t="shared" si="126"/>
        <v>1569338.2592994629</v>
      </c>
      <c r="FR26" s="79"/>
      <c r="FS26" s="32">
        <f t="shared" si="165"/>
        <v>2.1827872842550278E-10</v>
      </c>
      <c r="FT26" s="32">
        <f>FS26*InputData!$C$6</f>
        <v>1.3555109035223722E-11</v>
      </c>
      <c r="FU26" s="32">
        <f t="shared" si="157"/>
        <v>0</v>
      </c>
      <c r="FV26" s="5">
        <f t="shared" si="166"/>
        <v>2.318338374607265E-10</v>
      </c>
      <c r="FW26" s="32">
        <f>FV26/((1+InputData!$C$3)^(GenSurg!$B26-GenSurg!$B$7))</f>
        <v>1.5913787718861193E-10</v>
      </c>
      <c r="FX26" s="5">
        <f t="shared" si="83"/>
        <v>235746.61199762687</v>
      </c>
      <c r="FY26" s="32">
        <f>FX26/((1+InputData!$C$7)^(GenSurg!$B26-GenSurg!$B$7))</f>
        <v>134442.99869049911</v>
      </c>
      <c r="FZ26" s="5">
        <f t="shared" si="127"/>
        <v>1496918.6604858795</v>
      </c>
      <c r="GC26" s="3">
        <f t="shared" si="1"/>
        <v>16</v>
      </c>
      <c r="GD26" s="122" t="str">
        <f t="shared" si="2"/>
        <v>Multi-Year (O5&gt;14 = (BP+BAH+BAS+VSP+BCPSP)*12+ASP+ISP+MSP)</v>
      </c>
      <c r="GE26" s="5">
        <f t="shared" si="3"/>
        <v>228103.52000000002</v>
      </c>
      <c r="GF26" s="5">
        <f t="shared" si="4"/>
        <v>21019.199999999997</v>
      </c>
      <c r="GG26" s="5">
        <f t="shared" si="5"/>
        <v>249122.72000000003</v>
      </c>
      <c r="GH26" s="5">
        <f t="shared" si="6"/>
        <v>189162.40439144283</v>
      </c>
      <c r="GI26" s="5">
        <f t="shared" si="7"/>
        <v>17430.868275880242</v>
      </c>
      <c r="GJ26" s="32">
        <f>IF(GH26-InputData!$C$158-InputData!$C$159&gt;=0,GH26-InputData!$C$158-InputData!$C$159,0)</f>
        <v>189162.40439144283</v>
      </c>
      <c r="GK26" s="32">
        <f>IF(GH26-IF(GH26&lt;=InputData!$C$146,InputData!$C$145,0)-MAX(InputData!$C$144,GQ26)&gt;=0,GH26-IF(GH26&lt;=InputData!$C$146,InputData!$C$145,0)-MAX(InputData!$C$144,GQ26),0)</f>
        <v>183062.40439144283</v>
      </c>
      <c r="GL26" s="32">
        <f>IF(GK26&lt;0,"Error",IF(GK26&lt;=InputData!$B$170,InputData!$C$170*GK26,IF(GK26&lt;=InputData!$B$171,InputData!$D$170+InputData!$C$171*(GK26-InputData!$B$170),IF(GK26&lt;=InputData!$B$172,InputData!$D$171+InputData!$C$172*(GK26-InputData!$B$171),IF(GK26&lt;=InputData!$B$173,InputData!$D$172+InputData!$C$173*(GK26-InputData!$B$172),IF(GK26&lt;=InputData!$B$174,InputData!$D$173+InputData!$C$174*(GK26-InputData!$B$173),IF(GK26&lt;=InputData!$B$175,InputData!$D$174+InputData!$C$175*(GK26-InputData!$B$174),InputData!$D$175+InputData!$C$176*(GK26-InputData!$B$175))))))))</f>
        <v>44550.723229603995</v>
      </c>
      <c r="GM26" s="32">
        <f>IF(GH26&lt;=InputData!$C$150,InputData!$C$152,IF(GH26&lt;InputData!$C$151,IF(InputData!$C$152-0.25*IF(GH26-InputData!$C$150&lt;=0,0,GH26-InputData!$C$150)&lt;=0,0,InputData!$C$152-0.25*IF(GH26-InputData!$C$150&lt;=0,0,GH26-InputData!$C$150)),0))</f>
        <v>33459.398902139292</v>
      </c>
      <c r="GN26" s="32">
        <f>IF(GH26-GM26&lt;=0,0,IF(GH26-GM26&lt;=InputData!$C$153,InputData!$C$154*(GH26-GM26),InputData!$C$155*(GH26-GM26)-InputData!$D$154))</f>
        <v>40482.781427218928</v>
      </c>
      <c r="GO26" s="32">
        <f t="shared" si="84"/>
        <v>44550.723229603995</v>
      </c>
      <c r="GP26" s="32">
        <f>IF(GH26&gt;=0,IF(GH26&lt;=InputData!$C$148,InputData!$C$147*GH26,InputData!$C$147*InputData!$C$148)+InputData!$C$149*GH26,0)</f>
        <v>9792.2548636759202</v>
      </c>
      <c r="GQ26" s="32">
        <f>IF(GJ26&lt;0,0,IF(GJ26&lt;=InputData!$B$163,InputData!$C$163*GJ26,IF(GJ26&lt;=InputData!$B$164,InputData!$D$163+InputData!$C$164*(GJ26-InputData!$B$163),IF(GJ26&lt;=InputData!$B$165,InputData!$D$164+InputData!$C$165*(GJ26-InputData!$B$164),InputData!$D$165+InputData!$C$166*(GJ26-InputData!$B$165)))))</f>
        <v>0</v>
      </c>
      <c r="GR26" s="43">
        <f t="shared" si="85"/>
        <v>0.28728212811688197</v>
      </c>
      <c r="GS26" s="43">
        <f t="shared" si="86"/>
        <v>0.26304330916325802</v>
      </c>
      <c r="GT26" s="5">
        <f t="shared" si="87"/>
        <v>152250.29457404316</v>
      </c>
      <c r="GU26" s="32">
        <f>GT26/((1+InputData!$C$7)^(GenSurg!$B26-GenSurg!$B$7))</f>
        <v>86826.215573576264</v>
      </c>
      <c r="GV26" s="32">
        <f t="shared" si="88"/>
        <v>1248134.0153951729</v>
      </c>
      <c r="GX26" s="3">
        <f t="shared" si="8"/>
        <v>16</v>
      </c>
      <c r="GY26" s="4" t="str">
        <f t="shared" si="9"/>
        <v>Multi-Year (O5&gt;14 = (BP+BAH+BAS+VSP+BCPSP)*12+ASP+ISP+MSP)</v>
      </c>
      <c r="GZ26" s="5">
        <f t="shared" si="10"/>
        <v>228103.52000000002</v>
      </c>
      <c r="HA26" s="5">
        <f t="shared" si="11"/>
        <v>21019.199999999997</v>
      </c>
      <c r="HB26" s="5">
        <f t="shared" si="12"/>
        <v>249122.72000000003</v>
      </c>
      <c r="HC26" s="5">
        <f t="shared" si="13"/>
        <v>189162.40439144283</v>
      </c>
      <c r="HD26" s="5">
        <f t="shared" si="14"/>
        <v>17430.868275880242</v>
      </c>
      <c r="HE26" s="32">
        <f>IF(HC26-InputData!$C$158-InputData!$C$159&gt;=0,HC26-InputData!$C$158-InputData!$C$159,0)</f>
        <v>189162.40439144283</v>
      </c>
      <c r="HF26" s="32">
        <f>IF(HC26-IF(HC26&lt;=InputData!$C$146,InputData!$C$145,0)-MAX(InputData!$C$144,HL26)&gt;=0,HC26-IF(HC26&lt;=InputData!$C$146,InputData!$C$145,0)-MAX(InputData!$C$144,HL26),0)</f>
        <v>183062.40439144283</v>
      </c>
      <c r="HG26" s="32">
        <f>IF(HF26&lt;0,"Error",IF(HF26&lt;=InputData!$B$170,InputData!$C$170*HF26,IF(HF26&lt;=InputData!$B$171,InputData!$D$170+InputData!$C$171*(HF26-InputData!$B$170),IF(HF26&lt;=InputData!$B$172,InputData!$D$171+InputData!$C$172*(HF26-InputData!$B$171),IF(HF26&lt;=InputData!$B$173,InputData!$D$172+InputData!$C$173*(HF26-InputData!$B$172),IF(HF26&lt;=InputData!$B$174,InputData!$D$173+InputData!$C$174*(HF26-InputData!$B$173),IF(HF26&lt;=InputData!$B$175,InputData!$D$174+InputData!$C$175*(HF26-InputData!$B$174),InputData!$D$175+InputData!$C$176*(HF26-InputData!$B$175))))))))</f>
        <v>44550.723229603995</v>
      </c>
      <c r="HH26" s="32">
        <f>IF(HC26&lt;=InputData!$C$150,InputData!$C$152,IF(HC26&lt;InputData!$C$151,IF(InputData!$C$152-0.25*IF(HC26-InputData!$C$150&lt;=0,0,HC26-InputData!$C$150)&lt;=0,0,InputData!$C$152-0.25*IF(HC26-InputData!$C$150&lt;=0,0,HC26-InputData!$C$150)),0))</f>
        <v>33459.398902139292</v>
      </c>
      <c r="HI26" s="32">
        <f>IF(HC26-HH26&lt;=0,0,IF(HC26-HH26&lt;=InputData!$C$153,InputData!$C$154*(HC26-HH26),InputData!$C$155*(HC26-HH26)-InputData!$D$154))</f>
        <v>40482.781427218928</v>
      </c>
      <c r="HJ26" s="32">
        <f t="shared" si="89"/>
        <v>44550.723229603995</v>
      </c>
      <c r="HK26" s="32">
        <f>IF(HC26&gt;=0,IF(HC26&lt;=InputData!$C$148,InputData!$C$147*HC26,InputData!$C$147*InputData!$C$148)+InputData!$C$149*HC26,0)</f>
        <v>9792.2548636759202</v>
      </c>
      <c r="HL26" s="32">
        <f>IF(HE26&lt;0,0,IF(HE26&lt;=InputData!$B$163,InputData!$C$163*HE26,IF(HE26&lt;=InputData!$B$164,InputData!$D$163+InputData!$C$164*(HE26-InputData!$B$163),IF(HE26&lt;=InputData!$B$165,InputData!$D$164+InputData!$C$165*(HE26-InputData!$B$164),InputData!$D$165+InputData!$C$166*(HE26-InputData!$B$165)))))</f>
        <v>0</v>
      </c>
      <c r="HM26" s="43">
        <f t="shared" si="90"/>
        <v>0.28728212811688197</v>
      </c>
      <c r="HN26" s="43">
        <f t="shared" si="91"/>
        <v>0.26304330916325802</v>
      </c>
      <c r="HO26" s="5">
        <f t="shared" si="92"/>
        <v>152250.29457404316</v>
      </c>
      <c r="HP26" s="32">
        <f>HO26/((1+InputData!$C$7)^(GenSurg!$B26-GenSurg!$B$7))</f>
        <v>86826.215573576264</v>
      </c>
      <c r="HQ26" s="32">
        <f t="shared" si="93"/>
        <v>1285684.2222434585</v>
      </c>
      <c r="HS26" s="227"/>
      <c r="HT26" s="53" t="s">
        <v>109</v>
      </c>
      <c r="HU26" s="32">
        <f>MIN(InputData!$C$13+InputData!$E$13*($B26-$B$23),1)*GenSurg!AW26</f>
        <v>435106.61424590525</v>
      </c>
      <c r="HV26" s="32">
        <f>MIN(InputData!$C$13+InputData!$E$13*($B26-$B$23),1)*GenSurg!AX26</f>
        <v>0</v>
      </c>
      <c r="HW26" s="32">
        <f>MIN(InputData!$C$13+InputData!$E$13*($B26-$B$23),1)*GenSurg!AY26</f>
        <v>435106.61424590525</v>
      </c>
      <c r="HX26" s="32">
        <f>MIN(InputData!$C$13+InputData!$E$13*($B26-$B$23),1)*GenSurg!EO26</f>
        <v>298670.56379786431</v>
      </c>
      <c r="HY26" s="32">
        <f>MIN(InputData!$C$13+InputData!$E$13*($B26-$B$23),1)*GenSurg!EP26</f>
        <v>0</v>
      </c>
      <c r="HZ26" s="32">
        <f>IF(HX26-InputData!$C$158-InputData!$C$159&gt;=0,HX26-InputData!$C$158-InputData!$C$159,0)</f>
        <v>298670.56379786431</v>
      </c>
      <c r="IA26" s="32">
        <f>IF(HX26-IF(HX26&lt;=InputData!$C$146,InputData!$C$145,0)-MAX(InputData!$C$144,IG26)&gt;=0,HX26-IF(HX26&lt;=InputData!$C$146,InputData!$C$145,0)-MAX(InputData!$C$144,IG26),0)</f>
        <v>292570.56379786431</v>
      </c>
      <c r="IB26" s="32">
        <f>IF(IA26&lt;0,"Error",IF(IA26&lt;=InputData!$B$170,InputData!$C$170*IA26,IF(IA26&lt;=InputData!$B$171,InputData!$D$170+InputData!$C$171*(IA26-InputData!$B$170),IF(IA26&lt;=InputData!$B$172,InputData!$D$171+InputData!$C$172*(IA26-InputData!$B$171),IF(IA26&lt;=InputData!$B$173,InputData!$D$172+InputData!$C$173*(IA26-InputData!$B$172),IF(IA26&lt;=InputData!$B$174,InputData!$D$173+InputData!$C$174*(IA26-InputData!$B$173),IF(IA26&lt;=InputData!$B$175,InputData!$D$174+InputData!$C$175*(IA26-InputData!$B$174),InputData!$D$175+InputData!$C$176*(IA26-InputData!$B$175))))))))</f>
        <v>80679.036053295218</v>
      </c>
      <c r="IC26" s="32">
        <f>IF(HX26&lt;=InputData!$C$150,InputData!$C$152,IF(HX26&lt;InputData!$C$151,IF(InputData!$C$152-0.25*IF(HX26-InputData!$C$150&lt;=0,0,HX26-InputData!$C$150)&lt;=0,0,InputData!$C$152-0.25*IF(HX26-InputData!$C$150&lt;=0,0,HX26-InputData!$C$150)),0))</f>
        <v>6082.3590505339234</v>
      </c>
      <c r="ID26" s="32">
        <f>IF(HX26-IC26&lt;=0,0,IF(HX26-IC26&lt;=InputData!$C$153,InputData!$C$154*(HX26-IC26),InputData!$C$155*(HX26-IC26)-InputData!$D$154))</f>
        <v>78334.697329252522</v>
      </c>
      <c r="IE26" s="32">
        <f t="shared" si="96"/>
        <v>80679.036053295218</v>
      </c>
      <c r="IF26" s="32">
        <f>IF(HX26&gt;=0,IF(HX26&lt;=InputData!$C$148,InputData!$C$147*HX26,InputData!$C$147*InputData!$C$148)+InputData!$C$149*HX26,0)</f>
        <v>11380.123175069031</v>
      </c>
      <c r="IG26" s="32">
        <f>IF(HZ26&lt;0,0,IF(HZ26&lt;=InputData!$B$163,InputData!$C$163*HZ26,IF(HZ26&lt;=InputData!$B$164,InputData!$D$163+InputData!$C$164*(HZ26-InputData!$B$163),IF(HZ26&lt;=InputData!$B$165,InputData!$D$164+InputData!$C$165*(HZ26-InputData!$B$164),InputData!$D$165+InputData!$C$166*(HZ26-InputData!$B$165)))))</f>
        <v>0</v>
      </c>
      <c r="IH26" s="43">
        <f t="shared" si="97"/>
        <v>0.30822977014456804</v>
      </c>
      <c r="II26" s="43">
        <f t="shared" si="98"/>
        <v>0.30822977014456804</v>
      </c>
      <c r="IJ26" s="5">
        <f t="shared" si="20"/>
        <v>206611.40456950007</v>
      </c>
      <c r="IK26" s="32">
        <f>IJ26/((1+InputData!$C$7)^(GenSurg!$B26-GenSurg!$B$7))</f>
        <v>117827.5970059714</v>
      </c>
      <c r="IL26" s="5">
        <f t="shared" si="99"/>
        <v>1368242.0203664133</v>
      </c>
      <c r="IN26" s="227"/>
      <c r="IO26" s="53" t="s">
        <v>109</v>
      </c>
      <c r="IP26" s="32">
        <f>MIN(InputData!$C$13+InputData!$E$13*($B26-$B$20),1)*GenSurg!AW26</f>
        <v>435106.61424590525</v>
      </c>
      <c r="IQ26" s="32">
        <f>MIN(InputData!$C$13+InputData!$E$13*($B26-$B$20),1)*GenSurg!AX26</f>
        <v>0</v>
      </c>
      <c r="IR26" s="32">
        <f>MIN(InputData!$C$13+InputData!$E$13*($B26-$B$20),1)*GenSurg!AY26</f>
        <v>435106.61424590525</v>
      </c>
      <c r="IS26" s="32">
        <f>MIN(InputData!$C$13+InputData!$E$13*($B26-$B$20),1)*GenSurg!EO26</f>
        <v>298670.56379786431</v>
      </c>
      <c r="IT26" s="32">
        <f>MIN(InputData!$C$13+InputData!$E$13*($B26-$B$20),1)*GenSurg!EP26</f>
        <v>0</v>
      </c>
      <c r="IU26" s="32">
        <f>IF(IS26-InputData!$C$158-InputData!$C$159&gt;=0,IS26-InputData!$C$158-InputData!$C$159,0)</f>
        <v>298670.56379786431</v>
      </c>
      <c r="IV26" s="32">
        <f>IF(IS26-IF(IS26&lt;=InputData!$C$146,InputData!$C$145,0)-MAX(InputData!$C$144,JB26)&gt;=0,IS26-IF(IS26&lt;=InputData!$C$146,InputData!$C$145,0)-MAX(InputData!$C$144,JB26),0)</f>
        <v>292570.56379786431</v>
      </c>
      <c r="IW26" s="32">
        <f>IF(IV26&lt;0,"Error",IF(IV26&lt;=InputData!$B$170,InputData!$C$170*IV26,IF(IV26&lt;=InputData!$B$171,InputData!$D$170+InputData!$C$171*(IV26-InputData!$B$170),IF(IV26&lt;=InputData!$B$172,InputData!$D$171+InputData!$C$172*(IV26-InputData!$B$171),IF(IV26&lt;=InputData!$B$173,InputData!$D$172+InputData!$C$173*(IV26-InputData!$B$172),IF(IV26&lt;=InputData!$B$174,InputData!$D$173+InputData!$C$174*(IV26-InputData!$B$173),IF(IV26&lt;=InputData!$B$175,InputData!$D$174+InputData!$C$175*(IV26-InputData!$B$174),InputData!$D$175+InputData!$C$176*(IV26-InputData!$B$175))))))))</f>
        <v>80679.036053295218</v>
      </c>
      <c r="IX26" s="32">
        <f>IF(IS26&lt;=InputData!$C$150,InputData!$C$152,IF(IS26&lt;InputData!$C$151,IF(InputData!$C$152-0.25*IF(IS26-InputData!$C$150&lt;=0,0,IS26-InputData!$C$150)&lt;=0,0,InputData!$C$152-0.25*IF(IS26-InputData!$C$150&lt;=0,0,IS26-InputData!$C$150)),0))</f>
        <v>6082.3590505339234</v>
      </c>
      <c r="IY26" s="32">
        <f>IF(IS26-IX26&lt;=0,0,IF(IS26-IX26&lt;=InputData!$C$153,InputData!$C$154*(IS26-IX26),InputData!$C$155*(IS26-IX26)-InputData!$D$154))</f>
        <v>78334.697329252522</v>
      </c>
      <c r="IZ26" s="32">
        <f t="shared" si="102"/>
        <v>80679.036053295218</v>
      </c>
      <c r="JA26" s="32">
        <f>IF(IS26&gt;=0,IF(IS26&lt;=InputData!$C$148,InputData!$C$147*IS26,InputData!$C$147*InputData!$C$148)+InputData!$C$149*IS26,0)</f>
        <v>11380.123175069031</v>
      </c>
      <c r="JB26" s="32">
        <f>IF(IU26&lt;0,0,IF(IU26&lt;=InputData!$B$163,InputData!$C$163*IU26,IF(IU26&lt;=InputData!$B$164,InputData!$D$163+InputData!$C$164*(IU26-InputData!$B$163),IF(IU26&lt;=InputData!$B$165,InputData!$D$164+InputData!$C$165*(IU26-InputData!$B$164),InputData!$D$165+InputData!$C$166*(IU26-InputData!$B$165)))))</f>
        <v>0</v>
      </c>
      <c r="JC26" s="43">
        <f t="shared" si="103"/>
        <v>0.30822977014456804</v>
      </c>
      <c r="JD26" s="43">
        <f t="shared" si="104"/>
        <v>0.30822977014456804</v>
      </c>
      <c r="JE26" s="5">
        <f t="shared" si="105"/>
        <v>206611.40456950007</v>
      </c>
      <c r="JF26" s="32">
        <f>JE26/((1+InputData!$C$7)^(GenSurg!$B26-GenSurg!$B$7))</f>
        <v>117827.5970059714</v>
      </c>
      <c r="JG26" s="5">
        <f t="shared" si="106"/>
        <v>1495396.3823002439</v>
      </c>
      <c r="JI26" s="41" t="str">
        <f t="shared" si="26"/>
        <v>Private Practice</v>
      </c>
      <c r="JJ26" s="5">
        <f t="shared" si="27"/>
        <v>483451.79360656138</v>
      </c>
      <c r="JK26" s="32">
        <v>0</v>
      </c>
      <c r="JL26" s="32">
        <f t="shared" si="108"/>
        <v>483451.79360656138</v>
      </c>
      <c r="JM26" s="32">
        <f>JM25*(1+InputData!$C$8)</f>
        <v>16738.760372344408</v>
      </c>
      <c r="JN26" s="32">
        <f>JJ26/((1+InputData!$C$3)^(GenSurg!$B26-GenSurg!$B$7))</f>
        <v>331856.18199762702</v>
      </c>
      <c r="JO26" s="32">
        <f>JK26/((1+InputData!$C$3)^(GenSurg!$B26-GenSurg!$B$7))</f>
        <v>0</v>
      </c>
      <c r="JP26" s="32" t="s">
        <v>141</v>
      </c>
      <c r="JQ26" s="32">
        <v>0</v>
      </c>
      <c r="JR26" s="32">
        <f t="shared" si="158"/>
        <v>0</v>
      </c>
      <c r="JS26" s="32">
        <f>(JR26)*InputData!$C$6</f>
        <v>0</v>
      </c>
      <c r="JT26" s="32">
        <f>MIN($BE$16*InputData!$C$6/(1-(1+InputData!$C$6)^(-10)), JR26+JS26)</f>
        <v>0</v>
      </c>
      <c r="JU26" s="32">
        <f t="shared" si="145"/>
        <v>0</v>
      </c>
      <c r="JV26" s="32">
        <f>JT26/((1+InputData!$C$3)^(GenSurg!$B26-GenSurg!$B$7))</f>
        <v>0</v>
      </c>
      <c r="JW26" s="32">
        <f>IF(JN26-InputData!$C$158-InputData!$C$159&gt;=0,JN26-InputData!$C$158-InputData!$C$159,0)</f>
        <v>331856.18199762702</v>
      </c>
      <c r="JX26" s="32">
        <f>IF(JN26-IF(JN26&lt;=InputData!$C$146,InputData!$C$145,0)-MAX(InputData!$C$144,KD26)&gt;=0,JN26-IF(JN26&lt;=InputData!$C$146,InputData!$C$145,0)-MAX(InputData!$C$144,KD26),0)</f>
        <v>325756.18199762702</v>
      </c>
      <c r="JY26" s="32">
        <f>IF(JX26&lt;0,"Error",IF(JX26&lt;=InputData!$B$170,InputData!$C$170*JX26,IF(JX26&lt;=InputData!$B$171,InputData!$D$170+InputData!$C$171*(JX26-InputData!$B$170),IF(JX26&lt;=InputData!$B$172,InputData!$D$171+InputData!$C$172*(JX26-InputData!$B$171),IF(JX26&lt;=InputData!$B$173,InputData!$D$172+InputData!$C$173*(JX26-InputData!$B$172),IF(JX26&lt;=InputData!$B$174,InputData!$D$173+InputData!$C$174*(JX26-InputData!$B$173),IF(JX26&lt;=InputData!$B$175,InputData!$D$174+InputData!$C$175*(JX26-InputData!$B$174),InputData!$D$175+InputData!$C$176*(JX26-InputData!$B$175))))))))</f>
        <v>91630.290059216917</v>
      </c>
      <c r="JZ26" s="32">
        <f>IF(JN26&lt;=InputData!$C$150,InputData!$C$152,IF(JN26&lt;InputData!$C$151,IF(InputData!$C$152-0.25*IF(JN26-InputData!$C$150&lt;=0,0,JN26-InputData!$C$150)&lt;=0,0,InputData!$C$152-0.25*IF(JN26-InputData!$C$150&lt;=0,0,JN26-InputData!$C$150)),0))</f>
        <v>0</v>
      </c>
      <c r="KA26" s="32">
        <f>IF(JN26-JZ26&lt;=0,0,IF(JN26-JZ26&lt;=InputData!$C$153,InputData!$C$154*(JN26-JZ26),InputData!$C$155*(JN26-JZ26)-InputData!$D$154))</f>
        <v>89329.730959335575</v>
      </c>
      <c r="KB26" s="32">
        <f t="shared" si="109"/>
        <v>91630.290059216917</v>
      </c>
      <c r="KC26" s="32">
        <f>IF(JN26&gt;=0,IF(JN26&lt;=InputData!$C$148,InputData!$C$147*JN26,InputData!$C$147*InputData!$C$148)+InputData!$C$149*JN26,0)</f>
        <v>11861.314638965592</v>
      </c>
      <c r="KD26" s="32">
        <f>IF(JW26&lt;0,0,IF(JW26&lt;=InputData!$B$163,InputData!$C$163*JW26,IF(JW26&lt;=InputData!$B$164,InputData!$D$163+InputData!$C$164*(JW26-InputData!$B$163),IF(JW26&lt;=InputData!$B$165,InputData!$D$164+InputData!$C$165*(JW26-InputData!$B$164),InputData!$D$165+InputData!$C$166*(JW26-InputData!$B$165)))))</f>
        <v>0</v>
      </c>
      <c r="KE26" s="43">
        <f t="shared" si="28"/>
        <v>0.31185679313011122</v>
      </c>
      <c r="KF26" s="32">
        <f t="shared" si="29"/>
        <v>228364.57729944453</v>
      </c>
      <c r="KG26" s="32">
        <f t="shared" si="110"/>
        <v>228364.57729944453</v>
      </c>
      <c r="KH26" s="32">
        <f>KG26/((1+InputData!$C$7)^(GenSurg!$B26-GenSurg!$B$7))</f>
        <v>130233.12745268494</v>
      </c>
      <c r="KI26" s="5">
        <f t="shared" si="129"/>
        <v>1770693.121740249</v>
      </c>
    </row>
    <row r="27" spans="1:295" x14ac:dyDescent="0.25">
      <c r="A27" s="4">
        <v>2033</v>
      </c>
      <c r="B27" s="51">
        <v>21</v>
      </c>
      <c r="C27" s="4"/>
      <c r="D27" s="3">
        <v>17</v>
      </c>
      <c r="E27" s="97" t="s">
        <v>265</v>
      </c>
      <c r="F27" s="5">
        <f>InputData!$L$22*12</f>
        <v>94741.200000000012</v>
      </c>
      <c r="G27" s="32">
        <f>(InputData!$L$22+InputData!$I$45+InputData!$F$50)*12+InputData!$J$50+InputData!$D$58+InputData!$J$58</f>
        <v>233741.12</v>
      </c>
      <c r="H27" s="32">
        <f>(InputData!$C$33+InputData!$C$40)*12</f>
        <v>21019.199999999997</v>
      </c>
      <c r="I27" s="32">
        <f t="shared" si="30"/>
        <v>254760.32000000001</v>
      </c>
      <c r="J27" s="5">
        <f>G27*((1+InputData!$C$5)/(1+InputData!$C$3))^(GenSurg!$B27-GenSurg!$B$7)</f>
        <v>191937.20270460867</v>
      </c>
      <c r="K27" s="5">
        <f>H27*((1+InputData!$C$5)/(1+InputData!$C$3))^(GenSurg!$B27-GenSurg!$B$7)</f>
        <v>17259.977410430438</v>
      </c>
      <c r="L27" s="32">
        <f>IF(J27-InputData!$C$158-InputData!$C$159&gt;=0,J27-InputData!$C$158-InputData!$C$159,0)</f>
        <v>191937.20270460867</v>
      </c>
      <c r="M27" s="32">
        <f>IF(J27-IF(J27&lt;=InputData!$C$146,InputData!$C$145,0)-MAX(InputData!$C$144,S27)&gt;=0,J27-IF(J27&lt;=InputData!$C$146,InputData!$C$145,0)-MAX(InputData!$C$144,S27),0)</f>
        <v>185837.20270460867</v>
      </c>
      <c r="N27" s="32">
        <f>IF(M27&lt;0,"Error",IF(M27&lt;=InputData!$B$170,InputData!$C$170*M27,IF(M27&lt;=InputData!$B$171,InputData!$D$170+InputData!$C$171*(M27-InputData!$B$170),IF(M27&lt;=InputData!$B$172,InputData!$D$171+InputData!$C$172*(M27-InputData!$B$171),IF(M27&lt;=InputData!$B$173,InputData!$D$172+InputData!$C$173*(M27-InputData!$B$172),IF(M27&lt;=InputData!$B$174,InputData!$D$173+InputData!$C$174*(M27-InputData!$B$173),IF(M27&lt;=InputData!$B$175,InputData!$D$174+InputData!$C$175*(M27-InputData!$B$174),InputData!$D$175+InputData!$C$176*(M27-InputData!$B$175))))))))</f>
        <v>45457.026892520866</v>
      </c>
      <c r="O27" s="32">
        <f>IF(J27&lt;=InputData!$C$150,InputData!$C$152,IF(J27&lt;InputData!$C$151,IF(InputData!$C$152-0.25*IF(J27-InputData!$C$150&lt;=0,0,J27-InputData!$C$150)&lt;=0,0,InputData!$C$152-0.25*IF(J27-InputData!$C$150&lt;=0,0,J27-InputData!$C$150)),0))</f>
        <v>32765.699323847832</v>
      </c>
      <c r="P27" s="32">
        <f>IF(J27-O27&lt;=0,0,IF(J27-O27&lt;=InputData!$C$153,InputData!$C$154*(J27-O27),InputData!$C$155*(J27-O27)-InputData!$D$154))</f>
        <v>41384.59087899782</v>
      </c>
      <c r="Q27" s="32">
        <f t="shared" si="31"/>
        <v>45457.026892520866</v>
      </c>
      <c r="R27" s="32">
        <f>IF(J27&gt;=0,IF(J27&lt;=InputData!$C$148,InputData!$C$147*J27,InputData!$C$147*InputData!$C$148)+InputData!$C$149*J27,0)</f>
        <v>9832.4894392168262</v>
      </c>
      <c r="S27" s="32">
        <f>IF(L27&lt;0,0,IF(L27&lt;=InputData!$B$163,InputData!$C$163*L27,IF(L27&lt;=InputData!$B$164,InputData!$D$163+InputData!$C$164*(L27-InputData!$B$163),IF(L27&lt;=InputData!$B$165,InputData!$D$164+InputData!$C$165*(L27-InputData!$B$164),InputData!$D$165+InputData!$C$166*(L27-InputData!$B$165)))))</f>
        <v>0</v>
      </c>
      <c r="T27" s="43">
        <f t="shared" si="32"/>
        <v>0.28806044660778063</v>
      </c>
      <c r="U27" s="43">
        <f t="shared" si="33"/>
        <v>0.26429379354603905</v>
      </c>
      <c r="V27" s="5">
        <f t="shared" si="34"/>
        <v>153907.66378330142</v>
      </c>
      <c r="W27" s="32">
        <f>V27/((1+InputData!$C$7)^(GenSurg!$B27-GenSurg!$B$7))</f>
        <v>85214.94182027629</v>
      </c>
      <c r="X27" s="5">
        <f t="shared" si="111"/>
        <v>1333348.9572154491</v>
      </c>
      <c r="Y27" s="53"/>
      <c r="Z27" s="3">
        <v>17</v>
      </c>
      <c r="AA27" s="97" t="s">
        <v>265</v>
      </c>
      <c r="AB27" s="5">
        <f t="shared" si="133"/>
        <v>94741.200000000012</v>
      </c>
      <c r="AC27" s="32">
        <f t="shared" si="170"/>
        <v>233741.12</v>
      </c>
      <c r="AD27" s="32">
        <f t="shared" si="169"/>
        <v>21019.199999999997</v>
      </c>
      <c r="AE27" s="32">
        <f t="shared" si="35"/>
        <v>254760.32000000001</v>
      </c>
      <c r="AF27" s="5">
        <f>AC27*((1+InputData!$C$5)/(1+InputData!$C$3))^(GenSurg!$B27-GenSurg!$B$7)</f>
        <v>191937.20270460867</v>
      </c>
      <c r="AG27" s="5">
        <f>AD27*((1+InputData!$C$5)/(1+InputData!$C$3))^(GenSurg!$B27-GenSurg!$B$7)</f>
        <v>17259.977410430438</v>
      </c>
      <c r="AH27" s="32">
        <f>IF(AF27-InputData!$C$158-InputData!$C$159&gt;=0,AF27-InputData!$C$158-InputData!$C$159,0)</f>
        <v>191937.20270460867</v>
      </c>
      <c r="AI27" s="32">
        <f>IF(AF27-IF(AF27&lt;=InputData!$C$146,InputData!$C$145,0)-MAX(InputData!$C$144,AO27)&gt;=0,AF27-IF(AF27&lt;=InputData!$C$146,InputData!$C$145,0)-MAX(InputData!$C$144,AO27),0)</f>
        <v>185837.20270460867</v>
      </c>
      <c r="AJ27" s="32">
        <f>IF(AI27&lt;0,"Error",IF(AI27&lt;=InputData!$B$170,InputData!$C$170*AI27,IF(AI27&lt;=InputData!$B$171,InputData!$D$170+InputData!$C$171*(AI27-InputData!$B$170),IF(AI27&lt;=InputData!$B$172,InputData!$D$171+InputData!$C$172*(AI27-InputData!$B$171),IF(AI27&lt;=InputData!$B$173,InputData!$D$172+InputData!$C$173*(AI27-InputData!$B$172),IF(AI27&lt;=InputData!$B$174,InputData!$D$173+InputData!$C$174*(AI27-InputData!$B$173),IF(AI27&lt;=InputData!$B$175,InputData!$D$174+InputData!$C$175*(AI27-InputData!$B$174),InputData!$D$175+InputData!$C$176*(AI27-InputData!$B$175))))))))</f>
        <v>45457.026892520866</v>
      </c>
      <c r="AK27" s="32">
        <f>IF(AF27&lt;=InputData!$C$150,InputData!$C$152,IF(AF27&lt;InputData!$C$151,IF(InputData!$C$152-0.25*IF(AF27-InputData!$C$150&lt;=0,0,AF27-InputData!$C$150)&lt;=0,0,InputData!$C$152-0.25*IF(AF27-InputData!$C$150&lt;=0,0,AF27-InputData!$C$150)),0))</f>
        <v>32765.699323847832</v>
      </c>
      <c r="AL27" s="32">
        <f>IF(AF27-AK27&lt;=0,0,IF(AF27-AK27&lt;=InputData!$C$153,InputData!$C$154*(AF27-AK27),InputData!$C$155*(AF27-AK27)-InputData!$D$154))</f>
        <v>41384.59087899782</v>
      </c>
      <c r="AM27" s="32">
        <f t="shared" si="36"/>
        <v>45457.026892520866</v>
      </c>
      <c r="AN27" s="32">
        <f>IF(AF27&gt;=0,IF(AF27&lt;=InputData!$C$148,InputData!$C$147*AF27,InputData!$C$147*InputData!$C$148)+InputData!$C$149*AF27,0)</f>
        <v>9832.4894392168262</v>
      </c>
      <c r="AO27" s="32">
        <f>IF(AH27&lt;0,0,IF(AH27&lt;=InputData!$B$163,InputData!$C$163*AH27,IF(AH27&lt;=InputData!$B$164,InputData!$D$163+InputData!$C$164*(AH27-InputData!$B$163),IF(AH27&lt;=InputData!$B$165,InputData!$D$164+InputData!$C$165*(AH27-InputData!$B$164),InputData!$D$165+InputData!$C$166*(AH27-InputData!$B$165)))))</f>
        <v>0</v>
      </c>
      <c r="AP27" s="43">
        <f t="shared" si="37"/>
        <v>0.28806044660778063</v>
      </c>
      <c r="AQ27" s="43">
        <f t="shared" si="38"/>
        <v>0.26429379354603905</v>
      </c>
      <c r="AR27" s="5">
        <f t="shared" si="39"/>
        <v>153907.66378330142</v>
      </c>
      <c r="AS27" s="32">
        <f>AR27/((1+InputData!$C$7)^(GenSurg!$B27-GenSurg!$B$7))</f>
        <v>85214.94182027629</v>
      </c>
      <c r="AT27" s="5">
        <f t="shared" si="112"/>
        <v>1370899.1640637347</v>
      </c>
      <c r="AU27" s="53"/>
      <c r="AV27" s="41" t="s">
        <v>109</v>
      </c>
      <c r="AW27" s="32">
        <f>$AW$17*(1+InputData!$C$3+InputData!$C$4)^(GenSurg!$B27-GenSurg!$B$17)</f>
        <v>497955.34741475823</v>
      </c>
      <c r="AX27" s="32">
        <v>0</v>
      </c>
      <c r="AY27" s="32">
        <f t="shared" si="41"/>
        <v>497955.34741475823</v>
      </c>
      <c r="AZ27" s="32">
        <f>AZ26*(1+InputData!$C$8)</f>
        <v>17073.535579791296</v>
      </c>
      <c r="BA27" s="32">
        <f>AW27/((1+InputData!$C$3)^(GenSurg!$B27-GenSurg!$B$7))</f>
        <v>335109.67397799587</v>
      </c>
      <c r="BB27" s="32">
        <f>AX27/((1+InputData!$C$3)^(GenSurg!$B27-GenSurg!$B$7))</f>
        <v>0</v>
      </c>
      <c r="BC27" s="32" t="s">
        <v>141</v>
      </c>
      <c r="BD27" s="32">
        <v>0</v>
      </c>
      <c r="BE27" s="32">
        <f t="shared" si="146"/>
        <v>0</v>
      </c>
      <c r="BF27" s="32">
        <f>(BE27)*InputData!$C$6</f>
        <v>0</v>
      </c>
      <c r="BG27" s="32">
        <f>MIN($BE$16*InputData!$C$6/(1-(1+InputData!$C$6)^(-10)), BE27+BF27)</f>
        <v>0</v>
      </c>
      <c r="BH27" s="32">
        <f t="shared" si="137"/>
        <v>0</v>
      </c>
      <c r="BI27" s="32">
        <f>BG27/((1+InputData!$C$3)^(GenSurg!$B27-GenSurg!$B$7))</f>
        <v>0</v>
      </c>
      <c r="BJ27" s="32">
        <f>IF(BA27-InputData!$C$158-InputData!$C$159&gt;=0,BA27-InputData!$C$158-InputData!$C$159,0)</f>
        <v>335109.67397799587</v>
      </c>
      <c r="BK27" s="32">
        <f>IF(BA27-IF(BA27&lt;=InputData!$C$146,InputData!$C$145,0)-MAX(InputData!$C$144,BQ27)&gt;=0,BA27-IF(BA27&lt;=InputData!$C$146,InputData!$C$145,0)-MAX(InputData!$C$144,BQ27),0)</f>
        <v>329009.67397799587</v>
      </c>
      <c r="BL27" s="32">
        <f>IF(BK27&lt;0,"Error",IF(BK27&lt;=InputData!$B$170,InputData!$C$170*BK27,IF(BK27&lt;=InputData!$B$171,InputData!$D$170+InputData!$C$171*(BK27-InputData!$B$170),IF(BK27&lt;=InputData!$B$172,InputData!$D$171+InputData!$C$172*(BK27-InputData!$B$171),IF(BK27&lt;=InputData!$B$173,InputData!$D$172+InputData!$C$173*(BK27-InputData!$B$172),IF(BK27&lt;=InputData!$B$174,InputData!$D$173+InputData!$C$174*(BK27-InputData!$B$173),IF(BK27&lt;=InputData!$B$175,InputData!$D$174+InputData!$C$175*(BK27-InputData!$B$174),InputData!$D$175+InputData!$C$176*(BK27-InputData!$B$175))))))))</f>
        <v>92703.94241273863</v>
      </c>
      <c r="BM27" s="32">
        <f>IF(BA27&lt;=InputData!$C$150,InputData!$C$152,IF(BA27&lt;InputData!$C$151,IF(InputData!$C$152-0.25*IF(BA27-InputData!$C$150&lt;=0,0,BA27-InputData!$C$150)&lt;=0,0,InputData!$C$152-0.25*IF(BA27-InputData!$C$150&lt;=0,0,BA27-InputData!$C$150)),0))</f>
        <v>0</v>
      </c>
      <c r="BN27" s="32">
        <f>IF(BA27-BM27&lt;=0,0,IF(BA27-BM27&lt;=InputData!$C$153,InputData!$C$154*(BA27-BM27),InputData!$C$155*(BA27-BM27)-InputData!$D$154))</f>
        <v>90240.70871383886</v>
      </c>
      <c r="BO27" s="32">
        <f t="shared" si="42"/>
        <v>92703.94241273863</v>
      </c>
      <c r="BP27" s="32">
        <f>IF(BA27&gt;=0,IF(BA27&lt;=InputData!$C$148,InputData!$C$147*BA27,InputData!$C$147*InputData!$C$148)+InputData!$C$149*BA27,0)</f>
        <v>11908.49027268094</v>
      </c>
      <c r="BQ27" s="32">
        <f>IF(BJ27&lt;0,0,IF(BJ27&lt;=InputData!$B$163,InputData!$C$163*BJ27,IF(BJ27&lt;=InputData!$B$164,InputData!$D$163+InputData!$C$164*(BJ27-InputData!$B$163),IF(BJ27&lt;=InputData!$B$165,InputData!$D$164+InputData!$C$165*(BJ27-InputData!$B$164),InputData!$D$165+InputData!$C$166*(BJ27-InputData!$B$165)))))</f>
        <v>0</v>
      </c>
      <c r="BR27" s="43">
        <f t="shared" si="43"/>
        <v>0.3121737174686538</v>
      </c>
      <c r="BS27" s="32">
        <f t="shared" si="44"/>
        <v>230497.24129257631</v>
      </c>
      <c r="BT27" s="32">
        <f t="shared" si="45"/>
        <v>230497.24129257631</v>
      </c>
      <c r="BU27" s="32">
        <f>BT27/((1+InputData!$C$7)^(GenSurg!$B27-GenSurg!$B$7))</f>
        <v>127620.73391053682</v>
      </c>
      <c r="BV27" s="5">
        <f t="shared" si="114"/>
        <v>1513987.4631040455</v>
      </c>
      <c r="BW27" s="5"/>
      <c r="BX27" s="32" t="s">
        <v>141</v>
      </c>
      <c r="BY27" s="5">
        <f t="shared" si="147"/>
        <v>198977.57101611787</v>
      </c>
      <c r="BZ27" s="32">
        <f>(BY27)*InputData!$C$6</f>
        <v>12356.50716010092</v>
      </c>
      <c r="CA27" s="32">
        <f>MIN($BY$16*InputData!$C$6/(1-(1+InputData!$C$6)^(-25)), BY27+BZ27)</f>
        <v>21686.214673809533</v>
      </c>
      <c r="CB27" s="32">
        <f t="shared" si="148"/>
        <v>189647.86350240925</v>
      </c>
      <c r="CC27" s="32">
        <f>CA27/((1+InputData!$C$3)^(GenSurg!$B27-GenSurg!$B$7))</f>
        <v>14594.200799101125</v>
      </c>
      <c r="CD27" s="5">
        <f t="shared" si="49"/>
        <v>215903.04049347519</v>
      </c>
      <c r="CE27" s="32">
        <f>CD27/((1+InputData!$C$7)^(GenSurg!$B27-GenSurg!$B$7))</f>
        <v>119540.2787763477</v>
      </c>
      <c r="CF27" s="5">
        <f t="shared" si="115"/>
        <v>1578381.2387319924</v>
      </c>
      <c r="CG27" s="5"/>
      <c r="CH27" s="32" t="s">
        <v>141</v>
      </c>
      <c r="CI27" s="5" t="e">
        <f t="shared" si="149"/>
        <v>#VALUE!</v>
      </c>
      <c r="CJ27" s="32" t="e">
        <f>(CI27)*InputData!$C$6</f>
        <v>#VALUE!</v>
      </c>
      <c r="CK27" s="5" t="str">
        <f t="shared" si="159"/>
        <v>DNQ</v>
      </c>
      <c r="CL27" s="32" t="e">
        <f t="shared" si="150"/>
        <v>#VALUE!</v>
      </c>
      <c r="CM27" s="32" t="e">
        <f>CK27/((1+InputData!$C$3)^(GenSurg!$B27-GenSurg!$B$7))</f>
        <v>#VALUE!</v>
      </c>
      <c r="CN27" s="5" t="e">
        <f t="shared" si="53"/>
        <v>#VALUE!</v>
      </c>
      <c r="CO27" s="32" t="e">
        <f>CN27/((1+InputData!$C$7)^(GenSurg!$B27-GenSurg!$B$7))</f>
        <v>#VALUE!</v>
      </c>
      <c r="CP27" s="5" t="e">
        <f t="shared" si="116"/>
        <v>#VALUE!</v>
      </c>
      <c r="CQ27" s="5"/>
      <c r="CR27" s="32" t="s">
        <v>141</v>
      </c>
      <c r="CS27" s="5">
        <f t="shared" si="160"/>
        <v>0</v>
      </c>
      <c r="CT27" s="32">
        <f>(CS27)*InputData!$C$6</f>
        <v>0</v>
      </c>
      <c r="CU27" s="32">
        <f t="shared" si="161"/>
        <v>0</v>
      </c>
      <c r="CV27" s="32">
        <f t="shared" si="152"/>
        <v>0</v>
      </c>
      <c r="CW27" s="32">
        <f>CU27/((1+InputData!$C$3)^(GenSurg!$B27-GenSurg!$B$7))</f>
        <v>0</v>
      </c>
      <c r="CX27" s="5">
        <f t="shared" si="57"/>
        <v>230497.24129257631</v>
      </c>
      <c r="CY27" s="32">
        <f>CX27/((1+InputData!$C$7)^(GenSurg!$B27-GenSurg!$B$7))</f>
        <v>127620.73391053682</v>
      </c>
      <c r="CZ27" s="5">
        <f t="shared" si="117"/>
        <v>1513542.2068435135</v>
      </c>
      <c r="DA27" s="5"/>
      <c r="DB27" s="32" t="s">
        <v>141</v>
      </c>
      <c r="DC27" s="5">
        <f t="shared" si="138"/>
        <v>0</v>
      </c>
      <c r="DD27" s="5">
        <f>DC27*InputData!$C$6</f>
        <v>0</v>
      </c>
      <c r="DE27" s="32">
        <f t="shared" si="139"/>
        <v>0</v>
      </c>
      <c r="DF27" s="32">
        <f t="shared" si="140"/>
        <v>0</v>
      </c>
      <c r="DG27" s="32">
        <f>DE27/((1+InputData!$C$3)^(GenSurg!$B27-GenSurg!$B$7))</f>
        <v>0</v>
      </c>
      <c r="DH27" s="5">
        <f t="shared" si="61"/>
        <v>230497.24129257631</v>
      </c>
      <c r="DI27" s="32">
        <f>DH27/((1+InputData!$C$7)^(GenSurg!$B27-GenSurg!$B$7))</f>
        <v>127620.73391053682</v>
      </c>
      <c r="DJ27" s="5">
        <f t="shared" si="118"/>
        <v>1518575.0792064618</v>
      </c>
      <c r="DK27" s="5"/>
      <c r="DL27" s="32" t="s">
        <v>141</v>
      </c>
      <c r="DM27" s="32">
        <f>IF(0.15*($AY27-1.5*$AZ27)&lt;=$DD$2,DQ26-DO26,DQ26)</f>
        <v>25102.691888474368</v>
      </c>
      <c r="DN27" s="5">
        <f>DM27*InputData!$C$6</f>
        <v>1558.8771662742583</v>
      </c>
      <c r="DO27" s="32">
        <f t="shared" si="154"/>
        <v>0</v>
      </c>
      <c r="DP27" s="32">
        <f t="shared" si="130"/>
        <v>26661.569054748627</v>
      </c>
      <c r="DQ27" s="32">
        <f t="shared" si="131"/>
        <v>0</v>
      </c>
      <c r="DR27" s="32">
        <f>DP27/((1+InputData!$C$3)^(GenSurg!$B27-GenSurg!$B$7))</f>
        <v>17942.471669526723</v>
      </c>
      <c r="DS27" s="5">
        <f t="shared" si="65"/>
        <v>212554.76962304959</v>
      </c>
      <c r="DT27" s="32">
        <f>DS27/((1+InputData!$C$7)^(GenSurg!$B27-GenSurg!$B$7))</f>
        <v>117686.42237694467</v>
      </c>
      <c r="DU27" s="5">
        <f t="shared" si="120"/>
        <v>1511666.8375603079</v>
      </c>
      <c r="DV27" s="5"/>
      <c r="DW27" s="32" t="s">
        <v>141</v>
      </c>
      <c r="DX27" s="133">
        <f t="shared" si="141"/>
        <v>43184.663494449633</v>
      </c>
      <c r="DY27" s="5">
        <f>DX27*InputData!$C$6</f>
        <v>2681.7676030053221</v>
      </c>
      <c r="DZ27" s="133">
        <f t="shared" si="142"/>
        <v>0</v>
      </c>
      <c r="EA27" s="32">
        <f t="shared" si="143"/>
        <v>29148.379963889372</v>
      </c>
      <c r="EB27" s="32">
        <f t="shared" si="144"/>
        <v>16718.051133565579</v>
      </c>
      <c r="EC27" s="32">
        <f>EA27/((1+InputData!$C$3)^(GenSurg!$B27-GenSurg!$B$7))</f>
        <v>19616.024122238832</v>
      </c>
      <c r="ED27" s="5">
        <f t="shared" si="69"/>
        <v>210881.21717033748</v>
      </c>
      <c r="EE27" s="32">
        <f>ED27/((1+InputData!$C$7)^(GenSurg!$B27-GenSurg!$B$7))</f>
        <v>116759.81696051889</v>
      </c>
      <c r="EF27" s="5">
        <f t="shared" si="122"/>
        <v>1518483.5730675298</v>
      </c>
      <c r="EG27" s="32"/>
      <c r="EH27" s="130" t="s">
        <v>141</v>
      </c>
      <c r="EI27" s="32">
        <v>0</v>
      </c>
      <c r="EJ27" s="32">
        <f t="shared" si="168"/>
        <v>0</v>
      </c>
      <c r="EK27" s="32">
        <f>(EJ27)*InputData!$C$6</f>
        <v>0</v>
      </c>
      <c r="EL27" s="32">
        <f t="shared" si="167"/>
        <v>-2.1827872842550278E-11</v>
      </c>
      <c r="EM27" s="32">
        <f>EM26*(1+InputData!$C$8)</f>
        <v>17073.535579791296</v>
      </c>
      <c r="EN27" s="32">
        <f t="shared" si="162"/>
        <v>0</v>
      </c>
      <c r="EO27" s="32">
        <f>AW27/((1+InputData!$C$3)^(GenSurg!$B27-GenSurg!$B$7))</f>
        <v>335109.67397799587</v>
      </c>
      <c r="EP27" s="32">
        <f>AX27/((1+InputData!$C$3)^(GenSurg!$B27-GenSurg!$B$7))</f>
        <v>0</v>
      </c>
      <c r="EQ27" s="32">
        <v>86817.79</v>
      </c>
      <c r="ER27" s="32">
        <v>10361.129999999999</v>
      </c>
      <c r="ES27" s="32">
        <v>0</v>
      </c>
      <c r="ET27" s="43">
        <f t="shared" si="136"/>
        <v>0.28999138952455611</v>
      </c>
      <c r="EU27" s="32">
        <f t="shared" si="70"/>
        <v>237930.75397799589</v>
      </c>
      <c r="EV27" s="32">
        <f>EN27/((1+InputData!$C$3)^(GenSurg!$B27-GenSurg!$B$7))</f>
        <v>0</v>
      </c>
      <c r="EW27" s="32">
        <f t="shared" si="71"/>
        <v>237930.75397799589</v>
      </c>
      <c r="EX27" s="32">
        <f>EW27/((1+InputData!$C$7)^(GenSurg!$B27-GenSurg!$B$7))</f>
        <v>131736.48965289019</v>
      </c>
      <c r="EY27" s="5">
        <f t="shared" si="124"/>
        <v>1628216.4513888785</v>
      </c>
      <c r="EZ27" s="79"/>
      <c r="FA27" s="32">
        <f t="shared" si="163"/>
        <v>0</v>
      </c>
      <c r="FB27" s="32">
        <f>FA27*InputData!$C$6</f>
        <v>0</v>
      </c>
      <c r="FC27" s="32">
        <f t="shared" si="155"/>
        <v>0</v>
      </c>
      <c r="FD27" s="32">
        <f>MIN($EJ$16*InputData!$C$6/(1-(1+InputData!$C$6)^(-10)), FA27+FB27)</f>
        <v>0</v>
      </c>
      <c r="FE27" s="32">
        <f>FD27/((1+InputData!$C$3)^(GenSurg!$B27-GenSurg!$B$7))</f>
        <v>0</v>
      </c>
      <c r="FF27" s="5">
        <f t="shared" si="75"/>
        <v>237930.75397799589</v>
      </c>
      <c r="FG27" s="32">
        <f>FF27/((1+InputData!$C$7)^(GenSurg!$B27-GenSurg!$B$7))</f>
        <v>131736.48965289019</v>
      </c>
      <c r="FH27" s="5">
        <f t="shared" si="125"/>
        <v>1628655.1501387698</v>
      </c>
      <c r="FI27" s="79"/>
      <c r="FJ27" s="32">
        <f t="shared" si="164"/>
        <v>198827.5793251601</v>
      </c>
      <c r="FK27" s="32">
        <f>FJ27*InputData!$C$6</f>
        <v>12347.192676092443</v>
      </c>
      <c r="FL27" s="32">
        <f t="shared" si="156"/>
        <v>189504.90465740982</v>
      </c>
      <c r="FM27" s="32">
        <f>MIN($EJ$16*InputData!$C$6/(1-(1+InputData!$C$6)^(-25)), FJ27+FK27)</f>
        <v>21669.867343842721</v>
      </c>
      <c r="FN27" s="32">
        <f>FM27/((1+InputData!$C$3)^(GenSurg!$B27-GenSurg!$B$7))</f>
        <v>14583.199514660602</v>
      </c>
      <c r="FO27" s="5">
        <f t="shared" si="79"/>
        <v>223347.55446333528</v>
      </c>
      <c r="FP27" s="32">
        <f>FO27/((1+InputData!$C$7)^(GenSurg!$B27-GenSurg!$B$7))</f>
        <v>123662.12566316068</v>
      </c>
      <c r="FQ27" s="5">
        <f t="shared" si="126"/>
        <v>1693000.3849626235</v>
      </c>
      <c r="FR27" s="79"/>
      <c r="FS27" s="32">
        <f t="shared" si="165"/>
        <v>0</v>
      </c>
      <c r="FT27" s="32">
        <f>FS27*InputData!$C$6</f>
        <v>0</v>
      </c>
      <c r="FU27" s="32">
        <f t="shared" si="157"/>
        <v>0</v>
      </c>
      <c r="FV27" s="5">
        <f t="shared" si="166"/>
        <v>0</v>
      </c>
      <c r="FW27" s="32">
        <f>FV27/((1+InputData!$C$3)^(GenSurg!$B27-GenSurg!$B$7))</f>
        <v>0</v>
      </c>
      <c r="FX27" s="5">
        <f t="shared" si="83"/>
        <v>237930.75397799589</v>
      </c>
      <c r="FY27" s="32">
        <f>FX27/((1+InputData!$C$7)^(GenSurg!$B27-GenSurg!$B$7))</f>
        <v>131736.48965289019</v>
      </c>
      <c r="FZ27" s="5">
        <f t="shared" si="127"/>
        <v>1628655.1501387698</v>
      </c>
      <c r="GC27" s="3">
        <f t="shared" si="1"/>
        <v>17</v>
      </c>
      <c r="GD27" s="4" t="str">
        <f t="shared" si="2"/>
        <v>Multi-Year (O5&gt;16 = (BP+BAH+BAS+VSP+BCPSP)*12+ASP+ISP+MSP)</v>
      </c>
      <c r="GE27" s="5">
        <f t="shared" si="3"/>
        <v>233741.12</v>
      </c>
      <c r="GF27" s="5">
        <f t="shared" si="4"/>
        <v>21019.199999999997</v>
      </c>
      <c r="GG27" s="5">
        <f t="shared" si="5"/>
        <v>254760.32000000001</v>
      </c>
      <c r="GH27" s="5">
        <f t="shared" si="6"/>
        <v>191937.20270460867</v>
      </c>
      <c r="GI27" s="5">
        <f t="shared" si="7"/>
        <v>17259.977410430438</v>
      </c>
      <c r="GJ27" s="32">
        <f>IF(GH27-InputData!$C$158-InputData!$C$159&gt;=0,GH27-InputData!$C$158-InputData!$C$159,0)</f>
        <v>191937.20270460867</v>
      </c>
      <c r="GK27" s="32">
        <f>IF(GH27-IF(GH27&lt;=InputData!$C$146,InputData!$C$145,0)-MAX(InputData!$C$144,GQ27)&gt;=0,GH27-IF(GH27&lt;=InputData!$C$146,InputData!$C$145,0)-MAX(InputData!$C$144,GQ27),0)</f>
        <v>185837.20270460867</v>
      </c>
      <c r="GL27" s="32">
        <f>IF(GK27&lt;0,"Error",IF(GK27&lt;=InputData!$B$170,InputData!$C$170*GK27,IF(GK27&lt;=InputData!$B$171,InputData!$D$170+InputData!$C$171*(GK27-InputData!$B$170),IF(GK27&lt;=InputData!$B$172,InputData!$D$171+InputData!$C$172*(GK27-InputData!$B$171),IF(GK27&lt;=InputData!$B$173,InputData!$D$172+InputData!$C$173*(GK27-InputData!$B$172),IF(GK27&lt;=InputData!$B$174,InputData!$D$173+InputData!$C$174*(GK27-InputData!$B$173),IF(GK27&lt;=InputData!$B$175,InputData!$D$174+InputData!$C$175*(GK27-InputData!$B$174),InputData!$D$175+InputData!$C$176*(GK27-InputData!$B$175))))))))</f>
        <v>45457.026892520866</v>
      </c>
      <c r="GM27" s="32">
        <f>IF(GH27&lt;=InputData!$C$150,InputData!$C$152,IF(GH27&lt;InputData!$C$151,IF(InputData!$C$152-0.25*IF(GH27-InputData!$C$150&lt;=0,0,GH27-InputData!$C$150)&lt;=0,0,InputData!$C$152-0.25*IF(GH27-InputData!$C$150&lt;=0,0,GH27-InputData!$C$150)),0))</f>
        <v>32765.699323847832</v>
      </c>
      <c r="GN27" s="32">
        <f>IF(GH27-GM27&lt;=0,0,IF(GH27-GM27&lt;=InputData!$C$153,InputData!$C$154*(GH27-GM27),InputData!$C$155*(GH27-GM27)-InputData!$D$154))</f>
        <v>41384.59087899782</v>
      </c>
      <c r="GO27" s="32">
        <f t="shared" si="84"/>
        <v>45457.026892520866</v>
      </c>
      <c r="GP27" s="32">
        <f>IF(GH27&gt;=0,IF(GH27&lt;=InputData!$C$148,InputData!$C$147*GH27,InputData!$C$147*InputData!$C$148)+InputData!$C$149*GH27,0)</f>
        <v>9832.4894392168262</v>
      </c>
      <c r="GQ27" s="32">
        <f>IF(GJ27&lt;0,0,IF(GJ27&lt;=InputData!$B$163,InputData!$C$163*GJ27,IF(GJ27&lt;=InputData!$B$164,InputData!$D$163+InputData!$C$164*(GJ27-InputData!$B$163),IF(GJ27&lt;=InputData!$B$165,InputData!$D$164+InputData!$C$165*(GJ27-InputData!$B$164),InputData!$D$165+InputData!$C$166*(GJ27-InputData!$B$165)))))</f>
        <v>0</v>
      </c>
      <c r="GR27" s="43">
        <f t="shared" si="85"/>
        <v>0.28806044660778063</v>
      </c>
      <c r="GS27" s="43">
        <f t="shared" si="86"/>
        <v>0.26429379354603905</v>
      </c>
      <c r="GT27" s="5">
        <f t="shared" si="87"/>
        <v>153907.66378330142</v>
      </c>
      <c r="GU27" s="32">
        <f>GT27/((1+InputData!$C$7)^(GenSurg!$B27-GenSurg!$B$7))</f>
        <v>85214.94182027629</v>
      </c>
      <c r="GV27" s="32">
        <f t="shared" si="88"/>
        <v>1333348.9572154491</v>
      </c>
      <c r="GX27" s="3">
        <f t="shared" si="8"/>
        <v>17</v>
      </c>
      <c r="GY27" s="4" t="str">
        <f t="shared" si="9"/>
        <v>Multi-Year (O5&gt;16 = (BP+BAH+BAS+VSP+BCPSP)*12+ASP+ISP+MSP)</v>
      </c>
      <c r="GZ27" s="5">
        <f t="shared" si="10"/>
        <v>233741.12</v>
      </c>
      <c r="HA27" s="5">
        <f t="shared" si="11"/>
        <v>21019.199999999997</v>
      </c>
      <c r="HB27" s="5">
        <f t="shared" si="12"/>
        <v>254760.32000000001</v>
      </c>
      <c r="HC27" s="5">
        <f t="shared" si="13"/>
        <v>191937.20270460867</v>
      </c>
      <c r="HD27" s="5">
        <f t="shared" si="14"/>
        <v>17259.977410430438</v>
      </c>
      <c r="HE27" s="32">
        <f>IF(HC27-InputData!$C$158-InputData!$C$159&gt;=0,HC27-InputData!$C$158-InputData!$C$159,0)</f>
        <v>191937.20270460867</v>
      </c>
      <c r="HF27" s="32">
        <f>IF(HC27-IF(HC27&lt;=InputData!$C$146,InputData!$C$145,0)-MAX(InputData!$C$144,HL27)&gt;=0,HC27-IF(HC27&lt;=InputData!$C$146,InputData!$C$145,0)-MAX(InputData!$C$144,HL27),0)</f>
        <v>185837.20270460867</v>
      </c>
      <c r="HG27" s="32">
        <f>IF(HF27&lt;0,"Error",IF(HF27&lt;=InputData!$B$170,InputData!$C$170*HF27,IF(HF27&lt;=InputData!$B$171,InputData!$D$170+InputData!$C$171*(HF27-InputData!$B$170),IF(HF27&lt;=InputData!$B$172,InputData!$D$171+InputData!$C$172*(HF27-InputData!$B$171),IF(HF27&lt;=InputData!$B$173,InputData!$D$172+InputData!$C$173*(HF27-InputData!$B$172),IF(HF27&lt;=InputData!$B$174,InputData!$D$173+InputData!$C$174*(HF27-InputData!$B$173),IF(HF27&lt;=InputData!$B$175,InputData!$D$174+InputData!$C$175*(HF27-InputData!$B$174),InputData!$D$175+InputData!$C$176*(HF27-InputData!$B$175))))))))</f>
        <v>45457.026892520866</v>
      </c>
      <c r="HH27" s="32">
        <f>IF(HC27&lt;=InputData!$C$150,InputData!$C$152,IF(HC27&lt;InputData!$C$151,IF(InputData!$C$152-0.25*IF(HC27-InputData!$C$150&lt;=0,0,HC27-InputData!$C$150)&lt;=0,0,InputData!$C$152-0.25*IF(HC27-InputData!$C$150&lt;=0,0,HC27-InputData!$C$150)),0))</f>
        <v>32765.699323847832</v>
      </c>
      <c r="HI27" s="32">
        <f>IF(HC27-HH27&lt;=0,0,IF(HC27-HH27&lt;=InputData!$C$153,InputData!$C$154*(HC27-HH27),InputData!$C$155*(HC27-HH27)-InputData!$D$154))</f>
        <v>41384.59087899782</v>
      </c>
      <c r="HJ27" s="32">
        <f t="shared" si="89"/>
        <v>45457.026892520866</v>
      </c>
      <c r="HK27" s="32">
        <f>IF(HC27&gt;=0,IF(HC27&lt;=InputData!$C$148,InputData!$C$147*HC27,InputData!$C$147*InputData!$C$148)+InputData!$C$149*HC27,0)</f>
        <v>9832.4894392168262</v>
      </c>
      <c r="HL27" s="32">
        <f>IF(HE27&lt;0,0,IF(HE27&lt;=InputData!$B$163,InputData!$C$163*HE27,IF(HE27&lt;=InputData!$B$164,InputData!$D$163+InputData!$C$164*(HE27-InputData!$B$163),IF(HE27&lt;=InputData!$B$165,InputData!$D$164+InputData!$C$165*(HE27-InputData!$B$164),InputData!$D$165+InputData!$C$166*(HE27-InputData!$B$165)))))</f>
        <v>0</v>
      </c>
      <c r="HM27" s="43">
        <f t="shared" si="90"/>
        <v>0.28806044660778063</v>
      </c>
      <c r="HN27" s="43">
        <f t="shared" si="91"/>
        <v>0.26429379354603905</v>
      </c>
      <c r="HO27" s="5">
        <f t="shared" si="92"/>
        <v>153907.66378330142</v>
      </c>
      <c r="HP27" s="32">
        <f>HO27/((1+InputData!$C$7)^(GenSurg!$B27-GenSurg!$B$7))</f>
        <v>85214.94182027629</v>
      </c>
      <c r="HQ27" s="32">
        <f t="shared" si="93"/>
        <v>1370899.1640637347</v>
      </c>
      <c r="HS27" s="227"/>
      <c r="HT27" s="53" t="s">
        <v>109</v>
      </c>
      <c r="HU27" s="32">
        <f>MIN(InputData!$C$13+InputData!$E$13*($B27-$B$23),1)*GenSurg!AW27</f>
        <v>448159.8126732824</v>
      </c>
      <c r="HV27" s="32">
        <f>MIN(InputData!$C$13+InputData!$E$13*($B27-$B$23),1)*GenSurg!AX27</f>
        <v>0</v>
      </c>
      <c r="HW27" s="32">
        <f>MIN(InputData!$C$13+InputData!$E$13*($B27-$B$23),1)*GenSurg!AY27</f>
        <v>448159.8126732824</v>
      </c>
      <c r="HX27" s="32">
        <f>MIN(InputData!$C$13+InputData!$E$13*($B27-$B$23),1)*GenSurg!EO27</f>
        <v>301598.70658019627</v>
      </c>
      <c r="HY27" s="32">
        <f>MIN(InputData!$C$13+InputData!$E$13*($B27-$B$23),1)*GenSurg!EP27</f>
        <v>0</v>
      </c>
      <c r="HZ27" s="32">
        <f>IF(HX27-InputData!$C$158-InputData!$C$159&gt;=0,HX27-InputData!$C$158-InputData!$C$159,0)</f>
        <v>301598.70658019627</v>
      </c>
      <c r="IA27" s="32">
        <f>IF(HX27-IF(HX27&lt;=InputData!$C$146,InputData!$C$145,0)-MAX(InputData!$C$144,IG27)&gt;=0,HX27-IF(HX27&lt;=InputData!$C$146,InputData!$C$145,0)-MAX(InputData!$C$144,IG27),0)</f>
        <v>295498.70658019627</v>
      </c>
      <c r="IB27" s="32">
        <f>IF(IA27&lt;0,"Error",IF(IA27&lt;=InputData!$B$170,InputData!$C$170*IA27,IF(IA27&lt;=InputData!$B$171,InputData!$D$170+InputData!$C$171*(IA27-InputData!$B$170),IF(IA27&lt;=InputData!$B$172,InputData!$D$171+InputData!$C$172*(IA27-InputData!$B$171),IF(IA27&lt;=InputData!$B$173,InputData!$D$172+InputData!$C$173*(IA27-InputData!$B$172),IF(IA27&lt;=InputData!$B$174,InputData!$D$173+InputData!$C$174*(IA27-InputData!$B$173),IF(IA27&lt;=InputData!$B$175,InputData!$D$174+InputData!$C$175*(IA27-InputData!$B$174),InputData!$D$175+InputData!$C$176*(IA27-InputData!$B$175))))))))</f>
        <v>81645.32317146477</v>
      </c>
      <c r="IC27" s="32">
        <f>IF(HX27&lt;=InputData!$C$150,InputData!$C$152,IF(HX27&lt;InputData!$C$151,IF(InputData!$C$152-0.25*IF(HX27-InputData!$C$150&lt;=0,0,HX27-InputData!$C$150)&lt;=0,0,InputData!$C$152-0.25*IF(HX27-InputData!$C$150&lt;=0,0,HX27-InputData!$C$150)),0))</f>
        <v>5350.3233549509314</v>
      </c>
      <c r="ID27" s="32">
        <f>IF(HX27-IC27&lt;=0,0,IF(HX27-IC27&lt;=InputData!$C$153,InputData!$C$154*(HX27-IC27),InputData!$C$155*(HX27-IC27)-InputData!$D$154))</f>
        <v>79359.547303068699</v>
      </c>
      <c r="IE27" s="32">
        <f t="shared" si="96"/>
        <v>81645.32317146477</v>
      </c>
      <c r="IF27" s="32">
        <f>IF(HX27&gt;=0,IF(HX27&lt;=InputData!$C$148,InputData!$C$147*HX27,InputData!$C$147*InputData!$C$148)+InputData!$C$149*HX27,0)</f>
        <v>11422.581245412846</v>
      </c>
      <c r="IG27" s="32">
        <f>IF(HZ27&lt;0,0,IF(HZ27&lt;=InputData!$B$163,InputData!$C$163*HZ27,IF(HZ27&lt;=InputData!$B$164,InputData!$D$163+InputData!$C$164*(HZ27-InputData!$B$163),IF(HZ27&lt;=InputData!$B$165,InputData!$D$164+InputData!$C$165*(HZ27-InputData!$B$164),InputData!$D$165+InputData!$C$166*(HZ27-InputData!$B$165)))))</f>
        <v>0</v>
      </c>
      <c r="IH27" s="43">
        <f t="shared" si="97"/>
        <v>0.30858190829850424</v>
      </c>
      <c r="II27" s="43">
        <f t="shared" si="98"/>
        <v>0.30858190829850424</v>
      </c>
      <c r="IJ27" s="5">
        <f t="shared" si="20"/>
        <v>208530.80216331864</v>
      </c>
      <c r="IK27" s="32">
        <f>IJ27/((1+InputData!$C$7)^(GenSurg!$B27-GenSurg!$B$7))</f>
        <v>115458.44915885686</v>
      </c>
      <c r="IL27" s="5">
        <f t="shared" si="99"/>
        <v>1483700.4695252702</v>
      </c>
      <c r="IN27" s="227"/>
      <c r="IO27" s="53" t="s">
        <v>109</v>
      </c>
      <c r="IP27" s="32">
        <f>MIN(InputData!$C$13+InputData!$E$13*($B27-$B$20),1)*GenSurg!AW27</f>
        <v>448159.8126732824</v>
      </c>
      <c r="IQ27" s="32">
        <f>MIN(InputData!$C$13+InputData!$E$13*($B27-$B$20),1)*GenSurg!AX27</f>
        <v>0</v>
      </c>
      <c r="IR27" s="32">
        <f>MIN(InputData!$C$13+InputData!$E$13*($B27-$B$20),1)*GenSurg!AY27</f>
        <v>448159.8126732824</v>
      </c>
      <c r="IS27" s="32">
        <f>MIN(InputData!$C$13+InputData!$E$13*($B27-$B$20),1)*GenSurg!EO27</f>
        <v>301598.70658019627</v>
      </c>
      <c r="IT27" s="32">
        <f>MIN(InputData!$C$13+InputData!$E$13*($B27-$B$20),1)*GenSurg!EP27</f>
        <v>0</v>
      </c>
      <c r="IU27" s="32">
        <f>IF(IS27-InputData!$C$158-InputData!$C$159&gt;=0,IS27-InputData!$C$158-InputData!$C$159,0)</f>
        <v>301598.70658019627</v>
      </c>
      <c r="IV27" s="32">
        <f>IF(IS27-IF(IS27&lt;=InputData!$C$146,InputData!$C$145,0)-MAX(InputData!$C$144,JB27)&gt;=0,IS27-IF(IS27&lt;=InputData!$C$146,InputData!$C$145,0)-MAX(InputData!$C$144,JB27),0)</f>
        <v>295498.70658019627</v>
      </c>
      <c r="IW27" s="32">
        <f>IF(IV27&lt;0,"Error",IF(IV27&lt;=InputData!$B$170,InputData!$C$170*IV27,IF(IV27&lt;=InputData!$B$171,InputData!$D$170+InputData!$C$171*(IV27-InputData!$B$170),IF(IV27&lt;=InputData!$B$172,InputData!$D$171+InputData!$C$172*(IV27-InputData!$B$171),IF(IV27&lt;=InputData!$B$173,InputData!$D$172+InputData!$C$173*(IV27-InputData!$B$172),IF(IV27&lt;=InputData!$B$174,InputData!$D$173+InputData!$C$174*(IV27-InputData!$B$173),IF(IV27&lt;=InputData!$B$175,InputData!$D$174+InputData!$C$175*(IV27-InputData!$B$174),InputData!$D$175+InputData!$C$176*(IV27-InputData!$B$175))))))))</f>
        <v>81645.32317146477</v>
      </c>
      <c r="IX27" s="32">
        <f>IF(IS27&lt;=InputData!$C$150,InputData!$C$152,IF(IS27&lt;InputData!$C$151,IF(InputData!$C$152-0.25*IF(IS27-InputData!$C$150&lt;=0,0,IS27-InputData!$C$150)&lt;=0,0,InputData!$C$152-0.25*IF(IS27-InputData!$C$150&lt;=0,0,IS27-InputData!$C$150)),0))</f>
        <v>5350.3233549509314</v>
      </c>
      <c r="IY27" s="32">
        <f>IF(IS27-IX27&lt;=0,0,IF(IS27-IX27&lt;=InputData!$C$153,InputData!$C$154*(IS27-IX27),InputData!$C$155*(IS27-IX27)-InputData!$D$154))</f>
        <v>79359.547303068699</v>
      </c>
      <c r="IZ27" s="32">
        <f t="shared" si="102"/>
        <v>81645.32317146477</v>
      </c>
      <c r="JA27" s="32">
        <f>IF(IS27&gt;=0,IF(IS27&lt;=InputData!$C$148,InputData!$C$147*IS27,InputData!$C$147*InputData!$C$148)+InputData!$C$149*IS27,0)</f>
        <v>11422.581245412846</v>
      </c>
      <c r="JB27" s="32">
        <f>IF(IU27&lt;0,0,IF(IU27&lt;=InputData!$B$163,InputData!$C$163*IU27,IF(IU27&lt;=InputData!$B$164,InputData!$D$163+InputData!$C$164*(IU27-InputData!$B$163),IF(IU27&lt;=InputData!$B$165,InputData!$D$164+InputData!$C$165*(IU27-InputData!$B$164),InputData!$D$165+InputData!$C$166*(IU27-InputData!$B$165)))))</f>
        <v>0</v>
      </c>
      <c r="JC27" s="43">
        <f t="shared" si="103"/>
        <v>0.30858190829850424</v>
      </c>
      <c r="JD27" s="43">
        <f t="shared" si="104"/>
        <v>0.30858190829850424</v>
      </c>
      <c r="JE27" s="5">
        <f t="shared" si="105"/>
        <v>208530.80216331864</v>
      </c>
      <c r="JF27" s="32">
        <f>JE27/((1+InputData!$C$7)^(GenSurg!$B27-GenSurg!$B$7))</f>
        <v>115458.44915885686</v>
      </c>
      <c r="JG27" s="5">
        <f t="shared" si="106"/>
        <v>1610854.8314591008</v>
      </c>
      <c r="JI27" s="41" t="str">
        <f t="shared" si="26"/>
        <v>Private Practice</v>
      </c>
      <c r="JJ27" s="5">
        <f t="shared" si="27"/>
        <v>497955.34741475823</v>
      </c>
      <c r="JK27" s="32">
        <v>0</v>
      </c>
      <c r="JL27" s="32">
        <f t="shared" si="108"/>
        <v>497955.34741475823</v>
      </c>
      <c r="JM27" s="32">
        <f>JM26*(1+InputData!$C$8)</f>
        <v>17073.535579791296</v>
      </c>
      <c r="JN27" s="32">
        <f>JJ27/((1+InputData!$C$3)^(GenSurg!$B27-GenSurg!$B$7))</f>
        <v>335109.67397799587</v>
      </c>
      <c r="JO27" s="32">
        <f>JK27/((1+InputData!$C$3)^(GenSurg!$B27-GenSurg!$B$7))</f>
        <v>0</v>
      </c>
      <c r="JP27" s="32" t="s">
        <v>141</v>
      </c>
      <c r="JQ27" s="32">
        <v>0</v>
      </c>
      <c r="JR27" s="32">
        <f t="shared" si="158"/>
        <v>0</v>
      </c>
      <c r="JS27" s="32">
        <f>(JR27)*InputData!$C$6</f>
        <v>0</v>
      </c>
      <c r="JT27" s="32">
        <f>MIN($BE$16*InputData!$C$6/(1-(1+InputData!$C$6)^(-10)), JR27+JS27)</f>
        <v>0</v>
      </c>
      <c r="JU27" s="32">
        <f t="shared" si="145"/>
        <v>0</v>
      </c>
      <c r="JV27" s="32">
        <f>JT27/((1+InputData!$C$3)^(GenSurg!$B27-GenSurg!$B$7))</f>
        <v>0</v>
      </c>
      <c r="JW27" s="32">
        <f>IF(JN27-InputData!$C$158-InputData!$C$159&gt;=0,JN27-InputData!$C$158-InputData!$C$159,0)</f>
        <v>335109.67397799587</v>
      </c>
      <c r="JX27" s="32">
        <f>IF(JN27-IF(JN27&lt;=InputData!$C$146,InputData!$C$145,0)-MAX(InputData!$C$144,KD27)&gt;=0,JN27-IF(JN27&lt;=InputData!$C$146,InputData!$C$145,0)-MAX(InputData!$C$144,KD27),0)</f>
        <v>329009.67397799587</v>
      </c>
      <c r="JY27" s="32">
        <f>IF(JX27&lt;0,"Error",IF(JX27&lt;=InputData!$B$170,InputData!$C$170*JX27,IF(JX27&lt;=InputData!$B$171,InputData!$D$170+InputData!$C$171*(JX27-InputData!$B$170),IF(JX27&lt;=InputData!$B$172,InputData!$D$171+InputData!$C$172*(JX27-InputData!$B$171),IF(JX27&lt;=InputData!$B$173,InputData!$D$172+InputData!$C$173*(JX27-InputData!$B$172),IF(JX27&lt;=InputData!$B$174,InputData!$D$173+InputData!$C$174*(JX27-InputData!$B$173),IF(JX27&lt;=InputData!$B$175,InputData!$D$174+InputData!$C$175*(JX27-InputData!$B$174),InputData!$D$175+InputData!$C$176*(JX27-InputData!$B$175))))))))</f>
        <v>92703.94241273863</v>
      </c>
      <c r="JZ27" s="32">
        <f>IF(JN27&lt;=InputData!$C$150,InputData!$C$152,IF(JN27&lt;InputData!$C$151,IF(InputData!$C$152-0.25*IF(JN27-InputData!$C$150&lt;=0,0,JN27-InputData!$C$150)&lt;=0,0,InputData!$C$152-0.25*IF(JN27-InputData!$C$150&lt;=0,0,JN27-InputData!$C$150)),0))</f>
        <v>0</v>
      </c>
      <c r="KA27" s="32">
        <f>IF(JN27-JZ27&lt;=0,0,IF(JN27-JZ27&lt;=InputData!$C$153,InputData!$C$154*(JN27-JZ27),InputData!$C$155*(JN27-JZ27)-InputData!$D$154))</f>
        <v>90240.70871383886</v>
      </c>
      <c r="KB27" s="32">
        <f t="shared" si="109"/>
        <v>92703.94241273863</v>
      </c>
      <c r="KC27" s="32">
        <f>IF(JN27&gt;=0,IF(JN27&lt;=InputData!$C$148,InputData!$C$147*JN27,InputData!$C$147*InputData!$C$148)+InputData!$C$149*JN27,0)</f>
        <v>11908.49027268094</v>
      </c>
      <c r="KD27" s="32">
        <f>IF(JW27&lt;0,0,IF(JW27&lt;=InputData!$B$163,InputData!$C$163*JW27,IF(JW27&lt;=InputData!$B$164,InputData!$D$163+InputData!$C$164*(JW27-InputData!$B$163),IF(JW27&lt;=InputData!$B$165,InputData!$D$164+InputData!$C$165*(JW27-InputData!$B$164),InputData!$D$165+InputData!$C$166*(JW27-InputData!$B$165)))))</f>
        <v>0</v>
      </c>
      <c r="KE27" s="43">
        <f t="shared" si="28"/>
        <v>0.3121737174686538</v>
      </c>
      <c r="KF27" s="32">
        <f t="shared" si="29"/>
        <v>230497.24129257631</v>
      </c>
      <c r="KG27" s="32">
        <f t="shared" si="110"/>
        <v>230497.24129257631</v>
      </c>
      <c r="KH27" s="32">
        <f>KG27/((1+InputData!$C$7)^(GenSurg!$B27-GenSurg!$B$7))</f>
        <v>127620.73391053682</v>
      </c>
      <c r="KI27" s="5">
        <f t="shared" si="129"/>
        <v>1898313.8556507858</v>
      </c>
    </row>
    <row r="28" spans="1:295" x14ac:dyDescent="0.25">
      <c r="A28" s="4">
        <v>2034</v>
      </c>
      <c r="B28" s="51">
        <v>22</v>
      </c>
      <c r="C28" s="4"/>
      <c r="D28" s="3">
        <v>18</v>
      </c>
      <c r="E28" s="97" t="s">
        <v>265</v>
      </c>
      <c r="F28" s="5">
        <f>InputData!$L$22*12</f>
        <v>94741.200000000012</v>
      </c>
      <c r="G28" s="32">
        <f>(InputData!$L$22+InputData!$I$45+InputData!$F$50)*12+InputData!$J$50+InputData!$D$58+InputData!$J$58</f>
        <v>233741.12</v>
      </c>
      <c r="H28" s="32">
        <f>(InputData!$C$33+InputData!$C$40)*12</f>
        <v>21019.199999999997</v>
      </c>
      <c r="I28" s="32">
        <f t="shared" si="30"/>
        <v>254760.32000000001</v>
      </c>
      <c r="J28" s="5">
        <f>G28*((1+InputData!$C$5)/(1+InputData!$C$3))^(GenSurg!$B28-GenSurg!$B$7)</f>
        <v>190055.46542319094</v>
      </c>
      <c r="K28" s="5">
        <f>H28*((1+InputData!$C$5)/(1+InputData!$C$3))^(GenSurg!$B28-GenSurg!$B$7)</f>
        <v>17090.761945622296</v>
      </c>
      <c r="L28" s="32">
        <f>IF(J28-InputData!$C$158-InputData!$C$159&gt;=0,J28-InputData!$C$158-InputData!$C$159,0)</f>
        <v>190055.46542319094</v>
      </c>
      <c r="M28" s="32">
        <f>IF(J28-IF(J28&lt;=InputData!$C$146,InputData!$C$145,0)-MAX(InputData!$C$144,S28)&gt;=0,J28-IF(J28&lt;=InputData!$C$146,InputData!$C$145,0)-MAX(InputData!$C$144,S28),0)</f>
        <v>183955.46542319094</v>
      </c>
      <c r="N28" s="32">
        <f>IF(M28&lt;0,"Error",IF(M28&lt;=InputData!$B$170,InputData!$C$170*M28,IF(M28&lt;=InputData!$B$171,InputData!$D$170+InputData!$C$171*(M28-InputData!$B$170),IF(M28&lt;=InputData!$B$172,InputData!$D$171+InputData!$C$172*(M28-InputData!$B$171),IF(M28&lt;=InputData!$B$173,InputData!$D$172+InputData!$C$173*(M28-InputData!$B$172),IF(M28&lt;=InputData!$B$174,InputData!$D$173+InputData!$C$174*(M28-InputData!$B$173),IF(M28&lt;=InputData!$B$175,InputData!$D$174+InputData!$C$175*(M28-InputData!$B$174),InputData!$D$175+InputData!$C$176*(M28-InputData!$B$175))))))))</f>
        <v>44836.053589653013</v>
      </c>
      <c r="O28" s="32">
        <f>IF(J28&lt;=InputData!$C$150,InputData!$C$152,IF(J28&lt;InputData!$C$151,IF(InputData!$C$152-0.25*IF(J28-InputData!$C$150&lt;=0,0,J28-InputData!$C$150)&lt;=0,0,InputData!$C$152-0.25*IF(J28-InputData!$C$150&lt;=0,0,J28-InputData!$C$150)),0))</f>
        <v>33236.133644202266</v>
      </c>
      <c r="P28" s="32">
        <f>IF(J28-O28&lt;=0,0,IF(J28-O28&lt;=InputData!$C$153,InputData!$C$154*(J28-O28),InputData!$C$155*(J28-O28)-InputData!$D$154))</f>
        <v>40773.02626253706</v>
      </c>
      <c r="Q28" s="32">
        <f t="shared" si="31"/>
        <v>44836.053589653013</v>
      </c>
      <c r="R28" s="32">
        <f>IF(J28&gt;=0,IF(J28&lt;=InputData!$C$148,InputData!$C$147*J28,InputData!$C$147*InputData!$C$148)+InputData!$C$149*J28,0)</f>
        <v>9805.2042486362679</v>
      </c>
      <c r="S28" s="32">
        <f>IF(L28&lt;0,0,IF(L28&lt;=InputData!$B$163,InputData!$C$163*L28,IF(L28&lt;=InputData!$B$164,InputData!$D$163+InputData!$C$164*(L28-InputData!$B$163),IF(L28&lt;=InputData!$B$165,InputData!$D$164+InputData!$C$165*(L28-InputData!$B$164),InputData!$D$165+InputData!$C$166*(L28-InputData!$B$165)))))</f>
        <v>0</v>
      </c>
      <c r="T28" s="43">
        <f t="shared" si="32"/>
        <v>0.28750163914845173</v>
      </c>
      <c r="U28" s="43">
        <f t="shared" si="33"/>
        <v>0.26378109093439256</v>
      </c>
      <c r="V28" s="5">
        <f t="shared" si="34"/>
        <v>152504.96953052396</v>
      </c>
      <c r="W28" s="32">
        <f>V28/((1+InputData!$C$7)^(GenSurg!$B28-GenSurg!$B$7))</f>
        <v>81978.935943666889</v>
      </c>
      <c r="X28" s="5">
        <f t="shared" si="111"/>
        <v>1415327.8931591159</v>
      </c>
      <c r="Y28" s="53"/>
      <c r="Z28" s="3">
        <v>18</v>
      </c>
      <c r="AA28" s="97" t="s">
        <v>265</v>
      </c>
      <c r="AB28" s="5">
        <f t="shared" si="133"/>
        <v>94741.200000000012</v>
      </c>
      <c r="AC28" s="32">
        <f t="shared" si="170"/>
        <v>233741.12</v>
      </c>
      <c r="AD28" s="32">
        <f t="shared" si="169"/>
        <v>21019.199999999997</v>
      </c>
      <c r="AE28" s="32">
        <f t="shared" si="35"/>
        <v>254760.32000000001</v>
      </c>
      <c r="AF28" s="5">
        <f>AC28*((1+InputData!$C$5)/(1+InputData!$C$3))^(GenSurg!$B28-GenSurg!$B$7)</f>
        <v>190055.46542319094</v>
      </c>
      <c r="AG28" s="5">
        <f>AD28*((1+InputData!$C$5)/(1+InputData!$C$3))^(GenSurg!$B28-GenSurg!$B$7)</f>
        <v>17090.761945622296</v>
      </c>
      <c r="AH28" s="32">
        <f>IF(AF28-InputData!$C$158-InputData!$C$159&gt;=0,AF28-InputData!$C$158-InputData!$C$159,0)</f>
        <v>190055.46542319094</v>
      </c>
      <c r="AI28" s="32">
        <f>IF(AF28-IF(AF28&lt;=InputData!$C$146,InputData!$C$145,0)-MAX(InputData!$C$144,AO28)&gt;=0,AF28-IF(AF28&lt;=InputData!$C$146,InputData!$C$145,0)-MAX(InputData!$C$144,AO28),0)</f>
        <v>183955.46542319094</v>
      </c>
      <c r="AJ28" s="32">
        <f>IF(AI28&lt;0,"Error",IF(AI28&lt;=InputData!$B$170,InputData!$C$170*AI28,IF(AI28&lt;=InputData!$B$171,InputData!$D$170+InputData!$C$171*(AI28-InputData!$B$170),IF(AI28&lt;=InputData!$B$172,InputData!$D$171+InputData!$C$172*(AI28-InputData!$B$171),IF(AI28&lt;=InputData!$B$173,InputData!$D$172+InputData!$C$173*(AI28-InputData!$B$172),IF(AI28&lt;=InputData!$B$174,InputData!$D$173+InputData!$C$174*(AI28-InputData!$B$173),IF(AI28&lt;=InputData!$B$175,InputData!$D$174+InputData!$C$175*(AI28-InputData!$B$174),InputData!$D$175+InputData!$C$176*(AI28-InputData!$B$175))))))))</f>
        <v>44836.053589653013</v>
      </c>
      <c r="AK28" s="32">
        <f>IF(AF28&lt;=InputData!$C$150,InputData!$C$152,IF(AF28&lt;InputData!$C$151,IF(InputData!$C$152-0.25*IF(AF28-InputData!$C$150&lt;=0,0,AF28-InputData!$C$150)&lt;=0,0,InputData!$C$152-0.25*IF(AF28-InputData!$C$150&lt;=0,0,AF28-InputData!$C$150)),0))</f>
        <v>33236.133644202266</v>
      </c>
      <c r="AL28" s="32">
        <f>IF(AF28-AK28&lt;=0,0,IF(AF28-AK28&lt;=InputData!$C$153,InputData!$C$154*(AF28-AK28),InputData!$C$155*(AF28-AK28)-InputData!$D$154))</f>
        <v>40773.02626253706</v>
      </c>
      <c r="AM28" s="32">
        <f t="shared" si="36"/>
        <v>44836.053589653013</v>
      </c>
      <c r="AN28" s="32">
        <f>IF(AF28&gt;=0,IF(AF28&lt;=InputData!$C$148,InputData!$C$147*AF28,InputData!$C$147*InputData!$C$148)+InputData!$C$149*AF28,0)</f>
        <v>9805.2042486362679</v>
      </c>
      <c r="AO28" s="32">
        <f>IF(AH28&lt;0,0,IF(AH28&lt;=InputData!$B$163,InputData!$C$163*AH28,IF(AH28&lt;=InputData!$B$164,InputData!$D$163+InputData!$C$164*(AH28-InputData!$B$163),IF(AH28&lt;=InputData!$B$165,InputData!$D$164+InputData!$C$165*(AH28-InputData!$B$164),InputData!$D$165+InputData!$C$166*(AH28-InputData!$B$165)))))</f>
        <v>0</v>
      </c>
      <c r="AP28" s="43">
        <f t="shared" si="37"/>
        <v>0.28750163914845173</v>
      </c>
      <c r="AQ28" s="43">
        <f t="shared" si="38"/>
        <v>0.26378109093439256</v>
      </c>
      <c r="AR28" s="5">
        <f t="shared" si="39"/>
        <v>152504.96953052396</v>
      </c>
      <c r="AS28" s="32">
        <f>AR28/((1+InputData!$C$7)^(GenSurg!$B28-GenSurg!$B$7))</f>
        <v>81978.935943666889</v>
      </c>
      <c r="AT28" s="5">
        <f t="shared" si="112"/>
        <v>1452878.1000074015</v>
      </c>
      <c r="AU28" s="53"/>
      <c r="AV28" s="41" t="s">
        <v>109</v>
      </c>
      <c r="AW28" s="32">
        <f>$AW$17*(1+InputData!$C$3+InputData!$C$4)^(GenSurg!$B28-GenSurg!$B$17)</f>
        <v>512894.007837201</v>
      </c>
      <c r="AX28" s="32">
        <v>0</v>
      </c>
      <c r="AY28" s="32">
        <f t="shared" si="41"/>
        <v>512894.007837201</v>
      </c>
      <c r="AZ28" s="32">
        <f>AZ27*(1+InputData!$C$8)</f>
        <v>17415.006291387122</v>
      </c>
      <c r="BA28" s="32">
        <f>AW28/((1+InputData!$C$3)^(GenSurg!$B28-GenSurg!$B$7))</f>
        <v>338395.06293856452</v>
      </c>
      <c r="BB28" s="32">
        <f>AX28/((1+InputData!$C$3)^(GenSurg!$B28-GenSurg!$B$7))</f>
        <v>0</v>
      </c>
      <c r="BC28" s="32" t="s">
        <v>141</v>
      </c>
      <c r="BD28" s="32">
        <v>0</v>
      </c>
      <c r="BE28" s="32">
        <f t="shared" si="146"/>
        <v>0</v>
      </c>
      <c r="BF28" s="32">
        <f>(BE28)*InputData!$C$6</f>
        <v>0</v>
      </c>
      <c r="BG28" s="32">
        <f>MIN($BE$16*InputData!$C$6/(1-(1+InputData!$C$6)^(-10)), BE28+BF28)</f>
        <v>0</v>
      </c>
      <c r="BH28" s="32">
        <f t="shared" si="137"/>
        <v>0</v>
      </c>
      <c r="BI28" s="32">
        <f>BG28/((1+InputData!$C$3)^(GenSurg!$B28-GenSurg!$B$7))</f>
        <v>0</v>
      </c>
      <c r="BJ28" s="32">
        <f>IF(BA28-InputData!$C$158-InputData!$C$159&gt;=0,BA28-InputData!$C$158-InputData!$C$159,0)</f>
        <v>338395.06293856452</v>
      </c>
      <c r="BK28" s="32">
        <f>IF(BA28-IF(BA28&lt;=InputData!$C$146,InputData!$C$145,0)-MAX(InputData!$C$144,BQ28)&gt;=0,BA28-IF(BA28&lt;=InputData!$C$146,InputData!$C$145,0)-MAX(InputData!$C$144,BQ28),0)</f>
        <v>332295.06293856452</v>
      </c>
      <c r="BL28" s="32">
        <f>IF(BK28&lt;0,"Error",IF(BK28&lt;=InputData!$B$170,InputData!$C$170*BK28,IF(BK28&lt;=InputData!$B$171,InputData!$D$170+InputData!$C$171*(BK28-InputData!$B$170),IF(BK28&lt;=InputData!$B$172,InputData!$D$171+InputData!$C$172*(BK28-InputData!$B$171),IF(BK28&lt;=InputData!$B$173,InputData!$D$172+InputData!$C$173*(BK28-InputData!$B$172),IF(BK28&lt;=InputData!$B$174,InputData!$D$173+InputData!$C$174*(BK28-InputData!$B$173),IF(BK28&lt;=InputData!$B$175,InputData!$D$174+InputData!$C$175*(BK28-InputData!$B$174),InputData!$D$175+InputData!$C$176*(BK28-InputData!$B$175))))))))</f>
        <v>93788.120769726287</v>
      </c>
      <c r="BM28" s="32">
        <f>IF(BA28&lt;=InputData!$C$150,InputData!$C$152,IF(BA28&lt;InputData!$C$151,IF(InputData!$C$152-0.25*IF(BA28-InputData!$C$150&lt;=0,0,BA28-InputData!$C$150)&lt;=0,0,InputData!$C$152-0.25*IF(BA28-InputData!$C$150&lt;=0,0,BA28-InputData!$C$150)),0))</f>
        <v>0</v>
      </c>
      <c r="BN28" s="32">
        <f>IF(BA28-BM28&lt;=0,0,IF(BA28-BM28&lt;=InputData!$C$153,InputData!$C$154*(BA28-BM28),InputData!$C$155*(BA28-BM28)-InputData!$D$154))</f>
        <v>91160.617622798076</v>
      </c>
      <c r="BO28" s="32">
        <f t="shared" si="42"/>
        <v>93788.120769726287</v>
      </c>
      <c r="BP28" s="32">
        <f>IF(BA28&gt;=0,IF(BA28&lt;=InputData!$C$148,InputData!$C$147*BA28,InputData!$C$147*InputData!$C$148)+InputData!$C$149*BA28,0)</f>
        <v>11956.128412609185</v>
      </c>
      <c r="BQ28" s="32">
        <f>IF(BJ28&lt;0,0,IF(BJ28&lt;=InputData!$B$163,InputData!$C$163*BJ28,IF(BJ28&lt;=InputData!$B$164,InputData!$D$163+InputData!$C$164*(BJ28-InputData!$B$163),IF(BJ28&lt;=InputData!$B$165,InputData!$D$164+InputData!$C$165*(BJ28-InputData!$B$164),InputData!$D$165+InputData!$C$166*(BJ28-InputData!$B$165)))))</f>
        <v>0</v>
      </c>
      <c r="BR28" s="43">
        <f t="shared" si="43"/>
        <v>0.31248756487187079</v>
      </c>
      <c r="BS28" s="32">
        <f t="shared" si="44"/>
        <v>232650.81375622904</v>
      </c>
      <c r="BT28" s="32">
        <f t="shared" si="45"/>
        <v>232650.81375622904</v>
      </c>
      <c r="BU28" s="32">
        <f>BT28/((1+InputData!$C$7)^(GenSurg!$B28-GenSurg!$B$7))</f>
        <v>125061.27647431522</v>
      </c>
      <c r="BV28" s="5">
        <f t="shared" si="114"/>
        <v>1639048.7395783607</v>
      </c>
      <c r="BW28" s="5"/>
      <c r="BX28" s="32" t="s">
        <v>141</v>
      </c>
      <c r="BY28" s="5">
        <f t="shared" si="147"/>
        <v>189647.86350240925</v>
      </c>
      <c r="BZ28" s="32">
        <f>(BY28)*InputData!$C$6</f>
        <v>11777.132323499614</v>
      </c>
      <c r="CA28" s="32">
        <f>MIN($BY$16*InputData!$C$6/(1-(1+InputData!$C$6)^(-25)), BY28+BZ28)</f>
        <v>21686.214673809533</v>
      </c>
      <c r="CB28" s="32">
        <f t="shared" si="148"/>
        <v>179738.78115209934</v>
      </c>
      <c r="CC28" s="32">
        <f>CA28/((1+InputData!$C$3)^(GenSurg!$B28-GenSurg!$B$7))</f>
        <v>14308.039999118751</v>
      </c>
      <c r="CD28" s="5">
        <f t="shared" si="49"/>
        <v>218342.77375711029</v>
      </c>
      <c r="CE28" s="32">
        <f>CD28/((1+InputData!$C$7)^(GenSurg!$B28-GenSurg!$B$7))</f>
        <v>117369.99993311103</v>
      </c>
      <c r="CF28" s="5">
        <f t="shared" si="115"/>
        <v>1695751.2386651034</v>
      </c>
      <c r="CG28" s="5"/>
      <c r="CH28" s="32" t="s">
        <v>141</v>
      </c>
      <c r="CI28" s="5" t="e">
        <f t="shared" si="149"/>
        <v>#VALUE!</v>
      </c>
      <c r="CJ28" s="32" t="e">
        <f>(CI28)*InputData!$C$6</f>
        <v>#VALUE!</v>
      </c>
      <c r="CK28" s="5" t="str">
        <f t="shared" si="159"/>
        <v>DNQ</v>
      </c>
      <c r="CL28" s="32" t="e">
        <f t="shared" si="150"/>
        <v>#VALUE!</v>
      </c>
      <c r="CM28" s="32" t="e">
        <f>CK28/((1+InputData!$C$3)^(GenSurg!$B28-GenSurg!$B$7))</f>
        <v>#VALUE!</v>
      </c>
      <c r="CN28" s="5" t="e">
        <f t="shared" si="53"/>
        <v>#VALUE!</v>
      </c>
      <c r="CO28" s="32" t="e">
        <f>CN28/((1+InputData!$C$7)^(GenSurg!$B28-GenSurg!$B$7))</f>
        <v>#VALUE!</v>
      </c>
      <c r="CP28" s="5" t="e">
        <f t="shared" si="116"/>
        <v>#VALUE!</v>
      </c>
      <c r="CQ28" s="5"/>
      <c r="CR28" s="32" t="s">
        <v>141</v>
      </c>
      <c r="CS28" s="5">
        <f t="shared" si="160"/>
        <v>0</v>
      </c>
      <c r="CT28" s="32">
        <f>(CS28)*InputData!$C$6</f>
        <v>0</v>
      </c>
      <c r="CU28" s="32">
        <f t="shared" si="161"/>
        <v>0</v>
      </c>
      <c r="CV28" s="32">
        <f t="shared" si="152"/>
        <v>0</v>
      </c>
      <c r="CW28" s="32">
        <f>CU28/((1+InputData!$C$3)^(GenSurg!$B28-GenSurg!$B$7))</f>
        <v>0</v>
      </c>
      <c r="CX28" s="5">
        <f t="shared" si="57"/>
        <v>232650.81375622904</v>
      </c>
      <c r="CY28" s="32">
        <f>CX28/((1+InputData!$C$7)^(GenSurg!$B28-GenSurg!$B$7))</f>
        <v>125061.27647431522</v>
      </c>
      <c r="CZ28" s="5">
        <f t="shared" si="117"/>
        <v>1638603.4833178287</v>
      </c>
      <c r="DA28" s="5"/>
      <c r="DB28" s="32" t="s">
        <v>141</v>
      </c>
      <c r="DC28" s="5">
        <f t="shared" si="138"/>
        <v>0</v>
      </c>
      <c r="DD28" s="5">
        <f>DC28*InputData!$C$6</f>
        <v>0</v>
      </c>
      <c r="DE28" s="32">
        <f t="shared" si="139"/>
        <v>0</v>
      </c>
      <c r="DF28" s="32">
        <f t="shared" si="140"/>
        <v>0</v>
      </c>
      <c r="DG28" s="32">
        <f>DE28/((1+InputData!$C$3)^(GenSurg!$B28-GenSurg!$B$7))</f>
        <v>0</v>
      </c>
      <c r="DH28" s="5">
        <f t="shared" si="61"/>
        <v>232650.81375622904</v>
      </c>
      <c r="DI28" s="32">
        <f>DH28/((1+InputData!$C$7)^(GenSurg!$B28-GenSurg!$B$7))</f>
        <v>125061.27647431522</v>
      </c>
      <c r="DJ28" s="5">
        <f t="shared" si="118"/>
        <v>1643636.355680777</v>
      </c>
      <c r="DK28" s="5"/>
      <c r="DL28" s="32" t="s">
        <v>141</v>
      </c>
      <c r="DM28" s="32">
        <f t="shared" si="153"/>
        <v>0</v>
      </c>
      <c r="DN28" s="5">
        <f>DM28*InputData!$C$6</f>
        <v>0</v>
      </c>
      <c r="DO28" s="32">
        <f t="shared" si="154"/>
        <v>0</v>
      </c>
      <c r="DP28" s="32">
        <f t="shared" si="130"/>
        <v>0</v>
      </c>
      <c r="DQ28" s="32">
        <f t="shared" si="131"/>
        <v>0</v>
      </c>
      <c r="DR28" s="32">
        <f>DP28/((1+InputData!$C$3)^(GenSurg!$B28-GenSurg!$B$7))</f>
        <v>0</v>
      </c>
      <c r="DS28" s="5">
        <f t="shared" si="65"/>
        <v>232650.81375622904</v>
      </c>
      <c r="DT28" s="32">
        <f>DS28/((1+InputData!$C$7)^(GenSurg!$B28-GenSurg!$B$7))</f>
        <v>125061.27647431522</v>
      </c>
      <c r="DU28" s="5">
        <f t="shared" si="120"/>
        <v>1636728.1140346231</v>
      </c>
      <c r="DV28" s="5"/>
      <c r="DW28" s="32" t="s">
        <v>141</v>
      </c>
      <c r="DX28" s="133">
        <f t="shared" si="141"/>
        <v>16718.051133565579</v>
      </c>
      <c r="DY28" s="5">
        <f>DX28*InputData!$C$6</f>
        <v>1038.1909753944226</v>
      </c>
      <c r="DZ28" s="133">
        <f t="shared" si="142"/>
        <v>0</v>
      </c>
      <c r="EA28" s="32">
        <f t="shared" si="143"/>
        <v>17756.242108960003</v>
      </c>
      <c r="EB28" s="32">
        <f t="shared" si="144"/>
        <v>0</v>
      </c>
      <c r="EC28" s="32">
        <f>EA28/((1+InputData!$C$3)^(GenSurg!$B28-GenSurg!$B$7))</f>
        <v>11715.13914025122</v>
      </c>
      <c r="ED28" s="5">
        <f t="shared" si="69"/>
        <v>220935.67461597783</v>
      </c>
      <c r="EE28" s="32">
        <f>ED28/((1+InputData!$C$7)^(GenSurg!$B28-GenSurg!$B$7))</f>
        <v>118763.81191229926</v>
      </c>
      <c r="EF28" s="5">
        <f t="shared" si="122"/>
        <v>1637247.3849798292</v>
      </c>
      <c r="EG28" s="32"/>
      <c r="EH28" s="130" t="s">
        <v>141</v>
      </c>
      <c r="EI28" s="32">
        <v>0</v>
      </c>
      <c r="EJ28" s="32">
        <f t="shared" si="168"/>
        <v>0</v>
      </c>
      <c r="EK28" s="32">
        <f>(EJ28)*InputData!$C$6</f>
        <v>0</v>
      </c>
      <c r="EL28" s="32">
        <f t="shared" si="167"/>
        <v>-2.1827872842550278E-11</v>
      </c>
      <c r="EM28" s="32">
        <f>EM27*(1+InputData!$C$8)</f>
        <v>17415.006291387122</v>
      </c>
      <c r="EN28" s="32">
        <f t="shared" si="162"/>
        <v>0</v>
      </c>
      <c r="EO28" s="32">
        <f>AW28/((1+InputData!$C$3)^(GenSurg!$B28-GenSurg!$B$7))</f>
        <v>338395.06293856452</v>
      </c>
      <c r="EP28" s="32">
        <f>AX28/((1+InputData!$C$3)^(GenSurg!$B28-GenSurg!$B$7))</f>
        <v>0</v>
      </c>
      <c r="EQ28" s="32">
        <v>87852.17</v>
      </c>
      <c r="ER28" s="32">
        <v>10406.58</v>
      </c>
      <c r="ES28" s="32">
        <v>0</v>
      </c>
      <c r="ET28" s="43">
        <f t="shared" si="136"/>
        <v>0.29036697269380324</v>
      </c>
      <c r="EU28" s="32">
        <f t="shared" si="70"/>
        <v>240136.31293856454</v>
      </c>
      <c r="EV28" s="32">
        <f>EN28/((1+InputData!$C$3)^(GenSurg!$B28-GenSurg!$B$7))</f>
        <v>0</v>
      </c>
      <c r="EW28" s="32">
        <f t="shared" si="71"/>
        <v>240136.31293856454</v>
      </c>
      <c r="EX28" s="32">
        <f>EW28/((1+InputData!$C$7)^(GenSurg!$B28-GenSurg!$B$7))</f>
        <v>129085.10113959757</v>
      </c>
      <c r="EY28" s="5">
        <f t="shared" si="124"/>
        <v>1757301.5525284761</v>
      </c>
      <c r="EZ28" s="79"/>
      <c r="FA28" s="32">
        <f t="shared" si="163"/>
        <v>0</v>
      </c>
      <c r="FB28" s="32">
        <f>FA28*InputData!$C$6</f>
        <v>0</v>
      </c>
      <c r="FC28" s="32">
        <f t="shared" si="155"/>
        <v>0</v>
      </c>
      <c r="FD28" s="32">
        <f>MIN($EJ$16*InputData!$C$6/(1-(1+InputData!$C$6)^(-10)), FA28+FB28)</f>
        <v>0</v>
      </c>
      <c r="FE28" s="32">
        <f>FD28/((1+InputData!$C$3)^(GenSurg!$B28-GenSurg!$B$7))</f>
        <v>0</v>
      </c>
      <c r="FF28" s="5">
        <f t="shared" si="75"/>
        <v>240136.31293856454</v>
      </c>
      <c r="FG28" s="32">
        <f>FF28/((1+InputData!$C$7)^(GenSurg!$B28-GenSurg!$B$7))</f>
        <v>129085.10113959757</v>
      </c>
      <c r="FH28" s="5">
        <f t="shared" si="125"/>
        <v>1757740.2512783674</v>
      </c>
      <c r="FI28" s="79"/>
      <c r="FJ28" s="32">
        <f t="shared" si="164"/>
        <v>189504.90465740982</v>
      </c>
      <c r="FK28" s="32">
        <f>FJ28*InputData!$C$6</f>
        <v>11768.254579225149</v>
      </c>
      <c r="FL28" s="32">
        <f t="shared" si="156"/>
        <v>179603.29189279224</v>
      </c>
      <c r="FM28" s="32">
        <f>MIN($EJ$16*InputData!$C$6/(1-(1+InputData!$C$6)^(-25)), FJ28+FK28)</f>
        <v>21669.867343842721</v>
      </c>
      <c r="FN28" s="32">
        <f>FM28/((1+InputData!$C$3)^(GenSurg!$B28-GenSurg!$B$7))</f>
        <v>14297.254426137846</v>
      </c>
      <c r="FO28" s="5">
        <f t="shared" si="79"/>
        <v>225839.05851242671</v>
      </c>
      <c r="FP28" s="32">
        <f>FO28/((1+InputData!$C$7)^(GenSurg!$B28-GenSurg!$B$7))</f>
        <v>121399.62237533952</v>
      </c>
      <c r="FQ28" s="5">
        <f t="shared" si="126"/>
        <v>1814400.007337963</v>
      </c>
      <c r="FR28" s="79"/>
      <c r="FS28" s="32">
        <f t="shared" si="165"/>
        <v>0</v>
      </c>
      <c r="FT28" s="32">
        <f>FS28*InputData!$C$6</f>
        <v>0</v>
      </c>
      <c r="FU28" s="32">
        <f t="shared" si="157"/>
        <v>0</v>
      </c>
      <c r="FV28" s="5">
        <f t="shared" si="166"/>
        <v>0</v>
      </c>
      <c r="FW28" s="32">
        <f>FV28/((1+InputData!$C$3)^(GenSurg!$B28-GenSurg!$B$7))</f>
        <v>0</v>
      </c>
      <c r="FX28" s="5">
        <f t="shared" si="83"/>
        <v>240136.31293856454</v>
      </c>
      <c r="FY28" s="32">
        <f>FX28/((1+InputData!$C$7)^(GenSurg!$B28-GenSurg!$B$7))</f>
        <v>129085.10113959757</v>
      </c>
      <c r="FZ28" s="5">
        <f t="shared" si="127"/>
        <v>1757740.2512783674</v>
      </c>
      <c r="GC28" s="3">
        <f t="shared" si="1"/>
        <v>18</v>
      </c>
      <c r="GD28" s="4" t="str">
        <f t="shared" si="2"/>
        <v>Multi-Year (O5&gt;16 = (BP+BAH+BAS+VSP+BCPSP)*12+ASP+ISP+MSP)</v>
      </c>
      <c r="GE28" s="5">
        <f t="shared" si="3"/>
        <v>233741.12</v>
      </c>
      <c r="GF28" s="5">
        <f t="shared" si="4"/>
        <v>21019.199999999997</v>
      </c>
      <c r="GG28" s="5">
        <f t="shared" si="5"/>
        <v>254760.32000000001</v>
      </c>
      <c r="GH28" s="5">
        <f t="shared" si="6"/>
        <v>190055.46542319094</v>
      </c>
      <c r="GI28" s="5">
        <f t="shared" si="7"/>
        <v>17090.761945622296</v>
      </c>
      <c r="GJ28" s="32">
        <f>IF(GH28-InputData!$C$158-InputData!$C$159&gt;=0,GH28-InputData!$C$158-InputData!$C$159,0)</f>
        <v>190055.46542319094</v>
      </c>
      <c r="GK28" s="32">
        <f>IF(GH28-IF(GH28&lt;=InputData!$C$146,InputData!$C$145,0)-MAX(InputData!$C$144,GQ28)&gt;=0,GH28-IF(GH28&lt;=InputData!$C$146,InputData!$C$145,0)-MAX(InputData!$C$144,GQ28),0)</f>
        <v>183955.46542319094</v>
      </c>
      <c r="GL28" s="32">
        <f>IF(GK28&lt;0,"Error",IF(GK28&lt;=InputData!$B$170,InputData!$C$170*GK28,IF(GK28&lt;=InputData!$B$171,InputData!$D$170+InputData!$C$171*(GK28-InputData!$B$170),IF(GK28&lt;=InputData!$B$172,InputData!$D$171+InputData!$C$172*(GK28-InputData!$B$171),IF(GK28&lt;=InputData!$B$173,InputData!$D$172+InputData!$C$173*(GK28-InputData!$B$172),IF(GK28&lt;=InputData!$B$174,InputData!$D$173+InputData!$C$174*(GK28-InputData!$B$173),IF(GK28&lt;=InputData!$B$175,InputData!$D$174+InputData!$C$175*(GK28-InputData!$B$174),InputData!$D$175+InputData!$C$176*(GK28-InputData!$B$175))))))))</f>
        <v>44836.053589653013</v>
      </c>
      <c r="GM28" s="32">
        <f>IF(GH28&lt;=InputData!$C$150,InputData!$C$152,IF(GH28&lt;InputData!$C$151,IF(InputData!$C$152-0.25*IF(GH28-InputData!$C$150&lt;=0,0,GH28-InputData!$C$150)&lt;=0,0,InputData!$C$152-0.25*IF(GH28-InputData!$C$150&lt;=0,0,GH28-InputData!$C$150)),0))</f>
        <v>33236.133644202266</v>
      </c>
      <c r="GN28" s="32">
        <f>IF(GH28-GM28&lt;=0,0,IF(GH28-GM28&lt;=InputData!$C$153,InputData!$C$154*(GH28-GM28),InputData!$C$155*(GH28-GM28)-InputData!$D$154))</f>
        <v>40773.02626253706</v>
      </c>
      <c r="GO28" s="32">
        <f t="shared" si="84"/>
        <v>44836.053589653013</v>
      </c>
      <c r="GP28" s="32">
        <f>IF(GH28&gt;=0,IF(GH28&lt;=InputData!$C$148,InputData!$C$147*GH28,InputData!$C$147*InputData!$C$148)+InputData!$C$149*GH28,0)</f>
        <v>9805.2042486362679</v>
      </c>
      <c r="GQ28" s="32">
        <f>IF(GJ28&lt;0,0,IF(GJ28&lt;=InputData!$B$163,InputData!$C$163*GJ28,IF(GJ28&lt;=InputData!$B$164,InputData!$D$163+InputData!$C$164*(GJ28-InputData!$B$163),IF(GJ28&lt;=InputData!$B$165,InputData!$D$164+InputData!$C$165*(GJ28-InputData!$B$164),InputData!$D$165+InputData!$C$166*(GJ28-InputData!$B$165)))))</f>
        <v>0</v>
      </c>
      <c r="GR28" s="43">
        <f t="shared" si="85"/>
        <v>0.28750163914845173</v>
      </c>
      <c r="GS28" s="43">
        <f t="shared" si="86"/>
        <v>0.26378109093439256</v>
      </c>
      <c r="GT28" s="5">
        <f t="shared" si="87"/>
        <v>152504.96953052396</v>
      </c>
      <c r="GU28" s="32">
        <f>GT28/((1+InputData!$C$7)^(GenSurg!$B28-GenSurg!$B$7))</f>
        <v>81978.935943666889</v>
      </c>
      <c r="GV28" s="32">
        <f t="shared" si="88"/>
        <v>1415327.8931591159</v>
      </c>
      <c r="GX28" s="124">
        <f t="shared" si="8"/>
        <v>18</v>
      </c>
      <c r="GY28" s="122" t="str">
        <f t="shared" si="9"/>
        <v>Multi-Year (O5&gt;16 = (BP+BAH+BAS+VSP+BCPSP)*12+ASP+ISP+MSP)</v>
      </c>
      <c r="GZ28" s="5">
        <f t="shared" si="10"/>
        <v>233741.12</v>
      </c>
      <c r="HA28" s="5">
        <f t="shared" si="11"/>
        <v>21019.199999999997</v>
      </c>
      <c r="HB28" s="5">
        <f t="shared" si="12"/>
        <v>254760.32000000001</v>
      </c>
      <c r="HC28" s="5">
        <f t="shared" si="13"/>
        <v>190055.46542319094</v>
      </c>
      <c r="HD28" s="5">
        <f t="shared" si="14"/>
        <v>17090.761945622296</v>
      </c>
      <c r="HE28" s="32">
        <f>IF(HC28-InputData!$C$158-InputData!$C$159&gt;=0,HC28-InputData!$C$158-InputData!$C$159,0)</f>
        <v>190055.46542319094</v>
      </c>
      <c r="HF28" s="32">
        <f>IF(HC28-IF(HC28&lt;=InputData!$C$146,InputData!$C$145,0)-MAX(InputData!$C$144,HL28)&gt;=0,HC28-IF(HC28&lt;=InputData!$C$146,InputData!$C$145,0)-MAX(InputData!$C$144,HL28),0)</f>
        <v>183955.46542319094</v>
      </c>
      <c r="HG28" s="32">
        <f>IF(HF28&lt;0,"Error",IF(HF28&lt;=InputData!$B$170,InputData!$C$170*HF28,IF(HF28&lt;=InputData!$B$171,InputData!$D$170+InputData!$C$171*(HF28-InputData!$B$170),IF(HF28&lt;=InputData!$B$172,InputData!$D$171+InputData!$C$172*(HF28-InputData!$B$171),IF(HF28&lt;=InputData!$B$173,InputData!$D$172+InputData!$C$173*(HF28-InputData!$B$172),IF(HF28&lt;=InputData!$B$174,InputData!$D$173+InputData!$C$174*(HF28-InputData!$B$173),IF(HF28&lt;=InputData!$B$175,InputData!$D$174+InputData!$C$175*(HF28-InputData!$B$174),InputData!$D$175+InputData!$C$176*(HF28-InputData!$B$175))))))))</f>
        <v>44836.053589653013</v>
      </c>
      <c r="HH28" s="32">
        <f>IF(HC28&lt;=InputData!$C$150,InputData!$C$152,IF(HC28&lt;InputData!$C$151,IF(InputData!$C$152-0.25*IF(HC28-InputData!$C$150&lt;=0,0,HC28-InputData!$C$150)&lt;=0,0,InputData!$C$152-0.25*IF(HC28-InputData!$C$150&lt;=0,0,HC28-InputData!$C$150)),0))</f>
        <v>33236.133644202266</v>
      </c>
      <c r="HI28" s="32">
        <f>IF(HC28-HH28&lt;=0,0,IF(HC28-HH28&lt;=InputData!$C$153,InputData!$C$154*(HC28-HH28),InputData!$C$155*(HC28-HH28)-InputData!$D$154))</f>
        <v>40773.02626253706</v>
      </c>
      <c r="HJ28" s="32">
        <f t="shared" si="89"/>
        <v>44836.053589653013</v>
      </c>
      <c r="HK28" s="32">
        <f>IF(HC28&gt;=0,IF(HC28&lt;=InputData!$C$148,InputData!$C$147*HC28,InputData!$C$147*InputData!$C$148)+InputData!$C$149*HC28,0)</f>
        <v>9805.2042486362679</v>
      </c>
      <c r="HL28" s="32">
        <f>IF(HE28&lt;0,0,IF(HE28&lt;=InputData!$B$163,InputData!$C$163*HE28,IF(HE28&lt;=InputData!$B$164,InputData!$D$163+InputData!$C$164*(HE28-InputData!$B$163),IF(HE28&lt;=InputData!$B$165,InputData!$D$164+InputData!$C$165*(HE28-InputData!$B$164),InputData!$D$165+InputData!$C$166*(HE28-InputData!$B$165)))))</f>
        <v>0</v>
      </c>
      <c r="HM28" s="43">
        <f t="shared" si="90"/>
        <v>0.28750163914845173</v>
      </c>
      <c r="HN28" s="43">
        <f t="shared" si="91"/>
        <v>0.26378109093439256</v>
      </c>
      <c r="HO28" s="5">
        <f t="shared" si="92"/>
        <v>152504.96953052396</v>
      </c>
      <c r="HP28" s="32">
        <f>HO28/((1+InputData!$C$7)^(GenSurg!$B28-GenSurg!$B$7))</f>
        <v>81978.935943666889</v>
      </c>
      <c r="HQ28" s="32">
        <f t="shared" si="93"/>
        <v>1452878.1000074015</v>
      </c>
      <c r="HS28" s="227"/>
      <c r="HT28" s="53" t="s">
        <v>109</v>
      </c>
      <c r="HU28" s="32">
        <f>MIN(InputData!$C$13+InputData!$E$13*($B28-$B$23),1)*GenSurg!AW28</f>
        <v>461604.60705348093</v>
      </c>
      <c r="HV28" s="32">
        <f>MIN(InputData!$C$13+InputData!$E$13*($B28-$B$23),1)*GenSurg!AX28</f>
        <v>0</v>
      </c>
      <c r="HW28" s="32">
        <f>MIN(InputData!$C$13+InputData!$E$13*($B28-$B$23),1)*GenSurg!AY28</f>
        <v>461604.60705348093</v>
      </c>
      <c r="HX28" s="32">
        <f>MIN(InputData!$C$13+InputData!$E$13*($B28-$B$23),1)*GenSurg!EO28</f>
        <v>304555.55664470809</v>
      </c>
      <c r="HY28" s="32">
        <f>MIN(InputData!$C$13+InputData!$E$13*($B28-$B$23),1)*GenSurg!EP28</f>
        <v>0</v>
      </c>
      <c r="HZ28" s="32">
        <f>IF(HX28-InputData!$C$158-InputData!$C$159&gt;=0,HX28-InputData!$C$158-InputData!$C$159,0)</f>
        <v>304555.55664470809</v>
      </c>
      <c r="IA28" s="32">
        <f>IF(HX28-IF(HX28&lt;=InputData!$C$146,InputData!$C$145,0)-MAX(InputData!$C$144,IG28)&gt;=0,HX28-IF(HX28&lt;=InputData!$C$146,InputData!$C$145,0)-MAX(InputData!$C$144,IG28),0)</f>
        <v>298455.55664470809</v>
      </c>
      <c r="IB28" s="32">
        <f>IF(IA28&lt;0,"Error",IF(IA28&lt;=InputData!$B$170,InputData!$C$170*IA28,IF(IA28&lt;=InputData!$B$171,InputData!$D$170+InputData!$C$171*(IA28-InputData!$B$170),IF(IA28&lt;=InputData!$B$172,InputData!$D$171+InputData!$C$172*(IA28-InputData!$B$171),IF(IA28&lt;=InputData!$B$173,InputData!$D$172+InputData!$C$173*(IA28-InputData!$B$172),IF(IA28&lt;=InputData!$B$174,InputData!$D$173+InputData!$C$174*(IA28-InputData!$B$173),IF(IA28&lt;=InputData!$B$175,InputData!$D$174+InputData!$C$175*(IA28-InputData!$B$174),InputData!$D$175+InputData!$C$176*(IA28-InputData!$B$175))))))))</f>
        <v>82621.083692753673</v>
      </c>
      <c r="IC28" s="32">
        <f>IF(HX28&lt;=InputData!$C$150,InputData!$C$152,IF(HX28&lt;InputData!$C$151,IF(InputData!$C$152-0.25*IF(HX28-InputData!$C$150&lt;=0,0,HX28-InputData!$C$150)&lt;=0,0,InputData!$C$152-0.25*IF(HX28-InputData!$C$150&lt;=0,0,HX28-InputData!$C$150)),0))</f>
        <v>4611.1108388229768</v>
      </c>
      <c r="ID28" s="32">
        <f>IF(HX28-IC28&lt;=0,0,IF(HX28-IC28&lt;=InputData!$C$153,InputData!$C$154*(HX28-IC28),InputData!$C$155*(HX28-IC28)-InputData!$D$154))</f>
        <v>80394.44482564785</v>
      </c>
      <c r="IE28" s="32">
        <f t="shared" si="96"/>
        <v>82621.083692753673</v>
      </c>
      <c r="IF28" s="32">
        <f>IF(HX28&gt;=0,IF(HX28&lt;=InputData!$C$148,InputData!$C$147*HX28,InputData!$C$147*InputData!$C$148)+InputData!$C$149*HX28,0)</f>
        <v>11465.455571348266</v>
      </c>
      <c r="IG28" s="32">
        <f>IF(HZ28&lt;0,0,IF(HZ28&lt;=InputData!$B$163,InputData!$C$163*HZ28,IF(HZ28&lt;=InputData!$B$164,InputData!$D$163+InputData!$C$164*(HZ28-InputData!$B$163),IF(HZ28&lt;=InputData!$B$165,InputData!$D$164+InputData!$C$165*(HZ28-InputData!$B$164),InputData!$D$165+InputData!$C$166*(HZ28-InputData!$B$165)))))</f>
        <v>0</v>
      </c>
      <c r="IH28" s="43">
        <f t="shared" si="97"/>
        <v>0.30893062763541201</v>
      </c>
      <c r="II28" s="43">
        <f t="shared" si="98"/>
        <v>0.30893062763541201</v>
      </c>
      <c r="IJ28" s="5">
        <f t="shared" si="20"/>
        <v>210469.01738060615</v>
      </c>
      <c r="IK28" s="32">
        <f>IJ28/((1+InputData!$C$7)^(GenSurg!$B28-GenSurg!$B$7))</f>
        <v>113137.46789423686</v>
      </c>
      <c r="IL28" s="5">
        <f t="shared" si="99"/>
        <v>1596837.937419507</v>
      </c>
      <c r="IN28" s="227"/>
      <c r="IO28" s="53" t="s">
        <v>109</v>
      </c>
      <c r="IP28" s="32">
        <f>MIN(InputData!$C$13+InputData!$E$13*($B28-$B$20),1)*GenSurg!AW28</f>
        <v>461604.60705348093</v>
      </c>
      <c r="IQ28" s="32">
        <f>MIN(InputData!$C$13+InputData!$E$13*($B28-$B$20),1)*GenSurg!AX28</f>
        <v>0</v>
      </c>
      <c r="IR28" s="32">
        <f>MIN(InputData!$C$13+InputData!$E$13*($B28-$B$20),1)*GenSurg!AY28</f>
        <v>461604.60705348093</v>
      </c>
      <c r="IS28" s="32">
        <f>MIN(InputData!$C$13+InputData!$E$13*($B28-$B$20),1)*GenSurg!EO28</f>
        <v>304555.55664470809</v>
      </c>
      <c r="IT28" s="32">
        <f>MIN(InputData!$C$13+InputData!$E$13*($B28-$B$20),1)*GenSurg!EP28</f>
        <v>0</v>
      </c>
      <c r="IU28" s="32">
        <f>IF(IS28-InputData!$C$158-InputData!$C$159&gt;=0,IS28-InputData!$C$158-InputData!$C$159,0)</f>
        <v>304555.55664470809</v>
      </c>
      <c r="IV28" s="32">
        <f>IF(IS28-IF(IS28&lt;=InputData!$C$146,InputData!$C$145,0)-MAX(InputData!$C$144,JB28)&gt;=0,IS28-IF(IS28&lt;=InputData!$C$146,InputData!$C$145,0)-MAX(InputData!$C$144,JB28),0)</f>
        <v>298455.55664470809</v>
      </c>
      <c r="IW28" s="32">
        <f>IF(IV28&lt;0,"Error",IF(IV28&lt;=InputData!$B$170,InputData!$C$170*IV28,IF(IV28&lt;=InputData!$B$171,InputData!$D$170+InputData!$C$171*(IV28-InputData!$B$170),IF(IV28&lt;=InputData!$B$172,InputData!$D$171+InputData!$C$172*(IV28-InputData!$B$171),IF(IV28&lt;=InputData!$B$173,InputData!$D$172+InputData!$C$173*(IV28-InputData!$B$172),IF(IV28&lt;=InputData!$B$174,InputData!$D$173+InputData!$C$174*(IV28-InputData!$B$173),IF(IV28&lt;=InputData!$B$175,InputData!$D$174+InputData!$C$175*(IV28-InputData!$B$174),InputData!$D$175+InputData!$C$176*(IV28-InputData!$B$175))))))))</f>
        <v>82621.083692753673</v>
      </c>
      <c r="IX28" s="32">
        <f>IF(IS28&lt;=InputData!$C$150,InputData!$C$152,IF(IS28&lt;InputData!$C$151,IF(InputData!$C$152-0.25*IF(IS28-InputData!$C$150&lt;=0,0,IS28-InputData!$C$150)&lt;=0,0,InputData!$C$152-0.25*IF(IS28-InputData!$C$150&lt;=0,0,IS28-InputData!$C$150)),0))</f>
        <v>4611.1108388229768</v>
      </c>
      <c r="IY28" s="32">
        <f>IF(IS28-IX28&lt;=0,0,IF(IS28-IX28&lt;=InputData!$C$153,InputData!$C$154*(IS28-IX28),InputData!$C$155*(IS28-IX28)-InputData!$D$154))</f>
        <v>80394.44482564785</v>
      </c>
      <c r="IZ28" s="32">
        <f t="shared" si="102"/>
        <v>82621.083692753673</v>
      </c>
      <c r="JA28" s="32">
        <f>IF(IS28&gt;=0,IF(IS28&lt;=InputData!$C$148,InputData!$C$147*IS28,InputData!$C$147*InputData!$C$148)+InputData!$C$149*IS28,0)</f>
        <v>11465.455571348266</v>
      </c>
      <c r="JB28" s="32">
        <f>IF(IU28&lt;0,0,IF(IU28&lt;=InputData!$B$163,InputData!$C$163*IU28,IF(IU28&lt;=InputData!$B$164,InputData!$D$163+InputData!$C$164*(IU28-InputData!$B$163),IF(IU28&lt;=InputData!$B$165,InputData!$D$164+InputData!$C$165*(IU28-InputData!$B$164),InputData!$D$165+InputData!$C$166*(IU28-InputData!$B$165)))))</f>
        <v>0</v>
      </c>
      <c r="JC28" s="43">
        <f t="shared" si="103"/>
        <v>0.30893062763541201</v>
      </c>
      <c r="JD28" s="43">
        <f t="shared" si="104"/>
        <v>0.30893062763541201</v>
      </c>
      <c r="JE28" s="5">
        <f t="shared" si="105"/>
        <v>210469.01738060615</v>
      </c>
      <c r="JF28" s="32">
        <f>JE28/((1+InputData!$C$7)^(GenSurg!$B28-GenSurg!$B$7))</f>
        <v>113137.46789423686</v>
      </c>
      <c r="JG28" s="5">
        <f t="shared" si="106"/>
        <v>1723992.2993533376</v>
      </c>
      <c r="JI28" s="41" t="str">
        <f t="shared" si="26"/>
        <v>Private Practice</v>
      </c>
      <c r="JJ28" s="5">
        <f t="shared" si="27"/>
        <v>512894.007837201</v>
      </c>
      <c r="JK28" s="32">
        <v>0</v>
      </c>
      <c r="JL28" s="32">
        <f t="shared" si="108"/>
        <v>512894.007837201</v>
      </c>
      <c r="JM28" s="32">
        <f>JM27*(1+InputData!$C$8)</f>
        <v>17415.006291387122</v>
      </c>
      <c r="JN28" s="32">
        <f>JJ28/((1+InputData!$C$3)^(GenSurg!$B28-GenSurg!$B$7))</f>
        <v>338395.06293856452</v>
      </c>
      <c r="JO28" s="32">
        <f>JK28/((1+InputData!$C$3)^(GenSurg!$B28-GenSurg!$B$7))</f>
        <v>0</v>
      </c>
      <c r="JP28" s="32" t="s">
        <v>141</v>
      </c>
      <c r="JQ28" s="32">
        <v>0</v>
      </c>
      <c r="JR28" s="32">
        <f t="shared" si="158"/>
        <v>0</v>
      </c>
      <c r="JS28" s="32">
        <f>(JR28)*InputData!$C$6</f>
        <v>0</v>
      </c>
      <c r="JT28" s="32">
        <f>MIN($BE$16*InputData!$C$6/(1-(1+InputData!$C$6)^(-10)), JR28+JS28)</f>
        <v>0</v>
      </c>
      <c r="JU28" s="32">
        <f t="shared" si="145"/>
        <v>0</v>
      </c>
      <c r="JV28" s="32">
        <f>JT28/((1+InputData!$C$3)^(GenSurg!$B28-GenSurg!$B$7))</f>
        <v>0</v>
      </c>
      <c r="JW28" s="32">
        <f>IF(JN28-InputData!$C$158-InputData!$C$159&gt;=0,JN28-InputData!$C$158-InputData!$C$159,0)</f>
        <v>338395.06293856452</v>
      </c>
      <c r="JX28" s="32">
        <f>IF(JN28-IF(JN28&lt;=InputData!$C$146,InputData!$C$145,0)-MAX(InputData!$C$144,KD28)&gt;=0,JN28-IF(JN28&lt;=InputData!$C$146,InputData!$C$145,0)-MAX(InputData!$C$144,KD28),0)</f>
        <v>332295.06293856452</v>
      </c>
      <c r="JY28" s="32">
        <f>IF(JX28&lt;0,"Error",IF(JX28&lt;=InputData!$B$170,InputData!$C$170*JX28,IF(JX28&lt;=InputData!$B$171,InputData!$D$170+InputData!$C$171*(JX28-InputData!$B$170),IF(JX28&lt;=InputData!$B$172,InputData!$D$171+InputData!$C$172*(JX28-InputData!$B$171),IF(JX28&lt;=InputData!$B$173,InputData!$D$172+InputData!$C$173*(JX28-InputData!$B$172),IF(JX28&lt;=InputData!$B$174,InputData!$D$173+InputData!$C$174*(JX28-InputData!$B$173),IF(JX28&lt;=InputData!$B$175,InputData!$D$174+InputData!$C$175*(JX28-InputData!$B$174),InputData!$D$175+InputData!$C$176*(JX28-InputData!$B$175))))))))</f>
        <v>93788.120769726287</v>
      </c>
      <c r="JZ28" s="32">
        <f>IF(JN28&lt;=InputData!$C$150,InputData!$C$152,IF(JN28&lt;InputData!$C$151,IF(InputData!$C$152-0.25*IF(JN28-InputData!$C$150&lt;=0,0,JN28-InputData!$C$150)&lt;=0,0,InputData!$C$152-0.25*IF(JN28-InputData!$C$150&lt;=0,0,JN28-InputData!$C$150)),0))</f>
        <v>0</v>
      </c>
      <c r="KA28" s="32">
        <f>IF(JN28-JZ28&lt;=0,0,IF(JN28-JZ28&lt;=InputData!$C$153,InputData!$C$154*(JN28-JZ28),InputData!$C$155*(JN28-JZ28)-InputData!$D$154))</f>
        <v>91160.617622798076</v>
      </c>
      <c r="KB28" s="32">
        <f t="shared" si="109"/>
        <v>93788.120769726287</v>
      </c>
      <c r="KC28" s="32">
        <f>IF(JN28&gt;=0,IF(JN28&lt;=InputData!$C$148,InputData!$C$147*JN28,InputData!$C$147*InputData!$C$148)+InputData!$C$149*JN28,0)</f>
        <v>11956.128412609185</v>
      </c>
      <c r="KD28" s="32">
        <f>IF(JW28&lt;0,0,IF(JW28&lt;=InputData!$B$163,InputData!$C$163*JW28,IF(JW28&lt;=InputData!$B$164,InputData!$D$163+InputData!$C$164*(JW28-InputData!$B$163),IF(JW28&lt;=InputData!$B$165,InputData!$D$164+InputData!$C$165*(JW28-InputData!$B$164),InputData!$D$165+InputData!$C$166*(JW28-InputData!$B$165)))))</f>
        <v>0</v>
      </c>
      <c r="KE28" s="43">
        <f t="shared" si="28"/>
        <v>0.31248756487187079</v>
      </c>
      <c r="KF28" s="32">
        <f t="shared" si="29"/>
        <v>232650.81375622904</v>
      </c>
      <c r="KG28" s="32">
        <f t="shared" si="110"/>
        <v>232650.81375622904</v>
      </c>
      <c r="KH28" s="32">
        <f>KG28/((1+InputData!$C$7)^(GenSurg!$B28-GenSurg!$B$7))</f>
        <v>125061.27647431522</v>
      </c>
      <c r="KI28" s="5">
        <f t="shared" si="129"/>
        <v>2023375.1321251011</v>
      </c>
    </row>
    <row r="29" spans="1:295" x14ac:dyDescent="0.25">
      <c r="A29" s="4">
        <v>2035</v>
      </c>
      <c r="B29" s="51">
        <v>23</v>
      </c>
      <c r="C29" s="4"/>
      <c r="D29" s="3">
        <v>19</v>
      </c>
      <c r="E29" s="97" t="s">
        <v>266</v>
      </c>
      <c r="F29" s="5">
        <f>InputData!$M$21*12</f>
        <v>109072.79999999999</v>
      </c>
      <c r="G29" s="32">
        <f>(InputData!$M$21+InputData!$J$45+InputData!$G$50)*12+InputData!$J$50+InputData!$D$58+InputData!$J$58</f>
        <v>248064.8</v>
      </c>
      <c r="H29" s="32">
        <f>(InputData!$C$32+InputData!$C$40)*12</f>
        <v>21631.199999999997</v>
      </c>
      <c r="I29" s="32">
        <f t="shared" si="30"/>
        <v>269696</v>
      </c>
      <c r="J29" s="5">
        <f>G29*((1+InputData!$C$5)/(1+InputData!$C$3))^(GenSurg!$B29-GenSurg!$B$7)</f>
        <v>199724.61258237521</v>
      </c>
      <c r="K29" s="5">
        <f>H29*((1+InputData!$C$5)/(1+InputData!$C$3))^(GenSurg!$B29-GenSurg!$B$7)</f>
        <v>17415.945509769521</v>
      </c>
      <c r="L29" s="32">
        <f>IF(J29-InputData!$C$158-InputData!$C$159&gt;=0,J29-InputData!$C$158-InputData!$C$159,0)</f>
        <v>199724.61258237521</v>
      </c>
      <c r="M29" s="32">
        <f>IF(J29-IF(J29&lt;=InputData!$C$146,InputData!$C$145,0)-MAX(InputData!$C$144,S29)&gt;=0,J29-IF(J29&lt;=InputData!$C$146,InputData!$C$145,0)-MAX(InputData!$C$144,S29),0)</f>
        <v>193624.61258237521</v>
      </c>
      <c r="N29" s="32">
        <f>IF(M29&lt;0,"Error",IF(M29&lt;=InputData!$B$170,InputData!$C$170*M29,IF(M29&lt;=InputData!$B$171,InputData!$D$170+InputData!$C$171*(M29-InputData!$B$170),IF(M29&lt;=InputData!$B$172,InputData!$D$171+InputData!$C$172*(M29-InputData!$B$171),IF(M29&lt;=InputData!$B$173,InputData!$D$172+InputData!$C$173*(M29-InputData!$B$172),IF(M29&lt;=InputData!$B$174,InputData!$D$173+InputData!$C$174*(M29-InputData!$B$173),IF(M29&lt;=InputData!$B$175,InputData!$D$174+InputData!$C$175*(M29-InputData!$B$174),InputData!$D$175+InputData!$C$176*(M29-InputData!$B$175))))))))</f>
        <v>48026.872152183816</v>
      </c>
      <c r="O29" s="32">
        <f>IF(J29&lt;=InputData!$C$150,InputData!$C$152,IF(J29&lt;InputData!$C$151,IF(InputData!$C$152-0.25*IF(J29-InputData!$C$150&lt;=0,0,J29-InputData!$C$150)&lt;=0,0,InputData!$C$152-0.25*IF(J29-InputData!$C$150&lt;=0,0,J29-InputData!$C$150)),0))</f>
        <v>30818.846854406198</v>
      </c>
      <c r="P29" s="32">
        <f>IF(J29-O29&lt;=0,0,IF(J29-O29&lt;=InputData!$C$153,InputData!$C$154*(J29-O29),InputData!$C$155*(J29-O29)-InputData!$D$154))</f>
        <v>43915.499089271943</v>
      </c>
      <c r="Q29" s="32">
        <f t="shared" si="31"/>
        <v>48026.872152183816</v>
      </c>
      <c r="R29" s="32">
        <f>IF(J29&gt;=0,IF(J29&lt;=InputData!$C$148,InputData!$C$147*J29,InputData!$C$147*InputData!$C$148)+InputData!$C$149*J29,0)</f>
        <v>9945.4068824444403</v>
      </c>
      <c r="S29" s="32">
        <f>IF(L29&lt;0,0,IF(L29&lt;=InputData!$B$163,InputData!$C$163*L29,IF(L29&lt;=InputData!$B$164,InputData!$D$163+InputData!$C$164*(L29-InputData!$B$163),IF(L29&lt;=InputData!$B$165,InputData!$D$164+InputData!$C$165*(L29-InputData!$B$164),InputData!$D$165+InputData!$C$166*(L29-InputData!$B$165)))))</f>
        <v>0</v>
      </c>
      <c r="T29" s="43">
        <f t="shared" si="32"/>
        <v>0.29026106640070681</v>
      </c>
      <c r="U29" s="43">
        <f t="shared" si="33"/>
        <v>0.26698042753499518</v>
      </c>
      <c r="V29" s="5">
        <f t="shared" si="34"/>
        <v>159168.27905751648</v>
      </c>
      <c r="W29" s="32">
        <f>V29/((1+InputData!$C$7)^(GenSurg!$B29-GenSurg!$B$7))</f>
        <v>83068.731218504545</v>
      </c>
      <c r="X29" s="5">
        <f t="shared" si="111"/>
        <v>1498396.6243776204</v>
      </c>
      <c r="Y29" s="53"/>
      <c r="Z29" s="3">
        <v>19</v>
      </c>
      <c r="AA29" s="97" t="s">
        <v>266</v>
      </c>
      <c r="AB29" s="5">
        <f t="shared" si="133"/>
        <v>109072.79999999999</v>
      </c>
      <c r="AC29" s="32">
        <f t="shared" si="170"/>
        <v>248064.8</v>
      </c>
      <c r="AD29" s="32">
        <f t="shared" si="169"/>
        <v>21631.199999999997</v>
      </c>
      <c r="AE29" s="32">
        <f t="shared" si="35"/>
        <v>269696</v>
      </c>
      <c r="AF29" s="5">
        <f>AC29*((1+InputData!$C$5)/(1+InputData!$C$3))^(GenSurg!$B29-GenSurg!$B$7)</f>
        <v>199724.61258237521</v>
      </c>
      <c r="AG29" s="5">
        <f>AD29*((1+InputData!$C$5)/(1+InputData!$C$3))^(GenSurg!$B29-GenSurg!$B$7)</f>
        <v>17415.945509769521</v>
      </c>
      <c r="AH29" s="32">
        <f>IF(AF29-InputData!$C$158-InputData!$C$159&gt;=0,AF29-InputData!$C$158-InputData!$C$159,0)</f>
        <v>199724.61258237521</v>
      </c>
      <c r="AI29" s="32">
        <f>IF(AF29-IF(AF29&lt;=InputData!$C$146,InputData!$C$145,0)-MAX(InputData!$C$144,AO29)&gt;=0,AF29-IF(AF29&lt;=InputData!$C$146,InputData!$C$145,0)-MAX(InputData!$C$144,AO29),0)</f>
        <v>193624.61258237521</v>
      </c>
      <c r="AJ29" s="32">
        <f>IF(AI29&lt;0,"Error",IF(AI29&lt;=InputData!$B$170,InputData!$C$170*AI29,IF(AI29&lt;=InputData!$B$171,InputData!$D$170+InputData!$C$171*(AI29-InputData!$B$170),IF(AI29&lt;=InputData!$B$172,InputData!$D$171+InputData!$C$172*(AI29-InputData!$B$171),IF(AI29&lt;=InputData!$B$173,InputData!$D$172+InputData!$C$173*(AI29-InputData!$B$172),IF(AI29&lt;=InputData!$B$174,InputData!$D$173+InputData!$C$174*(AI29-InputData!$B$173),IF(AI29&lt;=InputData!$B$175,InputData!$D$174+InputData!$C$175*(AI29-InputData!$B$174),InputData!$D$175+InputData!$C$176*(AI29-InputData!$B$175))))))))</f>
        <v>48026.872152183816</v>
      </c>
      <c r="AK29" s="32">
        <f>IF(AF29&lt;=InputData!$C$150,InputData!$C$152,IF(AF29&lt;InputData!$C$151,IF(InputData!$C$152-0.25*IF(AF29-InputData!$C$150&lt;=0,0,AF29-InputData!$C$150)&lt;=0,0,InputData!$C$152-0.25*IF(AF29-InputData!$C$150&lt;=0,0,AF29-InputData!$C$150)),0))</f>
        <v>30818.846854406198</v>
      </c>
      <c r="AL29" s="32">
        <f>IF(AF29-AK29&lt;=0,0,IF(AF29-AK29&lt;=InputData!$C$153,InputData!$C$154*(AF29-AK29),InputData!$C$155*(AF29-AK29)-InputData!$D$154))</f>
        <v>43915.499089271943</v>
      </c>
      <c r="AM29" s="32">
        <f t="shared" si="36"/>
        <v>48026.872152183816</v>
      </c>
      <c r="AN29" s="32">
        <f>IF(AF29&gt;=0,IF(AF29&lt;=InputData!$C$148,InputData!$C$147*AF29,InputData!$C$147*InputData!$C$148)+InputData!$C$149*AF29,0)</f>
        <v>9945.4068824444403</v>
      </c>
      <c r="AO29" s="32">
        <f>IF(AH29&lt;0,0,IF(AH29&lt;=InputData!$B$163,InputData!$C$163*AH29,IF(AH29&lt;=InputData!$B$164,InputData!$D$163+InputData!$C$164*(AH29-InputData!$B$163),IF(AH29&lt;=InputData!$B$165,InputData!$D$164+InputData!$C$165*(AH29-InputData!$B$164),InputData!$D$165+InputData!$C$166*(AH29-InputData!$B$165)))))</f>
        <v>0</v>
      </c>
      <c r="AP29" s="43">
        <f t="shared" si="37"/>
        <v>0.29026106640070681</v>
      </c>
      <c r="AQ29" s="43">
        <f t="shared" si="38"/>
        <v>0.26698042753499518</v>
      </c>
      <c r="AR29" s="5">
        <f t="shared" si="39"/>
        <v>159168.27905751648</v>
      </c>
      <c r="AS29" s="32">
        <f>AR29/((1+InputData!$C$7)^(GenSurg!$B29-GenSurg!$B$7))</f>
        <v>83068.731218504545</v>
      </c>
      <c r="AT29" s="5">
        <f t="shared" si="112"/>
        <v>1535946.831225906</v>
      </c>
      <c r="AU29" s="53"/>
      <c r="AV29" s="41" t="s">
        <v>109</v>
      </c>
      <c r="AW29" s="32">
        <f>$AW$17*(1+InputData!$C$3+InputData!$C$4)^(GenSurg!$B29-GenSurg!$B$17)</f>
        <v>528280.82807231694</v>
      </c>
      <c r="AX29" s="32">
        <v>0</v>
      </c>
      <c r="AY29" s="32">
        <f t="shared" si="41"/>
        <v>528280.82807231694</v>
      </c>
      <c r="AZ29" s="32">
        <f>AZ28*(1+InputData!$C$8)</f>
        <v>17763.306417214866</v>
      </c>
      <c r="BA29" s="32">
        <f>AW29/((1+InputData!$C$3)^(GenSurg!$B29-GenSurg!$B$7))</f>
        <v>341712.66159482487</v>
      </c>
      <c r="BB29" s="32">
        <f>AX29/((1+InputData!$C$3)^(GenSurg!$B29-GenSurg!$B$7))</f>
        <v>0</v>
      </c>
      <c r="BC29" s="32" t="s">
        <v>141</v>
      </c>
      <c r="BD29" s="32">
        <v>0</v>
      </c>
      <c r="BE29" s="32">
        <f t="shared" si="146"/>
        <v>0</v>
      </c>
      <c r="BF29" s="32">
        <f>(BE29)*InputData!$C$6</f>
        <v>0</v>
      </c>
      <c r="BG29" s="32">
        <f>MIN($BE$16*InputData!$C$6/(1-(1+InputData!$C$6)^(-10)), BE29+BF29)</f>
        <v>0</v>
      </c>
      <c r="BH29" s="32">
        <f t="shared" si="137"/>
        <v>0</v>
      </c>
      <c r="BI29" s="32">
        <f>BG29/((1+InputData!$C$3)^(GenSurg!$B29-GenSurg!$B$7))</f>
        <v>0</v>
      </c>
      <c r="BJ29" s="32">
        <f>IF(BA29-InputData!$C$158-InputData!$C$159&gt;=0,BA29-InputData!$C$158-InputData!$C$159,0)</f>
        <v>341712.66159482487</v>
      </c>
      <c r="BK29" s="32">
        <f>IF(BA29-IF(BA29&lt;=InputData!$C$146,InputData!$C$145,0)-MAX(InputData!$C$144,BQ29)&gt;=0,BA29-IF(BA29&lt;=InputData!$C$146,InputData!$C$145,0)-MAX(InputData!$C$144,BQ29),0)</f>
        <v>335612.66159482487</v>
      </c>
      <c r="BL29" s="32">
        <f>IF(BK29&lt;0,"Error",IF(BK29&lt;=InputData!$B$170,InputData!$C$170*BK29,IF(BK29&lt;=InputData!$B$171,InputData!$D$170+InputData!$C$171*(BK29-InputData!$B$170),IF(BK29&lt;=InputData!$B$172,InputData!$D$171+InputData!$C$172*(BK29-InputData!$B$171),IF(BK29&lt;=InputData!$B$173,InputData!$D$172+InputData!$C$173*(BK29-InputData!$B$172),IF(BK29&lt;=InputData!$B$174,InputData!$D$173+InputData!$C$174*(BK29-InputData!$B$173),IF(BK29&lt;=InputData!$B$175,InputData!$D$174+InputData!$C$175*(BK29-InputData!$B$174),InputData!$D$175+InputData!$C$176*(BK29-InputData!$B$175))))))))</f>
        <v>94882.928326292211</v>
      </c>
      <c r="BM29" s="32">
        <f>IF(BA29&lt;=InputData!$C$150,InputData!$C$152,IF(BA29&lt;InputData!$C$151,IF(InputData!$C$152-0.25*IF(BA29-InputData!$C$150&lt;=0,0,BA29-InputData!$C$150)&lt;=0,0,InputData!$C$152-0.25*IF(BA29-InputData!$C$150&lt;=0,0,BA29-InputData!$C$150)),0))</f>
        <v>0</v>
      </c>
      <c r="BN29" s="32">
        <f>IF(BA29-BM29&lt;=0,0,IF(BA29-BM29&lt;=InputData!$C$153,InputData!$C$154*(BA29-BM29),InputData!$C$155*(BA29-BM29)-InputData!$D$154))</f>
        <v>92089.545246550973</v>
      </c>
      <c r="BO29" s="32">
        <f t="shared" si="42"/>
        <v>94882.928326292211</v>
      </c>
      <c r="BP29" s="32">
        <f>IF(BA29&gt;=0,IF(BA29&lt;=InputData!$C$148,InputData!$C$147*BA29,InputData!$C$147*InputData!$C$148)+InputData!$C$149*BA29,0)</f>
        <v>12004.233593124962</v>
      </c>
      <c r="BQ29" s="32">
        <f>IF(BJ29&lt;0,0,IF(BJ29&lt;=InputData!$B$163,InputData!$C$163*BJ29,IF(BJ29&lt;=InputData!$B$164,InputData!$D$163+InputData!$C$164*(BJ29-InputData!$B$163),IF(BJ29&lt;=InputData!$B$165,InputData!$D$164+InputData!$C$165*(BJ29-InputData!$B$164),InputData!$D$165+InputData!$C$166*(BJ29-InputData!$B$165)))))</f>
        <v>0</v>
      </c>
      <c r="BR29" s="43">
        <f t="shared" si="43"/>
        <v>0.31279836521292059</v>
      </c>
      <c r="BS29" s="32">
        <f t="shared" si="44"/>
        <v>234825.49967540769</v>
      </c>
      <c r="BT29" s="32">
        <f t="shared" si="45"/>
        <v>234825.49967540769</v>
      </c>
      <c r="BU29" s="32">
        <f>BT29/((1+InputData!$C$7)^(GenSurg!$B29-GenSurg!$B$7))</f>
        <v>122553.6672966013</v>
      </c>
      <c r="BV29" s="5">
        <f t="shared" si="114"/>
        <v>1761602.4068749619</v>
      </c>
      <c r="BW29" s="5"/>
      <c r="BX29" s="32" t="s">
        <v>141</v>
      </c>
      <c r="BY29" s="5">
        <f t="shared" si="147"/>
        <v>179738.78115209934</v>
      </c>
      <c r="BZ29" s="32">
        <f>(BY29)*InputData!$C$6</f>
        <v>11161.778309545369</v>
      </c>
      <c r="CA29" s="32">
        <f>MIN($BY$16*InputData!$C$6/(1-(1+InputData!$C$6)^(-25)), BY29+BZ29)</f>
        <v>21686.214673809533</v>
      </c>
      <c r="CB29" s="32">
        <f t="shared" si="148"/>
        <v>169214.34478783517</v>
      </c>
      <c r="CC29" s="32">
        <f>CA29/((1+InputData!$C$3)^(GenSurg!$B29-GenSurg!$B$7))</f>
        <v>14027.490195214461</v>
      </c>
      <c r="CD29" s="5">
        <f t="shared" si="49"/>
        <v>220798.00948019323</v>
      </c>
      <c r="CE29" s="32">
        <f>CD29/((1+InputData!$C$7)^(GenSurg!$B29-GenSurg!$B$7))</f>
        <v>115232.82535751487</v>
      </c>
      <c r="CF29" s="5">
        <f t="shared" si="115"/>
        <v>1810984.0640226183</v>
      </c>
      <c r="CG29" s="5"/>
      <c r="CH29" s="32" t="s">
        <v>141</v>
      </c>
      <c r="CI29" s="5" t="e">
        <f t="shared" si="149"/>
        <v>#VALUE!</v>
      </c>
      <c r="CJ29" s="32" t="e">
        <f>(CI29)*InputData!$C$6</f>
        <v>#VALUE!</v>
      </c>
      <c r="CK29" s="5" t="str">
        <f t="shared" si="159"/>
        <v>DNQ</v>
      </c>
      <c r="CL29" s="32" t="e">
        <f t="shared" si="150"/>
        <v>#VALUE!</v>
      </c>
      <c r="CM29" s="32" t="e">
        <f>CK29/((1+InputData!$C$3)^(GenSurg!$B29-GenSurg!$B$7))</f>
        <v>#VALUE!</v>
      </c>
      <c r="CN29" s="5" t="e">
        <f t="shared" si="53"/>
        <v>#VALUE!</v>
      </c>
      <c r="CO29" s="32" t="e">
        <f>CN29/((1+InputData!$C$7)^(GenSurg!$B29-GenSurg!$B$7))</f>
        <v>#VALUE!</v>
      </c>
      <c r="CP29" s="5" t="e">
        <f t="shared" si="116"/>
        <v>#VALUE!</v>
      </c>
      <c r="CQ29" s="5"/>
      <c r="CR29" s="32" t="s">
        <v>141</v>
      </c>
      <c r="CS29" s="5">
        <f t="shared" si="160"/>
        <v>0</v>
      </c>
      <c r="CT29" s="32">
        <f>(CS29)*InputData!$C$6</f>
        <v>0</v>
      </c>
      <c r="CU29" s="32">
        <f t="shared" si="161"/>
        <v>0</v>
      </c>
      <c r="CV29" s="32">
        <f t="shared" si="152"/>
        <v>0</v>
      </c>
      <c r="CW29" s="32">
        <f>CU29/((1+InputData!$C$3)^(GenSurg!$B29-GenSurg!$B$7))</f>
        <v>0</v>
      </c>
      <c r="CX29" s="5">
        <f t="shared" si="57"/>
        <v>234825.49967540769</v>
      </c>
      <c r="CY29" s="32">
        <f>CX29/((1+InputData!$C$7)^(GenSurg!$B29-GenSurg!$B$7))</f>
        <v>122553.6672966013</v>
      </c>
      <c r="CZ29" s="5">
        <f t="shared" si="117"/>
        <v>1761157.15061443</v>
      </c>
      <c r="DA29" s="5"/>
      <c r="DB29" s="32" t="s">
        <v>141</v>
      </c>
      <c r="DC29" s="5">
        <f t="shared" si="138"/>
        <v>0</v>
      </c>
      <c r="DD29" s="5">
        <f>DC29*InputData!$C$6</f>
        <v>0</v>
      </c>
      <c r="DE29" s="32">
        <f t="shared" si="139"/>
        <v>0</v>
      </c>
      <c r="DF29" s="32">
        <f t="shared" si="140"/>
        <v>0</v>
      </c>
      <c r="DG29" s="32">
        <f>DE29/((1+InputData!$C$3)^(GenSurg!$B29-GenSurg!$B$7))</f>
        <v>0</v>
      </c>
      <c r="DH29" s="5">
        <f t="shared" si="61"/>
        <v>234825.49967540769</v>
      </c>
      <c r="DI29" s="32">
        <f>DH29/((1+InputData!$C$7)^(GenSurg!$B29-GenSurg!$B$7))</f>
        <v>122553.6672966013</v>
      </c>
      <c r="DJ29" s="5">
        <f t="shared" si="118"/>
        <v>1766190.0229773782</v>
      </c>
      <c r="DK29" s="5"/>
      <c r="DL29" s="32" t="s">
        <v>141</v>
      </c>
      <c r="DM29" s="32">
        <f t="shared" si="153"/>
        <v>0</v>
      </c>
      <c r="DN29" s="5">
        <f>DM29*InputData!$C$6</f>
        <v>0</v>
      </c>
      <c r="DO29" s="32">
        <f t="shared" si="154"/>
        <v>0</v>
      </c>
      <c r="DP29" s="32">
        <f t="shared" si="130"/>
        <v>0</v>
      </c>
      <c r="DQ29" s="32">
        <f t="shared" si="131"/>
        <v>0</v>
      </c>
      <c r="DR29" s="32">
        <f>DP29/((1+InputData!$C$3)^(GenSurg!$B29-GenSurg!$B$7))</f>
        <v>0</v>
      </c>
      <c r="DS29" s="5">
        <f t="shared" si="65"/>
        <v>234825.49967540769</v>
      </c>
      <c r="DT29" s="32">
        <f>DS29/((1+InputData!$C$7)^(GenSurg!$B29-GenSurg!$B$7))</f>
        <v>122553.6672966013</v>
      </c>
      <c r="DU29" s="5">
        <f t="shared" si="120"/>
        <v>1759281.7813312244</v>
      </c>
      <c r="DV29" s="5"/>
      <c r="DW29" s="32" t="s">
        <v>141</v>
      </c>
      <c r="DX29" s="133">
        <f t="shared" si="141"/>
        <v>0</v>
      </c>
      <c r="DY29" s="5">
        <f>DX29*InputData!$C$6</f>
        <v>0</v>
      </c>
      <c r="DZ29" s="133">
        <f t="shared" si="142"/>
        <v>0</v>
      </c>
      <c r="EA29" s="32">
        <f t="shared" si="143"/>
        <v>0</v>
      </c>
      <c r="EB29" s="32">
        <f t="shared" si="144"/>
        <v>0</v>
      </c>
      <c r="EC29" s="32">
        <f>EA29/((1+InputData!$C$3)^(GenSurg!$B29-GenSurg!$B$7))</f>
        <v>0</v>
      </c>
      <c r="ED29" s="5">
        <f t="shared" si="69"/>
        <v>234825.49967540769</v>
      </c>
      <c r="EE29" s="32">
        <f>ED29/((1+InputData!$C$7)^(GenSurg!$B29-GenSurg!$B$7))</f>
        <v>122553.6672966013</v>
      </c>
      <c r="EF29" s="5">
        <f t="shared" si="122"/>
        <v>1759801.0522764304</v>
      </c>
      <c r="EG29" s="32"/>
      <c r="EH29" s="130" t="s">
        <v>141</v>
      </c>
      <c r="EI29" s="32">
        <v>0</v>
      </c>
      <c r="EJ29" s="32">
        <f t="shared" si="168"/>
        <v>0</v>
      </c>
      <c r="EK29" s="32">
        <f>(EJ29)*InputData!$C$6</f>
        <v>0</v>
      </c>
      <c r="EL29" s="32">
        <f t="shared" si="167"/>
        <v>-2.1827872842550278E-11</v>
      </c>
      <c r="EM29" s="32">
        <f>EM28*(1+InputData!$C$8)</f>
        <v>17763.306417214866</v>
      </c>
      <c r="EN29" s="32">
        <f t="shared" si="162"/>
        <v>0</v>
      </c>
      <c r="EO29" s="32">
        <f>AW29/((1+InputData!$C$3)^(GenSurg!$B29-GenSurg!$B$7))</f>
        <v>341712.66159482487</v>
      </c>
      <c r="EP29" s="32">
        <f>AX29/((1+InputData!$C$3)^(GenSurg!$B29-GenSurg!$B$7))</f>
        <v>0</v>
      </c>
      <c r="EQ29" s="32">
        <v>88896.7</v>
      </c>
      <c r="ER29" s="32">
        <v>10452.469999999999</v>
      </c>
      <c r="ES29" s="32">
        <v>0</v>
      </c>
      <c r="ET29" s="43">
        <f t="shared" si="136"/>
        <v>0.29073891946620395</v>
      </c>
      <c r="EU29" s="32">
        <f t="shared" si="70"/>
        <v>242363.49159482485</v>
      </c>
      <c r="EV29" s="32">
        <f>EN29/((1+InputData!$C$3)^(GenSurg!$B29-GenSurg!$B$7))</f>
        <v>0</v>
      </c>
      <c r="EW29" s="32">
        <f t="shared" si="71"/>
        <v>242363.49159482485</v>
      </c>
      <c r="EX29" s="32">
        <f>EW29/((1+InputData!$C$7)^(GenSurg!$B29-GenSurg!$B$7))</f>
        <v>126487.68875105864</v>
      </c>
      <c r="EY29" s="5">
        <f t="shared" si="124"/>
        <v>1883789.2412795348</v>
      </c>
      <c r="EZ29" s="79"/>
      <c r="FA29" s="32">
        <f t="shared" si="163"/>
        <v>0</v>
      </c>
      <c r="FB29" s="32">
        <f>FA29*InputData!$C$6</f>
        <v>0</v>
      </c>
      <c r="FC29" s="32">
        <f t="shared" si="155"/>
        <v>0</v>
      </c>
      <c r="FD29" s="32">
        <f>MIN($EJ$16*InputData!$C$6/(1-(1+InputData!$C$6)^(-10)), FA29+FB29)</f>
        <v>0</v>
      </c>
      <c r="FE29" s="32">
        <f>FD29/((1+InputData!$C$3)^(GenSurg!$B29-GenSurg!$B$7))</f>
        <v>0</v>
      </c>
      <c r="FF29" s="5">
        <f t="shared" si="75"/>
        <v>242363.49159482485</v>
      </c>
      <c r="FG29" s="32">
        <f>FF29/((1+InputData!$C$7)^(GenSurg!$B29-GenSurg!$B$7))</f>
        <v>126487.68875105864</v>
      </c>
      <c r="FH29" s="5">
        <f t="shared" si="125"/>
        <v>1884227.940029426</v>
      </c>
      <c r="FI29" s="79"/>
      <c r="FJ29" s="32">
        <f t="shared" si="164"/>
        <v>179603.29189279224</v>
      </c>
      <c r="FK29" s="32">
        <f>FJ29*InputData!$C$6</f>
        <v>11153.364426542399</v>
      </c>
      <c r="FL29" s="32">
        <f t="shared" si="156"/>
        <v>169086.78897549192</v>
      </c>
      <c r="FM29" s="32">
        <f>MIN($EJ$16*InputData!$C$6/(1-(1+InputData!$C$6)^(-25)), FJ29+FK29)</f>
        <v>21669.867343842721</v>
      </c>
      <c r="FN29" s="32">
        <f>FM29/((1+InputData!$C$3)^(GenSurg!$B29-GenSurg!$B$7))</f>
        <v>14016.916104056711</v>
      </c>
      <c r="FO29" s="5">
        <f t="shared" si="79"/>
        <v>228346.57549076815</v>
      </c>
      <c r="FP29" s="32">
        <f>FO29/((1+InputData!$C$7)^(GenSurg!$B29-GenSurg!$B$7))</f>
        <v>119172.36535085111</v>
      </c>
      <c r="FQ29" s="5">
        <f t="shared" si="126"/>
        <v>1933572.3726888141</v>
      </c>
      <c r="FR29" s="79"/>
      <c r="FS29" s="32">
        <f t="shared" si="165"/>
        <v>0</v>
      </c>
      <c r="FT29" s="32">
        <f>FS29*InputData!$C$6</f>
        <v>0</v>
      </c>
      <c r="FU29" s="32">
        <f t="shared" si="157"/>
        <v>0</v>
      </c>
      <c r="FV29" s="5">
        <f t="shared" si="166"/>
        <v>0</v>
      </c>
      <c r="FW29" s="32">
        <f>FV29/((1+InputData!$C$3)^(GenSurg!$B29-GenSurg!$B$7))</f>
        <v>0</v>
      </c>
      <c r="FX29" s="5">
        <f t="shared" si="83"/>
        <v>242363.49159482485</v>
      </c>
      <c r="FY29" s="32">
        <f>FX29/((1+InputData!$C$7)^(GenSurg!$B29-GenSurg!$B$7))</f>
        <v>126487.68875105864</v>
      </c>
      <c r="FZ29" s="5">
        <f t="shared" si="127"/>
        <v>1884227.940029426</v>
      </c>
      <c r="GC29" s="3">
        <f t="shared" si="1"/>
        <v>19</v>
      </c>
      <c r="GD29" s="4" t="str">
        <f t="shared" si="2"/>
        <v>Multi-Year (O6&gt;18= (BP+BAH+BAS+VSP+BCPSP)*12+ASP+ISP+MSP)</v>
      </c>
      <c r="GE29" s="5">
        <f t="shared" si="3"/>
        <v>248064.8</v>
      </c>
      <c r="GF29" s="5">
        <f t="shared" si="4"/>
        <v>21631.199999999997</v>
      </c>
      <c r="GG29" s="5">
        <f t="shared" si="5"/>
        <v>269696</v>
      </c>
      <c r="GH29" s="5">
        <f t="shared" si="6"/>
        <v>199724.61258237521</v>
      </c>
      <c r="GI29" s="5">
        <f t="shared" si="7"/>
        <v>17415.945509769521</v>
      </c>
      <c r="GJ29" s="32">
        <f>IF(GH29-InputData!$C$158-InputData!$C$159&gt;=0,GH29-InputData!$C$158-InputData!$C$159,0)</f>
        <v>199724.61258237521</v>
      </c>
      <c r="GK29" s="32">
        <f>IF(GH29-IF(GH29&lt;=InputData!$C$146,InputData!$C$145,0)-MAX(InputData!$C$144,GQ29)&gt;=0,GH29-IF(GH29&lt;=InputData!$C$146,InputData!$C$145,0)-MAX(InputData!$C$144,GQ29),0)</f>
        <v>193624.61258237521</v>
      </c>
      <c r="GL29" s="32">
        <f>IF(GK29&lt;0,"Error",IF(GK29&lt;=InputData!$B$170,InputData!$C$170*GK29,IF(GK29&lt;=InputData!$B$171,InputData!$D$170+InputData!$C$171*(GK29-InputData!$B$170),IF(GK29&lt;=InputData!$B$172,InputData!$D$171+InputData!$C$172*(GK29-InputData!$B$171),IF(GK29&lt;=InputData!$B$173,InputData!$D$172+InputData!$C$173*(GK29-InputData!$B$172),IF(GK29&lt;=InputData!$B$174,InputData!$D$173+InputData!$C$174*(GK29-InputData!$B$173),IF(GK29&lt;=InputData!$B$175,InputData!$D$174+InputData!$C$175*(GK29-InputData!$B$174),InputData!$D$175+InputData!$C$176*(GK29-InputData!$B$175))))))))</f>
        <v>48026.872152183816</v>
      </c>
      <c r="GM29" s="32">
        <f>IF(GH29&lt;=InputData!$C$150,InputData!$C$152,IF(GH29&lt;InputData!$C$151,IF(InputData!$C$152-0.25*IF(GH29-InputData!$C$150&lt;=0,0,GH29-InputData!$C$150)&lt;=0,0,InputData!$C$152-0.25*IF(GH29-InputData!$C$150&lt;=0,0,GH29-InputData!$C$150)),0))</f>
        <v>30818.846854406198</v>
      </c>
      <c r="GN29" s="32">
        <f>IF(GH29-GM29&lt;=0,0,IF(GH29-GM29&lt;=InputData!$C$153,InputData!$C$154*(GH29-GM29),InputData!$C$155*(GH29-GM29)-InputData!$D$154))</f>
        <v>43915.499089271943</v>
      </c>
      <c r="GO29" s="32">
        <f t="shared" si="84"/>
        <v>48026.872152183816</v>
      </c>
      <c r="GP29" s="32">
        <f>IF(GH29&gt;=0,IF(GH29&lt;=InputData!$C$148,InputData!$C$147*GH29,InputData!$C$147*InputData!$C$148)+InputData!$C$149*GH29,0)</f>
        <v>9945.4068824444403</v>
      </c>
      <c r="GQ29" s="32">
        <f>IF(GJ29&lt;0,0,IF(GJ29&lt;=InputData!$B$163,InputData!$C$163*GJ29,IF(GJ29&lt;=InputData!$B$164,InputData!$D$163+InputData!$C$164*(GJ29-InputData!$B$163),IF(GJ29&lt;=InputData!$B$165,InputData!$D$164+InputData!$C$165*(GJ29-InputData!$B$164),InputData!$D$165+InputData!$C$166*(GJ29-InputData!$B$165)))))</f>
        <v>0</v>
      </c>
      <c r="GR29" s="43">
        <f t="shared" si="85"/>
        <v>0.29026106640070681</v>
      </c>
      <c r="GS29" s="43">
        <f t="shared" si="86"/>
        <v>0.26698042753499518</v>
      </c>
      <c r="GT29" s="5">
        <f t="shared" si="87"/>
        <v>159168.27905751648</v>
      </c>
      <c r="GU29" s="32">
        <f>GT29/((1+InputData!$C$7)^(GenSurg!$B29-GenSurg!$B$7))</f>
        <v>83068.731218504545</v>
      </c>
      <c r="GV29" s="32">
        <f t="shared" si="88"/>
        <v>1498396.6243776204</v>
      </c>
      <c r="GX29" s="124">
        <f t="shared" si="8"/>
        <v>19</v>
      </c>
      <c r="GY29" s="122" t="str">
        <f t="shared" si="9"/>
        <v>Multi-Year (O6&gt;18= (BP+BAH+BAS+VSP+BCPSP)*12+ASP+ISP+MSP)</v>
      </c>
      <c r="GZ29" s="5">
        <f t="shared" si="10"/>
        <v>248064.8</v>
      </c>
      <c r="HA29" s="5">
        <f t="shared" si="11"/>
        <v>21631.199999999997</v>
      </c>
      <c r="HB29" s="5">
        <f t="shared" si="12"/>
        <v>269696</v>
      </c>
      <c r="HC29" s="5">
        <f t="shared" si="13"/>
        <v>199724.61258237521</v>
      </c>
      <c r="HD29" s="5">
        <f t="shared" si="14"/>
        <v>17415.945509769521</v>
      </c>
      <c r="HE29" s="32">
        <f>IF(HC29-InputData!$C$158-InputData!$C$159&gt;=0,HC29-InputData!$C$158-InputData!$C$159,0)</f>
        <v>199724.61258237521</v>
      </c>
      <c r="HF29" s="32">
        <f>IF(HC29-IF(HC29&lt;=InputData!$C$146,InputData!$C$145,0)-MAX(InputData!$C$144,HL29)&gt;=0,HC29-IF(HC29&lt;=InputData!$C$146,InputData!$C$145,0)-MAX(InputData!$C$144,HL29),0)</f>
        <v>193624.61258237521</v>
      </c>
      <c r="HG29" s="32">
        <f>IF(HF29&lt;0,"Error",IF(HF29&lt;=InputData!$B$170,InputData!$C$170*HF29,IF(HF29&lt;=InputData!$B$171,InputData!$D$170+InputData!$C$171*(HF29-InputData!$B$170),IF(HF29&lt;=InputData!$B$172,InputData!$D$171+InputData!$C$172*(HF29-InputData!$B$171),IF(HF29&lt;=InputData!$B$173,InputData!$D$172+InputData!$C$173*(HF29-InputData!$B$172),IF(HF29&lt;=InputData!$B$174,InputData!$D$173+InputData!$C$174*(HF29-InputData!$B$173),IF(HF29&lt;=InputData!$B$175,InputData!$D$174+InputData!$C$175*(HF29-InputData!$B$174),InputData!$D$175+InputData!$C$176*(HF29-InputData!$B$175))))))))</f>
        <v>48026.872152183816</v>
      </c>
      <c r="HH29" s="32">
        <f>IF(HC29&lt;=InputData!$C$150,InputData!$C$152,IF(HC29&lt;InputData!$C$151,IF(InputData!$C$152-0.25*IF(HC29-InputData!$C$150&lt;=0,0,HC29-InputData!$C$150)&lt;=0,0,InputData!$C$152-0.25*IF(HC29-InputData!$C$150&lt;=0,0,HC29-InputData!$C$150)),0))</f>
        <v>30818.846854406198</v>
      </c>
      <c r="HI29" s="32">
        <f>IF(HC29-HH29&lt;=0,0,IF(HC29-HH29&lt;=InputData!$C$153,InputData!$C$154*(HC29-HH29),InputData!$C$155*(HC29-HH29)-InputData!$D$154))</f>
        <v>43915.499089271943</v>
      </c>
      <c r="HJ29" s="32">
        <f t="shared" si="89"/>
        <v>48026.872152183816</v>
      </c>
      <c r="HK29" s="32">
        <f>IF(HC29&gt;=0,IF(HC29&lt;=InputData!$C$148,InputData!$C$147*HC29,InputData!$C$147*InputData!$C$148)+InputData!$C$149*HC29,0)</f>
        <v>9945.4068824444403</v>
      </c>
      <c r="HL29" s="32">
        <f>IF(HE29&lt;0,0,IF(HE29&lt;=InputData!$B$163,InputData!$C$163*HE29,IF(HE29&lt;=InputData!$B$164,InputData!$D$163+InputData!$C$164*(HE29-InputData!$B$163),IF(HE29&lt;=InputData!$B$165,InputData!$D$164+InputData!$C$165*(HE29-InputData!$B$164),InputData!$D$165+InputData!$C$166*(HE29-InputData!$B$165)))))</f>
        <v>0</v>
      </c>
      <c r="HM29" s="43">
        <f t="shared" si="90"/>
        <v>0.29026106640070681</v>
      </c>
      <c r="HN29" s="43">
        <f t="shared" si="91"/>
        <v>0.26698042753499518</v>
      </c>
      <c r="HO29" s="5">
        <f t="shared" si="92"/>
        <v>159168.27905751648</v>
      </c>
      <c r="HP29" s="32">
        <f>HO29/((1+InputData!$C$7)^(GenSurg!$B29-GenSurg!$B$7))</f>
        <v>83068.731218504545</v>
      </c>
      <c r="HQ29" s="32">
        <f t="shared" si="93"/>
        <v>1535946.831225906</v>
      </c>
      <c r="HS29" s="227"/>
      <c r="HT29" s="53" t="s">
        <v>109</v>
      </c>
      <c r="HU29" s="32">
        <f>MIN(InputData!$C$13+InputData!$E$13*($B29-$B$23),1)*GenSurg!AW29</f>
        <v>475452.74526508525</v>
      </c>
      <c r="HV29" s="32">
        <f>MIN(InputData!$C$13+InputData!$E$13*($B29-$B$23),1)*GenSurg!AX29</f>
        <v>0</v>
      </c>
      <c r="HW29" s="32">
        <f>MIN(InputData!$C$13+InputData!$E$13*($B29-$B$23),1)*GenSurg!AY29</f>
        <v>475452.74526508525</v>
      </c>
      <c r="HX29" s="32">
        <f>MIN(InputData!$C$13+InputData!$E$13*($B29-$B$23),1)*GenSurg!EO29</f>
        <v>307541.39543534239</v>
      </c>
      <c r="HY29" s="32">
        <f>MIN(InputData!$C$13+InputData!$E$13*($B29-$B$23),1)*GenSurg!EP29</f>
        <v>0</v>
      </c>
      <c r="HZ29" s="32">
        <f>IF(HX29-InputData!$C$158-InputData!$C$159&gt;=0,HX29-InputData!$C$158-InputData!$C$159,0)</f>
        <v>307541.39543534239</v>
      </c>
      <c r="IA29" s="32">
        <f>IF(HX29-IF(HX29&lt;=InputData!$C$146,InputData!$C$145,0)-MAX(InputData!$C$144,IG29)&gt;=0,HX29-IF(HX29&lt;=InputData!$C$146,InputData!$C$145,0)-MAX(InputData!$C$144,IG29),0)</f>
        <v>301441.39543534239</v>
      </c>
      <c r="IB29" s="32">
        <f>IF(IA29&lt;0,"Error",IF(IA29&lt;=InputData!$B$170,InputData!$C$170*IA29,IF(IA29&lt;=InputData!$B$171,InputData!$D$170+InputData!$C$171*(IA29-InputData!$B$170),IF(IA29&lt;=InputData!$B$172,InputData!$D$171+InputData!$C$172*(IA29-InputData!$B$171),IF(IA29&lt;=InputData!$B$173,InputData!$D$172+InputData!$C$173*(IA29-InputData!$B$172),IF(IA29&lt;=InputData!$B$174,InputData!$D$173+InputData!$C$174*(IA29-InputData!$B$173),IF(IA29&lt;=InputData!$B$175,InputData!$D$174+InputData!$C$175*(IA29-InputData!$B$174),InputData!$D$175+InputData!$C$176*(IA29-InputData!$B$175))))))))</f>
        <v>83606.410493662988</v>
      </c>
      <c r="IC29" s="32">
        <f>IF(HX29&lt;=InputData!$C$150,InputData!$C$152,IF(HX29&lt;InputData!$C$151,IF(InputData!$C$152-0.25*IF(HX29-InputData!$C$150&lt;=0,0,HX29-InputData!$C$150)&lt;=0,0,InputData!$C$152-0.25*IF(HX29-InputData!$C$150&lt;=0,0,HX29-InputData!$C$150)),0))</f>
        <v>3864.6511411644024</v>
      </c>
      <c r="ID29" s="32">
        <f>IF(HX29-IC29&lt;=0,0,IF(HX29-IC29&lt;=InputData!$C$153,InputData!$C$154*(HX29-IC29),InputData!$C$155*(HX29-IC29)-InputData!$D$154))</f>
        <v>81439.48840236984</v>
      </c>
      <c r="IE29" s="32">
        <f t="shared" si="96"/>
        <v>83606.410493662988</v>
      </c>
      <c r="IF29" s="32">
        <f>IF(HX29&gt;=0,IF(HX29&lt;=InputData!$C$148,InputData!$C$147*HX29,InputData!$C$147*InputData!$C$148)+InputData!$C$149*HX29,0)</f>
        <v>11508.750233812465</v>
      </c>
      <c r="IG29" s="32">
        <f>IF(HZ29&lt;0,0,IF(HZ29&lt;=InputData!$B$163,InputData!$C$163*HZ29,IF(HZ29&lt;=InputData!$B$164,InputData!$D$163+InputData!$C$164*(HZ29-InputData!$B$163),IF(HZ29&lt;=InputData!$B$165,InputData!$D$164+InputData!$C$165*(HZ29-InputData!$B$164),InputData!$D$165+InputData!$C$166*(HZ29-InputData!$B$165)))))</f>
        <v>0</v>
      </c>
      <c r="IH29" s="43">
        <f t="shared" si="97"/>
        <v>0.30927596134768953</v>
      </c>
      <c r="II29" s="43">
        <f t="shared" si="98"/>
        <v>0.30927596134768953</v>
      </c>
      <c r="IJ29" s="5">
        <f t="shared" si="20"/>
        <v>212426.23470786694</v>
      </c>
      <c r="IK29" s="32">
        <f>IJ29/((1+InputData!$C$7)^(GenSurg!$B29-GenSurg!$B$7))</f>
        <v>110863.65888475977</v>
      </c>
      <c r="IL29" s="5">
        <f t="shared" si="99"/>
        <v>1707701.5963042667</v>
      </c>
      <c r="IN29" s="227"/>
      <c r="IO29" s="53" t="s">
        <v>109</v>
      </c>
      <c r="IP29" s="32">
        <f>MIN(InputData!$C$13+InputData!$E$13*($B29-$B$20),1)*GenSurg!AW29</f>
        <v>475452.74526508525</v>
      </c>
      <c r="IQ29" s="32">
        <f>MIN(InputData!$C$13+InputData!$E$13*($B29-$B$20),1)*GenSurg!AX29</f>
        <v>0</v>
      </c>
      <c r="IR29" s="32">
        <f>MIN(InputData!$C$13+InputData!$E$13*($B29-$B$20),1)*GenSurg!AY29</f>
        <v>475452.74526508525</v>
      </c>
      <c r="IS29" s="32">
        <f>MIN(InputData!$C$13+InputData!$E$13*($B29-$B$20),1)*GenSurg!EO29</f>
        <v>307541.39543534239</v>
      </c>
      <c r="IT29" s="32">
        <f>MIN(InputData!$C$13+InputData!$E$13*($B29-$B$20),1)*GenSurg!EP29</f>
        <v>0</v>
      </c>
      <c r="IU29" s="32">
        <f>IF(IS29-InputData!$C$158-InputData!$C$159&gt;=0,IS29-InputData!$C$158-InputData!$C$159,0)</f>
        <v>307541.39543534239</v>
      </c>
      <c r="IV29" s="32">
        <f>IF(IS29-IF(IS29&lt;=InputData!$C$146,InputData!$C$145,0)-MAX(InputData!$C$144,JB29)&gt;=0,IS29-IF(IS29&lt;=InputData!$C$146,InputData!$C$145,0)-MAX(InputData!$C$144,JB29),0)</f>
        <v>301441.39543534239</v>
      </c>
      <c r="IW29" s="32">
        <f>IF(IV29&lt;0,"Error",IF(IV29&lt;=InputData!$B$170,InputData!$C$170*IV29,IF(IV29&lt;=InputData!$B$171,InputData!$D$170+InputData!$C$171*(IV29-InputData!$B$170),IF(IV29&lt;=InputData!$B$172,InputData!$D$171+InputData!$C$172*(IV29-InputData!$B$171),IF(IV29&lt;=InputData!$B$173,InputData!$D$172+InputData!$C$173*(IV29-InputData!$B$172),IF(IV29&lt;=InputData!$B$174,InputData!$D$173+InputData!$C$174*(IV29-InputData!$B$173),IF(IV29&lt;=InputData!$B$175,InputData!$D$174+InputData!$C$175*(IV29-InputData!$B$174),InputData!$D$175+InputData!$C$176*(IV29-InputData!$B$175))))))))</f>
        <v>83606.410493662988</v>
      </c>
      <c r="IX29" s="32">
        <f>IF(IS29&lt;=InputData!$C$150,InputData!$C$152,IF(IS29&lt;InputData!$C$151,IF(InputData!$C$152-0.25*IF(IS29-InputData!$C$150&lt;=0,0,IS29-InputData!$C$150)&lt;=0,0,InputData!$C$152-0.25*IF(IS29-InputData!$C$150&lt;=0,0,IS29-InputData!$C$150)),0))</f>
        <v>3864.6511411644024</v>
      </c>
      <c r="IY29" s="32">
        <f>IF(IS29-IX29&lt;=0,0,IF(IS29-IX29&lt;=InputData!$C$153,InputData!$C$154*(IS29-IX29),InputData!$C$155*(IS29-IX29)-InputData!$D$154))</f>
        <v>81439.48840236984</v>
      </c>
      <c r="IZ29" s="32">
        <f t="shared" si="102"/>
        <v>83606.410493662988</v>
      </c>
      <c r="JA29" s="32">
        <f>IF(IS29&gt;=0,IF(IS29&lt;=InputData!$C$148,InputData!$C$147*IS29,InputData!$C$147*InputData!$C$148)+InputData!$C$149*IS29,0)</f>
        <v>11508.750233812465</v>
      </c>
      <c r="JB29" s="32">
        <f>IF(IU29&lt;0,0,IF(IU29&lt;=InputData!$B$163,InputData!$C$163*IU29,IF(IU29&lt;=InputData!$B$164,InputData!$D$163+InputData!$C$164*(IU29-InputData!$B$163),IF(IU29&lt;=InputData!$B$165,InputData!$D$164+InputData!$C$165*(IU29-InputData!$B$164),InputData!$D$165+InputData!$C$166*(IU29-InputData!$B$165)))))</f>
        <v>0</v>
      </c>
      <c r="JC29" s="43">
        <f t="shared" si="103"/>
        <v>0.30927596134768953</v>
      </c>
      <c r="JD29" s="43">
        <f t="shared" si="104"/>
        <v>0.30927596134768953</v>
      </c>
      <c r="JE29" s="5">
        <f t="shared" si="105"/>
        <v>212426.23470786694</v>
      </c>
      <c r="JF29" s="32">
        <f>JE29/((1+InputData!$C$7)^(GenSurg!$B29-GenSurg!$B$7))</f>
        <v>110863.65888475977</v>
      </c>
      <c r="JG29" s="5">
        <f t="shared" si="106"/>
        <v>1834855.9582380974</v>
      </c>
      <c r="JI29" s="41" t="str">
        <f t="shared" si="26"/>
        <v>Private Practice</v>
      </c>
      <c r="JJ29" s="5">
        <f t="shared" si="27"/>
        <v>528280.82807231694</v>
      </c>
      <c r="JK29" s="32">
        <v>0</v>
      </c>
      <c r="JL29" s="32">
        <f t="shared" si="108"/>
        <v>528280.82807231694</v>
      </c>
      <c r="JM29" s="32">
        <f>JM28*(1+InputData!$C$8)</f>
        <v>17763.306417214866</v>
      </c>
      <c r="JN29" s="32">
        <f>JJ29/((1+InputData!$C$3)^(GenSurg!$B29-GenSurg!$B$7))</f>
        <v>341712.66159482487</v>
      </c>
      <c r="JO29" s="32">
        <f>JK29/((1+InputData!$C$3)^(GenSurg!$B29-GenSurg!$B$7))</f>
        <v>0</v>
      </c>
      <c r="JP29" s="32" t="s">
        <v>141</v>
      </c>
      <c r="JQ29" s="32">
        <v>0</v>
      </c>
      <c r="JR29" s="32">
        <f t="shared" si="158"/>
        <v>0</v>
      </c>
      <c r="JS29" s="32">
        <f>(JR29)*InputData!$C$6</f>
        <v>0</v>
      </c>
      <c r="JT29" s="32">
        <f>MIN($BE$16*InputData!$C$6/(1-(1+InputData!$C$6)^(-10)), JR29+JS29)</f>
        <v>0</v>
      </c>
      <c r="JU29" s="32">
        <f t="shared" si="145"/>
        <v>0</v>
      </c>
      <c r="JV29" s="32">
        <f>JT29/((1+InputData!$C$3)^(GenSurg!$B29-GenSurg!$B$7))</f>
        <v>0</v>
      </c>
      <c r="JW29" s="32">
        <f>IF(JN29-InputData!$C$158-InputData!$C$159&gt;=0,JN29-InputData!$C$158-InputData!$C$159,0)</f>
        <v>341712.66159482487</v>
      </c>
      <c r="JX29" s="32">
        <f>IF(JN29-IF(JN29&lt;=InputData!$C$146,InputData!$C$145,0)-MAX(InputData!$C$144,KD29)&gt;=0,JN29-IF(JN29&lt;=InputData!$C$146,InputData!$C$145,0)-MAX(InputData!$C$144,KD29),0)</f>
        <v>335612.66159482487</v>
      </c>
      <c r="JY29" s="32">
        <f>IF(JX29&lt;0,"Error",IF(JX29&lt;=InputData!$B$170,InputData!$C$170*JX29,IF(JX29&lt;=InputData!$B$171,InputData!$D$170+InputData!$C$171*(JX29-InputData!$B$170),IF(JX29&lt;=InputData!$B$172,InputData!$D$171+InputData!$C$172*(JX29-InputData!$B$171),IF(JX29&lt;=InputData!$B$173,InputData!$D$172+InputData!$C$173*(JX29-InputData!$B$172),IF(JX29&lt;=InputData!$B$174,InputData!$D$173+InputData!$C$174*(JX29-InputData!$B$173),IF(JX29&lt;=InputData!$B$175,InputData!$D$174+InputData!$C$175*(JX29-InputData!$B$174),InputData!$D$175+InputData!$C$176*(JX29-InputData!$B$175))))))))</f>
        <v>94882.928326292211</v>
      </c>
      <c r="JZ29" s="32">
        <f>IF(JN29&lt;=InputData!$C$150,InputData!$C$152,IF(JN29&lt;InputData!$C$151,IF(InputData!$C$152-0.25*IF(JN29-InputData!$C$150&lt;=0,0,JN29-InputData!$C$150)&lt;=0,0,InputData!$C$152-0.25*IF(JN29-InputData!$C$150&lt;=0,0,JN29-InputData!$C$150)),0))</f>
        <v>0</v>
      </c>
      <c r="KA29" s="32">
        <f>IF(JN29-JZ29&lt;=0,0,IF(JN29-JZ29&lt;=InputData!$C$153,InputData!$C$154*(JN29-JZ29),InputData!$C$155*(JN29-JZ29)-InputData!$D$154))</f>
        <v>92089.545246550973</v>
      </c>
      <c r="KB29" s="32">
        <f t="shared" si="109"/>
        <v>94882.928326292211</v>
      </c>
      <c r="KC29" s="32">
        <f>IF(JN29&gt;=0,IF(JN29&lt;=InputData!$C$148,InputData!$C$147*JN29,InputData!$C$147*InputData!$C$148)+InputData!$C$149*JN29,0)</f>
        <v>12004.233593124962</v>
      </c>
      <c r="KD29" s="32">
        <f>IF(JW29&lt;0,0,IF(JW29&lt;=InputData!$B$163,InputData!$C$163*JW29,IF(JW29&lt;=InputData!$B$164,InputData!$D$163+InputData!$C$164*(JW29-InputData!$B$163),IF(JW29&lt;=InputData!$B$165,InputData!$D$164+InputData!$C$165*(JW29-InputData!$B$164),InputData!$D$165+InputData!$C$166*(JW29-InputData!$B$165)))))</f>
        <v>0</v>
      </c>
      <c r="KE29" s="43">
        <f t="shared" si="28"/>
        <v>0.31279836521292059</v>
      </c>
      <c r="KF29" s="32">
        <f t="shared" si="29"/>
        <v>234825.49967540769</v>
      </c>
      <c r="KG29" s="32">
        <f t="shared" si="110"/>
        <v>234825.49967540769</v>
      </c>
      <c r="KH29" s="32">
        <f>KG29/((1+InputData!$C$7)^(GenSurg!$B29-GenSurg!$B$7))</f>
        <v>122553.6672966013</v>
      </c>
      <c r="KI29" s="5">
        <f t="shared" si="129"/>
        <v>2145928.7994217025</v>
      </c>
    </row>
    <row r="30" spans="1:295" x14ac:dyDescent="0.25">
      <c r="A30" s="4">
        <v>2036</v>
      </c>
      <c r="B30" s="51">
        <v>24</v>
      </c>
      <c r="C30" s="4"/>
      <c r="D30" s="45">
        <v>20</v>
      </c>
      <c r="E30" s="97" t="s">
        <v>266</v>
      </c>
      <c r="F30" s="5">
        <f>InputData!$M$21*12</f>
        <v>109072.79999999999</v>
      </c>
      <c r="G30" s="32">
        <f>(InputData!$M$21+InputData!$J$45+InputData!$G$50)*12+InputData!$J$50+InputData!$D$58+InputData!$J$58</f>
        <v>248064.8</v>
      </c>
      <c r="H30" s="32">
        <f>(InputData!$C$32+InputData!$C$40)*12</f>
        <v>21631.199999999997</v>
      </c>
      <c r="I30" s="32">
        <f t="shared" si="30"/>
        <v>269696</v>
      </c>
      <c r="J30" s="5">
        <f>G30*((1+InputData!$C$5)/(1+InputData!$C$3))^(GenSurg!$B30-GenSurg!$B$7)</f>
        <v>197766.52814529312</v>
      </c>
      <c r="K30" s="5">
        <f>H30*((1+InputData!$C$5)/(1+InputData!$C$3))^(GenSurg!$B30-GenSurg!$B$7)</f>
        <v>17245.200945948251</v>
      </c>
      <c r="L30" s="32">
        <f>IF(J30-InputData!$C$158-InputData!$C$159&gt;=0,J30-InputData!$C$158-InputData!$C$159,0)</f>
        <v>197766.52814529312</v>
      </c>
      <c r="M30" s="32">
        <f>IF(J30-IF(J30&lt;=InputData!$C$146,InputData!$C$145,0)-MAX(InputData!$C$144,S30)&gt;=0,J30-IF(J30&lt;=InputData!$C$146,InputData!$C$145,0)-MAX(InputData!$C$144,S30),0)</f>
        <v>191666.52814529312</v>
      </c>
      <c r="N30" s="32">
        <f>IF(M30&lt;0,"Error",IF(M30&lt;=InputData!$B$170,InputData!$C$170*M30,IF(M30&lt;=InputData!$B$171,InputData!$D$170+InputData!$C$171*(M30-InputData!$B$170),IF(M30&lt;=InputData!$B$172,InputData!$D$171+InputData!$C$172*(M30-InputData!$B$171),IF(M30&lt;=InputData!$B$173,InputData!$D$172+InputData!$C$173*(M30-InputData!$B$172),IF(M30&lt;=InputData!$B$174,InputData!$D$173+InputData!$C$174*(M30-InputData!$B$173),IF(M30&lt;=InputData!$B$175,InputData!$D$174+InputData!$C$175*(M30-InputData!$B$174),InputData!$D$175+InputData!$C$176*(M30-InputData!$B$175))))))))</f>
        <v>47380.704287946734</v>
      </c>
      <c r="O30" s="32">
        <f>IF(J30&lt;=InputData!$C$150,InputData!$C$152,IF(J30&lt;InputData!$C$151,IF(InputData!$C$152-0.25*IF(J30-InputData!$C$150&lt;=0,0,J30-InputData!$C$150)&lt;=0,0,InputData!$C$152-0.25*IF(J30-InputData!$C$150&lt;=0,0,J30-InputData!$C$150)),0))</f>
        <v>31308.367963676719</v>
      </c>
      <c r="P30" s="32">
        <f>IF(J30-O30&lt;=0,0,IF(J30-O30&lt;=InputData!$C$153,InputData!$C$154*(J30-O30),InputData!$C$155*(J30-O30)-InputData!$D$154))</f>
        <v>43279.121647220265</v>
      </c>
      <c r="Q30" s="32">
        <f t="shared" si="31"/>
        <v>47380.704287946734</v>
      </c>
      <c r="R30" s="32">
        <f>IF(J30&gt;=0,IF(J30&lt;=InputData!$C$148,InputData!$C$147*J30,InputData!$C$147*InputData!$C$148)+InputData!$C$149*J30,0)</f>
        <v>9917.0146581067493</v>
      </c>
      <c r="S30" s="32">
        <f>IF(L30&lt;0,0,IF(L30&lt;=InputData!$B$163,InputData!$C$163*L30,IF(L30&lt;=InputData!$B$164,InputData!$D$163+InputData!$C$164*(L30-InputData!$B$163),IF(L30&lt;=InputData!$B$165,InputData!$D$164+InputData!$C$165*(L30-InputData!$B$164),InputData!$D$165+InputData!$C$166*(L30-InputData!$B$165)))))</f>
        <v>0</v>
      </c>
      <c r="T30" s="43">
        <f t="shared" si="32"/>
        <v>0.28972404725615941</v>
      </c>
      <c r="U30" s="43">
        <f t="shared" si="33"/>
        <v>0.26648648047353218</v>
      </c>
      <c r="V30" s="5">
        <f t="shared" si="34"/>
        <v>157714.01014518787</v>
      </c>
      <c r="W30" s="32">
        <f>V30/((1+InputData!$C$7)^(GenSurg!$B30-GenSurg!$B$7))</f>
        <v>79912.387552323838</v>
      </c>
      <c r="X30" s="5">
        <f t="shared" si="111"/>
        <v>1578309.0119299442</v>
      </c>
      <c r="Y30" s="53"/>
      <c r="Z30" s="45">
        <v>20</v>
      </c>
      <c r="AA30" s="97" t="s">
        <v>266</v>
      </c>
      <c r="AB30" s="5">
        <f t="shared" si="133"/>
        <v>109072.79999999999</v>
      </c>
      <c r="AC30" s="32">
        <f t="shared" si="170"/>
        <v>248064.8</v>
      </c>
      <c r="AD30" s="32">
        <f t="shared" si="169"/>
        <v>21631.199999999997</v>
      </c>
      <c r="AE30" s="32">
        <f t="shared" si="35"/>
        <v>269696</v>
      </c>
      <c r="AF30" s="5">
        <f>AC30*((1+InputData!$C$5)/(1+InputData!$C$3))^(GenSurg!$B30-GenSurg!$B$7)</f>
        <v>197766.52814529312</v>
      </c>
      <c r="AG30" s="5">
        <f>AD30*((1+InputData!$C$5)/(1+InputData!$C$3))^(GenSurg!$B30-GenSurg!$B$7)</f>
        <v>17245.200945948251</v>
      </c>
      <c r="AH30" s="32">
        <f>IF(AF30-InputData!$C$158-InputData!$C$159&gt;=0,AF30-InputData!$C$158-InputData!$C$159,0)</f>
        <v>197766.52814529312</v>
      </c>
      <c r="AI30" s="32">
        <f>IF(AF30-IF(AF30&lt;=InputData!$C$146,InputData!$C$145,0)-MAX(InputData!$C$144,AO30)&gt;=0,AF30-IF(AF30&lt;=InputData!$C$146,InputData!$C$145,0)-MAX(InputData!$C$144,AO30),0)</f>
        <v>191666.52814529312</v>
      </c>
      <c r="AJ30" s="32">
        <f>IF(AI30&lt;0,"Error",IF(AI30&lt;=InputData!$B$170,InputData!$C$170*AI30,IF(AI30&lt;=InputData!$B$171,InputData!$D$170+InputData!$C$171*(AI30-InputData!$B$170),IF(AI30&lt;=InputData!$B$172,InputData!$D$171+InputData!$C$172*(AI30-InputData!$B$171),IF(AI30&lt;=InputData!$B$173,InputData!$D$172+InputData!$C$173*(AI30-InputData!$B$172),IF(AI30&lt;=InputData!$B$174,InputData!$D$173+InputData!$C$174*(AI30-InputData!$B$173),IF(AI30&lt;=InputData!$B$175,InputData!$D$174+InputData!$C$175*(AI30-InputData!$B$174),InputData!$D$175+InputData!$C$176*(AI30-InputData!$B$175))))))))</f>
        <v>47380.704287946734</v>
      </c>
      <c r="AK30" s="32">
        <f>IF(AF30&lt;=InputData!$C$150,InputData!$C$152,IF(AF30&lt;InputData!$C$151,IF(InputData!$C$152-0.25*IF(AF30-InputData!$C$150&lt;=0,0,AF30-InputData!$C$150)&lt;=0,0,InputData!$C$152-0.25*IF(AF30-InputData!$C$150&lt;=0,0,AF30-InputData!$C$150)),0))</f>
        <v>31308.367963676719</v>
      </c>
      <c r="AL30" s="32">
        <f>IF(AF30-AK30&lt;=0,0,IF(AF30-AK30&lt;=InputData!$C$153,InputData!$C$154*(AF30-AK30),InputData!$C$155*(AF30-AK30)-InputData!$D$154))</f>
        <v>43279.121647220265</v>
      </c>
      <c r="AM30" s="32">
        <f t="shared" si="36"/>
        <v>47380.704287946734</v>
      </c>
      <c r="AN30" s="32">
        <f>IF(AF30&gt;=0,IF(AF30&lt;=InputData!$C$148,InputData!$C$147*AF30,InputData!$C$147*InputData!$C$148)+InputData!$C$149*AF30,0)</f>
        <v>9917.0146581067493</v>
      </c>
      <c r="AO30" s="32">
        <f>IF(AH30&lt;0,0,IF(AH30&lt;=InputData!$B$163,InputData!$C$163*AH30,IF(AH30&lt;=InputData!$B$164,InputData!$D$163+InputData!$C$164*(AH30-InputData!$B$163),IF(AH30&lt;=InputData!$B$165,InputData!$D$164+InputData!$C$165*(AH30-InputData!$B$164),InputData!$D$165+InputData!$C$166*(AH30-InputData!$B$165)))))</f>
        <v>0</v>
      </c>
      <c r="AP30" s="43">
        <f t="shared" si="37"/>
        <v>0.28972404725615941</v>
      </c>
      <c r="AQ30" s="43">
        <f t="shared" si="38"/>
        <v>0.26648648047353218</v>
      </c>
      <c r="AR30" s="5">
        <f t="shared" si="39"/>
        <v>157714.01014518787</v>
      </c>
      <c r="AS30" s="32">
        <f>AR30/((1+InputData!$C$7)^(GenSurg!$B30-GenSurg!$B$7))</f>
        <v>79912.387552323838</v>
      </c>
      <c r="AT30" s="5">
        <f t="shared" si="112"/>
        <v>1615859.2187782298</v>
      </c>
      <c r="AU30" s="53"/>
      <c r="AV30" s="41" t="s">
        <v>109</v>
      </c>
      <c r="AW30" s="32">
        <f>$AW$17*(1+InputData!$C$3+InputData!$C$4)^(GenSurg!$B30-GenSurg!$B$17)</f>
        <v>544129.25291448645</v>
      </c>
      <c r="AX30" s="32">
        <v>0</v>
      </c>
      <c r="AY30" s="32">
        <f t="shared" si="41"/>
        <v>544129.25291448645</v>
      </c>
      <c r="AZ30" s="32">
        <f>AZ29*(1+InputData!$C$8)</f>
        <v>18118.572545559164</v>
      </c>
      <c r="BA30" s="32">
        <f>AW30/((1+InputData!$C$3)^(GenSurg!$B30-GenSurg!$B$7))</f>
        <v>345062.7857281075</v>
      </c>
      <c r="BB30" s="32">
        <f>AX30/((1+InputData!$C$3)^(GenSurg!$B30-GenSurg!$B$7))</f>
        <v>0</v>
      </c>
      <c r="BC30" s="32" t="s">
        <v>141</v>
      </c>
      <c r="BD30" s="32">
        <v>0</v>
      </c>
      <c r="BE30" s="32">
        <f t="shared" si="146"/>
        <v>0</v>
      </c>
      <c r="BF30" s="32">
        <f>(BE30)*InputData!$C$6</f>
        <v>0</v>
      </c>
      <c r="BG30" s="32">
        <f>MIN($BE$16*InputData!$C$6/(1-(1+InputData!$C$6)^(-10)), BE30+BF30)</f>
        <v>0</v>
      </c>
      <c r="BH30" s="32">
        <f t="shared" si="137"/>
        <v>0</v>
      </c>
      <c r="BI30" s="32">
        <f>BG30/((1+InputData!$C$3)^(GenSurg!$B30-GenSurg!$B$7))</f>
        <v>0</v>
      </c>
      <c r="BJ30" s="32">
        <f>IF(BA30-InputData!$C$158-InputData!$C$159&gt;=0,BA30-InputData!$C$158-InputData!$C$159,0)</f>
        <v>345062.7857281075</v>
      </c>
      <c r="BK30" s="32">
        <f>IF(BA30-IF(BA30&lt;=InputData!$C$146,InputData!$C$145,0)-MAX(InputData!$C$144,BQ30)&gt;=0,BA30-IF(BA30&lt;=InputData!$C$146,InputData!$C$145,0)-MAX(InputData!$C$144,BQ30),0)</f>
        <v>338962.7857281075</v>
      </c>
      <c r="BL30" s="32">
        <f>IF(BK30&lt;0,"Error",IF(BK30&lt;=InputData!$B$170,InputData!$C$170*BK30,IF(BK30&lt;=InputData!$B$171,InputData!$D$170+InputData!$C$171*(BK30-InputData!$B$170),IF(BK30&lt;=InputData!$B$172,InputData!$D$171+InputData!$C$172*(BK30-InputData!$B$171),IF(BK30&lt;=InputData!$B$173,InputData!$D$172+InputData!$C$173*(BK30-InputData!$B$172),IF(BK30&lt;=InputData!$B$174,InputData!$D$173+InputData!$C$174*(BK30-InputData!$B$173),IF(BK30&lt;=InputData!$B$175,InputData!$D$174+InputData!$C$175*(BK30-InputData!$B$174),InputData!$D$175+InputData!$C$176*(BK30-InputData!$B$175))))))))</f>
        <v>95988.469290275476</v>
      </c>
      <c r="BM30" s="32">
        <f>IF(BA30&lt;=InputData!$C$150,InputData!$C$152,IF(BA30&lt;InputData!$C$151,IF(InputData!$C$152-0.25*IF(BA30-InputData!$C$150&lt;=0,0,BA30-InputData!$C$150)&lt;=0,0,InputData!$C$152-0.25*IF(BA30-InputData!$C$150&lt;=0,0,BA30-InputData!$C$150)),0))</f>
        <v>0</v>
      </c>
      <c r="BN30" s="32">
        <f>IF(BA30-BM30&lt;=0,0,IF(BA30-BM30&lt;=InputData!$C$153,InputData!$C$154*(BA30-BM30),InputData!$C$155*(BA30-BM30)-InputData!$D$154))</f>
        <v>93027.580003870113</v>
      </c>
      <c r="BO30" s="32">
        <f t="shared" si="42"/>
        <v>95988.469290275476</v>
      </c>
      <c r="BP30" s="32">
        <f>IF(BA30&gt;=0,IF(BA30&lt;=InputData!$C$148,InputData!$C$147*BA30,InputData!$C$147*InputData!$C$148)+InputData!$C$149*BA30,0)</f>
        <v>12052.81039305756</v>
      </c>
      <c r="BQ30" s="32">
        <f>IF(BJ30&lt;0,0,IF(BJ30&lt;=InputData!$B$163,InputData!$C$163*BJ30,IF(BJ30&lt;=InputData!$B$164,InputData!$D$163+InputData!$C$164*(BJ30-InputData!$B$163),IF(BJ30&lt;=InputData!$B$165,InputData!$D$164+InputData!$C$165*(BJ30-InputData!$B$164),InputData!$D$165+InputData!$C$166*(BJ30-InputData!$B$165)))))</f>
        <v>0</v>
      </c>
      <c r="BR30" s="43">
        <f t="shared" si="43"/>
        <v>0.31310614807493109</v>
      </c>
      <c r="BS30" s="32">
        <f t="shared" si="44"/>
        <v>237021.50604477446</v>
      </c>
      <c r="BT30" s="32">
        <f t="shared" si="45"/>
        <v>237021.50604477446</v>
      </c>
      <c r="BU30" s="32">
        <f>BT30/((1+InputData!$C$7)^(GenSurg!$B30-GenSurg!$B$7))</f>
        <v>120096.84131326621</v>
      </c>
      <c r="BV30" s="5">
        <f t="shared" si="114"/>
        <v>1881699.2481882281</v>
      </c>
      <c r="BW30" s="5"/>
      <c r="BX30" s="32" t="s">
        <v>141</v>
      </c>
      <c r="BY30" s="5">
        <f t="shared" si="147"/>
        <v>169214.34478783517</v>
      </c>
      <c r="BZ30" s="32">
        <f>(BY30)*InputData!$C$6</f>
        <v>10508.210811324565</v>
      </c>
      <c r="CA30" s="32">
        <f>MIN($BY$16*InputData!$C$6/(1-(1+InputData!$C$6)^(-25)), BY30+BZ30)</f>
        <v>21686.214673809533</v>
      </c>
      <c r="CB30" s="32">
        <f t="shared" si="148"/>
        <v>158036.3409253502</v>
      </c>
      <c r="CC30" s="32">
        <f>CA30/((1+InputData!$C$3)^(GenSurg!$B30-GenSurg!$B$7))</f>
        <v>13752.441367857316</v>
      </c>
      <c r="CD30" s="5">
        <f t="shared" si="49"/>
        <v>223269.06467691716</v>
      </c>
      <c r="CE30" s="32">
        <f>CD30/((1+InputData!$C$7)^(GenSurg!$B30-GenSurg!$B$7))</f>
        <v>113128.59275140973</v>
      </c>
      <c r="CF30" s="5">
        <f t="shared" si="115"/>
        <v>1924112.656774028</v>
      </c>
      <c r="CG30" s="5"/>
      <c r="CH30" s="32" t="s">
        <v>141</v>
      </c>
      <c r="CI30" s="5" t="e">
        <f t="shared" si="149"/>
        <v>#VALUE!</v>
      </c>
      <c r="CJ30" s="32" t="e">
        <f>(CI30)*InputData!$C$6</f>
        <v>#VALUE!</v>
      </c>
      <c r="CK30" s="5" t="str">
        <f t="shared" si="159"/>
        <v>DNQ</v>
      </c>
      <c r="CL30" s="32" t="e">
        <f t="shared" si="150"/>
        <v>#VALUE!</v>
      </c>
      <c r="CM30" s="32" t="e">
        <f>CK30/((1+InputData!$C$3)^(GenSurg!$B30-GenSurg!$B$7))</f>
        <v>#VALUE!</v>
      </c>
      <c r="CN30" s="5" t="e">
        <f t="shared" si="53"/>
        <v>#VALUE!</v>
      </c>
      <c r="CO30" s="32" t="e">
        <f>CN30/((1+InputData!$C$7)^(GenSurg!$B30-GenSurg!$B$7))</f>
        <v>#VALUE!</v>
      </c>
      <c r="CP30" s="5" t="e">
        <f t="shared" si="116"/>
        <v>#VALUE!</v>
      </c>
      <c r="CQ30" s="5"/>
      <c r="CR30" s="32" t="s">
        <v>141</v>
      </c>
      <c r="CS30" s="5">
        <f t="shared" si="160"/>
        <v>0</v>
      </c>
      <c r="CT30" s="32">
        <f>(CS30)*InputData!$C$6</f>
        <v>0</v>
      </c>
      <c r="CU30" s="32">
        <f t="shared" si="161"/>
        <v>0</v>
      </c>
      <c r="CV30" s="32">
        <f t="shared" si="152"/>
        <v>0</v>
      </c>
      <c r="CW30" s="32">
        <f>CU30/((1+InputData!$C$3)^(GenSurg!$B30-GenSurg!$B$7))</f>
        <v>0</v>
      </c>
      <c r="CX30" s="5">
        <f t="shared" si="57"/>
        <v>237021.50604477446</v>
      </c>
      <c r="CY30" s="32">
        <f>CX30/((1+InputData!$C$7)^(GenSurg!$B30-GenSurg!$B$7))</f>
        <v>120096.84131326621</v>
      </c>
      <c r="CZ30" s="5">
        <f t="shared" si="117"/>
        <v>1881253.9919276962</v>
      </c>
      <c r="DA30" s="5"/>
      <c r="DB30" s="32" t="s">
        <v>141</v>
      </c>
      <c r="DC30" s="5">
        <f t="shared" si="138"/>
        <v>0</v>
      </c>
      <c r="DD30" s="5">
        <f>DC30*InputData!$C$6</f>
        <v>0</v>
      </c>
      <c r="DE30" s="32">
        <f t="shared" si="139"/>
        <v>0</v>
      </c>
      <c r="DF30" s="32">
        <f t="shared" si="140"/>
        <v>0</v>
      </c>
      <c r="DG30" s="32">
        <f>DE30/((1+InputData!$C$3)^(GenSurg!$B30-GenSurg!$B$7))</f>
        <v>0</v>
      </c>
      <c r="DH30" s="5">
        <f t="shared" si="61"/>
        <v>237021.50604477446</v>
      </c>
      <c r="DI30" s="32">
        <f>DH30/((1+InputData!$C$7)^(GenSurg!$B30-GenSurg!$B$7))</f>
        <v>120096.84131326621</v>
      </c>
      <c r="DJ30" s="5">
        <f t="shared" si="118"/>
        <v>1886286.8642906444</v>
      </c>
      <c r="DK30" s="5"/>
      <c r="DL30" s="32" t="s">
        <v>141</v>
      </c>
      <c r="DM30" s="32">
        <f t="shared" si="153"/>
        <v>0</v>
      </c>
      <c r="DN30" s="5">
        <f>DM30*InputData!$C$6</f>
        <v>0</v>
      </c>
      <c r="DO30" s="32">
        <f t="shared" si="154"/>
        <v>0</v>
      </c>
      <c r="DP30" s="32">
        <f t="shared" si="130"/>
        <v>0</v>
      </c>
      <c r="DQ30" s="32">
        <f t="shared" si="131"/>
        <v>0</v>
      </c>
      <c r="DR30" s="32">
        <f>DP30/((1+InputData!$C$3)^(GenSurg!$B30-GenSurg!$B$7))</f>
        <v>0</v>
      </c>
      <c r="DS30" s="5">
        <f t="shared" si="65"/>
        <v>237021.50604477446</v>
      </c>
      <c r="DT30" s="32">
        <f>DS30/((1+InputData!$C$7)^(GenSurg!$B30-GenSurg!$B$7))</f>
        <v>120096.84131326621</v>
      </c>
      <c r="DU30" s="5">
        <f t="shared" si="120"/>
        <v>1879378.6226444906</v>
      </c>
      <c r="DV30" s="5"/>
      <c r="DW30" s="32" t="s">
        <v>141</v>
      </c>
      <c r="DX30" s="133">
        <f t="shared" si="141"/>
        <v>0</v>
      </c>
      <c r="DY30" s="5">
        <f>DX30*InputData!$C$6</f>
        <v>0</v>
      </c>
      <c r="DZ30" s="133">
        <f t="shared" si="142"/>
        <v>0</v>
      </c>
      <c r="EA30" s="32">
        <f t="shared" si="143"/>
        <v>0</v>
      </c>
      <c r="EB30" s="32">
        <f t="shared" si="144"/>
        <v>0</v>
      </c>
      <c r="EC30" s="32">
        <f>EA30/((1+InputData!$C$3)^(GenSurg!$B30-GenSurg!$B$7))</f>
        <v>0</v>
      </c>
      <c r="ED30" s="5">
        <f t="shared" si="69"/>
        <v>237021.50604477446</v>
      </c>
      <c r="EE30" s="32">
        <f>ED30/((1+InputData!$C$7)^(GenSurg!$B30-GenSurg!$B$7))</f>
        <v>120096.84131326621</v>
      </c>
      <c r="EF30" s="5">
        <f t="shared" si="122"/>
        <v>1879897.8935896966</v>
      </c>
      <c r="EG30" s="32"/>
      <c r="EH30" s="130" t="s">
        <v>141</v>
      </c>
      <c r="EI30" s="32">
        <v>0</v>
      </c>
      <c r="EJ30" s="32">
        <f t="shared" si="168"/>
        <v>0</v>
      </c>
      <c r="EK30" s="32">
        <f>(EJ30)*InputData!$C$6</f>
        <v>0</v>
      </c>
      <c r="EL30" s="32">
        <f t="shared" si="167"/>
        <v>-2.1827872842550278E-11</v>
      </c>
      <c r="EM30" s="32">
        <f>EM29*(1+InputData!$C$8)</f>
        <v>18118.572545559164</v>
      </c>
      <c r="EN30" s="32">
        <f t="shared" si="162"/>
        <v>0</v>
      </c>
      <c r="EO30" s="32">
        <f>AW30/((1+InputData!$C$3)^(GenSurg!$B30-GenSurg!$B$7))</f>
        <v>345062.7857281075</v>
      </c>
      <c r="EP30" s="32">
        <f>AX30/((1+InputData!$C$3)^(GenSurg!$B30-GenSurg!$B$7))</f>
        <v>0</v>
      </c>
      <c r="EQ30" s="32">
        <v>89951.47</v>
      </c>
      <c r="ER30" s="32">
        <v>10498.82</v>
      </c>
      <c r="ES30" s="32">
        <v>0</v>
      </c>
      <c r="ET30" s="43">
        <f t="shared" si="136"/>
        <v>0.29110728294864546</v>
      </c>
      <c r="EU30" s="32">
        <f t="shared" si="70"/>
        <v>244612.49572810749</v>
      </c>
      <c r="EV30" s="32">
        <f>EN30/((1+InputData!$C$3)^(GenSurg!$B30-GenSurg!$B$7))</f>
        <v>0</v>
      </c>
      <c r="EW30" s="32">
        <f t="shared" si="71"/>
        <v>244612.49572810749</v>
      </c>
      <c r="EX30" s="32">
        <f>EW30/((1+InputData!$C$7)^(GenSurg!$B30-GenSurg!$B$7))</f>
        <v>123943.133148226</v>
      </c>
      <c r="EY30" s="5">
        <f t="shared" si="124"/>
        <v>2007732.3744277607</v>
      </c>
      <c r="EZ30" s="79"/>
      <c r="FA30" s="32">
        <f t="shared" si="163"/>
        <v>0</v>
      </c>
      <c r="FB30" s="32">
        <f>FA30*InputData!$C$6</f>
        <v>0</v>
      </c>
      <c r="FC30" s="32">
        <f t="shared" si="155"/>
        <v>0</v>
      </c>
      <c r="FD30" s="32">
        <f>MIN($EJ$16*InputData!$C$6/(1-(1+InputData!$C$6)^(-10)), FA30+FB30)</f>
        <v>0</v>
      </c>
      <c r="FE30" s="32">
        <f>FD30/((1+InputData!$C$3)^(GenSurg!$B30-GenSurg!$B$7))</f>
        <v>0</v>
      </c>
      <c r="FF30" s="5">
        <f t="shared" si="75"/>
        <v>244612.49572810749</v>
      </c>
      <c r="FG30" s="32">
        <f>FF30/((1+InputData!$C$7)^(GenSurg!$B30-GenSurg!$B$7))</f>
        <v>123943.133148226</v>
      </c>
      <c r="FH30" s="5">
        <f t="shared" si="125"/>
        <v>2008171.073177652</v>
      </c>
      <c r="FI30" s="79"/>
      <c r="FJ30" s="32">
        <f t="shared" si="164"/>
        <v>169086.78897549192</v>
      </c>
      <c r="FK30" s="32">
        <f>FJ30*InputData!$C$6</f>
        <v>10500.289595378048</v>
      </c>
      <c r="FL30" s="32">
        <f t="shared" si="156"/>
        <v>157917.21122702723</v>
      </c>
      <c r="FM30" s="32">
        <f>MIN($EJ$16*InputData!$C$6/(1-(1+InputData!$C$6)^(-25)), FJ30+FK30)</f>
        <v>21669.867343842721</v>
      </c>
      <c r="FN30" s="32">
        <f>FM30/((1+InputData!$C$3)^(GenSurg!$B30-GenSurg!$B$7))</f>
        <v>13742.074611820308</v>
      </c>
      <c r="FO30" s="5">
        <f t="shared" si="79"/>
        <v>230870.42111628718</v>
      </c>
      <c r="FP30" s="32">
        <f>FO30/((1+InputData!$C$7)^(GenSurg!$B30-GenSurg!$B$7))</f>
        <v>116980.13733611145</v>
      </c>
      <c r="FQ30" s="5">
        <f t="shared" si="126"/>
        <v>2050552.5100249255</v>
      </c>
      <c r="FR30" s="79"/>
      <c r="FS30" s="32">
        <f t="shared" si="165"/>
        <v>0</v>
      </c>
      <c r="FT30" s="32">
        <f>FS30*InputData!$C$6</f>
        <v>0</v>
      </c>
      <c r="FU30" s="32">
        <f t="shared" si="157"/>
        <v>0</v>
      </c>
      <c r="FV30" s="5">
        <f t="shared" si="166"/>
        <v>0</v>
      </c>
      <c r="FW30" s="32">
        <f>FV30/((1+InputData!$C$3)^(GenSurg!$B30-GenSurg!$B$7))</f>
        <v>0</v>
      </c>
      <c r="FX30" s="5">
        <f t="shared" si="83"/>
        <v>244612.49572810749</v>
      </c>
      <c r="FY30" s="32">
        <f>FX30/((1+InputData!$C$7)^(GenSurg!$B30-GenSurg!$B$7))</f>
        <v>123943.133148226</v>
      </c>
      <c r="FZ30" s="5">
        <f t="shared" si="127"/>
        <v>2008171.073177652</v>
      </c>
      <c r="GC30" s="45">
        <f t="shared" si="1"/>
        <v>20</v>
      </c>
      <c r="GD30" s="46" t="str">
        <f t="shared" si="2"/>
        <v>Multi-Year (O6&gt;18= (BP+BAH+BAS+VSP+BCPSP)*12+ASP+ISP+MSP)</v>
      </c>
      <c r="GE30" s="5">
        <f t="shared" si="3"/>
        <v>248064.8</v>
      </c>
      <c r="GF30" s="5">
        <f t="shared" si="4"/>
        <v>21631.199999999997</v>
      </c>
      <c r="GG30" s="5">
        <f t="shared" si="5"/>
        <v>269696</v>
      </c>
      <c r="GH30" s="5">
        <f t="shared" si="6"/>
        <v>197766.52814529312</v>
      </c>
      <c r="GI30" s="5">
        <f t="shared" si="7"/>
        <v>17245.200945948251</v>
      </c>
      <c r="GJ30" s="32">
        <f>IF(GH30-InputData!$C$158-InputData!$C$159&gt;=0,GH30-InputData!$C$158-InputData!$C$159,0)</f>
        <v>197766.52814529312</v>
      </c>
      <c r="GK30" s="32">
        <f>IF(GH30-IF(GH30&lt;=InputData!$C$146,InputData!$C$145,0)-MAX(InputData!$C$144,GQ30)&gt;=0,GH30-IF(GH30&lt;=InputData!$C$146,InputData!$C$145,0)-MAX(InputData!$C$144,GQ30),0)</f>
        <v>191666.52814529312</v>
      </c>
      <c r="GL30" s="32">
        <f>IF(GK30&lt;0,"Error",IF(GK30&lt;=InputData!$B$170,InputData!$C$170*GK30,IF(GK30&lt;=InputData!$B$171,InputData!$D$170+InputData!$C$171*(GK30-InputData!$B$170),IF(GK30&lt;=InputData!$B$172,InputData!$D$171+InputData!$C$172*(GK30-InputData!$B$171),IF(GK30&lt;=InputData!$B$173,InputData!$D$172+InputData!$C$173*(GK30-InputData!$B$172),IF(GK30&lt;=InputData!$B$174,InputData!$D$173+InputData!$C$174*(GK30-InputData!$B$173),IF(GK30&lt;=InputData!$B$175,InputData!$D$174+InputData!$C$175*(GK30-InputData!$B$174),InputData!$D$175+InputData!$C$176*(GK30-InputData!$B$175))))))))</f>
        <v>47380.704287946734</v>
      </c>
      <c r="GM30" s="32">
        <f>IF(GH30&lt;=InputData!$C$150,InputData!$C$152,IF(GH30&lt;InputData!$C$151,IF(InputData!$C$152-0.25*IF(GH30-InputData!$C$150&lt;=0,0,GH30-InputData!$C$150)&lt;=0,0,InputData!$C$152-0.25*IF(GH30-InputData!$C$150&lt;=0,0,GH30-InputData!$C$150)),0))</f>
        <v>31308.367963676719</v>
      </c>
      <c r="GN30" s="32">
        <f>IF(GH30-GM30&lt;=0,0,IF(GH30-GM30&lt;=InputData!$C$153,InputData!$C$154*(GH30-GM30),InputData!$C$155*(GH30-GM30)-InputData!$D$154))</f>
        <v>43279.121647220265</v>
      </c>
      <c r="GO30" s="32">
        <f t="shared" si="84"/>
        <v>47380.704287946734</v>
      </c>
      <c r="GP30" s="32">
        <f>IF(GH30&gt;=0,IF(GH30&lt;=InputData!$C$148,InputData!$C$147*GH30,InputData!$C$147*InputData!$C$148)+InputData!$C$149*GH30,0)</f>
        <v>9917.0146581067493</v>
      </c>
      <c r="GQ30" s="32">
        <f>IF(GJ30&lt;0,0,IF(GJ30&lt;=InputData!$B$163,InputData!$C$163*GJ30,IF(GJ30&lt;=InputData!$B$164,InputData!$D$163+InputData!$C$164*(GJ30-InputData!$B$163),IF(GJ30&lt;=InputData!$B$165,InputData!$D$164+InputData!$C$165*(GJ30-InputData!$B$164),InputData!$D$165+InputData!$C$166*(GJ30-InputData!$B$165)))))</f>
        <v>0</v>
      </c>
      <c r="GR30" s="43">
        <f t="shared" si="85"/>
        <v>0.28972404725615941</v>
      </c>
      <c r="GS30" s="43">
        <f t="shared" si="86"/>
        <v>0.26648648047353218</v>
      </c>
      <c r="GT30" s="5">
        <f t="shared" si="87"/>
        <v>157714.01014518787</v>
      </c>
      <c r="GU30" s="32">
        <f>GT30/((1+InputData!$C$7)^(GenSurg!$B30-GenSurg!$B$7))</f>
        <v>79912.387552323838</v>
      </c>
      <c r="GV30" s="32">
        <f t="shared" si="88"/>
        <v>1578309.0119299442</v>
      </c>
      <c r="GX30" s="45">
        <f t="shared" si="8"/>
        <v>20</v>
      </c>
      <c r="GY30" s="122" t="str">
        <f t="shared" si="9"/>
        <v>Multi-Year (O6&gt;18= (BP+BAH+BAS+VSP+BCPSP)*12+ASP+ISP+MSP)</v>
      </c>
      <c r="GZ30" s="5">
        <f t="shared" si="10"/>
        <v>248064.8</v>
      </c>
      <c r="HA30" s="5">
        <f t="shared" si="11"/>
        <v>21631.199999999997</v>
      </c>
      <c r="HB30" s="5">
        <f t="shared" si="12"/>
        <v>269696</v>
      </c>
      <c r="HC30" s="5">
        <f t="shared" si="13"/>
        <v>197766.52814529312</v>
      </c>
      <c r="HD30" s="5">
        <f t="shared" si="14"/>
        <v>17245.200945948251</v>
      </c>
      <c r="HE30" s="32">
        <f>IF(HC30-InputData!$C$158-InputData!$C$159&gt;=0,HC30-InputData!$C$158-InputData!$C$159,0)</f>
        <v>197766.52814529312</v>
      </c>
      <c r="HF30" s="32">
        <f>IF(HC30-IF(HC30&lt;=InputData!$C$146,InputData!$C$145,0)-MAX(InputData!$C$144,HL30)&gt;=0,HC30-IF(HC30&lt;=InputData!$C$146,InputData!$C$145,0)-MAX(InputData!$C$144,HL30),0)</f>
        <v>191666.52814529312</v>
      </c>
      <c r="HG30" s="32">
        <f>IF(HF30&lt;0,"Error",IF(HF30&lt;=InputData!$B$170,InputData!$C$170*HF30,IF(HF30&lt;=InputData!$B$171,InputData!$D$170+InputData!$C$171*(HF30-InputData!$B$170),IF(HF30&lt;=InputData!$B$172,InputData!$D$171+InputData!$C$172*(HF30-InputData!$B$171),IF(HF30&lt;=InputData!$B$173,InputData!$D$172+InputData!$C$173*(HF30-InputData!$B$172),IF(HF30&lt;=InputData!$B$174,InputData!$D$173+InputData!$C$174*(HF30-InputData!$B$173),IF(HF30&lt;=InputData!$B$175,InputData!$D$174+InputData!$C$175*(HF30-InputData!$B$174),InputData!$D$175+InputData!$C$176*(HF30-InputData!$B$175))))))))</f>
        <v>47380.704287946734</v>
      </c>
      <c r="HH30" s="32">
        <f>IF(HC30&lt;=InputData!$C$150,InputData!$C$152,IF(HC30&lt;InputData!$C$151,IF(InputData!$C$152-0.25*IF(HC30-InputData!$C$150&lt;=0,0,HC30-InputData!$C$150)&lt;=0,0,InputData!$C$152-0.25*IF(HC30-InputData!$C$150&lt;=0,0,HC30-InputData!$C$150)),0))</f>
        <v>31308.367963676719</v>
      </c>
      <c r="HI30" s="32">
        <f>IF(HC30-HH30&lt;=0,0,IF(HC30-HH30&lt;=InputData!$C$153,InputData!$C$154*(HC30-HH30),InputData!$C$155*(HC30-HH30)-InputData!$D$154))</f>
        <v>43279.121647220265</v>
      </c>
      <c r="HJ30" s="32">
        <f t="shared" si="89"/>
        <v>47380.704287946734</v>
      </c>
      <c r="HK30" s="32">
        <f>IF(HC30&gt;=0,IF(HC30&lt;=InputData!$C$148,InputData!$C$147*HC30,InputData!$C$147*InputData!$C$148)+InputData!$C$149*HC30,0)</f>
        <v>9917.0146581067493</v>
      </c>
      <c r="HL30" s="32">
        <f>IF(HE30&lt;0,0,IF(HE30&lt;=InputData!$B$163,InputData!$C$163*HE30,IF(HE30&lt;=InputData!$B$164,InputData!$D$163+InputData!$C$164*(HE30-InputData!$B$163),IF(HE30&lt;=InputData!$B$165,InputData!$D$164+InputData!$C$165*(HE30-InputData!$B$164),InputData!$D$165+InputData!$C$166*(HE30-InputData!$B$165)))))</f>
        <v>0</v>
      </c>
      <c r="HM30" s="43">
        <f t="shared" si="90"/>
        <v>0.28972404725615941</v>
      </c>
      <c r="HN30" s="43">
        <f t="shared" si="91"/>
        <v>0.26648648047353218</v>
      </c>
      <c r="HO30" s="5">
        <f t="shared" si="92"/>
        <v>157714.01014518787</v>
      </c>
      <c r="HP30" s="32">
        <f>HO30/((1+InputData!$C$7)^(GenSurg!$B30-GenSurg!$B$7))</f>
        <v>79912.387552323838</v>
      </c>
      <c r="HQ30" s="32">
        <f t="shared" si="93"/>
        <v>1615859.2187782298</v>
      </c>
      <c r="HS30" s="227"/>
      <c r="HT30" s="53" t="s">
        <v>109</v>
      </c>
      <c r="HU30" s="32">
        <f>MIN(InputData!$C$13+InputData!$E$13*($B30-$B$23),1)*GenSurg!AW30</f>
        <v>489716.3276230378</v>
      </c>
      <c r="HV30" s="32">
        <f>MIN(InputData!$C$13+InputData!$E$13*($B30-$B$23),1)*GenSurg!AX30</f>
        <v>0</v>
      </c>
      <c r="HW30" s="32">
        <f>MIN(InputData!$C$13+InputData!$E$13*($B30-$B$23),1)*GenSurg!AY30</f>
        <v>489716.3276230378</v>
      </c>
      <c r="HX30" s="32">
        <f>MIN(InputData!$C$13+InputData!$E$13*($B30-$B$23),1)*GenSurg!EO30</f>
        <v>310556.50715529674</v>
      </c>
      <c r="HY30" s="32">
        <f>MIN(InputData!$C$13+InputData!$E$13*($B30-$B$23),1)*GenSurg!EP30</f>
        <v>0</v>
      </c>
      <c r="HZ30" s="32">
        <f>IF(HX30-InputData!$C$158-InputData!$C$159&gt;=0,HX30-InputData!$C$158-InputData!$C$159,0)</f>
        <v>310556.50715529674</v>
      </c>
      <c r="IA30" s="32">
        <f>IF(HX30-IF(HX30&lt;=InputData!$C$146,InputData!$C$145,0)-MAX(InputData!$C$144,IG30)&gt;=0,HX30-IF(HX30&lt;=InputData!$C$146,InputData!$C$145,0)-MAX(InputData!$C$144,IG30),0)</f>
        <v>304456.50715529674</v>
      </c>
      <c r="IB30" s="32">
        <f>IF(IA30&lt;0,"Error",IF(IA30&lt;=InputData!$B$170,InputData!$C$170*IA30,IF(IA30&lt;=InputData!$B$171,InputData!$D$170+InputData!$C$171*(IA30-InputData!$B$170),IF(IA30&lt;=InputData!$B$172,InputData!$D$171+InputData!$C$172*(IA30-InputData!$B$171),IF(IA30&lt;=InputData!$B$173,InputData!$D$172+InputData!$C$173*(IA30-InputData!$B$172),IF(IA30&lt;=InputData!$B$174,InputData!$D$173+InputData!$C$174*(IA30-InputData!$B$173),IF(IA30&lt;=InputData!$B$175,InputData!$D$174+InputData!$C$175*(IA30-InputData!$B$174),InputData!$D$175+InputData!$C$176*(IA30-InputData!$B$175))))))))</f>
        <v>84601.397361247917</v>
      </c>
      <c r="IC30" s="32">
        <f>IF(HX30&lt;=InputData!$C$150,InputData!$C$152,IF(HX30&lt;InputData!$C$151,IF(InputData!$C$152-0.25*IF(HX30-InputData!$C$150&lt;=0,0,HX30-InputData!$C$150)&lt;=0,0,InputData!$C$152-0.25*IF(HX30-InputData!$C$150&lt;=0,0,HX30-InputData!$C$150)),0))</f>
        <v>3110.8732111758145</v>
      </c>
      <c r="ID30" s="32">
        <f>IF(HX30-IC30&lt;=0,0,IF(HX30-IC30&lt;=InputData!$C$153,InputData!$C$154*(HX30-IC30),InputData!$C$155*(HX30-IC30)-InputData!$D$154))</f>
        <v>82494.777504353871</v>
      </c>
      <c r="IE30" s="32">
        <f t="shared" si="96"/>
        <v>84601.397361247917</v>
      </c>
      <c r="IF30" s="32">
        <f>IF(HX30&gt;=0,IF(HX30&lt;=InputData!$C$148,InputData!$C$147*HX30,InputData!$C$147*InputData!$C$148)+InputData!$C$149*HX30,0)</f>
        <v>11552.469353751803</v>
      </c>
      <c r="IG30" s="32">
        <f>IF(HZ30&lt;0,0,IF(HZ30&lt;=InputData!$B$163,InputData!$C$163*HZ30,IF(HZ30&lt;=InputData!$B$164,InputData!$D$163+InputData!$C$164*(HZ30-InputData!$B$163),IF(HZ30&lt;=InputData!$B$165,InputData!$D$164+InputData!$C$165*(HZ30-InputData!$B$164),InputData!$D$165+InputData!$C$166*(HZ30-InputData!$B$165)))))</f>
        <v>0</v>
      </c>
      <c r="IH30" s="43">
        <f t="shared" si="97"/>
        <v>0.3096179423054789</v>
      </c>
      <c r="II30" s="43">
        <f t="shared" si="98"/>
        <v>0.3096179423054789</v>
      </c>
      <c r="IJ30" s="5">
        <f t="shared" si="20"/>
        <v>214402.64044029702</v>
      </c>
      <c r="IK30" s="32">
        <f>IJ30/((1+InputData!$C$7)^(GenSurg!$B30-GenSurg!$B$7))</f>
        <v>108636.04875263726</v>
      </c>
      <c r="IL30" s="5">
        <f t="shared" si="99"/>
        <v>1816337.6450569041</v>
      </c>
      <c r="IN30" s="227"/>
      <c r="IO30" s="53" t="s">
        <v>109</v>
      </c>
      <c r="IP30" s="32">
        <f>MIN(InputData!$C$13+InputData!$E$13*($B30-$B$20),1)*GenSurg!AW30</f>
        <v>489716.3276230378</v>
      </c>
      <c r="IQ30" s="32">
        <f>MIN(InputData!$C$13+InputData!$E$13*($B30-$B$20),1)*GenSurg!AX30</f>
        <v>0</v>
      </c>
      <c r="IR30" s="32">
        <f>MIN(InputData!$C$13+InputData!$E$13*($B30-$B$20),1)*GenSurg!AY30</f>
        <v>489716.3276230378</v>
      </c>
      <c r="IS30" s="32">
        <f>MIN(InputData!$C$13+InputData!$E$13*($B30-$B$20),1)*GenSurg!EO30</f>
        <v>310556.50715529674</v>
      </c>
      <c r="IT30" s="32">
        <f>MIN(InputData!$C$13+InputData!$E$13*($B30-$B$20),1)*GenSurg!EP30</f>
        <v>0</v>
      </c>
      <c r="IU30" s="32">
        <f>IF(IS30-InputData!$C$158-InputData!$C$159&gt;=0,IS30-InputData!$C$158-InputData!$C$159,0)</f>
        <v>310556.50715529674</v>
      </c>
      <c r="IV30" s="32">
        <f>IF(IS30-IF(IS30&lt;=InputData!$C$146,InputData!$C$145,0)-MAX(InputData!$C$144,JB30)&gt;=0,IS30-IF(IS30&lt;=InputData!$C$146,InputData!$C$145,0)-MAX(InputData!$C$144,JB30),0)</f>
        <v>304456.50715529674</v>
      </c>
      <c r="IW30" s="32">
        <f>IF(IV30&lt;0,"Error",IF(IV30&lt;=InputData!$B$170,InputData!$C$170*IV30,IF(IV30&lt;=InputData!$B$171,InputData!$D$170+InputData!$C$171*(IV30-InputData!$B$170),IF(IV30&lt;=InputData!$B$172,InputData!$D$171+InputData!$C$172*(IV30-InputData!$B$171),IF(IV30&lt;=InputData!$B$173,InputData!$D$172+InputData!$C$173*(IV30-InputData!$B$172),IF(IV30&lt;=InputData!$B$174,InputData!$D$173+InputData!$C$174*(IV30-InputData!$B$173),IF(IV30&lt;=InputData!$B$175,InputData!$D$174+InputData!$C$175*(IV30-InputData!$B$174),InputData!$D$175+InputData!$C$176*(IV30-InputData!$B$175))))))))</f>
        <v>84601.397361247917</v>
      </c>
      <c r="IX30" s="32">
        <f>IF(IS30&lt;=InputData!$C$150,InputData!$C$152,IF(IS30&lt;InputData!$C$151,IF(InputData!$C$152-0.25*IF(IS30-InputData!$C$150&lt;=0,0,IS30-InputData!$C$150)&lt;=0,0,InputData!$C$152-0.25*IF(IS30-InputData!$C$150&lt;=0,0,IS30-InputData!$C$150)),0))</f>
        <v>3110.8732111758145</v>
      </c>
      <c r="IY30" s="32">
        <f>IF(IS30-IX30&lt;=0,0,IF(IS30-IX30&lt;=InputData!$C$153,InputData!$C$154*(IS30-IX30),InputData!$C$155*(IS30-IX30)-InputData!$D$154))</f>
        <v>82494.777504353871</v>
      </c>
      <c r="IZ30" s="32">
        <f t="shared" si="102"/>
        <v>84601.397361247917</v>
      </c>
      <c r="JA30" s="32">
        <f>IF(IS30&gt;=0,IF(IS30&lt;=InputData!$C$148,InputData!$C$147*IS30,InputData!$C$147*InputData!$C$148)+InputData!$C$149*IS30,0)</f>
        <v>11552.469353751803</v>
      </c>
      <c r="JB30" s="32">
        <f>IF(IU30&lt;0,0,IF(IU30&lt;=InputData!$B$163,InputData!$C$163*IU30,IF(IU30&lt;=InputData!$B$164,InputData!$D$163+InputData!$C$164*(IU30-InputData!$B$163),IF(IU30&lt;=InputData!$B$165,InputData!$D$164+InputData!$C$165*(IU30-InputData!$B$164),InputData!$D$165+InputData!$C$166*(IU30-InputData!$B$165)))))</f>
        <v>0</v>
      </c>
      <c r="JC30" s="43">
        <f t="shared" si="103"/>
        <v>0.3096179423054789</v>
      </c>
      <c r="JD30" s="43">
        <f t="shared" si="104"/>
        <v>0.3096179423054789</v>
      </c>
      <c r="JE30" s="5">
        <f t="shared" si="105"/>
        <v>214402.64044029702</v>
      </c>
      <c r="JF30" s="32">
        <f>JE30/((1+InputData!$C$7)^(GenSurg!$B30-GenSurg!$B$7))</f>
        <v>108636.04875263726</v>
      </c>
      <c r="JG30" s="5">
        <f t="shared" si="106"/>
        <v>1943492.0069907347</v>
      </c>
      <c r="JI30" s="41" t="str">
        <f t="shared" si="26"/>
        <v>Private Practice</v>
      </c>
      <c r="JJ30" s="5">
        <f t="shared" si="27"/>
        <v>544129.25291448645</v>
      </c>
      <c r="JK30" s="32">
        <v>0</v>
      </c>
      <c r="JL30" s="32">
        <f t="shared" si="108"/>
        <v>544129.25291448645</v>
      </c>
      <c r="JM30" s="32">
        <f>JM29*(1+InputData!$C$8)</f>
        <v>18118.572545559164</v>
      </c>
      <c r="JN30" s="32">
        <f>JJ30/((1+InputData!$C$3)^(GenSurg!$B30-GenSurg!$B$7))</f>
        <v>345062.7857281075</v>
      </c>
      <c r="JO30" s="32">
        <f>JK30/((1+InputData!$C$3)^(GenSurg!$B30-GenSurg!$B$7))</f>
        <v>0</v>
      </c>
      <c r="JP30" s="32" t="s">
        <v>141</v>
      </c>
      <c r="JQ30" s="32">
        <v>0</v>
      </c>
      <c r="JR30" s="32">
        <f t="shared" si="158"/>
        <v>0</v>
      </c>
      <c r="JS30" s="32">
        <f>(JR30)*InputData!$C$6</f>
        <v>0</v>
      </c>
      <c r="JT30" s="32">
        <f>MIN($BE$16*InputData!$C$6/(1-(1+InputData!$C$6)^(-10)), JR30+JS30)</f>
        <v>0</v>
      </c>
      <c r="JU30" s="32">
        <f t="shared" si="145"/>
        <v>0</v>
      </c>
      <c r="JV30" s="32">
        <f>JT30/((1+InputData!$C$3)^(GenSurg!$B30-GenSurg!$B$7))</f>
        <v>0</v>
      </c>
      <c r="JW30" s="32">
        <f>IF(JN30-InputData!$C$158-InputData!$C$159&gt;=0,JN30-InputData!$C$158-InputData!$C$159,0)</f>
        <v>345062.7857281075</v>
      </c>
      <c r="JX30" s="32">
        <f>IF(JN30-IF(JN30&lt;=InputData!$C$146,InputData!$C$145,0)-MAX(InputData!$C$144,KD30)&gt;=0,JN30-IF(JN30&lt;=InputData!$C$146,InputData!$C$145,0)-MAX(InputData!$C$144,KD30),0)</f>
        <v>338962.7857281075</v>
      </c>
      <c r="JY30" s="32">
        <f>IF(JX30&lt;0,"Error",IF(JX30&lt;=InputData!$B$170,InputData!$C$170*JX30,IF(JX30&lt;=InputData!$B$171,InputData!$D$170+InputData!$C$171*(JX30-InputData!$B$170),IF(JX30&lt;=InputData!$B$172,InputData!$D$171+InputData!$C$172*(JX30-InputData!$B$171),IF(JX30&lt;=InputData!$B$173,InputData!$D$172+InputData!$C$173*(JX30-InputData!$B$172),IF(JX30&lt;=InputData!$B$174,InputData!$D$173+InputData!$C$174*(JX30-InputData!$B$173),IF(JX30&lt;=InputData!$B$175,InputData!$D$174+InputData!$C$175*(JX30-InputData!$B$174),InputData!$D$175+InputData!$C$176*(JX30-InputData!$B$175))))))))</f>
        <v>95988.469290275476</v>
      </c>
      <c r="JZ30" s="32">
        <f>IF(JN30&lt;=InputData!$C$150,InputData!$C$152,IF(JN30&lt;InputData!$C$151,IF(InputData!$C$152-0.25*IF(JN30-InputData!$C$150&lt;=0,0,JN30-InputData!$C$150)&lt;=0,0,InputData!$C$152-0.25*IF(JN30-InputData!$C$150&lt;=0,0,JN30-InputData!$C$150)),0))</f>
        <v>0</v>
      </c>
      <c r="KA30" s="32">
        <f>IF(JN30-JZ30&lt;=0,0,IF(JN30-JZ30&lt;=InputData!$C$153,InputData!$C$154*(JN30-JZ30),InputData!$C$155*(JN30-JZ30)-InputData!$D$154))</f>
        <v>93027.580003870113</v>
      </c>
      <c r="KB30" s="32">
        <f t="shared" si="109"/>
        <v>95988.469290275476</v>
      </c>
      <c r="KC30" s="32">
        <f>IF(JN30&gt;=0,IF(JN30&lt;=InputData!$C$148,InputData!$C$147*JN30,InputData!$C$147*InputData!$C$148)+InputData!$C$149*JN30,0)</f>
        <v>12052.81039305756</v>
      </c>
      <c r="KD30" s="32">
        <f>IF(JW30&lt;0,0,IF(JW30&lt;=InputData!$B$163,InputData!$C$163*JW30,IF(JW30&lt;=InputData!$B$164,InputData!$D$163+InputData!$C$164*(JW30-InputData!$B$163),IF(JW30&lt;=InputData!$B$165,InputData!$D$164+InputData!$C$165*(JW30-InputData!$B$164),InputData!$D$165+InputData!$C$166*(JW30-InputData!$B$165)))))</f>
        <v>0</v>
      </c>
      <c r="KE30" s="43">
        <f t="shared" si="28"/>
        <v>0.31310614807493109</v>
      </c>
      <c r="KF30" s="32">
        <f t="shared" si="29"/>
        <v>237021.50604477446</v>
      </c>
      <c r="KG30" s="32">
        <f t="shared" si="110"/>
        <v>237021.50604477446</v>
      </c>
      <c r="KH30" s="32">
        <f>KG30/((1+InputData!$C$7)^(GenSurg!$B30-GenSurg!$B$7))</f>
        <v>120096.84131326621</v>
      </c>
      <c r="KI30" s="5">
        <f t="shared" si="129"/>
        <v>2266025.6407349687</v>
      </c>
    </row>
    <row r="31" spans="1:295" x14ac:dyDescent="0.25">
      <c r="A31" s="4">
        <v>2037</v>
      </c>
      <c r="B31" s="51">
        <v>25</v>
      </c>
      <c r="C31" s="4"/>
      <c r="D31" s="45">
        <v>25</v>
      </c>
      <c r="E31" s="97" t="s">
        <v>271</v>
      </c>
      <c r="F31" s="5">
        <f>InputData!$P$21*12</f>
        <v>120412.79999999999</v>
      </c>
      <c r="G31" s="47">
        <f>(InputData!$P$21+InputData!$K$45+InputData!$G$50)*12+InputData!$J$50+InputData!$D$58+InputData!$J$58</f>
        <v>258412.76</v>
      </c>
      <c r="H31" s="32">
        <f>(InputData!$C$32+InputData!$C$40)*12</f>
        <v>21631.199999999997</v>
      </c>
      <c r="I31" s="32">
        <f t="shared" si="30"/>
        <v>280043.96000000002</v>
      </c>
      <c r="J31" s="5">
        <f>G31*((1+InputData!$C$5)/(1+InputData!$C$3))^(GenSurg!$B31-GenSurg!$B$7)</f>
        <v>203996.54080494255</v>
      </c>
      <c r="K31" s="5">
        <f>H31*((1+InputData!$C$5)/(1+InputData!$C$3))^(GenSurg!$B31-GenSurg!$B$7)</f>
        <v>17076.130348438957</v>
      </c>
      <c r="L31" s="32">
        <f>IF(J31-InputData!$C$158-InputData!$C$159&gt;=0,J31-InputData!$C$158-InputData!$C$159,0)</f>
        <v>203996.54080494255</v>
      </c>
      <c r="M31" s="32">
        <f>IF(J31-IF(J31&lt;=InputData!$C$146,InputData!$C$145,0)-MAX(InputData!$C$144,S31)&gt;=0,J31-IF(J31&lt;=InputData!$C$146,InputData!$C$145,0)-MAX(InputData!$C$144,S31),0)</f>
        <v>197896.54080494255</v>
      </c>
      <c r="N31" s="32">
        <f>IF(M31&lt;0,"Error",IF(M31&lt;=InputData!$B$170,InputData!$C$170*M31,IF(M31&lt;=InputData!$B$171,InputData!$D$170+InputData!$C$171*(M31-InputData!$B$170),IF(M31&lt;=InputData!$B$172,InputData!$D$171+InputData!$C$172*(M31-InputData!$B$171),IF(M31&lt;=InputData!$B$173,InputData!$D$172+InputData!$C$173*(M31-InputData!$B$172),IF(M31&lt;=InputData!$B$174,InputData!$D$173+InputData!$C$174*(M31-InputData!$B$173),IF(M31&lt;=InputData!$B$175,InputData!$D$174+InputData!$C$175*(M31-InputData!$B$174),InputData!$D$175+InputData!$C$176*(M31-InputData!$B$175))))))))</f>
        <v>49436.608465631041</v>
      </c>
      <c r="O31" s="32">
        <f>IF(J31&lt;=InputData!$C$150,InputData!$C$152,IF(J31&lt;InputData!$C$151,IF(InputData!$C$152-0.25*IF(J31-InputData!$C$150&lt;=0,0,J31-InputData!$C$150)&lt;=0,0,InputData!$C$152-0.25*IF(J31-InputData!$C$150&lt;=0,0,J31-InputData!$C$150)),0))</f>
        <v>29750.864798764364</v>
      </c>
      <c r="P31" s="32">
        <f>IF(J31-O31&lt;=0,0,IF(J31-O31&lt;=InputData!$C$153,InputData!$C$154*(J31-O31),InputData!$C$155*(J31-O31)-InputData!$D$154))</f>
        <v>45303.87576160633</v>
      </c>
      <c r="Q31" s="32">
        <f t="shared" si="31"/>
        <v>49436.608465631041</v>
      </c>
      <c r="R31" s="32">
        <f>IF(J31&gt;=0,IF(J31&lt;=InputData!$C$148,InputData!$C$147*J31,InputData!$C$147*InputData!$C$148)+InputData!$C$149*J31,0)</f>
        <v>10007.349841671667</v>
      </c>
      <c r="S31" s="32">
        <f>IF(L31&lt;0,0,IF(L31&lt;=InputData!$B$163,InputData!$C$163*L31,IF(L31&lt;=InputData!$B$164,InputData!$D$163+InputData!$C$164*(L31-InputData!$B$163),IF(L31&lt;=InputData!$B$165,InputData!$D$164+InputData!$C$165*(L31-InputData!$B$164),InputData!$D$165+InputData!$C$166*(L31-InputData!$B$165)))))</f>
        <v>0</v>
      </c>
      <c r="T31" s="43">
        <f t="shared" si="32"/>
        <v>0.29139689365684807</v>
      </c>
      <c r="U31" s="43">
        <f t="shared" si="33"/>
        <v>0.26888876855366778</v>
      </c>
      <c r="V31" s="5">
        <f t="shared" si="34"/>
        <v>161628.71284607876</v>
      </c>
      <c r="W31" s="32">
        <f>V31/((1+InputData!$C$7)^(GenSurg!$B31-GenSurg!$B$7))</f>
        <v>79510.616610117198</v>
      </c>
      <c r="X31" s="5">
        <f t="shared" si="111"/>
        <v>1657819.6285400614</v>
      </c>
      <c r="Y31" s="53"/>
      <c r="Z31" s="45">
        <v>21.5</v>
      </c>
      <c r="AA31" s="97" t="s">
        <v>267</v>
      </c>
      <c r="AB31" s="5">
        <f>InputData!$N$21*12</f>
        <v>114357.59999999999</v>
      </c>
      <c r="AC31" s="32">
        <f>(InputData!$N$21+InputData!$J$45+InputData!$G$50)*12+InputData!$J$50+InputData!$D$58+InputData!$J$58</f>
        <v>253349.59999999998</v>
      </c>
      <c r="AD31" s="32">
        <f t="shared" si="169"/>
        <v>21631.199999999997</v>
      </c>
      <c r="AE31" s="32">
        <f t="shared" si="35"/>
        <v>274980.8</v>
      </c>
      <c r="AF31" s="5">
        <f>AC31*((1+InputData!$C$5)/(1+InputData!$C$3))^(GenSurg!$B31-GenSurg!$B$7)</f>
        <v>199999.574379825</v>
      </c>
      <c r="AG31" s="5">
        <f>AD31*((1+InputData!$C$5)/(1+InputData!$C$3))^(GenSurg!$B31-GenSurg!$B$7)</f>
        <v>17076.130348438957</v>
      </c>
      <c r="AH31" s="32">
        <f>IF(AF31-InputData!$C$158-InputData!$C$159&gt;=0,AF31-InputData!$C$158-InputData!$C$159,0)</f>
        <v>199999.574379825</v>
      </c>
      <c r="AI31" s="32">
        <f>IF(AF31-IF(AF31&lt;=InputData!$C$146,InputData!$C$145,0)-MAX(InputData!$C$144,AO31)&gt;=0,AF31-IF(AF31&lt;=InputData!$C$146,InputData!$C$145,0)-MAX(InputData!$C$144,AO31),0)</f>
        <v>193899.574379825</v>
      </c>
      <c r="AJ31" s="32">
        <f>IF(AI31&lt;0,"Error",IF(AI31&lt;=InputData!$B$170,InputData!$C$170*AI31,IF(AI31&lt;=InputData!$B$171,InputData!$D$170+InputData!$C$171*(AI31-InputData!$B$170),IF(AI31&lt;=InputData!$B$172,InputData!$D$171+InputData!$C$172*(AI31-InputData!$B$171),IF(AI31&lt;=InputData!$B$173,InputData!$D$172+InputData!$C$173*(AI31-InputData!$B$172),IF(AI31&lt;=InputData!$B$174,InputData!$D$173+InputData!$C$174*(AI31-InputData!$B$173),IF(AI31&lt;=InputData!$B$175,InputData!$D$174+InputData!$C$175*(AI31-InputData!$B$174),InputData!$D$175+InputData!$C$176*(AI31-InputData!$B$175))))))))</f>
        <v>48117.609545342253</v>
      </c>
      <c r="AK31" s="32">
        <f>IF(AF31&lt;=InputData!$C$150,InputData!$C$152,IF(AF31&lt;InputData!$C$151,IF(InputData!$C$152-0.25*IF(AF31-InputData!$C$150&lt;=0,0,AF31-InputData!$C$150)&lt;=0,0,InputData!$C$152-0.25*IF(AF31-InputData!$C$150&lt;=0,0,AF31-InputData!$C$150)),0))</f>
        <v>30750.106405043749</v>
      </c>
      <c r="AL31" s="32">
        <f>IF(AF31-AK31&lt;=0,0,IF(AF31-AK31&lt;=InputData!$C$153,InputData!$C$154*(AF31-AK31),InputData!$C$155*(AF31-AK31)-InputData!$D$154))</f>
        <v>44004.861673443127</v>
      </c>
      <c r="AM31" s="32">
        <f t="shared" si="36"/>
        <v>48117.609545342253</v>
      </c>
      <c r="AN31" s="32">
        <f>IF(AF31&gt;=0,IF(AF31&lt;=InputData!$C$148,InputData!$C$147*AF31,InputData!$C$147*InputData!$C$148)+InputData!$C$149*AF31,0)</f>
        <v>9949.3938285074619</v>
      </c>
      <c r="AO31" s="32">
        <f>IF(AH31&lt;0,0,IF(AH31&lt;=InputData!$B$163,InputData!$C$163*AH31,IF(AH31&lt;=InputData!$B$164,InputData!$D$163+InputData!$C$164*(AH31-InputData!$B$163),IF(AH31&lt;=InputData!$B$165,InputData!$D$164+InputData!$C$165*(AH31-InputData!$B$164),InputData!$D$165+InputData!$C$166*(AH31-InputData!$B$165)))))</f>
        <v>0</v>
      </c>
      <c r="AP31" s="43">
        <f t="shared" si="37"/>
        <v>0.29033563473276691</v>
      </c>
      <c r="AQ31" s="43">
        <f t="shared" si="38"/>
        <v>0.26749655585150889</v>
      </c>
      <c r="AR31" s="5">
        <f t="shared" si="39"/>
        <v>159008.70135441425</v>
      </c>
      <c r="AS31" s="32">
        <f>AR31/((1+InputData!$C$7)^(GenSurg!$B31-GenSurg!$B$7))</f>
        <v>78221.74456777022</v>
      </c>
      <c r="AT31" s="5">
        <f t="shared" si="112"/>
        <v>1694080.9633460001</v>
      </c>
      <c r="AU31" s="53"/>
      <c r="AV31" s="41" t="s">
        <v>109</v>
      </c>
      <c r="AW31" s="32">
        <f>$AW$17*(1+InputData!$C$3+InputData!$C$4)^(GenSurg!$B31-GenSurg!$B$17)</f>
        <v>560453.13050192106</v>
      </c>
      <c r="AX31" s="32">
        <v>0</v>
      </c>
      <c r="AY31" s="32">
        <f t="shared" si="41"/>
        <v>560453.13050192106</v>
      </c>
      <c r="AZ31" s="32">
        <f>AZ30*(1+InputData!$C$8)</f>
        <v>18480.943996470349</v>
      </c>
      <c r="BA31" s="32">
        <f>AW31/((1+InputData!$C$3)^(GenSurg!$B31-GenSurg!$B$7))</f>
        <v>348445.75421563798</v>
      </c>
      <c r="BB31" s="32">
        <f>AX31/((1+InputData!$C$3)^(GenSurg!$B31-GenSurg!$B$7))</f>
        <v>0</v>
      </c>
      <c r="BC31" s="32" t="s">
        <v>141</v>
      </c>
      <c r="BD31" s="32">
        <v>0</v>
      </c>
      <c r="BE31" s="32">
        <f t="shared" si="146"/>
        <v>0</v>
      </c>
      <c r="BF31" s="32">
        <f>(BE31)*InputData!$C$6</f>
        <v>0</v>
      </c>
      <c r="BG31" s="32">
        <f>MIN($BE$16*InputData!$C$6/(1-(1+InputData!$C$6)^(-10)), BE31+BF31)</f>
        <v>0</v>
      </c>
      <c r="BH31" s="32">
        <f t="shared" si="137"/>
        <v>0</v>
      </c>
      <c r="BI31" s="32">
        <f>BG31/((1+InputData!$C$3)^(GenSurg!$B31-GenSurg!$B$7))</f>
        <v>0</v>
      </c>
      <c r="BJ31" s="32">
        <f>IF(BA31-InputData!$C$158-InputData!$C$159&gt;=0,BA31-InputData!$C$158-InputData!$C$159,0)</f>
        <v>348445.75421563798</v>
      </c>
      <c r="BK31" s="32">
        <f>IF(BA31-IF(BA31&lt;=InputData!$C$146,InputData!$C$145,0)-MAX(InputData!$C$144,BQ31)&gt;=0,BA31-IF(BA31&lt;=InputData!$C$146,InputData!$C$145,0)-MAX(InputData!$C$144,BQ31),0)</f>
        <v>342345.75421563798</v>
      </c>
      <c r="BL31" s="32">
        <f>IF(BK31&lt;0,"Error",IF(BK31&lt;=InputData!$B$170,InputData!$C$170*BK31,IF(BK31&lt;=InputData!$B$171,InputData!$D$170+InputData!$C$171*(BK31-InputData!$B$170),IF(BK31&lt;=InputData!$B$172,InputData!$D$171+InputData!$C$172*(BK31-InputData!$B$171),IF(BK31&lt;=InputData!$B$173,InputData!$D$172+InputData!$C$173*(BK31-InputData!$B$172),IF(BK31&lt;=InputData!$B$174,InputData!$D$173+InputData!$C$174*(BK31-InputData!$B$173),IF(BK31&lt;=InputData!$B$175,InputData!$D$174+InputData!$C$175*(BK31-InputData!$B$174),InputData!$D$175+InputData!$C$176*(BK31-InputData!$B$175))))))))</f>
        <v>97104.848891160538</v>
      </c>
      <c r="BM31" s="32">
        <f>IF(BA31&lt;=InputData!$C$150,InputData!$C$152,IF(BA31&lt;InputData!$C$151,IF(InputData!$C$152-0.25*IF(BA31-InputData!$C$150&lt;=0,0,BA31-InputData!$C$150)&lt;=0,0,InputData!$C$152-0.25*IF(BA31-InputData!$C$150&lt;=0,0,BA31-InputData!$C$150)),0))</f>
        <v>0</v>
      </c>
      <c r="BN31" s="32">
        <f>IF(BA31-BM31&lt;=0,0,IF(BA31-BM31&lt;=InputData!$C$153,InputData!$C$154*(BA31-BM31),InputData!$C$155*(BA31-BM31)-InputData!$D$154))</f>
        <v>93974.811180378645</v>
      </c>
      <c r="BO31" s="32">
        <f t="shared" si="42"/>
        <v>97104.848891160538</v>
      </c>
      <c r="BP31" s="32">
        <f>IF(BA31&gt;=0,IF(BA31&lt;=InputData!$C$148,InputData!$C$147*BA31,InputData!$C$147*InputData!$C$148)+InputData!$C$149*BA31,0)</f>
        <v>12101.86343612675</v>
      </c>
      <c r="BQ31" s="32">
        <f>IF(BJ31&lt;0,0,IF(BJ31&lt;=InputData!$B$163,InputData!$C$163*BJ31,IF(BJ31&lt;=InputData!$B$164,InputData!$D$163+InputData!$C$164*(BJ31-InputData!$B$163),IF(BJ31&lt;=InputData!$B$165,InputData!$D$164+InputData!$C$165*(BJ31-InputData!$B$164),InputData!$D$165+InputData!$C$166*(BJ31-InputData!$B$165)))))</f>
        <v>0</v>
      </c>
      <c r="BR31" s="43">
        <f t="shared" si="43"/>
        <v>0.3134109427538152</v>
      </c>
      <c r="BS31" s="32">
        <f t="shared" si="44"/>
        <v>239239.04188835068</v>
      </c>
      <c r="BT31" s="32">
        <f t="shared" si="45"/>
        <v>239239.04188835068</v>
      </c>
      <c r="BU31" s="32">
        <f>BT31/((1+InputData!$C$7)^(GenSurg!$B31-GenSurg!$B$7))</f>
        <v>117689.75575442075</v>
      </c>
      <c r="BV31" s="5">
        <f t="shared" si="114"/>
        <v>1999389.0039426489</v>
      </c>
      <c r="BW31" s="5"/>
      <c r="BX31" s="32" t="s">
        <v>141</v>
      </c>
      <c r="BY31" s="5">
        <f t="shared" si="147"/>
        <v>158036.3409253502</v>
      </c>
      <c r="BZ31" s="32">
        <f>(BY31)*InputData!$C$6</f>
        <v>9814.0567714642475</v>
      </c>
      <c r="CA31" s="32">
        <f>MIN($BY$16*InputData!$C$6/(1-(1+InputData!$C$6)^(-25)), BY31+BZ31)</f>
        <v>21686.214673809533</v>
      </c>
      <c r="CB31" s="32">
        <f t="shared" si="148"/>
        <v>146164.18302300491</v>
      </c>
      <c r="CC31" s="32">
        <f>CA31/((1+InputData!$C$3)^(GenSurg!$B31-GenSurg!$B$7))</f>
        <v>13482.785654762074</v>
      </c>
      <c r="CD31" s="5">
        <f t="shared" si="49"/>
        <v>225756.25623358862</v>
      </c>
      <c r="CE31" s="32">
        <f>CD31/((1+InputData!$C$7)^(GenSurg!$B31-GenSurg!$B$7))</f>
        <v>111057.11863100893</v>
      </c>
      <c r="CF31" s="5">
        <f t="shared" si="115"/>
        <v>2035169.775405037</v>
      </c>
      <c r="CG31" s="5"/>
      <c r="CH31" s="32" t="s">
        <v>141</v>
      </c>
      <c r="CI31" s="5" t="e">
        <f t="shared" si="149"/>
        <v>#VALUE!</v>
      </c>
      <c r="CJ31" s="32" t="e">
        <f>(CI31)*InputData!$C$6</f>
        <v>#VALUE!</v>
      </c>
      <c r="CK31" s="5" t="str">
        <f t="shared" si="159"/>
        <v>DNQ</v>
      </c>
      <c r="CL31" s="32" t="e">
        <f t="shared" si="150"/>
        <v>#VALUE!</v>
      </c>
      <c r="CM31" s="32" t="e">
        <f>CK31/((1+InputData!$C$3)^(GenSurg!$B31-GenSurg!$B$7))</f>
        <v>#VALUE!</v>
      </c>
      <c r="CN31" s="5" t="e">
        <f t="shared" si="53"/>
        <v>#VALUE!</v>
      </c>
      <c r="CO31" s="32" t="e">
        <f>CN31/((1+InputData!$C$7)^(GenSurg!$B31-GenSurg!$B$7))</f>
        <v>#VALUE!</v>
      </c>
      <c r="CP31" s="5" t="e">
        <f t="shared" si="116"/>
        <v>#VALUE!</v>
      </c>
      <c r="CQ31" s="5"/>
      <c r="CR31" s="32" t="s">
        <v>141</v>
      </c>
      <c r="CS31" s="5">
        <f t="shared" si="160"/>
        <v>0</v>
      </c>
      <c r="CT31" s="32">
        <f>(CS31)*InputData!$C$6</f>
        <v>0</v>
      </c>
      <c r="CU31" s="32">
        <f t="shared" si="161"/>
        <v>0</v>
      </c>
      <c r="CV31" s="32">
        <f t="shared" si="152"/>
        <v>0</v>
      </c>
      <c r="CW31" s="32">
        <f>CU31/((1+InputData!$C$3)^(GenSurg!$B31-GenSurg!$B$7))</f>
        <v>0</v>
      </c>
      <c r="CX31" s="5">
        <f t="shared" si="57"/>
        <v>239239.04188835068</v>
      </c>
      <c r="CY31" s="32">
        <f>CX31/((1+InputData!$C$7)^(GenSurg!$B31-GenSurg!$B$7))</f>
        <v>117689.75575442075</v>
      </c>
      <c r="CZ31" s="5">
        <f t="shared" si="117"/>
        <v>1998943.7476821169</v>
      </c>
      <c r="DA31" s="5"/>
      <c r="DB31" s="32" t="s">
        <v>141</v>
      </c>
      <c r="DC31" s="5">
        <f t="shared" si="138"/>
        <v>0</v>
      </c>
      <c r="DD31" s="5">
        <f>DC31*InputData!$C$6</f>
        <v>0</v>
      </c>
      <c r="DE31" s="32">
        <f t="shared" si="139"/>
        <v>0</v>
      </c>
      <c r="DF31" s="32">
        <f t="shared" si="140"/>
        <v>0</v>
      </c>
      <c r="DG31" s="32">
        <f>DE31/((1+InputData!$C$3)^(GenSurg!$B31-GenSurg!$B$7))</f>
        <v>0</v>
      </c>
      <c r="DH31" s="5">
        <f t="shared" si="61"/>
        <v>239239.04188835068</v>
      </c>
      <c r="DI31" s="32">
        <f>DH31/((1+InputData!$C$7)^(GenSurg!$B31-GenSurg!$B$7))</f>
        <v>117689.75575442075</v>
      </c>
      <c r="DJ31" s="5">
        <f t="shared" si="118"/>
        <v>2003976.6200450652</v>
      </c>
      <c r="DK31" s="5"/>
      <c r="DL31" s="32" t="s">
        <v>141</v>
      </c>
      <c r="DM31" s="32">
        <f t="shared" si="153"/>
        <v>0</v>
      </c>
      <c r="DN31" s="5">
        <f>DM31*InputData!$C$6</f>
        <v>0</v>
      </c>
      <c r="DO31" s="32">
        <f t="shared" si="154"/>
        <v>0</v>
      </c>
      <c r="DP31" s="32">
        <f t="shared" si="130"/>
        <v>0</v>
      </c>
      <c r="DQ31" s="32">
        <f t="shared" si="131"/>
        <v>0</v>
      </c>
      <c r="DR31" s="32">
        <f>DP31/((1+InputData!$C$3)^(GenSurg!$B31-GenSurg!$B$7))</f>
        <v>0</v>
      </c>
      <c r="DS31" s="5">
        <f t="shared" si="65"/>
        <v>239239.04188835068</v>
      </c>
      <c r="DT31" s="32">
        <f>DS31/((1+InputData!$C$7)^(GenSurg!$B31-GenSurg!$B$7))</f>
        <v>117689.75575442075</v>
      </c>
      <c r="DU31" s="5">
        <f t="shared" si="120"/>
        <v>1997068.3783989113</v>
      </c>
      <c r="DV31" s="5"/>
      <c r="DW31" s="32" t="s">
        <v>141</v>
      </c>
      <c r="DX31" s="133">
        <f t="shared" si="141"/>
        <v>0</v>
      </c>
      <c r="DY31" s="5">
        <f>DX31*InputData!$C$6</f>
        <v>0</v>
      </c>
      <c r="DZ31" s="133">
        <f t="shared" si="142"/>
        <v>0</v>
      </c>
      <c r="EA31" s="32">
        <f t="shared" si="143"/>
        <v>0</v>
      </c>
      <c r="EB31" s="32">
        <f t="shared" si="144"/>
        <v>0</v>
      </c>
      <c r="EC31" s="32">
        <f>EA31/((1+InputData!$C$3)^(GenSurg!$B31-GenSurg!$B$7))</f>
        <v>0</v>
      </c>
      <c r="ED31" s="5">
        <f t="shared" si="69"/>
        <v>239239.04188835068</v>
      </c>
      <c r="EE31" s="32">
        <f>ED31/((1+InputData!$C$7)^(GenSurg!$B31-GenSurg!$B$7))</f>
        <v>117689.75575442075</v>
      </c>
      <c r="EF31" s="5">
        <f t="shared" si="122"/>
        <v>1997587.6493441174</v>
      </c>
      <c r="EG31" s="32"/>
      <c r="EH31" s="130" t="s">
        <v>141</v>
      </c>
      <c r="EI31" s="32">
        <v>0</v>
      </c>
      <c r="EJ31" s="32">
        <f t="shared" si="168"/>
        <v>0</v>
      </c>
      <c r="EK31" s="32">
        <f>(EJ31)*InputData!$C$6</f>
        <v>0</v>
      </c>
      <c r="EL31" s="32">
        <f t="shared" si="167"/>
        <v>-2.1827872842550278E-11</v>
      </c>
      <c r="EM31" s="32">
        <f>EM30*(1+InputData!$C$8)</f>
        <v>18480.943996470349</v>
      </c>
      <c r="EN31" s="32">
        <f t="shared" si="162"/>
        <v>0</v>
      </c>
      <c r="EO31" s="32">
        <f>AW31/((1+InputData!$C$3)^(GenSurg!$B31-GenSurg!$B$7))</f>
        <v>348445.75421563798</v>
      </c>
      <c r="EP31" s="32">
        <f>AX31/((1+InputData!$C$3)^(GenSurg!$B31-GenSurg!$B$7))</f>
        <v>0</v>
      </c>
      <c r="EQ31" s="32">
        <v>91016.57</v>
      </c>
      <c r="ER31" s="32">
        <v>10545.62</v>
      </c>
      <c r="ES31" s="32">
        <v>0</v>
      </c>
      <c r="ET31" s="43">
        <f t="shared" si="136"/>
        <v>0.29147202619420515</v>
      </c>
      <c r="EU31" s="32">
        <f t="shared" si="70"/>
        <v>246883.56421563798</v>
      </c>
      <c r="EV31" s="32">
        <f>EN31/((1+InputData!$C$3)^(GenSurg!$B31-GenSurg!$B$7))</f>
        <v>0</v>
      </c>
      <c r="EW31" s="32">
        <f t="shared" si="71"/>
        <v>246883.56421563798</v>
      </c>
      <c r="EX31" s="32">
        <f>EW31/((1+InputData!$C$7)^(GenSurg!$B31-GenSurg!$B$7))</f>
        <v>121450.35418541401</v>
      </c>
      <c r="EY31" s="5">
        <f t="shared" si="124"/>
        <v>2129182.7286131745</v>
      </c>
      <c r="EZ31" s="79"/>
      <c r="FA31" s="32">
        <f t="shared" si="163"/>
        <v>0</v>
      </c>
      <c r="FB31" s="32">
        <f>FA31*InputData!$C$6</f>
        <v>0</v>
      </c>
      <c r="FC31" s="32">
        <f t="shared" si="155"/>
        <v>0</v>
      </c>
      <c r="FD31" s="32">
        <f>MIN($EJ$16*InputData!$C$6/(1-(1+InputData!$C$6)^(-10)), FA31+FB31)</f>
        <v>0</v>
      </c>
      <c r="FE31" s="32">
        <f>FD31/((1+InputData!$C$3)^(GenSurg!$B31-GenSurg!$B$7))</f>
        <v>0</v>
      </c>
      <c r="FF31" s="5">
        <f t="shared" si="75"/>
        <v>246883.56421563798</v>
      </c>
      <c r="FG31" s="32">
        <f>FF31/((1+InputData!$C$7)^(GenSurg!$B31-GenSurg!$B$7))</f>
        <v>121450.35418541401</v>
      </c>
      <c r="FH31" s="5">
        <f t="shared" si="125"/>
        <v>2129621.427363066</v>
      </c>
      <c r="FI31" s="79"/>
      <c r="FJ31" s="32">
        <f t="shared" si="164"/>
        <v>157917.21122702723</v>
      </c>
      <c r="FK31" s="32">
        <f>FJ31*InputData!$C$6</f>
        <v>9806.6588171983913</v>
      </c>
      <c r="FL31" s="32">
        <f t="shared" si="156"/>
        <v>146054.0027003829</v>
      </c>
      <c r="FM31" s="32">
        <f>MIN($EJ$16*InputData!$C$6/(1-(1+InputData!$C$6)^(-25)), FJ31+FK31)</f>
        <v>21669.867343842721</v>
      </c>
      <c r="FN31" s="32">
        <f>FM31/((1+InputData!$C$3)^(GenSurg!$B31-GenSurg!$B$7))</f>
        <v>13472.622168451282</v>
      </c>
      <c r="FO31" s="5">
        <f t="shared" si="79"/>
        <v>233410.94204718669</v>
      </c>
      <c r="FP31" s="32">
        <f>FO31/((1+InputData!$C$7)^(GenSurg!$B31-GenSurg!$B$7))</f>
        <v>114822.71682379725</v>
      </c>
      <c r="FQ31" s="5">
        <f t="shared" si="126"/>
        <v>2165375.2268487229</v>
      </c>
      <c r="FR31" s="79"/>
      <c r="FS31" s="32">
        <f t="shared" si="165"/>
        <v>0</v>
      </c>
      <c r="FT31" s="32">
        <f>FS31*InputData!$C$6</f>
        <v>0</v>
      </c>
      <c r="FU31" s="32">
        <f t="shared" si="157"/>
        <v>0</v>
      </c>
      <c r="FV31" s="5">
        <f t="shared" si="166"/>
        <v>0</v>
      </c>
      <c r="FW31" s="32">
        <f>FV31/((1+InputData!$C$3)^(GenSurg!$B31-GenSurg!$B$7))</f>
        <v>0</v>
      </c>
      <c r="FX31" s="5">
        <f t="shared" si="83"/>
        <v>246883.56421563798</v>
      </c>
      <c r="FY31" s="32">
        <f>FX31/((1+InputData!$C$7)^(GenSurg!$B31-GenSurg!$B$7))</f>
        <v>121450.35418541401</v>
      </c>
      <c r="FZ31" s="5">
        <f t="shared" si="127"/>
        <v>2129621.427363066</v>
      </c>
      <c r="GC31" s="83">
        <v>20</v>
      </c>
      <c r="GD31" s="4" t="s">
        <v>217</v>
      </c>
      <c r="GE31" s="5"/>
      <c r="GF31" s="84">
        <v>0</v>
      </c>
      <c r="GG31" s="5"/>
      <c r="GH31" s="84">
        <f>MIN(InputData!$C$13+InputData!$E$13*($B31-$B$31),1)*$AW31/((1+InputData!$C$3)^(GenSurg!$B31-GenSurg!$B$7))+0.025*$GC$30*(($F$28+$F$29+$F$30)/3)*((1+InputData!$C$5)/(1+InputData!$C$3))^(GenSurg!$B31-GenSurg!$B$7)</f>
        <v>354767.76364301116</v>
      </c>
      <c r="GI31" s="5">
        <v>0</v>
      </c>
      <c r="GJ31" s="32">
        <f>IF(GH31-InputData!$C$158-InputData!$C$159&gt;=0,GH31-InputData!$C$158-InputData!$C$159,0)</f>
        <v>354767.76364301116</v>
      </c>
      <c r="GK31" s="32">
        <f>IF(GH31-IF(GH31&lt;=InputData!$C$146,InputData!$C$145,0)-MAX(InputData!$C$144,GQ31)&gt;=0,GH31-IF(GH31&lt;=InputData!$C$146,InputData!$C$145,0)-MAX(InputData!$C$144,GQ31),0)</f>
        <v>348667.76364301116</v>
      </c>
      <c r="GL31" s="32">
        <f>IF(GK31&lt;0,"Error",IF(GK31&lt;=InputData!$B$170,InputData!$C$170*GK31,IF(GK31&lt;=InputData!$B$171,InputData!$D$170+InputData!$C$171*(GK31-InputData!$B$170),IF(GK31&lt;=InputData!$B$172,InputData!$D$171+InputData!$C$172*(GK31-InputData!$B$171),IF(GK31&lt;=InputData!$B$173,InputData!$D$172+InputData!$C$173*(GK31-InputData!$B$172),IF(GK31&lt;=InputData!$B$174,InputData!$D$173+InputData!$C$174*(GK31-InputData!$B$173),IF(GK31&lt;=InputData!$B$175,InputData!$D$174+InputData!$C$175*(GK31-InputData!$B$174),InputData!$D$175+InputData!$C$176*(GK31-InputData!$B$175))))))))</f>
        <v>99191.112002193695</v>
      </c>
      <c r="GM31" s="32">
        <f>IF(GH31&lt;=InputData!$C$150,InputData!$C$152,IF(GH31&lt;InputData!$C$151,IF(InputData!$C$152-0.25*IF(GH31-InputData!$C$150&lt;=0,0,GH31-InputData!$C$150)&lt;=0,0,InputData!$C$152-0.25*IF(GH31-InputData!$C$150&lt;=0,0,GH31-InputData!$C$150)),0))</f>
        <v>0</v>
      </c>
      <c r="GN31" s="32">
        <f>IF(GH31-GM31&lt;=0,0,IF(GH31-GM31&lt;=InputData!$C$153,InputData!$C$154*(GH31-GM31),InputData!$C$155*(GH31-GM31)-InputData!$D$154))</f>
        <v>95744.973820043131</v>
      </c>
      <c r="GO31" s="32">
        <f t="shared" si="84"/>
        <v>99191.112002193695</v>
      </c>
      <c r="GP31" s="32">
        <f>IF(GH31&gt;=0,IF(GH31&lt;=InputData!$C$148,InputData!$C$147*GH31,InputData!$C$147*InputData!$C$148)+InputData!$C$149*GH31,0)</f>
        <v>12193.532572823662</v>
      </c>
      <c r="GQ31" s="32">
        <f>IF(GJ31&lt;0,0,IF(GJ31&lt;=InputData!$B$163,InputData!$C$163*GJ31,IF(GJ31&lt;=InputData!$B$164,InputData!$D$163+InputData!$C$164*(GJ31-InputData!$B$163),IF(GJ31&lt;=InputData!$B$165,InputData!$D$164+InputData!$C$165*(GJ31-InputData!$B$164),InputData!$D$165+InputData!$C$166*(GJ31-InputData!$B$165)))))</f>
        <v>0</v>
      </c>
      <c r="GR31" s="43">
        <f t="shared" si="85"/>
        <v>0.3139649539497037</v>
      </c>
      <c r="GS31" s="43">
        <f t="shared" si="86"/>
        <v>0.3139649539497037</v>
      </c>
      <c r="GT31" s="5">
        <f t="shared" si="87"/>
        <v>243383.1190679938</v>
      </c>
      <c r="GU31" s="32">
        <f>GT31/((1+InputData!$C$7)^(GenSurg!$B31-GenSurg!$B$7))</f>
        <v>119728.3671250819</v>
      </c>
      <c r="GV31" s="84">
        <f t="shared" si="88"/>
        <v>1698037.379055026</v>
      </c>
      <c r="GX31" s="124">
        <v>21</v>
      </c>
      <c r="GY31" s="123" t="str">
        <f t="shared" si="9"/>
        <v>Multi-Year (O6&gt;20 = (BP+BAH+BAS+VSP+BCPSP)*12+ASP+ISP+MSP)</v>
      </c>
      <c r="GZ31" s="5"/>
      <c r="HA31" s="5">
        <f>AD31</f>
        <v>21631.199999999997</v>
      </c>
      <c r="HB31" s="5"/>
      <c r="HC31" s="5">
        <f>AF31</f>
        <v>199999.574379825</v>
      </c>
      <c r="HD31" s="5">
        <v>0</v>
      </c>
      <c r="HE31" s="32">
        <f>IF(HC31-InputData!$C$158-InputData!$C$159&gt;=0,HC31-InputData!$C$158-InputData!$C$159,0)</f>
        <v>199999.574379825</v>
      </c>
      <c r="HF31" s="32">
        <f>IF(HC31-IF(HC31&lt;=InputData!$C$146,InputData!$C$145,0)-MAX(InputData!$C$144,HL31)&gt;=0,HC31-IF(HC31&lt;=InputData!$C$146,InputData!$C$145,0)-MAX(InputData!$C$144,HL31),0)</f>
        <v>193899.574379825</v>
      </c>
      <c r="HG31" s="32">
        <f>IF(HF31&lt;0,"Error",IF(HF31&lt;=InputData!$B$170,InputData!$C$170*HF31,IF(HF31&lt;=InputData!$B$171,InputData!$D$170+InputData!$C$171*(HF31-InputData!$B$170),IF(HF31&lt;=InputData!$B$172,InputData!$D$171+InputData!$C$172*(HF31-InputData!$B$171),IF(HF31&lt;=InputData!$B$173,InputData!$D$172+InputData!$C$173*(HF31-InputData!$B$172),IF(HF31&lt;=InputData!$B$174,InputData!$D$173+InputData!$C$174*(HF31-InputData!$B$173),IF(HF31&lt;=InputData!$B$175,InputData!$D$174+InputData!$C$175*(HF31-InputData!$B$174),InputData!$D$175+InputData!$C$176*(HF31-InputData!$B$175))))))))</f>
        <v>48117.609545342253</v>
      </c>
      <c r="HH31" s="32">
        <f>IF(HC31&lt;=InputData!$C$150,InputData!$C$152,IF(HC31&lt;InputData!$C$151,IF(InputData!$C$152-0.25*IF(HC31-InputData!$C$150&lt;=0,0,HC31-InputData!$C$150)&lt;=0,0,InputData!$C$152-0.25*IF(HC31-InputData!$C$150&lt;=0,0,HC31-InputData!$C$150)),0))</f>
        <v>30750.106405043749</v>
      </c>
      <c r="HI31" s="32">
        <f>IF(HC31-HH31&lt;=0,0,IF(HC31-HH31&lt;=InputData!$C$153,InputData!$C$154*(HC31-HH31),InputData!$C$155*(HC31-HH31)-InputData!$D$154))</f>
        <v>44004.861673443127</v>
      </c>
      <c r="HJ31" s="32">
        <f t="shared" si="89"/>
        <v>48117.609545342253</v>
      </c>
      <c r="HK31" s="32">
        <f>IF(HC31&gt;=0,IF(HC31&lt;=InputData!$C$148,InputData!$C$147*HC31,InputData!$C$147*InputData!$C$148)+InputData!$C$149*HC31,0)</f>
        <v>9949.3938285074619</v>
      </c>
      <c r="HL31" s="32">
        <f>IF(HE31&lt;0,0,IF(HE31&lt;=InputData!$B$163,InputData!$C$163*HE31,IF(HE31&lt;=InputData!$B$164,InputData!$D$163+InputData!$C$164*(HE31-InputData!$B$163),IF(HE31&lt;=InputData!$B$165,InputData!$D$164+InputData!$C$165*(HE31-InputData!$B$164),InputData!$D$165+InputData!$C$166*(HE31-InputData!$B$165)))))</f>
        <v>0</v>
      </c>
      <c r="HM31" s="43">
        <f t="shared" si="90"/>
        <v>0.29033563473276691</v>
      </c>
      <c r="HN31" s="43">
        <f t="shared" si="91"/>
        <v>0.29033563473276691</v>
      </c>
      <c r="HO31" s="5">
        <f t="shared" si="92"/>
        <v>141932.5710059753</v>
      </c>
      <c r="HP31" s="32">
        <f>HO31/((1+InputData!$C$7)^(GenSurg!$B31-GenSurg!$B$7))</f>
        <v>69821.419963242151</v>
      </c>
      <c r="HQ31" s="32">
        <f t="shared" si="93"/>
        <v>1685680.638741472</v>
      </c>
      <c r="HS31" s="227"/>
      <c r="HT31" s="53" t="s">
        <v>109</v>
      </c>
      <c r="HU31" s="32">
        <f>MIN(InputData!$C$13+InputData!$E$13*($B31-$B$23),1)*GenSurg!AW31</f>
        <v>504407.81745172897</v>
      </c>
      <c r="HV31" s="32">
        <f>MIN(InputData!$C$13+InputData!$E$13*($B31-$B$23),1)*GenSurg!AX31</f>
        <v>0</v>
      </c>
      <c r="HW31" s="32">
        <f>MIN(InputData!$C$13+InputData!$E$13*($B31-$B$23),1)*GenSurg!AY31</f>
        <v>504407.81745172897</v>
      </c>
      <c r="HX31" s="32">
        <f>MIN(InputData!$C$13+InputData!$E$13*($B31-$B$23),1)*GenSurg!EO31</f>
        <v>313601.17879407416</v>
      </c>
      <c r="HY31" s="32">
        <f>MIN(InputData!$C$13+InputData!$E$13*($B31-$B$23),1)*GenSurg!EP31</f>
        <v>0</v>
      </c>
      <c r="HZ31" s="32">
        <f>IF(HX31-InputData!$C$158-InputData!$C$159&gt;=0,HX31-InputData!$C$158-InputData!$C$159,0)</f>
        <v>313601.17879407416</v>
      </c>
      <c r="IA31" s="32">
        <f>IF(HX31-IF(HX31&lt;=InputData!$C$146,InputData!$C$145,0)-MAX(InputData!$C$144,IG31)&gt;=0,HX31-IF(HX31&lt;=InputData!$C$146,InputData!$C$145,0)-MAX(InputData!$C$144,IG31),0)</f>
        <v>307501.17879407416</v>
      </c>
      <c r="IB31" s="32">
        <f>IF(IA31&lt;0,"Error",IF(IA31&lt;=InputData!$B$170,InputData!$C$170*IA31,IF(IA31&lt;=InputData!$B$171,InputData!$D$170+InputData!$C$171*(IA31-InputData!$B$170),IF(IA31&lt;=InputData!$B$172,InputData!$D$171+InputData!$C$172*(IA31-InputData!$B$171),IF(IA31&lt;=InputData!$B$173,InputData!$D$172+InputData!$C$173*(IA31-InputData!$B$172),IF(IA31&lt;=InputData!$B$174,InputData!$D$173+InputData!$C$174*(IA31-InputData!$B$173),IF(IA31&lt;=InputData!$B$175,InputData!$D$174+InputData!$C$175*(IA31-InputData!$B$174),InputData!$D$175+InputData!$C$176*(IA31-InputData!$B$175))))))))</f>
        <v>85606.139002044481</v>
      </c>
      <c r="IC31" s="32">
        <f>IF(HX31&lt;=InputData!$C$150,InputData!$C$152,IF(HX31&lt;InputData!$C$151,IF(InputData!$C$152-0.25*IF(HX31-InputData!$C$150&lt;=0,0,HX31-InputData!$C$150)&lt;=0,0,InputData!$C$152-0.25*IF(HX31-InputData!$C$150&lt;=0,0,HX31-InputData!$C$150)),0))</f>
        <v>2349.7053014814592</v>
      </c>
      <c r="ID31" s="32">
        <f>IF(HX31-IC31&lt;=0,0,IF(HX31-IC31&lt;=InputData!$C$153,InputData!$C$154*(HX31-IC31),InputData!$C$155*(HX31-IC31)-InputData!$D$154))</f>
        <v>83560.412577925963</v>
      </c>
      <c r="IE31" s="32">
        <f t="shared" si="96"/>
        <v>85606.139002044481</v>
      </c>
      <c r="IF31" s="32">
        <f>IF(HX31&gt;=0,IF(HX31&lt;=InputData!$C$148,InputData!$C$147*HX31,InputData!$C$147*InputData!$C$148)+InputData!$C$149*HX31,0)</f>
        <v>11596.617092514076</v>
      </c>
      <c r="IG31" s="32">
        <f>IF(HZ31&lt;0,0,IF(HZ31&lt;=InputData!$B$163,InputData!$C$163*HZ31,IF(HZ31&lt;=InputData!$B$164,InputData!$D$163+InputData!$C$164*(HZ31-InputData!$B$163),IF(HZ31&lt;=InputData!$B$165,InputData!$D$164+InputData!$C$165*(HZ31-InputData!$B$164),InputData!$D$165+InputData!$C$166*(HZ31-InputData!$B$165)))))</f>
        <v>0</v>
      </c>
      <c r="IH31" s="43">
        <f t="shared" si="97"/>
        <v>0.30995660305979472</v>
      </c>
      <c r="II31" s="43">
        <f t="shared" si="98"/>
        <v>0.30995660305979472</v>
      </c>
      <c r="IJ31" s="5">
        <f t="shared" si="20"/>
        <v>216398.42269951559</v>
      </c>
      <c r="IK31" s="32">
        <f>IJ31/((1+InputData!$C$7)^(GenSurg!$B31-GenSurg!$B$7))</f>
        <v>106453.68461654922</v>
      </c>
      <c r="IL31" s="5">
        <f t="shared" si="99"/>
        <v>1922791.3296734532</v>
      </c>
      <c r="IN31" s="227"/>
      <c r="IO31" s="53" t="s">
        <v>109</v>
      </c>
      <c r="IP31" s="32">
        <f>MIN(InputData!$C$13+InputData!$E$13*($B31-$B$20),1)*GenSurg!AW31</f>
        <v>504407.81745172897</v>
      </c>
      <c r="IQ31" s="32">
        <f>MIN(InputData!$C$13+InputData!$E$13*($B31-$B$20),1)*GenSurg!AX31</f>
        <v>0</v>
      </c>
      <c r="IR31" s="32">
        <f>MIN(InputData!$C$13+InputData!$E$13*($B31-$B$20),1)*GenSurg!AY31</f>
        <v>504407.81745172897</v>
      </c>
      <c r="IS31" s="32">
        <f>MIN(InputData!$C$13+InputData!$E$13*($B31-$B$20),1)*GenSurg!EO31</f>
        <v>313601.17879407416</v>
      </c>
      <c r="IT31" s="32">
        <f>MIN(InputData!$C$13+InputData!$E$13*($B31-$B$20),1)*GenSurg!EP31</f>
        <v>0</v>
      </c>
      <c r="IU31" s="32">
        <f>IF(IS31-InputData!$C$158-InputData!$C$159&gt;=0,IS31-InputData!$C$158-InputData!$C$159,0)</f>
        <v>313601.17879407416</v>
      </c>
      <c r="IV31" s="32">
        <f>IF(IS31-IF(IS31&lt;=InputData!$C$146,InputData!$C$145,0)-MAX(InputData!$C$144,JB31)&gt;=0,IS31-IF(IS31&lt;=InputData!$C$146,InputData!$C$145,0)-MAX(InputData!$C$144,JB31),0)</f>
        <v>307501.17879407416</v>
      </c>
      <c r="IW31" s="32">
        <f>IF(IV31&lt;0,"Error",IF(IV31&lt;=InputData!$B$170,InputData!$C$170*IV31,IF(IV31&lt;=InputData!$B$171,InputData!$D$170+InputData!$C$171*(IV31-InputData!$B$170),IF(IV31&lt;=InputData!$B$172,InputData!$D$171+InputData!$C$172*(IV31-InputData!$B$171),IF(IV31&lt;=InputData!$B$173,InputData!$D$172+InputData!$C$173*(IV31-InputData!$B$172),IF(IV31&lt;=InputData!$B$174,InputData!$D$173+InputData!$C$174*(IV31-InputData!$B$173),IF(IV31&lt;=InputData!$B$175,InputData!$D$174+InputData!$C$175*(IV31-InputData!$B$174),InputData!$D$175+InputData!$C$176*(IV31-InputData!$B$175))))))))</f>
        <v>85606.139002044481</v>
      </c>
      <c r="IX31" s="32">
        <f>IF(IS31&lt;=InputData!$C$150,InputData!$C$152,IF(IS31&lt;InputData!$C$151,IF(InputData!$C$152-0.25*IF(IS31-InputData!$C$150&lt;=0,0,IS31-InputData!$C$150)&lt;=0,0,InputData!$C$152-0.25*IF(IS31-InputData!$C$150&lt;=0,0,IS31-InputData!$C$150)),0))</f>
        <v>2349.7053014814592</v>
      </c>
      <c r="IY31" s="32">
        <f>IF(IS31-IX31&lt;=0,0,IF(IS31-IX31&lt;=InputData!$C$153,InputData!$C$154*(IS31-IX31),InputData!$C$155*(IS31-IX31)-InputData!$D$154))</f>
        <v>83560.412577925963</v>
      </c>
      <c r="IZ31" s="32">
        <f t="shared" si="102"/>
        <v>85606.139002044481</v>
      </c>
      <c r="JA31" s="32">
        <f>IF(IS31&gt;=0,IF(IS31&lt;=InputData!$C$148,InputData!$C$147*IS31,InputData!$C$147*InputData!$C$148)+InputData!$C$149*IS31,0)</f>
        <v>11596.617092514076</v>
      </c>
      <c r="JB31" s="32">
        <f>IF(IU31&lt;0,0,IF(IU31&lt;=InputData!$B$163,InputData!$C$163*IU31,IF(IU31&lt;=InputData!$B$164,InputData!$D$163+InputData!$C$164*(IU31-InputData!$B$163),IF(IU31&lt;=InputData!$B$165,InputData!$D$164+InputData!$C$165*(IU31-InputData!$B$164),InputData!$D$165+InputData!$C$166*(IU31-InputData!$B$165)))))</f>
        <v>0</v>
      </c>
      <c r="JC31" s="43">
        <f t="shared" si="103"/>
        <v>0.30995660305979472</v>
      </c>
      <c r="JD31" s="43">
        <f t="shared" si="104"/>
        <v>0.30995660305979472</v>
      </c>
      <c r="JE31" s="5">
        <f t="shared" si="105"/>
        <v>216398.42269951559</v>
      </c>
      <c r="JF31" s="32">
        <f>JE31/((1+InputData!$C$7)^(GenSurg!$B31-GenSurg!$B$7))</f>
        <v>106453.68461654922</v>
      </c>
      <c r="JG31" s="5">
        <f t="shared" si="106"/>
        <v>2049945.6916072839</v>
      </c>
      <c r="JI31" s="41" t="str">
        <f t="shared" si="26"/>
        <v>Private Practice</v>
      </c>
      <c r="JJ31" s="5">
        <f t="shared" si="27"/>
        <v>560453.13050192106</v>
      </c>
      <c r="JK31" s="32">
        <v>0</v>
      </c>
      <c r="JL31" s="32">
        <f t="shared" si="108"/>
        <v>560453.13050192106</v>
      </c>
      <c r="JM31" s="32">
        <f>JM30*(1+InputData!$C$8)</f>
        <v>18480.943996470349</v>
      </c>
      <c r="JN31" s="32">
        <f>JJ31/((1+InputData!$C$3)^(GenSurg!$B31-GenSurg!$B$7))</f>
        <v>348445.75421563798</v>
      </c>
      <c r="JO31" s="32">
        <f>JK31/((1+InputData!$C$3)^(GenSurg!$B31-GenSurg!$B$7))</f>
        <v>0</v>
      </c>
      <c r="JP31" s="32" t="s">
        <v>141</v>
      </c>
      <c r="JQ31" s="32">
        <v>0</v>
      </c>
      <c r="JR31" s="32">
        <f t="shared" si="158"/>
        <v>0</v>
      </c>
      <c r="JS31" s="32">
        <f>(JR31)*InputData!$C$6</f>
        <v>0</v>
      </c>
      <c r="JT31" s="32">
        <f>MIN($BE$16*InputData!$C$6/(1-(1+InputData!$C$6)^(-10)), JR31+JS31)</f>
        <v>0</v>
      </c>
      <c r="JU31" s="32">
        <f t="shared" si="145"/>
        <v>0</v>
      </c>
      <c r="JV31" s="32">
        <f>JT31/((1+InputData!$C$3)^(GenSurg!$B31-GenSurg!$B$7))</f>
        <v>0</v>
      </c>
      <c r="JW31" s="32">
        <f>IF(JN31-InputData!$C$158-InputData!$C$159&gt;=0,JN31-InputData!$C$158-InputData!$C$159,0)</f>
        <v>348445.75421563798</v>
      </c>
      <c r="JX31" s="32">
        <f>IF(JN31-IF(JN31&lt;=InputData!$C$146,InputData!$C$145,0)-MAX(InputData!$C$144,KD31)&gt;=0,JN31-IF(JN31&lt;=InputData!$C$146,InputData!$C$145,0)-MAX(InputData!$C$144,KD31),0)</f>
        <v>342345.75421563798</v>
      </c>
      <c r="JY31" s="32">
        <f>IF(JX31&lt;0,"Error",IF(JX31&lt;=InputData!$B$170,InputData!$C$170*JX31,IF(JX31&lt;=InputData!$B$171,InputData!$D$170+InputData!$C$171*(JX31-InputData!$B$170),IF(JX31&lt;=InputData!$B$172,InputData!$D$171+InputData!$C$172*(JX31-InputData!$B$171),IF(JX31&lt;=InputData!$B$173,InputData!$D$172+InputData!$C$173*(JX31-InputData!$B$172),IF(JX31&lt;=InputData!$B$174,InputData!$D$173+InputData!$C$174*(JX31-InputData!$B$173),IF(JX31&lt;=InputData!$B$175,InputData!$D$174+InputData!$C$175*(JX31-InputData!$B$174),InputData!$D$175+InputData!$C$176*(JX31-InputData!$B$175))))))))</f>
        <v>97104.848891160538</v>
      </c>
      <c r="JZ31" s="32">
        <f>IF(JN31&lt;=InputData!$C$150,InputData!$C$152,IF(JN31&lt;InputData!$C$151,IF(InputData!$C$152-0.25*IF(JN31-InputData!$C$150&lt;=0,0,JN31-InputData!$C$150)&lt;=0,0,InputData!$C$152-0.25*IF(JN31-InputData!$C$150&lt;=0,0,JN31-InputData!$C$150)),0))</f>
        <v>0</v>
      </c>
      <c r="KA31" s="32">
        <f>IF(JN31-JZ31&lt;=0,0,IF(JN31-JZ31&lt;=InputData!$C$153,InputData!$C$154*(JN31-JZ31),InputData!$C$155*(JN31-JZ31)-InputData!$D$154))</f>
        <v>93974.811180378645</v>
      </c>
      <c r="KB31" s="32">
        <f t="shared" si="109"/>
        <v>97104.848891160538</v>
      </c>
      <c r="KC31" s="32">
        <f>IF(JN31&gt;=0,IF(JN31&lt;=InputData!$C$148,InputData!$C$147*JN31,InputData!$C$147*InputData!$C$148)+InputData!$C$149*JN31,0)</f>
        <v>12101.86343612675</v>
      </c>
      <c r="KD31" s="32">
        <f>IF(JW31&lt;0,0,IF(JW31&lt;=InputData!$B$163,InputData!$C$163*JW31,IF(JW31&lt;=InputData!$B$164,InputData!$D$163+InputData!$C$164*(JW31-InputData!$B$163),IF(JW31&lt;=InputData!$B$165,InputData!$D$164+InputData!$C$165*(JW31-InputData!$B$164),InputData!$D$165+InputData!$C$166*(JW31-InputData!$B$165)))))</f>
        <v>0</v>
      </c>
      <c r="KE31" s="43">
        <f t="shared" si="28"/>
        <v>0.3134109427538152</v>
      </c>
      <c r="KF31" s="32">
        <f t="shared" si="29"/>
        <v>239239.04188835068</v>
      </c>
      <c r="KG31" s="32">
        <f t="shared" si="110"/>
        <v>239239.04188835068</v>
      </c>
      <c r="KH31" s="32">
        <f>KG31/((1+InputData!$C$7)^(GenSurg!$B31-GenSurg!$B$7))</f>
        <v>117689.75575442075</v>
      </c>
      <c r="KI31" s="5">
        <f t="shared" si="129"/>
        <v>2383715.3964893892</v>
      </c>
    </row>
    <row r="32" spans="1:295" x14ac:dyDescent="0.25">
      <c r="A32" s="4">
        <v>2038</v>
      </c>
      <c r="B32" s="51">
        <v>26</v>
      </c>
      <c r="C32" s="4"/>
      <c r="D32" s="3">
        <v>26</v>
      </c>
      <c r="E32" s="97" t="s">
        <v>271</v>
      </c>
      <c r="F32" s="5">
        <f>InputData!$P$21*12</f>
        <v>120412.79999999999</v>
      </c>
      <c r="G32" s="32">
        <f>(InputData!$P$21+InputData!$K$45+InputData!$G$50)*12+InputData!$J$50+InputData!$D$58+InputData!$J$58</f>
        <v>258412.76</v>
      </c>
      <c r="H32" s="32">
        <f>(InputData!$C$32+InputData!$C$40)*12</f>
        <v>21631.199999999997</v>
      </c>
      <c r="I32" s="32">
        <f t="shared" si="30"/>
        <v>280043.96000000002</v>
      </c>
      <c r="J32" s="5">
        <f>G32*((1+InputData!$C$5)/(1+InputData!$C$3))^(GenSurg!$B32-GenSurg!$B$7)</f>
        <v>201996.57471861958</v>
      </c>
      <c r="K32" s="5">
        <f>H32*((1+InputData!$C$5)/(1+InputData!$C$3))^(GenSurg!$B32-GenSurg!$B$7)</f>
        <v>16908.717305807204</v>
      </c>
      <c r="L32" s="32">
        <f>IF(J32-InputData!$C$158-InputData!$C$159&gt;=0,J32-InputData!$C$158-InputData!$C$159,0)</f>
        <v>201996.57471861958</v>
      </c>
      <c r="M32" s="32">
        <f>IF(J32-IF(J32&lt;=InputData!$C$146,InputData!$C$145,0)-MAX(InputData!$C$144,S32)&gt;=0,J32-IF(J32&lt;=InputData!$C$146,InputData!$C$145,0)-MAX(InputData!$C$144,S32),0)</f>
        <v>195896.57471861958</v>
      </c>
      <c r="N32" s="32">
        <f>IF(M32&lt;0,"Error",IF(M32&lt;=InputData!$B$170,InputData!$C$170*M32,IF(M32&lt;=InputData!$B$171,InputData!$D$170+InputData!$C$171*(M32-InputData!$B$170),IF(M32&lt;=InputData!$B$172,InputData!$D$171+InputData!$C$172*(M32-InputData!$B$171),IF(M32&lt;=InputData!$B$173,InputData!$D$172+InputData!$C$173*(M32-InputData!$B$172),IF(M32&lt;=InputData!$B$174,InputData!$D$173+InputData!$C$174*(M32-InputData!$B$173),IF(M32&lt;=InputData!$B$175,InputData!$D$174+InputData!$C$175*(M32-InputData!$B$174),InputData!$D$175+InputData!$C$176*(M32-InputData!$B$175))))))))</f>
        <v>48776.61965714446</v>
      </c>
      <c r="O32" s="32">
        <f>IF(J32&lt;=InputData!$C$150,InputData!$C$152,IF(J32&lt;InputData!$C$151,IF(InputData!$C$152-0.25*IF(J32-InputData!$C$150&lt;=0,0,J32-InputData!$C$150)&lt;=0,0,InputData!$C$152-0.25*IF(J32-InputData!$C$150&lt;=0,0,J32-InputData!$C$150)),0))</f>
        <v>30250.856320345105</v>
      </c>
      <c r="P32" s="32">
        <f>IF(J32-O32&lt;=0,0,IF(J32-O32&lt;=InputData!$C$153,InputData!$C$154*(J32-O32),InputData!$C$155*(J32-O32)-InputData!$D$154))</f>
        <v>44653.886783551367</v>
      </c>
      <c r="Q32" s="32">
        <f t="shared" si="31"/>
        <v>48776.61965714446</v>
      </c>
      <c r="R32" s="32">
        <f>IF(J32&gt;=0,IF(J32&lt;=InputData!$C$148,InputData!$C$147*J32,InputData!$C$147*InputData!$C$148)+InputData!$C$149*J32,0)</f>
        <v>9978.3503334199831</v>
      </c>
      <c r="S32" s="32">
        <f>IF(L32&lt;0,0,IF(L32&lt;=InputData!$B$163,InputData!$C$163*L32,IF(L32&lt;=InputData!$B$164,InputData!$D$163+InputData!$C$164*(L32-InputData!$B$163),IF(L32&lt;=InputData!$B$165,InputData!$D$164+InputData!$C$165*(L32-InputData!$B$164),InputData!$D$165+InputData!$C$166*(L32-InputData!$B$165)))))</f>
        <v>0</v>
      </c>
      <c r="T32" s="43">
        <f t="shared" si="32"/>
        <v>0.2908711203267178</v>
      </c>
      <c r="U32" s="43">
        <f t="shared" si="33"/>
        <v>0.26840360709054129</v>
      </c>
      <c r="V32" s="5">
        <f t="shared" si="34"/>
        <v>160150.32203386235</v>
      </c>
      <c r="W32" s="32">
        <f>V32/((1+InputData!$C$7)^(GenSurg!$B32-GenSurg!$B$7))</f>
        <v>76488.685722420938</v>
      </c>
      <c r="X32" s="5">
        <f t="shared" si="111"/>
        <v>1734308.3142624823</v>
      </c>
      <c r="Y32" s="53"/>
      <c r="Z32" s="3">
        <v>22.5</v>
      </c>
      <c r="AA32" s="98" t="s">
        <v>268</v>
      </c>
      <c r="AB32" s="32">
        <f>(0.5*InputData!$N$21+0.5*InputData!$O$21)*12</f>
        <v>115862.40000000001</v>
      </c>
      <c r="AC32" s="32">
        <f>(0.5*(InputData!$N$21+InputData!$J$45)+0.5*(InputData!$O$21+InputData!$K$45)+InputData!$G$50)*12+InputData!$J$50+InputData!$D$58+InputData!$J$58</f>
        <v>254358.38</v>
      </c>
      <c r="AD32" s="32">
        <f t="shared" si="169"/>
        <v>21631.199999999997</v>
      </c>
      <c r="AE32" s="32">
        <f t="shared" si="35"/>
        <v>275989.58</v>
      </c>
      <c r="AF32" s="5">
        <f>AC32*((1+InputData!$C$5)/(1+InputData!$C$3))^(GenSurg!$B32-GenSurg!$B$7)</f>
        <v>198827.33929615951</v>
      </c>
      <c r="AG32" s="5">
        <f>AD32*((1+InputData!$C$5)/(1+InputData!$C$3))^(GenSurg!$B32-GenSurg!$B$7)</f>
        <v>16908.717305807204</v>
      </c>
      <c r="AH32" s="32">
        <f>IF(AF32-InputData!$C$158-InputData!$C$159&gt;=0,AF32-InputData!$C$158-InputData!$C$159,0)</f>
        <v>198827.33929615951</v>
      </c>
      <c r="AI32" s="32">
        <f>IF(AF32-IF(AF32&lt;=InputData!$C$146,InputData!$C$145,0)-MAX(InputData!$C$144,AO32)&gt;=0,AF32-IF(AF32&lt;=InputData!$C$146,InputData!$C$145,0)-MAX(InputData!$C$144,AO32),0)</f>
        <v>192727.33929615951</v>
      </c>
      <c r="AJ32" s="32">
        <f>IF(AI32&lt;0,"Error",IF(AI32&lt;=InputData!$B$170,InputData!$C$170*AI32,IF(AI32&lt;=InputData!$B$171,InputData!$D$170+InputData!$C$171*(AI32-InputData!$B$170),IF(AI32&lt;=InputData!$B$172,InputData!$D$171+InputData!$C$172*(AI32-InputData!$B$171),IF(AI32&lt;=InputData!$B$173,InputData!$D$172+InputData!$C$173*(AI32-InputData!$B$172),IF(AI32&lt;=InputData!$B$174,InputData!$D$173+InputData!$C$174*(AI32-InputData!$B$173),IF(AI32&lt;=InputData!$B$175,InputData!$D$174+InputData!$C$175*(AI32-InputData!$B$174),InputData!$D$175+InputData!$C$176*(AI32-InputData!$B$175))))))))</f>
        <v>47730.771967732639</v>
      </c>
      <c r="AK32" s="32">
        <f>IF(AF32&lt;=InputData!$C$150,InputData!$C$152,IF(AF32&lt;InputData!$C$151,IF(InputData!$C$152-0.25*IF(AF32-InputData!$C$150&lt;=0,0,AF32-InputData!$C$150)&lt;=0,0,InputData!$C$152-0.25*IF(AF32-InputData!$C$150&lt;=0,0,AF32-InputData!$C$150)),0))</f>
        <v>31043.165175960123</v>
      </c>
      <c r="AL32" s="32">
        <f>IF(AF32-AK32&lt;=0,0,IF(AF32-AK32&lt;=InputData!$C$153,InputData!$C$154*(AF32-AK32),InputData!$C$155*(AF32-AK32)-InputData!$D$154))</f>
        <v>43623.885271251849</v>
      </c>
      <c r="AM32" s="32">
        <f t="shared" si="36"/>
        <v>47730.771967732639</v>
      </c>
      <c r="AN32" s="32">
        <f>IF(AF32&gt;=0,IF(AF32&lt;=InputData!$C$148,InputData!$C$147*AF32,InputData!$C$147*InputData!$C$148)+InputData!$C$149*AF32,0)</f>
        <v>9932.3964197943133</v>
      </c>
      <c r="AO32" s="32">
        <f>IF(AH32&lt;0,0,IF(AH32&lt;=InputData!$B$163,InputData!$C$163*AH32,IF(AH32&lt;=InputData!$B$164,InputData!$D$163+InputData!$C$164*(AH32-InputData!$B$163),IF(AH32&lt;=InputData!$B$165,InputData!$D$164+InputData!$C$165*(AH32-InputData!$B$164),InputData!$D$165+InputData!$C$166*(AH32-InputData!$B$165)))))</f>
        <v>0</v>
      </c>
      <c r="AP32" s="43">
        <f t="shared" si="37"/>
        <v>0.29001629550368757</v>
      </c>
      <c r="AQ32" s="43">
        <f t="shared" si="38"/>
        <v>0.26728572541731199</v>
      </c>
      <c r="AR32" s="5">
        <f t="shared" si="39"/>
        <v>158072.88821443974</v>
      </c>
      <c r="AS32" s="32">
        <f>AR32/((1+InputData!$C$7)^(GenSurg!$B32-GenSurg!$B$7))</f>
        <v>75496.491760492179</v>
      </c>
      <c r="AT32" s="5">
        <f t="shared" si="112"/>
        <v>1769577.4551064922</v>
      </c>
      <c r="AU32" s="53"/>
      <c r="AV32" s="41" t="s">
        <v>109</v>
      </c>
      <c r="AW32" s="32">
        <f>$AW$17*(1+InputData!$C$3+InputData!$C$4)^(GenSurg!$B32-GenSurg!$B$17)</f>
        <v>577266.72441697877</v>
      </c>
      <c r="AX32" s="32">
        <v>0</v>
      </c>
      <c r="AY32" s="32">
        <f t="shared" si="41"/>
        <v>577266.72441697877</v>
      </c>
      <c r="AZ32" s="32">
        <f>AZ31*(1+InputData!$C$8)</f>
        <v>18850.562876399756</v>
      </c>
      <c r="BA32" s="32">
        <f>AW32/((1+InputData!$C$3)^(GenSurg!$B32-GenSurg!$B$7))</f>
        <v>351861.88906088937</v>
      </c>
      <c r="BB32" s="32">
        <f>AX32/((1+InputData!$C$3)^(GenSurg!$B32-GenSurg!$B$7))</f>
        <v>0</v>
      </c>
      <c r="BC32" s="32" t="s">
        <v>141</v>
      </c>
      <c r="BD32" s="32">
        <v>0</v>
      </c>
      <c r="BE32" s="32">
        <f t="shared" si="146"/>
        <v>0</v>
      </c>
      <c r="BF32" s="32">
        <f>(BE32)*InputData!$C$6</f>
        <v>0</v>
      </c>
      <c r="BG32" s="32">
        <f>MIN($BE$16*InputData!$C$6/(1-(1+InputData!$C$6)^(-10)), BE32+BF32)</f>
        <v>0</v>
      </c>
      <c r="BH32" s="32">
        <f t="shared" si="137"/>
        <v>0</v>
      </c>
      <c r="BI32" s="32">
        <f>BG32/((1+InputData!$C$3)^(GenSurg!$B32-GenSurg!$B$7))</f>
        <v>0</v>
      </c>
      <c r="BJ32" s="32">
        <f>IF(BA32-InputData!$C$158-InputData!$C$159&gt;=0,BA32-InputData!$C$158-InputData!$C$159,0)</f>
        <v>351861.88906088937</v>
      </c>
      <c r="BK32" s="32">
        <f>IF(BA32-IF(BA32&lt;=InputData!$C$146,InputData!$C$145,0)-MAX(InputData!$C$144,BQ32)&gt;=0,BA32-IF(BA32&lt;=InputData!$C$146,InputData!$C$145,0)-MAX(InputData!$C$144,BQ32),0)</f>
        <v>345761.88906088937</v>
      </c>
      <c r="BL32" s="32">
        <f>IF(BK32&lt;0,"Error",IF(BK32&lt;=InputData!$B$170,InputData!$C$170*BK32,IF(BK32&lt;=InputData!$B$171,InputData!$D$170+InputData!$C$171*(BK32-InputData!$B$170),IF(BK32&lt;=InputData!$B$172,InputData!$D$171+InputData!$C$172*(BK32-InputData!$B$171),IF(BK32&lt;=InputData!$B$173,InputData!$D$172+InputData!$C$173*(BK32-InputData!$B$172),IF(BK32&lt;=InputData!$B$174,InputData!$D$173+InputData!$C$174*(BK32-InputData!$B$173),IF(BK32&lt;=InputData!$B$175,InputData!$D$174+InputData!$C$175*(BK32-InputData!$B$174),InputData!$D$175+InputData!$C$176*(BK32-InputData!$B$175))))))))</f>
        <v>98232.173390093492</v>
      </c>
      <c r="BM32" s="32">
        <f>IF(BA32&lt;=InputData!$C$150,InputData!$C$152,IF(BA32&lt;InputData!$C$151,IF(InputData!$C$152-0.25*IF(BA32-InputData!$C$150&lt;=0,0,BA32-InputData!$C$150)&lt;=0,0,InputData!$C$152-0.25*IF(BA32-InputData!$C$150&lt;=0,0,BA32-InputData!$C$150)),0))</f>
        <v>0</v>
      </c>
      <c r="BN32" s="32">
        <f>IF(BA32-BM32&lt;=0,0,IF(BA32-BM32&lt;=InputData!$C$153,InputData!$C$154*(BA32-BM32),InputData!$C$155*(BA32-BM32)-InputData!$D$154))</f>
        <v>94931.328937049038</v>
      </c>
      <c r="BO32" s="32">
        <f t="shared" si="42"/>
        <v>98232.173390093492</v>
      </c>
      <c r="BP32" s="32">
        <f>IF(BA32&gt;=0,IF(BA32&lt;=InputData!$C$148,InputData!$C$147*BA32,InputData!$C$147*InputData!$C$148)+InputData!$C$149*BA32,0)</f>
        <v>12151.397391382896</v>
      </c>
      <c r="BQ32" s="32">
        <f>IF(BJ32&lt;0,0,IF(BJ32&lt;=InputData!$B$163,InputData!$C$163*BJ32,IF(BJ32&lt;=InputData!$B$164,InputData!$D$163+InputData!$C$164*(BJ32-InputData!$B$163),IF(BJ32&lt;=InputData!$B$165,InputData!$D$164+InputData!$C$165*(BJ32-InputData!$B$164),InputData!$D$165+InputData!$C$166*(BJ32-InputData!$B$165)))))</f>
        <v>0</v>
      </c>
      <c r="BR32" s="43">
        <f t="shared" si="43"/>
        <v>0.31371277826105975</v>
      </c>
      <c r="BS32" s="32">
        <f t="shared" si="44"/>
        <v>241478.31827941298</v>
      </c>
      <c r="BT32" s="32">
        <f t="shared" si="45"/>
        <v>241478.31827941298</v>
      </c>
      <c r="BU32" s="32">
        <f>BT32/((1+InputData!$C$7)^(GenSurg!$B32-GenSurg!$B$7))</f>
        <v>115331.38966618727</v>
      </c>
      <c r="BV32" s="5">
        <f t="shared" si="114"/>
        <v>2114720.393608836</v>
      </c>
      <c r="BW32" s="5"/>
      <c r="BX32" s="32" t="s">
        <v>141</v>
      </c>
      <c r="BY32" s="5">
        <f t="shared" si="147"/>
        <v>146164.18302300491</v>
      </c>
      <c r="BZ32" s="32">
        <f>(BY32)*InputData!$C$6</f>
        <v>9076.7957657286061</v>
      </c>
      <c r="CA32" s="32">
        <f>MIN($BY$16*InputData!$C$6/(1-(1+InputData!$C$6)^(-25)), BY32+BZ32)</f>
        <v>21686.214673809533</v>
      </c>
      <c r="CB32" s="32">
        <f t="shared" si="148"/>
        <v>133554.76411492398</v>
      </c>
      <c r="CC32" s="32">
        <f>CA32/((1+InputData!$C$3)^(GenSurg!$B32-GenSurg!$B$7))</f>
        <v>13218.417308590269</v>
      </c>
      <c r="CD32" s="5">
        <f t="shared" si="49"/>
        <v>228259.90097082272</v>
      </c>
      <c r="CE32" s="32">
        <f>CD32/((1+InputData!$C$7)^(GenSurg!$B32-GenSurg!$B$7))</f>
        <v>109018.19994277984</v>
      </c>
      <c r="CF32" s="5">
        <f t="shared" si="115"/>
        <v>2144187.9753478169</v>
      </c>
      <c r="CG32" s="5"/>
      <c r="CH32" s="32" t="s">
        <v>141</v>
      </c>
      <c r="CI32" s="5" t="e">
        <f t="shared" si="149"/>
        <v>#VALUE!</v>
      </c>
      <c r="CJ32" s="32" t="e">
        <f>(CI32)*InputData!$C$6</f>
        <v>#VALUE!</v>
      </c>
      <c r="CK32" s="5" t="str">
        <f t="shared" si="159"/>
        <v>DNQ</v>
      </c>
      <c r="CL32" s="32" t="e">
        <f t="shared" si="150"/>
        <v>#VALUE!</v>
      </c>
      <c r="CM32" s="32" t="e">
        <f>CK32/((1+InputData!$C$3)^(GenSurg!$B32-GenSurg!$B$7))</f>
        <v>#VALUE!</v>
      </c>
      <c r="CN32" s="5" t="e">
        <f t="shared" si="53"/>
        <v>#VALUE!</v>
      </c>
      <c r="CO32" s="32" t="e">
        <f>CN32/((1+InputData!$C$7)^(GenSurg!$B32-GenSurg!$B$7))</f>
        <v>#VALUE!</v>
      </c>
      <c r="CP32" s="5" t="e">
        <f t="shared" si="116"/>
        <v>#VALUE!</v>
      </c>
      <c r="CQ32" s="5"/>
      <c r="CR32" s="32" t="s">
        <v>141</v>
      </c>
      <c r="CS32" s="5">
        <f t="shared" si="160"/>
        <v>0</v>
      </c>
      <c r="CT32" s="32">
        <f>(CS32)*InputData!$C$6</f>
        <v>0</v>
      </c>
      <c r="CU32" s="32">
        <f t="shared" si="161"/>
        <v>0</v>
      </c>
      <c r="CV32" s="32">
        <f t="shared" si="152"/>
        <v>0</v>
      </c>
      <c r="CW32" s="32">
        <f>CU32/((1+InputData!$C$3)^(GenSurg!$B32-GenSurg!$B$7))</f>
        <v>0</v>
      </c>
      <c r="CX32" s="5">
        <f t="shared" si="57"/>
        <v>241478.31827941298</v>
      </c>
      <c r="CY32" s="32">
        <f>CX32/((1+InputData!$C$7)^(GenSurg!$B32-GenSurg!$B$7))</f>
        <v>115331.38966618727</v>
      </c>
      <c r="CZ32" s="5">
        <f t="shared" si="117"/>
        <v>2114275.137348304</v>
      </c>
      <c r="DA32" s="5"/>
      <c r="DB32" s="32" t="s">
        <v>141</v>
      </c>
      <c r="DC32" s="5">
        <f t="shared" si="138"/>
        <v>0</v>
      </c>
      <c r="DD32" s="5">
        <f>DC32*InputData!$C$6</f>
        <v>0</v>
      </c>
      <c r="DE32" s="32">
        <f t="shared" si="139"/>
        <v>0</v>
      </c>
      <c r="DF32" s="32">
        <f t="shared" si="140"/>
        <v>0</v>
      </c>
      <c r="DG32" s="32">
        <f>DE32/((1+InputData!$C$3)^(GenSurg!$B32-GenSurg!$B$7))</f>
        <v>0</v>
      </c>
      <c r="DH32" s="5">
        <f t="shared" si="61"/>
        <v>241478.31827941298</v>
      </c>
      <c r="DI32" s="32">
        <f>DH32/((1+InputData!$C$7)^(GenSurg!$B32-GenSurg!$B$7))</f>
        <v>115331.38966618727</v>
      </c>
      <c r="DJ32" s="5">
        <f t="shared" si="118"/>
        <v>2119308.0097112525</v>
      </c>
      <c r="DK32" s="5"/>
      <c r="DL32" s="32" t="s">
        <v>141</v>
      </c>
      <c r="DM32" s="32">
        <f t="shared" si="153"/>
        <v>0</v>
      </c>
      <c r="DN32" s="5">
        <f>DM32*InputData!$C$6</f>
        <v>0</v>
      </c>
      <c r="DO32" s="32">
        <f t="shared" si="154"/>
        <v>0</v>
      </c>
      <c r="DP32" s="32">
        <f t="shared" si="130"/>
        <v>0</v>
      </c>
      <c r="DQ32" s="32">
        <f t="shared" si="131"/>
        <v>0</v>
      </c>
      <c r="DR32" s="32">
        <f>DP32/((1+InputData!$C$3)^(GenSurg!$B32-GenSurg!$B$7))</f>
        <v>0</v>
      </c>
      <c r="DS32" s="5">
        <f t="shared" si="65"/>
        <v>241478.31827941298</v>
      </c>
      <c r="DT32" s="32">
        <f>DS32/((1+InputData!$C$7)^(GenSurg!$B32-GenSurg!$B$7))</f>
        <v>115331.38966618727</v>
      </c>
      <c r="DU32" s="5">
        <f t="shared" si="120"/>
        <v>2112399.7680650987</v>
      </c>
      <c r="DV32" s="5"/>
      <c r="DW32" s="32" t="s">
        <v>141</v>
      </c>
      <c r="DX32" s="133">
        <f t="shared" si="141"/>
        <v>0</v>
      </c>
      <c r="DY32" s="5">
        <f>DX32*InputData!$C$6</f>
        <v>0</v>
      </c>
      <c r="DZ32" s="133">
        <f t="shared" si="142"/>
        <v>0</v>
      </c>
      <c r="EA32" s="32">
        <f t="shared" si="143"/>
        <v>0</v>
      </c>
      <c r="EB32" s="32">
        <f t="shared" si="144"/>
        <v>0</v>
      </c>
      <c r="EC32" s="32">
        <f>EA32/((1+InputData!$C$3)^(GenSurg!$B32-GenSurg!$B$7))</f>
        <v>0</v>
      </c>
      <c r="ED32" s="5">
        <f t="shared" si="69"/>
        <v>241478.31827941298</v>
      </c>
      <c r="EE32" s="32">
        <f>ED32/((1+InputData!$C$7)^(GenSurg!$B32-GenSurg!$B$7))</f>
        <v>115331.38966618727</v>
      </c>
      <c r="EF32" s="5">
        <f t="shared" si="122"/>
        <v>2112919.0390103045</v>
      </c>
      <c r="EG32" s="32"/>
      <c r="EH32" s="130" t="s">
        <v>141</v>
      </c>
      <c r="EI32" s="32">
        <v>0</v>
      </c>
      <c r="EJ32" s="32">
        <f t="shared" si="168"/>
        <v>0</v>
      </c>
      <c r="EK32" s="32">
        <f>(EJ32)*InputData!$C$6</f>
        <v>0</v>
      </c>
      <c r="EL32" s="32">
        <f t="shared" si="167"/>
        <v>-2.1827872842550278E-11</v>
      </c>
      <c r="EM32" s="32">
        <f>EM31*(1+InputData!$C$8)</f>
        <v>18850.562876399756</v>
      </c>
      <c r="EN32" s="32">
        <f t="shared" si="162"/>
        <v>0</v>
      </c>
      <c r="EO32" s="32">
        <f>AW32/((1+InputData!$C$3)^(GenSurg!$B32-GenSurg!$B$7))</f>
        <v>351861.88906088937</v>
      </c>
      <c r="EP32" s="32">
        <f>AX32/((1+InputData!$C$3)^(GenSurg!$B32-GenSurg!$B$7))</f>
        <v>0</v>
      </c>
      <c r="EQ32" s="32">
        <v>92092.12</v>
      </c>
      <c r="ER32" s="32">
        <v>10592.88</v>
      </c>
      <c r="ES32" s="32">
        <v>0</v>
      </c>
      <c r="ET32" s="43">
        <f t="shared" si="136"/>
        <v>0.29183325387714965</v>
      </c>
      <c r="EU32" s="32">
        <f t="shared" si="70"/>
        <v>249176.88906088937</v>
      </c>
      <c r="EV32" s="32">
        <f>EN32/((1+InputData!$C$3)^(GenSurg!$B32-GenSurg!$B$7))</f>
        <v>0</v>
      </c>
      <c r="EW32" s="32">
        <f t="shared" si="71"/>
        <v>249176.88906088937</v>
      </c>
      <c r="EX32" s="32">
        <f>EW32/((1+InputData!$C$7)^(GenSurg!$B32-GenSurg!$B$7))</f>
        <v>119008.26994677549</v>
      </c>
      <c r="EY32" s="5">
        <f t="shared" si="124"/>
        <v>2248190.9985599499</v>
      </c>
      <c r="EZ32" s="79"/>
      <c r="FA32" s="32">
        <f t="shared" si="163"/>
        <v>0</v>
      </c>
      <c r="FB32" s="32">
        <f>FA32*InputData!$C$6</f>
        <v>0</v>
      </c>
      <c r="FC32" s="32">
        <f t="shared" si="155"/>
        <v>0</v>
      </c>
      <c r="FD32" s="32">
        <f>MIN($EJ$16*InputData!$C$6/(1-(1+InputData!$C$6)^(-10)), FA32+FB32)</f>
        <v>0</v>
      </c>
      <c r="FE32" s="32">
        <f>FD32/((1+InputData!$C$3)^(GenSurg!$B32-GenSurg!$B$7))</f>
        <v>0</v>
      </c>
      <c r="FF32" s="5">
        <f t="shared" si="75"/>
        <v>249176.88906088937</v>
      </c>
      <c r="FG32" s="32">
        <f>FF32/((1+InputData!$C$7)^(GenSurg!$B32-GenSurg!$B$7))</f>
        <v>119008.26994677549</v>
      </c>
      <c r="FH32" s="5">
        <f t="shared" si="125"/>
        <v>2248629.6973098414</v>
      </c>
      <c r="FI32" s="79"/>
      <c r="FJ32" s="32">
        <f t="shared" si="164"/>
        <v>146054.0027003829</v>
      </c>
      <c r="FK32" s="32">
        <f>FJ32*InputData!$C$6</f>
        <v>9069.9535676937794</v>
      </c>
      <c r="FL32" s="32">
        <f t="shared" si="156"/>
        <v>133454.08892423395</v>
      </c>
      <c r="FM32" s="32">
        <f>MIN($EJ$16*InputData!$C$6/(1-(1+InputData!$C$6)^(-25)), FJ32+FK32)</f>
        <v>21669.867343842721</v>
      </c>
      <c r="FN32" s="32">
        <f>FM32/((1+InputData!$C$3)^(GenSurg!$B32-GenSurg!$B$7))</f>
        <v>13208.453106324785</v>
      </c>
      <c r="FO32" s="5">
        <f t="shared" si="79"/>
        <v>235968.4359545646</v>
      </c>
      <c r="FP32" s="32">
        <f>FO32/((1+InputData!$C$7)^(GenSurg!$B32-GenSurg!$B$7))</f>
        <v>112699.83918186331</v>
      </c>
      <c r="FQ32" s="5">
        <f t="shared" si="126"/>
        <v>2278075.0660305861</v>
      </c>
      <c r="FR32" s="79"/>
      <c r="FS32" s="32">
        <f t="shared" si="165"/>
        <v>0</v>
      </c>
      <c r="FT32" s="32">
        <f>FS32*InputData!$C$6</f>
        <v>0</v>
      </c>
      <c r="FU32" s="32">
        <f t="shared" si="157"/>
        <v>0</v>
      </c>
      <c r="FV32" s="5">
        <f t="shared" si="166"/>
        <v>0</v>
      </c>
      <c r="FW32" s="32">
        <f>FV32/((1+InputData!$C$3)^(GenSurg!$B32-GenSurg!$B$7))</f>
        <v>0</v>
      </c>
      <c r="FX32" s="5">
        <f t="shared" si="83"/>
        <v>249176.88906088937</v>
      </c>
      <c r="FY32" s="32">
        <f>FX32/((1+InputData!$C$7)^(GenSurg!$B32-GenSurg!$B$7))</f>
        <v>119008.26994677549</v>
      </c>
      <c r="FZ32" s="5">
        <f t="shared" si="127"/>
        <v>2248629.6973098414</v>
      </c>
      <c r="GC32" s="83">
        <v>20</v>
      </c>
      <c r="GD32" s="4" t="s">
        <v>217</v>
      </c>
      <c r="GE32" s="5"/>
      <c r="GF32" s="84">
        <v>0</v>
      </c>
      <c r="GG32" s="5"/>
      <c r="GH32" s="84">
        <f>MIN(InputData!$C$13+InputData!$E$13*($B32-$B$31),1)*$AW32/((1+InputData!$C$3)^(GenSurg!$B32-GenSurg!$B$7))+0.025*$GC$30*(($F$28+$F$29+$F$30)/3)*((1+InputData!$C$5)/(1+InputData!$C$3))^(GenSurg!$B32-GenSurg!$B$7)</f>
        <v>357438.69103463017</v>
      </c>
      <c r="GI32" s="5">
        <v>0</v>
      </c>
      <c r="GJ32" s="32">
        <f>IF(GH32-InputData!$C$158-InputData!$C$159&gt;=0,GH32-InputData!$C$158-InputData!$C$159,0)</f>
        <v>357438.69103463017</v>
      </c>
      <c r="GK32" s="32">
        <f>IF(GH32-IF(GH32&lt;=InputData!$C$146,InputData!$C$145,0)-MAX(InputData!$C$144,GQ32)&gt;=0,GH32-IF(GH32&lt;=InputData!$C$146,InputData!$C$145,0)-MAX(InputData!$C$144,GQ32),0)</f>
        <v>351338.69103463017</v>
      </c>
      <c r="GL32" s="32">
        <f>IF(GK32&lt;0,"Error",IF(GK32&lt;=InputData!$B$170,InputData!$C$170*GK32,IF(GK32&lt;=InputData!$B$171,InputData!$D$170+InputData!$C$171*(GK32-InputData!$B$170),IF(GK32&lt;=InputData!$B$172,InputData!$D$171+InputData!$C$172*(GK32-InputData!$B$171),IF(GK32&lt;=InputData!$B$173,InputData!$D$172+InputData!$C$173*(GK32-InputData!$B$172),IF(GK32&lt;=InputData!$B$174,InputData!$D$173+InputData!$C$174*(GK32-InputData!$B$173),IF(GK32&lt;=InputData!$B$175,InputData!$D$174+InputData!$C$175*(GK32-InputData!$B$174),InputData!$D$175+InputData!$C$176*(GK32-InputData!$B$175))))))))</f>
        <v>100072.51804142796</v>
      </c>
      <c r="GM32" s="32">
        <f>IF(GH32&lt;=InputData!$C$150,InputData!$C$152,IF(GH32&lt;InputData!$C$151,IF(InputData!$C$152-0.25*IF(GH32-InputData!$C$150&lt;=0,0,GH32-InputData!$C$150)&lt;=0,0,InputData!$C$152-0.25*IF(GH32-InputData!$C$150&lt;=0,0,GH32-InputData!$C$150)),0))</f>
        <v>0</v>
      </c>
      <c r="GN32" s="32">
        <f>IF(GH32-GM32&lt;=0,0,IF(GH32-GM32&lt;=InputData!$C$153,InputData!$C$154*(GH32-GM32),InputData!$C$155*(GH32-GM32)-InputData!$D$154))</f>
        <v>96492.833489696452</v>
      </c>
      <c r="GO32" s="32">
        <f t="shared" si="84"/>
        <v>100072.51804142796</v>
      </c>
      <c r="GP32" s="32">
        <f>IF(GH32&gt;=0,IF(GH32&lt;=InputData!$C$148,InputData!$C$147*GH32,InputData!$C$147*InputData!$C$148)+InputData!$C$149*GH32,0)</f>
        <v>12232.261020002137</v>
      </c>
      <c r="GQ32" s="32">
        <f>IF(GJ32&lt;0,0,IF(GJ32&lt;=InputData!$B$163,InputData!$C$163*GJ32,IF(GJ32&lt;=InputData!$B$164,InputData!$D$163+InputData!$C$164*(GJ32-InputData!$B$163),IF(GJ32&lt;=InputData!$B$165,InputData!$D$164+InputData!$C$165*(GJ32-InputData!$B$164),InputData!$D$165+InputData!$C$166*(GJ32-InputData!$B$165)))))</f>
        <v>0</v>
      </c>
      <c r="GR32" s="43">
        <f t="shared" si="85"/>
        <v>0.31419312424280765</v>
      </c>
      <c r="GS32" s="43">
        <f t="shared" si="86"/>
        <v>0.31419312424280765</v>
      </c>
      <c r="GT32" s="5">
        <f t="shared" si="87"/>
        <v>245133.9119732001</v>
      </c>
      <c r="GU32" s="32">
        <f>GT32/((1+InputData!$C$7)^(GenSurg!$B32-GenSurg!$B$7))</f>
        <v>117077.3215732978</v>
      </c>
      <c r="GV32" s="84">
        <f t="shared" si="88"/>
        <v>1815114.7006283237</v>
      </c>
      <c r="GX32" s="83">
        <v>21</v>
      </c>
      <c r="GY32" s="4" t="s">
        <v>217</v>
      </c>
      <c r="GZ32" s="5"/>
      <c r="HA32" s="84">
        <v>0</v>
      </c>
      <c r="HB32" s="5"/>
      <c r="HC32" s="84">
        <f>MIN(InputData!$C$13+InputData!$E$13*($B32-$B$32),1)*$AW32/((1+InputData!$C$3)^(GenSurg!$B32-GenSurg!$B$7))+0.025*$GX$31*(($AB$29+$AB$30+$AB$31)/3)*((1+InputData!$C$5)/(1+InputData!$C$3))^(GenSurg!$B32-GenSurg!$B$7)</f>
        <v>362160.25288943131</v>
      </c>
      <c r="HD32" s="5">
        <v>0</v>
      </c>
      <c r="HE32" s="32">
        <f>IF(HC32-InputData!$C$158-InputData!$C$159&gt;=0,HC32-InputData!$C$158-InputData!$C$159,0)</f>
        <v>362160.25288943131</v>
      </c>
      <c r="HF32" s="32">
        <f>IF(HC32-IF(HC32&lt;=InputData!$C$146,InputData!$C$145,0)-MAX(InputData!$C$144,HL32)&gt;=0,HC32-IF(HC32&lt;=InputData!$C$146,InputData!$C$145,0)-MAX(InputData!$C$144,HL32),0)</f>
        <v>356060.25288943131</v>
      </c>
      <c r="HG32" s="32">
        <f>IF(HF32&lt;0,"Error",IF(HF32&lt;=InputData!$B$170,InputData!$C$170*HF32,IF(HF32&lt;=InputData!$B$171,InputData!$D$170+InputData!$C$171*(HF32-InputData!$B$170),IF(HF32&lt;=InputData!$B$172,InputData!$D$171+InputData!$C$172*(HF32-InputData!$B$171),IF(HF32&lt;=InputData!$B$173,InputData!$D$172+InputData!$C$173*(HF32-InputData!$B$172),IF(HF32&lt;=InputData!$B$174,InputData!$D$173+InputData!$C$174*(HF32-InputData!$B$173),IF(HF32&lt;=InputData!$B$175,InputData!$D$174+InputData!$C$175*(HF32-InputData!$B$174),InputData!$D$175+InputData!$C$176*(HF32-InputData!$B$175))))))))</f>
        <v>101630.63345351233</v>
      </c>
      <c r="HH32" s="32">
        <f>IF(HC32&lt;=InputData!$C$150,InputData!$C$152,IF(HC32&lt;InputData!$C$151,IF(InputData!$C$152-0.25*IF(HC32-InputData!$C$150&lt;=0,0,HC32-InputData!$C$150)&lt;=0,0,InputData!$C$152-0.25*IF(HC32-InputData!$C$150&lt;=0,0,HC32-InputData!$C$150)),0))</f>
        <v>0</v>
      </c>
      <c r="HI32" s="32">
        <f>IF(HC32-HH32&lt;=0,0,IF(HC32-HH32&lt;=InputData!$C$153,InputData!$C$154*(HC32-HH32),InputData!$C$155*(HC32-HH32)-InputData!$D$154))</f>
        <v>97814.870809040774</v>
      </c>
      <c r="HJ32" s="32">
        <f t="shared" si="89"/>
        <v>101630.63345351233</v>
      </c>
      <c r="HK32" s="32">
        <f>IF(HC32&gt;=0,IF(HC32&lt;=InputData!$C$148,InputData!$C$147*HC32,InputData!$C$147*InputData!$C$148)+InputData!$C$149*HC32,0)</f>
        <v>12300.723666896754</v>
      </c>
      <c r="HL32" s="32">
        <f>IF(HE32&lt;0,0,IF(HE32&lt;=InputData!$B$163,InputData!$C$163*HE32,IF(HE32&lt;=InputData!$B$164,InputData!$D$163+InputData!$C$164*(HE32-InputData!$B$163),IF(HE32&lt;=InputData!$B$165,InputData!$D$164+InputData!$C$165*(HE32-InputData!$B$164),InputData!$D$165+InputData!$C$166*(HE32-InputData!$B$165)))))</f>
        <v>0</v>
      </c>
      <c r="HM32" s="43">
        <f t="shared" si="90"/>
        <v>0.31458824156275561</v>
      </c>
      <c r="HN32" s="43">
        <f t="shared" si="91"/>
        <v>0.31458824156275561</v>
      </c>
      <c r="HO32" s="5">
        <f t="shared" si="92"/>
        <v>248228.89576902223</v>
      </c>
      <c r="HP32" s="32">
        <f>HO32/((1+InputData!$C$7)^(GenSurg!$B32-GenSurg!$B$7))</f>
        <v>118555.50307095704</v>
      </c>
      <c r="HQ32" s="84">
        <f t="shared" si="93"/>
        <v>1804236.1418124291</v>
      </c>
      <c r="HS32" s="227"/>
      <c r="HT32" s="53" t="s">
        <v>109</v>
      </c>
      <c r="HU32" s="32">
        <f>MIN(InputData!$C$13+InputData!$E$13*($B32-$B$23),1)*GenSurg!AW32</f>
        <v>519540.05197528092</v>
      </c>
      <c r="HV32" s="32">
        <f>MIN(InputData!$C$13+InputData!$E$13*($B32-$B$23),1)*GenSurg!AX32</f>
        <v>0</v>
      </c>
      <c r="HW32" s="32">
        <f>MIN(InputData!$C$13+InputData!$E$13*($B32-$B$23),1)*GenSurg!AY32</f>
        <v>519540.05197528092</v>
      </c>
      <c r="HX32" s="32">
        <f>MIN(InputData!$C$13+InputData!$E$13*($B32-$B$23),1)*GenSurg!EO32</f>
        <v>316675.70015480043</v>
      </c>
      <c r="HY32" s="32">
        <f>MIN(InputData!$C$13+InputData!$E$13*($B32-$B$23),1)*GenSurg!EP32</f>
        <v>0</v>
      </c>
      <c r="HZ32" s="32">
        <f>IF(HX32-InputData!$C$158-InputData!$C$159&gt;=0,HX32-InputData!$C$158-InputData!$C$159,0)</f>
        <v>316675.70015480043</v>
      </c>
      <c r="IA32" s="32">
        <f>IF(HX32-IF(HX32&lt;=InputData!$C$146,InputData!$C$145,0)-MAX(InputData!$C$144,IG32)&gt;=0,HX32-IF(HX32&lt;=InputData!$C$146,InputData!$C$145,0)-MAX(InputData!$C$144,IG32),0)</f>
        <v>310575.70015480043</v>
      </c>
      <c r="IB32" s="32">
        <f>IF(IA32&lt;0,"Error",IF(IA32&lt;=InputData!$B$170,InputData!$C$170*IA32,IF(IA32&lt;=InputData!$B$171,InputData!$D$170+InputData!$C$171*(IA32-InputData!$B$170),IF(IA32&lt;=InputData!$B$172,InputData!$D$171+InputData!$C$172*(IA32-InputData!$B$171),IF(IA32&lt;=InputData!$B$173,InputData!$D$172+InputData!$C$173*(IA32-InputData!$B$172),IF(IA32&lt;=InputData!$B$174,InputData!$D$173+InputData!$C$174*(IA32-InputData!$B$173),IF(IA32&lt;=InputData!$B$175,InputData!$D$174+InputData!$C$175*(IA32-InputData!$B$174),InputData!$D$175+InputData!$C$176*(IA32-InputData!$B$175))))))))</f>
        <v>86620.731051084149</v>
      </c>
      <c r="IC32" s="32">
        <f>IF(HX32&lt;=InputData!$C$150,InputData!$C$152,IF(HX32&lt;InputData!$C$151,IF(InputData!$C$152-0.25*IF(HX32-InputData!$C$150&lt;=0,0,HX32-InputData!$C$150)&lt;=0,0,InputData!$C$152-0.25*IF(HX32-InputData!$C$150&lt;=0,0,HX32-InputData!$C$150)),0))</f>
        <v>1581.0749612998916</v>
      </c>
      <c r="ID32" s="32">
        <f>IF(HX32-IC32&lt;=0,0,IF(HX32-IC32&lt;=InputData!$C$153,InputData!$C$154*(HX32-IC32),InputData!$C$155*(HX32-IC32)-InputData!$D$154))</f>
        <v>84636.495054180166</v>
      </c>
      <c r="IE32" s="32">
        <f t="shared" si="96"/>
        <v>86620.731051084149</v>
      </c>
      <c r="IF32" s="32">
        <f>IF(HX32&gt;=0,IF(HX32&lt;=InputData!$C$148,InputData!$C$147*HX32,InputData!$C$147*InputData!$C$148)+InputData!$C$149*HX32,0)</f>
        <v>11641.197652244606</v>
      </c>
      <c r="IG32" s="32">
        <f>IF(HZ32&lt;0,0,IF(HZ32&lt;=InputData!$B$163,InputData!$C$163*HZ32,IF(HZ32&lt;=InputData!$B$164,InputData!$D$163+InputData!$C$164*(HZ32-InputData!$B$163),IF(HZ32&lt;=InputData!$B$165,InputData!$D$164+InputData!$C$165*(HZ32-InputData!$B$164),InputData!$D$165+InputData!$C$166*(HZ32-InputData!$B$165)))))</f>
        <v>0</v>
      </c>
      <c r="IH32" s="43">
        <f t="shared" si="97"/>
        <v>0.31029197584562196</v>
      </c>
      <c r="II32" s="43">
        <f t="shared" si="98"/>
        <v>0.31029197584562196</v>
      </c>
      <c r="IJ32" s="5">
        <f t="shared" si="20"/>
        <v>218413.77145147166</v>
      </c>
      <c r="IK32" s="32">
        <f>IJ32/((1+InputData!$C$7)^(GenSurg!$B32-GenSurg!$B$7))</f>
        <v>104315.63364866616</v>
      </c>
      <c r="IL32" s="5">
        <f t="shared" si="99"/>
        <v>2027106.9633221193</v>
      </c>
      <c r="IN32" s="227"/>
      <c r="IO32" s="53" t="s">
        <v>109</v>
      </c>
      <c r="IP32" s="32">
        <f>MIN(InputData!$C$13+InputData!$E$13*($B32-$B$20),1)*GenSurg!AW32</f>
        <v>519540.05197528092</v>
      </c>
      <c r="IQ32" s="32">
        <f>MIN(InputData!$C$13+InputData!$E$13*($B32-$B$20),1)*GenSurg!AX32</f>
        <v>0</v>
      </c>
      <c r="IR32" s="32">
        <f>MIN(InputData!$C$13+InputData!$E$13*($B32-$B$20),1)*GenSurg!AY32</f>
        <v>519540.05197528092</v>
      </c>
      <c r="IS32" s="32">
        <f>MIN(InputData!$C$13+InputData!$E$13*($B32-$B$20),1)*GenSurg!EO32</f>
        <v>316675.70015480043</v>
      </c>
      <c r="IT32" s="32">
        <f>MIN(InputData!$C$13+InputData!$E$13*($B32-$B$20),1)*GenSurg!EP32</f>
        <v>0</v>
      </c>
      <c r="IU32" s="32">
        <f>IF(IS32-InputData!$C$158-InputData!$C$159&gt;=0,IS32-InputData!$C$158-InputData!$C$159,0)</f>
        <v>316675.70015480043</v>
      </c>
      <c r="IV32" s="32">
        <f>IF(IS32-IF(IS32&lt;=InputData!$C$146,InputData!$C$145,0)-MAX(InputData!$C$144,JB32)&gt;=0,IS32-IF(IS32&lt;=InputData!$C$146,InputData!$C$145,0)-MAX(InputData!$C$144,JB32),0)</f>
        <v>310575.70015480043</v>
      </c>
      <c r="IW32" s="32">
        <f>IF(IV32&lt;0,"Error",IF(IV32&lt;=InputData!$B$170,InputData!$C$170*IV32,IF(IV32&lt;=InputData!$B$171,InputData!$D$170+InputData!$C$171*(IV32-InputData!$B$170),IF(IV32&lt;=InputData!$B$172,InputData!$D$171+InputData!$C$172*(IV32-InputData!$B$171),IF(IV32&lt;=InputData!$B$173,InputData!$D$172+InputData!$C$173*(IV32-InputData!$B$172),IF(IV32&lt;=InputData!$B$174,InputData!$D$173+InputData!$C$174*(IV32-InputData!$B$173),IF(IV32&lt;=InputData!$B$175,InputData!$D$174+InputData!$C$175*(IV32-InputData!$B$174),InputData!$D$175+InputData!$C$176*(IV32-InputData!$B$175))))))))</f>
        <v>86620.731051084149</v>
      </c>
      <c r="IX32" s="32">
        <f>IF(IS32&lt;=InputData!$C$150,InputData!$C$152,IF(IS32&lt;InputData!$C$151,IF(InputData!$C$152-0.25*IF(IS32-InputData!$C$150&lt;=0,0,IS32-InputData!$C$150)&lt;=0,0,InputData!$C$152-0.25*IF(IS32-InputData!$C$150&lt;=0,0,IS32-InputData!$C$150)),0))</f>
        <v>1581.0749612998916</v>
      </c>
      <c r="IY32" s="32">
        <f>IF(IS32-IX32&lt;=0,0,IF(IS32-IX32&lt;=InputData!$C$153,InputData!$C$154*(IS32-IX32),InputData!$C$155*(IS32-IX32)-InputData!$D$154))</f>
        <v>84636.495054180166</v>
      </c>
      <c r="IZ32" s="32">
        <f t="shared" si="102"/>
        <v>86620.731051084149</v>
      </c>
      <c r="JA32" s="32">
        <f>IF(IS32&gt;=0,IF(IS32&lt;=InputData!$C$148,InputData!$C$147*IS32,InputData!$C$147*InputData!$C$148)+InputData!$C$149*IS32,0)</f>
        <v>11641.197652244606</v>
      </c>
      <c r="JB32" s="32">
        <f>IF(IU32&lt;0,0,IF(IU32&lt;=InputData!$B$163,InputData!$C$163*IU32,IF(IU32&lt;=InputData!$B$164,InputData!$D$163+InputData!$C$164*(IU32-InputData!$B$163),IF(IU32&lt;=InputData!$B$165,InputData!$D$164+InputData!$C$165*(IU32-InputData!$B$164),InputData!$D$165+InputData!$C$166*(IU32-InputData!$B$165)))))</f>
        <v>0</v>
      </c>
      <c r="JC32" s="43">
        <f t="shared" si="103"/>
        <v>0.31029197584562196</v>
      </c>
      <c r="JD32" s="43">
        <f t="shared" si="104"/>
        <v>0.31029197584562196</v>
      </c>
      <c r="JE32" s="5">
        <f t="shared" si="105"/>
        <v>218413.77145147166</v>
      </c>
      <c r="JF32" s="32">
        <f>JE32/((1+InputData!$C$7)^(GenSurg!$B32-GenSurg!$B$7))</f>
        <v>104315.63364866616</v>
      </c>
      <c r="JG32" s="5">
        <f t="shared" si="106"/>
        <v>2154261.32525595</v>
      </c>
      <c r="JI32" s="41" t="str">
        <f t="shared" si="26"/>
        <v>Private Practice</v>
      </c>
      <c r="JJ32" s="5">
        <f t="shared" si="27"/>
        <v>577266.72441697877</v>
      </c>
      <c r="JK32" s="32">
        <v>0</v>
      </c>
      <c r="JL32" s="32">
        <f t="shared" si="108"/>
        <v>577266.72441697877</v>
      </c>
      <c r="JM32" s="32">
        <f>JM31*(1+InputData!$C$8)</f>
        <v>18850.562876399756</v>
      </c>
      <c r="JN32" s="32">
        <f>JJ32/((1+InputData!$C$3)^(GenSurg!$B32-GenSurg!$B$7))</f>
        <v>351861.88906088937</v>
      </c>
      <c r="JO32" s="32">
        <f>JK32/((1+InputData!$C$3)^(GenSurg!$B32-GenSurg!$B$7))</f>
        <v>0</v>
      </c>
      <c r="JP32" s="32" t="s">
        <v>141</v>
      </c>
      <c r="JQ32" s="32">
        <v>0</v>
      </c>
      <c r="JR32" s="32">
        <f t="shared" si="158"/>
        <v>0</v>
      </c>
      <c r="JS32" s="32">
        <f>(JR32)*InputData!$C$6</f>
        <v>0</v>
      </c>
      <c r="JT32" s="32">
        <f>MIN($BE$16*InputData!$C$6/(1-(1+InputData!$C$6)^(-10)), JR32+JS32)</f>
        <v>0</v>
      </c>
      <c r="JU32" s="32">
        <f t="shared" si="145"/>
        <v>0</v>
      </c>
      <c r="JV32" s="32">
        <f>JT32/((1+InputData!$C$3)^(GenSurg!$B32-GenSurg!$B$7))</f>
        <v>0</v>
      </c>
      <c r="JW32" s="32">
        <f>IF(JN32-InputData!$C$158-InputData!$C$159&gt;=0,JN32-InputData!$C$158-InputData!$C$159,0)</f>
        <v>351861.88906088937</v>
      </c>
      <c r="JX32" s="32">
        <f>IF(JN32-IF(JN32&lt;=InputData!$C$146,InputData!$C$145,0)-MAX(InputData!$C$144,KD32)&gt;=0,JN32-IF(JN32&lt;=InputData!$C$146,InputData!$C$145,0)-MAX(InputData!$C$144,KD32),0)</f>
        <v>345761.88906088937</v>
      </c>
      <c r="JY32" s="32">
        <f>IF(JX32&lt;0,"Error",IF(JX32&lt;=InputData!$B$170,InputData!$C$170*JX32,IF(JX32&lt;=InputData!$B$171,InputData!$D$170+InputData!$C$171*(JX32-InputData!$B$170),IF(JX32&lt;=InputData!$B$172,InputData!$D$171+InputData!$C$172*(JX32-InputData!$B$171),IF(JX32&lt;=InputData!$B$173,InputData!$D$172+InputData!$C$173*(JX32-InputData!$B$172),IF(JX32&lt;=InputData!$B$174,InputData!$D$173+InputData!$C$174*(JX32-InputData!$B$173),IF(JX32&lt;=InputData!$B$175,InputData!$D$174+InputData!$C$175*(JX32-InputData!$B$174),InputData!$D$175+InputData!$C$176*(JX32-InputData!$B$175))))))))</f>
        <v>98232.173390093492</v>
      </c>
      <c r="JZ32" s="32">
        <f>IF(JN32&lt;=InputData!$C$150,InputData!$C$152,IF(JN32&lt;InputData!$C$151,IF(InputData!$C$152-0.25*IF(JN32-InputData!$C$150&lt;=0,0,JN32-InputData!$C$150)&lt;=0,0,InputData!$C$152-0.25*IF(JN32-InputData!$C$150&lt;=0,0,JN32-InputData!$C$150)),0))</f>
        <v>0</v>
      </c>
      <c r="KA32" s="32">
        <f>IF(JN32-JZ32&lt;=0,0,IF(JN32-JZ32&lt;=InputData!$C$153,InputData!$C$154*(JN32-JZ32),InputData!$C$155*(JN32-JZ32)-InputData!$D$154))</f>
        <v>94931.328937049038</v>
      </c>
      <c r="KB32" s="32">
        <f t="shared" si="109"/>
        <v>98232.173390093492</v>
      </c>
      <c r="KC32" s="32">
        <f>IF(JN32&gt;=0,IF(JN32&lt;=InputData!$C$148,InputData!$C$147*JN32,InputData!$C$147*InputData!$C$148)+InputData!$C$149*JN32,0)</f>
        <v>12151.397391382896</v>
      </c>
      <c r="KD32" s="32">
        <f>IF(JW32&lt;0,0,IF(JW32&lt;=InputData!$B$163,InputData!$C$163*JW32,IF(JW32&lt;=InputData!$B$164,InputData!$D$163+InputData!$C$164*(JW32-InputData!$B$163),IF(JW32&lt;=InputData!$B$165,InputData!$D$164+InputData!$C$165*(JW32-InputData!$B$164),InputData!$D$165+InputData!$C$166*(JW32-InputData!$B$165)))))</f>
        <v>0</v>
      </c>
      <c r="KE32" s="43">
        <f t="shared" si="28"/>
        <v>0.31371277826105975</v>
      </c>
      <c r="KF32" s="32">
        <f t="shared" si="29"/>
        <v>241478.31827941298</v>
      </c>
      <c r="KG32" s="32">
        <f t="shared" si="110"/>
        <v>241478.31827941298</v>
      </c>
      <c r="KH32" s="32">
        <f>KG32/((1+InputData!$C$7)^(GenSurg!$B32-GenSurg!$B$7))</f>
        <v>115331.38966618727</v>
      </c>
      <c r="KI32" s="5">
        <f t="shared" si="129"/>
        <v>2499046.7861555764</v>
      </c>
    </row>
    <row r="33" spans="1:295" x14ac:dyDescent="0.25">
      <c r="A33" s="4">
        <v>2039</v>
      </c>
      <c r="B33" s="51">
        <v>27</v>
      </c>
      <c r="C33" s="4"/>
      <c r="D33" s="3">
        <v>27</v>
      </c>
      <c r="E33" s="97" t="s">
        <v>276</v>
      </c>
      <c r="F33" s="5">
        <f>InputData!$Q$21*12</f>
        <v>126320.40000000001</v>
      </c>
      <c r="G33" s="32">
        <f>(InputData!$Q$21+InputData!$K$45+InputData!$G$50)*12+InputData!$J$50+InputData!$D$58+InputData!$J$58</f>
        <v>264320.36</v>
      </c>
      <c r="H33" s="32">
        <f>(InputData!$C$32+InputData!$C$40)*12</f>
        <v>21631.199999999997</v>
      </c>
      <c r="I33" s="32">
        <f t="shared" si="30"/>
        <v>285951.56</v>
      </c>
      <c r="J33" s="5">
        <f>G33*((1+InputData!$C$5)/(1+InputData!$C$3))^(GenSurg!$B33-GenSurg!$B$7)</f>
        <v>204588.80690234306</v>
      </c>
      <c r="K33" s="5">
        <f>H33*((1+InputData!$C$5)/(1+InputData!$C$3))^(GenSurg!$B33-GenSurg!$B$7)</f>
        <v>16742.945567514977</v>
      </c>
      <c r="L33" s="32">
        <f>IF(J33-InputData!$C$158-InputData!$C$159&gt;=0,J33-InputData!$C$158-InputData!$C$159,0)</f>
        <v>204588.80690234306</v>
      </c>
      <c r="M33" s="32">
        <f>IF(J33-IF(J33&lt;=InputData!$C$146,InputData!$C$145,0)-MAX(InputData!$C$144,S33)&gt;=0,J33-IF(J33&lt;=InputData!$C$146,InputData!$C$145,0)-MAX(InputData!$C$144,S33),0)</f>
        <v>198488.80690234306</v>
      </c>
      <c r="N33" s="32">
        <f>IF(M33&lt;0,"Error",IF(M33&lt;=InputData!$B$170,InputData!$C$170*M33,IF(M33&lt;=InputData!$B$171,InputData!$D$170+InputData!$C$171*(M33-InputData!$B$170),IF(M33&lt;=InputData!$B$172,InputData!$D$171+InputData!$C$172*(M33-InputData!$B$171),IF(M33&lt;=InputData!$B$173,InputData!$D$172+InputData!$C$173*(M33-InputData!$B$172),IF(M33&lt;=InputData!$B$174,InputData!$D$173+InputData!$C$174*(M33-InputData!$B$173),IF(M33&lt;=InputData!$B$175,InputData!$D$174+InputData!$C$175*(M33-InputData!$B$174),InputData!$D$175+InputData!$C$176*(M33-InputData!$B$175))))))))</f>
        <v>49632.056277773212</v>
      </c>
      <c r="O33" s="32">
        <f>IF(J33&lt;=InputData!$C$150,InputData!$C$152,IF(J33&lt;InputData!$C$151,IF(InputData!$C$152-0.25*IF(J33-InputData!$C$150&lt;=0,0,J33-InputData!$C$150)&lt;=0,0,InputData!$C$152-0.25*IF(J33-InputData!$C$150&lt;=0,0,J33-InputData!$C$150)),0))</f>
        <v>29602.798274414235</v>
      </c>
      <c r="P33" s="32">
        <f>IF(J33-O33&lt;=0,0,IF(J33-O33&lt;=InputData!$C$153,InputData!$C$154*(J33-O33),InputData!$C$155*(J33-O33)-InputData!$D$154))</f>
        <v>45496.362243261494</v>
      </c>
      <c r="Q33" s="32">
        <f t="shared" si="31"/>
        <v>49632.056277773212</v>
      </c>
      <c r="R33" s="32">
        <f>IF(J33&gt;=0,IF(J33&lt;=InputData!$C$148,InputData!$C$147*J33,InputData!$C$147*InputData!$C$148)+InputData!$C$149*J33,0)</f>
        <v>10015.937700083974</v>
      </c>
      <c r="S33" s="32">
        <f>IF(L33&lt;0,0,IF(L33&lt;=InputData!$B$163,InputData!$C$163*L33,IF(L33&lt;=InputData!$B$164,InputData!$D$163+InputData!$C$164*(L33-InputData!$B$163),IF(L33&lt;=InputData!$B$165,InputData!$D$164+InputData!$C$165*(L33-InputData!$B$164),InputData!$D$165+InputData!$C$166*(L33-InputData!$B$165)))))</f>
        <v>0</v>
      </c>
      <c r="T33" s="43">
        <f t="shared" si="32"/>
        <v>0.29155062234821638</v>
      </c>
      <c r="U33" s="43">
        <f t="shared" si="33"/>
        <v>0.26949587355741161</v>
      </c>
      <c r="V33" s="5">
        <f t="shared" si="34"/>
        <v>161683.75849200084</v>
      </c>
      <c r="W33" s="32">
        <f>V33/((1+InputData!$C$7)^(GenSurg!$B33-GenSurg!$B$7))</f>
        <v>74971.906325181306</v>
      </c>
      <c r="X33" s="5">
        <f t="shared" si="111"/>
        <v>1809280.2205876636</v>
      </c>
      <c r="Y33" s="53"/>
      <c r="Z33" s="3">
        <v>23.5</v>
      </c>
      <c r="AA33" s="99" t="s">
        <v>269</v>
      </c>
      <c r="AB33" s="32">
        <f>InputData!$O$21*12</f>
        <v>117367.20000000001</v>
      </c>
      <c r="AC33" s="32">
        <f>(InputData!$O$21+InputData!$K$45+InputData!$G$50)*12+InputData!$J$50+InputData!$D$58+InputData!$J$58</f>
        <v>255367.16</v>
      </c>
      <c r="AD33" s="32">
        <f t="shared" si="169"/>
        <v>21631.199999999997</v>
      </c>
      <c r="AE33" s="32">
        <f t="shared" si="35"/>
        <v>276998.36</v>
      </c>
      <c r="AF33" s="5">
        <f>AC33*((1+InputData!$C$5)/(1+InputData!$C$3))^(GenSurg!$B33-GenSurg!$B$7)</f>
        <v>197658.86587941903</v>
      </c>
      <c r="AG33" s="5">
        <f>AD33*((1+InputData!$C$5)/(1+InputData!$C$3))^(GenSurg!$B33-GenSurg!$B$7)</f>
        <v>16742.945567514977</v>
      </c>
      <c r="AH33" s="32">
        <f>IF(AF33-InputData!$C$158-InputData!$C$159&gt;=0,AF33-InputData!$C$158-InputData!$C$159,0)</f>
        <v>197658.86587941903</v>
      </c>
      <c r="AI33" s="32">
        <f>IF(AF33-IF(AF33&lt;=InputData!$C$146,InputData!$C$145,0)-MAX(InputData!$C$144,AO33)&gt;=0,AF33-IF(AF33&lt;=InputData!$C$146,InputData!$C$145,0)-MAX(InputData!$C$144,AO33),0)</f>
        <v>191558.86587941903</v>
      </c>
      <c r="AJ33" s="32">
        <f>IF(AI33&lt;0,"Error",IF(AI33&lt;=InputData!$B$170,InputData!$C$170*AI33,IF(AI33&lt;=InputData!$B$171,InputData!$D$170+InputData!$C$171*(AI33-InputData!$B$170),IF(AI33&lt;=InputData!$B$172,InputData!$D$171+InputData!$C$172*(AI33-InputData!$B$171),IF(AI33&lt;=InputData!$B$173,InputData!$D$172+InputData!$C$173*(AI33-InputData!$B$172),IF(AI33&lt;=InputData!$B$174,InputData!$D$173+InputData!$C$174*(AI33-InputData!$B$173),IF(AI33&lt;=InputData!$B$175,InputData!$D$174+InputData!$C$175*(AI33-InputData!$B$174),InputData!$D$175+InputData!$C$176*(AI33-InputData!$B$175))))))))</f>
        <v>47345.17574020828</v>
      </c>
      <c r="AK33" s="32">
        <f>IF(AF33&lt;=InputData!$C$150,InputData!$C$152,IF(AF33&lt;InputData!$C$151,IF(InputData!$C$152-0.25*IF(AF33-InputData!$C$150&lt;=0,0,AF33-InputData!$C$150)&lt;=0,0,InputData!$C$152-0.25*IF(AF33-InputData!$C$150&lt;=0,0,AF33-InputData!$C$150)),0))</f>
        <v>31335.283530145243</v>
      </c>
      <c r="AL33" s="32">
        <f>IF(AF33-AK33&lt;=0,0,IF(AF33-AK33&lt;=InputData!$C$153,InputData!$C$154*(AF33-AK33),InputData!$C$155*(AF33-AK33)-InputData!$D$154))</f>
        <v>43244.131410811184</v>
      </c>
      <c r="AM33" s="32">
        <f t="shared" si="36"/>
        <v>47345.17574020828</v>
      </c>
      <c r="AN33" s="32">
        <f>IF(AF33&gt;=0,IF(AF33&lt;=InputData!$C$148,InputData!$C$147*AF33,InputData!$C$147*InputData!$C$148)+InputData!$C$149*AF33,0)</f>
        <v>9915.4535552515754</v>
      </c>
      <c r="AO33" s="32">
        <f>IF(AH33&lt;0,0,IF(AH33&lt;=InputData!$B$163,InputData!$C$163*AH33,IF(AH33&lt;=InputData!$B$164,InputData!$D$163+InputData!$C$164*(AH33-InputData!$B$163),IF(AH33&lt;=InputData!$B$165,InputData!$D$164+InputData!$C$165*(AH33-InputData!$B$164),InputData!$D$165+InputData!$C$166*(AH33-InputData!$B$165)))))</f>
        <v>0</v>
      </c>
      <c r="AP33" s="43">
        <f t="shared" si="37"/>
        <v>0.28969421149259988</v>
      </c>
      <c r="AQ33" s="43">
        <f t="shared" si="38"/>
        <v>0.26707157420464367</v>
      </c>
      <c r="AR33" s="5">
        <f t="shared" si="39"/>
        <v>157141.18215147415</v>
      </c>
      <c r="AS33" s="32">
        <f>AR33/((1+InputData!$C$7)^(GenSurg!$B33-GenSurg!$B$7))</f>
        <v>72865.537627092184</v>
      </c>
      <c r="AT33" s="5">
        <f t="shared" si="112"/>
        <v>1842442.9927335843</v>
      </c>
      <c r="AU33" s="53"/>
      <c r="AV33" s="41" t="s">
        <v>109</v>
      </c>
      <c r="AW33" s="32">
        <f>$AW$17*(1+InputData!$C$3+InputData!$C$4)^(GenSurg!$B33-GenSurg!$B$17)</f>
        <v>594584.72614948801</v>
      </c>
      <c r="AX33" s="32">
        <v>0</v>
      </c>
      <c r="AY33" s="32">
        <f t="shared" si="41"/>
        <v>594584.72614948801</v>
      </c>
      <c r="AZ33" s="32">
        <f>AZ32*(1+InputData!$C$8)</f>
        <v>19227.574133927752</v>
      </c>
      <c r="BA33" s="32">
        <f>AW33/((1+InputData!$C$3)^(GenSurg!$B33-GenSurg!$B$7))</f>
        <v>355311.5154242313</v>
      </c>
      <c r="BB33" s="32">
        <f>AX33/((1+InputData!$C$3)^(GenSurg!$B33-GenSurg!$B$7))</f>
        <v>0</v>
      </c>
      <c r="BC33" s="32" t="s">
        <v>141</v>
      </c>
      <c r="BD33" s="32">
        <v>0</v>
      </c>
      <c r="BE33" s="32">
        <f t="shared" si="146"/>
        <v>0</v>
      </c>
      <c r="BF33" s="32">
        <f>(BE33)*InputData!$C$6</f>
        <v>0</v>
      </c>
      <c r="BG33" s="32">
        <f>MIN($BE$16*InputData!$C$6/(1-(1+InputData!$C$6)^(-10)), BE33+BF33)</f>
        <v>0</v>
      </c>
      <c r="BH33" s="32">
        <f t="shared" si="137"/>
        <v>0</v>
      </c>
      <c r="BI33" s="32">
        <f>BG33/((1+InputData!$C$3)^(GenSurg!$B33-GenSurg!$B$7))</f>
        <v>0</v>
      </c>
      <c r="BJ33" s="32">
        <f>IF(BA33-InputData!$C$158-InputData!$C$159&gt;=0,BA33-InputData!$C$158-InputData!$C$159,0)</f>
        <v>355311.5154242313</v>
      </c>
      <c r="BK33" s="32">
        <f>IF(BA33-IF(BA33&lt;=InputData!$C$146,InputData!$C$145,0)-MAX(InputData!$C$144,BQ33)&gt;=0,BA33-IF(BA33&lt;=InputData!$C$146,InputData!$C$145,0)-MAX(InputData!$C$144,BQ33),0)</f>
        <v>349211.5154242313</v>
      </c>
      <c r="BL33" s="32">
        <f>IF(BK33&lt;0,"Error",IF(BK33&lt;=InputData!$B$170,InputData!$C$170*BK33,IF(BK33&lt;=InputData!$B$171,InputData!$D$170+InputData!$C$171*(BK33-InputData!$B$170),IF(BK33&lt;=InputData!$B$172,InputData!$D$171+InputData!$C$172*(BK33-InputData!$B$171),IF(BK33&lt;=InputData!$B$173,InputData!$D$172+InputData!$C$173*(BK33-InputData!$B$172),IF(BK33&lt;=InputData!$B$174,InputData!$D$173+InputData!$C$174*(BK33-InputData!$B$173),IF(BK33&lt;=InputData!$B$175,InputData!$D$174+InputData!$C$175*(BK33-InputData!$B$174),InputData!$D$175+InputData!$C$176*(BK33-InputData!$B$175))))))))</f>
        <v>99370.550089996337</v>
      </c>
      <c r="BM33" s="32">
        <f>IF(BA33&lt;=InputData!$C$150,InputData!$C$152,IF(BA33&lt;InputData!$C$151,IF(InputData!$C$152-0.25*IF(BA33-InputData!$C$150&lt;=0,0,BA33-InputData!$C$150)&lt;=0,0,InputData!$C$152-0.25*IF(BA33-InputData!$C$150&lt;=0,0,BA33-InputData!$C$150)),0))</f>
        <v>0</v>
      </c>
      <c r="BN33" s="32">
        <f>IF(BA33-BM33&lt;=0,0,IF(BA33-BM33&lt;=InputData!$C$153,InputData!$C$154*(BA33-BM33),InputData!$C$155*(BA33-BM33)-InputData!$D$154))</f>
        <v>95897.224318784778</v>
      </c>
      <c r="BO33" s="32">
        <f t="shared" si="42"/>
        <v>99370.550089996337</v>
      </c>
      <c r="BP33" s="32">
        <f>IF(BA33&gt;=0,IF(BA33&lt;=InputData!$C$148,InputData!$C$147*BA33,InputData!$C$147*InputData!$C$148)+InputData!$C$149*BA33,0)</f>
        <v>12201.416973651354</v>
      </c>
      <c r="BQ33" s="32">
        <f>IF(BJ33&lt;0,0,IF(BJ33&lt;=InputData!$B$163,InputData!$C$163*BJ33,IF(BJ33&lt;=InputData!$B$164,InputData!$D$163+InputData!$C$164*(BJ33-InputData!$B$163),IF(BJ33&lt;=InputData!$B$165,InputData!$D$164+InputData!$C$165*(BJ33-InputData!$B$164),InputData!$D$165+InputData!$C$166*(BJ33-InputData!$B$165)))))</f>
        <v>0</v>
      </c>
      <c r="BR33" s="43">
        <f t="shared" si="43"/>
        <v>0.31401168332648638</v>
      </c>
      <c r="BS33" s="32">
        <f t="shared" si="44"/>
        <v>243739.54836058361</v>
      </c>
      <c r="BT33" s="32">
        <f t="shared" si="45"/>
        <v>243739.54836058361</v>
      </c>
      <c r="BU33" s="32">
        <f>BT33/((1+InputData!$C$7)^(GenSurg!$B33-GenSurg!$B$7))</f>
        <v>113020.74344304499</v>
      </c>
      <c r="BV33" s="5">
        <f t="shared" si="114"/>
        <v>2227741.1370518808</v>
      </c>
      <c r="BW33" s="5"/>
      <c r="BX33" s="32" t="s">
        <v>141</v>
      </c>
      <c r="BY33" s="5">
        <f t="shared" si="147"/>
        <v>133554.76411492398</v>
      </c>
      <c r="BZ33" s="32">
        <f>(BY33)*InputData!$C$6</f>
        <v>8293.750851536779</v>
      </c>
      <c r="CA33" s="32">
        <f>MIN($BY$16*InputData!$C$6/(1-(1+InputData!$C$6)^(-25)), BY33+BZ33)</f>
        <v>21686.214673809533</v>
      </c>
      <c r="CB33" s="32">
        <f t="shared" si="148"/>
        <v>120162.30029265123</v>
      </c>
      <c r="CC33" s="32">
        <f>CA33/((1+InputData!$C$3)^(GenSurg!$B33-GenSurg!$B$7))</f>
        <v>12959.232655480655</v>
      </c>
      <c r="CD33" s="5">
        <f t="shared" si="49"/>
        <v>230780.31570510296</v>
      </c>
      <c r="CE33" s="32">
        <f>CD33/((1+InputData!$C$7)^(GenSurg!$B33-GenSurg!$B$7))</f>
        <v>107011.61558904973</v>
      </c>
      <c r="CF33" s="5">
        <f t="shared" si="115"/>
        <v>2251199.5909368666</v>
      </c>
      <c r="CG33" s="5"/>
      <c r="CH33" s="32" t="s">
        <v>141</v>
      </c>
      <c r="CI33" s="5" t="e">
        <f t="shared" si="149"/>
        <v>#VALUE!</v>
      </c>
      <c r="CJ33" s="32" t="e">
        <f>(CI33)*InputData!$C$6</f>
        <v>#VALUE!</v>
      </c>
      <c r="CK33" s="5" t="str">
        <f t="shared" si="159"/>
        <v>DNQ</v>
      </c>
      <c r="CL33" s="32" t="e">
        <f t="shared" si="150"/>
        <v>#VALUE!</v>
      </c>
      <c r="CM33" s="32" t="e">
        <f>CK33/((1+InputData!$C$3)^(GenSurg!$B33-GenSurg!$B$7))</f>
        <v>#VALUE!</v>
      </c>
      <c r="CN33" s="5" t="e">
        <f t="shared" si="53"/>
        <v>#VALUE!</v>
      </c>
      <c r="CO33" s="32" t="e">
        <f>CN33/((1+InputData!$C$7)^(GenSurg!$B33-GenSurg!$B$7))</f>
        <v>#VALUE!</v>
      </c>
      <c r="CP33" s="5" t="e">
        <f t="shared" si="116"/>
        <v>#VALUE!</v>
      </c>
      <c r="CQ33" s="5"/>
      <c r="CR33" s="32" t="s">
        <v>141</v>
      </c>
      <c r="CS33" s="5">
        <f t="shared" si="160"/>
        <v>0</v>
      </c>
      <c r="CT33" s="32">
        <f>(CS33)*InputData!$C$6</f>
        <v>0</v>
      </c>
      <c r="CU33" s="32">
        <f t="shared" si="161"/>
        <v>0</v>
      </c>
      <c r="CV33" s="32">
        <f t="shared" si="152"/>
        <v>0</v>
      </c>
      <c r="CW33" s="32">
        <f>CU33/((1+InputData!$C$3)^(GenSurg!$B33-GenSurg!$B$7))</f>
        <v>0</v>
      </c>
      <c r="CX33" s="5">
        <f t="shared" si="57"/>
        <v>243739.54836058361</v>
      </c>
      <c r="CY33" s="32">
        <f>CX33/((1+InputData!$C$7)^(GenSurg!$B33-GenSurg!$B$7))</f>
        <v>113020.74344304499</v>
      </c>
      <c r="CZ33" s="5">
        <f t="shared" si="117"/>
        <v>2227295.8807913489</v>
      </c>
      <c r="DA33" s="5"/>
      <c r="DB33" s="32" t="s">
        <v>141</v>
      </c>
      <c r="DC33" s="5">
        <f t="shared" si="138"/>
        <v>0</v>
      </c>
      <c r="DD33" s="5">
        <f>DC33*InputData!$C$6</f>
        <v>0</v>
      </c>
      <c r="DE33" s="32">
        <f t="shared" si="139"/>
        <v>0</v>
      </c>
      <c r="DF33" s="32">
        <f t="shared" si="140"/>
        <v>0</v>
      </c>
      <c r="DG33" s="32">
        <f>DE33/((1+InputData!$C$3)^(GenSurg!$B33-GenSurg!$B$7))</f>
        <v>0</v>
      </c>
      <c r="DH33" s="5">
        <f t="shared" si="61"/>
        <v>243739.54836058361</v>
      </c>
      <c r="DI33" s="32">
        <f>DH33/((1+InputData!$C$7)^(GenSurg!$B33-GenSurg!$B$7))</f>
        <v>113020.74344304499</v>
      </c>
      <c r="DJ33" s="5">
        <f t="shared" si="118"/>
        <v>2232328.7531542974</v>
      </c>
      <c r="DK33" s="5"/>
      <c r="DL33" s="32" t="s">
        <v>141</v>
      </c>
      <c r="DM33" s="32">
        <f t="shared" si="153"/>
        <v>0</v>
      </c>
      <c r="DN33" s="5">
        <f>DM33*InputData!$C$6</f>
        <v>0</v>
      </c>
      <c r="DO33" s="32">
        <f t="shared" si="154"/>
        <v>0</v>
      </c>
      <c r="DP33" s="32">
        <f t="shared" si="130"/>
        <v>0</v>
      </c>
      <c r="DQ33" s="32">
        <f t="shared" si="131"/>
        <v>0</v>
      </c>
      <c r="DR33" s="32">
        <f>DP33/((1+InputData!$C$3)^(GenSurg!$B33-GenSurg!$B$7))</f>
        <v>0</v>
      </c>
      <c r="DS33" s="5">
        <f t="shared" si="65"/>
        <v>243739.54836058361</v>
      </c>
      <c r="DT33" s="32">
        <f>DS33/((1+InputData!$C$7)^(GenSurg!$B33-GenSurg!$B$7))</f>
        <v>113020.74344304499</v>
      </c>
      <c r="DU33" s="5">
        <f t="shared" si="120"/>
        <v>2225420.5115081435</v>
      </c>
      <c r="DV33" s="5"/>
      <c r="DW33" s="32" t="s">
        <v>141</v>
      </c>
      <c r="DX33" s="133">
        <f t="shared" si="141"/>
        <v>0</v>
      </c>
      <c r="DY33" s="5">
        <f>DX33*InputData!$C$6</f>
        <v>0</v>
      </c>
      <c r="DZ33" s="133">
        <f t="shared" si="142"/>
        <v>0</v>
      </c>
      <c r="EA33" s="32">
        <f t="shared" si="143"/>
        <v>0</v>
      </c>
      <c r="EB33" s="32">
        <f t="shared" si="144"/>
        <v>0</v>
      </c>
      <c r="EC33" s="32">
        <f>EA33/((1+InputData!$C$3)^(GenSurg!$B33-GenSurg!$B$7))</f>
        <v>0</v>
      </c>
      <c r="ED33" s="5">
        <f t="shared" si="69"/>
        <v>243739.54836058361</v>
      </c>
      <c r="EE33" s="32">
        <f>ED33/((1+InputData!$C$7)^(GenSurg!$B33-GenSurg!$B$7))</f>
        <v>113020.74344304499</v>
      </c>
      <c r="EF33" s="5">
        <f t="shared" si="122"/>
        <v>2225939.7824533493</v>
      </c>
      <c r="EG33" s="32"/>
      <c r="EH33" s="130" t="s">
        <v>141</v>
      </c>
      <c r="EI33" s="32">
        <v>0</v>
      </c>
      <c r="EJ33" s="32">
        <f t="shared" si="168"/>
        <v>0</v>
      </c>
      <c r="EK33" s="32">
        <f>(EJ33)*InputData!$C$6</f>
        <v>0</v>
      </c>
      <c r="EL33" s="32">
        <f t="shared" si="167"/>
        <v>-2.1827872842550278E-11</v>
      </c>
      <c r="EM33" s="32">
        <f>EM32*(1+InputData!$C$8)</f>
        <v>19227.574133927752</v>
      </c>
      <c r="EN33" s="32">
        <f t="shared" si="162"/>
        <v>0</v>
      </c>
      <c r="EO33" s="32">
        <f>AW33/((1+InputData!$C$3)^(GenSurg!$B33-GenSurg!$B$7))</f>
        <v>355311.5154242313</v>
      </c>
      <c r="EP33" s="32">
        <f>AX33/((1+InputData!$C$3)^(GenSurg!$B33-GenSurg!$B$7))</f>
        <v>0</v>
      </c>
      <c r="EQ33" s="32">
        <v>93178.22</v>
      </c>
      <c r="ER33" s="32">
        <v>10640.6</v>
      </c>
      <c r="ES33" s="32">
        <v>0</v>
      </c>
      <c r="ET33" s="43">
        <f t="shared" si="136"/>
        <v>0.29219098028962964</v>
      </c>
      <c r="EU33" s="32">
        <f t="shared" si="70"/>
        <v>251492.69542423129</v>
      </c>
      <c r="EV33" s="32">
        <f>EN33/((1+InputData!$C$3)^(GenSurg!$B33-GenSurg!$B$7))</f>
        <v>0</v>
      </c>
      <c r="EW33" s="32">
        <f t="shared" si="71"/>
        <v>251492.69542423129</v>
      </c>
      <c r="EX33" s="32">
        <f>EW33/((1+InputData!$C$7)^(GenSurg!$B33-GenSurg!$B$7))</f>
        <v>116615.83685751374</v>
      </c>
      <c r="EY33" s="5">
        <f t="shared" si="124"/>
        <v>2364806.8354174634</v>
      </c>
      <c r="EZ33" s="79"/>
      <c r="FA33" s="32">
        <f t="shared" si="163"/>
        <v>0</v>
      </c>
      <c r="FB33" s="32">
        <f>FA33*InputData!$C$6</f>
        <v>0</v>
      </c>
      <c r="FC33" s="32">
        <f t="shared" si="155"/>
        <v>0</v>
      </c>
      <c r="FD33" s="32">
        <f>MIN($EJ$16*InputData!$C$6/(1-(1+InputData!$C$6)^(-10)), FA33+FB33)</f>
        <v>0</v>
      </c>
      <c r="FE33" s="32">
        <f>FD33/((1+InputData!$C$3)^(GenSurg!$B33-GenSurg!$B$7))</f>
        <v>0</v>
      </c>
      <c r="FF33" s="5">
        <f t="shared" si="75"/>
        <v>251492.69542423129</v>
      </c>
      <c r="FG33" s="32">
        <f>FF33/((1+InputData!$C$7)^(GenSurg!$B33-GenSurg!$B$7))</f>
        <v>116615.83685751374</v>
      </c>
      <c r="FH33" s="5">
        <f t="shared" si="125"/>
        <v>2365245.5341673549</v>
      </c>
      <c r="FI33" s="79"/>
      <c r="FJ33" s="32">
        <f t="shared" si="164"/>
        <v>133454.08892423395</v>
      </c>
      <c r="FK33" s="32">
        <f>FJ33*InputData!$C$6</f>
        <v>8287.498922194929</v>
      </c>
      <c r="FL33" s="32">
        <f t="shared" si="156"/>
        <v>120071.72050258616</v>
      </c>
      <c r="FM33" s="32">
        <f>MIN($EJ$16*InputData!$C$6/(1-(1+InputData!$C$6)^(-25)), FJ33+FK33)</f>
        <v>21669.867343842721</v>
      </c>
      <c r="FN33" s="32">
        <f>FM33/((1+InputData!$C$3)^(GenSurg!$B33-GenSurg!$B$7))</f>
        <v>12949.463829730181</v>
      </c>
      <c r="FO33" s="5">
        <f t="shared" si="79"/>
        <v>238543.23159450112</v>
      </c>
      <c r="FP33" s="32">
        <f>FO33/((1+InputData!$C$7)^(GenSurg!$B33-GenSurg!$B$7))</f>
        <v>110611.23875651225</v>
      </c>
      <c r="FQ33" s="5">
        <f t="shared" si="126"/>
        <v>2388686.3047870984</v>
      </c>
      <c r="FR33" s="79"/>
      <c r="FS33" s="32">
        <f t="shared" si="165"/>
        <v>0</v>
      </c>
      <c r="FT33" s="32">
        <f>FS33*InputData!$C$6</f>
        <v>0</v>
      </c>
      <c r="FU33" s="32">
        <f t="shared" si="157"/>
        <v>0</v>
      </c>
      <c r="FV33" s="5">
        <f t="shared" si="166"/>
        <v>0</v>
      </c>
      <c r="FW33" s="32">
        <f>FV33/((1+InputData!$C$3)^(GenSurg!$B33-GenSurg!$B$7))</f>
        <v>0</v>
      </c>
      <c r="FX33" s="5">
        <f t="shared" si="83"/>
        <v>251492.69542423129</v>
      </c>
      <c r="FY33" s="32">
        <f>FX33/((1+InputData!$C$7)^(GenSurg!$B33-GenSurg!$B$7))</f>
        <v>116615.83685751374</v>
      </c>
      <c r="FZ33" s="5">
        <f t="shared" si="127"/>
        <v>2365245.5341673549</v>
      </c>
      <c r="GC33" s="83">
        <v>20</v>
      </c>
      <c r="GD33" s="4" t="s">
        <v>217</v>
      </c>
      <c r="GE33" s="5"/>
      <c r="GF33" s="84">
        <v>0</v>
      </c>
      <c r="GG33" s="5"/>
      <c r="GH33" s="84">
        <f>MIN(InputData!$C$13+InputData!$E$13*($B33-$B$31),1)*$AW33/((1+InputData!$C$3)^(GenSurg!$B33-GenSurg!$B$7))+0.025*$GC$30*(($F$28+$F$29+$F$30)/3)*((1+InputData!$C$5)/(1+InputData!$C$3))^(GenSurg!$B33-GenSurg!$B$7)</f>
        <v>360143.71759614942</v>
      </c>
      <c r="GI33" s="5">
        <v>0</v>
      </c>
      <c r="GJ33" s="32">
        <f>IF(GH33-InputData!$C$158-InputData!$C$159&gt;=0,GH33-InputData!$C$158-InputData!$C$159,0)</f>
        <v>360143.71759614942</v>
      </c>
      <c r="GK33" s="32">
        <f>IF(GH33-IF(GH33&lt;=InputData!$C$146,InputData!$C$145,0)-MAX(InputData!$C$144,GQ33)&gt;=0,GH33-IF(GH33&lt;=InputData!$C$146,InputData!$C$145,0)-MAX(InputData!$C$144,GQ33),0)</f>
        <v>354043.71759614942</v>
      </c>
      <c r="GL33" s="32">
        <f>IF(GK33&lt;0,"Error",IF(GK33&lt;=InputData!$B$170,InputData!$C$170*GK33,IF(GK33&lt;=InputData!$B$171,InputData!$D$170+InputData!$C$171*(GK33-InputData!$B$170),IF(GK33&lt;=InputData!$B$172,InputData!$D$171+InputData!$C$172*(GK33-InputData!$B$171),IF(GK33&lt;=InputData!$B$173,InputData!$D$172+InputData!$C$173*(GK33-InputData!$B$172),IF(GK33&lt;=InputData!$B$174,InputData!$D$173+InputData!$C$174*(GK33-InputData!$B$173),IF(GK33&lt;=InputData!$B$175,InputData!$D$174+InputData!$C$175*(GK33-InputData!$B$174),InputData!$D$175+InputData!$C$176*(GK33-InputData!$B$175))))))))</f>
        <v>100965.17680672932</v>
      </c>
      <c r="GM33" s="32">
        <f>IF(GH33&lt;=InputData!$C$150,InputData!$C$152,IF(GH33&lt;InputData!$C$151,IF(InputData!$C$152-0.25*IF(GH33-InputData!$C$150&lt;=0,0,GH33-InputData!$C$150)&lt;=0,0,InputData!$C$152-0.25*IF(GH33-InputData!$C$150&lt;=0,0,GH33-InputData!$C$150)),0))</f>
        <v>0</v>
      </c>
      <c r="GN33" s="32">
        <f>IF(GH33-GM33&lt;=0,0,IF(GH33-GM33&lt;=InputData!$C$153,InputData!$C$154*(GH33-GM33),InputData!$C$155*(GH33-GM33)-InputData!$D$154))</f>
        <v>97250.240926921848</v>
      </c>
      <c r="GO33" s="32">
        <f t="shared" si="84"/>
        <v>100965.17680672932</v>
      </c>
      <c r="GP33" s="32">
        <f>IF(GH33&gt;=0,IF(GH33&lt;=InputData!$C$148,InputData!$C$147*GH33,InputData!$C$147*InputData!$C$148)+InputData!$C$149*GH33,0)</f>
        <v>12271.483905144167</v>
      </c>
      <c r="GQ33" s="32">
        <f>IF(GJ33&lt;0,0,IF(GJ33&lt;=InputData!$B$163,InputData!$C$163*GJ33,IF(GJ33&lt;=InputData!$B$164,InputData!$D$163+InputData!$C$164*(GJ33-InputData!$B$163),IF(GJ33&lt;=InputData!$B$165,InputData!$D$164+InputData!$C$165*(GJ33-InputData!$B$164),InputData!$D$165+InputData!$C$166*(GJ33-InputData!$B$165)))))</f>
        <v>0</v>
      </c>
      <c r="GR33" s="43">
        <f t="shared" si="85"/>
        <v>0.31442075810094372</v>
      </c>
      <c r="GS33" s="43">
        <f t="shared" si="86"/>
        <v>0.31442075810094372</v>
      </c>
      <c r="GT33" s="5">
        <f t="shared" si="87"/>
        <v>246907.05688427592</v>
      </c>
      <c r="GU33" s="32">
        <f>GT33/((1+InputData!$C$7)^(GenSurg!$B33-GenSurg!$B$7))</f>
        <v>114489.50044459764</v>
      </c>
      <c r="GV33" s="84">
        <f t="shared" si="88"/>
        <v>1929604.2010729213</v>
      </c>
      <c r="GX33" s="83">
        <v>21</v>
      </c>
      <c r="GY33" s="4" t="s">
        <v>217</v>
      </c>
      <c r="GZ33" s="5"/>
      <c r="HA33" s="84">
        <v>0</v>
      </c>
      <c r="HB33" s="5"/>
      <c r="HC33" s="84">
        <f>MIN(InputData!$C$13+InputData!$E$13*($B33-$B$32),1)*$AW33/((1+InputData!$C$3)^(GenSurg!$B33-GenSurg!$B$7))+0.025*$GX$31*(($AB$29+$AB$30+$AB$31)/3)*((1+InputData!$C$5)/(1+InputData!$C$3))^(GenSurg!$B33-GenSurg!$B$7)</f>
        <v>364818.98962884472</v>
      </c>
      <c r="HD33" s="5">
        <v>0</v>
      </c>
      <c r="HE33" s="32">
        <f>IF(HC33-InputData!$C$158-InputData!$C$159&gt;=0,HC33-InputData!$C$158-InputData!$C$159,0)</f>
        <v>364818.98962884472</v>
      </c>
      <c r="HF33" s="32">
        <f>IF(HC33-IF(HC33&lt;=InputData!$C$146,InputData!$C$145,0)-MAX(InputData!$C$144,HL33)&gt;=0,HC33-IF(HC33&lt;=InputData!$C$146,InputData!$C$145,0)-MAX(InputData!$C$144,HL33),0)</f>
        <v>358718.98962884472</v>
      </c>
      <c r="HG33" s="32">
        <f>IF(HF33&lt;0,"Error",IF(HF33&lt;=InputData!$B$170,InputData!$C$170*HF33,IF(HF33&lt;=InputData!$B$171,InputData!$D$170+InputData!$C$171*(HF33-InputData!$B$170),IF(HF33&lt;=InputData!$B$172,InputData!$D$171+InputData!$C$172*(HF33-InputData!$B$171),IF(HF33&lt;=InputData!$B$173,InputData!$D$172+InputData!$C$173*(HF33-InputData!$B$172),IF(HF33&lt;=InputData!$B$174,InputData!$D$173+InputData!$C$174*(HF33-InputData!$B$173),IF(HF33&lt;=InputData!$B$175,InputData!$D$174+InputData!$C$175*(HF33-InputData!$B$174),InputData!$D$175+InputData!$C$176*(HF33-InputData!$B$175))))))))</f>
        <v>102508.01657751876</v>
      </c>
      <c r="HH33" s="32">
        <f>IF(HC33&lt;=InputData!$C$150,InputData!$C$152,IF(HC33&lt;InputData!$C$151,IF(InputData!$C$152-0.25*IF(HC33-InputData!$C$150&lt;=0,0,HC33-InputData!$C$150)&lt;=0,0,InputData!$C$152-0.25*IF(HC33-InputData!$C$150&lt;=0,0,HC33-InputData!$C$150)),0))</f>
        <v>0</v>
      </c>
      <c r="HI33" s="32">
        <f>IF(HC33-HH33&lt;=0,0,IF(HC33-HH33&lt;=InputData!$C$153,InputData!$C$154*(HC33-HH33),InputData!$C$155*(HC33-HH33)-InputData!$D$154))</f>
        <v>98559.317096076527</v>
      </c>
      <c r="HJ33" s="32">
        <f t="shared" si="89"/>
        <v>102508.01657751876</v>
      </c>
      <c r="HK33" s="32">
        <f>IF(HC33&gt;=0,IF(HC33&lt;=InputData!$C$148,InputData!$C$147*HC33,InputData!$C$147*InputData!$C$148)+InputData!$C$149*HC33,0)</f>
        <v>12339.275349618249</v>
      </c>
      <c r="HL33" s="32">
        <f>IF(HE33&lt;0,0,IF(HE33&lt;=InputData!$B$163,InputData!$C$163*HE33,IF(HE33&lt;=InputData!$B$164,InputData!$D$163+InputData!$C$164*(HE33-InputData!$B$163),IF(HE33&lt;=InputData!$B$165,InputData!$D$164+InputData!$C$165*(HE33-InputData!$B$164),InputData!$D$165+InputData!$C$166*(HE33-InputData!$B$165)))))</f>
        <v>0</v>
      </c>
      <c r="HM33" s="43">
        <f t="shared" si="90"/>
        <v>0.31480623320616891</v>
      </c>
      <c r="HN33" s="43">
        <f t="shared" si="91"/>
        <v>0.31480623320616891</v>
      </c>
      <c r="HO33" s="5">
        <f t="shared" si="92"/>
        <v>249971.69770170769</v>
      </c>
      <c r="HP33" s="32">
        <f>HO33/((1+InputData!$C$7)^(GenSurg!$B33-GenSurg!$B$7))</f>
        <v>115910.55823313358</v>
      </c>
      <c r="HQ33" s="84">
        <f t="shared" si="93"/>
        <v>1920146.7000455626</v>
      </c>
      <c r="HS33" s="227"/>
      <c r="HT33" s="53" t="s">
        <v>109</v>
      </c>
      <c r="HU33" s="32">
        <f>MIN(InputData!$C$13+InputData!$E$13*($B33-$B$23),1)*GenSurg!AW33</f>
        <v>535126.25353453925</v>
      </c>
      <c r="HV33" s="32">
        <f>MIN(InputData!$C$13+InputData!$E$13*($B33-$B$23),1)*GenSurg!AX33</f>
        <v>0</v>
      </c>
      <c r="HW33" s="32">
        <f>MIN(InputData!$C$13+InputData!$E$13*($B33-$B$23),1)*GenSurg!AY33</f>
        <v>535126.25353453925</v>
      </c>
      <c r="HX33" s="32">
        <f>MIN(InputData!$C$13+InputData!$E$13*($B33-$B$23),1)*GenSurg!EO33</f>
        <v>319780.36388180818</v>
      </c>
      <c r="HY33" s="32">
        <f>MIN(InputData!$C$13+InputData!$E$13*($B33-$B$23),1)*GenSurg!EP33</f>
        <v>0</v>
      </c>
      <c r="HZ33" s="32">
        <f>IF(HX33-InputData!$C$158-InputData!$C$159&gt;=0,HX33-InputData!$C$158-InputData!$C$159,0)</f>
        <v>319780.36388180818</v>
      </c>
      <c r="IA33" s="32">
        <f>IF(HX33-IF(HX33&lt;=InputData!$C$146,InputData!$C$145,0)-MAX(InputData!$C$144,IG33)&gt;=0,HX33-IF(HX33&lt;=InputData!$C$146,InputData!$C$145,0)-MAX(InputData!$C$144,IG33),0)</f>
        <v>313680.36388180818</v>
      </c>
      <c r="IB33" s="32">
        <f>IF(IA33&lt;0,"Error",IF(IA33&lt;=InputData!$B$170,InputData!$C$170*IA33,IF(IA33&lt;=InputData!$B$171,InputData!$D$170+InputData!$C$171*(IA33-InputData!$B$170),IF(IA33&lt;=InputData!$B$172,InputData!$D$171+InputData!$C$172*(IA33-InputData!$B$171),IF(IA33&lt;=InputData!$B$173,InputData!$D$172+InputData!$C$173*(IA33-InputData!$B$172),IF(IA33&lt;=InputData!$B$174,InputData!$D$173+InputData!$C$174*(IA33-InputData!$B$173),IF(IA33&lt;=InputData!$B$175,InputData!$D$174+InputData!$C$175*(IA33-InputData!$B$174),InputData!$D$175+InputData!$C$176*(IA33-InputData!$B$175))))))))</f>
        <v>87645.270080996706</v>
      </c>
      <c r="IC33" s="32">
        <f>IF(HX33&lt;=InputData!$C$150,InputData!$C$152,IF(HX33&lt;InputData!$C$151,IF(InputData!$C$152-0.25*IF(HX33-InputData!$C$150&lt;=0,0,HX33-InputData!$C$150)&lt;=0,0,InputData!$C$152-0.25*IF(HX33-InputData!$C$150&lt;=0,0,HX33-InputData!$C$150)),0))</f>
        <v>804.90902954795456</v>
      </c>
      <c r="ID33" s="32">
        <f>IF(HX33-IC33&lt;=0,0,IF(HX33-IC33&lt;=InputData!$C$153,InputData!$C$154*(HX33-IC33),InputData!$C$155*(HX33-IC33)-InputData!$D$154))</f>
        <v>85723.127358632875</v>
      </c>
      <c r="IE33" s="32">
        <f t="shared" si="96"/>
        <v>87645.270080996706</v>
      </c>
      <c r="IF33" s="32">
        <f>IF(HX33&gt;=0,IF(HX33&lt;=InputData!$C$148,InputData!$C$147*HX33,InputData!$C$147*InputData!$C$148)+InputData!$C$149*HX33,0)</f>
        <v>11686.215276286219</v>
      </c>
      <c r="IG33" s="32">
        <f>IF(HZ33&lt;0,0,IF(HZ33&lt;=InputData!$B$163,InputData!$C$163*HZ33,IF(HZ33&lt;=InputData!$B$164,InputData!$D$163+InputData!$C$164*(HZ33-InputData!$B$163),IF(HZ33&lt;=InputData!$B$165,InputData!$D$164+InputData!$C$165*(HZ33-InputData!$B$164),InputData!$D$165+InputData!$C$166*(HZ33-InputData!$B$165)))))</f>
        <v>0</v>
      </c>
      <c r="IH33" s="43">
        <f t="shared" si="97"/>
        <v>0.31062409258498486</v>
      </c>
      <c r="II33" s="43">
        <f t="shared" si="98"/>
        <v>0.31062409258498486</v>
      </c>
      <c r="IJ33" s="5">
        <f t="shared" si="20"/>
        <v>220448.87852452527</v>
      </c>
      <c r="IK33" s="32">
        <f>IJ33/((1+InputData!$C$7)^(GenSurg!$B33-GenSurg!$B$7))</f>
        <v>102220.98264155372</v>
      </c>
      <c r="IL33" s="5">
        <f t="shared" si="99"/>
        <v>2129327.9459636728</v>
      </c>
      <c r="IN33" s="227"/>
      <c r="IO33" s="53" t="s">
        <v>109</v>
      </c>
      <c r="IP33" s="32">
        <f>MIN(InputData!$C$13+InputData!$E$13*($B33-$B$20),1)*GenSurg!AW33</f>
        <v>535126.25353453925</v>
      </c>
      <c r="IQ33" s="32">
        <f>MIN(InputData!$C$13+InputData!$E$13*($B33-$B$20),1)*GenSurg!AX33</f>
        <v>0</v>
      </c>
      <c r="IR33" s="32">
        <f>MIN(InputData!$C$13+InputData!$E$13*($B33-$B$20),1)*GenSurg!AY33</f>
        <v>535126.25353453925</v>
      </c>
      <c r="IS33" s="32">
        <f>MIN(InputData!$C$13+InputData!$E$13*($B33-$B$20),1)*GenSurg!EO33</f>
        <v>319780.36388180818</v>
      </c>
      <c r="IT33" s="32">
        <f>MIN(InputData!$C$13+InputData!$E$13*($B33-$B$20),1)*GenSurg!EP33</f>
        <v>0</v>
      </c>
      <c r="IU33" s="32">
        <f>IF(IS33-InputData!$C$158-InputData!$C$159&gt;=0,IS33-InputData!$C$158-InputData!$C$159,0)</f>
        <v>319780.36388180818</v>
      </c>
      <c r="IV33" s="32">
        <f>IF(IS33-IF(IS33&lt;=InputData!$C$146,InputData!$C$145,0)-MAX(InputData!$C$144,JB33)&gt;=0,IS33-IF(IS33&lt;=InputData!$C$146,InputData!$C$145,0)-MAX(InputData!$C$144,JB33),0)</f>
        <v>313680.36388180818</v>
      </c>
      <c r="IW33" s="32">
        <f>IF(IV33&lt;0,"Error",IF(IV33&lt;=InputData!$B$170,InputData!$C$170*IV33,IF(IV33&lt;=InputData!$B$171,InputData!$D$170+InputData!$C$171*(IV33-InputData!$B$170),IF(IV33&lt;=InputData!$B$172,InputData!$D$171+InputData!$C$172*(IV33-InputData!$B$171),IF(IV33&lt;=InputData!$B$173,InputData!$D$172+InputData!$C$173*(IV33-InputData!$B$172),IF(IV33&lt;=InputData!$B$174,InputData!$D$173+InputData!$C$174*(IV33-InputData!$B$173),IF(IV33&lt;=InputData!$B$175,InputData!$D$174+InputData!$C$175*(IV33-InputData!$B$174),InputData!$D$175+InputData!$C$176*(IV33-InputData!$B$175))))))))</f>
        <v>87645.270080996706</v>
      </c>
      <c r="IX33" s="32">
        <f>IF(IS33&lt;=InputData!$C$150,InputData!$C$152,IF(IS33&lt;InputData!$C$151,IF(InputData!$C$152-0.25*IF(IS33-InputData!$C$150&lt;=0,0,IS33-InputData!$C$150)&lt;=0,0,InputData!$C$152-0.25*IF(IS33-InputData!$C$150&lt;=0,0,IS33-InputData!$C$150)),0))</f>
        <v>804.90902954795456</v>
      </c>
      <c r="IY33" s="32">
        <f>IF(IS33-IX33&lt;=0,0,IF(IS33-IX33&lt;=InputData!$C$153,InputData!$C$154*(IS33-IX33),InputData!$C$155*(IS33-IX33)-InputData!$D$154))</f>
        <v>85723.127358632875</v>
      </c>
      <c r="IZ33" s="32">
        <f t="shared" si="102"/>
        <v>87645.270080996706</v>
      </c>
      <c r="JA33" s="32">
        <f>IF(IS33&gt;=0,IF(IS33&lt;=InputData!$C$148,InputData!$C$147*IS33,InputData!$C$147*InputData!$C$148)+InputData!$C$149*IS33,0)</f>
        <v>11686.215276286219</v>
      </c>
      <c r="JB33" s="32">
        <f>IF(IU33&lt;0,0,IF(IU33&lt;=InputData!$B$163,InputData!$C$163*IU33,IF(IU33&lt;=InputData!$B$164,InputData!$D$163+InputData!$C$164*(IU33-InputData!$B$163),IF(IU33&lt;=InputData!$B$165,InputData!$D$164+InputData!$C$165*(IU33-InputData!$B$164),InputData!$D$165+InputData!$C$166*(IU33-InputData!$B$165)))))</f>
        <v>0</v>
      </c>
      <c r="JC33" s="43">
        <f t="shared" si="103"/>
        <v>0.31062409258498486</v>
      </c>
      <c r="JD33" s="43">
        <f t="shared" si="104"/>
        <v>0.31062409258498486</v>
      </c>
      <c r="JE33" s="5">
        <f t="shared" si="105"/>
        <v>220448.87852452527</v>
      </c>
      <c r="JF33" s="32">
        <f>JE33/((1+InputData!$C$7)^(GenSurg!$B33-GenSurg!$B$7))</f>
        <v>102220.98264155372</v>
      </c>
      <c r="JG33" s="5">
        <f t="shared" si="106"/>
        <v>2256482.3078975035</v>
      </c>
      <c r="JI33" s="41" t="str">
        <f t="shared" si="26"/>
        <v>Private Practice</v>
      </c>
      <c r="JJ33" s="5">
        <f t="shared" si="27"/>
        <v>594584.72614948801</v>
      </c>
      <c r="JK33" s="32">
        <v>0</v>
      </c>
      <c r="JL33" s="32">
        <f t="shared" si="108"/>
        <v>594584.72614948801</v>
      </c>
      <c r="JM33" s="32">
        <f>JM32*(1+InputData!$C$8)</f>
        <v>19227.574133927752</v>
      </c>
      <c r="JN33" s="32">
        <f>JJ33/((1+InputData!$C$3)^(GenSurg!$B33-GenSurg!$B$7))</f>
        <v>355311.5154242313</v>
      </c>
      <c r="JO33" s="32">
        <f>JK33/((1+InputData!$C$3)^(GenSurg!$B33-GenSurg!$B$7))</f>
        <v>0</v>
      </c>
      <c r="JP33" s="32" t="s">
        <v>141</v>
      </c>
      <c r="JQ33" s="32">
        <v>0</v>
      </c>
      <c r="JR33" s="32">
        <f t="shared" si="158"/>
        <v>0</v>
      </c>
      <c r="JS33" s="32">
        <f>(JR33)*InputData!$C$6</f>
        <v>0</v>
      </c>
      <c r="JT33" s="32">
        <f>MIN($BE$16*InputData!$C$6/(1-(1+InputData!$C$6)^(-10)), JR33+JS33)</f>
        <v>0</v>
      </c>
      <c r="JU33" s="32">
        <f t="shared" si="145"/>
        <v>0</v>
      </c>
      <c r="JV33" s="32">
        <f>JT33/((1+InputData!$C$3)^(GenSurg!$B33-GenSurg!$B$7))</f>
        <v>0</v>
      </c>
      <c r="JW33" s="32">
        <f>IF(JN33-InputData!$C$158-InputData!$C$159&gt;=0,JN33-InputData!$C$158-InputData!$C$159,0)</f>
        <v>355311.5154242313</v>
      </c>
      <c r="JX33" s="32">
        <f>IF(JN33-IF(JN33&lt;=InputData!$C$146,InputData!$C$145,0)-MAX(InputData!$C$144,KD33)&gt;=0,JN33-IF(JN33&lt;=InputData!$C$146,InputData!$C$145,0)-MAX(InputData!$C$144,KD33),0)</f>
        <v>349211.5154242313</v>
      </c>
      <c r="JY33" s="32">
        <f>IF(JX33&lt;0,"Error",IF(JX33&lt;=InputData!$B$170,InputData!$C$170*JX33,IF(JX33&lt;=InputData!$B$171,InputData!$D$170+InputData!$C$171*(JX33-InputData!$B$170),IF(JX33&lt;=InputData!$B$172,InputData!$D$171+InputData!$C$172*(JX33-InputData!$B$171),IF(JX33&lt;=InputData!$B$173,InputData!$D$172+InputData!$C$173*(JX33-InputData!$B$172),IF(JX33&lt;=InputData!$B$174,InputData!$D$173+InputData!$C$174*(JX33-InputData!$B$173),IF(JX33&lt;=InputData!$B$175,InputData!$D$174+InputData!$C$175*(JX33-InputData!$B$174),InputData!$D$175+InputData!$C$176*(JX33-InputData!$B$175))))))))</f>
        <v>99370.550089996337</v>
      </c>
      <c r="JZ33" s="32">
        <f>IF(JN33&lt;=InputData!$C$150,InputData!$C$152,IF(JN33&lt;InputData!$C$151,IF(InputData!$C$152-0.25*IF(JN33-InputData!$C$150&lt;=0,0,JN33-InputData!$C$150)&lt;=0,0,InputData!$C$152-0.25*IF(JN33-InputData!$C$150&lt;=0,0,JN33-InputData!$C$150)),0))</f>
        <v>0</v>
      </c>
      <c r="KA33" s="32">
        <f>IF(JN33-JZ33&lt;=0,0,IF(JN33-JZ33&lt;=InputData!$C$153,InputData!$C$154*(JN33-JZ33),InputData!$C$155*(JN33-JZ33)-InputData!$D$154))</f>
        <v>95897.224318784778</v>
      </c>
      <c r="KB33" s="32">
        <f t="shared" si="109"/>
        <v>99370.550089996337</v>
      </c>
      <c r="KC33" s="32">
        <f>IF(JN33&gt;=0,IF(JN33&lt;=InputData!$C$148,InputData!$C$147*JN33,InputData!$C$147*InputData!$C$148)+InputData!$C$149*JN33,0)</f>
        <v>12201.416973651354</v>
      </c>
      <c r="KD33" s="32">
        <f>IF(JW33&lt;0,0,IF(JW33&lt;=InputData!$B$163,InputData!$C$163*JW33,IF(JW33&lt;=InputData!$B$164,InputData!$D$163+InputData!$C$164*(JW33-InputData!$B$163),IF(JW33&lt;=InputData!$B$165,InputData!$D$164+InputData!$C$165*(JW33-InputData!$B$164),InputData!$D$165+InputData!$C$166*(JW33-InputData!$B$165)))))</f>
        <v>0</v>
      </c>
      <c r="KE33" s="43">
        <f t="shared" si="28"/>
        <v>0.31401168332648638</v>
      </c>
      <c r="KF33" s="32">
        <f t="shared" si="29"/>
        <v>243739.54836058361</v>
      </c>
      <c r="KG33" s="32">
        <f t="shared" si="110"/>
        <v>243739.54836058361</v>
      </c>
      <c r="KH33" s="32">
        <f>KG33/((1+InputData!$C$7)^(GenSurg!$B33-GenSurg!$B$7))</f>
        <v>113020.74344304499</v>
      </c>
      <c r="KI33" s="5">
        <f t="shared" si="129"/>
        <v>2612067.5295986212</v>
      </c>
    </row>
    <row r="34" spans="1:295" x14ac:dyDescent="0.25">
      <c r="A34" s="4">
        <v>2040</v>
      </c>
      <c r="B34" s="51">
        <v>28</v>
      </c>
      <c r="C34" s="4"/>
      <c r="D34" s="3">
        <v>28</v>
      </c>
      <c r="E34" s="97" t="s">
        <v>276</v>
      </c>
      <c r="F34" s="5">
        <f>InputData!$Q$21*12</f>
        <v>126320.40000000001</v>
      </c>
      <c r="G34" s="32">
        <f>(InputData!$Q$21+InputData!$K$45+InputData!$G$50)*12+InputData!$J$50+InputData!$D$58+InputData!$J$58</f>
        <v>264320.36</v>
      </c>
      <c r="H34" s="32">
        <f>(InputData!$C$32+InputData!$C$40)*12</f>
        <v>21631.199999999997</v>
      </c>
      <c r="I34" s="32">
        <f t="shared" si="30"/>
        <v>285951.56</v>
      </c>
      <c r="J34" s="5">
        <f>G34*((1+InputData!$C$5)/(1+InputData!$C$3))^(GenSurg!$B34-GenSurg!$B$7)</f>
        <v>202583.03428565341</v>
      </c>
      <c r="K34" s="5">
        <f>H34*((1+InputData!$C$5)/(1+InputData!$C$3))^(GenSurg!$B34-GenSurg!$B$7)</f>
        <v>16578.79904234326</v>
      </c>
      <c r="L34" s="32">
        <f>IF(J34-InputData!$C$158-InputData!$C$159&gt;=0,J34-InputData!$C$158-InputData!$C$159,0)</f>
        <v>202583.03428565341</v>
      </c>
      <c r="M34" s="32">
        <f>IF(J34-IF(J34&lt;=InputData!$C$146,InputData!$C$145,0)-MAX(InputData!$C$144,S34)&gt;=0,J34-IF(J34&lt;=InputData!$C$146,InputData!$C$145,0)-MAX(InputData!$C$144,S34),0)</f>
        <v>196483.03428565341</v>
      </c>
      <c r="N34" s="32">
        <f>IF(M34&lt;0,"Error",IF(M34&lt;=InputData!$B$170,InputData!$C$170*M34,IF(M34&lt;=InputData!$B$171,InputData!$D$170+InputData!$C$171*(M34-InputData!$B$170),IF(M34&lt;=InputData!$B$172,InputData!$D$171+InputData!$C$172*(M34-InputData!$B$171),IF(M34&lt;=InputData!$B$173,InputData!$D$172+InputData!$C$173*(M34-InputData!$B$172),IF(M34&lt;=InputData!$B$174,InputData!$D$173+InputData!$C$174*(M34-InputData!$B$173),IF(M34&lt;=InputData!$B$175,InputData!$D$174+InputData!$C$175*(M34-InputData!$B$174),InputData!$D$175+InputData!$C$176*(M34-InputData!$B$175))))))))</f>
        <v>48970.151314265626</v>
      </c>
      <c r="O34" s="32">
        <f>IF(J34&lt;=InputData!$C$150,InputData!$C$152,IF(J34&lt;InputData!$C$151,IF(InputData!$C$152-0.25*IF(J34-InputData!$C$150&lt;=0,0,J34-InputData!$C$150)&lt;=0,0,InputData!$C$152-0.25*IF(J34-InputData!$C$150&lt;=0,0,J34-InputData!$C$150)),0))</f>
        <v>30104.241428586647</v>
      </c>
      <c r="P34" s="32">
        <f>IF(J34-O34&lt;=0,0,IF(J34-O34&lt;=InputData!$C$153,InputData!$C$154*(J34-O34),InputData!$C$155*(J34-O34)-InputData!$D$154))</f>
        <v>44844.486142837355</v>
      </c>
      <c r="Q34" s="32">
        <f t="shared" si="31"/>
        <v>48970.151314265626</v>
      </c>
      <c r="R34" s="32">
        <f>IF(J34&gt;=0,IF(J34&lt;=InputData!$C$148,InputData!$C$147*J34,InputData!$C$147*InputData!$C$148)+InputData!$C$149*J34,0)</f>
        <v>9986.8539971419741</v>
      </c>
      <c r="S34" s="32">
        <f>IF(L34&lt;0,0,IF(L34&lt;=InputData!$B$163,InputData!$C$163*L34,IF(L34&lt;=InputData!$B$164,InputData!$D$163+InputData!$C$164*(L34-InputData!$B$163),IF(L34&lt;=InputData!$B$165,InputData!$D$164+InputData!$C$165*(L34-InputData!$B$164),InputData!$D$165+InputData!$C$166*(L34-InputData!$B$165)))))</f>
        <v>0</v>
      </c>
      <c r="T34" s="43">
        <f t="shared" si="32"/>
        <v>0.29102637108433732</v>
      </c>
      <c r="U34" s="43">
        <f t="shared" si="33"/>
        <v>0.26901128000317831</v>
      </c>
      <c r="V34" s="5">
        <f t="shared" si="34"/>
        <v>160204.82801658908</v>
      </c>
      <c r="W34" s="32">
        <f>V34/((1+InputData!$C$7)^(GenSurg!$B34-GenSurg!$B$7))</f>
        <v>72122.460253868703</v>
      </c>
      <c r="X34" s="5">
        <f t="shared" si="111"/>
        <v>1881402.6808415323</v>
      </c>
      <c r="Y34" s="53"/>
      <c r="Z34" s="3">
        <v>24.5</v>
      </c>
      <c r="AA34" s="98" t="s">
        <v>270</v>
      </c>
      <c r="AB34" s="32">
        <f>(0.5*InputData!$O$21+0.5*InputData!$P$21)*12</f>
        <v>118890</v>
      </c>
      <c r="AC34" s="32">
        <f>(0.5*(InputData!$O$21+InputData!$K$45)+0.5*(InputData!$P$21+InputData!$K$45)+InputData!$G$50)*12+InputData!$J$50+InputData!$D$58+InputData!$J$58</f>
        <v>256889.96</v>
      </c>
      <c r="AD34" s="32">
        <f t="shared" si="169"/>
        <v>21631.199999999997</v>
      </c>
      <c r="AE34" s="32">
        <f t="shared" si="35"/>
        <v>278521.15999999997</v>
      </c>
      <c r="AF34" s="5">
        <f>AC34*((1+InputData!$C$5)/(1+InputData!$C$3))^(GenSurg!$B34-GenSurg!$B$7)</f>
        <v>196888.15335421055</v>
      </c>
      <c r="AG34" s="5">
        <f>AD34*((1+InputData!$C$5)/(1+InputData!$C$3))^(GenSurg!$B34-GenSurg!$B$7)</f>
        <v>16578.79904234326</v>
      </c>
      <c r="AH34" s="32">
        <f>IF(AF34-InputData!$C$158-InputData!$C$159&gt;=0,AF34-InputData!$C$158-InputData!$C$159,0)</f>
        <v>196888.15335421055</v>
      </c>
      <c r="AI34" s="32">
        <f>IF(AF34-IF(AF34&lt;=InputData!$C$146,InputData!$C$145,0)-MAX(InputData!$C$144,AO34)&gt;=0,AF34-IF(AF34&lt;=InputData!$C$146,InputData!$C$145,0)-MAX(InputData!$C$144,AO34),0)</f>
        <v>190788.15335421055</v>
      </c>
      <c r="AJ34" s="32">
        <f>IF(AI34&lt;0,"Error",IF(AI34&lt;=InputData!$B$170,InputData!$C$170*AI34,IF(AI34&lt;=InputData!$B$171,InputData!$D$170+InputData!$C$171*(AI34-InputData!$B$170),IF(AI34&lt;=InputData!$B$172,InputData!$D$171+InputData!$C$172*(AI34-InputData!$B$171),IF(AI34&lt;=InputData!$B$173,InputData!$D$172+InputData!$C$173*(AI34-InputData!$B$172),IF(AI34&lt;=InputData!$B$174,InputData!$D$173+InputData!$C$174*(AI34-InputData!$B$173),IF(AI34&lt;=InputData!$B$175,InputData!$D$174+InputData!$C$175*(AI34-InputData!$B$174),InputData!$D$175+InputData!$C$176*(AI34-InputData!$B$175))))))))</f>
        <v>47090.840606889484</v>
      </c>
      <c r="AK34" s="32">
        <f>IF(AF34&lt;=InputData!$C$150,InputData!$C$152,IF(AF34&lt;InputData!$C$151,IF(InputData!$C$152-0.25*IF(AF34-InputData!$C$150&lt;=0,0,AF34-InputData!$C$150)&lt;=0,0,InputData!$C$152-0.25*IF(AF34-InputData!$C$150&lt;=0,0,AF34-InputData!$C$150)),0))</f>
        <v>31527.961661447363</v>
      </c>
      <c r="AL34" s="32">
        <f>IF(AF34-AK34&lt;=0,0,IF(AF34-AK34&lt;=InputData!$C$153,InputData!$C$154*(AF34-AK34),InputData!$C$155*(AF34-AK34)-InputData!$D$154))</f>
        <v>42993.649840118429</v>
      </c>
      <c r="AM34" s="32">
        <f t="shared" si="36"/>
        <v>47090.840606889484</v>
      </c>
      <c r="AN34" s="32">
        <f>IF(AF34&gt;=0,IF(AF34&lt;=InputData!$C$148,InputData!$C$147*AF34,InputData!$C$147*InputData!$C$148)+InputData!$C$149*AF34,0)</f>
        <v>9904.2782236360526</v>
      </c>
      <c r="AO34" s="32">
        <f>IF(AH34&lt;0,0,IF(AH34&lt;=InputData!$B$163,InputData!$C$163*AH34,IF(AH34&lt;=InputData!$B$164,InputData!$D$163+InputData!$C$164*(AH34-InputData!$B$163),IF(AH34&lt;=InputData!$B$165,InputData!$D$164+InputData!$C$165*(AH34-InputData!$B$164),InputData!$D$165+InputData!$C$166*(AH34-InputData!$B$165)))))</f>
        <v>0</v>
      </c>
      <c r="AP34" s="43">
        <f t="shared" si="37"/>
        <v>0.289479675945707</v>
      </c>
      <c r="AQ34" s="43">
        <f t="shared" si="38"/>
        <v>0.26699738854493366</v>
      </c>
      <c r="AR34" s="5">
        <f t="shared" si="39"/>
        <v>156471.83356602825</v>
      </c>
      <c r="AS34" s="32">
        <f>AR34/((1+InputData!$C$7)^(GenSurg!$B34-GenSurg!$B$7))</f>
        <v>70441.907006992726</v>
      </c>
      <c r="AT34" s="5">
        <f t="shared" si="112"/>
        <v>1912884.899740577</v>
      </c>
      <c r="AU34" s="53"/>
      <c r="AV34" s="41" t="s">
        <v>109</v>
      </c>
      <c r="AW34" s="32">
        <f>$AW$17*(1+InputData!$C$3+InputData!$C$4)^(GenSurg!$B34-GenSurg!$B$17)</f>
        <v>612422.26793397265</v>
      </c>
      <c r="AX34" s="32">
        <v>0</v>
      </c>
      <c r="AY34" s="32">
        <f t="shared" si="41"/>
        <v>612422.26793397265</v>
      </c>
      <c r="AZ34" s="32">
        <f>AZ33*(1+InputData!$C$8)</f>
        <v>19612.125616606307</v>
      </c>
      <c r="BA34" s="32">
        <f>AW34/((1+InputData!$C$3)^(GenSurg!$B34-GenSurg!$B$7))</f>
        <v>358794.96165388072</v>
      </c>
      <c r="BB34" s="32">
        <f>AX34/((1+InputData!$C$3)^(GenSurg!$B34-GenSurg!$B$7))</f>
        <v>0</v>
      </c>
      <c r="BC34" s="32" t="s">
        <v>141</v>
      </c>
      <c r="BD34" s="32">
        <v>0</v>
      </c>
      <c r="BE34" s="32">
        <f t="shared" si="146"/>
        <v>0</v>
      </c>
      <c r="BF34" s="32">
        <f>(BE34)*InputData!$C$6</f>
        <v>0</v>
      </c>
      <c r="BG34" s="32">
        <f>MIN($BE$16*InputData!$C$6/(1-(1+InputData!$C$6)^(-10)), BE34+BF34)</f>
        <v>0</v>
      </c>
      <c r="BH34" s="32">
        <f t="shared" si="137"/>
        <v>0</v>
      </c>
      <c r="BI34" s="32">
        <f>BG34/((1+InputData!$C$3)^(GenSurg!$B34-GenSurg!$B$7))</f>
        <v>0</v>
      </c>
      <c r="BJ34" s="32">
        <f>IF(BA34-InputData!$C$158-InputData!$C$159&gt;=0,BA34-InputData!$C$158-InputData!$C$159,0)</f>
        <v>358794.96165388072</v>
      </c>
      <c r="BK34" s="32">
        <f>IF(BA34-IF(BA34&lt;=InputData!$C$146,InputData!$C$145,0)-MAX(InputData!$C$144,BQ34)&gt;=0,BA34-IF(BA34&lt;=InputData!$C$146,InputData!$C$145,0)-MAX(InputData!$C$144,BQ34),0)</f>
        <v>352694.96165388072</v>
      </c>
      <c r="BL34" s="32">
        <f>IF(BK34&lt;0,"Error",IF(BK34&lt;=InputData!$B$170,InputData!$C$170*BK34,IF(BK34&lt;=InputData!$B$171,InputData!$D$170+InputData!$C$171*(BK34-InputData!$B$170),IF(BK34&lt;=InputData!$B$172,InputData!$D$171+InputData!$C$172*(BK34-InputData!$B$171),IF(BK34&lt;=InputData!$B$173,InputData!$D$172+InputData!$C$173*(BK34-InputData!$B$172),IF(BK34&lt;=InputData!$B$174,InputData!$D$173+InputData!$C$174*(BK34-InputData!$B$173),IF(BK34&lt;=InputData!$B$175,InputData!$D$174+InputData!$C$175*(BK34-InputData!$B$174),InputData!$D$175+InputData!$C$176*(BK34-InputData!$B$175))))))))</f>
        <v>100520.08734578063</v>
      </c>
      <c r="BM34" s="32">
        <f>IF(BA34&lt;=InputData!$C$150,InputData!$C$152,IF(BA34&lt;InputData!$C$151,IF(InputData!$C$152-0.25*IF(BA34-InputData!$C$150&lt;=0,0,BA34-InputData!$C$150)&lt;=0,0,InputData!$C$152-0.25*IF(BA34-InputData!$C$150&lt;=0,0,BA34-InputData!$C$150)),0))</f>
        <v>0</v>
      </c>
      <c r="BN34" s="32">
        <f>IF(BA34-BM34&lt;=0,0,IF(BA34-BM34&lt;=InputData!$C$153,InputData!$C$154*(BA34-BM34),InputData!$C$155*(BA34-BM34)-InputData!$D$154))</f>
        <v>96872.589263086615</v>
      </c>
      <c r="BO34" s="32">
        <f t="shared" si="42"/>
        <v>100520.08734578063</v>
      </c>
      <c r="BP34" s="32">
        <f>IF(BA34&gt;=0,IF(BA34&lt;=InputData!$C$148,InputData!$C$147*BA34,InputData!$C$147*InputData!$C$148)+InputData!$C$149*BA34,0)</f>
        <v>12251.926943981271</v>
      </c>
      <c r="BQ34" s="32">
        <f>IF(BJ34&lt;0,0,IF(BJ34&lt;=InputData!$B$163,InputData!$C$163*BJ34,IF(BJ34&lt;=InputData!$B$164,InputData!$D$163+InputData!$C$164*(BJ34-InputData!$B$163),IF(BJ34&lt;=InputData!$B$165,InputData!$D$164+InputData!$C$165*(BJ34-InputData!$B$164),InputData!$D$165+InputData!$C$166*(BJ34-InputData!$B$165)))))</f>
        <v>0</v>
      </c>
      <c r="BR34" s="43">
        <f t="shared" si="43"/>
        <v>0.31430768640098644</v>
      </c>
      <c r="BS34" s="32">
        <f t="shared" si="44"/>
        <v>246022.94736411882</v>
      </c>
      <c r="BT34" s="32">
        <f t="shared" si="45"/>
        <v>246022.94736411882</v>
      </c>
      <c r="BU34" s="32">
        <f>BT34/((1+InputData!$C$7)^(GenSurg!$B34-GenSurg!$B$7))</f>
        <v>110756.83837050739</v>
      </c>
      <c r="BV34" s="5">
        <f t="shared" si="114"/>
        <v>2338497.9754223884</v>
      </c>
      <c r="BW34" s="5"/>
      <c r="BX34" s="32" t="s">
        <v>141</v>
      </c>
      <c r="BY34" s="5">
        <f t="shared" si="147"/>
        <v>120162.30029265123</v>
      </c>
      <c r="BZ34" s="32">
        <f>(BY34)*InputData!$C$6</f>
        <v>7462.0788481736417</v>
      </c>
      <c r="CA34" s="32">
        <f>MIN($BY$16*InputData!$C$6/(1-(1+InputData!$C$6)^(-25)), BY34+BZ34)</f>
        <v>21686.214673809533</v>
      </c>
      <c r="CB34" s="32">
        <f t="shared" si="148"/>
        <v>105938.16446701533</v>
      </c>
      <c r="CC34" s="32">
        <f>CA34/((1+InputData!$C$3)^(GenSurg!$B34-GenSurg!$B$7))</f>
        <v>12705.130054392801</v>
      </c>
      <c r="CD34" s="5">
        <f t="shared" si="49"/>
        <v>233317.81730972603</v>
      </c>
      <c r="CE34" s="32">
        <f>CD34/((1+InputData!$C$7)^(GenSurg!$B34-GenSurg!$B$7))</f>
        <v>105037.12786794195</v>
      </c>
      <c r="CF34" s="5">
        <f t="shared" si="115"/>
        <v>2356236.7188048083</v>
      </c>
      <c r="CG34" s="5"/>
      <c r="CH34" s="32" t="s">
        <v>141</v>
      </c>
      <c r="CI34" s="5" t="e">
        <f t="shared" si="149"/>
        <v>#VALUE!</v>
      </c>
      <c r="CJ34" s="32" t="e">
        <f>(CI34)*InputData!$C$6</f>
        <v>#VALUE!</v>
      </c>
      <c r="CK34" s="5" t="str">
        <f t="shared" si="159"/>
        <v>DNQ</v>
      </c>
      <c r="CL34" s="32" t="e">
        <f t="shared" si="150"/>
        <v>#VALUE!</v>
      </c>
      <c r="CM34" s="32" t="e">
        <f>CK34/((1+InputData!$C$3)^(GenSurg!$B34-GenSurg!$B$7))</f>
        <v>#VALUE!</v>
      </c>
      <c r="CN34" s="5" t="e">
        <f t="shared" si="53"/>
        <v>#VALUE!</v>
      </c>
      <c r="CO34" s="32" t="e">
        <f>CN34/((1+InputData!$C$7)^(GenSurg!$B34-GenSurg!$B$7))</f>
        <v>#VALUE!</v>
      </c>
      <c r="CP34" s="5" t="e">
        <f t="shared" si="116"/>
        <v>#VALUE!</v>
      </c>
      <c r="CQ34" s="5"/>
      <c r="CR34" s="32" t="s">
        <v>141</v>
      </c>
      <c r="CS34" s="5">
        <f t="shared" si="160"/>
        <v>0</v>
      </c>
      <c r="CT34" s="32">
        <f>(CS34)*InputData!$C$6</f>
        <v>0</v>
      </c>
      <c r="CU34" s="32">
        <f t="shared" si="161"/>
        <v>0</v>
      </c>
      <c r="CV34" s="32">
        <f t="shared" si="152"/>
        <v>0</v>
      </c>
      <c r="CW34" s="32">
        <f>CU34/((1+InputData!$C$3)^(GenSurg!$B34-GenSurg!$B$7))</f>
        <v>0</v>
      </c>
      <c r="CX34" s="5">
        <f t="shared" si="57"/>
        <v>246022.94736411882</v>
      </c>
      <c r="CY34" s="32">
        <f>CX34/((1+InputData!$C$7)^(GenSurg!$B34-GenSurg!$B$7))</f>
        <v>110756.83837050739</v>
      </c>
      <c r="CZ34" s="5">
        <f t="shared" si="117"/>
        <v>2338052.7191618565</v>
      </c>
      <c r="DA34" s="5"/>
      <c r="DB34" s="32" t="s">
        <v>141</v>
      </c>
      <c r="DC34" s="5">
        <f t="shared" si="138"/>
        <v>0</v>
      </c>
      <c r="DD34" s="5">
        <f>DC34*InputData!$C$6</f>
        <v>0</v>
      </c>
      <c r="DE34" s="32">
        <f t="shared" si="139"/>
        <v>0</v>
      </c>
      <c r="DF34" s="32">
        <f t="shared" si="140"/>
        <v>0</v>
      </c>
      <c r="DG34" s="32">
        <f>DE34/((1+InputData!$C$3)^(GenSurg!$B34-GenSurg!$B$7))</f>
        <v>0</v>
      </c>
      <c r="DH34" s="5">
        <f t="shared" si="61"/>
        <v>246022.94736411882</v>
      </c>
      <c r="DI34" s="32">
        <f>DH34/((1+InputData!$C$7)^(GenSurg!$B34-GenSurg!$B$7))</f>
        <v>110756.83837050739</v>
      </c>
      <c r="DJ34" s="5">
        <f t="shared" si="118"/>
        <v>2343085.5915248049</v>
      </c>
      <c r="DK34" s="5"/>
      <c r="DL34" s="32" t="s">
        <v>141</v>
      </c>
      <c r="DM34" s="32">
        <f t="shared" si="153"/>
        <v>0</v>
      </c>
      <c r="DN34" s="5">
        <f>DM34*InputData!$C$6</f>
        <v>0</v>
      </c>
      <c r="DO34" s="32">
        <f t="shared" si="154"/>
        <v>0</v>
      </c>
      <c r="DP34" s="32">
        <f t="shared" si="130"/>
        <v>0</v>
      </c>
      <c r="DQ34" s="32">
        <f t="shared" si="131"/>
        <v>0</v>
      </c>
      <c r="DR34" s="32">
        <f>DP34/((1+InputData!$C$3)^(GenSurg!$B34-GenSurg!$B$7))</f>
        <v>0</v>
      </c>
      <c r="DS34" s="5">
        <f t="shared" si="65"/>
        <v>246022.94736411882</v>
      </c>
      <c r="DT34" s="32">
        <f>DS34/((1+InputData!$C$7)^(GenSurg!$B34-GenSurg!$B$7))</f>
        <v>110756.83837050739</v>
      </c>
      <c r="DU34" s="5">
        <f t="shared" si="120"/>
        <v>2336177.3498786511</v>
      </c>
      <c r="DV34" s="5"/>
      <c r="DW34" s="32" t="s">
        <v>141</v>
      </c>
      <c r="DX34" s="133">
        <f t="shared" si="141"/>
        <v>0</v>
      </c>
      <c r="DY34" s="5">
        <f>DX34*InputData!$C$6</f>
        <v>0</v>
      </c>
      <c r="DZ34" s="133">
        <f t="shared" si="142"/>
        <v>0</v>
      </c>
      <c r="EA34" s="32">
        <f t="shared" si="143"/>
        <v>0</v>
      </c>
      <c r="EB34" s="32">
        <f t="shared" si="144"/>
        <v>0</v>
      </c>
      <c r="EC34" s="32">
        <f>EA34/((1+InputData!$C$3)^(GenSurg!$B34-GenSurg!$B$7))</f>
        <v>0</v>
      </c>
      <c r="ED34" s="5">
        <f t="shared" si="69"/>
        <v>246022.94736411882</v>
      </c>
      <c r="EE34" s="32">
        <f>ED34/((1+InputData!$C$7)^(GenSurg!$B34-GenSurg!$B$7))</f>
        <v>110756.83837050739</v>
      </c>
      <c r="EF34" s="5">
        <f t="shared" si="122"/>
        <v>2336696.6208238569</v>
      </c>
      <c r="EG34" s="32"/>
      <c r="EH34" s="130" t="s">
        <v>141</v>
      </c>
      <c r="EI34" s="32">
        <v>0</v>
      </c>
      <c r="EJ34" s="32">
        <f t="shared" si="168"/>
        <v>0</v>
      </c>
      <c r="EK34" s="32">
        <f>(EJ34)*InputData!$C$6</f>
        <v>0</v>
      </c>
      <c r="EL34" s="32">
        <f t="shared" si="167"/>
        <v>-2.1827872842550278E-11</v>
      </c>
      <c r="EM34" s="32">
        <f>EM33*(1+InputData!$C$8)</f>
        <v>19612.125616606307</v>
      </c>
      <c r="EN34" s="32">
        <f t="shared" si="162"/>
        <v>0</v>
      </c>
      <c r="EO34" s="32">
        <f>AW34/((1+InputData!$C$3)^(GenSurg!$B34-GenSurg!$B$7))</f>
        <v>358794.96165388072</v>
      </c>
      <c r="EP34" s="32">
        <f>AX34/((1+InputData!$C$3)^(GenSurg!$B34-GenSurg!$B$7))</f>
        <v>0</v>
      </c>
      <c r="EQ34" s="32">
        <v>94274.96</v>
      </c>
      <c r="ER34" s="32">
        <v>10688.79</v>
      </c>
      <c r="ES34" s="32">
        <v>0</v>
      </c>
      <c r="ET34" s="43">
        <f t="shared" si="136"/>
        <v>0.29254521723539567</v>
      </c>
      <c r="EU34" s="32">
        <f t="shared" si="70"/>
        <v>253831.21165388069</v>
      </c>
      <c r="EV34" s="32">
        <f>EN34/((1+InputData!$C$3)^(GenSurg!$B34-GenSurg!$B$7))</f>
        <v>0</v>
      </c>
      <c r="EW34" s="32">
        <f t="shared" si="71"/>
        <v>253831.21165388069</v>
      </c>
      <c r="EX34" s="32">
        <f>EW34/((1+InputData!$C$7)^(GenSurg!$B34-GenSurg!$B$7))</f>
        <v>114272.03349828307</v>
      </c>
      <c r="EY34" s="5">
        <f t="shared" si="124"/>
        <v>2479078.8689157465</v>
      </c>
      <c r="EZ34" s="79"/>
      <c r="FA34" s="32">
        <f t="shared" si="163"/>
        <v>0</v>
      </c>
      <c r="FB34" s="32">
        <f>FA34*InputData!$C$6</f>
        <v>0</v>
      </c>
      <c r="FC34" s="32">
        <f t="shared" si="155"/>
        <v>0</v>
      </c>
      <c r="FD34" s="32">
        <f>MIN($EJ$16*InputData!$C$6/(1-(1+InputData!$C$6)^(-10)), FA34+FB34)</f>
        <v>0</v>
      </c>
      <c r="FE34" s="32">
        <f>FD34/((1+InputData!$C$3)^(GenSurg!$B34-GenSurg!$B$7))</f>
        <v>0</v>
      </c>
      <c r="FF34" s="5">
        <f t="shared" si="75"/>
        <v>253831.21165388069</v>
      </c>
      <c r="FG34" s="32">
        <f>FF34/((1+InputData!$C$7)^(GenSurg!$B34-GenSurg!$B$7))</f>
        <v>114272.03349828307</v>
      </c>
      <c r="FH34" s="5">
        <f t="shared" si="125"/>
        <v>2479517.5676656379</v>
      </c>
      <c r="FI34" s="79"/>
      <c r="FJ34" s="32">
        <f t="shared" si="164"/>
        <v>120071.72050258616</v>
      </c>
      <c r="FK34" s="32">
        <f>FJ34*InputData!$C$6</f>
        <v>7456.453843210601</v>
      </c>
      <c r="FL34" s="32">
        <f t="shared" si="156"/>
        <v>105858.30700195405</v>
      </c>
      <c r="FM34" s="32">
        <f>MIN($EJ$16*InputData!$C$6/(1-(1+InputData!$C$6)^(-25)), FJ34+FK34)</f>
        <v>21669.867343842721</v>
      </c>
      <c r="FN34" s="32">
        <f>FM34/((1+InputData!$C$3)^(GenSurg!$B34-GenSurg!$B$7))</f>
        <v>12695.552774245278</v>
      </c>
      <c r="FO34" s="5">
        <f t="shared" si="79"/>
        <v>241135.65887963542</v>
      </c>
      <c r="FP34" s="32">
        <f>FO34/((1+InputData!$C$7)^(GenSurg!$B34-GenSurg!$B$7))</f>
        <v>108556.63458242403</v>
      </c>
      <c r="FQ34" s="5">
        <f t="shared" si="126"/>
        <v>2497242.9393695225</v>
      </c>
      <c r="FR34" s="79"/>
      <c r="FS34" s="32">
        <f t="shared" si="165"/>
        <v>0</v>
      </c>
      <c r="FT34" s="32">
        <f>FS34*InputData!$C$6</f>
        <v>0</v>
      </c>
      <c r="FU34" s="32">
        <f t="shared" si="157"/>
        <v>0</v>
      </c>
      <c r="FV34" s="5">
        <f t="shared" si="166"/>
        <v>0</v>
      </c>
      <c r="FW34" s="32">
        <f>FV34/((1+InputData!$C$3)^(GenSurg!$B34-GenSurg!$B$7))</f>
        <v>0</v>
      </c>
      <c r="FX34" s="5">
        <f t="shared" si="83"/>
        <v>253831.21165388069</v>
      </c>
      <c r="FY34" s="32">
        <f>FX34/((1+InputData!$C$7)^(GenSurg!$B34-GenSurg!$B$7))</f>
        <v>114272.03349828307</v>
      </c>
      <c r="FZ34" s="5">
        <f t="shared" si="127"/>
        <v>2479517.5676656379</v>
      </c>
      <c r="GC34" s="83">
        <v>20</v>
      </c>
      <c r="GD34" s="4" t="s">
        <v>217</v>
      </c>
      <c r="GE34" s="5"/>
      <c r="GF34" s="84">
        <v>0</v>
      </c>
      <c r="GG34" s="5"/>
      <c r="GH34" s="84">
        <f>MIN(InputData!$C$13+InputData!$E$13*($B34-$B$31),1)*$AW34/((1+InputData!$C$3)^(GenSurg!$B34-GenSurg!$B$7))+0.025*$GC$30*(($F$28+$F$29+$F$30)/3)*((1+InputData!$C$5)/(1+InputData!$C$3))^(GenSurg!$B34-GenSurg!$B$7)</f>
        <v>362883.10004877171</v>
      </c>
      <c r="GI34" s="5">
        <v>0</v>
      </c>
      <c r="GJ34" s="32">
        <f>IF(GH34-InputData!$C$158-InputData!$C$159&gt;=0,GH34-InputData!$C$158-InputData!$C$159,0)</f>
        <v>362883.10004877171</v>
      </c>
      <c r="GK34" s="32">
        <f>IF(GH34-IF(GH34&lt;=InputData!$C$146,InputData!$C$145,0)-MAX(InputData!$C$144,GQ34)&gt;=0,GH34-IF(GH34&lt;=InputData!$C$146,InputData!$C$145,0)-MAX(InputData!$C$144,GQ34),0)</f>
        <v>356783.10004877171</v>
      </c>
      <c r="GL34" s="32">
        <f>IF(GK34&lt;0,"Error",IF(GK34&lt;=InputData!$B$170,InputData!$C$170*GK34,IF(GK34&lt;=InputData!$B$171,InputData!$D$170+InputData!$C$171*(GK34-InputData!$B$170),IF(GK34&lt;=InputData!$B$172,InputData!$D$171+InputData!$C$172*(GK34-InputData!$B$171),IF(GK34&lt;=InputData!$B$173,InputData!$D$172+InputData!$C$173*(GK34-InputData!$B$172),IF(GK34&lt;=InputData!$B$174,InputData!$D$173+InputData!$C$174*(GK34-InputData!$B$173),IF(GK34&lt;=InputData!$B$175,InputData!$D$174+InputData!$C$175*(GK34-InputData!$B$174),InputData!$D$175+InputData!$C$176*(GK34-InputData!$B$175))))))))</f>
        <v>101869.17301609466</v>
      </c>
      <c r="GM34" s="32">
        <f>IF(GH34&lt;=InputData!$C$150,InputData!$C$152,IF(GH34&lt;InputData!$C$151,IF(InputData!$C$152-0.25*IF(GH34-InputData!$C$150&lt;=0,0,GH34-InputData!$C$150)&lt;=0,0,InputData!$C$152-0.25*IF(GH34-InputData!$C$150&lt;=0,0,GH34-InputData!$C$150)),0))</f>
        <v>0</v>
      </c>
      <c r="GN34" s="32">
        <f>IF(GH34-GM34&lt;=0,0,IF(GH34-GM34&lt;=InputData!$C$153,InputData!$C$154*(GH34-GM34),InputData!$C$155*(GH34-GM34)-InputData!$D$154))</f>
        <v>98017.268013656096</v>
      </c>
      <c r="GO34" s="32">
        <f t="shared" si="84"/>
        <v>101869.17301609466</v>
      </c>
      <c r="GP34" s="32">
        <f>IF(GH34&gt;=0,IF(GH34&lt;=InputData!$C$148,InputData!$C$147*GH34,InputData!$C$147*InputData!$C$148)+InputData!$C$149*GH34,0)</f>
        <v>12311.20495070719</v>
      </c>
      <c r="GQ34" s="32">
        <f>IF(GJ34&lt;0,0,IF(GJ34&lt;=InputData!$B$163,InputData!$C$163*GJ34,IF(GJ34&lt;=InputData!$B$164,InputData!$D$163+InputData!$C$164*(GJ34-InputData!$B$163),IF(GJ34&lt;=InputData!$B$165,InputData!$D$164+InputData!$C$165*(GJ34-InputData!$B$164),InputData!$D$165+InputData!$C$166*(GJ34-InputData!$B$165)))))</f>
        <v>0</v>
      </c>
      <c r="GR34" s="43">
        <f t="shared" si="85"/>
        <v>0.3146478244686951</v>
      </c>
      <c r="GS34" s="43">
        <f t="shared" si="86"/>
        <v>0.3146478244686951</v>
      </c>
      <c r="GT34" s="5">
        <f t="shared" si="87"/>
        <v>248702.72208196987</v>
      </c>
      <c r="GU34" s="32">
        <f>GT34/((1+InputData!$C$7)^(GenSurg!$B34-GenSurg!$B$7))</f>
        <v>111963.24362040112</v>
      </c>
      <c r="GV34" s="84">
        <f t="shared" si="88"/>
        <v>2041567.4446933223</v>
      </c>
      <c r="GX34" s="83">
        <v>21</v>
      </c>
      <c r="GY34" s="4" t="s">
        <v>217</v>
      </c>
      <c r="GZ34" s="5"/>
      <c r="HA34" s="84">
        <v>0</v>
      </c>
      <c r="HB34" s="5"/>
      <c r="HC34" s="84">
        <f>MIN(InputData!$C$13+InputData!$E$13*($B34-$B$32),1)*$AW34/((1+InputData!$C$3)^(GenSurg!$B34-GenSurg!$B$7))+0.025*$GX$31*(($AB$29+$AB$30+$AB$31)/3)*((1+InputData!$C$5)/(1+InputData!$C$3))^(GenSurg!$B34-GenSurg!$B$7)</f>
        <v>367512.53608114645</v>
      </c>
      <c r="HD34" s="5">
        <v>0</v>
      </c>
      <c r="HE34" s="32">
        <f>IF(HC34-InputData!$C$158-InputData!$C$159&gt;=0,HC34-InputData!$C$158-InputData!$C$159,0)</f>
        <v>367512.53608114645</v>
      </c>
      <c r="HF34" s="32">
        <f>IF(HC34-IF(HC34&lt;=InputData!$C$146,InputData!$C$145,0)-MAX(InputData!$C$144,HL34)&gt;=0,HC34-IF(HC34&lt;=InputData!$C$146,InputData!$C$145,0)-MAX(InputData!$C$144,HL34),0)</f>
        <v>361412.53608114645</v>
      </c>
      <c r="HG34" s="32">
        <f>IF(HF34&lt;0,"Error",IF(HF34&lt;=InputData!$B$170,InputData!$C$170*HF34,IF(HF34&lt;=InputData!$B$171,InputData!$D$170+InputData!$C$171*(HF34-InputData!$B$170),IF(HF34&lt;=InputData!$B$172,InputData!$D$171+InputData!$C$172*(HF34-InputData!$B$171),IF(HF34&lt;=InputData!$B$173,InputData!$D$172+InputData!$C$173*(HF34-InputData!$B$172),IF(HF34&lt;=InputData!$B$174,InputData!$D$173+InputData!$C$174*(HF34-InputData!$B$173),IF(HF34&lt;=InputData!$B$175,InputData!$D$174+InputData!$C$175*(HF34-InputData!$B$174),InputData!$D$175+InputData!$C$176*(HF34-InputData!$B$175))))))))</f>
        <v>103396.88690677832</v>
      </c>
      <c r="HH34" s="32">
        <f>IF(HC34&lt;=InputData!$C$150,InputData!$C$152,IF(HC34&lt;InputData!$C$151,IF(InputData!$C$152-0.25*IF(HC34-InputData!$C$150&lt;=0,0,HC34-InputData!$C$150)&lt;=0,0,InputData!$C$152-0.25*IF(HC34-InputData!$C$150&lt;=0,0,HC34-InputData!$C$150)),0))</f>
        <v>0</v>
      </c>
      <c r="HI34" s="32">
        <f>IF(HC34-HH34&lt;=0,0,IF(HC34-HH34&lt;=InputData!$C$153,InputData!$C$154*(HC34-HH34),InputData!$C$155*(HC34-HH34)-InputData!$D$154))</f>
        <v>99313.510102721018</v>
      </c>
      <c r="HJ34" s="32">
        <f t="shared" si="89"/>
        <v>103396.88690677832</v>
      </c>
      <c r="HK34" s="32">
        <f>IF(HC34&gt;=0,IF(HC34&lt;=InputData!$C$148,InputData!$C$147*HC34,InputData!$C$147*InputData!$C$148)+InputData!$C$149*HC34,0)</f>
        <v>12378.331773176624</v>
      </c>
      <c r="HL34" s="32">
        <f>IF(HE34&lt;0,0,IF(HE34&lt;=InputData!$B$163,InputData!$C$163*HE34,IF(HE34&lt;=InputData!$B$164,InputData!$D$163+InputData!$C$164*(HE34-InputData!$B$163),IF(HE34&lt;=InputData!$B$165,InputData!$D$164+InputData!$C$165*(HE34-InputData!$B$164),InputData!$D$165+InputData!$C$166*(HE34-InputData!$B$165)))))</f>
        <v>0</v>
      </c>
      <c r="HM34" s="43">
        <f t="shared" si="90"/>
        <v>0.31502386262653059</v>
      </c>
      <c r="HN34" s="43">
        <f t="shared" si="91"/>
        <v>0.31502386262653059</v>
      </c>
      <c r="HO34" s="5">
        <f t="shared" si="92"/>
        <v>251737.31740119151</v>
      </c>
      <c r="HP34" s="32">
        <f>HO34/((1+InputData!$C$7)^(GenSurg!$B34-GenSurg!$B$7))</f>
        <v>113329.38522179204</v>
      </c>
      <c r="HQ34" s="84">
        <f t="shared" si="93"/>
        <v>2033476.0852673547</v>
      </c>
      <c r="HS34" s="227"/>
      <c r="HT34" s="53" t="s">
        <v>109</v>
      </c>
      <c r="HU34" s="32">
        <f>MIN(InputData!$C$13+InputData!$E$13*($B34-$B$23),1)*GenSurg!AW34</f>
        <v>551180.04114057543</v>
      </c>
      <c r="HV34" s="32">
        <f>MIN(InputData!$C$13+InputData!$E$13*($B34-$B$23),1)*GenSurg!AX34</f>
        <v>0</v>
      </c>
      <c r="HW34" s="32">
        <f>MIN(InputData!$C$13+InputData!$E$13*($B34-$B$23),1)*GenSurg!AY34</f>
        <v>551180.04114057543</v>
      </c>
      <c r="HX34" s="32">
        <f>MIN(InputData!$C$13+InputData!$E$13*($B34-$B$23),1)*GenSurg!EO34</f>
        <v>322915.46548849263</v>
      </c>
      <c r="HY34" s="32">
        <f>MIN(InputData!$C$13+InputData!$E$13*($B34-$B$23),1)*GenSurg!EP34</f>
        <v>0</v>
      </c>
      <c r="HZ34" s="32">
        <f>IF(HX34-InputData!$C$158-InputData!$C$159&gt;=0,HX34-InputData!$C$158-InputData!$C$159,0)</f>
        <v>322915.46548849263</v>
      </c>
      <c r="IA34" s="32">
        <f>IF(HX34-IF(HX34&lt;=InputData!$C$146,InputData!$C$145,0)-MAX(InputData!$C$144,IG34)&gt;=0,HX34-IF(HX34&lt;=InputData!$C$146,InputData!$C$145,0)-MAX(InputData!$C$144,IG34),0)</f>
        <v>316815.46548849263</v>
      </c>
      <c r="IB34" s="32">
        <f>IF(IA34&lt;0,"Error",IF(IA34&lt;=InputData!$B$170,InputData!$C$170*IA34,IF(IA34&lt;=InputData!$B$171,InputData!$D$170+InputData!$C$171*(IA34-InputData!$B$170),IF(IA34&lt;=InputData!$B$172,InputData!$D$171+InputData!$C$172*(IA34-InputData!$B$171),IF(IA34&lt;=InputData!$B$173,InputData!$D$172+InputData!$C$173*(IA34-InputData!$B$172),IF(IA34&lt;=InputData!$B$174,InputData!$D$173+InputData!$C$174*(IA34-InputData!$B$173),IF(IA34&lt;=InputData!$B$175,InputData!$D$174+InputData!$C$175*(IA34-InputData!$B$174),InputData!$D$175+InputData!$C$176*(IA34-InputData!$B$175))))))))</f>
        <v>88679.853611202561</v>
      </c>
      <c r="IC34" s="32">
        <f>IF(HX34&lt;=InputData!$C$150,InputData!$C$152,IF(HX34&lt;InputData!$C$151,IF(InputData!$C$152-0.25*IF(HX34-InputData!$C$150&lt;=0,0,HX34-InputData!$C$150)&lt;=0,0,InputData!$C$152-0.25*IF(HX34-InputData!$C$150&lt;=0,0,HX34-InputData!$C$150)),0))</f>
        <v>21.133627876843093</v>
      </c>
      <c r="ID34" s="32">
        <f>IF(HX34-IC34&lt;=0,0,IF(HX34-IC34&lt;=InputData!$C$153,InputData!$C$154*(HX34-IC34),InputData!$C$155*(HX34-IC34)-InputData!$D$154))</f>
        <v>86820.41292097242</v>
      </c>
      <c r="IE34" s="32">
        <f t="shared" si="96"/>
        <v>88679.853611202561</v>
      </c>
      <c r="IF34" s="32">
        <f>IF(HX34&gt;=0,IF(HX34&lt;=InputData!$C$148,InputData!$C$147*HX34,InputData!$C$147*InputData!$C$148)+InputData!$C$149*HX34,0)</f>
        <v>11731.674249583142</v>
      </c>
      <c r="IG34" s="32">
        <f>IF(HZ34&lt;0,0,IF(HZ34&lt;=InputData!$B$163,InputData!$C$163*HZ34,IF(HZ34&lt;=InputData!$B$164,InputData!$D$163+InputData!$C$164*(HZ34-InputData!$B$163),IF(HZ34&lt;=InputData!$B$165,InputData!$D$164+InputData!$C$165*(HZ34-InputData!$B$164),InputData!$D$165+InputData!$C$166*(HZ34-InputData!$B$165)))))</f>
        <v>0</v>
      </c>
      <c r="IH34" s="43">
        <f t="shared" si="97"/>
        <v>0.31095298488998496</v>
      </c>
      <c r="II34" s="43">
        <f t="shared" si="98"/>
        <v>0.31095298488998496</v>
      </c>
      <c r="IJ34" s="5">
        <f t="shared" si="20"/>
        <v>222503.93762770691</v>
      </c>
      <c r="IK34" s="32">
        <f>IJ34/((1+InputData!$C$7)^(GenSurg!$B34-GenSurg!$B$7))</f>
        <v>100168.83758473162</v>
      </c>
      <c r="IL34" s="5">
        <f t="shared" si="99"/>
        <v>2229496.7835484045</v>
      </c>
      <c r="IN34" s="227"/>
      <c r="IO34" s="53" t="s">
        <v>109</v>
      </c>
      <c r="IP34" s="32">
        <f>MIN(InputData!$C$13+InputData!$E$13*($B34-$B$20),1)*GenSurg!AW34</f>
        <v>551180.04114057543</v>
      </c>
      <c r="IQ34" s="32">
        <f>MIN(InputData!$C$13+InputData!$E$13*($B34-$B$20),1)*GenSurg!AX34</f>
        <v>0</v>
      </c>
      <c r="IR34" s="32">
        <f>MIN(InputData!$C$13+InputData!$E$13*($B34-$B$20),1)*GenSurg!AY34</f>
        <v>551180.04114057543</v>
      </c>
      <c r="IS34" s="32">
        <f>MIN(InputData!$C$13+InputData!$E$13*($B34-$B$20),1)*GenSurg!EO34</f>
        <v>322915.46548849263</v>
      </c>
      <c r="IT34" s="32">
        <f>MIN(InputData!$C$13+InputData!$E$13*($B34-$B$20),1)*GenSurg!EP34</f>
        <v>0</v>
      </c>
      <c r="IU34" s="32">
        <f>IF(IS34-InputData!$C$158-InputData!$C$159&gt;=0,IS34-InputData!$C$158-InputData!$C$159,0)</f>
        <v>322915.46548849263</v>
      </c>
      <c r="IV34" s="32">
        <f>IF(IS34-IF(IS34&lt;=InputData!$C$146,InputData!$C$145,0)-MAX(InputData!$C$144,JB34)&gt;=0,IS34-IF(IS34&lt;=InputData!$C$146,InputData!$C$145,0)-MAX(InputData!$C$144,JB34),0)</f>
        <v>316815.46548849263</v>
      </c>
      <c r="IW34" s="32">
        <f>IF(IV34&lt;0,"Error",IF(IV34&lt;=InputData!$B$170,InputData!$C$170*IV34,IF(IV34&lt;=InputData!$B$171,InputData!$D$170+InputData!$C$171*(IV34-InputData!$B$170),IF(IV34&lt;=InputData!$B$172,InputData!$D$171+InputData!$C$172*(IV34-InputData!$B$171),IF(IV34&lt;=InputData!$B$173,InputData!$D$172+InputData!$C$173*(IV34-InputData!$B$172),IF(IV34&lt;=InputData!$B$174,InputData!$D$173+InputData!$C$174*(IV34-InputData!$B$173),IF(IV34&lt;=InputData!$B$175,InputData!$D$174+InputData!$C$175*(IV34-InputData!$B$174),InputData!$D$175+InputData!$C$176*(IV34-InputData!$B$175))))))))</f>
        <v>88679.853611202561</v>
      </c>
      <c r="IX34" s="32">
        <f>IF(IS34&lt;=InputData!$C$150,InputData!$C$152,IF(IS34&lt;InputData!$C$151,IF(InputData!$C$152-0.25*IF(IS34-InputData!$C$150&lt;=0,0,IS34-InputData!$C$150)&lt;=0,0,InputData!$C$152-0.25*IF(IS34-InputData!$C$150&lt;=0,0,IS34-InputData!$C$150)),0))</f>
        <v>21.133627876843093</v>
      </c>
      <c r="IY34" s="32">
        <f>IF(IS34-IX34&lt;=0,0,IF(IS34-IX34&lt;=InputData!$C$153,InputData!$C$154*(IS34-IX34),InputData!$C$155*(IS34-IX34)-InputData!$D$154))</f>
        <v>86820.41292097242</v>
      </c>
      <c r="IZ34" s="32">
        <f t="shared" si="102"/>
        <v>88679.853611202561</v>
      </c>
      <c r="JA34" s="32">
        <f>IF(IS34&gt;=0,IF(IS34&lt;=InputData!$C$148,InputData!$C$147*IS34,InputData!$C$147*InputData!$C$148)+InputData!$C$149*IS34,0)</f>
        <v>11731.674249583142</v>
      </c>
      <c r="JB34" s="32">
        <f>IF(IU34&lt;0,0,IF(IU34&lt;=InputData!$B$163,InputData!$C$163*IU34,IF(IU34&lt;=InputData!$B$164,InputData!$D$163+InputData!$C$164*(IU34-InputData!$B$163),IF(IU34&lt;=InputData!$B$165,InputData!$D$164+InputData!$C$165*(IU34-InputData!$B$164),InputData!$D$165+InputData!$C$166*(IU34-InputData!$B$165)))))</f>
        <v>0</v>
      </c>
      <c r="JC34" s="43">
        <f t="shared" si="103"/>
        <v>0.31095298488998496</v>
      </c>
      <c r="JD34" s="43">
        <f t="shared" si="104"/>
        <v>0.31095298488998496</v>
      </c>
      <c r="JE34" s="5">
        <f t="shared" si="105"/>
        <v>222503.93762770691</v>
      </c>
      <c r="JF34" s="32">
        <f>JE34/((1+InputData!$C$7)^(GenSurg!$B34-GenSurg!$B$7))</f>
        <v>100168.83758473162</v>
      </c>
      <c r="JG34" s="5">
        <f t="shared" si="106"/>
        <v>2356651.1454822351</v>
      </c>
      <c r="JI34" s="41" t="str">
        <f t="shared" si="26"/>
        <v>Private Practice</v>
      </c>
      <c r="JJ34" s="5">
        <f t="shared" si="27"/>
        <v>612422.26793397265</v>
      </c>
      <c r="JK34" s="32">
        <v>0</v>
      </c>
      <c r="JL34" s="32">
        <f t="shared" si="108"/>
        <v>612422.26793397265</v>
      </c>
      <c r="JM34" s="32">
        <f>JM33*(1+InputData!$C$8)</f>
        <v>19612.125616606307</v>
      </c>
      <c r="JN34" s="32">
        <f>JJ34/((1+InputData!$C$3)^(GenSurg!$B34-GenSurg!$B$7))</f>
        <v>358794.96165388072</v>
      </c>
      <c r="JO34" s="32">
        <f>JK34/((1+InputData!$C$3)^(GenSurg!$B34-GenSurg!$B$7))</f>
        <v>0</v>
      </c>
      <c r="JP34" s="32" t="s">
        <v>141</v>
      </c>
      <c r="JQ34" s="32">
        <v>0</v>
      </c>
      <c r="JR34" s="32">
        <f t="shared" si="158"/>
        <v>0</v>
      </c>
      <c r="JS34" s="32">
        <f>(JR34)*InputData!$C$6</f>
        <v>0</v>
      </c>
      <c r="JT34" s="32">
        <f>MIN($BE$16*InputData!$C$6/(1-(1+InputData!$C$6)^(-10)), JR34+JS34)</f>
        <v>0</v>
      </c>
      <c r="JU34" s="32">
        <f t="shared" si="145"/>
        <v>0</v>
      </c>
      <c r="JV34" s="32">
        <f>JT34/((1+InputData!$C$3)^(GenSurg!$B34-GenSurg!$B$7))</f>
        <v>0</v>
      </c>
      <c r="JW34" s="32">
        <f>IF(JN34-InputData!$C$158-InputData!$C$159&gt;=0,JN34-InputData!$C$158-InputData!$C$159,0)</f>
        <v>358794.96165388072</v>
      </c>
      <c r="JX34" s="32">
        <f>IF(JN34-IF(JN34&lt;=InputData!$C$146,InputData!$C$145,0)-MAX(InputData!$C$144,KD34)&gt;=0,JN34-IF(JN34&lt;=InputData!$C$146,InputData!$C$145,0)-MAX(InputData!$C$144,KD34),0)</f>
        <v>352694.96165388072</v>
      </c>
      <c r="JY34" s="32">
        <f>IF(JX34&lt;0,"Error",IF(JX34&lt;=InputData!$B$170,InputData!$C$170*JX34,IF(JX34&lt;=InputData!$B$171,InputData!$D$170+InputData!$C$171*(JX34-InputData!$B$170),IF(JX34&lt;=InputData!$B$172,InputData!$D$171+InputData!$C$172*(JX34-InputData!$B$171),IF(JX34&lt;=InputData!$B$173,InputData!$D$172+InputData!$C$173*(JX34-InputData!$B$172),IF(JX34&lt;=InputData!$B$174,InputData!$D$173+InputData!$C$174*(JX34-InputData!$B$173),IF(JX34&lt;=InputData!$B$175,InputData!$D$174+InputData!$C$175*(JX34-InputData!$B$174),InputData!$D$175+InputData!$C$176*(JX34-InputData!$B$175))))))))</f>
        <v>100520.08734578063</v>
      </c>
      <c r="JZ34" s="32">
        <f>IF(JN34&lt;=InputData!$C$150,InputData!$C$152,IF(JN34&lt;InputData!$C$151,IF(InputData!$C$152-0.25*IF(JN34-InputData!$C$150&lt;=0,0,JN34-InputData!$C$150)&lt;=0,0,InputData!$C$152-0.25*IF(JN34-InputData!$C$150&lt;=0,0,JN34-InputData!$C$150)),0))</f>
        <v>0</v>
      </c>
      <c r="KA34" s="32">
        <f>IF(JN34-JZ34&lt;=0,0,IF(JN34-JZ34&lt;=InputData!$C$153,InputData!$C$154*(JN34-JZ34),InputData!$C$155*(JN34-JZ34)-InputData!$D$154))</f>
        <v>96872.589263086615</v>
      </c>
      <c r="KB34" s="32">
        <f t="shared" si="109"/>
        <v>100520.08734578063</v>
      </c>
      <c r="KC34" s="32">
        <f>IF(JN34&gt;=0,IF(JN34&lt;=InputData!$C$148,InputData!$C$147*JN34,InputData!$C$147*InputData!$C$148)+InputData!$C$149*JN34,0)</f>
        <v>12251.926943981271</v>
      </c>
      <c r="KD34" s="32">
        <f>IF(JW34&lt;0,0,IF(JW34&lt;=InputData!$B$163,InputData!$C$163*JW34,IF(JW34&lt;=InputData!$B$164,InputData!$D$163+InputData!$C$164*(JW34-InputData!$B$163),IF(JW34&lt;=InputData!$B$165,InputData!$D$164+InputData!$C$165*(JW34-InputData!$B$164),InputData!$D$165+InputData!$C$166*(JW34-InputData!$B$165)))))</f>
        <v>0</v>
      </c>
      <c r="KE34" s="43">
        <f t="shared" si="28"/>
        <v>0.31430768640098644</v>
      </c>
      <c r="KF34" s="32">
        <f t="shared" si="29"/>
        <v>246022.94736411882</v>
      </c>
      <c r="KG34" s="32">
        <f t="shared" si="110"/>
        <v>246022.94736411882</v>
      </c>
      <c r="KH34" s="32">
        <f>KG34/((1+InputData!$C$7)^(GenSurg!$B34-GenSurg!$B$7))</f>
        <v>110756.83837050739</v>
      </c>
      <c r="KI34" s="5">
        <f t="shared" si="129"/>
        <v>2722824.3679691288</v>
      </c>
    </row>
    <row r="35" spans="1:295" x14ac:dyDescent="0.25">
      <c r="A35" s="4">
        <v>2041</v>
      </c>
      <c r="B35" s="51">
        <v>29</v>
      </c>
      <c r="C35" s="4"/>
      <c r="D35" s="3">
        <v>29</v>
      </c>
      <c r="E35" s="97" t="s">
        <v>277</v>
      </c>
      <c r="F35" s="5">
        <f>InputData!$R$21*12</f>
        <v>126320.40000000001</v>
      </c>
      <c r="G35" s="32">
        <f>(InputData!$R$21+InputData!$K$45+InputData!$G$50)*12+InputData!$J$50+InputData!$D$58+InputData!$J$58</f>
        <v>264320.36</v>
      </c>
      <c r="H35" s="32">
        <f>(InputData!$C$32+InputData!$C$40)*12</f>
        <v>21631.199999999997</v>
      </c>
      <c r="I35" s="32">
        <f t="shared" si="30"/>
        <v>285951.56</v>
      </c>
      <c r="J35" s="5">
        <f>G35*((1+InputData!$C$5)/(1+InputData!$C$3))^(GenSurg!$B35-GenSurg!$B$7)</f>
        <v>200596.92610638234</v>
      </c>
      <c r="K35" s="5">
        <f>H35*((1+InputData!$C$5)/(1+InputData!$C$3))^(GenSurg!$B35-GenSurg!$B$7)</f>
        <v>16416.261796830095</v>
      </c>
      <c r="L35" s="32">
        <f>IF(J35-InputData!$C$158-InputData!$C$159&gt;=0,J35-InputData!$C$158-InputData!$C$159,0)</f>
        <v>200596.92610638234</v>
      </c>
      <c r="M35" s="32">
        <f>IF(J35-IF(J35&lt;=InputData!$C$146,InputData!$C$145,0)-MAX(InputData!$C$144,S35)&gt;=0,J35-IF(J35&lt;=InputData!$C$146,InputData!$C$145,0)-MAX(InputData!$C$144,S35),0)</f>
        <v>194496.92610638234</v>
      </c>
      <c r="N35" s="32">
        <f>IF(M35&lt;0,"Error",IF(M35&lt;=InputData!$B$170,InputData!$C$170*M35,IF(M35&lt;=InputData!$B$171,InputData!$D$170+InputData!$C$171*(M35-InputData!$B$170),IF(M35&lt;=InputData!$B$172,InputData!$D$171+InputData!$C$172*(M35-InputData!$B$171),IF(M35&lt;=InputData!$B$173,InputData!$D$172+InputData!$C$173*(M35-InputData!$B$172),IF(M35&lt;=InputData!$B$174,InputData!$D$173+InputData!$C$174*(M35-InputData!$B$173),IF(M35&lt;=InputData!$B$175,InputData!$D$174+InputData!$C$175*(M35-InputData!$B$174),InputData!$D$175+InputData!$C$176*(M35-InputData!$B$175))))))))</f>
        <v>48314.735615106169</v>
      </c>
      <c r="O35" s="32">
        <f>IF(J35&lt;=InputData!$C$150,InputData!$C$152,IF(J35&lt;InputData!$C$151,IF(InputData!$C$152-0.25*IF(J35-InputData!$C$150&lt;=0,0,J35-InputData!$C$150)&lt;=0,0,InputData!$C$152-0.25*IF(J35-InputData!$C$150&lt;=0,0,J35-InputData!$C$150)),0))</f>
        <v>30600.768473404416</v>
      </c>
      <c r="P35" s="32">
        <f>IF(J35-O35&lt;=0,0,IF(J35-O35&lt;=InputData!$C$153,InputData!$C$154*(J35-O35),InputData!$C$155*(J35-O35)-InputData!$D$154))</f>
        <v>44199.000984574268</v>
      </c>
      <c r="Q35" s="32">
        <f t="shared" si="31"/>
        <v>48314.735615106169</v>
      </c>
      <c r="R35" s="32">
        <f>IF(J35&gt;=0,IF(J35&lt;=InputData!$C$148,InputData!$C$147*J35,InputData!$C$147*InputData!$C$148)+InputData!$C$149*J35,0)</f>
        <v>9958.0554285425442</v>
      </c>
      <c r="S35" s="32">
        <f>IF(L35&lt;0,0,IF(L35&lt;=InputData!$B$163,InputData!$C$163*L35,IF(L35&lt;=InputData!$B$164,InputData!$D$163+InputData!$C$164*(L35-InputData!$B$163),IF(L35&lt;=InputData!$B$165,InputData!$D$164+InputData!$C$165*(L35-InputData!$B$164),InputData!$D$165+InputData!$C$166*(L35-InputData!$B$165)))))</f>
        <v>0</v>
      </c>
      <c r="T35" s="43">
        <f t="shared" si="32"/>
        <v>0.2904969292138852</v>
      </c>
      <c r="U35" s="43">
        <f t="shared" si="33"/>
        <v>0.26852188849296244</v>
      </c>
      <c r="V35" s="5">
        <f t="shared" si="34"/>
        <v>158740.39685956371</v>
      </c>
      <c r="W35" s="32">
        <f>V35/((1+InputData!$C$7)^(GenSurg!$B35-GenSurg!$B$7))</f>
        <v>69381.737256362932</v>
      </c>
      <c r="X35" s="5">
        <f t="shared" si="111"/>
        <v>1950784.4180978953</v>
      </c>
      <c r="Y35" s="53"/>
      <c r="Z35" s="3">
        <v>25.5</v>
      </c>
      <c r="AA35" s="99" t="s">
        <v>271</v>
      </c>
      <c r="AB35" s="32">
        <f>InputData!$P$21*12</f>
        <v>120412.79999999999</v>
      </c>
      <c r="AC35" s="32">
        <f>(InputData!$P$21+InputData!$K$45+InputData!$G$50)*12+InputData!$J$50+InputData!$D$58+InputData!$J$58</f>
        <v>258412.76</v>
      </c>
      <c r="AD35" s="32">
        <f t="shared" si="169"/>
        <v>21631.199999999997</v>
      </c>
      <c r="AE35" s="32">
        <f t="shared" si="35"/>
        <v>280043.96000000002</v>
      </c>
      <c r="AF35" s="5">
        <f>AC35*((1+InputData!$C$5)/(1+InputData!$C$3))^(GenSurg!$B35-GenSurg!$B$7)</f>
        <v>196113.5544861785</v>
      </c>
      <c r="AG35" s="5">
        <f>AD35*((1+InputData!$C$5)/(1+InputData!$C$3))^(GenSurg!$B35-GenSurg!$B$7)</f>
        <v>16416.261796830095</v>
      </c>
      <c r="AH35" s="32">
        <f>IF(AF35-InputData!$C$158-InputData!$C$159&gt;=0,AF35-InputData!$C$158-InputData!$C$159,0)</f>
        <v>196113.5544861785</v>
      </c>
      <c r="AI35" s="32">
        <f>IF(AF35-IF(AF35&lt;=InputData!$C$146,InputData!$C$145,0)-MAX(InputData!$C$144,AO35)&gt;=0,AF35-IF(AF35&lt;=InputData!$C$146,InputData!$C$145,0)-MAX(InputData!$C$144,AO35),0)</f>
        <v>190013.5544861785</v>
      </c>
      <c r="AJ35" s="32">
        <f>IF(AI35&lt;0,"Error",IF(AI35&lt;=InputData!$B$170,InputData!$C$170*AI35,IF(AI35&lt;=InputData!$B$171,InputData!$D$170+InputData!$C$171*(AI35-InputData!$B$170),IF(AI35&lt;=InputData!$B$172,InputData!$D$171+InputData!$C$172*(AI35-InputData!$B$171),IF(AI35&lt;=InputData!$B$173,InputData!$D$172+InputData!$C$173*(AI35-InputData!$B$172),IF(AI35&lt;=InputData!$B$174,InputData!$D$173+InputData!$C$174*(AI35-InputData!$B$173),IF(AI35&lt;=InputData!$B$175,InputData!$D$174+InputData!$C$175*(AI35-InputData!$B$174),InputData!$D$175+InputData!$C$176*(AI35-InputData!$B$175))))))))</f>
        <v>46835.222980438906</v>
      </c>
      <c r="AK35" s="32">
        <f>IF(AF35&lt;=InputData!$C$150,InputData!$C$152,IF(AF35&lt;InputData!$C$151,IF(InputData!$C$152-0.25*IF(AF35-InputData!$C$150&lt;=0,0,AF35-InputData!$C$150)&lt;=0,0,InputData!$C$152-0.25*IF(AF35-InputData!$C$150&lt;=0,0,AF35-InputData!$C$150)),0))</f>
        <v>31721.611378455375</v>
      </c>
      <c r="AL35" s="32">
        <f>IF(AF35-AK35&lt;=0,0,IF(AF35-AK35&lt;=InputData!$C$153,InputData!$C$154*(AF35-AK35),InputData!$C$155*(AF35-AK35)-InputData!$D$154))</f>
        <v>42741.905208008022</v>
      </c>
      <c r="AM35" s="32">
        <f t="shared" si="36"/>
        <v>46835.222980438906</v>
      </c>
      <c r="AN35" s="32">
        <f>IF(AF35&gt;=0,IF(AF35&lt;=InputData!$C$148,InputData!$C$147*AF35,InputData!$C$147*InputData!$C$148)+InputData!$C$149*AF35,0)</f>
        <v>9893.0465400495887</v>
      </c>
      <c r="AO35" s="32">
        <f>IF(AH35&lt;0,0,IF(AH35&lt;=InputData!$B$163,InputData!$C$163*AH35,IF(AH35&lt;=InputData!$B$164,InputData!$D$163+InputData!$C$164*(AH35-InputData!$B$163),IF(AH35&lt;=InputData!$B$165,InputData!$D$164+InputData!$C$165*(AH35-InputData!$B$164),InputData!$D$165+InputData!$C$166*(AH35-InputData!$B$165)))))</f>
        <v>0</v>
      </c>
      <c r="AP35" s="43">
        <f t="shared" si="37"/>
        <v>0.28926235960139374</v>
      </c>
      <c r="AQ35" s="43">
        <f t="shared" si="38"/>
        <v>0.26691911051646555</v>
      </c>
      <c r="AR35" s="5">
        <f t="shared" si="39"/>
        <v>155801.5467625201</v>
      </c>
      <c r="AS35" s="32">
        <f>AR35/((1+InputData!$C$7)^(GenSurg!$B35-GenSurg!$B$7))</f>
        <v>68097.234197892511</v>
      </c>
      <c r="AT35" s="5">
        <f t="shared" si="112"/>
        <v>1980982.1339384695</v>
      </c>
      <c r="AU35" s="53"/>
      <c r="AV35" s="41" t="s">
        <v>109</v>
      </c>
      <c r="AW35" s="32">
        <f>$AW$17*(1+InputData!$C$3+InputData!$C$4)^(GenSurg!$B35-GenSurg!$B$17)</f>
        <v>630794.93597199186</v>
      </c>
      <c r="AX35" s="32">
        <v>0</v>
      </c>
      <c r="AY35" s="32">
        <f t="shared" si="41"/>
        <v>630794.93597199186</v>
      </c>
      <c r="AZ35" s="32">
        <f>AZ34*(1+InputData!$C$8)</f>
        <v>20004.368128938433</v>
      </c>
      <c r="BA35" s="32">
        <f>AW35/((1+InputData!$C$3)^(GenSurg!$B35-GenSurg!$B$7))</f>
        <v>362312.55931715399</v>
      </c>
      <c r="BB35" s="32">
        <f>AX35/((1+InputData!$C$3)^(GenSurg!$B35-GenSurg!$B$7))</f>
        <v>0</v>
      </c>
      <c r="BC35" s="32" t="s">
        <v>141</v>
      </c>
      <c r="BD35" s="32">
        <v>0</v>
      </c>
      <c r="BE35" s="32">
        <f t="shared" si="146"/>
        <v>0</v>
      </c>
      <c r="BF35" s="32">
        <f>(BE35)*InputData!$C$6</f>
        <v>0</v>
      </c>
      <c r="BG35" s="32">
        <f>MIN($BE$16*InputData!$C$6/(1-(1+InputData!$C$6)^(-10)), BE35+BF35)</f>
        <v>0</v>
      </c>
      <c r="BH35" s="32">
        <f t="shared" si="137"/>
        <v>0</v>
      </c>
      <c r="BI35" s="32">
        <f>BG35/((1+InputData!$C$3)^(GenSurg!$B35-GenSurg!$B$7))</f>
        <v>0</v>
      </c>
      <c r="BJ35" s="32">
        <f>IF(BA35-InputData!$C$158-InputData!$C$159&gt;=0,BA35-InputData!$C$158-InputData!$C$159,0)</f>
        <v>362312.55931715399</v>
      </c>
      <c r="BK35" s="32">
        <f>IF(BA35-IF(BA35&lt;=InputData!$C$146,InputData!$C$145,0)-MAX(InputData!$C$144,BQ35)&gt;=0,BA35-IF(BA35&lt;=InputData!$C$146,InputData!$C$145,0)-MAX(InputData!$C$144,BQ35),0)</f>
        <v>356212.55931715399</v>
      </c>
      <c r="BL35" s="32">
        <f>IF(BK35&lt;0,"Error",IF(BK35&lt;=InputData!$B$170,InputData!$C$170*BK35,IF(BK35&lt;=InputData!$B$171,InputData!$D$170+InputData!$C$171*(BK35-InputData!$B$170),IF(BK35&lt;=InputData!$B$172,InputData!$D$171+InputData!$C$172*(BK35-InputData!$B$171),IF(BK35&lt;=InputData!$B$173,InputData!$D$172+InputData!$C$173*(BK35-InputData!$B$172),IF(BK35&lt;=InputData!$B$174,InputData!$D$173+InputData!$C$174*(BK35-InputData!$B$173),IF(BK35&lt;=InputData!$B$175,InputData!$D$174+InputData!$C$175*(BK35-InputData!$B$174),InputData!$D$175+InputData!$C$176*(BK35-InputData!$B$175))))))))</f>
        <v>101680.89457466082</v>
      </c>
      <c r="BM35" s="32">
        <f>IF(BA35&lt;=InputData!$C$150,InputData!$C$152,IF(BA35&lt;InputData!$C$151,IF(InputData!$C$152-0.25*IF(BA35-InputData!$C$150&lt;=0,0,BA35-InputData!$C$150)&lt;=0,0,InputData!$C$152-0.25*IF(BA35-InputData!$C$150&lt;=0,0,BA35-InputData!$C$150)),0))</f>
        <v>0</v>
      </c>
      <c r="BN35" s="32">
        <f>IF(BA35-BM35&lt;=0,0,IF(BA35-BM35&lt;=InputData!$C$153,InputData!$C$154*(BA35-BM35),InputData!$C$155*(BA35-BM35)-InputData!$D$154))</f>
        <v>97857.516608803126</v>
      </c>
      <c r="BO35" s="32">
        <f t="shared" si="42"/>
        <v>101680.89457466082</v>
      </c>
      <c r="BP35" s="32">
        <f>IF(BA35&gt;=0,IF(BA35&lt;=InputData!$C$148,InputData!$C$147*BA35,InputData!$C$147*InputData!$C$148)+InputData!$C$149*BA35,0)</f>
        <v>12302.932110098733</v>
      </c>
      <c r="BQ35" s="32">
        <f>IF(BJ35&lt;0,0,IF(BJ35&lt;=InputData!$B$163,InputData!$C$163*BJ35,IF(BJ35&lt;=InputData!$B$164,InputData!$D$163+InputData!$C$164*(BJ35-InputData!$B$163),IF(BJ35&lt;=InputData!$B$165,InputData!$D$164+InputData!$C$165*(BJ35-InputData!$B$164),InputData!$D$165+InputData!$C$166*(BJ35-InputData!$B$165)))))</f>
        <v>0</v>
      </c>
      <c r="BR35" s="43">
        <f t="shared" si="43"/>
        <v>0.31460081565922932</v>
      </c>
      <c r="BS35" s="32">
        <f t="shared" si="44"/>
        <v>248328.73263239444</v>
      </c>
      <c r="BT35" s="32">
        <f t="shared" si="45"/>
        <v>248328.73263239444</v>
      </c>
      <c r="BU35" s="32">
        <f>BT35/((1+InputData!$C$7)^(GenSurg!$B35-GenSurg!$B$7))</f>
        <v>108538.71617789367</v>
      </c>
      <c r="BV35" s="5">
        <f t="shared" si="114"/>
        <v>2447036.6916002822</v>
      </c>
      <c r="BW35" s="5"/>
      <c r="BX35" s="32" t="s">
        <v>141</v>
      </c>
      <c r="BY35" s="5">
        <f t="shared" si="147"/>
        <v>105938.16446701533</v>
      </c>
      <c r="BZ35" s="32">
        <f>(BY35)*InputData!$C$6</f>
        <v>6578.760013401652</v>
      </c>
      <c r="CA35" s="32">
        <f>MIN($BY$16*InputData!$C$6/(1-(1+InputData!$C$6)^(-25)), BY35+BZ35)</f>
        <v>21686.214673809533</v>
      </c>
      <c r="CB35" s="32">
        <f t="shared" si="148"/>
        <v>90830.709806607454</v>
      </c>
      <c r="CC35" s="32">
        <f>CA35/((1+InputData!$C$3)^(GenSurg!$B35-GenSurg!$B$7))</f>
        <v>12456.009857247842</v>
      </c>
      <c r="CD35" s="5">
        <f t="shared" si="49"/>
        <v>235872.7227751466</v>
      </c>
      <c r="CE35" s="32">
        <f>CD35/((1+InputData!$C$7)^(GenSurg!$B35-GenSurg!$B$7))</f>
        <v>103094.48383202897</v>
      </c>
      <c r="CF35" s="5">
        <f t="shared" si="115"/>
        <v>2459331.2026368375</v>
      </c>
      <c r="CG35" s="5"/>
      <c r="CH35" s="32" t="s">
        <v>141</v>
      </c>
      <c r="CI35" s="5" t="e">
        <f t="shared" si="149"/>
        <v>#VALUE!</v>
      </c>
      <c r="CJ35" s="32" t="e">
        <f>(CI35)*InputData!$C$6</f>
        <v>#VALUE!</v>
      </c>
      <c r="CK35" s="5" t="str">
        <f t="shared" si="159"/>
        <v>DNQ</v>
      </c>
      <c r="CL35" s="32" t="e">
        <f t="shared" si="150"/>
        <v>#VALUE!</v>
      </c>
      <c r="CM35" s="32" t="e">
        <f>CK35/((1+InputData!$C$3)^(GenSurg!$B35-GenSurg!$B$7))</f>
        <v>#VALUE!</v>
      </c>
      <c r="CN35" s="5" t="e">
        <f t="shared" si="53"/>
        <v>#VALUE!</v>
      </c>
      <c r="CO35" s="32" t="e">
        <f>CN35/((1+InputData!$C$7)^(GenSurg!$B35-GenSurg!$B$7))</f>
        <v>#VALUE!</v>
      </c>
      <c r="CP35" s="5" t="e">
        <f t="shared" si="116"/>
        <v>#VALUE!</v>
      </c>
      <c r="CQ35" s="5"/>
      <c r="CR35" s="32" t="s">
        <v>141</v>
      </c>
      <c r="CS35" s="5">
        <f t="shared" si="160"/>
        <v>0</v>
      </c>
      <c r="CT35" s="32">
        <f>(CS35)*InputData!$C$6</f>
        <v>0</v>
      </c>
      <c r="CU35" s="32">
        <f t="shared" si="161"/>
        <v>0</v>
      </c>
      <c r="CV35" s="32">
        <f t="shared" si="152"/>
        <v>0</v>
      </c>
      <c r="CW35" s="32">
        <f>CU35/((1+InputData!$C$3)^(GenSurg!$B35-GenSurg!$B$7))</f>
        <v>0</v>
      </c>
      <c r="CX35" s="5">
        <f t="shared" si="57"/>
        <v>248328.73263239444</v>
      </c>
      <c r="CY35" s="32">
        <f>CX35/((1+InputData!$C$7)^(GenSurg!$B35-GenSurg!$B$7))</f>
        <v>108538.71617789367</v>
      </c>
      <c r="CZ35" s="5">
        <f t="shared" si="117"/>
        <v>2446591.4353397503</v>
      </c>
      <c r="DA35" s="5"/>
      <c r="DB35" s="32" t="s">
        <v>141</v>
      </c>
      <c r="DC35" s="5">
        <f t="shared" si="138"/>
        <v>0</v>
      </c>
      <c r="DD35" s="5">
        <f>DC35*InputData!$C$6</f>
        <v>0</v>
      </c>
      <c r="DE35" s="32">
        <f t="shared" si="139"/>
        <v>0</v>
      </c>
      <c r="DF35" s="32">
        <f t="shared" si="140"/>
        <v>0</v>
      </c>
      <c r="DG35" s="32">
        <f>DE35/((1+InputData!$C$3)^(GenSurg!$B35-GenSurg!$B$7))</f>
        <v>0</v>
      </c>
      <c r="DH35" s="5">
        <f t="shared" si="61"/>
        <v>248328.73263239444</v>
      </c>
      <c r="DI35" s="32">
        <f>DH35/((1+InputData!$C$7)^(GenSurg!$B35-GenSurg!$B$7))</f>
        <v>108538.71617789367</v>
      </c>
      <c r="DJ35" s="5">
        <f t="shared" si="118"/>
        <v>2451624.3077026987</v>
      </c>
      <c r="DK35" s="5"/>
      <c r="DL35" s="32" t="s">
        <v>141</v>
      </c>
      <c r="DM35" s="32">
        <f t="shared" si="153"/>
        <v>0</v>
      </c>
      <c r="DN35" s="5">
        <f>DM35*InputData!$C$6</f>
        <v>0</v>
      </c>
      <c r="DO35" s="32">
        <f t="shared" si="154"/>
        <v>0</v>
      </c>
      <c r="DP35" s="32">
        <f t="shared" si="130"/>
        <v>0</v>
      </c>
      <c r="DQ35" s="32">
        <f t="shared" si="131"/>
        <v>0</v>
      </c>
      <c r="DR35" s="32">
        <f>DP35/((1+InputData!$C$3)^(GenSurg!$B35-GenSurg!$B$7))</f>
        <v>0</v>
      </c>
      <c r="DS35" s="5">
        <f t="shared" si="65"/>
        <v>248328.73263239444</v>
      </c>
      <c r="DT35" s="32">
        <f>DS35/((1+InputData!$C$7)^(GenSurg!$B35-GenSurg!$B$7))</f>
        <v>108538.71617789367</v>
      </c>
      <c r="DU35" s="5">
        <f t="shared" si="120"/>
        <v>2444716.0660565449</v>
      </c>
      <c r="DV35" s="5"/>
      <c r="DW35" s="32" t="s">
        <v>141</v>
      </c>
      <c r="DX35" s="133">
        <f t="shared" si="141"/>
        <v>0</v>
      </c>
      <c r="DY35" s="5">
        <f>DX35*InputData!$C$6</f>
        <v>0</v>
      </c>
      <c r="DZ35" s="133">
        <f t="shared" si="142"/>
        <v>0</v>
      </c>
      <c r="EA35" s="32">
        <f t="shared" si="143"/>
        <v>0</v>
      </c>
      <c r="EB35" s="32">
        <f t="shared" si="144"/>
        <v>0</v>
      </c>
      <c r="EC35" s="32">
        <f>EA35/((1+InputData!$C$3)^(GenSurg!$B35-GenSurg!$B$7))</f>
        <v>0</v>
      </c>
      <c r="ED35" s="5">
        <f t="shared" si="69"/>
        <v>248328.73263239444</v>
      </c>
      <c r="EE35" s="32">
        <f>ED35/((1+InputData!$C$7)^(GenSurg!$B35-GenSurg!$B$7))</f>
        <v>108538.71617789367</v>
      </c>
      <c r="EF35" s="5">
        <f t="shared" si="122"/>
        <v>2445235.3370017507</v>
      </c>
      <c r="EG35" s="32"/>
      <c r="EH35" s="130" t="s">
        <v>141</v>
      </c>
      <c r="EI35" s="32">
        <v>0</v>
      </c>
      <c r="EJ35" s="32">
        <f t="shared" si="168"/>
        <v>0</v>
      </c>
      <c r="EK35" s="32">
        <f>(EJ35)*InputData!$C$6</f>
        <v>0</v>
      </c>
      <c r="EL35" s="32">
        <f t="shared" si="167"/>
        <v>-2.1827872842550278E-11</v>
      </c>
      <c r="EM35" s="32">
        <f>EM34*(1+InputData!$C$8)</f>
        <v>20004.368128938433</v>
      </c>
      <c r="EN35" s="32">
        <f t="shared" si="162"/>
        <v>0</v>
      </c>
      <c r="EO35" s="32">
        <f>AW35/((1+InputData!$C$3)^(GenSurg!$B35-GenSurg!$B$7))</f>
        <v>362312.55931715399</v>
      </c>
      <c r="EP35" s="32">
        <f>AX35/((1+InputData!$C$3)^(GenSurg!$B35-GenSurg!$B$7))</f>
        <v>0</v>
      </c>
      <c r="EQ35" s="32">
        <v>95382.46</v>
      </c>
      <c r="ER35" s="32">
        <v>10737.46</v>
      </c>
      <c r="ES35" s="32">
        <v>0</v>
      </c>
      <c r="ET35" s="43">
        <f t="shared" si="136"/>
        <v>0.29289605692941728</v>
      </c>
      <c r="EU35" s="32">
        <f t="shared" si="70"/>
        <v>256192.63931715398</v>
      </c>
      <c r="EV35" s="32">
        <f>EN35/((1+InputData!$C$3)^(GenSurg!$B35-GenSurg!$B$7))</f>
        <v>0</v>
      </c>
      <c r="EW35" s="32">
        <f t="shared" si="71"/>
        <v>256192.63931715398</v>
      </c>
      <c r="EX35" s="32">
        <f>EW35/((1+InputData!$C$7)^(GenSurg!$B35-GenSurg!$B$7))</f>
        <v>111975.84697890359</v>
      </c>
      <c r="EY35" s="5">
        <f t="shared" si="124"/>
        <v>2591054.7158946502</v>
      </c>
      <c r="EZ35" s="79"/>
      <c r="FA35" s="32">
        <f t="shared" si="163"/>
        <v>0</v>
      </c>
      <c r="FB35" s="32">
        <f>FA35*InputData!$C$6</f>
        <v>0</v>
      </c>
      <c r="FC35" s="32">
        <f t="shared" si="155"/>
        <v>0</v>
      </c>
      <c r="FD35" s="32">
        <f>MIN($EJ$16*InputData!$C$6/(1-(1+InputData!$C$6)^(-10)), FA35+FB35)</f>
        <v>0</v>
      </c>
      <c r="FE35" s="32">
        <f>FD35/((1+InputData!$C$3)^(GenSurg!$B35-GenSurg!$B$7))</f>
        <v>0</v>
      </c>
      <c r="FF35" s="5">
        <f t="shared" si="75"/>
        <v>256192.63931715398</v>
      </c>
      <c r="FG35" s="32">
        <f>FF35/((1+InputData!$C$7)^(GenSurg!$B35-GenSurg!$B$7))</f>
        <v>111975.84697890359</v>
      </c>
      <c r="FH35" s="5">
        <f t="shared" si="125"/>
        <v>2591493.4146445417</v>
      </c>
      <c r="FI35" s="79"/>
      <c r="FJ35" s="32">
        <f t="shared" si="164"/>
        <v>105858.30700195405</v>
      </c>
      <c r="FK35" s="32">
        <f>FJ35*InputData!$C$6</f>
        <v>6573.8008648213463</v>
      </c>
      <c r="FL35" s="32">
        <f t="shared" si="156"/>
        <v>90762.240522932669</v>
      </c>
      <c r="FM35" s="32">
        <f>MIN($EJ$16*InputData!$C$6/(1-(1+InputData!$C$6)^(-25)), FJ35+FK35)</f>
        <v>21669.867343842721</v>
      </c>
      <c r="FN35" s="32">
        <f>FM35/((1+InputData!$C$3)^(GenSurg!$B35-GenSurg!$B$7))</f>
        <v>12446.620366907133</v>
      </c>
      <c r="FO35" s="5">
        <f t="shared" si="79"/>
        <v>243746.01895024686</v>
      </c>
      <c r="FP35" s="32">
        <f>FO35/((1+InputData!$C$7)^(GenSurg!$B35-GenSurg!$B$7))</f>
        <v>106535.71856099092</v>
      </c>
      <c r="FQ35" s="5">
        <f t="shared" si="126"/>
        <v>2603778.6579305134</v>
      </c>
      <c r="FR35" s="79"/>
      <c r="FS35" s="32">
        <f t="shared" si="165"/>
        <v>0</v>
      </c>
      <c r="FT35" s="32">
        <f>FS35*InputData!$C$6</f>
        <v>0</v>
      </c>
      <c r="FU35" s="32">
        <f t="shared" si="157"/>
        <v>0</v>
      </c>
      <c r="FV35" s="5">
        <f t="shared" si="166"/>
        <v>0</v>
      </c>
      <c r="FW35" s="32">
        <f>FV35/((1+InputData!$C$3)^(GenSurg!$B35-GenSurg!$B$7))</f>
        <v>0</v>
      </c>
      <c r="FX35" s="5">
        <f t="shared" si="83"/>
        <v>256192.63931715398</v>
      </c>
      <c r="FY35" s="32">
        <f>FX35/((1+InputData!$C$7)^(GenSurg!$B35-GenSurg!$B$7))</f>
        <v>111975.84697890359</v>
      </c>
      <c r="FZ35" s="5">
        <f t="shared" si="127"/>
        <v>2591493.4146445417</v>
      </c>
      <c r="GC35" s="83">
        <v>20</v>
      </c>
      <c r="GD35" s="4" t="s">
        <v>217</v>
      </c>
      <c r="GE35" s="5"/>
      <c r="GF35" s="84">
        <v>0</v>
      </c>
      <c r="GG35" s="5"/>
      <c r="GH35" s="84">
        <f>MIN(InputData!$C$13+InputData!$E$13*($B35-$B$31),1)*$AW35/((1+InputData!$C$3)^(GenSurg!$B35-GenSurg!$B$7))+0.025*$GC$30*(($F$28+$F$29+$F$30)/3)*((1+InputData!$C$5)/(1+InputData!$C$3))^(GenSurg!$B35-GenSurg!$B$7)</f>
        <v>365657.09839120507</v>
      </c>
      <c r="GI35" s="5">
        <v>0</v>
      </c>
      <c r="GJ35" s="32">
        <f>IF(GH35-InputData!$C$158-InputData!$C$159&gt;=0,GH35-InputData!$C$158-InputData!$C$159,0)</f>
        <v>365657.09839120507</v>
      </c>
      <c r="GK35" s="32">
        <f>IF(GH35-IF(GH35&lt;=InputData!$C$146,InputData!$C$145,0)-MAX(InputData!$C$144,GQ35)&gt;=0,GH35-IF(GH35&lt;=InputData!$C$146,InputData!$C$145,0)-MAX(InputData!$C$144,GQ35),0)</f>
        <v>359557.09839120507</v>
      </c>
      <c r="GL35" s="32">
        <f>IF(GK35&lt;0,"Error",IF(GK35&lt;=InputData!$B$170,InputData!$C$170*GK35,IF(GK35&lt;=InputData!$B$171,InputData!$D$170+InputData!$C$171*(GK35-InputData!$B$170),IF(GK35&lt;=InputData!$B$172,InputData!$D$171+InputData!$C$172*(GK35-InputData!$B$171),IF(GK35&lt;=InputData!$B$173,InputData!$D$172+InputData!$C$173*(GK35-InputData!$B$172),IF(GK35&lt;=InputData!$B$174,InputData!$D$173+InputData!$C$174*(GK35-InputData!$B$173),IF(GK35&lt;=InputData!$B$175,InputData!$D$174+InputData!$C$175*(GK35-InputData!$B$174),InputData!$D$175+InputData!$C$176*(GK35-InputData!$B$175))))))))</f>
        <v>102784.59246909767</v>
      </c>
      <c r="GM35" s="32">
        <f>IF(GH35&lt;=InputData!$C$150,InputData!$C$152,IF(GH35&lt;InputData!$C$151,IF(InputData!$C$152-0.25*IF(GH35-InputData!$C$150&lt;=0,0,GH35-InputData!$C$150)&lt;=0,0,InputData!$C$152-0.25*IF(GH35-InputData!$C$150&lt;=0,0,GH35-InputData!$C$150)),0))</f>
        <v>0</v>
      </c>
      <c r="GN35" s="32">
        <f>IF(GH35-GM35&lt;=0,0,IF(GH35-GM35&lt;=InputData!$C$153,InputData!$C$154*(GH35-GM35),InputData!$C$155*(GH35-GM35)-InputData!$D$154))</f>
        <v>98793.987549537429</v>
      </c>
      <c r="GO35" s="32">
        <f t="shared" si="84"/>
        <v>102784.59246909767</v>
      </c>
      <c r="GP35" s="32">
        <f>IF(GH35&gt;=0,IF(GH35&lt;=InputData!$C$148,InputData!$C$147*GH35,InputData!$C$147*InputData!$C$148)+InputData!$C$149*GH35,0)</f>
        <v>12351.427926672473</v>
      </c>
      <c r="GQ35" s="32">
        <f>IF(GJ35&lt;0,0,IF(GJ35&lt;=InputData!$B$163,InputData!$C$163*GJ35,IF(GJ35&lt;=InputData!$B$164,InputData!$D$163+InputData!$C$164*(GJ35-InputData!$B$163),IF(GJ35&lt;=InputData!$B$165,InputData!$D$164+InputData!$C$165*(GJ35-InputData!$B$164),InputData!$D$165+InputData!$C$166*(GJ35-InputData!$B$165)))))</f>
        <v>0</v>
      </c>
      <c r="GR35" s="43">
        <f t="shared" si="85"/>
        <v>0.31487429316246918</v>
      </c>
      <c r="GS35" s="43">
        <f t="shared" si="86"/>
        <v>0.31487429316246918</v>
      </c>
      <c r="GT35" s="5">
        <f t="shared" si="87"/>
        <v>250521.0779954349</v>
      </c>
      <c r="GU35" s="32">
        <f>GT35/((1+InputData!$C$7)^(GenSurg!$B35-GenSurg!$B$7))</f>
        <v>109496.93937099964</v>
      </c>
      <c r="GV35" s="84">
        <f t="shared" si="88"/>
        <v>2151064.3840643219</v>
      </c>
      <c r="GX35" s="83">
        <v>21</v>
      </c>
      <c r="GY35" s="4" t="s">
        <v>217</v>
      </c>
      <c r="GZ35" s="5"/>
      <c r="HA35" s="84">
        <v>0</v>
      </c>
      <c r="HB35" s="5"/>
      <c r="HC35" s="84">
        <f>MIN(InputData!$C$13+InputData!$E$13*($B35-$B$32),1)*$AW35/((1+InputData!$C$3)^(GenSurg!$B35-GenSurg!$B$7))+0.025*$GX$31*(($AB$29+$AB$30+$AB$31)/3)*((1+InputData!$C$5)/(1+InputData!$C$3))^(GenSurg!$B35-GenSurg!$B$7)</f>
        <v>370241.14779581141</v>
      </c>
      <c r="HD35" s="5">
        <v>0</v>
      </c>
      <c r="HE35" s="32">
        <f>IF(HC35-InputData!$C$158-InputData!$C$159&gt;=0,HC35-InputData!$C$158-InputData!$C$159,0)</f>
        <v>370241.14779581141</v>
      </c>
      <c r="HF35" s="32">
        <f>IF(HC35-IF(HC35&lt;=InputData!$C$146,InputData!$C$145,0)-MAX(InputData!$C$144,HL35)&gt;=0,HC35-IF(HC35&lt;=InputData!$C$146,InputData!$C$145,0)-MAX(InputData!$C$144,HL35),0)</f>
        <v>364141.14779581141</v>
      </c>
      <c r="HG35" s="32">
        <f>IF(HF35&lt;0,"Error",IF(HF35&lt;=InputData!$B$170,InputData!$C$170*HF35,IF(HF35&lt;=InputData!$B$171,InputData!$D$170+InputData!$C$171*(HF35-InputData!$B$170),IF(HF35&lt;=InputData!$B$172,InputData!$D$171+InputData!$C$172*(HF35-InputData!$B$171),IF(HF35&lt;=InputData!$B$173,InputData!$D$172+InputData!$C$173*(HF35-InputData!$B$172),IF(HF35&lt;=InputData!$B$174,InputData!$D$173+InputData!$C$174*(HF35-InputData!$B$173),IF(HF35&lt;=InputData!$B$175,InputData!$D$174+InputData!$C$175*(HF35-InputData!$B$174),InputData!$D$175+InputData!$C$176*(HF35-InputData!$B$175))))))))</f>
        <v>104297.32877261777</v>
      </c>
      <c r="HH35" s="32">
        <f>IF(HC35&lt;=InputData!$C$150,InputData!$C$152,IF(HC35&lt;InputData!$C$151,IF(InputData!$C$152-0.25*IF(HC35-InputData!$C$150&lt;=0,0,HC35-InputData!$C$150)&lt;=0,0,InputData!$C$152-0.25*IF(HC35-InputData!$C$150&lt;=0,0,HC35-InputData!$C$150)),0))</f>
        <v>0</v>
      </c>
      <c r="HI35" s="32">
        <f>IF(HC35-HH35&lt;=0,0,IF(HC35-HH35&lt;=InputData!$C$153,InputData!$C$154*(HC35-HH35),InputData!$C$155*(HC35-HH35)-InputData!$D$154))</f>
        <v>100077.52138282721</v>
      </c>
      <c r="HJ35" s="32">
        <f t="shared" si="89"/>
        <v>104297.32877261777</v>
      </c>
      <c r="HK35" s="32">
        <f>IF(HC35&gt;=0,IF(HC35&lt;=InputData!$C$148,InputData!$C$147*HC35,InputData!$C$147*InputData!$C$148)+InputData!$C$149*HC35,0)</f>
        <v>12417.896643039265</v>
      </c>
      <c r="HL35" s="32">
        <f>IF(HE35&lt;0,0,IF(HE35&lt;=InputData!$B$163,InputData!$C$163*HE35,IF(HE35&lt;=InputData!$B$164,InputData!$D$163+InputData!$C$164*(HE35-InputData!$B$163),IF(HE35&lt;=InputData!$B$165,InputData!$D$164+InputData!$C$165*(HE35-InputData!$B$164),InputData!$D$165+InputData!$C$166*(HE35-InputData!$B$165)))))</f>
        <v>0</v>
      </c>
      <c r="HM35" s="43">
        <f t="shared" si="90"/>
        <v>0.31524109654074878</v>
      </c>
      <c r="HN35" s="43">
        <f t="shared" si="91"/>
        <v>0.31524109654074878</v>
      </c>
      <c r="HO35" s="5">
        <f t="shared" si="92"/>
        <v>253525.9223801544</v>
      </c>
      <c r="HP35" s="32">
        <f>HO35/((1+InputData!$C$7)^(GenSurg!$B35-GenSurg!$B$7))</f>
        <v>110810.28699845522</v>
      </c>
      <c r="HQ35" s="84">
        <f t="shared" si="93"/>
        <v>2144286.3722658101</v>
      </c>
      <c r="HS35" s="227"/>
      <c r="HT35" s="53" t="s">
        <v>109</v>
      </c>
      <c r="HU35" s="32">
        <f>MIN(InputData!$C$13+InputData!$E$13*($B35-$B$23),1)*GenSurg!AW35</f>
        <v>567715.44237479265</v>
      </c>
      <c r="HV35" s="32">
        <f>MIN(InputData!$C$13+InputData!$E$13*($B35-$B$23),1)*GenSurg!AX35</f>
        <v>0</v>
      </c>
      <c r="HW35" s="32">
        <f>MIN(InputData!$C$13+InputData!$E$13*($B35-$B$23),1)*GenSurg!AY35</f>
        <v>567715.44237479265</v>
      </c>
      <c r="HX35" s="32">
        <f>MIN(InputData!$C$13+InputData!$E$13*($B35-$B$23),1)*GenSurg!EO35</f>
        <v>326081.30338543863</v>
      </c>
      <c r="HY35" s="32">
        <f>MIN(InputData!$C$13+InputData!$E$13*($B35-$B$23),1)*GenSurg!EP35</f>
        <v>0</v>
      </c>
      <c r="HZ35" s="32">
        <f>IF(HX35-InputData!$C$158-InputData!$C$159&gt;=0,HX35-InputData!$C$158-InputData!$C$159,0)</f>
        <v>326081.30338543863</v>
      </c>
      <c r="IA35" s="32">
        <f>IF(HX35-IF(HX35&lt;=InputData!$C$146,InputData!$C$145,0)-MAX(InputData!$C$144,IG35)&gt;=0,HX35-IF(HX35&lt;=InputData!$C$146,InputData!$C$145,0)-MAX(InputData!$C$144,IG35),0)</f>
        <v>319981.30338543863</v>
      </c>
      <c r="IB35" s="32">
        <f>IF(IA35&lt;0,"Error",IF(IA35&lt;=InputData!$B$170,InputData!$C$170*IA35,IF(IA35&lt;=InputData!$B$171,InputData!$D$170+InputData!$C$171*(IA35-InputData!$B$170),IF(IA35&lt;=InputData!$B$172,InputData!$D$171+InputData!$C$172*(IA35-InputData!$B$171),IF(IA35&lt;=InputData!$B$173,InputData!$D$172+InputData!$C$173*(IA35-InputData!$B$172),IF(IA35&lt;=InputData!$B$174,InputData!$D$173+InputData!$C$174*(IA35-InputData!$B$173),IF(IA35&lt;=InputData!$B$175,InputData!$D$174+InputData!$C$175*(IA35-InputData!$B$174),InputData!$D$175+InputData!$C$176*(IA35-InputData!$B$175))))))))</f>
        <v>89724.580117194753</v>
      </c>
      <c r="IC35" s="32">
        <f>IF(HX35&lt;=InputData!$C$150,InputData!$C$152,IF(HX35&lt;InputData!$C$151,IF(InputData!$C$152-0.25*IF(HX35-InputData!$C$150&lt;=0,0,HX35-InputData!$C$150)&lt;=0,0,InputData!$C$152-0.25*IF(HX35-InputData!$C$150&lt;=0,0,HX35-InputData!$C$150)),0))</f>
        <v>0</v>
      </c>
      <c r="ID35" s="32">
        <f>IF(HX35-IC35&lt;=0,0,IF(HX35-IC35&lt;=InputData!$C$153,InputData!$C$154*(HX35-IC35),InputData!$C$155*(HX35-IC35)-InputData!$D$154))</f>
        <v>87712.764947922828</v>
      </c>
      <c r="IE35" s="32">
        <f t="shared" si="96"/>
        <v>89724.580117194753</v>
      </c>
      <c r="IF35" s="32">
        <f>IF(HX35&gt;=0,IF(HX35&lt;=InputData!$C$148,InputData!$C$147*HX35,InputData!$C$147*InputData!$C$148)+InputData!$C$149*HX35,0)</f>
        <v>11777.578899088861</v>
      </c>
      <c r="IG35" s="32">
        <f>IF(HZ35&lt;0,0,IF(HZ35&lt;=InputData!$B$163,InputData!$C$163*HZ35,IF(HZ35&lt;=InputData!$B$164,InputData!$D$163+InputData!$C$164*(HZ35-InputData!$B$163),IF(HZ35&lt;=InputData!$B$165,InputData!$D$164+InputData!$C$165*(HZ35-InputData!$B$164),InputData!$D$165+InputData!$C$166*(HZ35-InputData!$B$165)))))</f>
        <v>0</v>
      </c>
      <c r="IH35" s="43">
        <f t="shared" si="97"/>
        <v>0.31127868406581033</v>
      </c>
      <c r="II35" s="43">
        <f t="shared" si="98"/>
        <v>0.31127868406581033</v>
      </c>
      <c r="IJ35" s="5">
        <f t="shared" si="20"/>
        <v>224579.14436915502</v>
      </c>
      <c r="IK35" s="32">
        <f>IJ35/((1+InputData!$C$7)^(GenSurg!$B35-GenSurg!$B$7))</f>
        <v>98158.32325066255</v>
      </c>
      <c r="IL35" s="5">
        <f t="shared" si="99"/>
        <v>2327655.106799067</v>
      </c>
      <c r="IN35" s="227"/>
      <c r="IO35" s="53" t="s">
        <v>109</v>
      </c>
      <c r="IP35" s="32">
        <f>MIN(InputData!$C$13+InputData!$E$13*($B35-$B$20),1)*GenSurg!AW35</f>
        <v>567715.44237479265</v>
      </c>
      <c r="IQ35" s="32">
        <f>MIN(InputData!$C$13+InputData!$E$13*($B35-$B$20),1)*GenSurg!AX35</f>
        <v>0</v>
      </c>
      <c r="IR35" s="32">
        <f>MIN(InputData!$C$13+InputData!$E$13*($B35-$B$20),1)*GenSurg!AY35</f>
        <v>567715.44237479265</v>
      </c>
      <c r="IS35" s="32">
        <f>MIN(InputData!$C$13+InputData!$E$13*($B35-$B$20),1)*GenSurg!EO35</f>
        <v>326081.30338543863</v>
      </c>
      <c r="IT35" s="32">
        <f>MIN(InputData!$C$13+InputData!$E$13*($B35-$B$20),1)*GenSurg!EP35</f>
        <v>0</v>
      </c>
      <c r="IU35" s="32">
        <f>IF(IS35-InputData!$C$158-InputData!$C$159&gt;=0,IS35-InputData!$C$158-InputData!$C$159,0)</f>
        <v>326081.30338543863</v>
      </c>
      <c r="IV35" s="32">
        <f>IF(IS35-IF(IS35&lt;=InputData!$C$146,InputData!$C$145,0)-MAX(InputData!$C$144,JB35)&gt;=0,IS35-IF(IS35&lt;=InputData!$C$146,InputData!$C$145,0)-MAX(InputData!$C$144,JB35),0)</f>
        <v>319981.30338543863</v>
      </c>
      <c r="IW35" s="32">
        <f>IF(IV35&lt;0,"Error",IF(IV35&lt;=InputData!$B$170,InputData!$C$170*IV35,IF(IV35&lt;=InputData!$B$171,InputData!$D$170+InputData!$C$171*(IV35-InputData!$B$170),IF(IV35&lt;=InputData!$B$172,InputData!$D$171+InputData!$C$172*(IV35-InputData!$B$171),IF(IV35&lt;=InputData!$B$173,InputData!$D$172+InputData!$C$173*(IV35-InputData!$B$172),IF(IV35&lt;=InputData!$B$174,InputData!$D$173+InputData!$C$174*(IV35-InputData!$B$173),IF(IV35&lt;=InputData!$B$175,InputData!$D$174+InputData!$C$175*(IV35-InputData!$B$174),InputData!$D$175+InputData!$C$176*(IV35-InputData!$B$175))))))))</f>
        <v>89724.580117194753</v>
      </c>
      <c r="IX35" s="32">
        <f>IF(IS35&lt;=InputData!$C$150,InputData!$C$152,IF(IS35&lt;InputData!$C$151,IF(InputData!$C$152-0.25*IF(IS35-InputData!$C$150&lt;=0,0,IS35-InputData!$C$150)&lt;=0,0,InputData!$C$152-0.25*IF(IS35-InputData!$C$150&lt;=0,0,IS35-InputData!$C$150)),0))</f>
        <v>0</v>
      </c>
      <c r="IY35" s="32">
        <f>IF(IS35-IX35&lt;=0,0,IF(IS35-IX35&lt;=InputData!$C$153,InputData!$C$154*(IS35-IX35),InputData!$C$155*(IS35-IX35)-InputData!$D$154))</f>
        <v>87712.764947922828</v>
      </c>
      <c r="IZ35" s="32">
        <f t="shared" si="102"/>
        <v>89724.580117194753</v>
      </c>
      <c r="JA35" s="32">
        <f>IF(IS35&gt;=0,IF(IS35&lt;=InputData!$C$148,InputData!$C$147*IS35,InputData!$C$147*InputData!$C$148)+InputData!$C$149*IS35,0)</f>
        <v>11777.578899088861</v>
      </c>
      <c r="JB35" s="32">
        <f>IF(IU35&lt;0,0,IF(IU35&lt;=InputData!$B$163,InputData!$C$163*IU35,IF(IU35&lt;=InputData!$B$164,InputData!$D$163+InputData!$C$164*(IU35-InputData!$B$163),IF(IU35&lt;=InputData!$B$165,InputData!$D$164+InputData!$C$165*(IU35-InputData!$B$164),InputData!$D$165+InputData!$C$166*(IU35-InputData!$B$165)))))</f>
        <v>0</v>
      </c>
      <c r="JC35" s="43">
        <f t="shared" si="103"/>
        <v>0.31127868406581033</v>
      </c>
      <c r="JD35" s="43">
        <f t="shared" si="104"/>
        <v>0.31127868406581033</v>
      </c>
      <c r="JE35" s="5">
        <f t="shared" si="105"/>
        <v>224579.14436915502</v>
      </c>
      <c r="JF35" s="32">
        <f>JE35/((1+InputData!$C$7)^(GenSurg!$B35-GenSurg!$B$7))</f>
        <v>98158.32325066255</v>
      </c>
      <c r="JG35" s="5">
        <f t="shared" si="106"/>
        <v>2454809.4687328977</v>
      </c>
      <c r="JI35" s="41" t="str">
        <f t="shared" si="26"/>
        <v>Private Practice</v>
      </c>
      <c r="JJ35" s="5">
        <f t="shared" si="27"/>
        <v>630794.93597199186</v>
      </c>
      <c r="JK35" s="32">
        <v>0</v>
      </c>
      <c r="JL35" s="32">
        <f t="shared" si="108"/>
        <v>630794.93597199186</v>
      </c>
      <c r="JM35" s="32">
        <f>JM34*(1+InputData!$C$8)</f>
        <v>20004.368128938433</v>
      </c>
      <c r="JN35" s="32">
        <f>JJ35/((1+InputData!$C$3)^(GenSurg!$B35-GenSurg!$B$7))</f>
        <v>362312.55931715399</v>
      </c>
      <c r="JO35" s="32">
        <f>JK35/((1+InputData!$C$3)^(GenSurg!$B35-GenSurg!$B$7))</f>
        <v>0</v>
      </c>
      <c r="JP35" s="32" t="s">
        <v>141</v>
      </c>
      <c r="JQ35" s="32">
        <v>0</v>
      </c>
      <c r="JR35" s="32">
        <f t="shared" si="158"/>
        <v>0</v>
      </c>
      <c r="JS35" s="32">
        <f>(JR35)*InputData!$C$6</f>
        <v>0</v>
      </c>
      <c r="JT35" s="32">
        <f>MIN($BE$16*InputData!$C$6/(1-(1+InputData!$C$6)^(-10)), JR35+JS35)</f>
        <v>0</v>
      </c>
      <c r="JU35" s="32">
        <f t="shared" si="145"/>
        <v>0</v>
      </c>
      <c r="JV35" s="32">
        <f>JT35/((1+InputData!$C$3)^(GenSurg!$B35-GenSurg!$B$7))</f>
        <v>0</v>
      </c>
      <c r="JW35" s="32">
        <f>IF(JN35-InputData!$C$158-InputData!$C$159&gt;=0,JN35-InputData!$C$158-InputData!$C$159,0)</f>
        <v>362312.55931715399</v>
      </c>
      <c r="JX35" s="32">
        <f>IF(JN35-IF(JN35&lt;=InputData!$C$146,InputData!$C$145,0)-MAX(InputData!$C$144,KD35)&gt;=0,JN35-IF(JN35&lt;=InputData!$C$146,InputData!$C$145,0)-MAX(InputData!$C$144,KD35),0)</f>
        <v>356212.55931715399</v>
      </c>
      <c r="JY35" s="32">
        <f>IF(JX35&lt;0,"Error",IF(JX35&lt;=InputData!$B$170,InputData!$C$170*JX35,IF(JX35&lt;=InputData!$B$171,InputData!$D$170+InputData!$C$171*(JX35-InputData!$B$170),IF(JX35&lt;=InputData!$B$172,InputData!$D$171+InputData!$C$172*(JX35-InputData!$B$171),IF(JX35&lt;=InputData!$B$173,InputData!$D$172+InputData!$C$173*(JX35-InputData!$B$172),IF(JX35&lt;=InputData!$B$174,InputData!$D$173+InputData!$C$174*(JX35-InputData!$B$173),IF(JX35&lt;=InputData!$B$175,InputData!$D$174+InputData!$C$175*(JX35-InputData!$B$174),InputData!$D$175+InputData!$C$176*(JX35-InputData!$B$175))))))))</f>
        <v>101680.89457466082</v>
      </c>
      <c r="JZ35" s="32">
        <f>IF(JN35&lt;=InputData!$C$150,InputData!$C$152,IF(JN35&lt;InputData!$C$151,IF(InputData!$C$152-0.25*IF(JN35-InputData!$C$150&lt;=0,0,JN35-InputData!$C$150)&lt;=0,0,InputData!$C$152-0.25*IF(JN35-InputData!$C$150&lt;=0,0,JN35-InputData!$C$150)),0))</f>
        <v>0</v>
      </c>
      <c r="KA35" s="32">
        <f>IF(JN35-JZ35&lt;=0,0,IF(JN35-JZ35&lt;=InputData!$C$153,InputData!$C$154*(JN35-JZ35),InputData!$C$155*(JN35-JZ35)-InputData!$D$154))</f>
        <v>97857.516608803126</v>
      </c>
      <c r="KB35" s="32">
        <f t="shared" si="109"/>
        <v>101680.89457466082</v>
      </c>
      <c r="KC35" s="32">
        <f>IF(JN35&gt;=0,IF(JN35&lt;=InputData!$C$148,InputData!$C$147*JN35,InputData!$C$147*InputData!$C$148)+InputData!$C$149*JN35,0)</f>
        <v>12302.932110098733</v>
      </c>
      <c r="KD35" s="32">
        <f>IF(JW35&lt;0,0,IF(JW35&lt;=InputData!$B$163,InputData!$C$163*JW35,IF(JW35&lt;=InputData!$B$164,InputData!$D$163+InputData!$C$164*(JW35-InputData!$B$163),IF(JW35&lt;=InputData!$B$165,InputData!$D$164+InputData!$C$165*(JW35-InputData!$B$164),InputData!$D$165+InputData!$C$166*(JW35-InputData!$B$165)))))</f>
        <v>0</v>
      </c>
      <c r="KE35" s="43">
        <f t="shared" si="28"/>
        <v>0.31460081565922932</v>
      </c>
      <c r="KF35" s="32">
        <f t="shared" si="29"/>
        <v>248328.73263239444</v>
      </c>
      <c r="KG35" s="32">
        <f t="shared" si="110"/>
        <v>248328.73263239444</v>
      </c>
      <c r="KH35" s="32">
        <f>KG35/((1+InputData!$C$7)^(GenSurg!$B35-GenSurg!$B$7))</f>
        <v>108538.71617789367</v>
      </c>
      <c r="KI35" s="5">
        <f t="shared" si="129"/>
        <v>2831363.0841470226</v>
      </c>
    </row>
    <row r="36" spans="1:295" x14ac:dyDescent="0.25">
      <c r="A36" s="4">
        <v>2042</v>
      </c>
      <c r="B36" s="51">
        <v>30</v>
      </c>
      <c r="C36" s="4"/>
      <c r="D36" s="3">
        <v>30</v>
      </c>
      <c r="E36" s="97" t="s">
        <v>277</v>
      </c>
      <c r="F36" s="5">
        <f>InputData!$R$21*12</f>
        <v>126320.40000000001</v>
      </c>
      <c r="G36" s="32">
        <f>(InputData!$R$21+InputData!$K$45+InputData!$G$50)*12+InputData!$J$50+InputData!$D$58+InputData!$J$58</f>
        <v>264320.36</v>
      </c>
      <c r="H36" s="32">
        <f>(InputData!$C$32+InputData!$C$40)*12</f>
        <v>21631.199999999997</v>
      </c>
      <c r="I36" s="32">
        <f t="shared" si="30"/>
        <v>285951.56</v>
      </c>
      <c r="J36" s="5">
        <f>G36*((1+InputData!$C$5)/(1+InputData!$C$3))^(GenSurg!$B36-GenSurg!$B$7)</f>
        <v>198630.2895759276</v>
      </c>
      <c r="K36" s="5">
        <f>H36*((1+InputData!$C$5)/(1+InputData!$C$3))^(GenSurg!$B36-GenSurg!$B$7)</f>
        <v>16255.318053723917</v>
      </c>
      <c r="L36" s="32">
        <f>IF(J36-InputData!$C$158-InputData!$C$159&gt;=0,J36-InputData!$C$158-InputData!$C$159,0)</f>
        <v>198630.2895759276</v>
      </c>
      <c r="M36" s="32">
        <f>IF(J36-IF(J36&lt;=InputData!$C$146,InputData!$C$145,0)-MAX(InputData!$C$144,S36)&gt;=0,J36-IF(J36&lt;=InputData!$C$146,InputData!$C$145,0)-MAX(InputData!$C$144,S36),0)</f>
        <v>192530.2895759276</v>
      </c>
      <c r="N36" s="32">
        <f>IF(M36&lt;0,"Error",IF(M36&lt;=InputData!$B$170,InputData!$C$170*M36,IF(M36&lt;=InputData!$B$171,InputData!$D$170+InputData!$C$171*(M36-InputData!$B$170),IF(M36&lt;=InputData!$B$172,InputData!$D$171+InputData!$C$172*(M36-InputData!$B$171),IF(M36&lt;=InputData!$B$173,InputData!$D$172+InputData!$C$173*(M36-InputData!$B$172),IF(M36&lt;=InputData!$B$174,InputData!$D$173+InputData!$C$174*(M36-InputData!$B$173),IF(M36&lt;=InputData!$B$175,InputData!$D$174+InputData!$C$175*(M36-InputData!$B$174),InputData!$D$175+InputData!$C$176*(M36-InputData!$B$175))))))))</f>
        <v>47665.745560056108</v>
      </c>
      <c r="O36" s="32">
        <f>IF(J36&lt;=InputData!$C$150,InputData!$C$152,IF(J36&lt;InputData!$C$151,IF(InputData!$C$152-0.25*IF(J36-InputData!$C$150&lt;=0,0,J36-InputData!$C$150)&lt;=0,0,InputData!$C$152-0.25*IF(J36-InputData!$C$150&lt;=0,0,J36-InputData!$C$150)),0))</f>
        <v>31092.4276060181</v>
      </c>
      <c r="P36" s="32">
        <f>IF(J36-O36&lt;=0,0,IF(J36-O36&lt;=InputData!$C$153,InputData!$C$154*(J36-O36),InputData!$C$155*(J36-O36)-InputData!$D$154))</f>
        <v>43559.844112176477</v>
      </c>
      <c r="Q36" s="32">
        <f t="shared" si="31"/>
        <v>47665.745560056108</v>
      </c>
      <c r="R36" s="32">
        <f>IF(J36&gt;=0,IF(J36&lt;=InputData!$C$148,InputData!$C$147*J36,InputData!$C$147*InputData!$C$148)+InputData!$C$149*J36,0)</f>
        <v>9929.5391988509509</v>
      </c>
      <c r="S36" s="32">
        <f>IF(L36&lt;0,0,IF(L36&lt;=InputData!$B$163,InputData!$C$163*L36,IF(L36&lt;=InputData!$B$164,InputData!$D$163+InputData!$C$164*(L36-InputData!$B$163),IF(L36&lt;=InputData!$B$165,InputData!$D$164+InputData!$C$165*(L36-InputData!$B$164),InputData!$D$165+InputData!$C$166*(L36-InputData!$B$165)))))</f>
        <v>0</v>
      </c>
      <c r="T36" s="43">
        <f t="shared" si="32"/>
        <v>0.28996224534471576</v>
      </c>
      <c r="U36" s="43">
        <f t="shared" si="33"/>
        <v>0.26802765152224939</v>
      </c>
      <c r="V36" s="5">
        <f t="shared" si="34"/>
        <v>157290.32287074448</v>
      </c>
      <c r="W36" s="32">
        <f>V36/((1+InputData!$C$7)^(GenSurg!$B36-GenSurg!$B$7))</f>
        <v>66745.576335410617</v>
      </c>
      <c r="X36" s="5">
        <f t="shared" si="111"/>
        <v>2017529.9944333059</v>
      </c>
      <c r="Y36" s="53"/>
      <c r="Z36" s="3">
        <v>26.5</v>
      </c>
      <c r="AA36" s="98" t="s">
        <v>272</v>
      </c>
      <c r="AB36" s="32">
        <f>(0.5*InputData!$P$21+0.5*InputData!$Q$21)*12</f>
        <v>123366.59999999999</v>
      </c>
      <c r="AC36" s="32">
        <f>(0.5*(InputData!$P$21+InputData!$K$45)+0.5*(InputData!$Q$21+InputData!$K$45)+InputData!$G$50)*12+InputData!$J$50+InputData!$D$58+InputData!$J$58</f>
        <v>261366.56</v>
      </c>
      <c r="AD36" s="32">
        <f t="shared" si="169"/>
        <v>21631.199999999997</v>
      </c>
      <c r="AE36" s="32">
        <f t="shared" si="35"/>
        <v>282997.76000000001</v>
      </c>
      <c r="AF36" s="5">
        <f>AC36*((1+InputData!$C$5)/(1+InputData!$C$3))^(GenSurg!$B36-GenSurg!$B$7)</f>
        <v>196410.58107768942</v>
      </c>
      <c r="AG36" s="5">
        <f>AD36*((1+InputData!$C$5)/(1+InputData!$C$3))^(GenSurg!$B36-GenSurg!$B$7)</f>
        <v>16255.318053723917</v>
      </c>
      <c r="AH36" s="32">
        <f>IF(AF36-InputData!$C$158-InputData!$C$159&gt;=0,AF36-InputData!$C$158-InputData!$C$159,0)</f>
        <v>196410.58107768942</v>
      </c>
      <c r="AI36" s="32">
        <f>IF(AF36-IF(AF36&lt;=InputData!$C$146,InputData!$C$145,0)-MAX(InputData!$C$144,AO36)&gt;=0,AF36-IF(AF36&lt;=InputData!$C$146,InputData!$C$145,0)-MAX(InputData!$C$144,AO36),0)</f>
        <v>190310.58107768942</v>
      </c>
      <c r="AJ36" s="32">
        <f>IF(AI36&lt;0,"Error",IF(AI36&lt;=InputData!$B$170,InputData!$C$170*AI36,IF(AI36&lt;=InputData!$B$171,InputData!$D$170+InputData!$C$171*(AI36-InputData!$B$170),IF(AI36&lt;=InputData!$B$172,InputData!$D$171+InputData!$C$172*(AI36-InputData!$B$171),IF(AI36&lt;=InputData!$B$173,InputData!$D$172+InputData!$C$173*(AI36-InputData!$B$172),IF(AI36&lt;=InputData!$B$174,InputData!$D$173+InputData!$C$174*(AI36-InputData!$B$173),IF(AI36&lt;=InputData!$B$175,InputData!$D$174+InputData!$C$175*(AI36-InputData!$B$174),InputData!$D$175+InputData!$C$176*(AI36-InputData!$B$175))))))))</f>
        <v>46933.241755637508</v>
      </c>
      <c r="AK36" s="32">
        <f>IF(AF36&lt;=InputData!$C$150,InputData!$C$152,IF(AF36&lt;InputData!$C$151,IF(InputData!$C$152-0.25*IF(AF36-InputData!$C$150&lt;=0,0,AF36-InputData!$C$150)&lt;=0,0,InputData!$C$152-0.25*IF(AF36-InputData!$C$150&lt;=0,0,AF36-InputData!$C$150)),0))</f>
        <v>31647.354730577645</v>
      </c>
      <c r="AL36" s="32">
        <f>IF(AF36-AK36&lt;=0,0,IF(AF36-AK36&lt;=InputData!$C$153,InputData!$C$154*(AF36-AK36),InputData!$C$155*(AF36-AK36)-InputData!$D$154))</f>
        <v>42838.438850249062</v>
      </c>
      <c r="AM36" s="32">
        <f t="shared" si="36"/>
        <v>46933.241755637508</v>
      </c>
      <c r="AN36" s="32">
        <f>IF(AF36&gt;=0,IF(AF36&lt;=InputData!$C$148,InputData!$C$147*AF36,InputData!$C$147*InputData!$C$148)+InputData!$C$149*AF36,0)</f>
        <v>9897.3534256264975</v>
      </c>
      <c r="AO36" s="32">
        <f>IF(AH36&lt;0,0,IF(AH36&lt;=InputData!$B$163,InputData!$C$163*AH36,IF(AH36&lt;=InputData!$B$164,InputData!$D$163+InputData!$C$164*(AH36-InputData!$B$163),IF(AH36&lt;=InputData!$B$165,InputData!$D$164+InputData!$C$165*(AH36-InputData!$B$164),InputData!$D$165+InputData!$C$166*(AH36-InputData!$B$165)))))</f>
        <v>0</v>
      </c>
      <c r="AP36" s="43">
        <f t="shared" si="37"/>
        <v>0.28934589404215899</v>
      </c>
      <c r="AQ36" s="43">
        <f t="shared" si="38"/>
        <v>0.26722946844499262</v>
      </c>
      <c r="AR36" s="5">
        <f t="shared" si="39"/>
        <v>155835.30395014933</v>
      </c>
      <c r="AS36" s="32">
        <f>AR36/((1+InputData!$C$7)^(GenSurg!$B36-GenSurg!$B$7))</f>
        <v>66128.14434937638</v>
      </c>
      <c r="AT36" s="5">
        <f t="shared" si="112"/>
        <v>2047110.2782878459</v>
      </c>
      <c r="AU36" s="53"/>
      <c r="AV36" s="41" t="s">
        <v>109</v>
      </c>
      <c r="AW36" s="32">
        <f>$AW$17*(1+InputData!$C$3+InputData!$C$4)^(GenSurg!$B36-GenSurg!$B$17)</f>
        <v>649718.7840511516</v>
      </c>
      <c r="AX36" s="32">
        <v>0</v>
      </c>
      <c r="AY36" s="32">
        <f t="shared" si="41"/>
        <v>649718.7840511516</v>
      </c>
      <c r="AZ36" s="32">
        <f>AZ35*(1+InputData!$C$8)</f>
        <v>20404.455491517201</v>
      </c>
      <c r="BA36" s="32">
        <f>AW36/((1+InputData!$C$3)^(GenSurg!$B36-GenSurg!$B$7))</f>
        <v>365864.64323202812</v>
      </c>
      <c r="BB36" s="32">
        <f>AX36/((1+InputData!$C$3)^(GenSurg!$B36-GenSurg!$B$7))</f>
        <v>0</v>
      </c>
      <c r="BC36" s="32" t="s">
        <v>141</v>
      </c>
      <c r="BD36" s="32">
        <v>0</v>
      </c>
      <c r="BE36" s="32">
        <f t="shared" si="146"/>
        <v>0</v>
      </c>
      <c r="BF36" s="32">
        <f>(BE36)*InputData!$C$6</f>
        <v>0</v>
      </c>
      <c r="BG36" s="32">
        <f>MIN($BE$16*InputData!$C$6/(1-(1+InputData!$C$6)^(-10)), BE36+BF36)</f>
        <v>0</v>
      </c>
      <c r="BH36" s="32">
        <f t="shared" si="137"/>
        <v>0</v>
      </c>
      <c r="BI36" s="32">
        <f>BG36/((1+InputData!$C$3)^(GenSurg!$B36-GenSurg!$B$7))</f>
        <v>0</v>
      </c>
      <c r="BJ36" s="32">
        <f>IF(BA36-InputData!$C$158-InputData!$C$159&gt;=0,BA36-InputData!$C$158-InputData!$C$159,0)</f>
        <v>365864.64323202812</v>
      </c>
      <c r="BK36" s="32">
        <f>IF(BA36-IF(BA36&lt;=InputData!$C$146,InputData!$C$145,0)-MAX(InputData!$C$144,BQ36)&gt;=0,BA36-IF(BA36&lt;=InputData!$C$146,InputData!$C$145,0)-MAX(InputData!$C$144,BQ36),0)</f>
        <v>359764.64323202812</v>
      </c>
      <c r="BL36" s="32">
        <f>IF(BK36&lt;0,"Error",IF(BK36&lt;=InputData!$B$170,InputData!$C$170*BK36,IF(BK36&lt;=InputData!$B$171,InputData!$D$170+InputData!$C$171*(BK36-InputData!$B$170),IF(BK36&lt;=InputData!$B$172,InputData!$D$171+InputData!$C$172*(BK36-InputData!$B$171),IF(BK36&lt;=InputData!$B$173,InputData!$D$172+InputData!$C$173*(BK36-InputData!$B$172),IF(BK36&lt;=InputData!$B$174,InputData!$D$173+InputData!$C$174*(BK36-InputData!$B$173),IF(BK36&lt;=InputData!$B$175,InputData!$D$174+InputData!$C$175*(BK36-InputData!$B$174),InputData!$D$175+InputData!$C$176*(BK36-InputData!$B$175))))))))</f>
        <v>102853.08226656928</v>
      </c>
      <c r="BM36" s="32">
        <f>IF(BA36&lt;=InputData!$C$150,InputData!$C$152,IF(BA36&lt;InputData!$C$151,IF(InputData!$C$152-0.25*IF(BA36-InputData!$C$150&lt;=0,0,BA36-InputData!$C$150)&lt;=0,0,InputData!$C$152-0.25*IF(BA36-InputData!$C$150&lt;=0,0,BA36-InputData!$C$150)),0))</f>
        <v>0</v>
      </c>
      <c r="BN36" s="32">
        <f>IF(BA36-BM36&lt;=0,0,IF(BA36-BM36&lt;=InputData!$C$153,InputData!$C$154*(BA36-BM36),InputData!$C$155*(BA36-BM36)-InputData!$D$154))</f>
        <v>98852.100104967889</v>
      </c>
      <c r="BO36" s="32">
        <f t="shared" si="42"/>
        <v>102853.08226656928</v>
      </c>
      <c r="BP36" s="32">
        <f>IF(BA36&gt;=0,IF(BA36&lt;=InputData!$C$148,InputData!$C$147*BA36,InputData!$C$147*InputData!$C$148)+InputData!$C$149*BA36,0)</f>
        <v>12354.437326864409</v>
      </c>
      <c r="BQ36" s="32">
        <f>IF(BJ36&lt;0,0,IF(BJ36&lt;=InputData!$B$163,InputData!$C$163*BJ36,IF(BJ36&lt;=InputData!$B$164,InputData!$D$163+InputData!$C$164*(BJ36-InputData!$B$163),IF(BJ36&lt;=InputData!$B$165,InputData!$D$164+InputData!$C$165*(BJ36-InputData!$B$164),InputData!$D$165+InputData!$C$166*(BJ36-InputData!$B$165)))))</f>
        <v>0</v>
      </c>
      <c r="BR36" s="43">
        <f t="shared" si="43"/>
        <v>0.31489109900234363</v>
      </c>
      <c r="BS36" s="32">
        <f t="shared" si="44"/>
        <v>250657.12363859441</v>
      </c>
      <c r="BT36" s="32">
        <f t="shared" si="45"/>
        <v>250657.12363859441</v>
      </c>
      <c r="BU36" s="32">
        <f>BT36/((1+InputData!$C$7)^(GenSurg!$B36-GenSurg!$B$7))</f>
        <v>106365.43860096582</v>
      </c>
      <c r="BV36" s="5">
        <f t="shared" si="114"/>
        <v>2553402.130201248</v>
      </c>
      <c r="BW36" s="5"/>
      <c r="BX36" s="32" t="s">
        <v>141</v>
      </c>
      <c r="BY36" s="5">
        <f t="shared" si="147"/>
        <v>90830.709806607454</v>
      </c>
      <c r="BZ36" s="32">
        <f>(BY36)*InputData!$C$6</f>
        <v>5640.5870789903229</v>
      </c>
      <c r="CA36" s="32">
        <f>MIN($BY$16*InputData!$C$6/(1-(1+InputData!$C$6)^(-25)), BY36+BZ36)</f>
        <v>21686.214673809533</v>
      </c>
      <c r="CB36" s="32">
        <f t="shared" si="148"/>
        <v>74785.082211788249</v>
      </c>
      <c r="CC36" s="32">
        <f>CA36/((1+InputData!$C$3)^(GenSurg!$B36-GenSurg!$B$7))</f>
        <v>12211.774369850827</v>
      </c>
      <c r="CD36" s="5">
        <f t="shared" si="49"/>
        <v>238445.34926874359</v>
      </c>
      <c r="CE36" s="32">
        <f>CD36/((1+InputData!$C$7)^(GenSurg!$B36-GenSurg!$B$7))</f>
        <v>101183.41656987435</v>
      </c>
      <c r="CF36" s="5">
        <f t="shared" si="115"/>
        <v>2560514.6192067116</v>
      </c>
      <c r="CG36" s="5"/>
      <c r="CH36" s="32" t="s">
        <v>141</v>
      </c>
      <c r="CI36" s="5" t="e">
        <f t="shared" si="149"/>
        <v>#VALUE!</v>
      </c>
      <c r="CJ36" s="32" t="e">
        <f>(CI36)*InputData!$C$6</f>
        <v>#VALUE!</v>
      </c>
      <c r="CK36" s="5" t="str">
        <f t="shared" si="159"/>
        <v>DNQ</v>
      </c>
      <c r="CL36" s="32" t="e">
        <f t="shared" si="150"/>
        <v>#VALUE!</v>
      </c>
      <c r="CM36" s="32" t="e">
        <f>CK36/((1+InputData!$C$3)^(GenSurg!$B36-GenSurg!$B$7))</f>
        <v>#VALUE!</v>
      </c>
      <c r="CN36" s="5" t="e">
        <f t="shared" si="53"/>
        <v>#VALUE!</v>
      </c>
      <c r="CO36" s="32" t="e">
        <f>CN36/((1+InputData!$C$7)^(GenSurg!$B36-GenSurg!$B$7))</f>
        <v>#VALUE!</v>
      </c>
      <c r="CP36" s="5" t="e">
        <f t="shared" si="116"/>
        <v>#VALUE!</v>
      </c>
      <c r="CQ36" s="5"/>
      <c r="CR36" s="32" t="s">
        <v>141</v>
      </c>
      <c r="CS36" s="5">
        <f t="shared" si="160"/>
        <v>0</v>
      </c>
      <c r="CT36" s="32">
        <f>(CS36)*InputData!$C$6</f>
        <v>0</v>
      </c>
      <c r="CU36" s="32">
        <f t="shared" si="161"/>
        <v>0</v>
      </c>
      <c r="CV36" s="32">
        <f t="shared" si="152"/>
        <v>0</v>
      </c>
      <c r="CW36" s="32">
        <f>CU36/((1+InputData!$C$3)^(GenSurg!$B36-GenSurg!$B$7))</f>
        <v>0</v>
      </c>
      <c r="CX36" s="5">
        <f t="shared" si="57"/>
        <v>250657.12363859441</v>
      </c>
      <c r="CY36" s="32">
        <f>CX36/((1+InputData!$C$7)^(GenSurg!$B36-GenSurg!$B$7))</f>
        <v>106365.43860096582</v>
      </c>
      <c r="CZ36" s="5">
        <f t="shared" si="117"/>
        <v>2552956.873940716</v>
      </c>
      <c r="DA36" s="5"/>
      <c r="DB36" s="32" t="s">
        <v>141</v>
      </c>
      <c r="DC36" s="5">
        <f t="shared" si="138"/>
        <v>0</v>
      </c>
      <c r="DD36" s="5">
        <f>DC36*InputData!$C$6</f>
        <v>0</v>
      </c>
      <c r="DE36" s="32">
        <f t="shared" si="139"/>
        <v>0</v>
      </c>
      <c r="DF36" s="32">
        <f t="shared" si="140"/>
        <v>0</v>
      </c>
      <c r="DG36" s="32">
        <f>DE36/((1+InputData!$C$3)^(GenSurg!$B36-GenSurg!$B$7))</f>
        <v>0</v>
      </c>
      <c r="DH36" s="5">
        <f t="shared" si="61"/>
        <v>250657.12363859441</v>
      </c>
      <c r="DI36" s="32">
        <f>DH36/((1+InputData!$C$7)^(GenSurg!$B36-GenSurg!$B$7))</f>
        <v>106365.43860096582</v>
      </c>
      <c r="DJ36" s="5">
        <f t="shared" si="118"/>
        <v>2557989.7463036645</v>
      </c>
      <c r="DK36" s="5"/>
      <c r="DL36" s="32" t="s">
        <v>141</v>
      </c>
      <c r="DM36" s="32">
        <f t="shared" si="153"/>
        <v>0</v>
      </c>
      <c r="DN36" s="5">
        <f>DM36*InputData!$C$6</f>
        <v>0</v>
      </c>
      <c r="DO36" s="32">
        <f t="shared" si="154"/>
        <v>0</v>
      </c>
      <c r="DP36" s="32">
        <f t="shared" si="130"/>
        <v>0</v>
      </c>
      <c r="DQ36" s="32">
        <f t="shared" si="131"/>
        <v>0</v>
      </c>
      <c r="DR36" s="32">
        <f>DP36/((1+InputData!$C$3)^(GenSurg!$B36-GenSurg!$B$7))</f>
        <v>0</v>
      </c>
      <c r="DS36" s="5">
        <f t="shared" si="65"/>
        <v>250657.12363859441</v>
      </c>
      <c r="DT36" s="32">
        <f>DS36/((1+InputData!$C$7)^(GenSurg!$B36-GenSurg!$B$7))</f>
        <v>106365.43860096582</v>
      </c>
      <c r="DU36" s="5">
        <f t="shared" si="120"/>
        <v>2551081.5046575107</v>
      </c>
      <c r="DV36" s="5"/>
      <c r="DW36" s="32" t="s">
        <v>141</v>
      </c>
      <c r="DX36" s="133">
        <f t="shared" si="141"/>
        <v>0</v>
      </c>
      <c r="DY36" s="5">
        <f>DX36*InputData!$C$6</f>
        <v>0</v>
      </c>
      <c r="DZ36" s="133">
        <f t="shared" si="142"/>
        <v>0</v>
      </c>
      <c r="EA36" s="32">
        <f t="shared" si="143"/>
        <v>0</v>
      </c>
      <c r="EB36" s="32">
        <f t="shared" si="144"/>
        <v>0</v>
      </c>
      <c r="EC36" s="32">
        <f>EA36/((1+InputData!$C$3)^(GenSurg!$B36-GenSurg!$B$7))</f>
        <v>0</v>
      </c>
      <c r="ED36" s="5">
        <f t="shared" si="69"/>
        <v>250657.12363859441</v>
      </c>
      <c r="EE36" s="32">
        <f>ED36/((1+InputData!$C$7)^(GenSurg!$B36-GenSurg!$B$7))</f>
        <v>106365.43860096582</v>
      </c>
      <c r="EF36" s="5">
        <f t="shared" si="122"/>
        <v>2551600.7756027165</v>
      </c>
      <c r="EG36" s="32"/>
      <c r="EH36" s="130" t="s">
        <v>141</v>
      </c>
      <c r="EI36" s="32">
        <v>0</v>
      </c>
      <c r="EJ36" s="32">
        <f t="shared" si="168"/>
        <v>0</v>
      </c>
      <c r="EK36" s="32">
        <f>(EJ36)*InputData!$C$6</f>
        <v>0</v>
      </c>
      <c r="EL36" s="32">
        <f t="shared" si="167"/>
        <v>-2.1827872842550278E-11</v>
      </c>
      <c r="EM36" s="32">
        <f>EM35*(1+InputData!$C$8)</f>
        <v>20404.455491517201</v>
      </c>
      <c r="EN36" s="32">
        <f t="shared" si="162"/>
        <v>0</v>
      </c>
      <c r="EO36" s="32">
        <f>AW36/((1+InputData!$C$3)^(GenSurg!$B36-GenSurg!$B$7))</f>
        <v>365864.64323202812</v>
      </c>
      <c r="EP36" s="32">
        <f>AX36/((1+InputData!$C$3)^(GenSurg!$B36-GenSurg!$B$7))</f>
        <v>0</v>
      </c>
      <c r="EQ36" s="32">
        <v>96500.81</v>
      </c>
      <c r="ER36" s="32">
        <v>10786.59</v>
      </c>
      <c r="ES36" s="32">
        <v>0</v>
      </c>
      <c r="ET36" s="43">
        <f t="shared" si="136"/>
        <v>0.29324342208153542</v>
      </c>
      <c r="EU36" s="32">
        <f t="shared" si="70"/>
        <v>258577.24323202812</v>
      </c>
      <c r="EV36" s="32">
        <f>EN36/((1+InputData!$C$3)^(GenSurg!$B36-GenSurg!$B$7))</f>
        <v>0</v>
      </c>
      <c r="EW36" s="32">
        <f t="shared" si="71"/>
        <v>258577.24323202812</v>
      </c>
      <c r="EX36" s="32">
        <f>EW36/((1+InputData!$C$7)^(GenSurg!$B36-GenSurg!$B$7))</f>
        <v>109726.31253943132</v>
      </c>
      <c r="EY36" s="5">
        <f t="shared" si="124"/>
        <v>2700781.0284340815</v>
      </c>
      <c r="EZ36" s="79"/>
      <c r="FA36" s="32">
        <f t="shared" si="163"/>
        <v>0</v>
      </c>
      <c r="FB36" s="32">
        <f>FA36*InputData!$C$6</f>
        <v>0</v>
      </c>
      <c r="FC36" s="32">
        <f t="shared" si="155"/>
        <v>0</v>
      </c>
      <c r="FD36" s="32">
        <f>MIN($EJ$16*InputData!$C$6/(1-(1+InputData!$C$6)^(-10)), FA36+FB36)</f>
        <v>0</v>
      </c>
      <c r="FE36" s="32">
        <f>FD36/((1+InputData!$C$3)^(GenSurg!$B36-GenSurg!$B$7))</f>
        <v>0</v>
      </c>
      <c r="FF36" s="5">
        <f t="shared" si="75"/>
        <v>258577.24323202812</v>
      </c>
      <c r="FG36" s="32">
        <f>FF36/((1+InputData!$C$7)^(GenSurg!$B36-GenSurg!$B$7))</f>
        <v>109726.31253943132</v>
      </c>
      <c r="FH36" s="5">
        <f t="shared" si="125"/>
        <v>2701219.727183973</v>
      </c>
      <c r="FI36" s="79"/>
      <c r="FJ36" s="32">
        <f t="shared" si="164"/>
        <v>90762.240522932669</v>
      </c>
      <c r="FK36" s="32">
        <f>FJ36*InputData!$C$6</f>
        <v>5636.3351364741193</v>
      </c>
      <c r="FL36" s="32">
        <f t="shared" si="156"/>
        <v>74728.708315564072</v>
      </c>
      <c r="FM36" s="32">
        <f>MIN($EJ$16*InputData!$C$6/(1-(1+InputData!$C$6)^(-25)), FJ36+FK36)</f>
        <v>21669.867343842721</v>
      </c>
      <c r="FN36" s="32">
        <f>FM36/((1+InputData!$C$3)^(GenSurg!$B36-GenSurg!$B$7))</f>
        <v>12202.568987163857</v>
      </c>
      <c r="FO36" s="5">
        <f t="shared" si="79"/>
        <v>246374.67424486426</v>
      </c>
      <c r="FP36" s="32">
        <f>FO36/((1+InputData!$C$7)^(GenSurg!$B36-GenSurg!$B$7))</f>
        <v>104548.19677899666</v>
      </c>
      <c r="FQ36" s="5">
        <f t="shared" si="126"/>
        <v>2708326.8547095102</v>
      </c>
      <c r="FR36" s="79"/>
      <c r="FS36" s="32">
        <f t="shared" si="165"/>
        <v>0</v>
      </c>
      <c r="FT36" s="32">
        <f>FS36*InputData!$C$6</f>
        <v>0</v>
      </c>
      <c r="FU36" s="32">
        <f t="shared" si="157"/>
        <v>0</v>
      </c>
      <c r="FV36" s="5">
        <f t="shared" si="166"/>
        <v>0</v>
      </c>
      <c r="FW36" s="32">
        <f>FV36/((1+InputData!$C$3)^(GenSurg!$B36-GenSurg!$B$7))</f>
        <v>0</v>
      </c>
      <c r="FX36" s="5">
        <f t="shared" si="83"/>
        <v>258577.24323202812</v>
      </c>
      <c r="FY36" s="32">
        <f>FX36/((1+InputData!$C$7)^(GenSurg!$B36-GenSurg!$B$7))</f>
        <v>109726.31253943132</v>
      </c>
      <c r="FZ36" s="5">
        <f t="shared" si="127"/>
        <v>2701219.727183973</v>
      </c>
      <c r="GC36" s="83">
        <v>20</v>
      </c>
      <c r="GD36" s="4" t="s">
        <v>217</v>
      </c>
      <c r="GE36" s="5"/>
      <c r="GF36" s="84">
        <v>0</v>
      </c>
      <c r="GG36" s="5"/>
      <c r="GH36" s="84">
        <f>MIN(InputData!$C$13+InputData!$E$13*($B36-$B$31),1)*$AW36/((1+InputData!$C$3)^(GenSurg!$B36-GenSurg!$B$7))+0.025*$GC$30*(($F$28+$F$29+$F$30)/3)*((1+InputData!$C$5)/(1+InputData!$C$3))^(GenSurg!$B36-GenSurg!$B$7)</f>
        <v>368465.9759243392</v>
      </c>
      <c r="GI36" s="5">
        <v>0</v>
      </c>
      <c r="GJ36" s="32">
        <f>IF(GH36-InputData!$C$158-InputData!$C$159&gt;=0,GH36-InputData!$C$158-InputData!$C$159,0)</f>
        <v>368465.9759243392</v>
      </c>
      <c r="GK36" s="32">
        <f>IF(GH36-IF(GH36&lt;=InputData!$C$146,InputData!$C$145,0)-MAX(InputData!$C$144,GQ36)&gt;=0,GH36-IF(GH36&lt;=InputData!$C$146,InputData!$C$145,0)-MAX(InputData!$C$144,GQ36),0)</f>
        <v>362365.9759243392</v>
      </c>
      <c r="GL36" s="32">
        <f>IF(GK36&lt;0,"Error",IF(GK36&lt;=InputData!$B$170,InputData!$C$170*GK36,IF(GK36&lt;=InputData!$B$171,InputData!$D$170+InputData!$C$171*(GK36-InputData!$B$170),IF(GK36&lt;=InputData!$B$172,InputData!$D$171+InputData!$C$172*(GK36-InputData!$B$171),IF(GK36&lt;=InputData!$B$173,InputData!$D$172+InputData!$C$173*(GK36-InputData!$B$172),IF(GK36&lt;=InputData!$B$174,InputData!$D$173+InputData!$C$174*(GK36-InputData!$B$173),IF(GK36&lt;=InputData!$B$175,InputData!$D$174+InputData!$C$175*(GK36-InputData!$B$174),InputData!$D$175+InputData!$C$176*(GK36-InputData!$B$175))))))))</f>
        <v>103711.52205503194</v>
      </c>
      <c r="GM36" s="32">
        <f>IF(GH36&lt;=InputData!$C$150,InputData!$C$152,IF(GH36&lt;InputData!$C$151,IF(InputData!$C$152-0.25*IF(GH36-InputData!$C$150&lt;=0,0,GH36-InputData!$C$150)&lt;=0,0,InputData!$C$152-0.25*IF(GH36-InputData!$C$150&lt;=0,0,GH36-InputData!$C$150)),0))</f>
        <v>0</v>
      </c>
      <c r="GN36" s="32">
        <f>IF(GH36-GM36&lt;=0,0,IF(GH36-GM36&lt;=InputData!$C$153,InputData!$C$154*(GH36-GM36),InputData!$C$155*(GH36-GM36)-InputData!$D$154))</f>
        <v>99580.473258814993</v>
      </c>
      <c r="GO36" s="32">
        <f t="shared" si="84"/>
        <v>103711.52205503194</v>
      </c>
      <c r="GP36" s="32">
        <f>IF(GH36&gt;=0,IF(GH36&lt;=InputData!$C$148,InputData!$C$147*GH36,InputData!$C$147*InputData!$C$148)+InputData!$C$149*GH36,0)</f>
        <v>12392.156650902918</v>
      </c>
      <c r="GQ36" s="32">
        <f>IF(GJ36&lt;0,0,IF(GJ36&lt;=InputData!$B$163,InputData!$C$163*GJ36,IF(GJ36&lt;=InputData!$B$164,InputData!$D$163+InputData!$C$164*(GJ36-InputData!$B$163),IF(GJ36&lt;=InputData!$B$165,InputData!$D$164+InputData!$C$165*(GJ36-InputData!$B$164),InputData!$D$165+InputData!$C$166*(GJ36-InputData!$B$165)))))</f>
        <v>0</v>
      </c>
      <c r="GR36" s="43">
        <f t="shared" si="85"/>
        <v>0.31510013486231786</v>
      </c>
      <c r="GS36" s="43">
        <f t="shared" si="86"/>
        <v>0.31510013486231786</v>
      </c>
      <c r="GT36" s="5">
        <f t="shared" si="87"/>
        <v>252362.29721840439</v>
      </c>
      <c r="GU36" s="32">
        <f>GT36/((1+InputData!$C$7)^(GenSurg!$B36-GenSurg!$B$7))</f>
        <v>107089.02280665061</v>
      </c>
      <c r="GV36" s="84">
        <f t="shared" ref="GV36" si="171">GV35+GU36</f>
        <v>2258153.4068709724</v>
      </c>
      <c r="GX36" s="83">
        <v>21</v>
      </c>
      <c r="GY36" s="4" t="s">
        <v>217</v>
      </c>
      <c r="GZ36" s="5"/>
      <c r="HA36" s="84">
        <v>0</v>
      </c>
      <c r="HB36" s="5"/>
      <c r="HC36" s="84">
        <f>MIN(InputData!$C$13+InputData!$E$13*($B36-$B$32),1)*$AW36/((1+InputData!$C$3)^(GenSurg!$B36-GenSurg!$B$7))+0.025*$GX$31*(($AB$29+$AB$30+$AB$31)/3)*((1+InputData!$C$5)/(1+InputData!$C$3))^(GenSurg!$B36-GenSurg!$B$7)</f>
        <v>373005.08366811607</v>
      </c>
      <c r="HD36" s="5">
        <v>0</v>
      </c>
      <c r="HE36" s="32">
        <f>IF(HC36-InputData!$C$158-InputData!$C$159&gt;=0,HC36-InputData!$C$158-InputData!$C$159,0)</f>
        <v>373005.08366811607</v>
      </c>
      <c r="HF36" s="32">
        <f>IF(HC36-IF(HC36&lt;=InputData!$C$146,InputData!$C$145,0)-MAX(InputData!$C$144,HL36)&gt;=0,HC36-IF(HC36&lt;=InputData!$C$146,InputData!$C$145,0)-MAX(InputData!$C$144,HL36),0)</f>
        <v>366905.08366811607</v>
      </c>
      <c r="HG36" s="32">
        <f>IF(HF36&lt;0,"Error",IF(HF36&lt;=InputData!$B$170,InputData!$C$170*HF36,IF(HF36&lt;=InputData!$B$171,InputData!$D$170+InputData!$C$171*(HF36-InputData!$B$170),IF(HF36&lt;=InputData!$B$172,InputData!$D$171+InputData!$C$172*(HF36-InputData!$B$171),IF(HF36&lt;=InputData!$B$173,InputData!$D$172+InputData!$C$173*(HF36-InputData!$B$172),IF(HF36&lt;=InputData!$B$174,InputData!$D$173+InputData!$C$174*(HF36-InputData!$B$173),IF(HF36&lt;=InputData!$B$175,InputData!$D$174+InputData!$C$175*(HF36-InputData!$B$174),InputData!$D$175+InputData!$C$176*(HF36-InputData!$B$175))))))))</f>
        <v>105209.42761047831</v>
      </c>
      <c r="HH36" s="32">
        <f>IF(HC36&lt;=InputData!$C$150,InputData!$C$152,IF(HC36&lt;InputData!$C$151,IF(InputData!$C$152-0.25*IF(HC36-InputData!$C$150&lt;=0,0,HC36-InputData!$C$150)&lt;=0,0,InputData!$C$152-0.25*IF(HC36-InputData!$C$150&lt;=0,0,HC36-InputData!$C$150)),0))</f>
        <v>0</v>
      </c>
      <c r="HI36" s="32">
        <f>IF(HC36-HH36&lt;=0,0,IF(HC36-HH36&lt;=InputData!$C$153,InputData!$C$154*(HC36-HH36),InputData!$C$155*(HC36-HH36)-InputData!$D$154))</f>
        <v>100851.42342707251</v>
      </c>
      <c r="HJ36" s="32">
        <f t="shared" si="89"/>
        <v>105209.42761047831</v>
      </c>
      <c r="HK36" s="32">
        <f>IF(HC36&gt;=0,IF(HC36&lt;=InputData!$C$148,InputData!$C$147*HC36,InputData!$C$147*InputData!$C$148)+InputData!$C$149*HC36,0)</f>
        <v>12457.973713187683</v>
      </c>
      <c r="HL36" s="32">
        <f>IF(HE36&lt;0,0,IF(HE36&lt;=InputData!$B$163,InputData!$C$163*HE36,IF(HE36&lt;=InputData!$B$164,InputData!$D$163+InputData!$C$164*(HE36-InputData!$B$163),IF(HE36&lt;=InputData!$B$165,InputData!$D$164+InputData!$C$165*(HE36-InputData!$B$164),InputData!$D$165+InputData!$C$166*(HE36-InputData!$B$165)))))</f>
        <v>0</v>
      </c>
      <c r="HM36" s="43">
        <f t="shared" si="90"/>
        <v>0.31545790252113931</v>
      </c>
      <c r="HN36" s="43">
        <f t="shared" si="91"/>
        <v>0.31545790252113931</v>
      </c>
      <c r="HO36" s="5">
        <f t="shared" si="92"/>
        <v>255337.68234445009</v>
      </c>
      <c r="HP36" s="32">
        <f>HO36/((1+InputData!$C$7)^(GenSurg!$B36-GenSurg!$B$7))</f>
        <v>108351.61666133376</v>
      </c>
      <c r="HQ36" s="84">
        <f t="shared" ref="HQ36" si="172">HQ35+HP36</f>
        <v>2252637.9889271441</v>
      </c>
      <c r="HS36" s="227"/>
      <c r="HT36" s="53" t="s">
        <v>109</v>
      </c>
      <c r="HU36" s="32">
        <f>MIN(InputData!$C$13+InputData!$E$13*($B36-$B$23),1)*GenSurg!AW36</f>
        <v>584746.9056460365</v>
      </c>
      <c r="HV36" s="32">
        <f>MIN(InputData!$C$13+InputData!$E$13*($B36-$B$23),1)*GenSurg!AX36</f>
        <v>0</v>
      </c>
      <c r="HW36" s="32">
        <f>MIN(InputData!$C$13+InputData!$E$13*($B36-$B$23),1)*GenSurg!AY36</f>
        <v>584746.9056460365</v>
      </c>
      <c r="HX36" s="32">
        <f>MIN(InputData!$C$13+InputData!$E$13*($B36-$B$23),1)*GenSurg!EO36</f>
        <v>329278.17890882533</v>
      </c>
      <c r="HY36" s="32">
        <f>MIN(InputData!$C$13+InputData!$E$13*($B36-$B$23),1)*GenSurg!EP36</f>
        <v>0</v>
      </c>
      <c r="HZ36" s="32">
        <f>IF(HX36-InputData!$C$158-InputData!$C$159&gt;=0,HX36-InputData!$C$158-InputData!$C$159,0)</f>
        <v>329278.17890882533</v>
      </c>
      <c r="IA36" s="32">
        <f>IF(HX36-IF(HX36&lt;=InputData!$C$146,InputData!$C$145,0)-MAX(InputData!$C$144,IG36)&gt;=0,HX36-IF(HX36&lt;=InputData!$C$146,InputData!$C$145,0)-MAX(InputData!$C$144,IG36),0)</f>
        <v>323178.17890882533</v>
      </c>
      <c r="IB36" s="32">
        <f>IF(IA36&lt;0,"Error",IF(IA36&lt;=InputData!$B$170,InputData!$C$170*IA36,IF(IA36&lt;=InputData!$B$171,InputData!$D$170+InputData!$C$171*(IA36-InputData!$B$170),IF(IA36&lt;=InputData!$B$172,InputData!$D$171+InputData!$C$172*(IA36-InputData!$B$171),IF(IA36&lt;=InputData!$B$173,InputData!$D$172+InputData!$C$173*(IA36-InputData!$B$172),IF(IA36&lt;=InputData!$B$174,InputData!$D$173+InputData!$C$174*(IA36-InputData!$B$173),IF(IA36&lt;=InputData!$B$175,InputData!$D$174+InputData!$C$175*(IA36-InputData!$B$174),InputData!$D$175+InputData!$C$176*(IA36-InputData!$B$175))))))))</f>
        <v>90779.549039912352</v>
      </c>
      <c r="IC36" s="32">
        <f>IF(HX36&lt;=InputData!$C$150,InputData!$C$152,IF(HX36&lt;InputData!$C$151,IF(InputData!$C$152-0.25*IF(HX36-InputData!$C$150&lt;=0,0,HX36-InputData!$C$150)&lt;=0,0,InputData!$C$152-0.25*IF(HX36-InputData!$C$150&lt;=0,0,HX36-InputData!$C$150)),0))</f>
        <v>0</v>
      </c>
      <c r="ID36" s="32">
        <f>IF(HX36-IC36&lt;=0,0,IF(HX36-IC36&lt;=InputData!$C$153,InputData!$C$154*(HX36-IC36),InputData!$C$155*(HX36-IC36)-InputData!$D$154))</f>
        <v>88607.890094471106</v>
      </c>
      <c r="IE36" s="32">
        <f t="shared" si="96"/>
        <v>90779.549039912352</v>
      </c>
      <c r="IF36" s="32">
        <f>IF(HX36&gt;=0,IF(HX36&lt;=InputData!$C$148,InputData!$C$147*HX36,InputData!$C$147*InputData!$C$148)+InputData!$C$149*HX36,0)</f>
        <v>11823.933594177968</v>
      </c>
      <c r="IG36" s="32">
        <f>IF(HZ36&lt;0,0,IF(HZ36&lt;=InputData!$B$163,InputData!$C$163*HZ36,IF(HZ36&lt;=InputData!$B$164,InputData!$D$163+InputData!$C$164*(HZ36-InputData!$B$163),IF(HZ36&lt;=InputData!$B$165,InputData!$D$164+InputData!$C$165*(HZ36-InputData!$B$164),InputData!$D$165+InputData!$C$166*(HZ36-InputData!$B$165)))))</f>
        <v>0</v>
      </c>
      <c r="IH36" s="43">
        <f t="shared" si="97"/>
        <v>0.31160122111371513</v>
      </c>
      <c r="II36" s="43">
        <f t="shared" si="98"/>
        <v>0.31160122111371513</v>
      </c>
      <c r="IJ36" s="5">
        <f>HX36+HY36-IE36-IF36-IG36</f>
        <v>226674.696274735</v>
      </c>
      <c r="IK36" s="32">
        <f>IJ36/((1+InputData!$C$7)^(GenSurg!$B36-GenSurg!$B$7))</f>
        <v>96188.582789954904</v>
      </c>
      <c r="IL36" s="5">
        <f t="shared" ref="IL36" si="173">IL35+IK36</f>
        <v>2423843.6895890217</v>
      </c>
      <c r="IN36" s="227"/>
      <c r="IO36" s="53" t="s">
        <v>109</v>
      </c>
      <c r="IP36" s="32">
        <f>MIN(InputData!$C$13+InputData!$E$13*($B36-$B$20),1)*GenSurg!AW36</f>
        <v>584746.9056460365</v>
      </c>
      <c r="IQ36" s="32">
        <f>MIN(InputData!$C$13+InputData!$E$13*($B36-$B$20),1)*GenSurg!AX36</f>
        <v>0</v>
      </c>
      <c r="IR36" s="32">
        <f>MIN(InputData!$C$13+InputData!$E$13*($B36-$B$20),1)*GenSurg!AY36</f>
        <v>584746.9056460365</v>
      </c>
      <c r="IS36" s="32">
        <f>MIN(InputData!$C$13+InputData!$E$13*($B36-$B$20),1)*GenSurg!EO36</f>
        <v>329278.17890882533</v>
      </c>
      <c r="IT36" s="32">
        <f>MIN(InputData!$C$13+InputData!$E$13*($B36-$B$20),1)*GenSurg!EP36</f>
        <v>0</v>
      </c>
      <c r="IU36" s="32">
        <f>IF(IS36-InputData!$C$158-InputData!$C$159&gt;=0,IS36-InputData!$C$158-InputData!$C$159,0)</f>
        <v>329278.17890882533</v>
      </c>
      <c r="IV36" s="32">
        <f>IF(IS36-IF(IS36&lt;=InputData!$C$146,InputData!$C$145,0)-MAX(InputData!$C$144,JB36)&gt;=0,IS36-IF(IS36&lt;=InputData!$C$146,InputData!$C$145,0)-MAX(InputData!$C$144,JB36),0)</f>
        <v>323178.17890882533</v>
      </c>
      <c r="IW36" s="32">
        <f>IF(IV36&lt;0,"Error",IF(IV36&lt;=InputData!$B$170,InputData!$C$170*IV36,IF(IV36&lt;=InputData!$B$171,InputData!$D$170+InputData!$C$171*(IV36-InputData!$B$170),IF(IV36&lt;=InputData!$B$172,InputData!$D$171+InputData!$C$172*(IV36-InputData!$B$171),IF(IV36&lt;=InputData!$B$173,InputData!$D$172+InputData!$C$173*(IV36-InputData!$B$172),IF(IV36&lt;=InputData!$B$174,InputData!$D$173+InputData!$C$174*(IV36-InputData!$B$173),IF(IV36&lt;=InputData!$B$175,InputData!$D$174+InputData!$C$175*(IV36-InputData!$B$174),InputData!$D$175+InputData!$C$176*(IV36-InputData!$B$175))))))))</f>
        <v>90779.549039912352</v>
      </c>
      <c r="IX36" s="32">
        <f>IF(IS36&lt;=InputData!$C$150,InputData!$C$152,IF(IS36&lt;InputData!$C$151,IF(InputData!$C$152-0.25*IF(IS36-InputData!$C$150&lt;=0,0,IS36-InputData!$C$150)&lt;=0,0,InputData!$C$152-0.25*IF(IS36-InputData!$C$150&lt;=0,0,IS36-InputData!$C$150)),0))</f>
        <v>0</v>
      </c>
      <c r="IY36" s="32">
        <f>IF(IS36-IX36&lt;=0,0,IF(IS36-IX36&lt;=InputData!$C$153,InputData!$C$154*(IS36-IX36),InputData!$C$155*(IS36-IX36)-InputData!$D$154))</f>
        <v>88607.890094471106</v>
      </c>
      <c r="IZ36" s="32">
        <f t="shared" si="102"/>
        <v>90779.549039912352</v>
      </c>
      <c r="JA36" s="32">
        <f>IF(IS36&gt;=0,IF(IS36&lt;=InputData!$C$148,InputData!$C$147*IS36,InputData!$C$147*InputData!$C$148)+InputData!$C$149*IS36,0)</f>
        <v>11823.933594177968</v>
      </c>
      <c r="JB36" s="32">
        <f>IF(IU36&lt;0,0,IF(IU36&lt;=InputData!$B$163,InputData!$C$163*IU36,IF(IU36&lt;=InputData!$B$164,InputData!$D$163+InputData!$C$164*(IU36-InputData!$B$163),IF(IU36&lt;=InputData!$B$165,InputData!$D$164+InputData!$C$165*(IU36-InputData!$B$164),InputData!$D$165+InputData!$C$166*(IU36-InputData!$B$165)))))</f>
        <v>0</v>
      </c>
      <c r="JC36" s="43">
        <f t="shared" si="103"/>
        <v>0.31160122111371513</v>
      </c>
      <c r="JD36" s="43">
        <f t="shared" si="104"/>
        <v>0.31160122111371513</v>
      </c>
      <c r="JE36" s="5">
        <f t="shared" si="105"/>
        <v>226674.696274735</v>
      </c>
      <c r="JF36" s="32">
        <f>JE36/((1+InputData!$C$7)^(GenSurg!$B36-GenSurg!$B$7))</f>
        <v>96188.582789954904</v>
      </c>
      <c r="JG36" s="5">
        <f t="shared" ref="JG36" si="174">JG35+JF36</f>
        <v>2550998.0515228524</v>
      </c>
      <c r="JI36" s="41" t="str">
        <f t="shared" si="26"/>
        <v>Private Practice</v>
      </c>
      <c r="JJ36" s="5">
        <f t="shared" si="27"/>
        <v>649718.7840511516</v>
      </c>
      <c r="JK36" s="32">
        <v>0</v>
      </c>
      <c r="JL36" s="32">
        <f t="shared" si="108"/>
        <v>649718.7840511516</v>
      </c>
      <c r="JM36" s="32">
        <f>JM35*(1+InputData!$C$8)</f>
        <v>20404.455491517201</v>
      </c>
      <c r="JN36" s="32">
        <f>JJ36/((1+InputData!$C$3)^(GenSurg!$B36-GenSurg!$B$7))</f>
        <v>365864.64323202812</v>
      </c>
      <c r="JO36" s="32">
        <f>JK36/((1+InputData!$C$3)^(GenSurg!$B36-GenSurg!$B$7))</f>
        <v>0</v>
      </c>
      <c r="JP36" s="32" t="s">
        <v>141</v>
      </c>
      <c r="JQ36" s="32">
        <v>0</v>
      </c>
      <c r="JR36" s="32">
        <f t="shared" si="158"/>
        <v>0</v>
      </c>
      <c r="JS36" s="32">
        <f>(JR36)*InputData!$C$6</f>
        <v>0</v>
      </c>
      <c r="JT36" s="32">
        <f>MIN($BE$16*InputData!$C$6/(1-(1+InputData!$C$6)^(-10)), JR36+JS36)</f>
        <v>0</v>
      </c>
      <c r="JU36" s="32">
        <f t="shared" si="145"/>
        <v>0</v>
      </c>
      <c r="JV36" s="32">
        <f>JT36/((1+InputData!$C$3)^(GenSurg!$B36-GenSurg!$B$7))</f>
        <v>0</v>
      </c>
      <c r="JW36" s="32">
        <f>IF(JN36-InputData!$C$158-InputData!$C$159&gt;=0,JN36-InputData!$C$158-InputData!$C$159,0)</f>
        <v>365864.64323202812</v>
      </c>
      <c r="JX36" s="32">
        <f>IF(JN36-IF(JN36&lt;=InputData!$C$146,InputData!$C$145,0)-MAX(InputData!$C$144,KD36)&gt;=0,JN36-IF(JN36&lt;=InputData!$C$146,InputData!$C$145,0)-MAX(InputData!$C$144,KD36),0)</f>
        <v>359764.64323202812</v>
      </c>
      <c r="JY36" s="32">
        <f>IF(JX36&lt;0,"Error",IF(JX36&lt;=InputData!$B$170,InputData!$C$170*JX36,IF(JX36&lt;=InputData!$B$171,InputData!$D$170+InputData!$C$171*(JX36-InputData!$B$170),IF(JX36&lt;=InputData!$B$172,InputData!$D$171+InputData!$C$172*(JX36-InputData!$B$171),IF(JX36&lt;=InputData!$B$173,InputData!$D$172+InputData!$C$173*(JX36-InputData!$B$172),IF(JX36&lt;=InputData!$B$174,InputData!$D$173+InputData!$C$174*(JX36-InputData!$B$173),IF(JX36&lt;=InputData!$B$175,InputData!$D$174+InputData!$C$175*(JX36-InputData!$B$174),InputData!$D$175+InputData!$C$176*(JX36-InputData!$B$175))))))))</f>
        <v>102853.08226656928</v>
      </c>
      <c r="JZ36" s="32">
        <f>IF(JN36&lt;=InputData!$C$150,InputData!$C$152,IF(JN36&lt;InputData!$C$151,IF(InputData!$C$152-0.25*IF(JN36-InputData!$C$150&lt;=0,0,JN36-InputData!$C$150)&lt;=0,0,InputData!$C$152-0.25*IF(JN36-InputData!$C$150&lt;=0,0,JN36-InputData!$C$150)),0))</f>
        <v>0</v>
      </c>
      <c r="KA36" s="32">
        <f>IF(JN36-JZ36&lt;=0,0,IF(JN36-JZ36&lt;=InputData!$C$153,InputData!$C$154*(JN36-JZ36),InputData!$C$155*(JN36-JZ36)-InputData!$D$154))</f>
        <v>98852.100104967889</v>
      </c>
      <c r="KB36" s="32">
        <f t="shared" si="109"/>
        <v>102853.08226656928</v>
      </c>
      <c r="KC36" s="32">
        <f>IF(JN36&gt;=0,IF(JN36&lt;=InputData!$C$148,InputData!$C$147*JN36,InputData!$C$147*InputData!$C$148)+InputData!$C$149*JN36,0)</f>
        <v>12354.437326864409</v>
      </c>
      <c r="KD36" s="32">
        <f>IF(JW36&lt;0,0,IF(JW36&lt;=InputData!$B$163,InputData!$C$163*JW36,IF(JW36&lt;=InputData!$B$164,InputData!$D$163+InputData!$C$164*(JW36-InputData!$B$163),IF(JW36&lt;=InputData!$B$165,InputData!$D$164+InputData!$C$165*(JW36-InputData!$B$164),InputData!$D$165+InputData!$C$166*(JW36-InputData!$B$165)))))</f>
        <v>0</v>
      </c>
      <c r="KE36" s="43">
        <f>(KB36+KC36+KD36)/(JN36+JO36)</f>
        <v>0.31489109900234363</v>
      </c>
      <c r="KF36" s="32">
        <f>JN36+JO36-(KB36+KC36+KD36)</f>
        <v>250657.12363859441</v>
      </c>
      <c r="KG36" s="32">
        <f t="shared" si="110"/>
        <v>250657.12363859441</v>
      </c>
      <c r="KH36" s="32">
        <f>KG36/((1+InputData!$C$7)^(GenSurg!$B36-GenSurg!$B$7))</f>
        <v>106365.43860096582</v>
      </c>
      <c r="KI36" s="5">
        <f t="shared" si="129"/>
        <v>2937728.5227479883</v>
      </c>
    </row>
    <row r="37" spans="1:295" x14ac:dyDescent="0.25">
      <c r="BY37" s="5"/>
      <c r="BZ37" s="32"/>
      <c r="CA37" s="32"/>
      <c r="CB37" s="32"/>
      <c r="FJ37" s="32"/>
      <c r="FK37" s="32"/>
      <c r="FL37" s="32"/>
      <c r="FM37" s="32"/>
    </row>
    <row r="38" spans="1:295" x14ac:dyDescent="0.25">
      <c r="BY38" s="5"/>
      <c r="BZ38" s="32"/>
      <c r="CA38" s="32"/>
      <c r="CB38" s="32"/>
      <c r="FJ38" s="32"/>
      <c r="FK38" s="32"/>
      <c r="FL38" s="32"/>
      <c r="FM38" s="32"/>
    </row>
    <row r="39" spans="1:295" x14ac:dyDescent="0.25">
      <c r="BY39" s="5"/>
      <c r="BZ39" s="32"/>
      <c r="CA39" s="32"/>
      <c r="CB39" s="32"/>
      <c r="FJ39" s="32"/>
      <c r="FK39" s="32"/>
      <c r="FL39" s="32"/>
      <c r="FM39" s="32"/>
    </row>
    <row r="40" spans="1:295" x14ac:dyDescent="0.25">
      <c r="BY40" s="5"/>
      <c r="BZ40" s="32"/>
      <c r="CA40" s="32"/>
      <c r="CB40" s="32"/>
      <c r="FJ40" s="32"/>
      <c r="FK40" s="32"/>
      <c r="FL40" s="32"/>
      <c r="FM40" s="53"/>
    </row>
    <row r="41" spans="1:295" x14ac:dyDescent="0.25">
      <c r="BY41" s="5"/>
      <c r="BZ41" s="32"/>
      <c r="CA41" s="32"/>
      <c r="CB41" s="32"/>
      <c r="FJ41" s="32"/>
      <c r="FK41" s="32"/>
      <c r="FL41" s="32"/>
      <c r="FM41" s="53"/>
    </row>
    <row r="42" spans="1:295" x14ac:dyDescent="0.25">
      <c r="FJ42" s="32"/>
      <c r="FK42" s="32"/>
      <c r="FL42" s="32"/>
      <c r="FM42" s="53"/>
    </row>
    <row r="43" spans="1:295" x14ac:dyDescent="0.25">
      <c r="FJ43" s="32"/>
      <c r="FK43" s="32"/>
      <c r="FL43" s="32"/>
      <c r="FM43" s="53"/>
    </row>
    <row r="44" spans="1:295" x14ac:dyDescent="0.25">
      <c r="FJ44" s="32"/>
      <c r="FK44" s="32"/>
      <c r="FL44" s="32"/>
      <c r="FM44" s="53"/>
    </row>
    <row r="45" spans="1:295" x14ac:dyDescent="0.25">
      <c r="FJ45" s="32"/>
      <c r="FK45" s="32"/>
      <c r="FL45" s="32"/>
      <c r="FM45" s="53"/>
    </row>
    <row r="46" spans="1:295" x14ac:dyDescent="0.25">
      <c r="FJ46" s="32"/>
      <c r="FK46" s="32"/>
      <c r="FL46" s="32"/>
      <c r="FM46" s="53"/>
    </row>
  </sheetData>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KI46"/>
  <sheetViews>
    <sheetView zoomScale="90" zoomScaleNormal="90" workbookViewId="0">
      <selection activeCell="KB14" sqref="KB14"/>
    </sheetView>
  </sheetViews>
  <sheetFormatPr defaultRowHeight="15" x14ac:dyDescent="0.25"/>
  <cols>
    <col min="1" max="1" width="9.28515625" customWidth="1"/>
    <col min="2" max="3" width="5" customWidth="1"/>
    <col min="4" max="4" width="6.140625" customWidth="1"/>
    <col min="5" max="5" width="47.140625" bestFit="1" customWidth="1"/>
    <col min="6" max="6" width="8.28515625" bestFit="1" customWidth="1"/>
    <col min="7" max="7" width="10.5703125" customWidth="1"/>
    <col min="10" max="22" width="8.85546875" customWidth="1"/>
    <col min="24" max="24" width="9.7109375" customWidth="1"/>
    <col min="26" max="26" width="6.42578125" customWidth="1"/>
    <col min="27" max="27" width="49.140625" customWidth="1"/>
    <col min="28" max="28" width="9.42578125" customWidth="1"/>
    <col min="46" max="46" width="9.28515625" customWidth="1"/>
    <col min="48" max="48" width="12.85546875" customWidth="1"/>
    <col min="55" max="55" width="12.28515625" customWidth="1"/>
    <col min="73" max="73" width="9.7109375" customWidth="1"/>
    <col min="74" max="106" width="10.42578125" customWidth="1"/>
    <col min="107" max="107" width="11.42578125" customWidth="1"/>
    <col min="108" max="118" width="10.42578125" customWidth="1"/>
    <col min="119" max="119" width="11.28515625" customWidth="1"/>
    <col min="120" max="129" width="10.42578125" customWidth="1"/>
    <col min="130" max="130" width="11.42578125" customWidth="1"/>
    <col min="131" max="136" width="10.42578125" customWidth="1"/>
    <col min="137" max="137" width="9.140625" style="24"/>
    <col min="138" max="153" width="0" hidden="1" customWidth="1"/>
    <col min="154" max="154" width="9.5703125" hidden="1" customWidth="1"/>
    <col min="155" max="155" width="9.42578125" hidden="1" customWidth="1"/>
    <col min="156" max="163" width="0" hidden="1" customWidth="1"/>
    <col min="164" max="164" width="10" hidden="1" customWidth="1"/>
    <col min="165" max="172" width="0" hidden="1" customWidth="1"/>
    <col min="173" max="173" width="10" hidden="1" customWidth="1"/>
    <col min="174" max="181" width="0" hidden="1" customWidth="1"/>
    <col min="182" max="182" width="10" hidden="1" customWidth="1"/>
    <col min="186" max="186" width="27.7109375" customWidth="1"/>
    <col min="204" max="204" width="10" bestFit="1" customWidth="1"/>
    <col min="207" max="207" width="27.5703125" customWidth="1"/>
    <col min="225" max="225" width="10" bestFit="1" customWidth="1"/>
    <col min="228" max="228" width="27.7109375" customWidth="1"/>
    <col min="246" max="246" width="10.7109375" customWidth="1"/>
    <col min="249" max="249" width="27.42578125" customWidth="1"/>
    <col min="267" max="267" width="10.28515625" customWidth="1"/>
    <col min="269" max="269" width="11" customWidth="1"/>
    <col min="294" max="294" width="9.85546875" customWidth="1"/>
    <col min="295" max="295" width="9.28515625" customWidth="1"/>
  </cols>
  <sheetData>
    <row r="1" spans="1:295" ht="15.6" x14ac:dyDescent="0.3">
      <c r="E1" s="55" t="s">
        <v>459</v>
      </c>
      <c r="F1" s="55"/>
      <c r="G1" s="55" t="str">
        <f>InputData!$G$1</f>
        <v>San Antonio, TX</v>
      </c>
      <c r="DC1" t="s">
        <v>330</v>
      </c>
      <c r="DD1" t="s">
        <v>331</v>
      </c>
      <c r="DY1" t="s">
        <v>336</v>
      </c>
    </row>
    <row r="2" spans="1:295" ht="14.45" x14ac:dyDescent="0.3">
      <c r="E2" t="s">
        <v>215</v>
      </c>
      <c r="G2" s="82">
        <f>InputData!$C$84</f>
        <v>215220</v>
      </c>
      <c r="BC2" t="s">
        <v>317</v>
      </c>
      <c r="CB2" t="s">
        <v>317</v>
      </c>
      <c r="CK2" t="s">
        <v>317</v>
      </c>
      <c r="CU2" t="s">
        <v>317</v>
      </c>
      <c r="DC2" s="47">
        <f>DF10+0.5*DC10*InputData!$C$6</f>
        <v>212416.2</v>
      </c>
      <c r="DD2" s="47">
        <f>$DC$2*InputData!$C$6/(1-(1+InputData!$C$6)^(-10))</f>
        <v>29148.379963889372</v>
      </c>
      <c r="DE2" t="s">
        <v>326</v>
      </c>
      <c r="DM2" s="5"/>
      <c r="DP2" t="s">
        <v>326</v>
      </c>
      <c r="DX2" s="129"/>
      <c r="DY2" s="5">
        <f>0.1*$DC$2</f>
        <v>21241.620000000003</v>
      </c>
      <c r="DZ2" s="5"/>
      <c r="EA2" t="s">
        <v>326</v>
      </c>
      <c r="EH2" t="s">
        <v>317</v>
      </c>
    </row>
    <row r="3" spans="1:295" x14ac:dyDescent="0.25">
      <c r="AV3" t="s">
        <v>320</v>
      </c>
      <c r="BC3" t="s">
        <v>321</v>
      </c>
      <c r="BX3" t="s">
        <v>320</v>
      </c>
      <c r="CB3" t="s">
        <v>321</v>
      </c>
      <c r="CH3" t="s">
        <v>320</v>
      </c>
      <c r="CK3" t="s">
        <v>321</v>
      </c>
      <c r="CR3" t="s">
        <v>320</v>
      </c>
      <c r="CU3" t="s">
        <v>321</v>
      </c>
      <c r="DB3" t="s">
        <v>325</v>
      </c>
      <c r="DE3" t="s">
        <v>321</v>
      </c>
      <c r="DL3" t="s">
        <v>325</v>
      </c>
      <c r="DP3" t="s">
        <v>321</v>
      </c>
      <c r="DW3" t="s">
        <v>325</v>
      </c>
      <c r="EA3" t="s">
        <v>321</v>
      </c>
      <c r="EH3" s="130" t="s">
        <v>406</v>
      </c>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JI3" s="154"/>
    </row>
    <row r="4" spans="1:295" ht="15.6" x14ac:dyDescent="0.3">
      <c r="A4" s="52" t="s">
        <v>183</v>
      </c>
      <c r="B4" s="6"/>
      <c r="C4" s="8"/>
      <c r="D4" s="64"/>
      <c r="E4" s="65" t="s">
        <v>4</v>
      </c>
      <c r="F4" s="65"/>
      <c r="G4" s="66"/>
      <c r="H4" s="67"/>
      <c r="I4" s="67"/>
      <c r="J4" s="67"/>
      <c r="K4" s="67"/>
      <c r="L4" s="67"/>
      <c r="M4" s="67"/>
      <c r="N4" s="67"/>
      <c r="O4" s="67"/>
      <c r="P4" s="67"/>
      <c r="Q4" s="67"/>
      <c r="R4" s="67"/>
      <c r="S4" s="67"/>
      <c r="T4" s="67"/>
      <c r="U4" s="67"/>
      <c r="V4" s="67"/>
      <c r="W4" s="67"/>
      <c r="X4" s="67"/>
      <c r="Z4" s="62"/>
      <c r="AA4" s="68" t="s">
        <v>3</v>
      </c>
      <c r="AB4" s="68"/>
      <c r="AC4" s="63"/>
      <c r="AD4" s="63"/>
      <c r="AE4" s="63"/>
      <c r="AF4" s="63"/>
      <c r="AG4" s="63"/>
      <c r="AH4" s="63"/>
      <c r="AI4" s="63"/>
      <c r="AJ4" s="63"/>
      <c r="AK4" s="63"/>
      <c r="AL4" s="63"/>
      <c r="AM4" s="63"/>
      <c r="AN4" s="63"/>
      <c r="AO4" s="63"/>
      <c r="AP4" s="63"/>
      <c r="AQ4" s="63"/>
      <c r="AR4" s="63"/>
      <c r="AS4" s="63"/>
      <c r="AT4" s="63"/>
      <c r="AV4" s="69" t="s">
        <v>329</v>
      </c>
      <c r="AW4" s="61"/>
      <c r="AX4" s="61"/>
      <c r="AY4" s="61"/>
      <c r="AZ4" s="61"/>
      <c r="BA4" s="61"/>
      <c r="BB4" s="61"/>
      <c r="BC4" s="61"/>
      <c r="BD4" s="61"/>
      <c r="BE4" s="61"/>
      <c r="BF4" s="61"/>
      <c r="BG4" s="61"/>
      <c r="BH4" s="61"/>
      <c r="BI4" s="61"/>
      <c r="BJ4" s="61"/>
      <c r="BK4" s="61"/>
      <c r="BL4" s="61"/>
      <c r="BM4" s="61"/>
      <c r="BN4" s="61"/>
      <c r="BO4" s="61"/>
      <c r="BP4" s="61"/>
      <c r="BQ4" s="127"/>
      <c r="BR4" s="127"/>
      <c r="BS4" s="127"/>
      <c r="BT4" s="127"/>
      <c r="BU4" s="127"/>
      <c r="BV4" s="127"/>
      <c r="BW4" s="128"/>
      <c r="BX4" s="69" t="s">
        <v>203</v>
      </c>
      <c r="BY4" s="70"/>
      <c r="BZ4" s="70"/>
      <c r="CA4" s="70"/>
      <c r="CB4" s="70"/>
      <c r="CC4" s="70"/>
      <c r="CD4" s="70"/>
      <c r="CE4" s="70"/>
      <c r="CF4" s="70"/>
      <c r="CG4" s="24"/>
      <c r="CH4" s="69" t="s">
        <v>208</v>
      </c>
      <c r="CI4" s="70"/>
      <c r="CJ4" s="70"/>
      <c r="CK4" s="70"/>
      <c r="CL4" s="70"/>
      <c r="CM4" s="70"/>
      <c r="CN4" s="70"/>
      <c r="CO4" s="70"/>
      <c r="CP4" s="70"/>
      <c r="CQ4" s="24"/>
      <c r="CR4" s="69" t="s">
        <v>322</v>
      </c>
      <c r="CS4" s="70"/>
      <c r="CT4" s="70"/>
      <c r="CU4" s="70"/>
      <c r="CV4" s="70"/>
      <c r="CW4" s="70"/>
      <c r="CX4" s="70"/>
      <c r="CY4" s="70"/>
      <c r="CZ4" s="70"/>
      <c r="DA4" s="24"/>
      <c r="DB4" s="69" t="s">
        <v>329</v>
      </c>
      <c r="DC4" s="70"/>
      <c r="DD4" s="70"/>
      <c r="DE4" s="70"/>
      <c r="DF4" s="70"/>
      <c r="DG4" s="70"/>
      <c r="DH4" s="70"/>
      <c r="DI4" s="70"/>
      <c r="DJ4" s="70"/>
      <c r="DK4" s="24"/>
      <c r="DL4" s="69" t="s">
        <v>208</v>
      </c>
      <c r="DM4" s="70"/>
      <c r="DN4" s="70"/>
      <c r="DO4" s="70"/>
      <c r="DP4" s="70"/>
      <c r="DQ4" s="70"/>
      <c r="DR4" s="70"/>
      <c r="DS4" s="70"/>
      <c r="DT4" s="70"/>
      <c r="DU4" s="70"/>
      <c r="DV4" s="24"/>
      <c r="DW4" s="69" t="s">
        <v>322</v>
      </c>
      <c r="DX4" s="70"/>
      <c r="DY4" s="70"/>
      <c r="DZ4" s="70"/>
      <c r="EA4" s="70"/>
      <c r="EB4" s="70"/>
      <c r="EC4" s="70"/>
      <c r="ED4" s="70"/>
      <c r="EE4" s="70"/>
      <c r="EF4" s="70"/>
      <c r="EG4" s="14"/>
      <c r="EH4" s="69" t="s">
        <v>322</v>
      </c>
      <c r="EI4" s="61"/>
      <c r="EJ4" s="61"/>
      <c r="EK4" s="61"/>
      <c r="EL4" s="61"/>
      <c r="EM4" s="61"/>
      <c r="EN4" s="61"/>
      <c r="EO4" s="61"/>
      <c r="EP4" s="61"/>
      <c r="EQ4" s="61"/>
      <c r="ER4" s="61"/>
      <c r="ES4" s="61"/>
      <c r="ET4" s="61"/>
      <c r="EU4" s="61"/>
      <c r="EV4" s="61"/>
      <c r="EW4" s="61"/>
      <c r="EX4" s="61"/>
      <c r="EY4" s="61"/>
      <c r="EZ4" s="59"/>
      <c r="FA4" s="69" t="s">
        <v>198</v>
      </c>
      <c r="FB4" s="70"/>
      <c r="FC4" s="70"/>
      <c r="FD4" s="70"/>
      <c r="FE4" s="70"/>
      <c r="FF4" s="70"/>
      <c r="FG4" s="70"/>
      <c r="FH4" s="70"/>
      <c r="FI4" s="59"/>
      <c r="FJ4" s="69" t="s">
        <v>203</v>
      </c>
      <c r="FK4" s="70"/>
      <c r="FL4" s="70"/>
      <c r="FM4" s="70"/>
      <c r="FN4" s="70"/>
      <c r="FO4" s="70"/>
      <c r="FP4" s="70"/>
      <c r="FQ4" s="70"/>
      <c r="FR4" s="59"/>
      <c r="FS4" s="69" t="s">
        <v>208</v>
      </c>
      <c r="FT4" s="70"/>
      <c r="FU4" s="70"/>
      <c r="FV4" s="70"/>
      <c r="FW4" s="70"/>
      <c r="FX4" s="70"/>
      <c r="FY4" s="70"/>
      <c r="FZ4" s="70"/>
      <c r="GC4" s="64"/>
      <c r="GD4" s="85" t="s">
        <v>338</v>
      </c>
      <c r="GE4" s="66"/>
      <c r="GF4" s="67"/>
      <c r="GG4" s="67"/>
      <c r="GH4" s="67"/>
      <c r="GI4" s="67"/>
      <c r="GJ4" s="67"/>
      <c r="GK4" s="67"/>
      <c r="GL4" s="67"/>
      <c r="GM4" s="67"/>
      <c r="GN4" s="67"/>
      <c r="GO4" s="67"/>
      <c r="GP4" s="67"/>
      <c r="GQ4" s="67"/>
      <c r="GR4" s="67"/>
      <c r="GS4" s="67"/>
      <c r="GT4" s="67"/>
      <c r="GU4" s="67"/>
      <c r="GV4" s="67"/>
      <c r="GX4" s="62"/>
      <c r="GY4" s="85" t="s">
        <v>339</v>
      </c>
      <c r="GZ4" s="63"/>
      <c r="HA4" s="63"/>
      <c r="HB4" s="63"/>
      <c r="HC4" s="63"/>
      <c r="HD4" s="63"/>
      <c r="HE4" s="63"/>
      <c r="HF4" s="63"/>
      <c r="HG4" s="63"/>
      <c r="HH4" s="63"/>
      <c r="HI4" s="63"/>
      <c r="HJ4" s="63"/>
      <c r="HK4" s="63"/>
      <c r="HL4" s="63"/>
      <c r="HM4" s="63"/>
      <c r="HN4" s="63"/>
      <c r="HO4" s="63"/>
      <c r="HP4" s="63"/>
      <c r="HQ4" s="63"/>
      <c r="HS4" s="64"/>
      <c r="HT4" s="95" t="s">
        <v>246</v>
      </c>
      <c r="HU4" s="66"/>
      <c r="HV4" s="67"/>
      <c r="HW4" s="67"/>
      <c r="HX4" s="67"/>
      <c r="HY4" s="67"/>
      <c r="HZ4" s="67"/>
      <c r="IA4" s="67"/>
      <c r="IB4" s="67"/>
      <c r="IC4" s="67"/>
      <c r="ID4" s="67"/>
      <c r="IE4" s="67"/>
      <c r="IF4" s="67"/>
      <c r="IG4" s="67"/>
      <c r="IH4" s="67"/>
      <c r="II4" s="67"/>
      <c r="IJ4" s="67"/>
      <c r="IK4" s="67"/>
      <c r="IL4" s="67"/>
      <c r="IN4" s="62"/>
      <c r="IO4" s="95" t="s">
        <v>247</v>
      </c>
      <c r="IP4" s="63"/>
      <c r="IQ4" s="63"/>
      <c r="IR4" s="63"/>
      <c r="IS4" s="63"/>
      <c r="IT4" s="63"/>
      <c r="IU4" s="63"/>
      <c r="IV4" s="63"/>
      <c r="IW4" s="63"/>
      <c r="IX4" s="63"/>
      <c r="IY4" s="63"/>
      <c r="IZ4" s="63"/>
      <c r="JA4" s="63"/>
      <c r="JB4" s="63"/>
      <c r="JC4" s="63"/>
      <c r="JD4" s="63"/>
      <c r="JE4" s="63"/>
      <c r="JF4" s="63"/>
      <c r="JG4" s="63"/>
      <c r="JI4" s="155" t="s">
        <v>517</v>
      </c>
      <c r="JJ4" s="159"/>
      <c r="JK4" s="159"/>
      <c r="JL4" s="159"/>
      <c r="JM4" s="159"/>
      <c r="JN4" s="159"/>
      <c r="JO4" s="159"/>
      <c r="JP4" s="159"/>
      <c r="JQ4" s="159"/>
      <c r="JR4" s="159"/>
      <c r="JS4" s="159"/>
      <c r="JT4" s="159"/>
      <c r="JU4" s="159"/>
      <c r="JV4" s="159"/>
      <c r="JW4" s="159"/>
      <c r="JX4" s="159"/>
      <c r="JY4" s="159"/>
      <c r="JZ4" s="159"/>
      <c r="KA4" s="159"/>
      <c r="KB4" s="159"/>
      <c r="KC4" s="159"/>
      <c r="KD4" s="159"/>
      <c r="KE4" s="159"/>
      <c r="KF4" s="159"/>
      <c r="KG4" s="159"/>
      <c r="KH4" s="159"/>
      <c r="KI4" s="159"/>
    </row>
    <row r="5" spans="1:295" ht="96.6" x14ac:dyDescent="0.3">
      <c r="A5" s="2" t="s">
        <v>173</v>
      </c>
      <c r="B5" s="50" t="s">
        <v>2</v>
      </c>
      <c r="C5" s="2"/>
      <c r="D5" s="1" t="s">
        <v>180</v>
      </c>
      <c r="E5" s="2" t="s">
        <v>102</v>
      </c>
      <c r="F5" s="2" t="s">
        <v>283</v>
      </c>
      <c r="G5" s="2" t="s">
        <v>184</v>
      </c>
      <c r="H5" s="2" t="s">
        <v>185</v>
      </c>
      <c r="I5" s="2" t="s">
        <v>186</v>
      </c>
      <c r="J5" s="2" t="s">
        <v>162</v>
      </c>
      <c r="K5" s="2" t="s">
        <v>163</v>
      </c>
      <c r="L5" s="28" t="s">
        <v>431</v>
      </c>
      <c r="M5" s="28" t="s">
        <v>435</v>
      </c>
      <c r="N5" s="28" t="s">
        <v>443</v>
      </c>
      <c r="O5" s="28" t="s">
        <v>451</v>
      </c>
      <c r="P5" s="28" t="s">
        <v>450</v>
      </c>
      <c r="Q5" s="28" t="s">
        <v>449</v>
      </c>
      <c r="R5" s="28" t="s">
        <v>95</v>
      </c>
      <c r="S5" s="28" t="s">
        <v>96</v>
      </c>
      <c r="T5" s="28" t="s">
        <v>164</v>
      </c>
      <c r="U5" s="28" t="s">
        <v>157</v>
      </c>
      <c r="V5" s="2" t="s">
        <v>165</v>
      </c>
      <c r="W5" s="2" t="s">
        <v>166</v>
      </c>
      <c r="X5" s="28" t="s">
        <v>167</v>
      </c>
      <c r="Z5" s="1" t="s">
        <v>180</v>
      </c>
      <c r="AA5" s="2" t="s">
        <v>103</v>
      </c>
      <c r="AB5" s="2" t="s">
        <v>283</v>
      </c>
      <c r="AC5" s="2" t="s">
        <v>97</v>
      </c>
      <c r="AD5" s="2" t="s">
        <v>98</v>
      </c>
      <c r="AE5" s="2" t="s">
        <v>99</v>
      </c>
      <c r="AF5" s="2" t="s">
        <v>168</v>
      </c>
      <c r="AG5" s="2" t="s">
        <v>169</v>
      </c>
      <c r="AH5" s="28" t="s">
        <v>431</v>
      </c>
      <c r="AI5" s="28" t="s">
        <v>435</v>
      </c>
      <c r="AJ5" s="28" t="s">
        <v>443</v>
      </c>
      <c r="AK5" s="28" t="s">
        <v>451</v>
      </c>
      <c r="AL5" s="28" t="s">
        <v>450</v>
      </c>
      <c r="AM5" s="28" t="s">
        <v>449</v>
      </c>
      <c r="AN5" s="28" t="s">
        <v>95</v>
      </c>
      <c r="AO5" s="28" t="s">
        <v>96</v>
      </c>
      <c r="AP5" s="28" t="s">
        <v>164</v>
      </c>
      <c r="AQ5" s="28" t="s">
        <v>157</v>
      </c>
      <c r="AR5" s="2" t="s">
        <v>170</v>
      </c>
      <c r="AS5" s="2" t="s">
        <v>171</v>
      </c>
      <c r="AT5" s="28" t="s">
        <v>172</v>
      </c>
      <c r="AV5" s="39" t="s">
        <v>14</v>
      </c>
      <c r="AW5" s="28" t="s">
        <v>192</v>
      </c>
      <c r="AX5" s="28" t="s">
        <v>193</v>
      </c>
      <c r="AY5" s="28" t="s">
        <v>194</v>
      </c>
      <c r="AZ5" s="28" t="s">
        <v>135</v>
      </c>
      <c r="BA5" s="28" t="s">
        <v>156</v>
      </c>
      <c r="BB5" s="28" t="s">
        <v>176</v>
      </c>
      <c r="BC5" s="28" t="s">
        <v>316</v>
      </c>
      <c r="BD5" s="28" t="s">
        <v>134</v>
      </c>
      <c r="BE5" s="28" t="s">
        <v>146</v>
      </c>
      <c r="BF5" s="28" t="s">
        <v>132</v>
      </c>
      <c r="BG5" s="71" t="s">
        <v>318</v>
      </c>
      <c r="BH5" s="28" t="s">
        <v>133</v>
      </c>
      <c r="BI5" s="28" t="s">
        <v>200</v>
      </c>
      <c r="BJ5" s="28" t="s">
        <v>431</v>
      </c>
      <c r="BK5" s="28" t="s">
        <v>435</v>
      </c>
      <c r="BL5" s="28" t="s">
        <v>443</v>
      </c>
      <c r="BM5" s="28" t="s">
        <v>451</v>
      </c>
      <c r="BN5" s="28" t="s">
        <v>450</v>
      </c>
      <c r="BO5" s="28" t="s">
        <v>449</v>
      </c>
      <c r="BP5" s="28" t="s">
        <v>95</v>
      </c>
      <c r="BQ5" s="28" t="s">
        <v>96</v>
      </c>
      <c r="BR5" s="28" t="s">
        <v>157</v>
      </c>
      <c r="BS5" s="28" t="s">
        <v>158</v>
      </c>
      <c r="BT5" s="28" t="s">
        <v>159</v>
      </c>
      <c r="BU5" s="28" t="s">
        <v>161</v>
      </c>
      <c r="BV5" s="28" t="s">
        <v>324</v>
      </c>
      <c r="BW5" s="28"/>
      <c r="BX5" s="28" t="s">
        <v>316</v>
      </c>
      <c r="BY5" s="28" t="s">
        <v>146</v>
      </c>
      <c r="BZ5" s="28" t="s">
        <v>132</v>
      </c>
      <c r="CA5" s="71" t="s">
        <v>204</v>
      </c>
      <c r="CB5" s="28" t="s">
        <v>133</v>
      </c>
      <c r="CC5" s="28" t="s">
        <v>202</v>
      </c>
      <c r="CD5" s="28" t="s">
        <v>159</v>
      </c>
      <c r="CE5" s="28" t="s">
        <v>161</v>
      </c>
      <c r="CF5" s="28" t="s">
        <v>205</v>
      </c>
      <c r="CG5" s="28"/>
      <c r="CH5" s="28" t="s">
        <v>316</v>
      </c>
      <c r="CI5" s="28" t="s">
        <v>146</v>
      </c>
      <c r="CJ5" s="28" t="s">
        <v>132</v>
      </c>
      <c r="CK5" s="71" t="s">
        <v>323</v>
      </c>
      <c r="CL5" s="28" t="s">
        <v>133</v>
      </c>
      <c r="CM5" s="28" t="s">
        <v>209</v>
      </c>
      <c r="CN5" s="28" t="s">
        <v>159</v>
      </c>
      <c r="CO5" s="28" t="s">
        <v>161</v>
      </c>
      <c r="CP5" s="28" t="s">
        <v>207</v>
      </c>
      <c r="CQ5" s="28"/>
      <c r="CR5" s="28" t="s">
        <v>316</v>
      </c>
      <c r="CS5" s="28" t="s">
        <v>146</v>
      </c>
      <c r="CT5" s="28" t="s">
        <v>132</v>
      </c>
      <c r="CU5" s="71" t="s">
        <v>175</v>
      </c>
      <c r="CV5" s="28" t="s">
        <v>133</v>
      </c>
      <c r="CW5" s="28" t="s">
        <v>160</v>
      </c>
      <c r="CX5" s="28" t="s">
        <v>159</v>
      </c>
      <c r="CY5" s="28" t="s">
        <v>161</v>
      </c>
      <c r="CZ5" s="28" t="s">
        <v>174</v>
      </c>
      <c r="DA5" s="28"/>
      <c r="DB5" s="28" t="s">
        <v>333</v>
      </c>
      <c r="DC5" s="28" t="s">
        <v>146</v>
      </c>
      <c r="DD5" s="28" t="s">
        <v>132</v>
      </c>
      <c r="DE5" s="71" t="s">
        <v>337</v>
      </c>
      <c r="DF5" s="28" t="s">
        <v>133</v>
      </c>
      <c r="DG5" s="28" t="s">
        <v>392</v>
      </c>
      <c r="DH5" s="28" t="s">
        <v>159</v>
      </c>
      <c r="DI5" s="28" t="s">
        <v>161</v>
      </c>
      <c r="DJ5" s="28" t="s">
        <v>389</v>
      </c>
      <c r="DK5" s="28"/>
      <c r="DL5" s="28" t="s">
        <v>333</v>
      </c>
      <c r="DM5" s="28" t="s">
        <v>146</v>
      </c>
      <c r="DN5" s="28" t="s">
        <v>132</v>
      </c>
      <c r="DO5" s="28" t="s">
        <v>342</v>
      </c>
      <c r="DP5" s="71" t="s">
        <v>327</v>
      </c>
      <c r="DQ5" s="28" t="s">
        <v>133</v>
      </c>
      <c r="DR5" s="28" t="s">
        <v>392</v>
      </c>
      <c r="DS5" s="28" t="s">
        <v>159</v>
      </c>
      <c r="DT5" s="28" t="s">
        <v>161</v>
      </c>
      <c r="DU5" s="28" t="s">
        <v>390</v>
      </c>
      <c r="DV5" s="28"/>
      <c r="DW5" s="28" t="s">
        <v>332</v>
      </c>
      <c r="DX5" s="28" t="s">
        <v>146</v>
      </c>
      <c r="DY5" s="28" t="s">
        <v>132</v>
      </c>
      <c r="DZ5" s="28" t="s">
        <v>342</v>
      </c>
      <c r="EA5" s="71" t="s">
        <v>335</v>
      </c>
      <c r="EB5" s="28" t="s">
        <v>133</v>
      </c>
      <c r="EC5" s="28" t="s">
        <v>392</v>
      </c>
      <c r="ED5" s="28" t="s">
        <v>159</v>
      </c>
      <c r="EE5" s="28" t="s">
        <v>161</v>
      </c>
      <c r="EF5" s="28" t="s">
        <v>391</v>
      </c>
      <c r="EG5" s="28"/>
      <c r="EH5" s="131" t="s">
        <v>137</v>
      </c>
      <c r="EI5" s="28" t="s">
        <v>134</v>
      </c>
      <c r="EJ5" s="28" t="s">
        <v>146</v>
      </c>
      <c r="EK5" s="28" t="s">
        <v>132</v>
      </c>
      <c r="EL5" s="28" t="s">
        <v>133</v>
      </c>
      <c r="EM5" s="28" t="s">
        <v>135</v>
      </c>
      <c r="EN5" s="71" t="s">
        <v>175</v>
      </c>
      <c r="EO5" s="28" t="s">
        <v>156</v>
      </c>
      <c r="EP5" s="28" t="s">
        <v>176</v>
      </c>
      <c r="EQ5" s="28" t="s">
        <v>121</v>
      </c>
      <c r="ER5" s="28" t="s">
        <v>95</v>
      </c>
      <c r="ES5" s="28" t="s">
        <v>96</v>
      </c>
      <c r="ET5" s="28" t="s">
        <v>157</v>
      </c>
      <c r="EU5" s="28" t="s">
        <v>158</v>
      </c>
      <c r="EV5" s="28" t="s">
        <v>160</v>
      </c>
      <c r="EW5" s="28" t="s">
        <v>159</v>
      </c>
      <c r="EX5" s="28" t="s">
        <v>161</v>
      </c>
      <c r="EY5" s="28" t="s">
        <v>174</v>
      </c>
      <c r="EZ5" s="59"/>
      <c r="FA5" s="28" t="s">
        <v>146</v>
      </c>
      <c r="FB5" s="28" t="s">
        <v>132</v>
      </c>
      <c r="FC5" s="28" t="s">
        <v>133</v>
      </c>
      <c r="FD5" s="71" t="s">
        <v>199</v>
      </c>
      <c r="FE5" s="28" t="s">
        <v>200</v>
      </c>
      <c r="FF5" s="28" t="s">
        <v>159</v>
      </c>
      <c r="FG5" s="28" t="s">
        <v>161</v>
      </c>
      <c r="FH5" s="28" t="s">
        <v>201</v>
      </c>
      <c r="FI5" s="59"/>
      <c r="FJ5" s="28" t="s">
        <v>146</v>
      </c>
      <c r="FK5" s="28" t="s">
        <v>132</v>
      </c>
      <c r="FL5" s="28" t="s">
        <v>133</v>
      </c>
      <c r="FM5" s="71" t="s">
        <v>204</v>
      </c>
      <c r="FN5" s="28" t="s">
        <v>202</v>
      </c>
      <c r="FO5" s="28" t="s">
        <v>159</v>
      </c>
      <c r="FP5" s="28" t="s">
        <v>161</v>
      </c>
      <c r="FQ5" s="28" t="s">
        <v>205</v>
      </c>
      <c r="FR5" s="59"/>
      <c r="FS5" s="28" t="s">
        <v>146</v>
      </c>
      <c r="FT5" s="28" t="s">
        <v>132</v>
      </c>
      <c r="FU5" s="28" t="s">
        <v>133</v>
      </c>
      <c r="FV5" s="71" t="s">
        <v>206</v>
      </c>
      <c r="FW5" s="28" t="s">
        <v>209</v>
      </c>
      <c r="FX5" s="28" t="s">
        <v>159</v>
      </c>
      <c r="FY5" s="28" t="s">
        <v>161</v>
      </c>
      <c r="FZ5" s="28" t="s">
        <v>207</v>
      </c>
      <c r="GC5" s="1" t="s">
        <v>180</v>
      </c>
      <c r="GD5" s="2" t="s">
        <v>224</v>
      </c>
      <c r="GE5" s="2" t="s">
        <v>218</v>
      </c>
      <c r="GF5" s="2" t="s">
        <v>219</v>
      </c>
      <c r="GG5" s="2" t="s">
        <v>220</v>
      </c>
      <c r="GH5" s="2" t="s">
        <v>156</v>
      </c>
      <c r="GI5" s="2" t="s">
        <v>176</v>
      </c>
      <c r="GJ5" s="28" t="s">
        <v>431</v>
      </c>
      <c r="GK5" s="28" t="s">
        <v>435</v>
      </c>
      <c r="GL5" s="28" t="s">
        <v>443</v>
      </c>
      <c r="GM5" s="28" t="s">
        <v>451</v>
      </c>
      <c r="GN5" s="28" t="s">
        <v>450</v>
      </c>
      <c r="GO5" s="28" t="s">
        <v>449</v>
      </c>
      <c r="GP5" s="28" t="s">
        <v>95</v>
      </c>
      <c r="GQ5" s="28" t="s">
        <v>96</v>
      </c>
      <c r="GR5" s="28" t="s">
        <v>164</v>
      </c>
      <c r="GS5" s="28" t="s">
        <v>157</v>
      </c>
      <c r="GT5" s="2" t="s">
        <v>221</v>
      </c>
      <c r="GU5" s="2" t="s">
        <v>222</v>
      </c>
      <c r="GV5" s="28" t="s">
        <v>223</v>
      </c>
      <c r="GX5" s="1" t="s">
        <v>180</v>
      </c>
      <c r="GY5" s="2" t="s">
        <v>226</v>
      </c>
      <c r="GZ5" s="2" t="s">
        <v>218</v>
      </c>
      <c r="HA5" s="2" t="s">
        <v>219</v>
      </c>
      <c r="HB5" s="2" t="s">
        <v>220</v>
      </c>
      <c r="HC5" s="2" t="s">
        <v>156</v>
      </c>
      <c r="HD5" s="2" t="s">
        <v>176</v>
      </c>
      <c r="HE5" s="28" t="s">
        <v>431</v>
      </c>
      <c r="HF5" s="28" t="s">
        <v>435</v>
      </c>
      <c r="HG5" s="28" t="s">
        <v>443</v>
      </c>
      <c r="HH5" s="28" t="s">
        <v>451</v>
      </c>
      <c r="HI5" s="28" t="s">
        <v>450</v>
      </c>
      <c r="HJ5" s="28" t="s">
        <v>449</v>
      </c>
      <c r="HK5" s="28" t="s">
        <v>95</v>
      </c>
      <c r="HL5" s="28" t="s">
        <v>96</v>
      </c>
      <c r="HM5" s="28" t="s">
        <v>164</v>
      </c>
      <c r="HN5" s="28" t="s">
        <v>157</v>
      </c>
      <c r="HO5" s="2" t="s">
        <v>221</v>
      </c>
      <c r="HP5" s="2" t="s">
        <v>222</v>
      </c>
      <c r="HQ5" s="28" t="s">
        <v>225</v>
      </c>
      <c r="HS5" s="89" t="s">
        <v>180</v>
      </c>
      <c r="HT5" s="2" t="s">
        <v>245</v>
      </c>
      <c r="HU5" s="2" t="s">
        <v>218</v>
      </c>
      <c r="HV5" s="2" t="s">
        <v>219</v>
      </c>
      <c r="HW5" s="2" t="s">
        <v>220</v>
      </c>
      <c r="HX5" s="2" t="s">
        <v>156</v>
      </c>
      <c r="HY5" s="2" t="s">
        <v>176</v>
      </c>
      <c r="HZ5" s="28" t="s">
        <v>431</v>
      </c>
      <c r="IA5" s="28" t="s">
        <v>435</v>
      </c>
      <c r="IB5" s="28" t="s">
        <v>443</v>
      </c>
      <c r="IC5" s="28" t="s">
        <v>451</v>
      </c>
      <c r="ID5" s="28" t="s">
        <v>450</v>
      </c>
      <c r="IE5" s="28" t="s">
        <v>449</v>
      </c>
      <c r="IF5" s="28" t="s">
        <v>95</v>
      </c>
      <c r="IG5" s="28" t="s">
        <v>96</v>
      </c>
      <c r="IH5" s="28" t="s">
        <v>164</v>
      </c>
      <c r="II5" s="28" t="s">
        <v>157</v>
      </c>
      <c r="IJ5" s="2" t="s">
        <v>221</v>
      </c>
      <c r="IK5" s="2" t="s">
        <v>222</v>
      </c>
      <c r="IL5" s="28" t="s">
        <v>244</v>
      </c>
      <c r="IN5" s="1" t="s">
        <v>180</v>
      </c>
      <c r="IO5" s="2" t="s">
        <v>248</v>
      </c>
      <c r="IP5" s="2" t="s">
        <v>218</v>
      </c>
      <c r="IQ5" s="2" t="s">
        <v>219</v>
      </c>
      <c r="IR5" s="2" t="s">
        <v>220</v>
      </c>
      <c r="IS5" s="2" t="s">
        <v>156</v>
      </c>
      <c r="IT5" s="2" t="s">
        <v>176</v>
      </c>
      <c r="IU5" s="28" t="s">
        <v>431</v>
      </c>
      <c r="IV5" s="28" t="s">
        <v>435</v>
      </c>
      <c r="IW5" s="28" t="s">
        <v>443</v>
      </c>
      <c r="IX5" s="28" t="s">
        <v>451</v>
      </c>
      <c r="IY5" s="28" t="s">
        <v>450</v>
      </c>
      <c r="IZ5" s="28" t="s">
        <v>449</v>
      </c>
      <c r="JA5" s="28" t="s">
        <v>95</v>
      </c>
      <c r="JB5" s="28" t="s">
        <v>96</v>
      </c>
      <c r="JC5" s="28" t="s">
        <v>164</v>
      </c>
      <c r="JD5" s="28" t="s">
        <v>157</v>
      </c>
      <c r="JE5" s="2" t="s">
        <v>221</v>
      </c>
      <c r="JF5" s="2" t="s">
        <v>222</v>
      </c>
      <c r="JG5" s="28" t="s">
        <v>249</v>
      </c>
      <c r="JI5" s="156" t="s">
        <v>407</v>
      </c>
      <c r="JJ5" s="54" t="str">
        <f t="shared" ref="JJ5:JV5" si="0">AW5</f>
        <v>FGL Taxable Gross Earnings (current, that is, respective year USD)</v>
      </c>
      <c r="JK5" s="54" t="str">
        <f t="shared" si="0"/>
        <v>FGL Non-Taxable Gross Earnings (current, that is, respective year USD)</v>
      </c>
      <c r="JL5" s="54" t="str">
        <f t="shared" si="0"/>
        <v>FGL Total Gross Earnings (current, that is, respective year USD)</v>
      </c>
      <c r="JM5" s="54" t="str">
        <f t="shared" si="0"/>
        <v>Federal Poverty Level</v>
      </c>
      <c r="JN5" s="54" t="str">
        <f t="shared" si="0"/>
        <v>Taxable Gross Earnings in 2013 USD</v>
      </c>
      <c r="JO5" s="54" t="str">
        <f t="shared" si="0"/>
        <v>Non-Taxable Gross Earnings in 2013 USD</v>
      </c>
      <c r="JP5" s="54" t="str">
        <f t="shared" si="0"/>
        <v>Loan Timeline, Forbearance</v>
      </c>
      <c r="JQ5" s="54" t="str">
        <f t="shared" si="0"/>
        <v>Amount Borrowed (at the beginning of the year)</v>
      </c>
      <c r="JR5" s="54" t="str">
        <f t="shared" si="0"/>
        <v>Principal (beginning of year)</v>
      </c>
      <c r="JS5" s="54" t="str">
        <f t="shared" si="0"/>
        <v>Accrued Interest</v>
      </c>
      <c r="JT5" s="54" t="str">
        <f t="shared" si="0"/>
        <v>Standard 10 year</v>
      </c>
      <c r="JU5" s="54" t="str">
        <f t="shared" si="0"/>
        <v>End of Year Loan Balance</v>
      </c>
      <c r="JV5" s="54" t="str">
        <f t="shared" si="0"/>
        <v>Loan Payment STD in 2013 USD</v>
      </c>
      <c r="JW5" s="28" t="s">
        <v>431</v>
      </c>
      <c r="JX5" s="28" t="s">
        <v>435</v>
      </c>
      <c r="JY5" s="28" t="s">
        <v>443</v>
      </c>
      <c r="JZ5" s="28" t="s">
        <v>451</v>
      </c>
      <c r="KA5" s="28" t="s">
        <v>450</v>
      </c>
      <c r="KB5" s="28" t="s">
        <v>449</v>
      </c>
      <c r="KC5" s="28" t="s">
        <v>95</v>
      </c>
      <c r="KD5" s="28" t="s">
        <v>96</v>
      </c>
      <c r="KE5" s="54" t="str">
        <f>BR5</f>
        <v>Effective Tax Rate</v>
      </c>
      <c r="KF5" s="54" t="str">
        <f>BS5</f>
        <v>FGL Total After Tax Earnings in 2013 USD</v>
      </c>
      <c r="KG5" s="54" t="str">
        <f>BT5</f>
        <v>Net Pay in 2013 USD</v>
      </c>
      <c r="KH5" s="54" t="str">
        <f>BU5</f>
        <v>PV of Net Pay (Discounted)</v>
      </c>
      <c r="KI5" s="54" t="s">
        <v>409</v>
      </c>
    </row>
    <row r="6" spans="1:295" ht="14.45" x14ac:dyDescent="0.3">
      <c r="A6" s="4"/>
      <c r="B6" s="51"/>
      <c r="C6" s="4"/>
      <c r="D6" s="3"/>
      <c r="E6" s="2"/>
      <c r="F6" s="2"/>
      <c r="G6" s="2"/>
      <c r="H6" s="53"/>
      <c r="I6" s="53"/>
      <c r="J6" s="53"/>
      <c r="K6" s="53"/>
      <c r="L6" s="80"/>
      <c r="M6" s="80"/>
      <c r="N6" s="80"/>
      <c r="O6" s="80"/>
      <c r="P6" s="80"/>
      <c r="Q6" s="80" t="s">
        <v>412</v>
      </c>
      <c r="R6" s="80" t="s">
        <v>413</v>
      </c>
      <c r="S6" s="80" t="s">
        <v>414</v>
      </c>
      <c r="T6" s="53"/>
      <c r="U6" s="53"/>
      <c r="V6" s="53"/>
      <c r="W6" s="53"/>
      <c r="X6" s="53"/>
      <c r="Y6" s="53"/>
      <c r="Z6" s="3"/>
      <c r="AA6" s="4"/>
      <c r="AB6" s="4"/>
      <c r="AC6" s="53"/>
      <c r="AD6" s="53"/>
      <c r="AE6" s="53"/>
      <c r="AF6" s="53"/>
      <c r="AG6" s="53"/>
      <c r="AH6" s="80"/>
      <c r="AI6" s="80"/>
      <c r="AJ6" s="80"/>
      <c r="AK6" s="80"/>
      <c r="AL6" s="80"/>
      <c r="AM6" s="80" t="s">
        <v>412</v>
      </c>
      <c r="AN6" s="80" t="s">
        <v>413</v>
      </c>
      <c r="AO6" s="80" t="s">
        <v>414</v>
      </c>
      <c r="AP6" s="53"/>
      <c r="AQ6" s="53"/>
      <c r="AR6" s="53"/>
      <c r="AS6" s="53"/>
      <c r="AT6" s="53"/>
      <c r="AU6" s="53"/>
      <c r="AV6" s="40"/>
      <c r="AW6" s="80"/>
      <c r="AX6" s="80"/>
      <c r="AY6" s="80"/>
      <c r="AZ6" s="32"/>
      <c r="BA6" s="32"/>
      <c r="BB6" s="32"/>
      <c r="BC6" s="80"/>
      <c r="BD6" s="80"/>
      <c r="BE6" s="80"/>
      <c r="BF6" s="80"/>
      <c r="BG6" s="80"/>
      <c r="BH6" s="80"/>
      <c r="BI6" s="80"/>
      <c r="BJ6" s="80"/>
      <c r="BK6" s="80"/>
      <c r="BL6" s="80"/>
      <c r="BM6" s="80"/>
      <c r="BN6" s="80"/>
      <c r="BO6" s="80" t="s">
        <v>412</v>
      </c>
      <c r="BP6" s="80" t="s">
        <v>413</v>
      </c>
      <c r="BQ6" s="80" t="s">
        <v>414</v>
      </c>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132"/>
      <c r="EI6" s="80"/>
      <c r="EJ6" s="80"/>
      <c r="EK6" s="32"/>
      <c r="EL6" s="80"/>
      <c r="EM6" s="32"/>
      <c r="EN6" s="32"/>
      <c r="EO6" s="32"/>
      <c r="EP6" s="32"/>
      <c r="EQ6" s="53" t="s">
        <v>195</v>
      </c>
      <c r="ER6" s="53" t="s">
        <v>196</v>
      </c>
      <c r="ES6" s="53" t="s">
        <v>197</v>
      </c>
      <c r="ET6" s="53"/>
      <c r="EU6" s="53"/>
      <c r="EV6" s="53"/>
      <c r="EW6" s="53"/>
      <c r="EX6" s="53"/>
      <c r="EY6" s="53"/>
      <c r="EZ6" s="79"/>
      <c r="FA6" s="53"/>
      <c r="FB6" s="53"/>
      <c r="FC6" s="53"/>
      <c r="FD6" s="53"/>
      <c r="FE6" s="53"/>
      <c r="FF6" s="53"/>
      <c r="FG6" s="53"/>
      <c r="FH6" s="53"/>
      <c r="FI6" s="79"/>
      <c r="FJ6" s="53"/>
      <c r="FK6" s="53"/>
      <c r="FL6" s="53"/>
      <c r="FM6" s="53"/>
      <c r="FN6" s="53"/>
      <c r="FO6" s="53"/>
      <c r="FP6" s="53"/>
      <c r="FQ6" s="53"/>
      <c r="FR6" s="79"/>
      <c r="FS6" s="53"/>
      <c r="FT6" s="53"/>
      <c r="FU6" s="53"/>
      <c r="FV6" s="53"/>
      <c r="FW6" s="53"/>
      <c r="FX6" s="53"/>
      <c r="FY6" s="53"/>
      <c r="FZ6" s="53"/>
      <c r="GC6" s="3"/>
      <c r="GD6" s="2"/>
      <c r="GE6" s="2"/>
      <c r="GF6" s="53"/>
      <c r="GG6" s="53"/>
      <c r="GH6" s="53"/>
      <c r="GI6" s="53"/>
      <c r="GJ6" s="80"/>
      <c r="GK6" s="80"/>
      <c r="GL6" s="80"/>
      <c r="GM6" s="80"/>
      <c r="GN6" s="80"/>
      <c r="GO6" s="80" t="s">
        <v>412</v>
      </c>
      <c r="GP6" s="80" t="s">
        <v>413</v>
      </c>
      <c r="GQ6" s="80" t="s">
        <v>414</v>
      </c>
      <c r="GR6" s="53"/>
      <c r="GS6" s="53"/>
      <c r="GT6" s="53"/>
      <c r="GU6" s="53"/>
      <c r="GV6" s="53"/>
      <c r="GX6" s="3"/>
      <c r="GY6" s="4"/>
      <c r="GZ6" s="53"/>
      <c r="HA6" s="53"/>
      <c r="HB6" s="53"/>
      <c r="HC6" s="53"/>
      <c r="HD6" s="53"/>
      <c r="HE6" s="80"/>
      <c r="HF6" s="80"/>
      <c r="HG6" s="80"/>
      <c r="HH6" s="80"/>
      <c r="HI6" s="80"/>
      <c r="HJ6" s="80" t="s">
        <v>412</v>
      </c>
      <c r="HK6" s="80" t="s">
        <v>413</v>
      </c>
      <c r="HL6" s="80" t="s">
        <v>414</v>
      </c>
      <c r="HM6" s="53"/>
      <c r="HN6" s="53"/>
      <c r="HO6" s="53"/>
      <c r="HP6" s="53"/>
      <c r="HQ6" s="53"/>
      <c r="HS6" s="7"/>
      <c r="HZ6" s="80"/>
      <c r="IA6" s="80"/>
      <c r="IB6" s="80"/>
      <c r="IC6" s="80"/>
      <c r="ID6" s="80"/>
      <c r="IE6" s="80" t="s">
        <v>412</v>
      </c>
      <c r="IF6" s="80" t="s">
        <v>413</v>
      </c>
      <c r="IG6" s="80" t="s">
        <v>414</v>
      </c>
      <c r="IN6" s="7"/>
      <c r="IU6" s="80"/>
      <c r="IV6" s="80"/>
      <c r="IW6" s="80"/>
      <c r="IX6" s="80"/>
      <c r="IY6" s="80"/>
      <c r="IZ6" s="80" t="s">
        <v>412</v>
      </c>
      <c r="JA6" s="80" t="s">
        <v>413</v>
      </c>
      <c r="JB6" s="80" t="s">
        <v>414</v>
      </c>
      <c r="JI6" s="40"/>
      <c r="JW6" s="80"/>
      <c r="JX6" s="80"/>
      <c r="JY6" s="80"/>
      <c r="JZ6" s="80"/>
      <c r="KA6" s="80"/>
      <c r="KB6" s="80" t="s">
        <v>412</v>
      </c>
      <c r="KC6" s="80" t="s">
        <v>413</v>
      </c>
      <c r="KD6" s="80" t="s">
        <v>414</v>
      </c>
    </row>
    <row r="7" spans="1:295" ht="14.45" x14ac:dyDescent="0.3">
      <c r="A7" s="4">
        <v>2013</v>
      </c>
      <c r="B7" s="51">
        <v>1</v>
      </c>
      <c r="C7" s="4"/>
      <c r="D7" s="45">
        <v>0</v>
      </c>
      <c r="E7" s="4" t="s">
        <v>15</v>
      </c>
      <c r="F7" s="5">
        <f>InputData!$C$26*12</f>
        <v>34516.800000000003</v>
      </c>
      <c r="G7" s="5">
        <f>InputData!$C$26*12</f>
        <v>34516.800000000003</v>
      </c>
      <c r="H7" s="5">
        <f>(InputData!$H$37+InputData!$C$40)*12</f>
        <v>25411.199999999997</v>
      </c>
      <c r="I7" s="5">
        <f>G7+H7</f>
        <v>59928</v>
      </c>
      <c r="J7" s="5">
        <f>G7*((1+InputData!$C$5)/(1+InputData!$C$3))^(Ophtha!$B7-Ophtha!$B$7)</f>
        <v>34516.800000000003</v>
      </c>
      <c r="K7" s="5">
        <f>H7*((1+InputData!$C$5)/(1+InputData!$C$3))^(Ophtha!$B7-Ophtha!$B$7)</f>
        <v>25411.199999999997</v>
      </c>
      <c r="L7" s="32">
        <f>IF(J7-InputData!$C$158-InputData!$C$159&gt;=0,J7-InputData!$C$158-InputData!$C$159,0)</f>
        <v>34516.800000000003</v>
      </c>
      <c r="M7" s="32">
        <f>IF(J7-IF(J7&lt;=InputData!$C$146,InputData!$C$145,0)-MAX(InputData!$C$144,S7)&gt;=0,J7-IF(J7&lt;=InputData!$C$146,InputData!$C$145,0)-MAX(InputData!$C$144,S7),0)</f>
        <v>24516.800000000003</v>
      </c>
      <c r="N7" s="32">
        <f>IF(M7&lt;0,"Error",IF(M7&lt;=InputData!$B$170,InputData!$C$170*M7,IF(M7&lt;=InputData!$B$171,InputData!$D$170+InputData!$C$171*(M7-InputData!$B$170),IF(M7&lt;=InputData!$B$172,InputData!$D$171+InputData!$C$172*(M7-InputData!$B$171),IF(M7&lt;=InputData!$B$173,InputData!$D$172+InputData!$C$173*(M7-InputData!$B$172),IF(M7&lt;=InputData!$B$174,InputData!$D$173+InputData!$C$174*(M7-InputData!$B$173),IF(M7&lt;=InputData!$B$175,InputData!$D$174+InputData!$C$175*(M7-InputData!$B$174),InputData!$D$175+InputData!$C$176*(M7-InputData!$B$175))))))))</f>
        <v>3231.2700000000004</v>
      </c>
      <c r="O7" s="32">
        <f>IF(J7&lt;=InputData!$C$150,InputData!$C$152,IF(J7&lt;InputData!$C$151,IF(InputData!$C$152-0.25*IF(J7-InputData!$C$150&lt;=0,0,J7-InputData!$C$150)&lt;=0,0,InputData!$C$152-0.25*IF(J7-InputData!$C$150&lt;=0,0,J7-InputData!$C$150)),0))</f>
        <v>51900</v>
      </c>
      <c r="P7" s="32">
        <f>IF(J7-O7&lt;=0,0,IF(J7-O7&lt;=InputData!$C$153,InputData!$C$154*(J7-O7),InputData!$C$155*(J7-O7)-InputData!$D$154))</f>
        <v>0</v>
      </c>
      <c r="Q7" s="32">
        <f>MAX(N7,P7)</f>
        <v>3231.2700000000004</v>
      </c>
      <c r="R7" s="32">
        <f>IF(J7&gt;=0,IF(J7&lt;=InputData!$C$148,InputData!$C$147*J7,InputData!$C$147*InputData!$C$148)+InputData!$C$149*J7,0)</f>
        <v>2640.5352000000003</v>
      </c>
      <c r="S7" s="32">
        <f>IF(L7&lt;0,0,IF(L7&lt;=InputData!$B$163,InputData!$C$163*L7,IF(L7&lt;=InputData!$B$164,InputData!$D$163+InputData!$C$164*(L7-InputData!$B$163),IF(L7&lt;=InputData!$B$165,InputData!$D$164+InputData!$C$165*(L7-InputData!$B$164),InputData!$D$165+InputData!$C$166*(L7-InputData!$B$165)))))</f>
        <v>0</v>
      </c>
      <c r="T7" s="43">
        <f>(Q7+R7+S7)/J7</f>
        <v>0.17011441385064666</v>
      </c>
      <c r="U7" s="43">
        <f>(Q7+R7+S7)/(J7+K7)</f>
        <v>9.7980997196635972E-2</v>
      </c>
      <c r="V7" s="5">
        <f>J7+K7-Q7-R7-S7</f>
        <v>54056.194799999997</v>
      </c>
      <c r="W7" s="32">
        <f>V7/((1+InputData!$C$7)^(Ophtha!$B7-Ophtha!$B$7))</f>
        <v>54056.194799999997</v>
      </c>
      <c r="X7" s="5">
        <f>W7</f>
        <v>54056.194799999997</v>
      </c>
      <c r="Y7" s="53"/>
      <c r="Z7" s="45">
        <v>0</v>
      </c>
      <c r="AA7" s="4" t="s">
        <v>0</v>
      </c>
      <c r="AB7" s="4"/>
      <c r="AC7" s="5">
        <f>InputData!$C$67*10.5+(IntMed!G7+IntMed!H7)*45/365.25+InputData!$G$67</f>
        <v>49307.326488706363</v>
      </c>
      <c r="AD7" s="5">
        <v>0</v>
      </c>
      <c r="AE7" s="5">
        <f>AC7+AD7</f>
        <v>49307.326488706363</v>
      </c>
      <c r="AF7" s="5">
        <f>AC7*((1+InputData!$C$5)/(1+InputData!$C$3))^(Ophtha!$B7-Ophtha!$B$7)</f>
        <v>49307.326488706363</v>
      </c>
      <c r="AG7" s="5">
        <f>AD7*((1+InputData!$C$5)/(1+InputData!$C$3))^(Ophtha!$B7-Ophtha!$B$7)</f>
        <v>0</v>
      </c>
      <c r="AH7" s="32">
        <f>IF(AF7-InputData!$C$158-InputData!$C$159&gt;=0,AF7-InputData!$C$158-InputData!$C$159,0)</f>
        <v>49307.326488706363</v>
      </c>
      <c r="AI7" s="32">
        <f>IF(AF7-IF(AF7&lt;=InputData!$C$146,InputData!$C$145,0)-MAX(InputData!$C$144,AO7)&gt;=0,AF7-IF(AF7&lt;=InputData!$C$146,InputData!$C$145,0)-MAX(InputData!$C$144,AO7),0)</f>
        <v>39307.326488706363</v>
      </c>
      <c r="AJ7" s="32">
        <f>IF(AI7&lt;0,"Error",IF(AI7&lt;=InputData!$B$170,InputData!$C$170*AI7,IF(AI7&lt;=InputData!$B$171,InputData!$D$170+InputData!$C$171*(AI7-InputData!$B$170),IF(AI7&lt;=InputData!$B$172,InputData!$D$171+InputData!$C$172*(AI7-InputData!$B$171),IF(AI7&lt;=InputData!$B$173,InputData!$D$172+InputData!$C$173*(AI7-InputData!$B$172),IF(AI7&lt;=InputData!$B$174,InputData!$D$173+InputData!$C$174*(AI7-InputData!$B$173),IF(AI7&lt;=InputData!$B$175,InputData!$D$174+InputData!$C$175*(AI7-InputData!$B$174),InputData!$D$175+InputData!$C$176*(AI7-InputData!$B$175))))))))</f>
        <v>5755.5816221765908</v>
      </c>
      <c r="AK7" s="32">
        <f>IF(AF7&lt;=InputData!$C$150,InputData!$C$152,IF(AF7&lt;InputData!$C$151,IF(InputData!$C$152-0.25*IF(AF7-InputData!$C$150&lt;=0,0,AF7-InputData!$C$150)&lt;=0,0,InputData!$C$152-0.25*IF(AF7-InputData!$C$150&lt;=0,0,AF7-InputData!$C$150)),0))</f>
        <v>51900</v>
      </c>
      <c r="AL7" s="32">
        <f>IF(AF7-AK7&lt;=0,0,IF(AF7-AK7&lt;=InputData!$C$153,InputData!$C$154*(AF7-AK7),InputData!$C$155*(AF7-AK7)-InputData!$D$154))</f>
        <v>0</v>
      </c>
      <c r="AM7" s="32">
        <f>MAX(AJ7,AL7)</f>
        <v>5755.5816221765908</v>
      </c>
      <c r="AN7" s="32">
        <v>0</v>
      </c>
      <c r="AO7" s="32">
        <f>IF(AH7&lt;0,0,IF(AH7&lt;=InputData!$B$163,InputData!$C$163*AH7,IF(AH7&lt;=InputData!$B$164,InputData!$D$163+InputData!$C$164*(AH7-InputData!$B$163),IF(AH7&lt;=InputData!$B$165,InputData!$D$164+InputData!$C$165*(AH7-InputData!$B$164),InputData!$D$165+InputData!$C$166*(AH7-InputData!$B$165)))))</f>
        <v>0</v>
      </c>
      <c r="AP7" s="43">
        <f>(AM7+AN7+AO7)/AF7</f>
        <v>0.11672873043511865</v>
      </c>
      <c r="AQ7" s="43">
        <f>(AM7+AN7+AO7)/(AF7+AG7)</f>
        <v>0.11672873043511865</v>
      </c>
      <c r="AR7" s="5">
        <f>AF7+AG7-AM7-AN7-AO7</f>
        <v>43551.744866529771</v>
      </c>
      <c r="AS7" s="32">
        <f>AR7/((1+InputData!$C$7)^(Ophtha!$B7-Ophtha!$B$7))</f>
        <v>43551.744866529771</v>
      </c>
      <c r="AT7" s="5">
        <f>AS7</f>
        <v>43551.744866529771</v>
      </c>
      <c r="AU7" s="53"/>
      <c r="AV7" s="41" t="s">
        <v>0</v>
      </c>
      <c r="AW7" s="32">
        <v>0</v>
      </c>
      <c r="AX7" s="32">
        <f>-(BD7+BF7)</f>
        <v>-43015.05</v>
      </c>
      <c r="AY7" s="32">
        <f>AW7+AX7</f>
        <v>-43015.05</v>
      </c>
      <c r="AZ7" s="32">
        <f>InputData!$C$92</f>
        <v>11490</v>
      </c>
      <c r="BA7" s="32">
        <f>AW7/((1+InputData!$C$3)^(Ophtha!$B7-Ophtha!$B$7))</f>
        <v>0</v>
      </c>
      <c r="BB7" s="32">
        <f>AX7/((1+InputData!$C$3)^(Ophtha!$B7-Ophtha!$B$7))</f>
        <v>-43015.05</v>
      </c>
      <c r="BC7" s="32" t="s">
        <v>143</v>
      </c>
      <c r="BD7" s="118">
        <f>InputData!$C$88*9/40</f>
        <v>40500</v>
      </c>
      <c r="BE7" s="32">
        <f>BD7</f>
        <v>40500</v>
      </c>
      <c r="BF7" s="32">
        <f>BE7*InputData!$C$6</f>
        <v>2515.0500000000002</v>
      </c>
      <c r="BG7" s="32">
        <v>0</v>
      </c>
      <c r="BH7" s="32">
        <f>BE7+BF7-BG7</f>
        <v>43015.05</v>
      </c>
      <c r="BI7" s="32">
        <f>BG7/((1+InputData!$C$3)^(Ophtha!$B7-Ophtha!$B$7))</f>
        <v>0</v>
      </c>
      <c r="BJ7" s="32">
        <f>IF(BA7-InputData!$C$158-InputData!$C$159&gt;=0,BA7-InputData!$C$158-InputData!$C$159,0)</f>
        <v>0</v>
      </c>
      <c r="BK7" s="32">
        <f>IF(BA7-IF(BA7&lt;=InputData!$C$146,InputData!$C$145,0)-MAX(InputData!$C$144,BQ7)&gt;=0,BA7-IF(BA7&lt;=InputData!$C$146,InputData!$C$145,0)-MAX(InputData!$C$144,BQ7),0)</f>
        <v>0</v>
      </c>
      <c r="BL7" s="32">
        <f>IF(BK7&lt;0,"Error",IF(BK7&lt;=InputData!$B$170,InputData!$C$170*BK7,IF(BK7&lt;=InputData!$B$171,InputData!$D$170+InputData!$C$171*(BK7-InputData!$B$170),IF(BK7&lt;=InputData!$B$172,InputData!$D$171+InputData!$C$172*(BK7-InputData!$B$171),IF(BK7&lt;=InputData!$B$173,InputData!$D$172+InputData!$C$173*(BK7-InputData!$B$172),IF(BK7&lt;=InputData!$B$174,InputData!$D$173+InputData!$C$174*(BK7-InputData!$B$173),IF(BK7&lt;=InputData!$B$175,InputData!$D$174+InputData!$C$175*(BK7-InputData!$B$174),InputData!$D$175+InputData!$C$176*(BK7-InputData!$B$175))))))))</f>
        <v>0</v>
      </c>
      <c r="BM7" s="32">
        <f>IF(BA7&lt;=InputData!$C$150,InputData!$C$152,IF(BA7&lt;InputData!$C$151,IF(InputData!$C$152-0.25*IF(BA7-InputData!$C$150&lt;=0,0,BA7-InputData!$C$150)&lt;=0,0,InputData!$C$152-0.25*IF(BA7-InputData!$C$150&lt;=0,0,BA7-InputData!$C$150)),0))</f>
        <v>51900</v>
      </c>
      <c r="BN7" s="32">
        <f>IF(BA7-BM7&lt;=0,0,IF(BA7-BM7&lt;=InputData!$C$153,InputData!$C$154*(BA7-BM7),InputData!$C$155*(BA7-BM7)-InputData!$D$154))</f>
        <v>0</v>
      </c>
      <c r="BO7" s="32">
        <f>MAX(BL7,BN7)</f>
        <v>0</v>
      </c>
      <c r="BP7" s="32">
        <f>IF(BA7&gt;=0,IF(BA7&lt;=InputData!$C$148,InputData!$C$147*BA7,InputData!$C$147*InputData!$C$148)+InputData!$C$149*BA7,0)</f>
        <v>0</v>
      </c>
      <c r="BQ7" s="32">
        <f>IF(BJ7&lt;0,0,IF(BJ7&lt;=InputData!$B$163,InputData!$C$163*BJ7,IF(BJ7&lt;=InputData!$B$164,InputData!$D$163+InputData!$C$164*(BJ7-InputData!$B$163),IF(BJ7&lt;=InputData!$B$165,InputData!$D$164+InputData!$C$165*(BJ7-InputData!$B$164),InputData!$D$165+InputData!$C$166*(BJ7-InputData!$B$165)))))</f>
        <v>0</v>
      </c>
      <c r="BR7" s="43">
        <f>(BO7+BP7+BQ7)/(BA7+BB7)</f>
        <v>0</v>
      </c>
      <c r="BS7" s="32">
        <f>BA7+BB7-(BO7+BP7+BQ7)</f>
        <v>-43015.05</v>
      </c>
      <c r="BT7" s="32">
        <f>BS7-BI7</f>
        <v>-43015.05</v>
      </c>
      <c r="BU7" s="32">
        <f>BT7/((1+InputData!$C$7)^(Ophtha!$B7-Ophtha!$B$7))</f>
        <v>-43015.05</v>
      </c>
      <c r="BV7" s="5">
        <f>BU7</f>
        <v>-43015.05</v>
      </c>
      <c r="BW7" s="5"/>
      <c r="BX7" s="32" t="s">
        <v>143</v>
      </c>
      <c r="BY7" s="5">
        <f>$BE7</f>
        <v>40500</v>
      </c>
      <c r="BZ7" s="5">
        <f>$BF7</f>
        <v>2515.0500000000002</v>
      </c>
      <c r="CA7" s="5">
        <v>0</v>
      </c>
      <c r="CB7" s="5">
        <f>$BH7</f>
        <v>43015.05</v>
      </c>
      <c r="CC7" s="32">
        <f>CA7/((1+InputData!$C$3)^(Ophtha!$B7-Ophtha!$B$7))</f>
        <v>0</v>
      </c>
      <c r="CD7" s="5">
        <f>$BS7-CC7</f>
        <v>-43015.05</v>
      </c>
      <c r="CE7" s="32">
        <f>CD7/((1+InputData!$C$7)^(Ophtha!$B7-Ophtha!$B$7))</f>
        <v>-43015.05</v>
      </c>
      <c r="CF7" s="5">
        <f>CE7</f>
        <v>-43015.05</v>
      </c>
      <c r="CG7" s="5"/>
      <c r="CH7" s="32" t="s">
        <v>143</v>
      </c>
      <c r="CI7" s="5">
        <f>$BE7</f>
        <v>40500</v>
      </c>
      <c r="CJ7" s="5">
        <f>$BF7</f>
        <v>2515.0500000000002</v>
      </c>
      <c r="CK7" s="5">
        <v>0</v>
      </c>
      <c r="CL7" s="5">
        <f>$BH7</f>
        <v>43015.05</v>
      </c>
      <c r="CM7" s="32">
        <f>CK7/((1+InputData!$C$3)^(Ophtha!$B7-Ophtha!$B$7))</f>
        <v>0</v>
      </c>
      <c r="CN7" s="5">
        <f>$BS7-CM7</f>
        <v>-43015.05</v>
      </c>
      <c r="CO7" s="32">
        <f>CN7/((1+InputData!$C$7)^(Ophtha!$B7-Ophtha!$B$7))</f>
        <v>-43015.05</v>
      </c>
      <c r="CP7" s="5">
        <f>CO7</f>
        <v>-43015.05</v>
      </c>
      <c r="CQ7" s="5"/>
      <c r="CR7" s="32" t="s">
        <v>143</v>
      </c>
      <c r="CS7" s="5">
        <f>$BE7</f>
        <v>40500</v>
      </c>
      <c r="CT7" s="5">
        <f>$BF7</f>
        <v>2515.0500000000002</v>
      </c>
      <c r="CU7" s="5">
        <v>0</v>
      </c>
      <c r="CV7" s="5">
        <f>$BH7</f>
        <v>43015.05</v>
      </c>
      <c r="CW7" s="32">
        <f>CU7/((1+InputData!$C$3)^(Ophtha!$B7-Ophtha!$B$7))</f>
        <v>0</v>
      </c>
      <c r="CX7" s="5">
        <f>$BS7-CW7</f>
        <v>-43015.05</v>
      </c>
      <c r="CY7" s="32">
        <f>CX7/((1+InputData!$C$7)^(Ophtha!$B7-Ophtha!$B$7))</f>
        <v>-43015.05</v>
      </c>
      <c r="CZ7" s="5">
        <f>CY7</f>
        <v>-43015.05</v>
      </c>
      <c r="DA7" s="5"/>
      <c r="DB7" s="32" t="s">
        <v>143</v>
      </c>
      <c r="DC7" s="5">
        <f>$BE7</f>
        <v>40500</v>
      </c>
      <c r="DD7" s="5">
        <f>$BF7</f>
        <v>2515.0500000000002</v>
      </c>
      <c r="DE7" s="5">
        <v>0</v>
      </c>
      <c r="DF7" s="5">
        <f>$BH7</f>
        <v>43015.05</v>
      </c>
      <c r="DG7" s="32">
        <f>DE7/((1+InputData!$C$3)^(Ophtha!$B7-Ophtha!$B$7))</f>
        <v>0</v>
      </c>
      <c r="DH7" s="5">
        <f>$BS7-DG7</f>
        <v>-43015.05</v>
      </c>
      <c r="DI7" s="32">
        <f>DH7/((1+InputData!$C$7)^(Ophtha!$B7-Ophtha!$B$7))</f>
        <v>-43015.05</v>
      </c>
      <c r="DJ7" s="5">
        <f>DI7</f>
        <v>-43015.05</v>
      </c>
      <c r="DK7" s="5"/>
      <c r="DL7" s="32" t="s">
        <v>143</v>
      </c>
      <c r="DM7" s="5">
        <f>$BE7</f>
        <v>40500</v>
      </c>
      <c r="DN7" s="5">
        <f>$BF7</f>
        <v>2515.0500000000002</v>
      </c>
      <c r="DO7" s="5">
        <f>DN7-DP7</f>
        <v>2515.0500000000002</v>
      </c>
      <c r="DP7" s="5">
        <v>0</v>
      </c>
      <c r="DQ7" s="5">
        <f>$BH7</f>
        <v>43015.05</v>
      </c>
      <c r="DR7" s="32">
        <f>DP7/((1+InputData!$C$3)^(Ophtha!$B7-Ophtha!$B$7))</f>
        <v>0</v>
      </c>
      <c r="DS7" s="5">
        <f>$BS7-DR7</f>
        <v>-43015.05</v>
      </c>
      <c r="DT7" s="32">
        <f>DS7/((1+InputData!$C$7)^(Ophtha!$B7-Ophtha!$B$7))</f>
        <v>-43015.05</v>
      </c>
      <c r="DU7" s="5">
        <f>DT7</f>
        <v>-43015.05</v>
      </c>
      <c r="DV7" s="5"/>
      <c r="DW7" s="32" t="s">
        <v>143</v>
      </c>
      <c r="DX7" s="5">
        <f>$BE7</f>
        <v>40500</v>
      </c>
      <c r="DY7" s="5">
        <f>$BF7</f>
        <v>2515.0500000000002</v>
      </c>
      <c r="DZ7" s="5">
        <f>DY7</f>
        <v>2515.0500000000002</v>
      </c>
      <c r="EA7" s="5">
        <v>0</v>
      </c>
      <c r="EB7" s="5">
        <f>$BH7</f>
        <v>43015.05</v>
      </c>
      <c r="EC7" s="32">
        <f>EA7/((1+InputData!$C$3)^(Ophtha!$B7-Ophtha!$B$7))</f>
        <v>0</v>
      </c>
      <c r="ED7" s="5">
        <f>$BS7-EC7</f>
        <v>-43015.05</v>
      </c>
      <c r="EE7" s="32">
        <f>ED7/((1+InputData!$C$7)^(Ophtha!$B7-Ophtha!$B$7))</f>
        <v>-43015.05</v>
      </c>
      <c r="EF7" s="5">
        <f>EE7</f>
        <v>-43015.05</v>
      </c>
      <c r="EG7" s="32"/>
      <c r="EH7" s="133" t="s">
        <v>143</v>
      </c>
      <c r="EI7" s="32">
        <f>InputData!$C$88/4</f>
        <v>45000</v>
      </c>
      <c r="EJ7" s="32">
        <f>EI7</f>
        <v>45000</v>
      </c>
      <c r="EK7" s="32">
        <f>EJ7*InputData!$C$6</f>
        <v>2794.5</v>
      </c>
      <c r="EL7" s="32">
        <f>EI7+EK7</f>
        <v>47794.5</v>
      </c>
      <c r="EM7" s="32">
        <f>InputData!$C$92</f>
        <v>11490</v>
      </c>
      <c r="EN7" s="32">
        <v>0</v>
      </c>
      <c r="EO7" s="32">
        <f>AW7</f>
        <v>0</v>
      </c>
      <c r="EP7" s="32">
        <f>AX7</f>
        <v>-43015.05</v>
      </c>
      <c r="EQ7" s="32">
        <v>0</v>
      </c>
      <c r="ER7" s="32">
        <v>0</v>
      </c>
      <c r="ES7" s="32">
        <v>0</v>
      </c>
      <c r="ET7" s="43"/>
      <c r="EU7" s="32">
        <f>EO7+EP7-EQ7-ER7-ES7</f>
        <v>-43015.05</v>
      </c>
      <c r="EV7" s="32">
        <f>EN7/((1+InputData!$C$3)^(Ophtha!$B7-Ophtha!$B$7))</f>
        <v>0</v>
      </c>
      <c r="EW7" s="32">
        <f>EU7-EV7</f>
        <v>-43015.05</v>
      </c>
      <c r="EX7" s="32">
        <f>EW7/((1+InputData!$C$7)^(Ophtha!$B7-Ophtha!$B$7))</f>
        <v>-43015.05</v>
      </c>
      <c r="EY7" s="5">
        <f>EX7</f>
        <v>-43015.05</v>
      </c>
      <c r="EZ7" s="79"/>
      <c r="FA7" s="32">
        <f>$EJ7</f>
        <v>45000</v>
      </c>
      <c r="FB7" s="32">
        <f>$EK7</f>
        <v>2794.5</v>
      </c>
      <c r="FC7" s="32">
        <f>$EL7</f>
        <v>47794.5</v>
      </c>
      <c r="FD7" s="32">
        <v>0</v>
      </c>
      <c r="FE7" s="32">
        <f>FD7/((1+InputData!$C$3)^(Ophtha!$B7-Ophtha!$B$7))</f>
        <v>0</v>
      </c>
      <c r="FF7" s="5">
        <f>$EU7-FE7</f>
        <v>-43015.05</v>
      </c>
      <c r="FG7" s="32">
        <f>FF7/((1+InputData!$C$7)^(Ophtha!$B7-Ophtha!$B$7))</f>
        <v>-43015.05</v>
      </c>
      <c r="FH7" s="5">
        <f>FG7</f>
        <v>-43015.05</v>
      </c>
      <c r="FI7" s="79"/>
      <c r="FJ7" s="32">
        <f>$EJ7</f>
        <v>45000</v>
      </c>
      <c r="FK7" s="32">
        <f>$EK7</f>
        <v>2794.5</v>
      </c>
      <c r="FL7" s="32">
        <f>$EL7</f>
        <v>47794.5</v>
      </c>
      <c r="FM7" s="32">
        <v>0</v>
      </c>
      <c r="FN7" s="32">
        <f>FM7/((1+InputData!$C$3)^(Ophtha!$B7-Ophtha!$B$7))</f>
        <v>0</v>
      </c>
      <c r="FO7" s="5">
        <f>$EU7-FN7</f>
        <v>-43015.05</v>
      </c>
      <c r="FP7" s="32">
        <f>FO7/((1+InputData!$C$7)^(Ophtha!$B7-Ophtha!$B$7))</f>
        <v>-43015.05</v>
      </c>
      <c r="FQ7" s="5">
        <f>FP7</f>
        <v>-43015.05</v>
      </c>
      <c r="FR7" s="79"/>
      <c r="FS7" s="32">
        <f t="shared" ref="FS7:FS14" si="1">$EJ7</f>
        <v>45000</v>
      </c>
      <c r="FT7" s="32">
        <f>$EK7</f>
        <v>2794.5</v>
      </c>
      <c r="FU7" s="32">
        <f>$EL7</f>
        <v>47794.5</v>
      </c>
      <c r="FV7" s="32">
        <v>0</v>
      </c>
      <c r="FW7" s="32">
        <f>FV7/((1+InputData!$C$3)^(Ophtha!$B7-Ophtha!$B$7))</f>
        <v>0</v>
      </c>
      <c r="FX7" s="5">
        <f>$EU7-FW7</f>
        <v>-43015.05</v>
      </c>
      <c r="FY7" s="32">
        <f>FX7/((1+InputData!$C$7)^(Ophtha!$B7-Ophtha!$B$7))</f>
        <v>-43015.05</v>
      </c>
      <c r="FZ7" s="5">
        <f>FY7</f>
        <v>-43015.05</v>
      </c>
      <c r="GC7" s="3">
        <f t="shared" ref="GC7:GC30" si="2">D7</f>
        <v>0</v>
      </c>
      <c r="GD7" s="4" t="str">
        <f t="shared" ref="GD7:GD30" si="3">E7</f>
        <v>Med School (O1&lt;=2 yrs)</v>
      </c>
      <c r="GE7" s="5">
        <f t="shared" ref="GE7:GE30" si="4">G7</f>
        <v>34516.800000000003</v>
      </c>
      <c r="GF7" s="5">
        <f t="shared" ref="GF7:GF30" si="5">H7</f>
        <v>25411.199999999997</v>
      </c>
      <c r="GG7" s="5">
        <f t="shared" ref="GG7:GG30" si="6">I7</f>
        <v>59928</v>
      </c>
      <c r="GH7" s="5">
        <f t="shared" ref="GH7:GH30" si="7">J7</f>
        <v>34516.800000000003</v>
      </c>
      <c r="GI7" s="5">
        <f t="shared" ref="GI7:GI30" si="8">K7</f>
        <v>25411.199999999997</v>
      </c>
      <c r="GJ7" s="32">
        <f>IF(GH7-InputData!$C$158-InputData!$C$159&gt;=0,GH7-InputData!$C$158-InputData!$C$159,0)</f>
        <v>34516.800000000003</v>
      </c>
      <c r="GK7" s="32">
        <f>IF(GH7-IF(GH7&lt;=InputData!$C$146,InputData!$C$145,0)-MAX(InputData!$C$144,GQ7)&gt;=0,GH7-IF(GH7&lt;=InputData!$C$146,InputData!$C$145,0)-MAX(InputData!$C$144,GQ7),0)</f>
        <v>24516.800000000003</v>
      </c>
      <c r="GL7" s="32">
        <f>IF(GK7&lt;0,"Error",IF(GK7&lt;=InputData!$B$170,InputData!$C$170*GK7,IF(GK7&lt;=InputData!$B$171,InputData!$D$170+InputData!$C$171*(GK7-InputData!$B$170),IF(GK7&lt;=InputData!$B$172,InputData!$D$171+InputData!$C$172*(GK7-InputData!$B$171),IF(GK7&lt;=InputData!$B$173,InputData!$D$172+InputData!$C$173*(GK7-InputData!$B$172),IF(GK7&lt;=InputData!$B$174,InputData!$D$173+InputData!$C$174*(GK7-InputData!$B$173),IF(GK7&lt;=InputData!$B$175,InputData!$D$174+InputData!$C$175*(GK7-InputData!$B$174),InputData!$D$175+InputData!$C$176*(GK7-InputData!$B$175))))))))</f>
        <v>3231.2700000000004</v>
      </c>
      <c r="GM7" s="32">
        <f>IF(GH7&lt;=InputData!$C$150,InputData!$C$152,IF(GH7&lt;InputData!$C$151,IF(InputData!$C$152-0.25*IF(GH7-InputData!$C$150&lt;=0,0,GH7-InputData!$C$150)&lt;=0,0,InputData!$C$152-0.25*IF(GH7-InputData!$C$150&lt;=0,0,GH7-InputData!$C$150)),0))</f>
        <v>51900</v>
      </c>
      <c r="GN7" s="32">
        <f>IF(GH7-GM7&lt;=0,0,IF(GH7-GM7&lt;=InputData!$C$153,InputData!$C$154*(GH7-GM7),InputData!$C$155*(GH7-GM7)-InputData!$D$154))</f>
        <v>0</v>
      </c>
      <c r="GO7" s="32">
        <f>MAX(GL7,GN7)</f>
        <v>3231.2700000000004</v>
      </c>
      <c r="GP7" s="32">
        <f>IF(GH7&gt;=0,IF(GH7&lt;=InputData!$C$148,InputData!$C$147*GH7,InputData!$C$147*InputData!$C$148)+InputData!$C$149*GH7,0)</f>
        <v>2640.5352000000003</v>
      </c>
      <c r="GQ7" s="32">
        <f>IF(GJ7&lt;0,0,IF(GJ7&lt;=InputData!$B$163,InputData!$C$163*GJ7,IF(GJ7&lt;=InputData!$B$164,InputData!$D$163+InputData!$C$164*(GJ7-InputData!$B$163),IF(GJ7&lt;=InputData!$B$165,InputData!$D$164+InputData!$C$165*(GJ7-InputData!$B$164),InputData!$D$165+InputData!$C$166*(GJ7-InputData!$B$165)))))</f>
        <v>0</v>
      </c>
      <c r="GR7" s="43">
        <f>(GO7+GP7+GQ7)/GH7</f>
        <v>0.17011441385064666</v>
      </c>
      <c r="GS7" s="43">
        <f>(GO7+GP7+GQ7)/(GH7+GI7)</f>
        <v>9.7980997196635972E-2</v>
      </c>
      <c r="GT7" s="5">
        <f t="shared" ref="GT7:GT35" si="9">GH7+GI7-GO7-GP7-GQ7</f>
        <v>54056.194799999997</v>
      </c>
      <c r="GU7" s="32">
        <f>GT7/((1+InputData!$C$7)^(Ophtha!$B7-Ophtha!$B$7))</f>
        <v>54056.194799999997</v>
      </c>
      <c r="GV7" s="5">
        <f>GU7</f>
        <v>54056.194799999997</v>
      </c>
      <c r="GX7" s="3">
        <f t="shared" ref="GX7:GX30" si="10">Z7</f>
        <v>0</v>
      </c>
      <c r="GY7" s="4" t="str">
        <f t="shared" ref="GY7:GY30" si="11">AA7</f>
        <v>Med School</v>
      </c>
      <c r="GZ7" s="5">
        <f t="shared" ref="GZ7:GZ30" si="12">AC7</f>
        <v>49307.326488706363</v>
      </c>
      <c r="HA7" s="5">
        <f t="shared" ref="HA7:HA30" si="13">AD7</f>
        <v>0</v>
      </c>
      <c r="HB7" s="5">
        <f t="shared" ref="HB7:HB30" si="14">AE7</f>
        <v>49307.326488706363</v>
      </c>
      <c r="HC7" s="5">
        <f t="shared" ref="HC7:HC30" si="15">AF7</f>
        <v>49307.326488706363</v>
      </c>
      <c r="HD7" s="5">
        <f t="shared" ref="HD7:HD30" si="16">AG7</f>
        <v>0</v>
      </c>
      <c r="HE7" s="32">
        <f>IF(HC7-InputData!$C$158-InputData!$C$159&gt;=0,HC7-InputData!$C$158-InputData!$C$159,0)</f>
        <v>49307.326488706363</v>
      </c>
      <c r="HF7" s="32">
        <f>IF(HC7-IF(HC7&lt;=InputData!$C$146,InputData!$C$145,0)-MAX(InputData!$C$144,HL7)&gt;=0,HC7-IF(HC7&lt;=InputData!$C$146,InputData!$C$145,0)-MAX(InputData!$C$144,HL7),0)</f>
        <v>39307.326488706363</v>
      </c>
      <c r="HG7" s="32">
        <f>IF(HF7&lt;0,"Error",IF(HF7&lt;=InputData!$B$170,InputData!$C$170*HF7,IF(HF7&lt;=InputData!$B$171,InputData!$D$170+InputData!$C$171*(HF7-InputData!$B$170),IF(HF7&lt;=InputData!$B$172,InputData!$D$171+InputData!$C$172*(HF7-InputData!$B$171),IF(HF7&lt;=InputData!$B$173,InputData!$D$172+InputData!$C$173*(HF7-InputData!$B$172),IF(HF7&lt;=InputData!$B$174,InputData!$D$173+InputData!$C$174*(HF7-InputData!$B$173),IF(HF7&lt;=InputData!$B$175,InputData!$D$174+InputData!$C$175*(HF7-InputData!$B$174),InputData!$D$175+InputData!$C$176*(HF7-InputData!$B$175))))))))</f>
        <v>5755.5816221765908</v>
      </c>
      <c r="HH7" s="32">
        <f>IF(HC7&lt;=InputData!$C$150,InputData!$C$152,IF(HC7&lt;InputData!$C$151,IF(InputData!$C$152-0.25*IF(HC7-InputData!$C$150&lt;=0,0,HC7-InputData!$C$150)&lt;=0,0,InputData!$C$152-0.25*IF(HC7-InputData!$C$150&lt;=0,0,HC7-InputData!$C$150)),0))</f>
        <v>51900</v>
      </c>
      <c r="HI7" s="32">
        <f>IF(HC7-HH7&lt;=0,0,IF(HC7-HH7&lt;=InputData!$C$153,InputData!$C$154*(HC7-HH7),InputData!$C$155*(HC7-HH7)-InputData!$D$154))</f>
        <v>0</v>
      </c>
      <c r="HJ7" s="32">
        <f>MAX(HG7,HI7)</f>
        <v>5755.5816221765908</v>
      </c>
      <c r="HK7" s="32">
        <v>0</v>
      </c>
      <c r="HL7" s="32">
        <f>IF(HE7&lt;0,0,IF(HE7&lt;=InputData!$B$163,InputData!$C$163*HE7,IF(HE7&lt;=InputData!$B$164,InputData!$D$163+InputData!$C$164*(HE7-InputData!$B$163),IF(HE7&lt;=InputData!$B$165,InputData!$D$164+InputData!$C$165*(HE7-InputData!$B$164),InputData!$D$165+InputData!$C$166*(HE7-InputData!$B$165)))))</f>
        <v>0</v>
      </c>
      <c r="HM7" s="43">
        <f>(HJ7+HK7+HL7)/HC7</f>
        <v>0.11672873043511865</v>
      </c>
      <c r="HN7" s="43">
        <f>(HJ7+HK7+HL7)/(HC7+HD7)</f>
        <v>0.11672873043511865</v>
      </c>
      <c r="HO7" s="5">
        <f t="shared" ref="HO7:HO35" si="17">HC7+HD7-HJ7-HK7-HL7</f>
        <v>43551.744866529771</v>
      </c>
      <c r="HP7" s="32">
        <f>HO7/((1+InputData!$C$7)^(Ophtha!$B7-Ophtha!$B$7))</f>
        <v>43551.744866529771</v>
      </c>
      <c r="HQ7" s="5">
        <f>HP7</f>
        <v>43551.744866529771</v>
      </c>
      <c r="HS7" s="93">
        <f t="shared" ref="HS7:HS21" si="18">D7</f>
        <v>0</v>
      </c>
      <c r="HT7" s="5" t="str">
        <f t="shared" ref="HT7:HT21" si="19">E7</f>
        <v>Med School (O1&lt;=2 yrs)</v>
      </c>
      <c r="HU7" s="5">
        <f t="shared" ref="HU7:HU21" si="20">G7</f>
        <v>34516.800000000003</v>
      </c>
      <c r="HV7" s="5">
        <f t="shared" ref="HV7:HV21" si="21">H7</f>
        <v>25411.199999999997</v>
      </c>
      <c r="HW7" s="5">
        <f t="shared" ref="HW7:HW21" si="22">I7</f>
        <v>59928</v>
      </c>
      <c r="HX7" s="5">
        <f t="shared" ref="HX7:HX21" si="23">J7</f>
        <v>34516.800000000003</v>
      </c>
      <c r="HY7" s="5">
        <f t="shared" ref="HY7:HY21" si="24">K7</f>
        <v>25411.199999999997</v>
      </c>
      <c r="HZ7" s="32">
        <f>IF(HX7-InputData!$C$158-InputData!$C$159&gt;=0,HX7-InputData!$C$158-InputData!$C$159,0)</f>
        <v>34516.800000000003</v>
      </c>
      <c r="IA7" s="32">
        <f>IF(HX7-IF(HX7&lt;=InputData!$C$146,InputData!$C$145,0)-MAX(InputData!$C$144,IG7)&gt;=0,HX7-IF(HX7&lt;=InputData!$C$146,InputData!$C$145,0)-MAX(InputData!$C$144,IG7),0)</f>
        <v>24516.800000000003</v>
      </c>
      <c r="IB7" s="32">
        <f>IF(IA7&lt;0,"Error",IF(IA7&lt;=InputData!$B$170,InputData!$C$170*IA7,IF(IA7&lt;=InputData!$B$171,InputData!$D$170+InputData!$C$171*(IA7-InputData!$B$170),IF(IA7&lt;=InputData!$B$172,InputData!$D$171+InputData!$C$172*(IA7-InputData!$B$171),IF(IA7&lt;=InputData!$B$173,InputData!$D$172+InputData!$C$173*(IA7-InputData!$B$172),IF(IA7&lt;=InputData!$B$174,InputData!$D$173+InputData!$C$174*(IA7-InputData!$B$173),IF(IA7&lt;=InputData!$B$175,InputData!$D$174+InputData!$C$175*(IA7-InputData!$B$174),InputData!$D$175+InputData!$C$176*(IA7-InputData!$B$175))))))))</f>
        <v>3231.2700000000004</v>
      </c>
      <c r="IC7" s="32">
        <f>IF(HX7&lt;=InputData!$C$150,InputData!$C$152,IF(HX7&lt;InputData!$C$151,IF(InputData!$C$152-0.25*IF(HX7-InputData!$C$150&lt;=0,0,HX7-InputData!$C$150)&lt;=0,0,InputData!$C$152-0.25*IF(HX7-InputData!$C$150&lt;=0,0,HX7-InputData!$C$150)),0))</f>
        <v>51900</v>
      </c>
      <c r="ID7" s="32">
        <f>IF(HX7-IC7&lt;=0,0,IF(HX7-IC7&lt;=InputData!$C$153,InputData!$C$154*(HX7-IC7),InputData!$C$155*(HX7-IC7)-InputData!$D$154))</f>
        <v>0</v>
      </c>
      <c r="IE7" s="32">
        <f>MAX(IB7,ID7)</f>
        <v>3231.2700000000004</v>
      </c>
      <c r="IF7" s="32">
        <f>IF(HX7&gt;=0,IF(HX7&lt;=InputData!$C$148,InputData!$C$147*HX7,InputData!$C$147*InputData!$C$148)+InputData!$C$149*HX7,0)</f>
        <v>2640.5352000000003</v>
      </c>
      <c r="IG7" s="32">
        <f>IF(HZ7&lt;0,0,IF(HZ7&lt;=InputData!$B$163,InputData!$C$163*HZ7,IF(HZ7&lt;=InputData!$B$164,InputData!$D$163+InputData!$C$164*(HZ7-InputData!$B$163),IF(HZ7&lt;=InputData!$B$165,InputData!$D$164+InputData!$C$165*(HZ7-InputData!$B$164),InputData!$D$165+InputData!$C$166*(HZ7-InputData!$B$165)))))</f>
        <v>0</v>
      </c>
      <c r="IH7" s="43">
        <f>(IE7+IF7+IG7)/HX7</f>
        <v>0.17011441385064666</v>
      </c>
      <c r="II7" s="43">
        <f>(IE7+IF7+IG7)/(HX7+HY7)</f>
        <v>9.7980997196635972E-2</v>
      </c>
      <c r="IJ7" s="5">
        <f>HX7+HY7-IE7-IF7-IG7</f>
        <v>54056.194799999997</v>
      </c>
      <c r="IK7" s="32">
        <f>IJ7/((1+InputData!$C$7)^(Ophtha!$B7-Ophtha!$B$7))</f>
        <v>54056.194799999997</v>
      </c>
      <c r="IL7" s="5">
        <f>IK7</f>
        <v>54056.194799999997</v>
      </c>
      <c r="IN7" s="93">
        <f t="shared" ref="IN7:IN18" si="25">Z7</f>
        <v>0</v>
      </c>
      <c r="IO7" s="5" t="str">
        <f t="shared" ref="IO7:IO18" si="26">AA7</f>
        <v>Med School</v>
      </c>
      <c r="IP7" s="5">
        <f t="shared" ref="IP7:IP18" si="27">AC7</f>
        <v>49307.326488706363</v>
      </c>
      <c r="IQ7" s="5">
        <f t="shared" ref="IQ7:IQ18" si="28">AD7</f>
        <v>0</v>
      </c>
      <c r="IR7" s="5">
        <f t="shared" ref="IR7:IR18" si="29">AE7</f>
        <v>49307.326488706363</v>
      </c>
      <c r="IS7" s="5">
        <f t="shared" ref="IS7:IS18" si="30">AF7</f>
        <v>49307.326488706363</v>
      </c>
      <c r="IT7" s="5">
        <f t="shared" ref="IT7:IT18" si="31">AG7</f>
        <v>0</v>
      </c>
      <c r="IU7" s="32">
        <f>IF(IS7-InputData!$C$158-InputData!$C$159&gt;=0,IS7-InputData!$C$158-InputData!$C$159,0)</f>
        <v>49307.326488706363</v>
      </c>
      <c r="IV7" s="32">
        <f>IF(IS7-IF(IS7&lt;=InputData!$C$146,InputData!$C$145,0)-MAX(InputData!$C$144,JB7)&gt;=0,IS7-IF(IS7&lt;=InputData!$C$146,InputData!$C$145,0)-MAX(InputData!$C$144,JB7),0)</f>
        <v>39307.326488706363</v>
      </c>
      <c r="IW7" s="32">
        <f>IF(IV7&lt;0,"Error",IF(IV7&lt;=InputData!$B$170,InputData!$C$170*IV7,IF(IV7&lt;=InputData!$B$171,InputData!$D$170+InputData!$C$171*(IV7-InputData!$B$170),IF(IV7&lt;=InputData!$B$172,InputData!$D$171+InputData!$C$172*(IV7-InputData!$B$171),IF(IV7&lt;=InputData!$B$173,InputData!$D$172+InputData!$C$173*(IV7-InputData!$B$172),IF(IV7&lt;=InputData!$B$174,InputData!$D$173+InputData!$C$174*(IV7-InputData!$B$173),IF(IV7&lt;=InputData!$B$175,InputData!$D$174+InputData!$C$175*(IV7-InputData!$B$174),InputData!$D$175+InputData!$C$176*(IV7-InputData!$B$175))))))))</f>
        <v>5755.5816221765908</v>
      </c>
      <c r="IX7" s="32">
        <f>IF(IS7&lt;=InputData!$C$150,InputData!$C$152,IF(IS7&lt;InputData!$C$151,IF(InputData!$C$152-0.25*IF(IS7-InputData!$C$150&lt;=0,0,IS7-InputData!$C$150)&lt;=0,0,InputData!$C$152-0.25*IF(IS7-InputData!$C$150&lt;=0,0,IS7-InputData!$C$150)),0))</f>
        <v>51900</v>
      </c>
      <c r="IY7" s="32">
        <f>IF(IS7-IX7&lt;=0,0,IF(IS7-IX7&lt;=InputData!$C$153,InputData!$C$154*(IS7-IX7),InputData!$C$155*(IS7-IX7)-InputData!$D$154))</f>
        <v>0</v>
      </c>
      <c r="IZ7" s="32">
        <f>MAX(IW7,IY7)</f>
        <v>5755.5816221765908</v>
      </c>
      <c r="JA7" s="32">
        <v>0</v>
      </c>
      <c r="JB7" s="32">
        <f>IF(IU7&lt;0,0,IF(IU7&lt;=InputData!$B$163,InputData!$C$163*IU7,IF(IU7&lt;=InputData!$B$164,InputData!$D$163+InputData!$C$164*(IU7-InputData!$B$163),IF(IU7&lt;=InputData!$B$165,InputData!$D$164+InputData!$C$165*(IU7-InputData!$B$164),InputData!$D$165+InputData!$C$166*(IU7-InputData!$B$165)))))</f>
        <v>0</v>
      </c>
      <c r="JC7" s="43">
        <f>(IZ7+JA7+JB7)/IS7</f>
        <v>0.11672873043511865</v>
      </c>
      <c r="JD7" s="43">
        <f>(IZ7+JA7+JB7)/(IS7+IT7)</f>
        <v>0.11672873043511865</v>
      </c>
      <c r="JE7" s="5">
        <f>IS7+IT7-IZ7-JA7-JB7</f>
        <v>43551.744866529771</v>
      </c>
      <c r="JF7" s="32">
        <f>JE7/((1+InputData!$C$7)^(Ophtha!$B7-Ophtha!$B$7))</f>
        <v>43551.744866529771</v>
      </c>
      <c r="JG7" s="5">
        <f>JF7</f>
        <v>43551.744866529771</v>
      </c>
      <c r="JI7" s="41" t="str">
        <f t="shared" ref="JI7:JI36" si="32">AV7</f>
        <v>Med School</v>
      </c>
      <c r="JJ7" s="5">
        <f t="shared" ref="JJ7:JJ36" si="33">AW7</f>
        <v>0</v>
      </c>
      <c r="JK7" s="32">
        <f>-(JQ7+JS7)</f>
        <v>0</v>
      </c>
      <c r="JL7" s="32">
        <f>JJ7+JK7</f>
        <v>0</v>
      </c>
      <c r="JM7" s="32">
        <f>InputData!$C$92</f>
        <v>11490</v>
      </c>
      <c r="JN7" s="32">
        <f>JJ7/((1+InputData!$C$3)^(Ophtha!$B7-Ophtha!$B$7))</f>
        <v>0</v>
      </c>
      <c r="JO7" s="32">
        <f>JK7/((1+InputData!$C$3)^(Ophtha!$B7-Ophtha!$B$7))</f>
        <v>0</v>
      </c>
      <c r="JP7" s="32" t="s">
        <v>143</v>
      </c>
      <c r="JQ7" s="118">
        <v>0</v>
      </c>
      <c r="JR7" s="32">
        <f>JQ7</f>
        <v>0</v>
      </c>
      <c r="JS7" s="32">
        <f>JR7*InputData!$C$6</f>
        <v>0</v>
      </c>
      <c r="JT7" s="32">
        <v>0</v>
      </c>
      <c r="JU7" s="32">
        <f>JR7+JS7-JT7</f>
        <v>0</v>
      </c>
      <c r="JV7" s="32">
        <f>JT7/((1+InputData!$C$3)^(Ophtha!$B7-Ophtha!$B$7))</f>
        <v>0</v>
      </c>
      <c r="JW7" s="32">
        <f>IF(JN7-InputData!$C$158-InputData!$C$159&gt;=0,JN7-InputData!$C$158-InputData!$C$159,0)</f>
        <v>0</v>
      </c>
      <c r="JX7" s="32">
        <f>IF(JN7-IF(JN7&lt;=InputData!$C$146,InputData!$C$145,0)-MAX(InputData!$C$144,KD7)&gt;=0,JN7-IF(JN7&lt;=InputData!$C$146,InputData!$C$145,0)-MAX(InputData!$C$144,KD7),0)</f>
        <v>0</v>
      </c>
      <c r="JY7" s="32">
        <f>IF(JX7&lt;0,"Error",IF(JX7&lt;=InputData!$B$170,InputData!$C$170*JX7,IF(JX7&lt;=InputData!$B$171,InputData!$D$170+InputData!$C$171*(JX7-InputData!$B$170),IF(JX7&lt;=InputData!$B$172,InputData!$D$171+InputData!$C$172*(JX7-InputData!$B$171),IF(JX7&lt;=InputData!$B$173,InputData!$D$172+InputData!$C$173*(JX7-InputData!$B$172),IF(JX7&lt;=InputData!$B$174,InputData!$D$173+InputData!$C$174*(JX7-InputData!$B$173),IF(JX7&lt;=InputData!$B$175,InputData!$D$174+InputData!$C$175*(JX7-InputData!$B$174),InputData!$D$175+InputData!$C$176*(JX7-InputData!$B$175))))))))</f>
        <v>0</v>
      </c>
      <c r="JZ7" s="32">
        <f>IF(JN7&lt;=InputData!$C$150,InputData!$C$152,IF(JN7&lt;InputData!$C$151,IF(InputData!$C$152-0.25*IF(JN7-InputData!$C$150&lt;=0,0,JN7-InputData!$C$150)&lt;=0,0,InputData!$C$152-0.25*IF(JN7-InputData!$C$150&lt;=0,0,JN7-InputData!$C$150)),0))</f>
        <v>51900</v>
      </c>
      <c r="KA7" s="32">
        <f>IF(JN7-JZ7&lt;=0,0,IF(JN7-JZ7&lt;=InputData!$C$153,InputData!$C$154*(JN7-JZ7),InputData!$C$155*(JN7-JZ7)-InputData!$D$154))</f>
        <v>0</v>
      </c>
      <c r="KB7" s="32">
        <f>MAX(JY7,KA7)</f>
        <v>0</v>
      </c>
      <c r="KC7" s="32">
        <f>IF(JN7&gt;=0,IF(JN7&lt;=InputData!$C$148,InputData!$C$147*JN7,InputData!$C$147*InputData!$C$148)+InputData!$C$149*JN7,0)</f>
        <v>0</v>
      </c>
      <c r="KD7" s="32">
        <f>IF(JW7&lt;0,0,IF(JW7&lt;=InputData!$B$163,InputData!$C$163*JW7,IF(JW7&lt;=InputData!$B$164,InputData!$D$163+InputData!$C$164*(JW7-InputData!$B$163),IF(JW7&lt;=InputData!$B$165,InputData!$D$164+InputData!$C$165*(JW7-InputData!$B$164),InputData!$D$165+InputData!$C$166*(JW7-InputData!$B$165)))))</f>
        <v>0</v>
      </c>
      <c r="KE7" s="43" t="e">
        <f t="shared" ref="KE7:KE35" si="34">(KB7+KC7+KD7)/(JN7+JO7)</f>
        <v>#DIV/0!</v>
      </c>
      <c r="KF7" s="32">
        <f t="shared" ref="KF7:KF35" si="35">JN7+JO7-(KB7+KC7+KD7)</f>
        <v>0</v>
      </c>
      <c r="KG7" s="32">
        <f>KF7-JV7</f>
        <v>0</v>
      </c>
      <c r="KH7" s="32">
        <f>KG7/((1+InputData!$C$7)^(Ophtha!$B7-Ophtha!$B$7))</f>
        <v>0</v>
      </c>
      <c r="KI7" s="5">
        <f>KH7</f>
        <v>0</v>
      </c>
    </row>
    <row r="8" spans="1:295" ht="14.45" x14ac:dyDescent="0.3">
      <c r="A8" s="4">
        <v>2014</v>
      </c>
      <c r="B8" s="51">
        <v>2</v>
      </c>
      <c r="C8" s="4"/>
      <c r="D8" s="45">
        <v>0</v>
      </c>
      <c r="E8" s="4" t="s">
        <v>15</v>
      </c>
      <c r="F8" s="5">
        <f>InputData!$C$26*12</f>
        <v>34516.800000000003</v>
      </c>
      <c r="G8" s="5">
        <f>InputData!$C$26*12</f>
        <v>34516.800000000003</v>
      </c>
      <c r="H8" s="5">
        <f>(InputData!$H$37+InputData!$C$40)*12</f>
        <v>25411.199999999997</v>
      </c>
      <c r="I8" s="5">
        <f t="shared" ref="I8:I36" si="36">G8+H8</f>
        <v>59928</v>
      </c>
      <c r="J8" s="5">
        <f>G8*((1+InputData!$C$5)/(1+InputData!$C$3))^(Ophtha!$B8-Ophtha!$B$7)</f>
        <v>34178.400000000001</v>
      </c>
      <c r="K8" s="5">
        <f>H8*((1+InputData!$C$5)/(1+InputData!$C$3))^(Ophtha!$B8-Ophtha!$B$7)</f>
        <v>25162.070588235292</v>
      </c>
      <c r="L8" s="32">
        <f>IF(J8-InputData!$C$158-InputData!$C$159&gt;=0,J8-InputData!$C$158-InputData!$C$159,0)</f>
        <v>34178.400000000001</v>
      </c>
      <c r="M8" s="32">
        <f>IF(J8-IF(J8&lt;=InputData!$C$146,InputData!$C$145,0)-MAX(InputData!$C$144,S8)&gt;=0,J8-IF(J8&lt;=InputData!$C$146,InputData!$C$145,0)-MAX(InputData!$C$144,S8),0)</f>
        <v>24178.400000000001</v>
      </c>
      <c r="N8" s="32">
        <f>IF(M8&lt;0,"Error",IF(M8&lt;=InputData!$B$170,InputData!$C$170*M8,IF(M8&lt;=InputData!$B$171,InputData!$D$170+InputData!$C$171*(M8-InputData!$B$170),IF(M8&lt;=InputData!$B$172,InputData!$D$171+InputData!$C$172*(M8-InputData!$B$171),IF(M8&lt;=InputData!$B$173,InputData!$D$172+InputData!$C$173*(M8-InputData!$B$172),IF(M8&lt;=InputData!$B$174,InputData!$D$173+InputData!$C$174*(M8-InputData!$B$173),IF(M8&lt;=InputData!$B$175,InputData!$D$174+InputData!$C$175*(M8-InputData!$B$174),InputData!$D$175+InputData!$C$176*(M8-InputData!$B$175))))))))</f>
        <v>3180.51</v>
      </c>
      <c r="O8" s="32">
        <f>IF(J8&lt;=InputData!$C$150,InputData!$C$152,IF(J8&lt;InputData!$C$151,IF(InputData!$C$152-0.25*IF(J8-InputData!$C$150&lt;=0,0,J8-InputData!$C$150)&lt;=0,0,InputData!$C$152-0.25*IF(J8-InputData!$C$150&lt;=0,0,J8-InputData!$C$150)),0))</f>
        <v>51900</v>
      </c>
      <c r="P8" s="32">
        <f>IF(J8-O8&lt;=0,0,IF(J8-O8&lt;=InputData!$C$153,InputData!$C$154*(J8-O8),InputData!$C$155*(J8-O8)-InputData!$D$154))</f>
        <v>0</v>
      </c>
      <c r="Q8" s="32">
        <f t="shared" ref="Q8:Q36" si="37">MAX(N8,P8)</f>
        <v>3180.51</v>
      </c>
      <c r="R8" s="32">
        <f>IF(J8&gt;=0,IF(J8&lt;=InputData!$C$148,InputData!$C$147*J8,InputData!$C$147*InputData!$C$148)+InputData!$C$149*J8,0)</f>
        <v>2614.6476000000002</v>
      </c>
      <c r="S8" s="32">
        <f>IF(L8&lt;0,0,IF(L8&lt;=InputData!$B$163,InputData!$C$163*L8,IF(L8&lt;=InputData!$B$164,InputData!$D$163+InputData!$C$164*(L8-InputData!$B$163),IF(L8&lt;=InputData!$B$165,InputData!$D$164+InputData!$C$165*(L8-InputData!$B$164),InputData!$D$165+InputData!$C$166*(L8-InputData!$B$165)))))</f>
        <v>0</v>
      </c>
      <c r="T8" s="43">
        <f t="shared" ref="T8:T36" si="38">(Q8+R8+S8)/J8</f>
        <v>0.16955614072045502</v>
      </c>
      <c r="U8" s="43">
        <f t="shared" ref="U8:U36" si="39">(Q8+R8+S8)/(J8+K8)</f>
        <v>9.7659447971228844E-2</v>
      </c>
      <c r="V8" s="5">
        <f t="shared" ref="V8:V36" si="40">J8+K8-Q8-R8-S8</f>
        <v>53545.312988235295</v>
      </c>
      <c r="W8" s="32">
        <f>V8/((1+InputData!$C$7)^(Ophtha!$B8-Ophtha!$B$7))</f>
        <v>51985.740765276983</v>
      </c>
      <c r="X8" s="5">
        <f>X7+W8</f>
        <v>106041.93556527697</v>
      </c>
      <c r="Y8" s="53"/>
      <c r="Z8" s="45">
        <v>0</v>
      </c>
      <c r="AA8" s="4" t="s">
        <v>0</v>
      </c>
      <c r="AB8" s="4"/>
      <c r="AC8" s="5">
        <f>InputData!$C$67*10.5+(IntMed!G8+IntMed!H8)*45/365.25</f>
        <v>29307.326488706363</v>
      </c>
      <c r="AD8" s="5">
        <v>0</v>
      </c>
      <c r="AE8" s="5">
        <f t="shared" ref="AE8:AE36" si="41">AC8+AD8</f>
        <v>29307.326488706363</v>
      </c>
      <c r="AF8" s="5">
        <f>AC8*((1+InputData!$C$5)/(1+InputData!$C$3))^(Ophtha!$B8-Ophtha!$B$7)</f>
        <v>29019.999758424929</v>
      </c>
      <c r="AG8" s="5">
        <f>AD8*((1+InputData!$C$5)/(1+InputData!$C$3))^(Ophtha!$B8-Ophtha!$B$7)</f>
        <v>0</v>
      </c>
      <c r="AH8" s="32">
        <f>IF(AF8-InputData!$C$158-InputData!$C$159&gt;=0,AF8-InputData!$C$158-InputData!$C$159,0)</f>
        <v>29019.999758424929</v>
      </c>
      <c r="AI8" s="32">
        <f>IF(AF8-IF(AF8&lt;=InputData!$C$146,InputData!$C$145,0)-MAX(InputData!$C$144,AO8)&gt;=0,AF8-IF(AF8&lt;=InputData!$C$146,InputData!$C$145,0)-MAX(InputData!$C$144,AO8),0)</f>
        <v>19019.999758424929</v>
      </c>
      <c r="AJ8" s="32">
        <f>IF(AI8&lt;0,"Error",IF(AI8&lt;=InputData!$B$170,InputData!$C$170*AI8,IF(AI8&lt;=InputData!$B$171,InputData!$D$170+InputData!$C$171*(AI8-InputData!$B$170),IF(AI8&lt;=InputData!$B$172,InputData!$D$171+InputData!$C$172*(AI8-InputData!$B$171),IF(AI8&lt;=InputData!$B$173,InputData!$D$172+InputData!$C$173*(AI8-InputData!$B$172),IF(AI8&lt;=InputData!$B$174,InputData!$D$173+InputData!$C$174*(AI8-InputData!$B$173),IF(AI8&lt;=InputData!$B$175,InputData!$D$174+InputData!$C$175*(AI8-InputData!$B$174),InputData!$D$175+InputData!$C$176*(AI8-InputData!$B$175))))))))</f>
        <v>2406.7499637637393</v>
      </c>
      <c r="AK8" s="32">
        <f>IF(AF8&lt;=InputData!$C$150,InputData!$C$152,IF(AF8&lt;InputData!$C$151,IF(InputData!$C$152-0.25*IF(AF8-InputData!$C$150&lt;=0,0,AF8-InputData!$C$150)&lt;=0,0,InputData!$C$152-0.25*IF(AF8-InputData!$C$150&lt;=0,0,AF8-InputData!$C$150)),0))</f>
        <v>51900</v>
      </c>
      <c r="AL8" s="32">
        <f>IF(AF8-AK8&lt;=0,0,IF(AF8-AK8&lt;=InputData!$C$153,InputData!$C$154*(AF8-AK8),InputData!$C$155*(AF8-AK8)-InputData!$D$154))</f>
        <v>0</v>
      </c>
      <c r="AM8" s="32">
        <f t="shared" ref="AM8:AM36" si="42">MAX(AJ8,AL8)</f>
        <v>2406.7499637637393</v>
      </c>
      <c r="AN8" s="32">
        <v>0</v>
      </c>
      <c r="AO8" s="32">
        <f>IF(AH8&lt;0,0,IF(AH8&lt;=InputData!$B$163,InputData!$C$163*AH8,IF(AH8&lt;=InputData!$B$164,InputData!$D$163+InputData!$C$164*(AH8-InputData!$B$163),IF(AH8&lt;=InputData!$B$165,InputData!$D$164+InputData!$C$165*(AH8-InputData!$B$164),InputData!$D$165+InputData!$C$166*(AH8-InputData!$B$165)))))</f>
        <v>0</v>
      </c>
      <c r="AP8" s="43">
        <f t="shared" ref="AP8:AP36" si="43">(AM8+AN8+AO8)/AF8</f>
        <v>8.2934182763562042E-2</v>
      </c>
      <c r="AQ8" s="43">
        <f t="shared" ref="AQ8:AQ36" si="44">(AM8+AN8+AO8)/(AF8+AG8)</f>
        <v>8.2934182763562042E-2</v>
      </c>
      <c r="AR8" s="5">
        <f t="shared" ref="AR8:AR36" si="45">AF8+AG8-AM8-AN8-AO8</f>
        <v>26613.249794661191</v>
      </c>
      <c r="AS8" s="32">
        <f>AR8/((1+InputData!$C$7)^(Ophtha!$B8-Ophtha!$B$7))</f>
        <v>25838.106596758436</v>
      </c>
      <c r="AT8" s="5">
        <f>AT7+AS8</f>
        <v>69389.851463288214</v>
      </c>
      <c r="AU8" s="53"/>
      <c r="AV8" s="41" t="s">
        <v>0</v>
      </c>
      <c r="AW8" s="32">
        <v>0</v>
      </c>
      <c r="AX8" s="32">
        <f t="shared" ref="AX8:AX10" si="46">-(BD8+BF8)</f>
        <v>-45530.1</v>
      </c>
      <c r="AY8" s="32">
        <f t="shared" ref="AY8:AY36" si="47">AW8+AX8</f>
        <v>-45530.1</v>
      </c>
      <c r="AZ8" s="32">
        <f>AZ7*(1+InputData!$C$8)</f>
        <v>11719.800000000001</v>
      </c>
      <c r="BA8" s="32">
        <f>AW8/((1+InputData!$C$3)^(Ophtha!$B8-Ophtha!$B$7))</f>
        <v>0</v>
      </c>
      <c r="BB8" s="32">
        <f>AX8/((1+InputData!$C$3)^(Ophtha!$B8-Ophtha!$B$7))</f>
        <v>-44637.352941176468</v>
      </c>
      <c r="BC8" s="32" t="s">
        <v>143</v>
      </c>
      <c r="BD8" s="118">
        <f>InputData!$C$88*9/40</f>
        <v>40500</v>
      </c>
      <c r="BE8" s="32">
        <f>BE7+BD8</f>
        <v>81000</v>
      </c>
      <c r="BF8" s="32">
        <f>(BE8)*InputData!$C$6</f>
        <v>5030.1000000000004</v>
      </c>
      <c r="BG8" s="32">
        <v>0</v>
      </c>
      <c r="BH8" s="32">
        <f>BH7+BD8+BF8-BG8</f>
        <v>88545.150000000009</v>
      </c>
      <c r="BI8" s="32">
        <f>BG8/((1+InputData!$C$3)^(Ophtha!$B8-Ophtha!$B$7))</f>
        <v>0</v>
      </c>
      <c r="BJ8" s="32">
        <f>IF(BA8-InputData!$C$158-InputData!$C$159&gt;=0,BA8-InputData!$C$158-InputData!$C$159,0)</f>
        <v>0</v>
      </c>
      <c r="BK8" s="32">
        <f>IF(BA8-IF(BA8&lt;=InputData!$C$146,InputData!$C$145,0)-MAX(InputData!$C$144,BQ8)&gt;=0,BA8-IF(BA8&lt;=InputData!$C$146,InputData!$C$145,0)-MAX(InputData!$C$144,BQ8),0)</f>
        <v>0</v>
      </c>
      <c r="BL8" s="32">
        <f>IF(BK8&lt;0,"Error",IF(BK8&lt;=InputData!$B$170,InputData!$C$170*BK8,IF(BK8&lt;=InputData!$B$171,InputData!$D$170+InputData!$C$171*(BK8-InputData!$B$170),IF(BK8&lt;=InputData!$B$172,InputData!$D$171+InputData!$C$172*(BK8-InputData!$B$171),IF(BK8&lt;=InputData!$B$173,InputData!$D$172+InputData!$C$173*(BK8-InputData!$B$172),IF(BK8&lt;=InputData!$B$174,InputData!$D$173+InputData!$C$174*(BK8-InputData!$B$173),IF(BK8&lt;=InputData!$B$175,InputData!$D$174+InputData!$C$175*(BK8-InputData!$B$174),InputData!$D$175+InputData!$C$176*(BK8-InputData!$B$175))))))))</f>
        <v>0</v>
      </c>
      <c r="BM8" s="32">
        <f>IF(BA8&lt;=InputData!$C$150,InputData!$C$152,IF(BA8&lt;InputData!$C$151,IF(InputData!$C$152-0.25*IF(BA8-InputData!$C$150&lt;=0,0,BA8-InputData!$C$150)&lt;=0,0,InputData!$C$152-0.25*IF(BA8-InputData!$C$150&lt;=0,0,BA8-InputData!$C$150)),0))</f>
        <v>51900</v>
      </c>
      <c r="BN8" s="32">
        <f>IF(BA8-BM8&lt;=0,0,IF(BA8-BM8&lt;=InputData!$C$153,InputData!$C$154*(BA8-BM8),InputData!$C$155*(BA8-BM8)-InputData!$D$154))</f>
        <v>0</v>
      </c>
      <c r="BO8" s="32">
        <f t="shared" ref="BO8:BO36" si="48">MAX(BL8,BN8)</f>
        <v>0</v>
      </c>
      <c r="BP8" s="32">
        <f>IF(BA8&gt;=0,IF(BA8&lt;=InputData!$C$148,InputData!$C$147*BA8,InputData!$C$147*InputData!$C$148)+InputData!$C$149*BA8,0)</f>
        <v>0</v>
      </c>
      <c r="BQ8" s="32">
        <f>IF(BJ8&lt;0,0,IF(BJ8&lt;=InputData!$B$163,InputData!$C$163*BJ8,IF(BJ8&lt;=InputData!$B$164,InputData!$D$163+InputData!$C$164*(BJ8-InputData!$B$163),IF(BJ8&lt;=InputData!$B$165,InputData!$D$164+InputData!$C$165*(BJ8-InputData!$B$164),InputData!$D$165+InputData!$C$166*(BJ8-InputData!$B$165)))))</f>
        <v>0</v>
      </c>
      <c r="BR8" s="43">
        <f t="shared" ref="BR8:BR36" si="49">(BO8+BP8+BQ8)/(BA8+BB8)</f>
        <v>0</v>
      </c>
      <c r="BS8" s="32">
        <f t="shared" ref="BS8:BS36" si="50">BA8+BB8-(BO8+BP8+BQ8)</f>
        <v>-44637.352941176468</v>
      </c>
      <c r="BT8" s="32">
        <f t="shared" ref="BT8:BT36" si="51">BS8-BI8</f>
        <v>-44637.352941176468</v>
      </c>
      <c r="BU8" s="32">
        <f>BT8/((1+InputData!$C$7)^(Ophtha!$B8-Ophtha!$B$7))</f>
        <v>-43337.235865219875</v>
      </c>
      <c r="BV8" s="5">
        <f>BV7+BU8</f>
        <v>-86352.285865219877</v>
      </c>
      <c r="BW8" s="5"/>
      <c r="BX8" s="32" t="s">
        <v>143</v>
      </c>
      <c r="BY8" s="5">
        <f t="shared" ref="BY8:BY14" si="52">$BE8</f>
        <v>81000</v>
      </c>
      <c r="BZ8" s="5">
        <f t="shared" ref="BZ8:BZ14" si="53">$BF8</f>
        <v>5030.1000000000004</v>
      </c>
      <c r="CA8" s="5">
        <v>0</v>
      </c>
      <c r="CB8" s="5">
        <f t="shared" ref="CB8:CB14" si="54">$BH8</f>
        <v>88545.150000000009</v>
      </c>
      <c r="CC8" s="32">
        <f>CA8/((1+InputData!$C$3)^(Ophtha!$B8-Ophtha!$B$7))</f>
        <v>0</v>
      </c>
      <c r="CD8" s="5">
        <f t="shared" ref="CD8:CD36" si="55">$BS8-CC8</f>
        <v>-44637.352941176468</v>
      </c>
      <c r="CE8" s="32">
        <f>CD8/((1+InputData!$C$7)^(Ophtha!$B8-Ophtha!$B$7))</f>
        <v>-43337.235865219875</v>
      </c>
      <c r="CF8" s="5">
        <f>CF7+CE8</f>
        <v>-86352.285865219877</v>
      </c>
      <c r="CG8" s="5"/>
      <c r="CH8" s="32" t="s">
        <v>143</v>
      </c>
      <c r="CI8" s="5">
        <f t="shared" ref="CI8:CI14" si="56">$BE8</f>
        <v>81000</v>
      </c>
      <c r="CJ8" s="5">
        <f t="shared" ref="CJ8:CJ14" si="57">$BF8</f>
        <v>5030.1000000000004</v>
      </c>
      <c r="CK8" s="5">
        <v>0</v>
      </c>
      <c r="CL8" s="5">
        <f t="shared" ref="CL8:CL14" si="58">$BH8</f>
        <v>88545.150000000009</v>
      </c>
      <c r="CM8" s="32">
        <f>CK8/((1+InputData!$C$3)^(Ophtha!$B8-Ophtha!$B$7))</f>
        <v>0</v>
      </c>
      <c r="CN8" s="5">
        <f t="shared" ref="CN8:CN36" si="59">$BS8-CM8</f>
        <v>-44637.352941176468</v>
      </c>
      <c r="CO8" s="32">
        <f>CN8/((1+InputData!$C$7)^(Ophtha!$B8-Ophtha!$B$7))</f>
        <v>-43337.235865219875</v>
      </c>
      <c r="CP8" s="5">
        <f>CP7+CO8</f>
        <v>-86352.285865219877</v>
      </c>
      <c r="CQ8" s="5"/>
      <c r="CR8" s="32" t="s">
        <v>143</v>
      </c>
      <c r="CS8" s="5">
        <f t="shared" ref="CS8:CS14" si="60">$BE8</f>
        <v>81000</v>
      </c>
      <c r="CT8" s="5">
        <f t="shared" ref="CT8:CT14" si="61">$BF8</f>
        <v>5030.1000000000004</v>
      </c>
      <c r="CU8" s="5">
        <v>0</v>
      </c>
      <c r="CV8" s="5">
        <f t="shared" ref="CV8:CV14" si="62">$BH8</f>
        <v>88545.150000000009</v>
      </c>
      <c r="CW8" s="32">
        <f>CU8/((1+InputData!$C$3)^(Ophtha!$B8-Ophtha!$B$7))</f>
        <v>0</v>
      </c>
      <c r="CX8" s="5">
        <f t="shared" ref="CX8:CX36" si="63">$BS8-CW8</f>
        <v>-44637.352941176468</v>
      </c>
      <c r="CY8" s="32">
        <f>CX8/((1+InputData!$C$7)^(Ophtha!$B8-Ophtha!$B$7))</f>
        <v>-43337.235865219875</v>
      </c>
      <c r="CZ8" s="5">
        <f>CZ7+CY8</f>
        <v>-86352.285865219877</v>
      </c>
      <c r="DA8" s="5"/>
      <c r="DB8" s="32" t="s">
        <v>143</v>
      </c>
      <c r="DC8" s="5">
        <f t="shared" ref="DC8:DC10" si="64">$BE8</f>
        <v>81000</v>
      </c>
      <c r="DD8" s="5">
        <f t="shared" ref="DD8:DD10" si="65">$BF8</f>
        <v>5030.1000000000004</v>
      </c>
      <c r="DE8" s="5">
        <v>0</v>
      </c>
      <c r="DF8" s="5">
        <f t="shared" ref="DF8:DF10" si="66">$BH8</f>
        <v>88545.150000000009</v>
      </c>
      <c r="DG8" s="32">
        <f>DE8/((1+InputData!$C$3)^(Ophtha!$B8-Ophtha!$B$7))</f>
        <v>0</v>
      </c>
      <c r="DH8" s="5">
        <f t="shared" ref="DH8:DH36" si="67">$BS8-DG8</f>
        <v>-44637.352941176468</v>
      </c>
      <c r="DI8" s="32">
        <f>DH8/((1+InputData!$C$7)^(Ophtha!$B8-Ophtha!$B$7))</f>
        <v>-43337.235865219875</v>
      </c>
      <c r="DJ8" s="5">
        <f>DJ7+DI8</f>
        <v>-86352.285865219877</v>
      </c>
      <c r="DK8" s="5"/>
      <c r="DL8" s="32" t="s">
        <v>143</v>
      </c>
      <c r="DM8" s="5">
        <f t="shared" ref="DM8:DM10" si="68">$BE8</f>
        <v>81000</v>
      </c>
      <c r="DN8" s="5">
        <f t="shared" ref="DN8:DN10" si="69">$BF8</f>
        <v>5030.1000000000004</v>
      </c>
      <c r="DO8" s="5">
        <f>DO7+DN8-DP8</f>
        <v>7545.1500000000005</v>
      </c>
      <c r="DP8" s="5">
        <v>0</v>
      </c>
      <c r="DQ8" s="5">
        <f t="shared" ref="DQ8:DQ10" si="70">$BH8</f>
        <v>88545.150000000009</v>
      </c>
      <c r="DR8" s="32">
        <f>DP8/((1+InputData!$C$3)^(Ophtha!$B8-Ophtha!$B$7))</f>
        <v>0</v>
      </c>
      <c r="DS8" s="5">
        <f t="shared" ref="DS8:DS36" si="71">$BS8-DR8</f>
        <v>-44637.352941176468</v>
      </c>
      <c r="DT8" s="32">
        <f>DS8/((1+InputData!$C$7)^(Ophtha!$B8-Ophtha!$B$7))</f>
        <v>-43337.235865219875</v>
      </c>
      <c r="DU8" s="5">
        <f>DU7+DT8</f>
        <v>-86352.285865219877</v>
      </c>
      <c r="DV8" s="5"/>
      <c r="DW8" s="32" t="s">
        <v>143</v>
      </c>
      <c r="DX8" s="5">
        <f t="shared" ref="DX8:DX10" si="72">$BE8</f>
        <v>81000</v>
      </c>
      <c r="DY8" s="5">
        <f t="shared" ref="DY8:DY10" si="73">$BF8</f>
        <v>5030.1000000000004</v>
      </c>
      <c r="DZ8" s="5">
        <f>DZ7+DY8</f>
        <v>7545.1500000000005</v>
      </c>
      <c r="EA8" s="5">
        <v>0</v>
      </c>
      <c r="EB8" s="5">
        <f t="shared" ref="EB8:EB10" si="74">$BH8</f>
        <v>88545.150000000009</v>
      </c>
      <c r="EC8" s="32">
        <f>EA8/((1+InputData!$C$3)^(Ophtha!$B8-Ophtha!$B$7))</f>
        <v>0</v>
      </c>
      <c r="ED8" s="5">
        <f t="shared" ref="ED8:ED36" si="75">$BS8-EC8</f>
        <v>-44637.352941176468</v>
      </c>
      <c r="EE8" s="32">
        <f>ED8/((1+InputData!$C$7)^(Ophtha!$B8-Ophtha!$B$7))</f>
        <v>-43337.235865219875</v>
      </c>
      <c r="EF8" s="5">
        <f>EF7+EE8</f>
        <v>-86352.285865219877</v>
      </c>
      <c r="EG8" s="32"/>
      <c r="EH8" s="133" t="s">
        <v>143</v>
      </c>
      <c r="EI8" s="32">
        <f>EI7*(1+InputData!$C$10)</f>
        <v>45900</v>
      </c>
      <c r="EJ8" s="32">
        <f>EJ7+EI8</f>
        <v>90900</v>
      </c>
      <c r="EK8" s="32">
        <f>(EJ8)*InputData!$C$6</f>
        <v>5644.89</v>
      </c>
      <c r="EL8" s="32">
        <f>EL7+EI8+EK8</f>
        <v>99339.39</v>
      </c>
      <c r="EM8" s="32">
        <f>EM7*(1+InputData!$C$8)</f>
        <v>11719.800000000001</v>
      </c>
      <c r="EN8" s="32">
        <v>0</v>
      </c>
      <c r="EO8" s="32">
        <f>AW8/((1+InputData!$C$3)^(Ophtha!$B8-Ophtha!$B$7))</f>
        <v>0</v>
      </c>
      <c r="EP8" s="32">
        <f>AX8/((1+InputData!$C$3)^(Ophtha!$B8-Ophtha!$B$7))</f>
        <v>-44637.352941176468</v>
      </c>
      <c r="EQ8" s="32">
        <v>0</v>
      </c>
      <c r="ER8" s="32">
        <v>0</v>
      </c>
      <c r="ES8" s="32">
        <v>0</v>
      </c>
      <c r="ET8" s="43"/>
      <c r="EU8" s="32">
        <f t="shared" ref="EU8:EU36" si="76">EO8+EP8-EQ8-ER8-ES8</f>
        <v>-44637.352941176468</v>
      </c>
      <c r="EV8" s="32">
        <f>EN8/((1+InputData!$C$3)^(Ophtha!$B8-Ophtha!$B$7))</f>
        <v>0</v>
      </c>
      <c r="EW8" s="32">
        <f t="shared" ref="EW8:EW36" si="77">EU8-EV8</f>
        <v>-44637.352941176468</v>
      </c>
      <c r="EX8" s="32">
        <f>EW8/((1+InputData!$C$7)^(Ophtha!$B8-Ophtha!$B$7))</f>
        <v>-43337.235865219875</v>
      </c>
      <c r="EY8" s="5">
        <f>EY7+EX8</f>
        <v>-86352.285865219877</v>
      </c>
      <c r="EZ8" s="79"/>
      <c r="FA8" s="32">
        <f t="shared" ref="FA8:FA14" si="78">$EJ8</f>
        <v>90900</v>
      </c>
      <c r="FB8" s="32">
        <f t="shared" ref="FB8:FB14" si="79">$EK8</f>
        <v>5644.89</v>
      </c>
      <c r="FC8" s="32">
        <f t="shared" ref="FC8:FC14" si="80">$EL8</f>
        <v>99339.39</v>
      </c>
      <c r="FD8" s="32">
        <v>0</v>
      </c>
      <c r="FE8" s="32">
        <f>FD8/((1+InputData!$C$3)^(Ophtha!$B8-Ophtha!$B$7))</f>
        <v>0</v>
      </c>
      <c r="FF8" s="5">
        <f t="shared" ref="FF8:FF36" si="81">$EU8-FE8</f>
        <v>-44637.352941176468</v>
      </c>
      <c r="FG8" s="32">
        <f>FF8/((1+InputData!$C$7)^(Ophtha!$B8-Ophtha!$B$7))</f>
        <v>-43337.235865219875</v>
      </c>
      <c r="FH8" s="5">
        <f>FH7+FG8</f>
        <v>-86352.285865219877</v>
      </c>
      <c r="FI8" s="79"/>
      <c r="FJ8" s="32">
        <f t="shared" ref="FJ8:FJ14" si="82">$EJ8</f>
        <v>90900</v>
      </c>
      <c r="FK8" s="32">
        <f t="shared" ref="FK8:FK13" si="83">$EK8</f>
        <v>5644.89</v>
      </c>
      <c r="FL8" s="32">
        <f t="shared" ref="FL8:FL13" si="84">$EL8</f>
        <v>99339.39</v>
      </c>
      <c r="FM8" s="32">
        <v>0</v>
      </c>
      <c r="FN8" s="32">
        <f>FM8/((1+InputData!$C$3)^(Ophtha!$B8-Ophtha!$B$7))</f>
        <v>0</v>
      </c>
      <c r="FO8" s="5">
        <f t="shared" ref="FO8:FO36" si="85">$EU8-FN8</f>
        <v>-44637.352941176468</v>
      </c>
      <c r="FP8" s="32">
        <f>FO8/((1+InputData!$C$7)^(Ophtha!$B8-Ophtha!$B$7))</f>
        <v>-43337.235865219875</v>
      </c>
      <c r="FQ8" s="5">
        <f>FQ7+FP8</f>
        <v>-86352.285865219877</v>
      </c>
      <c r="FR8" s="79"/>
      <c r="FS8" s="32">
        <f t="shared" si="1"/>
        <v>90900</v>
      </c>
      <c r="FT8" s="32">
        <f t="shared" ref="FT8:FT13" si="86">$EK8</f>
        <v>5644.89</v>
      </c>
      <c r="FU8" s="32">
        <f t="shared" ref="FU8:FU13" si="87">$EL8</f>
        <v>99339.39</v>
      </c>
      <c r="FV8" s="32">
        <v>0</v>
      </c>
      <c r="FW8" s="32">
        <f>FV8/((1+InputData!$C$3)^(Ophtha!$B8-Ophtha!$B$7))</f>
        <v>0</v>
      </c>
      <c r="FX8" s="5">
        <f t="shared" ref="FX8:FX36" si="88">$EU8-FW8</f>
        <v>-44637.352941176468</v>
      </c>
      <c r="FY8" s="32">
        <f>FX8/((1+InputData!$C$7)^(Ophtha!$B8-Ophtha!$B$7))</f>
        <v>-43337.235865219875</v>
      </c>
      <c r="FZ8" s="5">
        <f>FZ7+FY8</f>
        <v>-86352.285865219877</v>
      </c>
      <c r="GC8" s="3">
        <f t="shared" si="2"/>
        <v>0</v>
      </c>
      <c r="GD8" s="4" t="str">
        <f t="shared" si="3"/>
        <v>Med School (O1&lt;=2 yrs)</v>
      </c>
      <c r="GE8" s="5">
        <f t="shared" si="4"/>
        <v>34516.800000000003</v>
      </c>
      <c r="GF8" s="5">
        <f t="shared" si="5"/>
        <v>25411.199999999997</v>
      </c>
      <c r="GG8" s="5">
        <f t="shared" si="6"/>
        <v>59928</v>
      </c>
      <c r="GH8" s="5">
        <f t="shared" si="7"/>
        <v>34178.400000000001</v>
      </c>
      <c r="GI8" s="5">
        <f t="shared" si="8"/>
        <v>25162.070588235292</v>
      </c>
      <c r="GJ8" s="32">
        <f>IF(GH8-InputData!$C$158-InputData!$C$159&gt;=0,GH8-InputData!$C$158-InputData!$C$159,0)</f>
        <v>34178.400000000001</v>
      </c>
      <c r="GK8" s="32">
        <f>IF(GH8-IF(GH8&lt;=InputData!$C$146,InputData!$C$145,0)-MAX(InputData!$C$144,GQ8)&gt;=0,GH8-IF(GH8&lt;=InputData!$C$146,InputData!$C$145,0)-MAX(InputData!$C$144,GQ8),0)</f>
        <v>24178.400000000001</v>
      </c>
      <c r="GL8" s="32">
        <f>IF(GK8&lt;0,"Error",IF(GK8&lt;=InputData!$B$170,InputData!$C$170*GK8,IF(GK8&lt;=InputData!$B$171,InputData!$D$170+InputData!$C$171*(GK8-InputData!$B$170),IF(GK8&lt;=InputData!$B$172,InputData!$D$171+InputData!$C$172*(GK8-InputData!$B$171),IF(GK8&lt;=InputData!$B$173,InputData!$D$172+InputData!$C$173*(GK8-InputData!$B$172),IF(GK8&lt;=InputData!$B$174,InputData!$D$173+InputData!$C$174*(GK8-InputData!$B$173),IF(GK8&lt;=InputData!$B$175,InputData!$D$174+InputData!$C$175*(GK8-InputData!$B$174),InputData!$D$175+InputData!$C$176*(GK8-InputData!$B$175))))))))</f>
        <v>3180.51</v>
      </c>
      <c r="GM8" s="32">
        <f>IF(GH8&lt;=InputData!$C$150,InputData!$C$152,IF(GH8&lt;InputData!$C$151,IF(InputData!$C$152-0.25*IF(GH8-InputData!$C$150&lt;=0,0,GH8-InputData!$C$150)&lt;=0,0,InputData!$C$152-0.25*IF(GH8-InputData!$C$150&lt;=0,0,GH8-InputData!$C$150)),0))</f>
        <v>51900</v>
      </c>
      <c r="GN8" s="32">
        <f>IF(GH8-GM8&lt;=0,0,IF(GH8-GM8&lt;=InputData!$C$153,InputData!$C$154*(GH8-GM8),InputData!$C$155*(GH8-GM8)-InputData!$D$154))</f>
        <v>0</v>
      </c>
      <c r="GO8" s="32">
        <f t="shared" ref="GO8:GO36" si="89">MAX(GL8,GN8)</f>
        <v>3180.51</v>
      </c>
      <c r="GP8" s="32">
        <f>IF(GH8&gt;=0,IF(GH8&lt;=InputData!$C$148,InputData!$C$147*GH8,InputData!$C$147*InputData!$C$148)+InputData!$C$149*GH8,0)</f>
        <v>2614.6476000000002</v>
      </c>
      <c r="GQ8" s="32">
        <f>IF(GJ8&lt;0,0,IF(GJ8&lt;=InputData!$B$163,InputData!$C$163*GJ8,IF(GJ8&lt;=InputData!$B$164,InputData!$D$163+InputData!$C$164*(GJ8-InputData!$B$163),IF(GJ8&lt;=InputData!$B$165,InputData!$D$164+InputData!$C$165*(GJ8-InputData!$B$164),InputData!$D$165+InputData!$C$166*(GJ8-InputData!$B$165)))))</f>
        <v>0</v>
      </c>
      <c r="GR8" s="43">
        <f t="shared" ref="GR8:GR36" si="90">(GO8+GP8+GQ8)/GH8</f>
        <v>0.16955614072045502</v>
      </c>
      <c r="GS8" s="43">
        <f t="shared" ref="GS8:GS36" si="91">(GO8+GP8+GQ8)/(GH8+GI8)</f>
        <v>9.7659447971228844E-2</v>
      </c>
      <c r="GT8" s="5">
        <f t="shared" si="9"/>
        <v>53545.312988235295</v>
      </c>
      <c r="GU8" s="32">
        <f>GT8/((1+InputData!$C$7)^(Ophtha!$B8-Ophtha!$B$7))</f>
        <v>51985.740765276983</v>
      </c>
      <c r="GV8" s="32">
        <f t="shared" ref="GV8:GV35" si="92">GV7+GU8</f>
        <v>106041.93556527697</v>
      </c>
      <c r="GX8" s="3">
        <f t="shared" si="10"/>
        <v>0</v>
      </c>
      <c r="GY8" s="4" t="str">
        <f t="shared" si="11"/>
        <v>Med School</v>
      </c>
      <c r="GZ8" s="5">
        <f t="shared" si="12"/>
        <v>29307.326488706363</v>
      </c>
      <c r="HA8" s="5">
        <f t="shared" si="13"/>
        <v>0</v>
      </c>
      <c r="HB8" s="5">
        <f t="shared" si="14"/>
        <v>29307.326488706363</v>
      </c>
      <c r="HC8" s="5">
        <f t="shared" si="15"/>
        <v>29019.999758424929</v>
      </c>
      <c r="HD8" s="5">
        <f t="shared" si="16"/>
        <v>0</v>
      </c>
      <c r="HE8" s="32">
        <f>IF(HC8-InputData!$C$158-InputData!$C$159&gt;=0,HC8-InputData!$C$158-InputData!$C$159,0)</f>
        <v>29019.999758424929</v>
      </c>
      <c r="HF8" s="32">
        <f>IF(HC8-IF(HC8&lt;=InputData!$C$146,InputData!$C$145,0)-MAX(InputData!$C$144,HL8)&gt;=0,HC8-IF(HC8&lt;=InputData!$C$146,InputData!$C$145,0)-MAX(InputData!$C$144,HL8),0)</f>
        <v>19019.999758424929</v>
      </c>
      <c r="HG8" s="32">
        <f>IF(HF8&lt;0,"Error",IF(HF8&lt;=InputData!$B$170,InputData!$C$170*HF8,IF(HF8&lt;=InputData!$B$171,InputData!$D$170+InputData!$C$171*(HF8-InputData!$B$170),IF(HF8&lt;=InputData!$B$172,InputData!$D$171+InputData!$C$172*(HF8-InputData!$B$171),IF(HF8&lt;=InputData!$B$173,InputData!$D$172+InputData!$C$173*(HF8-InputData!$B$172),IF(HF8&lt;=InputData!$B$174,InputData!$D$173+InputData!$C$174*(HF8-InputData!$B$173),IF(HF8&lt;=InputData!$B$175,InputData!$D$174+InputData!$C$175*(HF8-InputData!$B$174),InputData!$D$175+InputData!$C$176*(HF8-InputData!$B$175))))))))</f>
        <v>2406.7499637637393</v>
      </c>
      <c r="HH8" s="32">
        <f>IF(HC8&lt;=InputData!$C$150,InputData!$C$152,IF(HC8&lt;InputData!$C$151,IF(InputData!$C$152-0.25*IF(HC8-InputData!$C$150&lt;=0,0,HC8-InputData!$C$150)&lt;=0,0,InputData!$C$152-0.25*IF(HC8-InputData!$C$150&lt;=0,0,HC8-InputData!$C$150)),0))</f>
        <v>51900</v>
      </c>
      <c r="HI8" s="32">
        <f>IF(HC8-HH8&lt;=0,0,IF(HC8-HH8&lt;=InputData!$C$153,InputData!$C$154*(HC8-HH8),InputData!$C$155*(HC8-HH8)-InputData!$D$154))</f>
        <v>0</v>
      </c>
      <c r="HJ8" s="32">
        <f t="shared" ref="HJ8:HJ36" si="93">MAX(HG8,HI8)</f>
        <v>2406.7499637637393</v>
      </c>
      <c r="HK8" s="32">
        <v>0</v>
      </c>
      <c r="HL8" s="32">
        <f>IF(HE8&lt;0,0,IF(HE8&lt;=InputData!$B$163,InputData!$C$163*HE8,IF(HE8&lt;=InputData!$B$164,InputData!$D$163+InputData!$C$164*(HE8-InputData!$B$163),IF(HE8&lt;=InputData!$B$165,InputData!$D$164+InputData!$C$165*(HE8-InputData!$B$164),InputData!$D$165+InputData!$C$166*(HE8-InputData!$B$165)))))</f>
        <v>0</v>
      </c>
      <c r="HM8" s="43">
        <f t="shared" ref="HM8:HM36" si="94">(HJ8+HK8+HL8)/HC8</f>
        <v>8.2934182763562042E-2</v>
      </c>
      <c r="HN8" s="43">
        <f t="shared" ref="HN8:HN36" si="95">(HJ8+HK8+HL8)/(HC8+HD8)</f>
        <v>8.2934182763562042E-2</v>
      </c>
      <c r="HO8" s="5">
        <f t="shared" si="17"/>
        <v>26613.249794661191</v>
      </c>
      <c r="HP8" s="32">
        <f>HO8/((1+InputData!$C$7)^(Ophtha!$B8-Ophtha!$B$7))</f>
        <v>25838.106596758436</v>
      </c>
      <c r="HQ8" s="32">
        <f t="shared" ref="HQ8:HQ35" si="96">HQ7+HP8</f>
        <v>69389.851463288214</v>
      </c>
      <c r="HS8" s="93">
        <f t="shared" si="18"/>
        <v>0</v>
      </c>
      <c r="HT8" s="5" t="str">
        <f t="shared" si="19"/>
        <v>Med School (O1&lt;=2 yrs)</v>
      </c>
      <c r="HU8" s="5">
        <f t="shared" si="20"/>
        <v>34516.800000000003</v>
      </c>
      <c r="HV8" s="5">
        <f t="shared" si="21"/>
        <v>25411.199999999997</v>
      </c>
      <c r="HW8" s="5">
        <f t="shared" si="22"/>
        <v>59928</v>
      </c>
      <c r="HX8" s="5">
        <f t="shared" si="23"/>
        <v>34178.400000000001</v>
      </c>
      <c r="HY8" s="5">
        <f t="shared" si="24"/>
        <v>25162.070588235292</v>
      </c>
      <c r="HZ8" s="32">
        <f>IF(HX8-InputData!$C$158-InputData!$C$159&gt;=0,HX8-InputData!$C$158-InputData!$C$159,0)</f>
        <v>34178.400000000001</v>
      </c>
      <c r="IA8" s="32">
        <f>IF(HX8-IF(HX8&lt;=InputData!$C$146,InputData!$C$145,0)-MAX(InputData!$C$144,IG8)&gt;=0,HX8-IF(HX8&lt;=InputData!$C$146,InputData!$C$145,0)-MAX(InputData!$C$144,IG8),0)</f>
        <v>24178.400000000001</v>
      </c>
      <c r="IB8" s="32">
        <f>IF(IA8&lt;0,"Error",IF(IA8&lt;=InputData!$B$170,InputData!$C$170*IA8,IF(IA8&lt;=InputData!$B$171,InputData!$D$170+InputData!$C$171*(IA8-InputData!$B$170),IF(IA8&lt;=InputData!$B$172,InputData!$D$171+InputData!$C$172*(IA8-InputData!$B$171),IF(IA8&lt;=InputData!$B$173,InputData!$D$172+InputData!$C$173*(IA8-InputData!$B$172),IF(IA8&lt;=InputData!$B$174,InputData!$D$173+InputData!$C$174*(IA8-InputData!$B$173),IF(IA8&lt;=InputData!$B$175,InputData!$D$174+InputData!$C$175*(IA8-InputData!$B$174),InputData!$D$175+InputData!$C$176*(IA8-InputData!$B$175))))))))</f>
        <v>3180.51</v>
      </c>
      <c r="IC8" s="32">
        <f>IF(HX8&lt;=InputData!$C$150,InputData!$C$152,IF(HX8&lt;InputData!$C$151,IF(InputData!$C$152-0.25*IF(HX8-InputData!$C$150&lt;=0,0,HX8-InputData!$C$150)&lt;=0,0,InputData!$C$152-0.25*IF(HX8-InputData!$C$150&lt;=0,0,HX8-InputData!$C$150)),0))</f>
        <v>51900</v>
      </c>
      <c r="ID8" s="32">
        <f>IF(HX8-IC8&lt;=0,0,IF(HX8-IC8&lt;=InputData!$C$153,InputData!$C$154*(HX8-IC8),InputData!$C$155*(HX8-IC8)-InputData!$D$154))</f>
        <v>0</v>
      </c>
      <c r="IE8" s="32">
        <f t="shared" ref="IE8:IE36" si="97">MAX(IB8,ID8)</f>
        <v>3180.51</v>
      </c>
      <c r="IF8" s="32">
        <f>IF(HX8&gt;=0,IF(HX8&lt;=InputData!$C$148,InputData!$C$147*HX8,InputData!$C$147*InputData!$C$148)+InputData!$C$149*HX8,0)</f>
        <v>2614.6476000000002</v>
      </c>
      <c r="IG8" s="32">
        <f>IF(HZ8&lt;0,0,IF(HZ8&lt;=InputData!$B$163,InputData!$C$163*HZ8,IF(HZ8&lt;=InputData!$B$164,InputData!$D$163+InputData!$C$164*(HZ8-InputData!$B$163),IF(HZ8&lt;=InputData!$B$165,InputData!$D$164+InputData!$C$165*(HZ8-InputData!$B$164),InputData!$D$165+InputData!$C$166*(HZ8-InputData!$B$165)))))</f>
        <v>0</v>
      </c>
      <c r="IH8" s="43">
        <f t="shared" ref="IH8:IH36" si="98">(IE8+IF8+IG8)/HX8</f>
        <v>0.16955614072045502</v>
      </c>
      <c r="II8" s="43">
        <f t="shared" ref="II8:II36" si="99">(IE8+IF8+IG8)/(HX8+HY8)</f>
        <v>9.7659447971228844E-2</v>
      </c>
      <c r="IJ8" s="5">
        <f t="shared" ref="IJ8:IJ36" si="100">HX8+HY8-IE8-IF8-IG8</f>
        <v>53545.312988235295</v>
      </c>
      <c r="IK8" s="32">
        <f>IJ8/((1+InputData!$C$7)^(Ophtha!$B8-Ophtha!$B$7))</f>
        <v>51985.740765276983</v>
      </c>
      <c r="IL8" s="5">
        <f t="shared" ref="IL8:IL35" si="101">IL7+IK8</f>
        <v>106041.93556527697</v>
      </c>
      <c r="IN8" s="93">
        <f t="shared" si="25"/>
        <v>0</v>
      </c>
      <c r="IO8" s="5" t="str">
        <f t="shared" si="26"/>
        <v>Med School</v>
      </c>
      <c r="IP8" s="5">
        <f t="shared" si="27"/>
        <v>29307.326488706363</v>
      </c>
      <c r="IQ8" s="5">
        <f t="shared" si="28"/>
        <v>0</v>
      </c>
      <c r="IR8" s="5">
        <f t="shared" si="29"/>
        <v>29307.326488706363</v>
      </c>
      <c r="IS8" s="5">
        <f t="shared" si="30"/>
        <v>29019.999758424929</v>
      </c>
      <c r="IT8" s="5">
        <f t="shared" si="31"/>
        <v>0</v>
      </c>
      <c r="IU8" s="32">
        <f>IF(IS8-InputData!$C$158-InputData!$C$159&gt;=0,IS8-InputData!$C$158-InputData!$C$159,0)</f>
        <v>29019.999758424929</v>
      </c>
      <c r="IV8" s="32">
        <f>IF(IS8-IF(IS8&lt;=InputData!$C$146,InputData!$C$145,0)-MAX(InputData!$C$144,JB8)&gt;=0,IS8-IF(IS8&lt;=InputData!$C$146,InputData!$C$145,0)-MAX(InputData!$C$144,JB8),0)</f>
        <v>19019.999758424929</v>
      </c>
      <c r="IW8" s="32">
        <f>IF(IV8&lt;0,"Error",IF(IV8&lt;=InputData!$B$170,InputData!$C$170*IV8,IF(IV8&lt;=InputData!$B$171,InputData!$D$170+InputData!$C$171*(IV8-InputData!$B$170),IF(IV8&lt;=InputData!$B$172,InputData!$D$171+InputData!$C$172*(IV8-InputData!$B$171),IF(IV8&lt;=InputData!$B$173,InputData!$D$172+InputData!$C$173*(IV8-InputData!$B$172),IF(IV8&lt;=InputData!$B$174,InputData!$D$173+InputData!$C$174*(IV8-InputData!$B$173),IF(IV8&lt;=InputData!$B$175,InputData!$D$174+InputData!$C$175*(IV8-InputData!$B$174),InputData!$D$175+InputData!$C$176*(IV8-InputData!$B$175))))))))</f>
        <v>2406.7499637637393</v>
      </c>
      <c r="IX8" s="32">
        <f>IF(IS8&lt;=InputData!$C$150,InputData!$C$152,IF(IS8&lt;InputData!$C$151,IF(InputData!$C$152-0.25*IF(IS8-InputData!$C$150&lt;=0,0,IS8-InputData!$C$150)&lt;=0,0,InputData!$C$152-0.25*IF(IS8-InputData!$C$150&lt;=0,0,IS8-InputData!$C$150)),0))</f>
        <v>51900</v>
      </c>
      <c r="IY8" s="32">
        <f>IF(IS8-IX8&lt;=0,0,IF(IS8-IX8&lt;=InputData!$C$153,InputData!$C$154*(IS8-IX8),InputData!$C$155*(IS8-IX8)-InputData!$D$154))</f>
        <v>0</v>
      </c>
      <c r="IZ8" s="32">
        <f t="shared" ref="IZ8:IZ36" si="102">MAX(IW8,IY8)</f>
        <v>2406.7499637637393</v>
      </c>
      <c r="JA8" s="32">
        <v>0</v>
      </c>
      <c r="JB8" s="32">
        <f>IF(IU8&lt;0,0,IF(IU8&lt;=InputData!$B$163,InputData!$C$163*IU8,IF(IU8&lt;=InputData!$B$164,InputData!$D$163+InputData!$C$164*(IU8-InputData!$B$163),IF(IU8&lt;=InputData!$B$165,InputData!$D$164+InputData!$C$165*(IU8-InputData!$B$164),InputData!$D$165+InputData!$C$166*(IU8-InputData!$B$165)))))</f>
        <v>0</v>
      </c>
      <c r="JC8" s="43">
        <f t="shared" ref="JC8:JC36" si="103">(IZ8+JA8+JB8)/IS8</f>
        <v>8.2934182763562042E-2</v>
      </c>
      <c r="JD8" s="43">
        <f t="shared" ref="JD8:JD36" si="104">(IZ8+JA8+JB8)/(IS8+IT8)</f>
        <v>8.2934182763562042E-2</v>
      </c>
      <c r="JE8" s="5">
        <f t="shared" ref="JE8:JE36" si="105">IS8+IT8-IZ8-JA8-JB8</f>
        <v>26613.249794661191</v>
      </c>
      <c r="JF8" s="32">
        <f>JE8/((1+InputData!$C$7)^(Ophtha!$B8-Ophtha!$B$7))</f>
        <v>25838.106596758436</v>
      </c>
      <c r="JG8" s="5">
        <f t="shared" ref="JG8:JG35" si="106">JG7+JF8</f>
        <v>69389.851463288214</v>
      </c>
      <c r="JI8" s="41" t="str">
        <f t="shared" si="32"/>
        <v>Med School</v>
      </c>
      <c r="JJ8" s="5">
        <f t="shared" si="33"/>
        <v>0</v>
      </c>
      <c r="JK8" s="32">
        <f t="shared" ref="JK8:JK10" si="107">-(JQ8+JS8)</f>
        <v>0</v>
      </c>
      <c r="JL8" s="32">
        <f t="shared" ref="JL8:JL36" si="108">JJ8+JK8</f>
        <v>0</v>
      </c>
      <c r="JM8" s="32">
        <f>JM7*(1+InputData!$C$8)</f>
        <v>11719.800000000001</v>
      </c>
      <c r="JN8" s="32">
        <f>JJ8/((1+InputData!$C$3)^(Ophtha!$B8-Ophtha!$B$7))</f>
        <v>0</v>
      </c>
      <c r="JO8" s="32">
        <f>JK8/((1+InputData!$C$3)^(Ophtha!$B8-Ophtha!$B$7))</f>
        <v>0</v>
      </c>
      <c r="JP8" s="32" t="s">
        <v>143</v>
      </c>
      <c r="JQ8" s="118">
        <v>0</v>
      </c>
      <c r="JR8" s="32">
        <f>JR7+JQ8</f>
        <v>0</v>
      </c>
      <c r="JS8" s="32">
        <f>(JR8)*InputData!$C$6</f>
        <v>0</v>
      </c>
      <c r="JT8" s="32">
        <v>0</v>
      </c>
      <c r="JU8" s="32">
        <f>JU7+JQ8+JS8-JT8</f>
        <v>0</v>
      </c>
      <c r="JV8" s="32">
        <f>JT8/((1+InputData!$C$3)^(Ophtha!$B8-Ophtha!$B$7))</f>
        <v>0</v>
      </c>
      <c r="JW8" s="32">
        <f>IF(JN8-InputData!$C$158-InputData!$C$159&gt;=0,JN8-InputData!$C$158-InputData!$C$159,0)</f>
        <v>0</v>
      </c>
      <c r="JX8" s="32">
        <f>IF(JN8-IF(JN8&lt;=InputData!$C$146,InputData!$C$145,0)-MAX(InputData!$C$144,KD8)&gt;=0,JN8-IF(JN8&lt;=InputData!$C$146,InputData!$C$145,0)-MAX(InputData!$C$144,KD8),0)</f>
        <v>0</v>
      </c>
      <c r="JY8" s="32">
        <f>IF(JX8&lt;0,"Error",IF(JX8&lt;=InputData!$B$170,InputData!$C$170*JX8,IF(JX8&lt;=InputData!$B$171,InputData!$D$170+InputData!$C$171*(JX8-InputData!$B$170),IF(JX8&lt;=InputData!$B$172,InputData!$D$171+InputData!$C$172*(JX8-InputData!$B$171),IF(JX8&lt;=InputData!$B$173,InputData!$D$172+InputData!$C$173*(JX8-InputData!$B$172),IF(JX8&lt;=InputData!$B$174,InputData!$D$173+InputData!$C$174*(JX8-InputData!$B$173),IF(JX8&lt;=InputData!$B$175,InputData!$D$174+InputData!$C$175*(JX8-InputData!$B$174),InputData!$D$175+InputData!$C$176*(JX8-InputData!$B$175))))))))</f>
        <v>0</v>
      </c>
      <c r="JZ8" s="32">
        <f>IF(JN8&lt;=InputData!$C$150,InputData!$C$152,IF(JN8&lt;InputData!$C$151,IF(InputData!$C$152-0.25*IF(JN8-InputData!$C$150&lt;=0,0,JN8-InputData!$C$150)&lt;=0,0,InputData!$C$152-0.25*IF(JN8-InputData!$C$150&lt;=0,0,JN8-InputData!$C$150)),0))</f>
        <v>51900</v>
      </c>
      <c r="KA8" s="32">
        <f>IF(JN8-JZ8&lt;=0,0,IF(JN8-JZ8&lt;=InputData!$C$153,InputData!$C$154*(JN8-JZ8),InputData!$C$155*(JN8-JZ8)-InputData!$D$154))</f>
        <v>0</v>
      </c>
      <c r="KB8" s="32">
        <f t="shared" ref="KB8:KB36" si="109">MAX(JY8,KA8)</f>
        <v>0</v>
      </c>
      <c r="KC8" s="32">
        <f>IF(JN8&gt;=0,IF(JN8&lt;=InputData!$C$148,InputData!$C$147*JN8,InputData!$C$147*InputData!$C$148)+InputData!$C$149*JN8,0)</f>
        <v>0</v>
      </c>
      <c r="KD8" s="32">
        <f>IF(JW8&lt;0,0,IF(JW8&lt;=InputData!$B$163,InputData!$C$163*JW8,IF(JW8&lt;=InputData!$B$164,InputData!$D$163+InputData!$C$164*(JW8-InputData!$B$163),IF(JW8&lt;=InputData!$B$165,InputData!$D$164+InputData!$C$165*(JW8-InputData!$B$164),InputData!$D$165+InputData!$C$166*(JW8-InputData!$B$165)))))</f>
        <v>0</v>
      </c>
      <c r="KE8" s="43" t="e">
        <f t="shared" si="34"/>
        <v>#DIV/0!</v>
      </c>
      <c r="KF8" s="32">
        <f t="shared" si="35"/>
        <v>0</v>
      </c>
      <c r="KG8" s="32">
        <f t="shared" ref="KG8:KG36" si="110">KF8-JV8</f>
        <v>0</v>
      </c>
      <c r="KH8" s="32">
        <f>KG8/((1+InputData!$C$7)^(Ophtha!$B8-Ophtha!$B$7))</f>
        <v>0</v>
      </c>
      <c r="KI8" s="5">
        <f>KI7+KH8</f>
        <v>0</v>
      </c>
    </row>
    <row r="9" spans="1:295" ht="14.45" x14ac:dyDescent="0.3">
      <c r="A9" s="4">
        <v>2015</v>
      </c>
      <c r="B9" s="51">
        <v>3</v>
      </c>
      <c r="C9" s="4"/>
      <c r="D9" s="45">
        <v>0</v>
      </c>
      <c r="E9" s="4" t="s">
        <v>10</v>
      </c>
      <c r="F9" s="5">
        <f>InputData!$D$26*12</f>
        <v>35928</v>
      </c>
      <c r="G9" s="5">
        <f>InputData!$D$26*12</f>
        <v>35928</v>
      </c>
      <c r="H9" s="5">
        <f>(InputData!$H$37+InputData!$C$40)*12</f>
        <v>25411.199999999997</v>
      </c>
      <c r="I9" s="5">
        <f t="shared" si="36"/>
        <v>61339.199999999997</v>
      </c>
      <c r="J9" s="5">
        <f>G9*((1+InputData!$C$5)/(1+InputData!$C$3))^(Ophtha!$B9-Ophtha!$B$7)</f>
        <v>35226.98269896194</v>
      </c>
      <c r="K9" s="5">
        <f>H9*((1+InputData!$C$5)/(1+InputData!$C$3))^(Ophtha!$B9-Ophtha!$B$7)</f>
        <v>24915.383621683966</v>
      </c>
      <c r="L9" s="32">
        <f>IF(J9-InputData!$C$158-InputData!$C$159&gt;=0,J9-InputData!$C$158-InputData!$C$159,0)</f>
        <v>35226.98269896194</v>
      </c>
      <c r="M9" s="32">
        <f>IF(J9-IF(J9&lt;=InputData!$C$146,InputData!$C$145,0)-MAX(InputData!$C$144,S9)&gt;=0,J9-IF(J9&lt;=InputData!$C$146,InputData!$C$145,0)-MAX(InputData!$C$144,S9),0)</f>
        <v>25226.98269896194</v>
      </c>
      <c r="N9" s="32">
        <f>IF(M9&lt;0,"Error",IF(M9&lt;=InputData!$B$170,InputData!$C$170*M9,IF(M9&lt;=InputData!$B$171,InputData!$D$170+InputData!$C$171*(M9-InputData!$B$170),IF(M9&lt;=InputData!$B$172,InputData!$D$171+InputData!$C$172*(M9-InputData!$B$171),IF(M9&lt;=InputData!$B$173,InputData!$D$172+InputData!$C$173*(M9-InputData!$B$172),IF(M9&lt;=InputData!$B$174,InputData!$D$173+InputData!$C$174*(M9-InputData!$B$173),IF(M9&lt;=InputData!$B$175,InputData!$D$174+InputData!$C$175*(M9-InputData!$B$174),InputData!$D$175+InputData!$C$176*(M9-InputData!$B$175))))))))</f>
        <v>3337.7974048442907</v>
      </c>
      <c r="O9" s="32">
        <f>IF(J9&lt;=InputData!$C$150,InputData!$C$152,IF(J9&lt;InputData!$C$151,IF(InputData!$C$152-0.25*IF(J9-InputData!$C$150&lt;=0,0,J9-InputData!$C$150)&lt;=0,0,InputData!$C$152-0.25*IF(J9-InputData!$C$150&lt;=0,0,J9-InputData!$C$150)),0))</f>
        <v>51900</v>
      </c>
      <c r="P9" s="32">
        <f>IF(J9-O9&lt;=0,0,IF(J9-O9&lt;=InputData!$C$153,InputData!$C$154*(J9-O9),InputData!$C$155*(J9-O9)-InputData!$D$154))</f>
        <v>0</v>
      </c>
      <c r="Q9" s="32">
        <f t="shared" si="37"/>
        <v>3337.7974048442907</v>
      </c>
      <c r="R9" s="32">
        <f>IF(J9&gt;=0,IF(J9&lt;=InputData!$C$148,InputData!$C$147*J9,InputData!$C$147*InputData!$C$148)+InputData!$C$149*J9,0)</f>
        <v>2694.8641764705881</v>
      </c>
      <c r="S9" s="32">
        <f>IF(L9&lt;0,0,IF(L9&lt;=InputData!$B$163,InputData!$C$163*L9,IF(L9&lt;=InputData!$B$164,InputData!$D$163+InputData!$C$164*(L9-InputData!$B$163),IF(L9&lt;=InputData!$B$165,InputData!$D$164+InputData!$C$165*(L9-InputData!$B$164),InputData!$D$165+InputData!$C$166*(L9-InputData!$B$165)))))</f>
        <v>0</v>
      </c>
      <c r="T9" s="43">
        <f t="shared" si="38"/>
        <v>0.17125115803609961</v>
      </c>
      <c r="U9" s="43">
        <f t="shared" si="39"/>
        <v>0.10030635557556974</v>
      </c>
      <c r="V9" s="5">
        <f t="shared" si="40"/>
        <v>54109.70473933102</v>
      </c>
      <c r="W9" s="32">
        <f>V9/((1+InputData!$C$7)^(Ophtha!$B9-Ophtha!$B$7))</f>
        <v>51003.586331728744</v>
      </c>
      <c r="X9" s="5">
        <f t="shared" ref="X9:X36" si="111">X8+W9</f>
        <v>157045.52189700573</v>
      </c>
      <c r="Y9" s="53"/>
      <c r="Z9" s="45">
        <v>0</v>
      </c>
      <c r="AA9" s="4" t="s">
        <v>0</v>
      </c>
      <c r="AB9" s="4"/>
      <c r="AC9" s="5">
        <f>InputData!$C$67*10.5+(IntMed!G9+IntMed!H9)*45/365.25</f>
        <v>29481.190965092403</v>
      </c>
      <c r="AD9" s="5">
        <v>0</v>
      </c>
      <c r="AE9" s="5">
        <f t="shared" si="41"/>
        <v>29481.190965092403</v>
      </c>
      <c r="AF9" s="5">
        <f>AC9*((1+InputData!$C$5)/(1+InputData!$C$3))^(Ophtha!$B9-Ophtha!$B$7)</f>
        <v>28905.962037188354</v>
      </c>
      <c r="AG9" s="5">
        <f>AD9*((1+InputData!$C$5)/(1+InputData!$C$3))^(Ophtha!$B9-Ophtha!$B$7)</f>
        <v>0</v>
      </c>
      <c r="AH9" s="32">
        <f>IF(AF9-InputData!$C$158-InputData!$C$159&gt;=0,AF9-InputData!$C$158-InputData!$C$159,0)</f>
        <v>28905.962037188354</v>
      </c>
      <c r="AI9" s="32">
        <f>IF(AF9-IF(AF9&lt;=InputData!$C$146,InputData!$C$145,0)-MAX(InputData!$C$144,AO9)&gt;=0,AF9-IF(AF9&lt;=InputData!$C$146,InputData!$C$145,0)-MAX(InputData!$C$144,AO9),0)</f>
        <v>18905.962037188354</v>
      </c>
      <c r="AJ9" s="32">
        <f>IF(AI9&lt;0,"Error",IF(AI9&lt;=InputData!$B$170,InputData!$C$170*AI9,IF(AI9&lt;=InputData!$B$171,InputData!$D$170+InputData!$C$171*(AI9-InputData!$B$170),IF(AI9&lt;=InputData!$B$172,InputData!$D$171+InputData!$C$172*(AI9-InputData!$B$171),IF(AI9&lt;=InputData!$B$173,InputData!$D$172+InputData!$C$173*(AI9-InputData!$B$172),IF(AI9&lt;=InputData!$B$174,InputData!$D$173+InputData!$C$174*(AI9-InputData!$B$173),IF(AI9&lt;=InputData!$B$175,InputData!$D$174+InputData!$C$175*(AI9-InputData!$B$174),InputData!$D$175+InputData!$C$176*(AI9-InputData!$B$175))))))))</f>
        <v>2389.6443055782529</v>
      </c>
      <c r="AK9" s="32">
        <f>IF(AF9&lt;=InputData!$C$150,InputData!$C$152,IF(AF9&lt;InputData!$C$151,IF(InputData!$C$152-0.25*IF(AF9-InputData!$C$150&lt;=0,0,AF9-InputData!$C$150)&lt;=0,0,InputData!$C$152-0.25*IF(AF9-InputData!$C$150&lt;=0,0,AF9-InputData!$C$150)),0))</f>
        <v>51900</v>
      </c>
      <c r="AL9" s="32">
        <f>IF(AF9-AK9&lt;=0,0,IF(AF9-AK9&lt;=InputData!$C$153,InputData!$C$154*(AF9-AK9),InputData!$C$155*(AF9-AK9)-InputData!$D$154))</f>
        <v>0</v>
      </c>
      <c r="AM9" s="32">
        <f t="shared" si="42"/>
        <v>2389.6443055782529</v>
      </c>
      <c r="AN9" s="32">
        <v>0</v>
      </c>
      <c r="AO9" s="32">
        <f>IF(AH9&lt;0,0,IF(AH9&lt;=InputData!$B$163,InputData!$C$163*AH9,IF(AH9&lt;=InputData!$B$164,InputData!$D$163+InputData!$C$164*(AH9-InputData!$B$163),IF(AH9&lt;=InputData!$B$165,InputData!$D$164+InputData!$C$165*(AH9-InputData!$B$164),InputData!$D$165+InputData!$C$166*(AH9-InputData!$B$165)))))</f>
        <v>0</v>
      </c>
      <c r="AP9" s="43">
        <f t="shared" si="43"/>
        <v>8.2669599527734339E-2</v>
      </c>
      <c r="AQ9" s="43">
        <f t="shared" si="44"/>
        <v>8.2669599527734339E-2</v>
      </c>
      <c r="AR9" s="5">
        <f t="shared" si="45"/>
        <v>26516.317731610099</v>
      </c>
      <c r="AS9" s="32">
        <f>AR9/((1+InputData!$C$7)^(Ophtha!$B9-Ophtha!$B$7))</f>
        <v>24994.172619106514</v>
      </c>
      <c r="AT9" s="5">
        <f t="shared" ref="AT9:AT36" si="112">AT8+AS9</f>
        <v>94384.024082394724</v>
      </c>
      <c r="AU9" s="53"/>
      <c r="AV9" s="41" t="s">
        <v>0</v>
      </c>
      <c r="AW9" s="32">
        <v>0</v>
      </c>
      <c r="AX9" s="32">
        <f t="shared" si="46"/>
        <v>-57604.05</v>
      </c>
      <c r="AY9" s="32">
        <f t="shared" si="47"/>
        <v>-57604.05</v>
      </c>
      <c r="AZ9" s="32">
        <f>AZ8*(1+InputData!$C$8)</f>
        <v>11954.196000000002</v>
      </c>
      <c r="BA9" s="32">
        <f>AW9/((1+InputData!$C$3)^(Ophtha!$B9-Ophtha!$B$7))</f>
        <v>0</v>
      </c>
      <c r="BB9" s="32">
        <f>AX9/((1+InputData!$C$3)^(Ophtha!$B9-Ophtha!$B$7))</f>
        <v>-55367.214532871978</v>
      </c>
      <c r="BC9" s="32" t="s">
        <v>143</v>
      </c>
      <c r="BD9" s="118">
        <f>InputData!$C$88*11/40</f>
        <v>49500</v>
      </c>
      <c r="BE9" s="32">
        <f t="shared" ref="BE9:BE10" si="113">BE8+BD9</f>
        <v>130500</v>
      </c>
      <c r="BF9" s="32">
        <f>(BE9)*InputData!$C$6</f>
        <v>8104.05</v>
      </c>
      <c r="BG9" s="32">
        <v>0</v>
      </c>
      <c r="BH9" s="32">
        <f>BH8+BD9+BF9-BG9</f>
        <v>146149.20000000001</v>
      </c>
      <c r="BI9" s="32">
        <f>BG9/((1+InputData!$C$3)^(Ophtha!$B9-Ophtha!$B$7))</f>
        <v>0</v>
      </c>
      <c r="BJ9" s="32">
        <f>IF(BA9-InputData!$C$158-InputData!$C$159&gt;=0,BA9-InputData!$C$158-InputData!$C$159,0)</f>
        <v>0</v>
      </c>
      <c r="BK9" s="32">
        <f>IF(BA9-IF(BA9&lt;=InputData!$C$146,InputData!$C$145,0)-MAX(InputData!$C$144,BQ9)&gt;=0,BA9-IF(BA9&lt;=InputData!$C$146,InputData!$C$145,0)-MAX(InputData!$C$144,BQ9),0)</f>
        <v>0</v>
      </c>
      <c r="BL9" s="32">
        <f>IF(BK9&lt;0,"Error",IF(BK9&lt;=InputData!$B$170,InputData!$C$170*BK9,IF(BK9&lt;=InputData!$B$171,InputData!$D$170+InputData!$C$171*(BK9-InputData!$B$170),IF(BK9&lt;=InputData!$B$172,InputData!$D$171+InputData!$C$172*(BK9-InputData!$B$171),IF(BK9&lt;=InputData!$B$173,InputData!$D$172+InputData!$C$173*(BK9-InputData!$B$172),IF(BK9&lt;=InputData!$B$174,InputData!$D$173+InputData!$C$174*(BK9-InputData!$B$173),IF(BK9&lt;=InputData!$B$175,InputData!$D$174+InputData!$C$175*(BK9-InputData!$B$174),InputData!$D$175+InputData!$C$176*(BK9-InputData!$B$175))))))))</f>
        <v>0</v>
      </c>
      <c r="BM9" s="32">
        <f>IF(BA9&lt;=InputData!$C$150,InputData!$C$152,IF(BA9&lt;InputData!$C$151,IF(InputData!$C$152-0.25*IF(BA9-InputData!$C$150&lt;=0,0,BA9-InputData!$C$150)&lt;=0,0,InputData!$C$152-0.25*IF(BA9-InputData!$C$150&lt;=0,0,BA9-InputData!$C$150)),0))</f>
        <v>51900</v>
      </c>
      <c r="BN9" s="32">
        <f>IF(BA9-BM9&lt;=0,0,IF(BA9-BM9&lt;=InputData!$C$153,InputData!$C$154*(BA9-BM9),InputData!$C$155*(BA9-BM9)-InputData!$D$154))</f>
        <v>0</v>
      </c>
      <c r="BO9" s="32">
        <f t="shared" si="48"/>
        <v>0</v>
      </c>
      <c r="BP9" s="32">
        <f>IF(BA9&gt;=0,IF(BA9&lt;=InputData!$C$148,InputData!$C$147*BA9,InputData!$C$147*InputData!$C$148)+InputData!$C$149*BA9,0)</f>
        <v>0</v>
      </c>
      <c r="BQ9" s="32">
        <f>IF(BJ9&lt;0,0,IF(BJ9&lt;=InputData!$B$163,InputData!$C$163*BJ9,IF(BJ9&lt;=InputData!$B$164,InputData!$D$163+InputData!$C$164*(BJ9-InputData!$B$163),IF(BJ9&lt;=InputData!$B$165,InputData!$D$164+InputData!$C$165*(BJ9-InputData!$B$164),InputData!$D$165+InputData!$C$166*(BJ9-InputData!$B$165)))))</f>
        <v>0</v>
      </c>
      <c r="BR9" s="43">
        <f t="shared" si="49"/>
        <v>0</v>
      </c>
      <c r="BS9" s="32">
        <f t="shared" si="50"/>
        <v>-55367.214532871978</v>
      </c>
      <c r="BT9" s="32">
        <f t="shared" si="51"/>
        <v>-55367.214532871978</v>
      </c>
      <c r="BU9" s="32">
        <f>BT9/((1+InputData!$C$7)^(Ophtha!$B9-Ophtha!$B$7))</f>
        <v>-52188.909918816084</v>
      </c>
      <c r="BV9" s="5">
        <f t="shared" ref="BV9:BV36" si="114">BV8+BU9</f>
        <v>-138541.19578403595</v>
      </c>
      <c r="BW9" s="5"/>
      <c r="BX9" s="32" t="s">
        <v>143</v>
      </c>
      <c r="BY9" s="5">
        <f t="shared" si="52"/>
        <v>130500</v>
      </c>
      <c r="BZ9" s="5">
        <f t="shared" si="53"/>
        <v>8104.05</v>
      </c>
      <c r="CA9" s="5">
        <v>0</v>
      </c>
      <c r="CB9" s="5">
        <f t="shared" si="54"/>
        <v>146149.20000000001</v>
      </c>
      <c r="CC9" s="32">
        <f>CA9/((1+InputData!$C$3)^(Ophtha!$B9-Ophtha!$B$7))</f>
        <v>0</v>
      </c>
      <c r="CD9" s="5">
        <f t="shared" si="55"/>
        <v>-55367.214532871978</v>
      </c>
      <c r="CE9" s="32">
        <f>CD9/((1+InputData!$C$7)^(Ophtha!$B9-Ophtha!$B$7))</f>
        <v>-52188.909918816084</v>
      </c>
      <c r="CF9" s="5">
        <f t="shared" ref="CF9:CF36" si="115">CF8+CE9</f>
        <v>-138541.19578403595</v>
      </c>
      <c r="CG9" s="5"/>
      <c r="CH9" s="32" t="s">
        <v>143</v>
      </c>
      <c r="CI9" s="5">
        <f t="shared" si="56"/>
        <v>130500</v>
      </c>
      <c r="CJ9" s="5">
        <f t="shared" si="57"/>
        <v>8104.05</v>
      </c>
      <c r="CK9" s="5">
        <v>0</v>
      </c>
      <c r="CL9" s="5">
        <f t="shared" si="58"/>
        <v>146149.20000000001</v>
      </c>
      <c r="CM9" s="32">
        <f>CK9/((1+InputData!$C$3)^(Ophtha!$B9-Ophtha!$B$7))</f>
        <v>0</v>
      </c>
      <c r="CN9" s="5">
        <f t="shared" si="59"/>
        <v>-55367.214532871978</v>
      </c>
      <c r="CO9" s="32">
        <f>CN9/((1+InputData!$C$7)^(Ophtha!$B9-Ophtha!$B$7))</f>
        <v>-52188.909918816084</v>
      </c>
      <c r="CP9" s="5">
        <f t="shared" ref="CP9:CP14" si="116">CP8+CO9</f>
        <v>-138541.19578403595</v>
      </c>
      <c r="CQ9" s="5"/>
      <c r="CR9" s="32" t="s">
        <v>143</v>
      </c>
      <c r="CS9" s="5">
        <f t="shared" si="60"/>
        <v>130500</v>
      </c>
      <c r="CT9" s="5">
        <f t="shared" si="61"/>
        <v>8104.05</v>
      </c>
      <c r="CU9" s="5">
        <v>0</v>
      </c>
      <c r="CV9" s="5">
        <f t="shared" si="62"/>
        <v>146149.20000000001</v>
      </c>
      <c r="CW9" s="32">
        <f>CU9/((1+InputData!$C$3)^(Ophtha!$B9-Ophtha!$B$7))</f>
        <v>0</v>
      </c>
      <c r="CX9" s="5">
        <f t="shared" si="63"/>
        <v>-55367.214532871978</v>
      </c>
      <c r="CY9" s="32">
        <f>CX9/((1+InputData!$C$7)^(Ophtha!$B9-Ophtha!$B$7))</f>
        <v>-52188.909918816084</v>
      </c>
      <c r="CZ9" s="5">
        <f t="shared" ref="CZ9:CZ14" si="117">CZ8+CY9</f>
        <v>-138541.19578403595</v>
      </c>
      <c r="DA9" s="5"/>
      <c r="DB9" s="32" t="s">
        <v>143</v>
      </c>
      <c r="DC9" s="5">
        <f t="shared" si="64"/>
        <v>130500</v>
      </c>
      <c r="DD9" s="5">
        <f t="shared" si="65"/>
        <v>8104.05</v>
      </c>
      <c r="DE9" s="5">
        <v>0</v>
      </c>
      <c r="DF9" s="5">
        <f t="shared" si="66"/>
        <v>146149.20000000001</v>
      </c>
      <c r="DG9" s="32">
        <f>DE9/((1+InputData!$C$3)^(Ophtha!$B9-Ophtha!$B$7))</f>
        <v>0</v>
      </c>
      <c r="DH9" s="5">
        <f t="shared" si="67"/>
        <v>-55367.214532871978</v>
      </c>
      <c r="DI9" s="32">
        <f>DH9/((1+InputData!$C$7)^(Ophtha!$B9-Ophtha!$B$7))</f>
        <v>-52188.909918816084</v>
      </c>
      <c r="DJ9" s="5">
        <f t="shared" ref="DJ9:DJ10" si="118">DJ8+DI9</f>
        <v>-138541.19578403595</v>
      </c>
      <c r="DK9" s="5"/>
      <c r="DL9" s="32" t="s">
        <v>143</v>
      </c>
      <c r="DM9" s="5">
        <f t="shared" si="68"/>
        <v>130500</v>
      </c>
      <c r="DN9" s="5">
        <f t="shared" si="69"/>
        <v>8104.05</v>
      </c>
      <c r="DO9" s="5">
        <f t="shared" ref="DO9:DO10" si="119">DO8+DN9-DP9</f>
        <v>15649.2</v>
      </c>
      <c r="DP9" s="5">
        <v>0</v>
      </c>
      <c r="DQ9" s="5">
        <f t="shared" si="70"/>
        <v>146149.20000000001</v>
      </c>
      <c r="DR9" s="32">
        <f>DP9/((1+InputData!$C$3)^(Ophtha!$B9-Ophtha!$B$7))</f>
        <v>0</v>
      </c>
      <c r="DS9" s="5">
        <f t="shared" si="71"/>
        <v>-55367.214532871978</v>
      </c>
      <c r="DT9" s="32">
        <f>DS9/((1+InputData!$C$7)^(Ophtha!$B9-Ophtha!$B$7))</f>
        <v>-52188.909918816084</v>
      </c>
      <c r="DU9" s="5">
        <f t="shared" ref="DU9:DU10" si="120">DU8+DT9</f>
        <v>-138541.19578403595</v>
      </c>
      <c r="DV9" s="5"/>
      <c r="DW9" s="32" t="s">
        <v>143</v>
      </c>
      <c r="DX9" s="5">
        <f t="shared" si="72"/>
        <v>130500</v>
      </c>
      <c r="DY9" s="5">
        <f t="shared" si="73"/>
        <v>8104.05</v>
      </c>
      <c r="DZ9" s="5">
        <f t="shared" ref="DZ9:DZ10" si="121">DZ8+DY9</f>
        <v>15649.2</v>
      </c>
      <c r="EA9" s="5">
        <v>0</v>
      </c>
      <c r="EB9" s="5">
        <f t="shared" si="74"/>
        <v>146149.20000000001</v>
      </c>
      <c r="EC9" s="32">
        <f>EA9/((1+InputData!$C$3)^(Ophtha!$B9-Ophtha!$B$7))</f>
        <v>0</v>
      </c>
      <c r="ED9" s="5">
        <f t="shared" si="75"/>
        <v>-55367.214532871978</v>
      </c>
      <c r="EE9" s="32">
        <f>ED9/((1+InputData!$C$7)^(Ophtha!$B9-Ophtha!$B$7))</f>
        <v>-52188.909918816084</v>
      </c>
      <c r="EF9" s="5">
        <f t="shared" ref="EF9:EF10" si="122">EF8+EE9</f>
        <v>-138541.19578403595</v>
      </c>
      <c r="EG9" s="32"/>
      <c r="EH9" s="133" t="s">
        <v>143</v>
      </c>
      <c r="EI9" s="32">
        <f>EI8*(1+InputData!$C$10)</f>
        <v>46818</v>
      </c>
      <c r="EJ9" s="32">
        <f t="shared" ref="EJ9:EJ10" si="123">EJ8+EI9</f>
        <v>137718</v>
      </c>
      <c r="EK9" s="32">
        <f>(EJ9)*InputData!$C$6</f>
        <v>8552.2878000000001</v>
      </c>
      <c r="EL9" s="32">
        <f>EL8+EI9+EK9</f>
        <v>154709.6778</v>
      </c>
      <c r="EM9" s="32">
        <f>EM8*(1+InputData!$C$8)</f>
        <v>11954.196000000002</v>
      </c>
      <c r="EN9" s="32">
        <v>0</v>
      </c>
      <c r="EO9" s="32">
        <f>AW9/((1+InputData!$C$3)^(Ophtha!$B9-Ophtha!$B$7))</f>
        <v>0</v>
      </c>
      <c r="EP9" s="32">
        <f>AX9/((1+InputData!$C$3)^(Ophtha!$B9-Ophtha!$B$7))</f>
        <v>-55367.214532871978</v>
      </c>
      <c r="EQ9" s="32">
        <v>0</v>
      </c>
      <c r="ER9" s="32">
        <v>0</v>
      </c>
      <c r="ES9" s="32">
        <v>0</v>
      </c>
      <c r="ET9" s="43"/>
      <c r="EU9" s="32">
        <f t="shared" si="76"/>
        <v>-55367.214532871978</v>
      </c>
      <c r="EV9" s="32">
        <f>EN9/((1+InputData!$C$3)^(Ophtha!$B9-Ophtha!$B$7))</f>
        <v>0</v>
      </c>
      <c r="EW9" s="32">
        <f t="shared" si="77"/>
        <v>-55367.214532871978</v>
      </c>
      <c r="EX9" s="32">
        <f>EW9/((1+InputData!$C$7)^(Ophtha!$B9-Ophtha!$B$7))</f>
        <v>-52188.909918816084</v>
      </c>
      <c r="EY9" s="5">
        <f t="shared" ref="EY9:EY36" si="124">EY8+EX9</f>
        <v>-138541.19578403595</v>
      </c>
      <c r="EZ9" s="79"/>
      <c r="FA9" s="32">
        <f t="shared" si="78"/>
        <v>137718</v>
      </c>
      <c r="FB9" s="32">
        <f t="shared" si="79"/>
        <v>8552.2878000000001</v>
      </c>
      <c r="FC9" s="32">
        <f t="shared" si="80"/>
        <v>154709.6778</v>
      </c>
      <c r="FD9" s="32">
        <v>0</v>
      </c>
      <c r="FE9" s="32">
        <f>FD9/((1+InputData!$C$3)^(Ophtha!$B9-Ophtha!$B$7))</f>
        <v>0</v>
      </c>
      <c r="FF9" s="5">
        <f t="shared" si="81"/>
        <v>-55367.214532871978</v>
      </c>
      <c r="FG9" s="32">
        <f>FF9/((1+InputData!$C$7)^(Ophtha!$B9-Ophtha!$B$7))</f>
        <v>-52188.909918816084</v>
      </c>
      <c r="FH9" s="5">
        <f t="shared" ref="FH9:FH36" si="125">FH8+FG9</f>
        <v>-138541.19578403595</v>
      </c>
      <c r="FI9" s="79"/>
      <c r="FJ9" s="32">
        <f t="shared" si="82"/>
        <v>137718</v>
      </c>
      <c r="FK9" s="32">
        <f t="shared" si="83"/>
        <v>8552.2878000000001</v>
      </c>
      <c r="FL9" s="32">
        <f t="shared" si="84"/>
        <v>154709.6778</v>
      </c>
      <c r="FM9" s="32">
        <v>0</v>
      </c>
      <c r="FN9" s="32">
        <f>FM9/((1+InputData!$C$3)^(Ophtha!$B9-Ophtha!$B$7))</f>
        <v>0</v>
      </c>
      <c r="FO9" s="5">
        <f t="shared" si="85"/>
        <v>-55367.214532871978</v>
      </c>
      <c r="FP9" s="32">
        <f>FO9/((1+InputData!$C$7)^(Ophtha!$B9-Ophtha!$B$7))</f>
        <v>-52188.909918816084</v>
      </c>
      <c r="FQ9" s="5">
        <f t="shared" ref="FQ9:FQ36" si="126">FQ8+FP9</f>
        <v>-138541.19578403595</v>
      </c>
      <c r="FR9" s="79"/>
      <c r="FS9" s="32">
        <f t="shared" si="1"/>
        <v>137718</v>
      </c>
      <c r="FT9" s="32">
        <f t="shared" si="86"/>
        <v>8552.2878000000001</v>
      </c>
      <c r="FU9" s="32">
        <f t="shared" si="87"/>
        <v>154709.6778</v>
      </c>
      <c r="FV9" s="32">
        <v>0</v>
      </c>
      <c r="FW9" s="32">
        <f>FV9/((1+InputData!$C$3)^(Ophtha!$B9-Ophtha!$B$7))</f>
        <v>0</v>
      </c>
      <c r="FX9" s="5">
        <f t="shared" si="88"/>
        <v>-55367.214532871978</v>
      </c>
      <c r="FY9" s="32">
        <f>FX9/((1+InputData!$C$7)^(Ophtha!$B9-Ophtha!$B$7))</f>
        <v>-52188.909918816084</v>
      </c>
      <c r="FZ9" s="5">
        <f t="shared" ref="FZ9:FZ36" si="127">FZ8+FY9</f>
        <v>-138541.19578403595</v>
      </c>
      <c r="GC9" s="3">
        <f t="shared" si="2"/>
        <v>0</v>
      </c>
      <c r="GD9" s="4" t="str">
        <f t="shared" si="3"/>
        <v>Med School (O1&gt; 2 yrs)</v>
      </c>
      <c r="GE9" s="5">
        <f t="shared" si="4"/>
        <v>35928</v>
      </c>
      <c r="GF9" s="5">
        <f t="shared" si="5"/>
        <v>25411.199999999997</v>
      </c>
      <c r="GG9" s="5">
        <f t="shared" si="6"/>
        <v>61339.199999999997</v>
      </c>
      <c r="GH9" s="5">
        <f t="shared" si="7"/>
        <v>35226.98269896194</v>
      </c>
      <c r="GI9" s="5">
        <f t="shared" si="8"/>
        <v>24915.383621683966</v>
      </c>
      <c r="GJ9" s="32">
        <f>IF(GH9-InputData!$C$158-InputData!$C$159&gt;=0,GH9-InputData!$C$158-InputData!$C$159,0)</f>
        <v>35226.98269896194</v>
      </c>
      <c r="GK9" s="32">
        <f>IF(GH9-IF(GH9&lt;=InputData!$C$146,InputData!$C$145,0)-MAX(InputData!$C$144,GQ9)&gt;=0,GH9-IF(GH9&lt;=InputData!$C$146,InputData!$C$145,0)-MAX(InputData!$C$144,GQ9),0)</f>
        <v>25226.98269896194</v>
      </c>
      <c r="GL9" s="32">
        <f>IF(GK9&lt;0,"Error",IF(GK9&lt;=InputData!$B$170,InputData!$C$170*GK9,IF(GK9&lt;=InputData!$B$171,InputData!$D$170+InputData!$C$171*(GK9-InputData!$B$170),IF(GK9&lt;=InputData!$B$172,InputData!$D$171+InputData!$C$172*(GK9-InputData!$B$171),IF(GK9&lt;=InputData!$B$173,InputData!$D$172+InputData!$C$173*(GK9-InputData!$B$172),IF(GK9&lt;=InputData!$B$174,InputData!$D$173+InputData!$C$174*(GK9-InputData!$B$173),IF(GK9&lt;=InputData!$B$175,InputData!$D$174+InputData!$C$175*(GK9-InputData!$B$174),InputData!$D$175+InputData!$C$176*(GK9-InputData!$B$175))))))))</f>
        <v>3337.7974048442907</v>
      </c>
      <c r="GM9" s="32">
        <f>IF(GH9&lt;=InputData!$C$150,InputData!$C$152,IF(GH9&lt;InputData!$C$151,IF(InputData!$C$152-0.25*IF(GH9-InputData!$C$150&lt;=0,0,GH9-InputData!$C$150)&lt;=0,0,InputData!$C$152-0.25*IF(GH9-InputData!$C$150&lt;=0,0,GH9-InputData!$C$150)),0))</f>
        <v>51900</v>
      </c>
      <c r="GN9" s="32">
        <f>IF(GH9-GM9&lt;=0,0,IF(GH9-GM9&lt;=InputData!$C$153,InputData!$C$154*(GH9-GM9),InputData!$C$155*(GH9-GM9)-InputData!$D$154))</f>
        <v>0</v>
      </c>
      <c r="GO9" s="32">
        <f t="shared" si="89"/>
        <v>3337.7974048442907</v>
      </c>
      <c r="GP9" s="32">
        <f>IF(GH9&gt;=0,IF(GH9&lt;=InputData!$C$148,InputData!$C$147*GH9,InputData!$C$147*InputData!$C$148)+InputData!$C$149*GH9,0)</f>
        <v>2694.8641764705881</v>
      </c>
      <c r="GQ9" s="32">
        <f>IF(GJ9&lt;0,0,IF(GJ9&lt;=InputData!$B$163,InputData!$C$163*GJ9,IF(GJ9&lt;=InputData!$B$164,InputData!$D$163+InputData!$C$164*(GJ9-InputData!$B$163),IF(GJ9&lt;=InputData!$B$165,InputData!$D$164+InputData!$C$165*(GJ9-InputData!$B$164),InputData!$D$165+InputData!$C$166*(GJ9-InputData!$B$165)))))</f>
        <v>0</v>
      </c>
      <c r="GR9" s="43">
        <f t="shared" si="90"/>
        <v>0.17125115803609961</v>
      </c>
      <c r="GS9" s="43">
        <f t="shared" si="91"/>
        <v>0.10030635557556974</v>
      </c>
      <c r="GT9" s="5">
        <f t="shared" si="9"/>
        <v>54109.70473933102</v>
      </c>
      <c r="GU9" s="32">
        <f>GT9/((1+InputData!$C$7)^(Ophtha!$B9-Ophtha!$B$7))</f>
        <v>51003.586331728744</v>
      </c>
      <c r="GV9" s="32">
        <f t="shared" si="92"/>
        <v>157045.52189700573</v>
      </c>
      <c r="GX9" s="3">
        <f t="shared" si="10"/>
        <v>0</v>
      </c>
      <c r="GY9" s="4" t="str">
        <f t="shared" si="11"/>
        <v>Med School</v>
      </c>
      <c r="GZ9" s="5">
        <f t="shared" si="12"/>
        <v>29481.190965092403</v>
      </c>
      <c r="HA9" s="5">
        <f t="shared" si="13"/>
        <v>0</v>
      </c>
      <c r="HB9" s="5">
        <f t="shared" si="14"/>
        <v>29481.190965092403</v>
      </c>
      <c r="HC9" s="5">
        <f t="shared" si="15"/>
        <v>28905.962037188354</v>
      </c>
      <c r="HD9" s="5">
        <f t="shared" si="16"/>
        <v>0</v>
      </c>
      <c r="HE9" s="32">
        <f>IF(HC9-InputData!$C$158-InputData!$C$159&gt;=0,HC9-InputData!$C$158-InputData!$C$159,0)</f>
        <v>28905.962037188354</v>
      </c>
      <c r="HF9" s="32">
        <f>IF(HC9-IF(HC9&lt;=InputData!$C$146,InputData!$C$145,0)-MAX(InputData!$C$144,HL9)&gt;=0,HC9-IF(HC9&lt;=InputData!$C$146,InputData!$C$145,0)-MAX(InputData!$C$144,HL9),0)</f>
        <v>18905.962037188354</v>
      </c>
      <c r="HG9" s="32">
        <f>IF(HF9&lt;0,"Error",IF(HF9&lt;=InputData!$B$170,InputData!$C$170*HF9,IF(HF9&lt;=InputData!$B$171,InputData!$D$170+InputData!$C$171*(HF9-InputData!$B$170),IF(HF9&lt;=InputData!$B$172,InputData!$D$171+InputData!$C$172*(HF9-InputData!$B$171),IF(HF9&lt;=InputData!$B$173,InputData!$D$172+InputData!$C$173*(HF9-InputData!$B$172),IF(HF9&lt;=InputData!$B$174,InputData!$D$173+InputData!$C$174*(HF9-InputData!$B$173),IF(HF9&lt;=InputData!$B$175,InputData!$D$174+InputData!$C$175*(HF9-InputData!$B$174),InputData!$D$175+InputData!$C$176*(HF9-InputData!$B$175))))))))</f>
        <v>2389.6443055782529</v>
      </c>
      <c r="HH9" s="32">
        <f>IF(HC9&lt;=InputData!$C$150,InputData!$C$152,IF(HC9&lt;InputData!$C$151,IF(InputData!$C$152-0.25*IF(HC9-InputData!$C$150&lt;=0,0,HC9-InputData!$C$150)&lt;=0,0,InputData!$C$152-0.25*IF(HC9-InputData!$C$150&lt;=0,0,HC9-InputData!$C$150)),0))</f>
        <v>51900</v>
      </c>
      <c r="HI9" s="32">
        <f>IF(HC9-HH9&lt;=0,0,IF(HC9-HH9&lt;=InputData!$C$153,InputData!$C$154*(HC9-HH9),InputData!$C$155*(HC9-HH9)-InputData!$D$154))</f>
        <v>0</v>
      </c>
      <c r="HJ9" s="32">
        <f t="shared" si="93"/>
        <v>2389.6443055782529</v>
      </c>
      <c r="HK9" s="32">
        <v>0</v>
      </c>
      <c r="HL9" s="32">
        <f>IF(HE9&lt;0,0,IF(HE9&lt;=InputData!$B$163,InputData!$C$163*HE9,IF(HE9&lt;=InputData!$B$164,InputData!$D$163+InputData!$C$164*(HE9-InputData!$B$163),IF(HE9&lt;=InputData!$B$165,InputData!$D$164+InputData!$C$165*(HE9-InputData!$B$164),InputData!$D$165+InputData!$C$166*(HE9-InputData!$B$165)))))</f>
        <v>0</v>
      </c>
      <c r="HM9" s="43">
        <f t="shared" si="94"/>
        <v>8.2669599527734339E-2</v>
      </c>
      <c r="HN9" s="43">
        <f t="shared" si="95"/>
        <v>8.2669599527734339E-2</v>
      </c>
      <c r="HO9" s="5">
        <f t="shared" si="17"/>
        <v>26516.317731610099</v>
      </c>
      <c r="HP9" s="32">
        <f>HO9/((1+InputData!$C$7)^(Ophtha!$B9-Ophtha!$B$7))</f>
        <v>24994.172619106514</v>
      </c>
      <c r="HQ9" s="32">
        <f t="shared" si="96"/>
        <v>94384.024082394724</v>
      </c>
      <c r="HS9" s="93">
        <f t="shared" si="18"/>
        <v>0</v>
      </c>
      <c r="HT9" s="5" t="str">
        <f t="shared" si="19"/>
        <v>Med School (O1&gt; 2 yrs)</v>
      </c>
      <c r="HU9" s="5">
        <f t="shared" si="20"/>
        <v>35928</v>
      </c>
      <c r="HV9" s="5">
        <f t="shared" si="21"/>
        <v>25411.199999999997</v>
      </c>
      <c r="HW9" s="5">
        <f t="shared" si="22"/>
        <v>61339.199999999997</v>
      </c>
      <c r="HX9" s="5">
        <f t="shared" si="23"/>
        <v>35226.98269896194</v>
      </c>
      <c r="HY9" s="5">
        <f t="shared" si="24"/>
        <v>24915.383621683966</v>
      </c>
      <c r="HZ9" s="32">
        <f>IF(HX9-InputData!$C$158-InputData!$C$159&gt;=0,HX9-InputData!$C$158-InputData!$C$159,0)</f>
        <v>35226.98269896194</v>
      </c>
      <c r="IA9" s="32">
        <f>IF(HX9-IF(HX9&lt;=InputData!$C$146,InputData!$C$145,0)-MAX(InputData!$C$144,IG9)&gt;=0,HX9-IF(HX9&lt;=InputData!$C$146,InputData!$C$145,0)-MAX(InputData!$C$144,IG9),0)</f>
        <v>25226.98269896194</v>
      </c>
      <c r="IB9" s="32">
        <f>IF(IA9&lt;0,"Error",IF(IA9&lt;=InputData!$B$170,InputData!$C$170*IA9,IF(IA9&lt;=InputData!$B$171,InputData!$D$170+InputData!$C$171*(IA9-InputData!$B$170),IF(IA9&lt;=InputData!$B$172,InputData!$D$171+InputData!$C$172*(IA9-InputData!$B$171),IF(IA9&lt;=InputData!$B$173,InputData!$D$172+InputData!$C$173*(IA9-InputData!$B$172),IF(IA9&lt;=InputData!$B$174,InputData!$D$173+InputData!$C$174*(IA9-InputData!$B$173),IF(IA9&lt;=InputData!$B$175,InputData!$D$174+InputData!$C$175*(IA9-InputData!$B$174),InputData!$D$175+InputData!$C$176*(IA9-InputData!$B$175))))))))</f>
        <v>3337.7974048442907</v>
      </c>
      <c r="IC9" s="32">
        <f>IF(HX9&lt;=InputData!$C$150,InputData!$C$152,IF(HX9&lt;InputData!$C$151,IF(InputData!$C$152-0.25*IF(HX9-InputData!$C$150&lt;=0,0,HX9-InputData!$C$150)&lt;=0,0,InputData!$C$152-0.25*IF(HX9-InputData!$C$150&lt;=0,0,HX9-InputData!$C$150)),0))</f>
        <v>51900</v>
      </c>
      <c r="ID9" s="32">
        <f>IF(HX9-IC9&lt;=0,0,IF(HX9-IC9&lt;=InputData!$C$153,InputData!$C$154*(HX9-IC9),InputData!$C$155*(HX9-IC9)-InputData!$D$154))</f>
        <v>0</v>
      </c>
      <c r="IE9" s="32">
        <f t="shared" si="97"/>
        <v>3337.7974048442907</v>
      </c>
      <c r="IF9" s="32">
        <f>IF(HX9&gt;=0,IF(HX9&lt;=InputData!$C$148,InputData!$C$147*HX9,InputData!$C$147*InputData!$C$148)+InputData!$C$149*HX9,0)</f>
        <v>2694.8641764705881</v>
      </c>
      <c r="IG9" s="32">
        <f>IF(HZ9&lt;0,0,IF(HZ9&lt;=InputData!$B$163,InputData!$C$163*HZ9,IF(HZ9&lt;=InputData!$B$164,InputData!$D$163+InputData!$C$164*(HZ9-InputData!$B$163),IF(HZ9&lt;=InputData!$B$165,InputData!$D$164+InputData!$C$165*(HZ9-InputData!$B$164),InputData!$D$165+InputData!$C$166*(HZ9-InputData!$B$165)))))</f>
        <v>0</v>
      </c>
      <c r="IH9" s="43">
        <f t="shared" si="98"/>
        <v>0.17125115803609961</v>
      </c>
      <c r="II9" s="43">
        <f t="shared" si="99"/>
        <v>0.10030635557556974</v>
      </c>
      <c r="IJ9" s="5">
        <f t="shared" si="100"/>
        <v>54109.70473933102</v>
      </c>
      <c r="IK9" s="32">
        <f>IJ9/((1+InputData!$C$7)^(Ophtha!$B9-Ophtha!$B$7))</f>
        <v>51003.586331728744</v>
      </c>
      <c r="IL9" s="5">
        <f t="shared" si="101"/>
        <v>157045.52189700573</v>
      </c>
      <c r="IN9" s="93">
        <f t="shared" si="25"/>
        <v>0</v>
      </c>
      <c r="IO9" s="5" t="str">
        <f t="shared" si="26"/>
        <v>Med School</v>
      </c>
      <c r="IP9" s="5">
        <f t="shared" si="27"/>
        <v>29481.190965092403</v>
      </c>
      <c r="IQ9" s="5">
        <f t="shared" si="28"/>
        <v>0</v>
      </c>
      <c r="IR9" s="5">
        <f t="shared" si="29"/>
        <v>29481.190965092403</v>
      </c>
      <c r="IS9" s="5">
        <f t="shared" si="30"/>
        <v>28905.962037188354</v>
      </c>
      <c r="IT9" s="5">
        <f t="shared" si="31"/>
        <v>0</v>
      </c>
      <c r="IU9" s="32">
        <f>IF(IS9-InputData!$C$158-InputData!$C$159&gt;=0,IS9-InputData!$C$158-InputData!$C$159,0)</f>
        <v>28905.962037188354</v>
      </c>
      <c r="IV9" s="32">
        <f>IF(IS9-IF(IS9&lt;=InputData!$C$146,InputData!$C$145,0)-MAX(InputData!$C$144,JB9)&gt;=0,IS9-IF(IS9&lt;=InputData!$C$146,InputData!$C$145,0)-MAX(InputData!$C$144,JB9),0)</f>
        <v>18905.962037188354</v>
      </c>
      <c r="IW9" s="32">
        <f>IF(IV9&lt;0,"Error",IF(IV9&lt;=InputData!$B$170,InputData!$C$170*IV9,IF(IV9&lt;=InputData!$B$171,InputData!$D$170+InputData!$C$171*(IV9-InputData!$B$170),IF(IV9&lt;=InputData!$B$172,InputData!$D$171+InputData!$C$172*(IV9-InputData!$B$171),IF(IV9&lt;=InputData!$B$173,InputData!$D$172+InputData!$C$173*(IV9-InputData!$B$172),IF(IV9&lt;=InputData!$B$174,InputData!$D$173+InputData!$C$174*(IV9-InputData!$B$173),IF(IV9&lt;=InputData!$B$175,InputData!$D$174+InputData!$C$175*(IV9-InputData!$B$174),InputData!$D$175+InputData!$C$176*(IV9-InputData!$B$175))))))))</f>
        <v>2389.6443055782529</v>
      </c>
      <c r="IX9" s="32">
        <f>IF(IS9&lt;=InputData!$C$150,InputData!$C$152,IF(IS9&lt;InputData!$C$151,IF(InputData!$C$152-0.25*IF(IS9-InputData!$C$150&lt;=0,0,IS9-InputData!$C$150)&lt;=0,0,InputData!$C$152-0.25*IF(IS9-InputData!$C$150&lt;=0,0,IS9-InputData!$C$150)),0))</f>
        <v>51900</v>
      </c>
      <c r="IY9" s="32">
        <f>IF(IS9-IX9&lt;=0,0,IF(IS9-IX9&lt;=InputData!$C$153,InputData!$C$154*(IS9-IX9),InputData!$C$155*(IS9-IX9)-InputData!$D$154))</f>
        <v>0</v>
      </c>
      <c r="IZ9" s="32">
        <f t="shared" si="102"/>
        <v>2389.6443055782529</v>
      </c>
      <c r="JA9" s="32">
        <v>0</v>
      </c>
      <c r="JB9" s="32">
        <f>IF(IU9&lt;0,0,IF(IU9&lt;=InputData!$B$163,InputData!$C$163*IU9,IF(IU9&lt;=InputData!$B$164,InputData!$D$163+InputData!$C$164*(IU9-InputData!$B$163),IF(IU9&lt;=InputData!$B$165,InputData!$D$164+InputData!$C$165*(IU9-InputData!$B$164),InputData!$D$165+InputData!$C$166*(IU9-InputData!$B$165)))))</f>
        <v>0</v>
      </c>
      <c r="JC9" s="43">
        <f t="shared" si="103"/>
        <v>8.2669599527734339E-2</v>
      </c>
      <c r="JD9" s="43">
        <f t="shared" si="104"/>
        <v>8.2669599527734339E-2</v>
      </c>
      <c r="JE9" s="5">
        <f t="shared" si="105"/>
        <v>26516.317731610099</v>
      </c>
      <c r="JF9" s="32">
        <f>JE9/((1+InputData!$C$7)^(Ophtha!$B9-Ophtha!$B$7))</f>
        <v>24994.172619106514</v>
      </c>
      <c r="JG9" s="5">
        <f t="shared" si="106"/>
        <v>94384.024082394724</v>
      </c>
      <c r="JI9" s="41" t="str">
        <f t="shared" si="32"/>
        <v>Med School</v>
      </c>
      <c r="JJ9" s="5">
        <f t="shared" si="33"/>
        <v>0</v>
      </c>
      <c r="JK9" s="32">
        <f t="shared" si="107"/>
        <v>0</v>
      </c>
      <c r="JL9" s="32">
        <f t="shared" si="108"/>
        <v>0</v>
      </c>
      <c r="JM9" s="32">
        <f>JM8*(1+InputData!$C$8)</f>
        <v>11954.196000000002</v>
      </c>
      <c r="JN9" s="32">
        <f>JJ9/((1+InputData!$C$3)^(Ophtha!$B9-Ophtha!$B$7))</f>
        <v>0</v>
      </c>
      <c r="JO9" s="32">
        <f>JK9/((1+InputData!$C$3)^(Ophtha!$B9-Ophtha!$B$7))</f>
        <v>0</v>
      </c>
      <c r="JP9" s="32" t="s">
        <v>143</v>
      </c>
      <c r="JQ9" s="118">
        <v>0</v>
      </c>
      <c r="JR9" s="32">
        <f t="shared" ref="JR9:JR10" si="128">JR8+JQ9</f>
        <v>0</v>
      </c>
      <c r="JS9" s="32">
        <f>(JR9)*InputData!$C$6</f>
        <v>0</v>
      </c>
      <c r="JT9" s="32">
        <v>0</v>
      </c>
      <c r="JU9" s="32">
        <f>JU8+JQ9+JS9-JT9</f>
        <v>0</v>
      </c>
      <c r="JV9" s="32">
        <f>JT9/((1+InputData!$C$3)^(Ophtha!$B9-Ophtha!$B$7))</f>
        <v>0</v>
      </c>
      <c r="JW9" s="32">
        <f>IF(JN9-InputData!$C$158-InputData!$C$159&gt;=0,JN9-InputData!$C$158-InputData!$C$159,0)</f>
        <v>0</v>
      </c>
      <c r="JX9" s="32">
        <f>IF(JN9-IF(JN9&lt;=InputData!$C$146,InputData!$C$145,0)-MAX(InputData!$C$144,KD9)&gt;=0,JN9-IF(JN9&lt;=InputData!$C$146,InputData!$C$145,0)-MAX(InputData!$C$144,KD9),0)</f>
        <v>0</v>
      </c>
      <c r="JY9" s="32">
        <f>IF(JX9&lt;0,"Error",IF(JX9&lt;=InputData!$B$170,InputData!$C$170*JX9,IF(JX9&lt;=InputData!$B$171,InputData!$D$170+InputData!$C$171*(JX9-InputData!$B$170),IF(JX9&lt;=InputData!$B$172,InputData!$D$171+InputData!$C$172*(JX9-InputData!$B$171),IF(JX9&lt;=InputData!$B$173,InputData!$D$172+InputData!$C$173*(JX9-InputData!$B$172),IF(JX9&lt;=InputData!$B$174,InputData!$D$173+InputData!$C$174*(JX9-InputData!$B$173),IF(JX9&lt;=InputData!$B$175,InputData!$D$174+InputData!$C$175*(JX9-InputData!$B$174),InputData!$D$175+InputData!$C$176*(JX9-InputData!$B$175))))))))</f>
        <v>0</v>
      </c>
      <c r="JZ9" s="32">
        <f>IF(JN9&lt;=InputData!$C$150,InputData!$C$152,IF(JN9&lt;InputData!$C$151,IF(InputData!$C$152-0.25*IF(JN9-InputData!$C$150&lt;=0,0,JN9-InputData!$C$150)&lt;=0,0,InputData!$C$152-0.25*IF(JN9-InputData!$C$150&lt;=0,0,JN9-InputData!$C$150)),0))</f>
        <v>51900</v>
      </c>
      <c r="KA9" s="32">
        <f>IF(JN9-JZ9&lt;=0,0,IF(JN9-JZ9&lt;=InputData!$C$153,InputData!$C$154*(JN9-JZ9),InputData!$C$155*(JN9-JZ9)-InputData!$D$154))</f>
        <v>0</v>
      </c>
      <c r="KB9" s="32">
        <f t="shared" si="109"/>
        <v>0</v>
      </c>
      <c r="KC9" s="32">
        <f>IF(JN9&gt;=0,IF(JN9&lt;=InputData!$C$148,InputData!$C$147*JN9,InputData!$C$147*InputData!$C$148)+InputData!$C$149*JN9,0)</f>
        <v>0</v>
      </c>
      <c r="KD9" s="32">
        <f>IF(JW9&lt;0,0,IF(JW9&lt;=InputData!$B$163,InputData!$C$163*JW9,IF(JW9&lt;=InputData!$B$164,InputData!$D$163+InputData!$C$164*(JW9-InputData!$B$163),IF(JW9&lt;=InputData!$B$165,InputData!$D$164+InputData!$C$165*(JW9-InputData!$B$164),InputData!$D$165+InputData!$C$166*(JW9-InputData!$B$165)))))</f>
        <v>0</v>
      </c>
      <c r="KE9" s="43" t="e">
        <f t="shared" si="34"/>
        <v>#DIV/0!</v>
      </c>
      <c r="KF9" s="32">
        <f t="shared" si="35"/>
        <v>0</v>
      </c>
      <c r="KG9" s="32">
        <f t="shared" si="110"/>
        <v>0</v>
      </c>
      <c r="KH9" s="32">
        <f>KG9/((1+InputData!$C$7)^(Ophtha!$B9-Ophtha!$B$7))</f>
        <v>0</v>
      </c>
      <c r="KI9" s="5">
        <f t="shared" ref="KI9:KI36" si="129">KI8+KH9</f>
        <v>0</v>
      </c>
    </row>
    <row r="10" spans="1:295" ht="14.45" x14ac:dyDescent="0.3">
      <c r="A10" s="4">
        <v>2016</v>
      </c>
      <c r="B10" s="51">
        <v>4</v>
      </c>
      <c r="C10" s="4"/>
      <c r="D10" s="45">
        <v>0</v>
      </c>
      <c r="E10" s="46" t="s">
        <v>13</v>
      </c>
      <c r="F10" s="5">
        <f>InputData!$E$26*12</f>
        <v>43430.399999999994</v>
      </c>
      <c r="G10" s="5">
        <f>InputData!$E$26*12</f>
        <v>43430.399999999994</v>
      </c>
      <c r="H10" s="5">
        <f>(InputData!$H$37+InputData!$C$40)*12</f>
        <v>25411.199999999997</v>
      </c>
      <c r="I10" s="5">
        <f t="shared" si="36"/>
        <v>68841.599999999991</v>
      </c>
      <c r="J10" s="5">
        <f>G10*((1+InputData!$C$5)/(1+InputData!$C$3))^(Ophtha!$B10-Ophtha!$B$7)</f>
        <v>42165.517552072735</v>
      </c>
      <c r="K10" s="5">
        <f>H10*((1+InputData!$C$5)/(1+InputData!$C$3))^(Ophtha!$B10-Ophtha!$B$7)</f>
        <v>24671.115154804713</v>
      </c>
      <c r="L10" s="32">
        <f>IF(J10-InputData!$C$158-InputData!$C$159&gt;=0,J10-InputData!$C$158-InputData!$C$159,0)</f>
        <v>42165.517552072735</v>
      </c>
      <c r="M10" s="32">
        <f>IF(J10-IF(J10&lt;=InputData!$C$146,InputData!$C$145,0)-MAX(InputData!$C$144,S10)&gt;=0,J10-IF(J10&lt;=InputData!$C$146,InputData!$C$145,0)-MAX(InputData!$C$144,S10),0)</f>
        <v>32165.517552072735</v>
      </c>
      <c r="N10" s="32">
        <f>IF(M10&lt;0,"Error",IF(M10&lt;=InputData!$B$170,InputData!$C$170*M10,IF(M10&lt;=InputData!$B$171,InputData!$D$170+InputData!$C$171*(M10-InputData!$B$170),IF(M10&lt;=InputData!$B$172,InputData!$D$171+InputData!$C$172*(M10-InputData!$B$171),IF(M10&lt;=InputData!$B$173,InputData!$D$172+InputData!$C$173*(M10-InputData!$B$172),IF(M10&lt;=InputData!$B$174,InputData!$D$173+InputData!$C$174*(M10-InputData!$B$173),IF(M10&lt;=InputData!$B$175,InputData!$D$174+InputData!$C$175*(M10-InputData!$B$174),InputData!$D$175+InputData!$C$176*(M10-InputData!$B$175))))))))</f>
        <v>4378.5776328109096</v>
      </c>
      <c r="O10" s="32">
        <f>IF(J10&lt;=InputData!$C$150,InputData!$C$152,IF(J10&lt;InputData!$C$151,IF(InputData!$C$152-0.25*IF(J10-InputData!$C$150&lt;=0,0,J10-InputData!$C$150)&lt;=0,0,InputData!$C$152-0.25*IF(J10-InputData!$C$150&lt;=0,0,J10-InputData!$C$150)),0))</f>
        <v>51900</v>
      </c>
      <c r="P10" s="32">
        <f>IF(J10-O10&lt;=0,0,IF(J10-O10&lt;=InputData!$C$153,InputData!$C$154*(J10-O10),InputData!$C$155*(J10-O10)-InputData!$D$154))</f>
        <v>0</v>
      </c>
      <c r="Q10" s="32">
        <f t="shared" si="37"/>
        <v>4378.5776328109096</v>
      </c>
      <c r="R10" s="32">
        <f>IF(J10&gt;=0,IF(J10&lt;=InputData!$C$148,InputData!$C$147*J10,InputData!$C$147*InputData!$C$148)+InputData!$C$149*J10,0)</f>
        <v>3225.6620927335644</v>
      </c>
      <c r="S10" s="32">
        <f>IF(L10&lt;0,0,IF(L10&lt;=InputData!$B$163,InputData!$C$163*L10,IF(L10&lt;=InputData!$B$164,InputData!$D$163+InputData!$C$164*(L10-InputData!$B$163),IF(L10&lt;=InputData!$B$165,InputData!$D$164+InputData!$C$165*(L10-InputData!$B$164),InputData!$D$165+InputData!$C$166*(L10-InputData!$B$165)))))</f>
        <v>0</v>
      </c>
      <c r="T10" s="43">
        <f t="shared" si="38"/>
        <v>0.18034261564923379</v>
      </c>
      <c r="U10" s="43">
        <f t="shared" si="39"/>
        <v>0.11377353133414217</v>
      </c>
      <c r="V10" s="5">
        <f t="shared" si="40"/>
        <v>59232.392981332989</v>
      </c>
      <c r="W10" s="32">
        <f>V10/((1+InputData!$C$7)^(Ophtha!$B10-Ophtha!$B$7))</f>
        <v>54206.030400395517</v>
      </c>
      <c r="X10" s="5">
        <f t="shared" si="111"/>
        <v>211251.55229740124</v>
      </c>
      <c r="Y10" s="53"/>
      <c r="Z10" s="45">
        <v>0</v>
      </c>
      <c r="AA10" s="46" t="s">
        <v>0</v>
      </c>
      <c r="AB10" s="4"/>
      <c r="AC10" s="5">
        <f>InputData!$C$67*10.5+(IntMed!G10+IntMed!H10)*45/365.25</f>
        <v>30405.511293634496</v>
      </c>
      <c r="AD10" s="5">
        <v>0</v>
      </c>
      <c r="AE10" s="5">
        <f t="shared" si="41"/>
        <v>30405.511293634496</v>
      </c>
      <c r="AF10" s="5">
        <f>AC10*((1+InputData!$C$5)/(1+InputData!$C$3))^(Ophtha!$B10-Ophtha!$B$7)</f>
        <v>29519.970346381593</v>
      </c>
      <c r="AG10" s="5">
        <f>AD10*((1+InputData!$C$5)/(1+InputData!$C$3))^(Ophtha!$B10-Ophtha!$B$7)</f>
        <v>0</v>
      </c>
      <c r="AH10" s="32">
        <f>IF(AF10-InputData!$C$158-InputData!$C$159&gt;=0,AF10-InputData!$C$158-InputData!$C$159,0)</f>
        <v>29519.970346381593</v>
      </c>
      <c r="AI10" s="32">
        <f>IF(AF10-IF(AF10&lt;=InputData!$C$146,InputData!$C$145,0)-MAX(InputData!$C$144,AO10)&gt;=0,AF10-IF(AF10&lt;=InputData!$C$146,InputData!$C$145,0)-MAX(InputData!$C$144,AO10),0)</f>
        <v>19519.970346381593</v>
      </c>
      <c r="AJ10" s="32">
        <f>IF(AI10&lt;0,"Error",IF(AI10&lt;=InputData!$B$170,InputData!$C$170*AI10,IF(AI10&lt;=InputData!$B$171,InputData!$D$170+InputData!$C$171*(AI10-InputData!$B$170),IF(AI10&lt;=InputData!$B$172,InputData!$D$171+InputData!$C$172*(AI10-InputData!$B$171),IF(AI10&lt;=InputData!$B$173,InputData!$D$172+InputData!$C$173*(AI10-InputData!$B$172),IF(AI10&lt;=InputData!$B$174,InputData!$D$173+InputData!$C$174*(AI10-InputData!$B$173),IF(AI10&lt;=InputData!$B$175,InputData!$D$174+InputData!$C$175*(AI10-InputData!$B$174),InputData!$D$175+InputData!$C$176*(AI10-InputData!$B$175))))))))</f>
        <v>2481.7455519572386</v>
      </c>
      <c r="AK10" s="32">
        <f>IF(AF10&lt;=InputData!$C$150,InputData!$C$152,IF(AF10&lt;InputData!$C$151,IF(InputData!$C$152-0.25*IF(AF10-InputData!$C$150&lt;=0,0,AF10-InputData!$C$150)&lt;=0,0,InputData!$C$152-0.25*IF(AF10-InputData!$C$150&lt;=0,0,AF10-InputData!$C$150)),0))</f>
        <v>51900</v>
      </c>
      <c r="AL10" s="32">
        <f>IF(AF10-AK10&lt;=0,0,IF(AF10-AK10&lt;=InputData!$C$153,InputData!$C$154*(AF10-AK10),InputData!$C$155*(AF10-AK10)-InputData!$D$154))</f>
        <v>0</v>
      </c>
      <c r="AM10" s="32">
        <f t="shared" si="42"/>
        <v>2481.7455519572386</v>
      </c>
      <c r="AN10" s="32">
        <v>0</v>
      </c>
      <c r="AO10" s="32">
        <f>IF(AH10&lt;0,0,IF(AH10&lt;=InputData!$B$163,InputData!$C$163*AH10,IF(AH10&lt;=InputData!$B$164,InputData!$D$163+InputData!$C$164*(AH10-InputData!$B$163),IF(AH10&lt;=InputData!$B$165,InputData!$D$164+InputData!$C$165*(AH10-InputData!$B$164),InputData!$D$165+InputData!$C$166*(AH10-InputData!$B$165)))))</f>
        <v>0</v>
      </c>
      <c r="AP10" s="43">
        <f t="shared" si="43"/>
        <v>8.4070055722851977E-2</v>
      </c>
      <c r="AQ10" s="43">
        <f t="shared" si="44"/>
        <v>8.4070055722851977E-2</v>
      </c>
      <c r="AR10" s="5">
        <f t="shared" si="45"/>
        <v>27038.224794424354</v>
      </c>
      <c r="AS10" s="32">
        <f>AR10/((1+InputData!$C$7)^(Ophtha!$B10-Ophtha!$B$7))</f>
        <v>24743.805904333243</v>
      </c>
      <c r="AT10" s="5">
        <f t="shared" si="112"/>
        <v>119127.82998672797</v>
      </c>
      <c r="AU10" s="53"/>
      <c r="AV10" s="56" t="s">
        <v>0</v>
      </c>
      <c r="AW10" s="32">
        <v>0</v>
      </c>
      <c r="AX10" s="32">
        <f t="shared" si="46"/>
        <v>-60678</v>
      </c>
      <c r="AY10" s="32">
        <f t="shared" si="47"/>
        <v>-60678</v>
      </c>
      <c r="AZ10" s="32">
        <f>AZ9*(1+InputData!$C$8)</f>
        <v>12193.279920000003</v>
      </c>
      <c r="BA10" s="32">
        <f>AW10/((1+InputData!$C$3)^(Ophtha!$B10-Ophtha!$B$7))</f>
        <v>0</v>
      </c>
      <c r="BB10" s="32">
        <f>AX10/((1+InputData!$C$3)^(Ophtha!$B10-Ophtha!$B$7))</f>
        <v>-57178.234615645568</v>
      </c>
      <c r="BC10" s="32" t="s">
        <v>143</v>
      </c>
      <c r="BD10" s="118">
        <f>InputData!$C$88*11/40</f>
        <v>49500</v>
      </c>
      <c r="BE10" s="32">
        <f t="shared" si="113"/>
        <v>180000</v>
      </c>
      <c r="BF10" s="32">
        <f>(BE10)*InputData!$C$6</f>
        <v>11178</v>
      </c>
      <c r="BG10" s="32">
        <v>0</v>
      </c>
      <c r="BH10" s="32">
        <f>BH9+BD10+BF10-BG10</f>
        <v>206827.2</v>
      </c>
      <c r="BI10" s="32">
        <f>BG10/((1+InputData!$C$3)^(Ophtha!$B10-Ophtha!$B$7))</f>
        <v>0</v>
      </c>
      <c r="BJ10" s="32">
        <f>IF(BA10-InputData!$C$158-InputData!$C$159&gt;=0,BA10-InputData!$C$158-InputData!$C$159,0)</f>
        <v>0</v>
      </c>
      <c r="BK10" s="32">
        <f>IF(BA10-IF(BA10&lt;=InputData!$C$146,InputData!$C$145,0)-MAX(InputData!$C$144,BQ10)&gt;=0,BA10-IF(BA10&lt;=InputData!$C$146,InputData!$C$145,0)-MAX(InputData!$C$144,BQ10),0)</f>
        <v>0</v>
      </c>
      <c r="BL10" s="32">
        <f>IF(BK10&lt;0,"Error",IF(BK10&lt;=InputData!$B$170,InputData!$C$170*BK10,IF(BK10&lt;=InputData!$B$171,InputData!$D$170+InputData!$C$171*(BK10-InputData!$B$170),IF(BK10&lt;=InputData!$B$172,InputData!$D$171+InputData!$C$172*(BK10-InputData!$B$171),IF(BK10&lt;=InputData!$B$173,InputData!$D$172+InputData!$C$173*(BK10-InputData!$B$172),IF(BK10&lt;=InputData!$B$174,InputData!$D$173+InputData!$C$174*(BK10-InputData!$B$173),IF(BK10&lt;=InputData!$B$175,InputData!$D$174+InputData!$C$175*(BK10-InputData!$B$174),InputData!$D$175+InputData!$C$176*(BK10-InputData!$B$175))))))))</f>
        <v>0</v>
      </c>
      <c r="BM10" s="32">
        <f>IF(BA10&lt;=InputData!$C$150,InputData!$C$152,IF(BA10&lt;InputData!$C$151,IF(InputData!$C$152-0.25*IF(BA10-InputData!$C$150&lt;=0,0,BA10-InputData!$C$150)&lt;=0,0,InputData!$C$152-0.25*IF(BA10-InputData!$C$150&lt;=0,0,BA10-InputData!$C$150)),0))</f>
        <v>51900</v>
      </c>
      <c r="BN10" s="32">
        <f>IF(BA10-BM10&lt;=0,0,IF(BA10-BM10&lt;=InputData!$C$153,InputData!$C$154*(BA10-BM10),InputData!$C$155*(BA10-BM10)-InputData!$D$154))</f>
        <v>0</v>
      </c>
      <c r="BO10" s="32">
        <f t="shared" si="48"/>
        <v>0</v>
      </c>
      <c r="BP10" s="32">
        <f>IF(BA10&gt;=0,IF(BA10&lt;=InputData!$C$148,InputData!$C$147*BA10,InputData!$C$147*InputData!$C$148)+InputData!$C$149*BA10,0)</f>
        <v>0</v>
      </c>
      <c r="BQ10" s="32">
        <f>IF(BJ10&lt;0,0,IF(BJ10&lt;=InputData!$B$163,InputData!$C$163*BJ10,IF(BJ10&lt;=InputData!$B$164,InputData!$D$163+InputData!$C$164*(BJ10-InputData!$B$163),IF(BJ10&lt;=InputData!$B$165,InputData!$D$164+InputData!$C$165*(BJ10-InputData!$B$164),InputData!$D$165+InputData!$C$166*(BJ10-InputData!$B$165)))))</f>
        <v>0</v>
      </c>
      <c r="BR10" s="43">
        <f t="shared" si="49"/>
        <v>0</v>
      </c>
      <c r="BS10" s="32">
        <f t="shared" si="50"/>
        <v>-57178.234615645568</v>
      </c>
      <c r="BT10" s="32">
        <f t="shared" si="51"/>
        <v>-57178.234615645568</v>
      </c>
      <c r="BU10" s="32">
        <f>BT10/((1+InputData!$C$7)^(Ophtha!$B10-Ophtha!$B$7))</f>
        <v>-52326.184505046156</v>
      </c>
      <c r="BV10" s="5">
        <f t="shared" si="114"/>
        <v>-190867.38028908212</v>
      </c>
      <c r="BW10" s="5"/>
      <c r="BX10" s="32" t="s">
        <v>143</v>
      </c>
      <c r="BY10" s="5">
        <f t="shared" si="52"/>
        <v>180000</v>
      </c>
      <c r="BZ10" s="5">
        <f t="shared" si="53"/>
        <v>11178</v>
      </c>
      <c r="CA10" s="5">
        <v>0</v>
      </c>
      <c r="CB10" s="5">
        <f t="shared" si="54"/>
        <v>206827.2</v>
      </c>
      <c r="CC10" s="32">
        <f>CA10/((1+InputData!$C$3)^(Ophtha!$B10-Ophtha!$B$7))</f>
        <v>0</v>
      </c>
      <c r="CD10" s="5">
        <f t="shared" si="55"/>
        <v>-57178.234615645568</v>
      </c>
      <c r="CE10" s="32">
        <f>CD10/((1+InputData!$C$7)^(Ophtha!$B10-Ophtha!$B$7))</f>
        <v>-52326.184505046156</v>
      </c>
      <c r="CF10" s="5">
        <f t="shared" si="115"/>
        <v>-190867.38028908212</v>
      </c>
      <c r="CG10" s="5"/>
      <c r="CH10" s="32" t="s">
        <v>143</v>
      </c>
      <c r="CI10" s="5">
        <f t="shared" si="56"/>
        <v>180000</v>
      </c>
      <c r="CJ10" s="5">
        <f t="shared" si="57"/>
        <v>11178</v>
      </c>
      <c r="CK10" s="5">
        <v>0</v>
      </c>
      <c r="CL10" s="5">
        <f t="shared" si="58"/>
        <v>206827.2</v>
      </c>
      <c r="CM10" s="32">
        <f>CK10/((1+InputData!$C$3)^(Ophtha!$B10-Ophtha!$B$7))</f>
        <v>0</v>
      </c>
      <c r="CN10" s="5">
        <f t="shared" si="59"/>
        <v>-57178.234615645568</v>
      </c>
      <c r="CO10" s="32">
        <f>CN10/((1+InputData!$C$7)^(Ophtha!$B10-Ophtha!$B$7))</f>
        <v>-52326.184505046156</v>
      </c>
      <c r="CP10" s="5">
        <f t="shared" si="116"/>
        <v>-190867.38028908212</v>
      </c>
      <c r="CQ10" s="5"/>
      <c r="CR10" s="32" t="s">
        <v>143</v>
      </c>
      <c r="CS10" s="5">
        <f t="shared" si="60"/>
        <v>180000</v>
      </c>
      <c r="CT10" s="5">
        <f t="shared" si="61"/>
        <v>11178</v>
      </c>
      <c r="CU10" s="5">
        <v>0</v>
      </c>
      <c r="CV10" s="5">
        <f t="shared" si="62"/>
        <v>206827.2</v>
      </c>
      <c r="CW10" s="32">
        <f>CU10/((1+InputData!$C$3)^(Ophtha!$B10-Ophtha!$B$7))</f>
        <v>0</v>
      </c>
      <c r="CX10" s="5">
        <f t="shared" si="63"/>
        <v>-57178.234615645568</v>
      </c>
      <c r="CY10" s="32">
        <f>CX10/((1+InputData!$C$7)^(Ophtha!$B10-Ophtha!$B$7))</f>
        <v>-52326.184505046156</v>
      </c>
      <c r="CZ10" s="5">
        <f t="shared" si="117"/>
        <v>-190867.38028908212</v>
      </c>
      <c r="DA10" s="5"/>
      <c r="DB10" s="32" t="s">
        <v>143</v>
      </c>
      <c r="DC10" s="5">
        <f t="shared" si="64"/>
        <v>180000</v>
      </c>
      <c r="DD10" s="5">
        <f t="shared" si="65"/>
        <v>11178</v>
      </c>
      <c r="DE10" s="5">
        <v>0</v>
      </c>
      <c r="DF10" s="5">
        <f t="shared" si="66"/>
        <v>206827.2</v>
      </c>
      <c r="DG10" s="32">
        <f>DE10/((1+InputData!$C$3)^(Ophtha!$B10-Ophtha!$B$7))</f>
        <v>0</v>
      </c>
      <c r="DH10" s="5">
        <f t="shared" si="67"/>
        <v>-57178.234615645568</v>
      </c>
      <c r="DI10" s="32">
        <f>DH10/((1+InputData!$C$7)^(Ophtha!$B10-Ophtha!$B$7))</f>
        <v>-52326.184505046156</v>
      </c>
      <c r="DJ10" s="5">
        <f t="shared" si="118"/>
        <v>-190867.38028908212</v>
      </c>
      <c r="DK10" s="5"/>
      <c r="DL10" s="32" t="s">
        <v>143</v>
      </c>
      <c r="DM10" s="5">
        <f t="shared" si="68"/>
        <v>180000</v>
      </c>
      <c r="DN10" s="5">
        <f t="shared" si="69"/>
        <v>11178</v>
      </c>
      <c r="DO10" s="5">
        <f t="shared" si="119"/>
        <v>26827.200000000001</v>
      </c>
      <c r="DP10" s="5">
        <v>0</v>
      </c>
      <c r="DQ10" s="5">
        <f t="shared" si="70"/>
        <v>206827.2</v>
      </c>
      <c r="DR10" s="32">
        <f>DP10/((1+InputData!$C$3)^(Ophtha!$B10-Ophtha!$B$7))</f>
        <v>0</v>
      </c>
      <c r="DS10" s="5">
        <f t="shared" si="71"/>
        <v>-57178.234615645568</v>
      </c>
      <c r="DT10" s="32">
        <f>DS10/((1+InputData!$C$7)^(Ophtha!$B10-Ophtha!$B$7))</f>
        <v>-52326.184505046156</v>
      </c>
      <c r="DU10" s="5">
        <f t="shared" si="120"/>
        <v>-190867.38028908212</v>
      </c>
      <c r="DV10" s="5"/>
      <c r="DW10" s="32" t="s">
        <v>143</v>
      </c>
      <c r="DX10" s="5">
        <f t="shared" si="72"/>
        <v>180000</v>
      </c>
      <c r="DY10" s="5">
        <f t="shared" si="73"/>
        <v>11178</v>
      </c>
      <c r="DZ10" s="5">
        <f t="shared" si="121"/>
        <v>26827.200000000001</v>
      </c>
      <c r="EA10" s="5">
        <v>0</v>
      </c>
      <c r="EB10" s="5">
        <f t="shared" si="74"/>
        <v>206827.2</v>
      </c>
      <c r="EC10" s="32">
        <f>EA10/((1+InputData!$C$3)^(Ophtha!$B10-Ophtha!$B$7))</f>
        <v>0</v>
      </c>
      <c r="ED10" s="5">
        <f t="shared" si="75"/>
        <v>-57178.234615645568</v>
      </c>
      <c r="EE10" s="32">
        <f>ED10/((1+InputData!$C$7)^(Ophtha!$B10-Ophtha!$B$7))</f>
        <v>-52326.184505046156</v>
      </c>
      <c r="EF10" s="5">
        <f t="shared" si="122"/>
        <v>-190867.38028908212</v>
      </c>
      <c r="EG10" s="32"/>
      <c r="EH10" s="133" t="s">
        <v>143</v>
      </c>
      <c r="EI10" s="32">
        <f>EI9*(1+InputData!$C$10)</f>
        <v>47754.36</v>
      </c>
      <c r="EJ10" s="32">
        <f t="shared" si="123"/>
        <v>185472.36</v>
      </c>
      <c r="EK10" s="32">
        <f>(EJ10)*InputData!$C$6</f>
        <v>11517.833556</v>
      </c>
      <c r="EL10" s="32">
        <f>EL9+EI10+EK10</f>
        <v>213981.87135599999</v>
      </c>
      <c r="EM10" s="32">
        <f>EM9*(1+InputData!$C$8)</f>
        <v>12193.279920000003</v>
      </c>
      <c r="EN10" s="32">
        <v>0</v>
      </c>
      <c r="EO10" s="32">
        <f>AW10/((1+InputData!$C$3)^(Ophtha!$B10-Ophtha!$B$7))</f>
        <v>0</v>
      </c>
      <c r="EP10" s="32">
        <f>AX10/((1+InputData!$C$3)^(Ophtha!$B10-Ophtha!$B$7))</f>
        <v>-57178.234615645568</v>
      </c>
      <c r="EQ10" s="32">
        <v>0</v>
      </c>
      <c r="ER10" s="32">
        <v>0</v>
      </c>
      <c r="ES10" s="32">
        <v>0</v>
      </c>
      <c r="ET10" s="43"/>
      <c r="EU10" s="32">
        <f t="shared" si="76"/>
        <v>-57178.234615645568</v>
      </c>
      <c r="EV10" s="32">
        <f>EN10/((1+InputData!$C$3)^(Ophtha!$B10-Ophtha!$B$7))</f>
        <v>0</v>
      </c>
      <c r="EW10" s="32">
        <f t="shared" si="77"/>
        <v>-57178.234615645568</v>
      </c>
      <c r="EX10" s="32">
        <f>EW10/((1+InputData!$C$7)^(Ophtha!$B10-Ophtha!$B$7))</f>
        <v>-52326.184505046156</v>
      </c>
      <c r="EY10" s="5">
        <f t="shared" si="124"/>
        <v>-190867.38028908212</v>
      </c>
      <c r="EZ10" s="79"/>
      <c r="FA10" s="32">
        <f t="shared" si="78"/>
        <v>185472.36</v>
      </c>
      <c r="FB10" s="32">
        <f t="shared" si="79"/>
        <v>11517.833556</v>
      </c>
      <c r="FC10" s="32">
        <f t="shared" si="80"/>
        <v>213981.87135599999</v>
      </c>
      <c r="FD10" s="32">
        <v>0</v>
      </c>
      <c r="FE10" s="32">
        <f>FD10/((1+InputData!$C$3)^(Ophtha!$B10-Ophtha!$B$7))</f>
        <v>0</v>
      </c>
      <c r="FF10" s="5">
        <f t="shared" si="81"/>
        <v>-57178.234615645568</v>
      </c>
      <c r="FG10" s="32">
        <f>FF10/((1+InputData!$C$7)^(Ophtha!$B10-Ophtha!$B$7))</f>
        <v>-52326.184505046156</v>
      </c>
      <c r="FH10" s="5">
        <f t="shared" si="125"/>
        <v>-190867.38028908212</v>
      </c>
      <c r="FI10" s="79"/>
      <c r="FJ10" s="32">
        <f t="shared" si="82"/>
        <v>185472.36</v>
      </c>
      <c r="FK10" s="32">
        <f t="shared" si="83"/>
        <v>11517.833556</v>
      </c>
      <c r="FL10" s="32">
        <f t="shared" si="84"/>
        <v>213981.87135599999</v>
      </c>
      <c r="FM10" s="32">
        <v>0</v>
      </c>
      <c r="FN10" s="32">
        <f>FM10/((1+InputData!$C$3)^(Ophtha!$B10-Ophtha!$B$7))</f>
        <v>0</v>
      </c>
      <c r="FO10" s="5">
        <f t="shared" si="85"/>
        <v>-57178.234615645568</v>
      </c>
      <c r="FP10" s="32">
        <f>FO10/((1+InputData!$C$7)^(Ophtha!$B10-Ophtha!$B$7))</f>
        <v>-52326.184505046156</v>
      </c>
      <c r="FQ10" s="5">
        <f t="shared" si="126"/>
        <v>-190867.38028908212</v>
      </c>
      <c r="FR10" s="79"/>
      <c r="FS10" s="32">
        <f t="shared" si="1"/>
        <v>185472.36</v>
      </c>
      <c r="FT10" s="32">
        <f t="shared" si="86"/>
        <v>11517.833556</v>
      </c>
      <c r="FU10" s="32">
        <f t="shared" si="87"/>
        <v>213981.87135599999</v>
      </c>
      <c r="FV10" s="32">
        <v>0</v>
      </c>
      <c r="FW10" s="32">
        <f>FV10/((1+InputData!$C$3)^(Ophtha!$B10-Ophtha!$B$7))</f>
        <v>0</v>
      </c>
      <c r="FX10" s="5">
        <f t="shared" si="88"/>
        <v>-57178.234615645568</v>
      </c>
      <c r="FY10" s="32">
        <f>FX10/((1+InputData!$C$7)^(Ophtha!$B10-Ophtha!$B$7))</f>
        <v>-52326.184505046156</v>
      </c>
      <c r="FZ10" s="5">
        <f t="shared" si="127"/>
        <v>-190867.38028908212</v>
      </c>
      <c r="GC10" s="3">
        <f t="shared" si="2"/>
        <v>0</v>
      </c>
      <c r="GD10" s="46" t="str">
        <f t="shared" si="3"/>
        <v>Med School (O1 &gt; 3 yrs)</v>
      </c>
      <c r="GE10" s="5">
        <f t="shared" si="4"/>
        <v>43430.399999999994</v>
      </c>
      <c r="GF10" s="5">
        <f t="shared" si="5"/>
        <v>25411.199999999997</v>
      </c>
      <c r="GG10" s="5">
        <f t="shared" si="6"/>
        <v>68841.599999999991</v>
      </c>
      <c r="GH10" s="5">
        <f t="shared" si="7"/>
        <v>42165.517552072735</v>
      </c>
      <c r="GI10" s="5">
        <f t="shared" si="8"/>
        <v>24671.115154804713</v>
      </c>
      <c r="GJ10" s="32">
        <f>IF(GH10-InputData!$C$158-InputData!$C$159&gt;=0,GH10-InputData!$C$158-InputData!$C$159,0)</f>
        <v>42165.517552072735</v>
      </c>
      <c r="GK10" s="32">
        <f>IF(GH10-IF(GH10&lt;=InputData!$C$146,InputData!$C$145,0)-MAX(InputData!$C$144,GQ10)&gt;=0,GH10-IF(GH10&lt;=InputData!$C$146,InputData!$C$145,0)-MAX(InputData!$C$144,GQ10),0)</f>
        <v>32165.517552072735</v>
      </c>
      <c r="GL10" s="32">
        <f>IF(GK10&lt;0,"Error",IF(GK10&lt;=InputData!$B$170,InputData!$C$170*GK10,IF(GK10&lt;=InputData!$B$171,InputData!$D$170+InputData!$C$171*(GK10-InputData!$B$170),IF(GK10&lt;=InputData!$B$172,InputData!$D$171+InputData!$C$172*(GK10-InputData!$B$171),IF(GK10&lt;=InputData!$B$173,InputData!$D$172+InputData!$C$173*(GK10-InputData!$B$172),IF(GK10&lt;=InputData!$B$174,InputData!$D$173+InputData!$C$174*(GK10-InputData!$B$173),IF(GK10&lt;=InputData!$B$175,InputData!$D$174+InputData!$C$175*(GK10-InputData!$B$174),InputData!$D$175+InputData!$C$176*(GK10-InputData!$B$175))))))))</f>
        <v>4378.5776328109096</v>
      </c>
      <c r="GM10" s="32">
        <f>IF(GH10&lt;=InputData!$C$150,InputData!$C$152,IF(GH10&lt;InputData!$C$151,IF(InputData!$C$152-0.25*IF(GH10-InputData!$C$150&lt;=0,0,GH10-InputData!$C$150)&lt;=0,0,InputData!$C$152-0.25*IF(GH10-InputData!$C$150&lt;=0,0,GH10-InputData!$C$150)),0))</f>
        <v>51900</v>
      </c>
      <c r="GN10" s="32">
        <f>IF(GH10-GM10&lt;=0,0,IF(GH10-GM10&lt;=InputData!$C$153,InputData!$C$154*(GH10-GM10),InputData!$C$155*(GH10-GM10)-InputData!$D$154))</f>
        <v>0</v>
      </c>
      <c r="GO10" s="32">
        <f t="shared" si="89"/>
        <v>4378.5776328109096</v>
      </c>
      <c r="GP10" s="32">
        <f>IF(GH10&gt;=0,IF(GH10&lt;=InputData!$C$148,InputData!$C$147*GH10,InputData!$C$147*InputData!$C$148)+InputData!$C$149*GH10,0)</f>
        <v>3225.6620927335644</v>
      </c>
      <c r="GQ10" s="32">
        <f>IF(GJ10&lt;0,0,IF(GJ10&lt;=InputData!$B$163,InputData!$C$163*GJ10,IF(GJ10&lt;=InputData!$B$164,InputData!$D$163+InputData!$C$164*(GJ10-InputData!$B$163),IF(GJ10&lt;=InputData!$B$165,InputData!$D$164+InputData!$C$165*(GJ10-InputData!$B$164),InputData!$D$165+InputData!$C$166*(GJ10-InputData!$B$165)))))</f>
        <v>0</v>
      </c>
      <c r="GR10" s="43">
        <f t="shared" si="90"/>
        <v>0.18034261564923379</v>
      </c>
      <c r="GS10" s="43">
        <f t="shared" si="91"/>
        <v>0.11377353133414217</v>
      </c>
      <c r="GT10" s="5">
        <f t="shared" si="9"/>
        <v>59232.392981332989</v>
      </c>
      <c r="GU10" s="32">
        <f>GT10/((1+InputData!$C$7)^(Ophtha!$B10-Ophtha!$B$7))</f>
        <v>54206.030400395517</v>
      </c>
      <c r="GV10" s="32">
        <f t="shared" si="92"/>
        <v>211251.55229740124</v>
      </c>
      <c r="GX10" s="3">
        <f t="shared" si="10"/>
        <v>0</v>
      </c>
      <c r="GY10" s="46" t="str">
        <f t="shared" si="11"/>
        <v>Med School</v>
      </c>
      <c r="GZ10" s="5">
        <f t="shared" si="12"/>
        <v>30405.511293634496</v>
      </c>
      <c r="HA10" s="5">
        <f t="shared" si="13"/>
        <v>0</v>
      </c>
      <c r="HB10" s="5">
        <f t="shared" si="14"/>
        <v>30405.511293634496</v>
      </c>
      <c r="HC10" s="5">
        <f t="shared" si="15"/>
        <v>29519.970346381593</v>
      </c>
      <c r="HD10" s="5">
        <f t="shared" si="16"/>
        <v>0</v>
      </c>
      <c r="HE10" s="32">
        <f>IF(HC10-InputData!$C$158-InputData!$C$159&gt;=0,HC10-InputData!$C$158-InputData!$C$159,0)</f>
        <v>29519.970346381593</v>
      </c>
      <c r="HF10" s="32">
        <f>IF(HC10-IF(HC10&lt;=InputData!$C$146,InputData!$C$145,0)-MAX(InputData!$C$144,HL10)&gt;=0,HC10-IF(HC10&lt;=InputData!$C$146,InputData!$C$145,0)-MAX(InputData!$C$144,HL10),0)</f>
        <v>19519.970346381593</v>
      </c>
      <c r="HG10" s="32">
        <f>IF(HF10&lt;0,"Error",IF(HF10&lt;=InputData!$B$170,InputData!$C$170*HF10,IF(HF10&lt;=InputData!$B$171,InputData!$D$170+InputData!$C$171*(HF10-InputData!$B$170),IF(HF10&lt;=InputData!$B$172,InputData!$D$171+InputData!$C$172*(HF10-InputData!$B$171),IF(HF10&lt;=InputData!$B$173,InputData!$D$172+InputData!$C$173*(HF10-InputData!$B$172),IF(HF10&lt;=InputData!$B$174,InputData!$D$173+InputData!$C$174*(HF10-InputData!$B$173),IF(HF10&lt;=InputData!$B$175,InputData!$D$174+InputData!$C$175*(HF10-InputData!$B$174),InputData!$D$175+InputData!$C$176*(HF10-InputData!$B$175))))))))</f>
        <v>2481.7455519572386</v>
      </c>
      <c r="HH10" s="32">
        <f>IF(HC10&lt;=InputData!$C$150,InputData!$C$152,IF(HC10&lt;InputData!$C$151,IF(InputData!$C$152-0.25*IF(HC10-InputData!$C$150&lt;=0,0,HC10-InputData!$C$150)&lt;=0,0,InputData!$C$152-0.25*IF(HC10-InputData!$C$150&lt;=0,0,HC10-InputData!$C$150)),0))</f>
        <v>51900</v>
      </c>
      <c r="HI10" s="32">
        <f>IF(HC10-HH10&lt;=0,0,IF(HC10-HH10&lt;=InputData!$C$153,InputData!$C$154*(HC10-HH10),InputData!$C$155*(HC10-HH10)-InputData!$D$154))</f>
        <v>0</v>
      </c>
      <c r="HJ10" s="32">
        <f t="shared" si="93"/>
        <v>2481.7455519572386</v>
      </c>
      <c r="HK10" s="32">
        <v>0</v>
      </c>
      <c r="HL10" s="32">
        <f>IF(HE10&lt;0,0,IF(HE10&lt;=InputData!$B$163,InputData!$C$163*HE10,IF(HE10&lt;=InputData!$B$164,InputData!$D$163+InputData!$C$164*(HE10-InputData!$B$163),IF(HE10&lt;=InputData!$B$165,InputData!$D$164+InputData!$C$165*(HE10-InputData!$B$164),InputData!$D$165+InputData!$C$166*(HE10-InputData!$B$165)))))</f>
        <v>0</v>
      </c>
      <c r="HM10" s="43">
        <f t="shared" si="94"/>
        <v>8.4070055722851977E-2</v>
      </c>
      <c r="HN10" s="43">
        <f t="shared" si="95"/>
        <v>8.4070055722851977E-2</v>
      </c>
      <c r="HO10" s="5">
        <f t="shared" si="17"/>
        <v>27038.224794424354</v>
      </c>
      <c r="HP10" s="32">
        <f>HO10/((1+InputData!$C$7)^(Ophtha!$B10-Ophtha!$B$7))</f>
        <v>24743.805904333243</v>
      </c>
      <c r="HQ10" s="32">
        <f t="shared" si="96"/>
        <v>119127.82998672797</v>
      </c>
      <c r="HS10" s="93">
        <f t="shared" si="18"/>
        <v>0</v>
      </c>
      <c r="HT10" s="92" t="str">
        <f t="shared" si="19"/>
        <v>Med School (O1 &gt; 3 yrs)</v>
      </c>
      <c r="HU10" s="5">
        <f t="shared" si="20"/>
        <v>43430.399999999994</v>
      </c>
      <c r="HV10" s="5">
        <f t="shared" si="21"/>
        <v>25411.199999999997</v>
      </c>
      <c r="HW10" s="5">
        <f t="shared" si="22"/>
        <v>68841.599999999991</v>
      </c>
      <c r="HX10" s="5">
        <f t="shared" si="23"/>
        <v>42165.517552072735</v>
      </c>
      <c r="HY10" s="5">
        <f t="shared" si="24"/>
        <v>24671.115154804713</v>
      </c>
      <c r="HZ10" s="32">
        <f>IF(HX10-InputData!$C$158-InputData!$C$159&gt;=0,HX10-InputData!$C$158-InputData!$C$159,0)</f>
        <v>42165.517552072735</v>
      </c>
      <c r="IA10" s="32">
        <f>IF(HX10-IF(HX10&lt;=InputData!$C$146,InputData!$C$145,0)-MAX(InputData!$C$144,IG10)&gt;=0,HX10-IF(HX10&lt;=InputData!$C$146,InputData!$C$145,0)-MAX(InputData!$C$144,IG10),0)</f>
        <v>32165.517552072735</v>
      </c>
      <c r="IB10" s="32">
        <f>IF(IA10&lt;0,"Error",IF(IA10&lt;=InputData!$B$170,InputData!$C$170*IA10,IF(IA10&lt;=InputData!$B$171,InputData!$D$170+InputData!$C$171*(IA10-InputData!$B$170),IF(IA10&lt;=InputData!$B$172,InputData!$D$171+InputData!$C$172*(IA10-InputData!$B$171),IF(IA10&lt;=InputData!$B$173,InputData!$D$172+InputData!$C$173*(IA10-InputData!$B$172),IF(IA10&lt;=InputData!$B$174,InputData!$D$173+InputData!$C$174*(IA10-InputData!$B$173),IF(IA10&lt;=InputData!$B$175,InputData!$D$174+InputData!$C$175*(IA10-InputData!$B$174),InputData!$D$175+InputData!$C$176*(IA10-InputData!$B$175))))))))</f>
        <v>4378.5776328109096</v>
      </c>
      <c r="IC10" s="32">
        <f>IF(HX10&lt;=InputData!$C$150,InputData!$C$152,IF(HX10&lt;InputData!$C$151,IF(InputData!$C$152-0.25*IF(HX10-InputData!$C$150&lt;=0,0,HX10-InputData!$C$150)&lt;=0,0,InputData!$C$152-0.25*IF(HX10-InputData!$C$150&lt;=0,0,HX10-InputData!$C$150)),0))</f>
        <v>51900</v>
      </c>
      <c r="ID10" s="32">
        <f>IF(HX10-IC10&lt;=0,0,IF(HX10-IC10&lt;=InputData!$C$153,InputData!$C$154*(HX10-IC10),InputData!$C$155*(HX10-IC10)-InputData!$D$154))</f>
        <v>0</v>
      </c>
      <c r="IE10" s="32">
        <f t="shared" si="97"/>
        <v>4378.5776328109096</v>
      </c>
      <c r="IF10" s="32">
        <f>IF(HX10&gt;=0,IF(HX10&lt;=InputData!$C$148,InputData!$C$147*HX10,InputData!$C$147*InputData!$C$148)+InputData!$C$149*HX10,0)</f>
        <v>3225.6620927335644</v>
      </c>
      <c r="IG10" s="32">
        <f>IF(HZ10&lt;0,0,IF(HZ10&lt;=InputData!$B$163,InputData!$C$163*HZ10,IF(HZ10&lt;=InputData!$B$164,InputData!$D$163+InputData!$C$164*(HZ10-InputData!$B$163),IF(HZ10&lt;=InputData!$B$165,InputData!$D$164+InputData!$C$165*(HZ10-InputData!$B$164),InputData!$D$165+InputData!$C$166*(HZ10-InputData!$B$165)))))</f>
        <v>0</v>
      </c>
      <c r="IH10" s="43">
        <f t="shared" si="98"/>
        <v>0.18034261564923379</v>
      </c>
      <c r="II10" s="43">
        <f t="shared" si="99"/>
        <v>0.11377353133414217</v>
      </c>
      <c r="IJ10" s="5">
        <f t="shared" si="100"/>
        <v>59232.392981332989</v>
      </c>
      <c r="IK10" s="32">
        <f>IJ10/((1+InputData!$C$7)^(Ophtha!$B10-Ophtha!$B$7))</f>
        <v>54206.030400395517</v>
      </c>
      <c r="IL10" s="5">
        <f t="shared" si="101"/>
        <v>211251.55229740124</v>
      </c>
      <c r="IN10" s="93">
        <f t="shared" si="25"/>
        <v>0</v>
      </c>
      <c r="IO10" s="92" t="str">
        <f t="shared" si="26"/>
        <v>Med School</v>
      </c>
      <c r="IP10" s="5">
        <f t="shared" si="27"/>
        <v>30405.511293634496</v>
      </c>
      <c r="IQ10" s="5">
        <f t="shared" si="28"/>
        <v>0</v>
      </c>
      <c r="IR10" s="5">
        <f t="shared" si="29"/>
        <v>30405.511293634496</v>
      </c>
      <c r="IS10" s="5">
        <f t="shared" si="30"/>
        <v>29519.970346381593</v>
      </c>
      <c r="IT10" s="5">
        <f t="shared" si="31"/>
        <v>0</v>
      </c>
      <c r="IU10" s="32">
        <f>IF(IS10-InputData!$C$158-InputData!$C$159&gt;=0,IS10-InputData!$C$158-InputData!$C$159,0)</f>
        <v>29519.970346381593</v>
      </c>
      <c r="IV10" s="32">
        <f>IF(IS10-IF(IS10&lt;=InputData!$C$146,InputData!$C$145,0)-MAX(InputData!$C$144,JB10)&gt;=0,IS10-IF(IS10&lt;=InputData!$C$146,InputData!$C$145,0)-MAX(InputData!$C$144,JB10),0)</f>
        <v>19519.970346381593</v>
      </c>
      <c r="IW10" s="32">
        <f>IF(IV10&lt;0,"Error",IF(IV10&lt;=InputData!$B$170,InputData!$C$170*IV10,IF(IV10&lt;=InputData!$B$171,InputData!$D$170+InputData!$C$171*(IV10-InputData!$B$170),IF(IV10&lt;=InputData!$B$172,InputData!$D$171+InputData!$C$172*(IV10-InputData!$B$171),IF(IV10&lt;=InputData!$B$173,InputData!$D$172+InputData!$C$173*(IV10-InputData!$B$172),IF(IV10&lt;=InputData!$B$174,InputData!$D$173+InputData!$C$174*(IV10-InputData!$B$173),IF(IV10&lt;=InputData!$B$175,InputData!$D$174+InputData!$C$175*(IV10-InputData!$B$174),InputData!$D$175+InputData!$C$176*(IV10-InputData!$B$175))))))))</f>
        <v>2481.7455519572386</v>
      </c>
      <c r="IX10" s="32">
        <f>IF(IS10&lt;=InputData!$C$150,InputData!$C$152,IF(IS10&lt;InputData!$C$151,IF(InputData!$C$152-0.25*IF(IS10-InputData!$C$150&lt;=0,0,IS10-InputData!$C$150)&lt;=0,0,InputData!$C$152-0.25*IF(IS10-InputData!$C$150&lt;=0,0,IS10-InputData!$C$150)),0))</f>
        <v>51900</v>
      </c>
      <c r="IY10" s="32">
        <f>IF(IS10-IX10&lt;=0,0,IF(IS10-IX10&lt;=InputData!$C$153,InputData!$C$154*(IS10-IX10),InputData!$C$155*(IS10-IX10)-InputData!$D$154))</f>
        <v>0</v>
      </c>
      <c r="IZ10" s="32">
        <f t="shared" si="102"/>
        <v>2481.7455519572386</v>
      </c>
      <c r="JA10" s="32">
        <v>0</v>
      </c>
      <c r="JB10" s="32">
        <f>IF(IU10&lt;0,0,IF(IU10&lt;=InputData!$B$163,InputData!$C$163*IU10,IF(IU10&lt;=InputData!$B$164,InputData!$D$163+InputData!$C$164*(IU10-InputData!$B$163),IF(IU10&lt;=InputData!$B$165,InputData!$D$164+InputData!$C$165*(IU10-InputData!$B$164),InputData!$D$165+InputData!$C$166*(IU10-InputData!$B$165)))))</f>
        <v>0</v>
      </c>
      <c r="JC10" s="43">
        <f t="shared" si="103"/>
        <v>8.4070055722851977E-2</v>
      </c>
      <c r="JD10" s="43">
        <f t="shared" si="104"/>
        <v>8.4070055722851977E-2</v>
      </c>
      <c r="JE10" s="5">
        <f t="shared" si="105"/>
        <v>27038.224794424354</v>
      </c>
      <c r="JF10" s="32">
        <f>JE10/((1+InputData!$C$7)^(Ophtha!$B10-Ophtha!$B$7))</f>
        <v>24743.805904333243</v>
      </c>
      <c r="JG10" s="5">
        <f t="shared" si="106"/>
        <v>119127.82998672797</v>
      </c>
      <c r="JI10" s="56" t="str">
        <f t="shared" si="32"/>
        <v>Med School</v>
      </c>
      <c r="JJ10" s="5">
        <f t="shared" si="33"/>
        <v>0</v>
      </c>
      <c r="JK10" s="32">
        <f t="shared" si="107"/>
        <v>0</v>
      </c>
      <c r="JL10" s="32">
        <f t="shared" si="108"/>
        <v>0</v>
      </c>
      <c r="JM10" s="32">
        <f>JM9*(1+InputData!$C$8)</f>
        <v>12193.279920000003</v>
      </c>
      <c r="JN10" s="32">
        <f>JJ10/((1+InputData!$C$3)^(Ophtha!$B10-Ophtha!$B$7))</f>
        <v>0</v>
      </c>
      <c r="JO10" s="32">
        <f>JK10/((1+InputData!$C$3)^(Ophtha!$B10-Ophtha!$B$7))</f>
        <v>0</v>
      </c>
      <c r="JP10" s="32" t="s">
        <v>143</v>
      </c>
      <c r="JQ10" s="118">
        <v>0</v>
      </c>
      <c r="JR10" s="32">
        <f t="shared" si="128"/>
        <v>0</v>
      </c>
      <c r="JS10" s="32">
        <f>(JR10)*InputData!$C$6</f>
        <v>0</v>
      </c>
      <c r="JT10" s="32">
        <v>0</v>
      </c>
      <c r="JU10" s="32">
        <f>JU9+JQ10+JS10-JT10</f>
        <v>0</v>
      </c>
      <c r="JV10" s="32">
        <f>JT10/((1+InputData!$C$3)^(Ophtha!$B10-Ophtha!$B$7))</f>
        <v>0</v>
      </c>
      <c r="JW10" s="32">
        <f>IF(JN10-InputData!$C$158-InputData!$C$159&gt;=0,JN10-InputData!$C$158-InputData!$C$159,0)</f>
        <v>0</v>
      </c>
      <c r="JX10" s="32">
        <f>IF(JN10-IF(JN10&lt;=InputData!$C$146,InputData!$C$145,0)-MAX(InputData!$C$144,KD10)&gt;=0,JN10-IF(JN10&lt;=InputData!$C$146,InputData!$C$145,0)-MAX(InputData!$C$144,KD10),0)</f>
        <v>0</v>
      </c>
      <c r="JY10" s="32">
        <f>IF(JX10&lt;0,"Error",IF(JX10&lt;=InputData!$B$170,InputData!$C$170*JX10,IF(JX10&lt;=InputData!$B$171,InputData!$D$170+InputData!$C$171*(JX10-InputData!$B$170),IF(JX10&lt;=InputData!$B$172,InputData!$D$171+InputData!$C$172*(JX10-InputData!$B$171),IF(JX10&lt;=InputData!$B$173,InputData!$D$172+InputData!$C$173*(JX10-InputData!$B$172),IF(JX10&lt;=InputData!$B$174,InputData!$D$173+InputData!$C$174*(JX10-InputData!$B$173),IF(JX10&lt;=InputData!$B$175,InputData!$D$174+InputData!$C$175*(JX10-InputData!$B$174),InputData!$D$175+InputData!$C$176*(JX10-InputData!$B$175))))))))</f>
        <v>0</v>
      </c>
      <c r="JZ10" s="32">
        <f>IF(JN10&lt;=InputData!$C$150,InputData!$C$152,IF(JN10&lt;InputData!$C$151,IF(InputData!$C$152-0.25*IF(JN10-InputData!$C$150&lt;=0,0,JN10-InputData!$C$150)&lt;=0,0,InputData!$C$152-0.25*IF(JN10-InputData!$C$150&lt;=0,0,JN10-InputData!$C$150)),0))</f>
        <v>51900</v>
      </c>
      <c r="KA10" s="32">
        <f>IF(JN10-JZ10&lt;=0,0,IF(JN10-JZ10&lt;=InputData!$C$153,InputData!$C$154*(JN10-JZ10),InputData!$C$155*(JN10-JZ10)-InputData!$D$154))</f>
        <v>0</v>
      </c>
      <c r="KB10" s="32">
        <f t="shared" si="109"/>
        <v>0</v>
      </c>
      <c r="KC10" s="32">
        <f>IF(JN10&gt;=0,IF(JN10&lt;=InputData!$C$148,InputData!$C$147*JN10,InputData!$C$147*InputData!$C$148)+InputData!$C$149*JN10,0)</f>
        <v>0</v>
      </c>
      <c r="KD10" s="32">
        <f>IF(JW10&lt;0,0,IF(JW10&lt;=InputData!$B$163,InputData!$C$163*JW10,IF(JW10&lt;=InputData!$B$164,InputData!$D$163+InputData!$C$164*(JW10-InputData!$B$163),IF(JW10&lt;=InputData!$B$165,InputData!$D$164+InputData!$C$165*(JW10-InputData!$B$164),InputData!$D$165+InputData!$C$166*(JW10-InputData!$B$165)))))</f>
        <v>0</v>
      </c>
      <c r="KE10" s="43" t="e">
        <f t="shared" si="34"/>
        <v>#DIV/0!</v>
      </c>
      <c r="KF10" s="32">
        <f t="shared" si="35"/>
        <v>0</v>
      </c>
      <c r="KG10" s="32">
        <f t="shared" si="110"/>
        <v>0</v>
      </c>
      <c r="KH10" s="32">
        <f>KG10/((1+InputData!$C$7)^(Ophtha!$B10-Ophtha!$B$7))</f>
        <v>0</v>
      </c>
      <c r="KI10" s="5">
        <f t="shared" si="129"/>
        <v>0</v>
      </c>
    </row>
    <row r="11" spans="1:295" x14ac:dyDescent="0.25">
      <c r="A11" s="4">
        <v>2017</v>
      </c>
      <c r="B11" s="51">
        <v>5</v>
      </c>
      <c r="C11" s="4"/>
      <c r="D11" s="3">
        <v>1</v>
      </c>
      <c r="E11" s="97" t="s">
        <v>258</v>
      </c>
      <c r="F11" s="5">
        <f>InputData!$C$24*12</f>
        <v>46026</v>
      </c>
      <c r="G11" s="5">
        <f>(InputData!$C$24+InputData!$C$44)*12</f>
        <v>47226</v>
      </c>
      <c r="H11" s="5">
        <f>(InputData!$C$35+InputData!$C$40)*12</f>
        <v>19939.199999999997</v>
      </c>
      <c r="I11" s="5">
        <f t="shared" si="36"/>
        <v>67165.2</v>
      </c>
      <c r="J11" s="5">
        <f>G11*((1+InputData!$C$5)/(1+InputData!$C$3))^(Ophtha!$B11-Ophtha!$B$7)</f>
        <v>45401.05772195461</v>
      </c>
      <c r="K11" s="5">
        <f>H11*((1+InputData!$C$5)/(1+InputData!$C$3))^(Ophtha!$B11-Ophtha!$B$7)</f>
        <v>19168.694577766426</v>
      </c>
      <c r="L11" s="32">
        <f>IF(J11-InputData!$C$158-InputData!$C$159&gt;=0,J11-InputData!$C$158-InputData!$C$159,0)</f>
        <v>45401.05772195461</v>
      </c>
      <c r="M11" s="32">
        <f>IF(J11-IF(J11&lt;=InputData!$C$146,InputData!$C$145,0)-MAX(InputData!$C$144,S11)&gt;=0,J11-IF(J11&lt;=InputData!$C$146,InputData!$C$145,0)-MAX(InputData!$C$144,S11),0)</f>
        <v>35401.05772195461</v>
      </c>
      <c r="N11" s="32">
        <f>IF(M11&lt;0,"Error",IF(M11&lt;=InputData!$B$170,InputData!$C$170*M11,IF(M11&lt;=InputData!$B$171,InputData!$D$170+InputData!$C$171*(M11-InputData!$B$170),IF(M11&lt;=InputData!$B$172,InputData!$D$171+InputData!$C$172*(M11-InputData!$B$171),IF(M11&lt;=InputData!$B$173,InputData!$D$172+InputData!$C$173*(M11-InputData!$B$172),IF(M11&lt;=InputData!$B$174,InputData!$D$173+InputData!$C$174*(M11-InputData!$B$173),IF(M11&lt;=InputData!$B$175,InputData!$D$174+InputData!$C$175*(M11-InputData!$B$174),InputData!$D$175+InputData!$C$176*(M11-InputData!$B$175))))))))</f>
        <v>4863.9086582931914</v>
      </c>
      <c r="O11" s="32">
        <f>IF(J11&lt;=InputData!$C$150,InputData!$C$152,IF(J11&lt;InputData!$C$151,IF(InputData!$C$152-0.25*IF(J11-InputData!$C$150&lt;=0,0,J11-InputData!$C$150)&lt;=0,0,InputData!$C$152-0.25*IF(J11-InputData!$C$150&lt;=0,0,J11-InputData!$C$150)),0))</f>
        <v>51900</v>
      </c>
      <c r="P11" s="32">
        <f>IF(J11-O11&lt;=0,0,IF(J11-O11&lt;=InputData!$C$153,InputData!$C$154*(J11-O11),InputData!$C$155*(J11-O11)-InputData!$D$154))</f>
        <v>0</v>
      </c>
      <c r="Q11" s="32">
        <f t="shared" si="37"/>
        <v>4863.9086582931914</v>
      </c>
      <c r="R11" s="32">
        <f>IF(J11&gt;=0,IF(J11&lt;=InputData!$C$148,InputData!$C$147*J11,InputData!$C$147*InputData!$C$148)+InputData!$C$149*J11,0)</f>
        <v>3473.1809157295279</v>
      </c>
      <c r="S11" s="32">
        <f>IF(L11&lt;0,0,IF(L11&lt;=InputData!$B$163,InputData!$C$163*L11,IF(L11&lt;=InputData!$B$164,InputData!$D$163+InputData!$C$164*(L11-InputData!$B$163),IF(L11&lt;=InputData!$B$165,InputData!$D$164+InputData!$C$165*(L11-InputData!$B$164),InputData!$D$165+InputData!$C$166*(L11-InputData!$B$165)))))</f>
        <v>0</v>
      </c>
      <c r="T11" s="43">
        <f t="shared" si="38"/>
        <v>0.18363205599924048</v>
      </c>
      <c r="U11" s="43">
        <f t="shared" si="39"/>
        <v>0.12911757095371013</v>
      </c>
      <c r="V11" s="5">
        <f t="shared" si="40"/>
        <v>56232.662725698312</v>
      </c>
      <c r="W11" s="32">
        <f>V11/((1+InputData!$C$7)^(Ophtha!$B11-Ophtha!$B$7))</f>
        <v>49961.992501594294</v>
      </c>
      <c r="X11" s="5">
        <f t="shared" si="111"/>
        <v>261213.54479899554</v>
      </c>
      <c r="Y11" s="53"/>
      <c r="Z11" s="3">
        <v>1</v>
      </c>
      <c r="AA11" s="97" t="s">
        <v>258</v>
      </c>
      <c r="AB11" s="5">
        <f>F11</f>
        <v>46026</v>
      </c>
      <c r="AC11" s="5">
        <f>G11</f>
        <v>47226</v>
      </c>
      <c r="AD11" s="5">
        <f>H11</f>
        <v>19939.199999999997</v>
      </c>
      <c r="AE11" s="5">
        <f t="shared" si="41"/>
        <v>67165.2</v>
      </c>
      <c r="AF11" s="5">
        <f>AC11*((1+InputData!$C$5)/(1+InputData!$C$3))^(Ophtha!$B11-Ophtha!$B$7)</f>
        <v>45401.05772195461</v>
      </c>
      <c r="AG11" s="5">
        <f>AD11*((1+InputData!$C$5)/(1+InputData!$C$3))^(Ophtha!$B11-Ophtha!$B$7)</f>
        <v>19168.694577766426</v>
      </c>
      <c r="AH11" s="32">
        <f>IF(AF11-InputData!$C$158-InputData!$C$159&gt;=0,AF11-InputData!$C$158-InputData!$C$159,0)</f>
        <v>45401.05772195461</v>
      </c>
      <c r="AI11" s="32">
        <f>IF(AF11-IF(AF11&lt;=InputData!$C$146,InputData!$C$145,0)-MAX(InputData!$C$144,AO11)&gt;=0,AF11-IF(AF11&lt;=InputData!$C$146,InputData!$C$145,0)-MAX(InputData!$C$144,AO11),0)</f>
        <v>35401.05772195461</v>
      </c>
      <c r="AJ11" s="32">
        <f>IF(AI11&lt;0,"Error",IF(AI11&lt;=InputData!$B$170,InputData!$C$170*AI11,IF(AI11&lt;=InputData!$B$171,InputData!$D$170+InputData!$C$171*(AI11-InputData!$B$170),IF(AI11&lt;=InputData!$B$172,InputData!$D$171+InputData!$C$172*(AI11-InputData!$B$171),IF(AI11&lt;=InputData!$B$173,InputData!$D$172+InputData!$C$173*(AI11-InputData!$B$172),IF(AI11&lt;=InputData!$B$174,InputData!$D$173+InputData!$C$174*(AI11-InputData!$B$173),IF(AI11&lt;=InputData!$B$175,InputData!$D$174+InputData!$C$175*(AI11-InputData!$B$174),InputData!$D$175+InputData!$C$176*(AI11-InputData!$B$175))))))))</f>
        <v>4863.9086582931914</v>
      </c>
      <c r="AK11" s="32">
        <f>IF(AF11&lt;=InputData!$C$150,InputData!$C$152,IF(AF11&lt;InputData!$C$151,IF(InputData!$C$152-0.25*IF(AF11-InputData!$C$150&lt;=0,0,AF11-InputData!$C$150)&lt;=0,0,InputData!$C$152-0.25*IF(AF11-InputData!$C$150&lt;=0,0,AF11-InputData!$C$150)),0))</f>
        <v>51900</v>
      </c>
      <c r="AL11" s="32">
        <f>IF(AF11-AK11&lt;=0,0,IF(AF11-AK11&lt;=InputData!$C$153,InputData!$C$154*(AF11-AK11),InputData!$C$155*(AF11-AK11)-InputData!$D$154))</f>
        <v>0</v>
      </c>
      <c r="AM11" s="32">
        <f t="shared" si="42"/>
        <v>4863.9086582931914</v>
      </c>
      <c r="AN11" s="32">
        <f>IF(AF11&gt;=0,IF(AF11&lt;=InputData!$C$148,InputData!$C$147*AF11,InputData!$C$147*InputData!$C$148)+InputData!$C$149*AF11,0)</f>
        <v>3473.1809157295279</v>
      </c>
      <c r="AO11" s="32">
        <f>IF(AH11&lt;0,0,IF(AH11&lt;=InputData!$B$163,InputData!$C$163*AH11,IF(AH11&lt;=InputData!$B$164,InputData!$D$163+InputData!$C$164*(AH11-InputData!$B$163),IF(AH11&lt;=InputData!$B$165,InputData!$D$164+InputData!$C$165*(AH11-InputData!$B$164),InputData!$D$165+InputData!$C$166*(AH11-InputData!$B$165)))))</f>
        <v>0</v>
      </c>
      <c r="AP11" s="43">
        <f t="shared" si="43"/>
        <v>0.18363205599924048</v>
      </c>
      <c r="AQ11" s="43">
        <f t="shared" si="44"/>
        <v>0.12911757095371013</v>
      </c>
      <c r="AR11" s="5">
        <f t="shared" si="45"/>
        <v>56232.662725698312</v>
      </c>
      <c r="AS11" s="32">
        <f>AR11/((1+InputData!$C$7)^(Ophtha!$B11-Ophtha!$B$7))</f>
        <v>49961.992501594294</v>
      </c>
      <c r="AT11" s="5">
        <f t="shared" si="112"/>
        <v>169089.82248832227</v>
      </c>
      <c r="AU11" s="53"/>
      <c r="AV11" s="41" t="s">
        <v>1</v>
      </c>
      <c r="AW11" s="32">
        <f>InputData!$C$74*(1+InputData!$C$11)^(Ophtha!B11-Ophtha!$B$7)</f>
        <v>54353.24848224</v>
      </c>
      <c r="AX11" s="32">
        <v>0</v>
      </c>
      <c r="AY11" s="32">
        <f t="shared" si="47"/>
        <v>54353.24848224</v>
      </c>
      <c r="AZ11" s="32">
        <f>AZ10*(1+InputData!$C$8)</f>
        <v>12437.145518400002</v>
      </c>
      <c r="BA11" s="32">
        <f>AW11/((1+InputData!$C$3)^(Ophtha!$B11-Ophtha!$B$7))</f>
        <v>50214</v>
      </c>
      <c r="BB11" s="32">
        <f>AX11/((1+InputData!$C$3)^(Ophtha!$B11-Ophtha!$B$7))</f>
        <v>0</v>
      </c>
      <c r="BC11" s="126" t="s">
        <v>319</v>
      </c>
      <c r="BD11" s="32">
        <v>0</v>
      </c>
      <c r="BE11" s="118">
        <f>BE10</f>
        <v>180000</v>
      </c>
      <c r="BF11" s="118">
        <f>(0.5*BE10+0.5*(BH10+0.5*BE10*InputData!$C$6))*InputData!$C$6</f>
        <v>12184.523010000001</v>
      </c>
      <c r="BG11" s="32">
        <v>0</v>
      </c>
      <c r="BH11" s="118">
        <f>BH10+BD11+BF11-BG11</f>
        <v>219011.72301000002</v>
      </c>
      <c r="BI11" s="32">
        <f>BG11/((1+InputData!$C$3)^(Ophtha!$B11-Ophtha!$B$7))</f>
        <v>0</v>
      </c>
      <c r="BJ11" s="32">
        <f>IF(BA11-InputData!$C$158-InputData!$C$159&gt;=0,BA11-InputData!$C$158-InputData!$C$159,0)</f>
        <v>50214</v>
      </c>
      <c r="BK11" s="32">
        <f>IF(BA11-IF(BA11&lt;=InputData!$C$146,InputData!$C$145,0)-MAX(InputData!$C$144,BQ11)&gt;=0,BA11-IF(BA11&lt;=InputData!$C$146,InputData!$C$145,0)-MAX(InputData!$C$144,BQ11),0)</f>
        <v>40214</v>
      </c>
      <c r="BL11" s="32">
        <f>IF(BK11&lt;0,"Error",IF(BK11&lt;=InputData!$B$170,InputData!$C$170*BK11,IF(BK11&lt;=InputData!$B$171,InputData!$D$170+InputData!$C$171*(BK11-InputData!$B$170),IF(BK11&lt;=InputData!$B$172,InputData!$D$171+InputData!$C$172*(BK11-InputData!$B$171),IF(BK11&lt;=InputData!$B$173,InputData!$D$172+InputData!$C$173*(BK11-InputData!$B$172),IF(BK11&lt;=InputData!$B$174,InputData!$D$173+InputData!$C$174*(BK11-InputData!$B$173),IF(BK11&lt;=InputData!$B$175,InputData!$D$174+InputData!$C$175*(BK11-InputData!$B$174),InputData!$D$175+InputData!$C$176*(BK11-InputData!$B$175))))))))</f>
        <v>5982.25</v>
      </c>
      <c r="BM11" s="32">
        <f>IF(BA11&lt;=InputData!$C$150,InputData!$C$152,IF(BA11&lt;InputData!$C$151,IF(InputData!$C$152-0.25*IF(BA11-InputData!$C$150&lt;=0,0,BA11-InputData!$C$150)&lt;=0,0,InputData!$C$152-0.25*IF(BA11-InputData!$C$150&lt;=0,0,BA11-InputData!$C$150)),0))</f>
        <v>51900</v>
      </c>
      <c r="BN11" s="32">
        <f>IF(BA11-BM11&lt;=0,0,IF(BA11-BM11&lt;=InputData!$C$153,InputData!$C$154*(BA11-BM11),InputData!$C$155*(BA11-BM11)-InputData!$D$154))</f>
        <v>0</v>
      </c>
      <c r="BO11" s="32">
        <f t="shared" si="48"/>
        <v>5982.25</v>
      </c>
      <c r="BP11" s="32">
        <f>IF(BA11&gt;=0,IF(BA11&lt;=InputData!$C$148,InputData!$C$147*BA11,InputData!$C$147*InputData!$C$148)+InputData!$C$149*BA11,0)</f>
        <v>3841.3710000000001</v>
      </c>
      <c r="BQ11" s="32">
        <f>IF(BJ11&lt;0,0,IF(BJ11&lt;=InputData!$B$163,InputData!$C$163*BJ11,IF(BJ11&lt;=InputData!$B$164,InputData!$D$163+InputData!$C$164*(BJ11-InputData!$B$163),IF(BJ11&lt;=InputData!$B$165,InputData!$D$164+InputData!$C$165*(BJ11-InputData!$B$164),InputData!$D$165+InputData!$C$166*(BJ11-InputData!$B$165)))))</f>
        <v>0</v>
      </c>
      <c r="BR11" s="43">
        <f t="shared" si="49"/>
        <v>0.19563510176444815</v>
      </c>
      <c r="BS11" s="32">
        <f t="shared" si="50"/>
        <v>40390.379000000001</v>
      </c>
      <c r="BT11" s="32">
        <f t="shared" si="51"/>
        <v>40390.379000000001</v>
      </c>
      <c r="BU11" s="32">
        <f>BT11/((1+InputData!$C$7)^(Ophtha!$B11-Ophtha!$B$7))</f>
        <v>35886.328601905836</v>
      </c>
      <c r="BV11" s="5">
        <f t="shared" si="114"/>
        <v>-154981.05168717628</v>
      </c>
      <c r="BW11" s="5"/>
      <c r="BX11" s="126" t="s">
        <v>319</v>
      </c>
      <c r="BY11" s="5">
        <f t="shared" si="52"/>
        <v>180000</v>
      </c>
      <c r="BZ11" s="5">
        <f t="shared" si="53"/>
        <v>12184.523010000001</v>
      </c>
      <c r="CA11" s="5">
        <v>0</v>
      </c>
      <c r="CB11" s="5">
        <f t="shared" si="54"/>
        <v>219011.72301000002</v>
      </c>
      <c r="CC11" s="32">
        <f>CA11/((1+InputData!$C$3)^(Ophtha!$B11-Ophtha!$B$7))</f>
        <v>0</v>
      </c>
      <c r="CD11" s="5">
        <f t="shared" si="55"/>
        <v>40390.379000000001</v>
      </c>
      <c r="CE11" s="32">
        <f>CD11/((1+InputData!$C$7)^(Ophtha!$B11-Ophtha!$B$7))</f>
        <v>35886.328601905836</v>
      </c>
      <c r="CF11" s="5">
        <f t="shared" si="115"/>
        <v>-154981.05168717628</v>
      </c>
      <c r="CG11" s="5"/>
      <c r="CH11" s="126" t="s">
        <v>319</v>
      </c>
      <c r="CI11" s="5">
        <f t="shared" si="56"/>
        <v>180000</v>
      </c>
      <c r="CJ11" s="5">
        <f t="shared" si="57"/>
        <v>12184.523010000001</v>
      </c>
      <c r="CK11" s="5">
        <v>0</v>
      </c>
      <c r="CL11" s="5">
        <f t="shared" si="58"/>
        <v>219011.72301000002</v>
      </c>
      <c r="CM11" s="32">
        <f>CK11/((1+InputData!$C$3)^(Ophtha!$B11-Ophtha!$B$7))</f>
        <v>0</v>
      </c>
      <c r="CN11" s="5">
        <f t="shared" si="59"/>
        <v>40390.379000000001</v>
      </c>
      <c r="CO11" s="32">
        <f>CN11/((1+InputData!$C$7)^(Ophtha!$B11-Ophtha!$B$7))</f>
        <v>35886.328601905836</v>
      </c>
      <c r="CP11" s="5">
        <f t="shared" si="116"/>
        <v>-154981.05168717628</v>
      </c>
      <c r="CQ11" s="5"/>
      <c r="CR11" s="126" t="s">
        <v>319</v>
      </c>
      <c r="CS11" s="5">
        <f t="shared" si="60"/>
        <v>180000</v>
      </c>
      <c r="CT11" s="5">
        <f t="shared" si="61"/>
        <v>12184.523010000001</v>
      </c>
      <c r="CU11" s="5">
        <v>0</v>
      </c>
      <c r="CV11" s="5">
        <f t="shared" si="62"/>
        <v>219011.72301000002</v>
      </c>
      <c r="CW11" s="32">
        <f>CU11/((1+InputData!$C$3)^(Ophtha!$B11-Ophtha!$B$7))</f>
        <v>0</v>
      </c>
      <c r="CX11" s="5">
        <f t="shared" si="63"/>
        <v>40390.379000000001</v>
      </c>
      <c r="CY11" s="32">
        <f>CX11/((1+InputData!$C$7)^(Ophtha!$B11-Ophtha!$B$7))</f>
        <v>35886.328601905836</v>
      </c>
      <c r="CZ11" s="5">
        <f t="shared" si="117"/>
        <v>-154981.05168717628</v>
      </c>
      <c r="DA11" s="5"/>
      <c r="DB11" s="126" t="s">
        <v>328</v>
      </c>
      <c r="DC11" s="118">
        <f>DC10</f>
        <v>180000</v>
      </c>
      <c r="DD11" s="118">
        <f>(0.5*DC10+0.5*(DF10+0.5*DC10*InputData!$C$6))*InputData!$C$6</f>
        <v>12184.523010000001</v>
      </c>
      <c r="DE11" s="32">
        <f>MIN(0.5*$DD$2,DC2)</f>
        <v>14574.189981944686</v>
      </c>
      <c r="DF11" s="32">
        <f>DF10+$BD11+DD11-DE11</f>
        <v>204437.53302805533</v>
      </c>
      <c r="DG11" s="32">
        <f>DE11/((1+InputData!$C$3)^(Ophtha!$B11-Ophtha!$B$7))</f>
        <v>13464.298752861045</v>
      </c>
      <c r="DH11" s="5">
        <f t="shared" si="67"/>
        <v>26926.080247138954</v>
      </c>
      <c r="DI11" s="32">
        <f>DH11/((1+InputData!$C$7)^(Ophtha!$B11-Ophtha!$B$7))</f>
        <v>23923.473550721435</v>
      </c>
      <c r="DJ11" s="5">
        <f t="shared" ref="DJ11:DJ36" si="130">DJ10+DI11</f>
        <v>-166943.9067383607</v>
      </c>
      <c r="DK11" s="5"/>
      <c r="DL11" s="126" t="s">
        <v>328</v>
      </c>
      <c r="DM11" s="118">
        <f>DM10</f>
        <v>180000</v>
      </c>
      <c r="DN11" s="118">
        <f>(0.5*DM10+0.5*(DQ10+0.5*DM10*InputData!$C$6))*InputData!$C$6</f>
        <v>12184.523010000001</v>
      </c>
      <c r="DO11" s="118">
        <f>0.5*$DC$2*InputData!$C$6-DP11</f>
        <v>1240.8934793040016</v>
      </c>
      <c r="DP11" s="118">
        <f t="shared" ref="DP11:DP36" si="131">IF(0.15*($AY$11-1.5*$AZ11)&lt;=$DD$2,MIN(0.15*($AY11-1.5*$AZ11),$DD$2, DM11+DN11),"DNQ")</f>
        <v>5354.6295306959992</v>
      </c>
      <c r="DQ11" s="32">
        <f t="shared" ref="DQ11:DQ36" si="132">DQ10+$BD11+DN11-DP11</f>
        <v>213657.09347930402</v>
      </c>
      <c r="DR11" s="32">
        <f>DP11/((1+InputData!$C$3)^(Ophtha!$B11-Ophtha!$B$7))</f>
        <v>4946.8499999999995</v>
      </c>
      <c r="DS11" s="5">
        <f t="shared" si="71"/>
        <v>35443.529000000002</v>
      </c>
      <c r="DT11" s="32">
        <f>DS11/((1+InputData!$C$7)^(Ophtha!$B11-Ophtha!$B$7))</f>
        <v>31491.116448924113</v>
      </c>
      <c r="DU11" s="5">
        <f t="shared" ref="DU11:DU36" si="133">DU10+DT11</f>
        <v>-159376.263840158</v>
      </c>
      <c r="DV11" s="5"/>
      <c r="DW11" s="126" t="s">
        <v>328</v>
      </c>
      <c r="DX11" s="118">
        <f>DX10</f>
        <v>180000</v>
      </c>
      <c r="DY11" s="118">
        <f>(0.5*DX10+0.5*(EB10+0.5*DX10*InputData!$C$6))*InputData!$C$6</f>
        <v>12184.523010000001</v>
      </c>
      <c r="DZ11" s="118">
        <f>0.5*$DC$2*InputData!$C$6-EA11</f>
        <v>3025.769989536001</v>
      </c>
      <c r="EA11" s="118">
        <f>IF(0.1*($AY$11-1.5*$AZ11)&lt;=$DD$2,MIN(0.1*($AY11-1.5*$AZ11),$DD$2, DX11+DY11),"DNQ")</f>
        <v>3569.7530204639997</v>
      </c>
      <c r="EB11" s="32">
        <f>EB10+$BD11+DY11-EA11</f>
        <v>215441.96998953601</v>
      </c>
      <c r="EC11" s="32">
        <f>EA11/((1+InputData!$C$3)^(Ophtha!$B11-Ophtha!$B$7))</f>
        <v>3297.8999999999996</v>
      </c>
      <c r="ED11" s="5">
        <f t="shared" si="75"/>
        <v>37092.478999999999</v>
      </c>
      <c r="EE11" s="32">
        <f>ED11/((1+InputData!$C$7)^(Ophtha!$B11-Ophtha!$B$7))</f>
        <v>32956.187166584685</v>
      </c>
      <c r="EF11" s="5">
        <f t="shared" ref="EF11:EF36" si="134">EF10+EE11</f>
        <v>-157911.19312249744</v>
      </c>
      <c r="EG11" s="32"/>
      <c r="EH11" s="133" t="s">
        <v>142</v>
      </c>
      <c r="EI11" s="32">
        <v>0</v>
      </c>
      <c r="EJ11" s="32">
        <f>EJ$10</f>
        <v>185472.36</v>
      </c>
      <c r="EK11" s="32">
        <f>(EJ11)*InputData!$C$6</f>
        <v>11517.833556</v>
      </c>
      <c r="EL11" s="32">
        <f t="shared" ref="EL11:EL14" si="135">EL10+EI11+EK11</f>
        <v>225499.70491199999</v>
      </c>
      <c r="EM11" s="32">
        <f>EM10*(1+InputData!$C$8)</f>
        <v>12437.145518400002</v>
      </c>
      <c r="EN11" s="32">
        <v>0</v>
      </c>
      <c r="EO11" s="32">
        <f>AW11/((1+InputData!$C$3)^(Ophtha!$B11-Ophtha!$B$7))</f>
        <v>50214</v>
      </c>
      <c r="EP11" s="32">
        <f>AX11/((1+InputData!$C$3)^(Ophtha!$B11-Ophtha!$B$7))</f>
        <v>0</v>
      </c>
      <c r="EQ11" s="32">
        <v>6146</v>
      </c>
      <c r="ER11" s="32">
        <v>3339.23</v>
      </c>
      <c r="ES11" s="32">
        <v>0</v>
      </c>
      <c r="ET11" s="43">
        <f>(EQ11+ER11+ES11)/(EO11+EP11)</f>
        <v>0.18889612458676863</v>
      </c>
      <c r="EU11" s="32">
        <f t="shared" si="76"/>
        <v>40728.769999999997</v>
      </c>
      <c r="EV11" s="32">
        <f>EN11/((1+InputData!$C$3)^(Ophtha!$B11-Ophtha!$B$7))</f>
        <v>0</v>
      </c>
      <c r="EW11" s="32">
        <f t="shared" si="77"/>
        <v>40728.769999999997</v>
      </c>
      <c r="EX11" s="32">
        <f>EW11/((1+InputData!$C$7)^(Ophtha!$B11-Ophtha!$B$7))</f>
        <v>36186.984622537071</v>
      </c>
      <c r="EY11" s="5">
        <f t="shared" si="124"/>
        <v>-154680.39566654505</v>
      </c>
      <c r="EZ11" s="79"/>
      <c r="FA11" s="32">
        <f t="shared" si="78"/>
        <v>185472.36</v>
      </c>
      <c r="FB11" s="32">
        <f t="shared" si="79"/>
        <v>11517.833556</v>
      </c>
      <c r="FC11" s="32">
        <f t="shared" si="80"/>
        <v>225499.70491199999</v>
      </c>
      <c r="FD11" s="32">
        <v>0</v>
      </c>
      <c r="FE11" s="32">
        <f>FD11/((1+InputData!$C$3)^(Ophtha!$B11-Ophtha!$B$7))</f>
        <v>0</v>
      </c>
      <c r="FF11" s="5">
        <f t="shared" si="81"/>
        <v>40728.769999999997</v>
      </c>
      <c r="FG11" s="32">
        <f>FF11/((1+InputData!$C$7)^(Ophtha!$B11-Ophtha!$B$7))</f>
        <v>36186.984622537071</v>
      </c>
      <c r="FH11" s="5">
        <f t="shared" si="125"/>
        <v>-154680.39566654505</v>
      </c>
      <c r="FI11" s="79"/>
      <c r="FJ11" s="32">
        <f t="shared" si="82"/>
        <v>185472.36</v>
      </c>
      <c r="FK11" s="32">
        <f t="shared" si="83"/>
        <v>11517.833556</v>
      </c>
      <c r="FL11" s="32">
        <f t="shared" si="84"/>
        <v>225499.70491199999</v>
      </c>
      <c r="FM11" s="32">
        <v>0</v>
      </c>
      <c r="FN11" s="32">
        <f>FM11/((1+InputData!$C$3)^(Ophtha!$B11-Ophtha!$B$7))</f>
        <v>0</v>
      </c>
      <c r="FO11" s="5">
        <f t="shared" si="85"/>
        <v>40728.769999999997</v>
      </c>
      <c r="FP11" s="32">
        <f>FO11/((1+InputData!$C$7)^(Ophtha!$B11-Ophtha!$B$7))</f>
        <v>36186.984622537071</v>
      </c>
      <c r="FQ11" s="5">
        <f t="shared" si="126"/>
        <v>-154680.39566654505</v>
      </c>
      <c r="FR11" s="79"/>
      <c r="FS11" s="32">
        <f t="shared" si="1"/>
        <v>185472.36</v>
      </c>
      <c r="FT11" s="32">
        <f t="shared" si="86"/>
        <v>11517.833556</v>
      </c>
      <c r="FU11" s="32">
        <f t="shared" si="87"/>
        <v>225499.70491199999</v>
      </c>
      <c r="FV11" s="32">
        <v>0</v>
      </c>
      <c r="FW11" s="32">
        <f>FV11/((1+InputData!$C$3)^(Ophtha!$B11-Ophtha!$B$7))</f>
        <v>0</v>
      </c>
      <c r="FX11" s="5">
        <f t="shared" si="88"/>
        <v>40728.769999999997</v>
      </c>
      <c r="FY11" s="32">
        <f>FX11/((1+InputData!$C$7)^(Ophtha!$B11-Ophtha!$B$7))</f>
        <v>36186.984622537071</v>
      </c>
      <c r="FZ11" s="5">
        <f t="shared" si="127"/>
        <v>-154680.39566654505</v>
      </c>
      <c r="GC11" s="3">
        <f t="shared" si="2"/>
        <v>1</v>
      </c>
      <c r="GD11" s="4" t="str">
        <f t="shared" si="3"/>
        <v>Internship/Residency (O3&lt;=2 = (BP+BAH+BAS+VSP)*12)</v>
      </c>
      <c r="GE11" s="5">
        <f t="shared" si="4"/>
        <v>47226</v>
      </c>
      <c r="GF11" s="5">
        <f t="shared" si="5"/>
        <v>19939.199999999997</v>
      </c>
      <c r="GG11" s="5">
        <f t="shared" si="6"/>
        <v>67165.2</v>
      </c>
      <c r="GH11" s="5">
        <f t="shared" si="7"/>
        <v>45401.05772195461</v>
      </c>
      <c r="GI11" s="5">
        <f t="shared" si="8"/>
        <v>19168.694577766426</v>
      </c>
      <c r="GJ11" s="32">
        <f>IF(GH11-InputData!$C$158-InputData!$C$159&gt;=0,GH11-InputData!$C$158-InputData!$C$159,0)</f>
        <v>45401.05772195461</v>
      </c>
      <c r="GK11" s="32">
        <f>IF(GH11-IF(GH11&lt;=InputData!$C$146,InputData!$C$145,0)-MAX(InputData!$C$144,GQ11)&gt;=0,GH11-IF(GH11&lt;=InputData!$C$146,InputData!$C$145,0)-MAX(InputData!$C$144,GQ11),0)</f>
        <v>35401.05772195461</v>
      </c>
      <c r="GL11" s="32">
        <f>IF(GK11&lt;0,"Error",IF(GK11&lt;=InputData!$B$170,InputData!$C$170*GK11,IF(GK11&lt;=InputData!$B$171,InputData!$D$170+InputData!$C$171*(GK11-InputData!$B$170),IF(GK11&lt;=InputData!$B$172,InputData!$D$171+InputData!$C$172*(GK11-InputData!$B$171),IF(GK11&lt;=InputData!$B$173,InputData!$D$172+InputData!$C$173*(GK11-InputData!$B$172),IF(GK11&lt;=InputData!$B$174,InputData!$D$173+InputData!$C$174*(GK11-InputData!$B$173),IF(GK11&lt;=InputData!$B$175,InputData!$D$174+InputData!$C$175*(GK11-InputData!$B$174),InputData!$D$175+InputData!$C$176*(GK11-InputData!$B$175))))))))</f>
        <v>4863.9086582931914</v>
      </c>
      <c r="GM11" s="32">
        <f>IF(GH11&lt;=InputData!$C$150,InputData!$C$152,IF(GH11&lt;InputData!$C$151,IF(InputData!$C$152-0.25*IF(GH11-InputData!$C$150&lt;=0,0,GH11-InputData!$C$150)&lt;=0,0,InputData!$C$152-0.25*IF(GH11-InputData!$C$150&lt;=0,0,GH11-InputData!$C$150)),0))</f>
        <v>51900</v>
      </c>
      <c r="GN11" s="32">
        <f>IF(GH11-GM11&lt;=0,0,IF(GH11-GM11&lt;=InputData!$C$153,InputData!$C$154*(GH11-GM11),InputData!$C$155*(GH11-GM11)-InputData!$D$154))</f>
        <v>0</v>
      </c>
      <c r="GO11" s="32">
        <f t="shared" si="89"/>
        <v>4863.9086582931914</v>
      </c>
      <c r="GP11" s="32">
        <f>IF(GH11&gt;=0,IF(GH11&lt;=InputData!$C$148,InputData!$C$147*GH11,InputData!$C$147*InputData!$C$148)+InputData!$C$149*GH11,0)</f>
        <v>3473.1809157295279</v>
      </c>
      <c r="GQ11" s="32">
        <f>IF(GJ11&lt;0,0,IF(GJ11&lt;=InputData!$B$163,InputData!$C$163*GJ11,IF(GJ11&lt;=InputData!$B$164,InputData!$D$163+InputData!$C$164*(GJ11-InputData!$B$163),IF(GJ11&lt;=InputData!$B$165,InputData!$D$164+InputData!$C$165*(GJ11-InputData!$B$164),InputData!$D$165+InputData!$C$166*(GJ11-InputData!$B$165)))))</f>
        <v>0</v>
      </c>
      <c r="GR11" s="43">
        <f t="shared" si="90"/>
        <v>0.18363205599924048</v>
      </c>
      <c r="GS11" s="43">
        <f t="shared" si="91"/>
        <v>0.12911757095371013</v>
      </c>
      <c r="GT11" s="5">
        <f t="shared" si="9"/>
        <v>56232.662725698312</v>
      </c>
      <c r="GU11" s="32">
        <f>GT11/((1+InputData!$C$7)^(Ophtha!$B11-Ophtha!$B$7))</f>
        <v>49961.992501594294</v>
      </c>
      <c r="GV11" s="32">
        <f t="shared" si="92"/>
        <v>261213.54479899554</v>
      </c>
      <c r="GX11" s="3">
        <f t="shared" si="10"/>
        <v>1</v>
      </c>
      <c r="GY11" s="4" t="str">
        <f t="shared" si="11"/>
        <v>Internship/Residency (O3&lt;=2 = (BP+BAH+BAS+VSP)*12)</v>
      </c>
      <c r="GZ11" s="5">
        <f t="shared" si="12"/>
        <v>47226</v>
      </c>
      <c r="HA11" s="5">
        <f t="shared" si="13"/>
        <v>19939.199999999997</v>
      </c>
      <c r="HB11" s="5">
        <f t="shared" si="14"/>
        <v>67165.2</v>
      </c>
      <c r="HC11" s="5">
        <f t="shared" si="15"/>
        <v>45401.05772195461</v>
      </c>
      <c r="HD11" s="5">
        <f t="shared" si="16"/>
        <v>19168.694577766426</v>
      </c>
      <c r="HE11" s="32">
        <f>IF(HC11-InputData!$C$158-InputData!$C$159&gt;=0,HC11-InputData!$C$158-InputData!$C$159,0)</f>
        <v>45401.05772195461</v>
      </c>
      <c r="HF11" s="32">
        <f>IF(HC11-IF(HC11&lt;=InputData!$C$146,InputData!$C$145,0)-MAX(InputData!$C$144,HL11)&gt;=0,HC11-IF(HC11&lt;=InputData!$C$146,InputData!$C$145,0)-MAX(InputData!$C$144,HL11),0)</f>
        <v>35401.05772195461</v>
      </c>
      <c r="HG11" s="32">
        <f>IF(HF11&lt;0,"Error",IF(HF11&lt;=InputData!$B$170,InputData!$C$170*HF11,IF(HF11&lt;=InputData!$B$171,InputData!$D$170+InputData!$C$171*(HF11-InputData!$B$170),IF(HF11&lt;=InputData!$B$172,InputData!$D$171+InputData!$C$172*(HF11-InputData!$B$171),IF(HF11&lt;=InputData!$B$173,InputData!$D$172+InputData!$C$173*(HF11-InputData!$B$172),IF(HF11&lt;=InputData!$B$174,InputData!$D$173+InputData!$C$174*(HF11-InputData!$B$173),IF(HF11&lt;=InputData!$B$175,InputData!$D$174+InputData!$C$175*(HF11-InputData!$B$174),InputData!$D$175+InputData!$C$176*(HF11-InputData!$B$175))))))))</f>
        <v>4863.9086582931914</v>
      </c>
      <c r="HH11" s="32">
        <f>IF(HC11&lt;=InputData!$C$150,InputData!$C$152,IF(HC11&lt;InputData!$C$151,IF(InputData!$C$152-0.25*IF(HC11-InputData!$C$150&lt;=0,0,HC11-InputData!$C$150)&lt;=0,0,InputData!$C$152-0.25*IF(HC11-InputData!$C$150&lt;=0,0,HC11-InputData!$C$150)),0))</f>
        <v>51900</v>
      </c>
      <c r="HI11" s="32">
        <f>IF(HC11-HH11&lt;=0,0,IF(HC11-HH11&lt;=InputData!$C$153,InputData!$C$154*(HC11-HH11),InputData!$C$155*(HC11-HH11)-InputData!$D$154))</f>
        <v>0</v>
      </c>
      <c r="HJ11" s="32">
        <f t="shared" si="93"/>
        <v>4863.9086582931914</v>
      </c>
      <c r="HK11" s="32">
        <f>IF(HC11&gt;=0,IF(HC11&lt;=InputData!$C$148,InputData!$C$147*HC11,InputData!$C$147*InputData!$C$148)+InputData!$C$149*HC11,0)</f>
        <v>3473.1809157295279</v>
      </c>
      <c r="HL11" s="32">
        <f>IF(HE11&lt;0,0,IF(HE11&lt;=InputData!$B$163,InputData!$C$163*HE11,IF(HE11&lt;=InputData!$B$164,InputData!$D$163+InputData!$C$164*(HE11-InputData!$B$163),IF(HE11&lt;=InputData!$B$165,InputData!$D$164+InputData!$C$165*(HE11-InputData!$B$164),InputData!$D$165+InputData!$C$166*(HE11-InputData!$B$165)))))</f>
        <v>0</v>
      </c>
      <c r="HM11" s="43">
        <f t="shared" si="94"/>
        <v>0.18363205599924048</v>
      </c>
      <c r="HN11" s="43">
        <f t="shared" si="95"/>
        <v>0.12911757095371013</v>
      </c>
      <c r="HO11" s="5">
        <f t="shared" si="17"/>
        <v>56232.662725698312</v>
      </c>
      <c r="HP11" s="32">
        <f>HO11/((1+InputData!$C$7)^(Ophtha!$B11-Ophtha!$B$7))</f>
        <v>49961.992501594294</v>
      </c>
      <c r="HQ11" s="32">
        <f t="shared" si="96"/>
        <v>169089.82248832227</v>
      </c>
      <c r="HS11" s="93">
        <f t="shared" si="18"/>
        <v>1</v>
      </c>
      <c r="HT11" s="5" t="str">
        <f t="shared" si="19"/>
        <v>Internship/Residency (O3&lt;=2 = (BP+BAH+BAS+VSP)*12)</v>
      </c>
      <c r="HU11" s="5">
        <f t="shared" si="20"/>
        <v>47226</v>
      </c>
      <c r="HV11" s="5">
        <f t="shared" si="21"/>
        <v>19939.199999999997</v>
      </c>
      <c r="HW11" s="5">
        <f t="shared" si="22"/>
        <v>67165.2</v>
      </c>
      <c r="HX11" s="5">
        <f t="shared" si="23"/>
        <v>45401.05772195461</v>
      </c>
      <c r="HY11" s="5">
        <f t="shared" si="24"/>
        <v>19168.694577766426</v>
      </c>
      <c r="HZ11" s="32">
        <f>IF(HX11-InputData!$C$158-InputData!$C$159&gt;=0,HX11-InputData!$C$158-InputData!$C$159,0)</f>
        <v>45401.05772195461</v>
      </c>
      <c r="IA11" s="32">
        <f>IF(HX11-IF(HX11&lt;=InputData!$C$146,InputData!$C$145,0)-MAX(InputData!$C$144,IG11)&gt;=0,HX11-IF(HX11&lt;=InputData!$C$146,InputData!$C$145,0)-MAX(InputData!$C$144,IG11),0)</f>
        <v>35401.05772195461</v>
      </c>
      <c r="IB11" s="32">
        <f>IF(IA11&lt;0,"Error",IF(IA11&lt;=InputData!$B$170,InputData!$C$170*IA11,IF(IA11&lt;=InputData!$B$171,InputData!$D$170+InputData!$C$171*(IA11-InputData!$B$170),IF(IA11&lt;=InputData!$B$172,InputData!$D$171+InputData!$C$172*(IA11-InputData!$B$171),IF(IA11&lt;=InputData!$B$173,InputData!$D$172+InputData!$C$173*(IA11-InputData!$B$172),IF(IA11&lt;=InputData!$B$174,InputData!$D$173+InputData!$C$174*(IA11-InputData!$B$173),IF(IA11&lt;=InputData!$B$175,InputData!$D$174+InputData!$C$175*(IA11-InputData!$B$174),InputData!$D$175+InputData!$C$176*(IA11-InputData!$B$175))))))))</f>
        <v>4863.9086582931914</v>
      </c>
      <c r="IC11" s="32">
        <f>IF(HX11&lt;=InputData!$C$150,InputData!$C$152,IF(HX11&lt;InputData!$C$151,IF(InputData!$C$152-0.25*IF(HX11-InputData!$C$150&lt;=0,0,HX11-InputData!$C$150)&lt;=0,0,InputData!$C$152-0.25*IF(HX11-InputData!$C$150&lt;=0,0,HX11-InputData!$C$150)),0))</f>
        <v>51900</v>
      </c>
      <c r="ID11" s="32">
        <f>IF(HX11-IC11&lt;=0,0,IF(HX11-IC11&lt;=InputData!$C$153,InputData!$C$154*(HX11-IC11),InputData!$C$155*(HX11-IC11)-InputData!$D$154))</f>
        <v>0</v>
      </c>
      <c r="IE11" s="32">
        <f t="shared" si="97"/>
        <v>4863.9086582931914</v>
      </c>
      <c r="IF11" s="32">
        <f>IF(HX11&gt;=0,IF(HX11&lt;=InputData!$C$148,InputData!$C$147*HX11,InputData!$C$147*InputData!$C$148)+InputData!$C$149*HX11,0)</f>
        <v>3473.1809157295279</v>
      </c>
      <c r="IG11" s="32">
        <f>IF(HZ11&lt;0,0,IF(HZ11&lt;=InputData!$B$163,InputData!$C$163*HZ11,IF(HZ11&lt;=InputData!$B$164,InputData!$D$163+InputData!$C$164*(HZ11-InputData!$B$163),IF(HZ11&lt;=InputData!$B$165,InputData!$D$164+InputData!$C$165*(HZ11-InputData!$B$164),InputData!$D$165+InputData!$C$166*(HZ11-InputData!$B$165)))))</f>
        <v>0</v>
      </c>
      <c r="IH11" s="43">
        <f t="shared" si="98"/>
        <v>0.18363205599924048</v>
      </c>
      <c r="II11" s="43">
        <f t="shared" si="99"/>
        <v>0.12911757095371013</v>
      </c>
      <c r="IJ11" s="5">
        <f t="shared" si="100"/>
        <v>56232.662725698312</v>
      </c>
      <c r="IK11" s="32">
        <f>IJ11/((1+InputData!$C$7)^(Ophtha!$B11-Ophtha!$B$7))</f>
        <v>49961.992501594294</v>
      </c>
      <c r="IL11" s="5">
        <f t="shared" si="101"/>
        <v>261213.54479899554</v>
      </c>
      <c r="IN11" s="93">
        <f t="shared" si="25"/>
        <v>1</v>
      </c>
      <c r="IO11" s="5" t="str">
        <f t="shared" si="26"/>
        <v>Internship/Residency (O3&lt;=2 = (BP+BAH+BAS+VSP)*12)</v>
      </c>
      <c r="IP11" s="5">
        <f t="shared" si="27"/>
        <v>47226</v>
      </c>
      <c r="IQ11" s="5">
        <f t="shared" si="28"/>
        <v>19939.199999999997</v>
      </c>
      <c r="IR11" s="5">
        <f t="shared" si="29"/>
        <v>67165.2</v>
      </c>
      <c r="IS11" s="5">
        <f t="shared" si="30"/>
        <v>45401.05772195461</v>
      </c>
      <c r="IT11" s="5">
        <f t="shared" si="31"/>
        <v>19168.694577766426</v>
      </c>
      <c r="IU11" s="32">
        <f>IF(IS11-InputData!$C$158-InputData!$C$159&gt;=0,IS11-InputData!$C$158-InputData!$C$159,0)</f>
        <v>45401.05772195461</v>
      </c>
      <c r="IV11" s="32">
        <f>IF(IS11-IF(IS11&lt;=InputData!$C$146,InputData!$C$145,0)-MAX(InputData!$C$144,JB11)&gt;=0,IS11-IF(IS11&lt;=InputData!$C$146,InputData!$C$145,0)-MAX(InputData!$C$144,JB11),0)</f>
        <v>35401.05772195461</v>
      </c>
      <c r="IW11" s="32">
        <f>IF(IV11&lt;0,"Error",IF(IV11&lt;=InputData!$B$170,InputData!$C$170*IV11,IF(IV11&lt;=InputData!$B$171,InputData!$D$170+InputData!$C$171*(IV11-InputData!$B$170),IF(IV11&lt;=InputData!$B$172,InputData!$D$171+InputData!$C$172*(IV11-InputData!$B$171),IF(IV11&lt;=InputData!$B$173,InputData!$D$172+InputData!$C$173*(IV11-InputData!$B$172),IF(IV11&lt;=InputData!$B$174,InputData!$D$173+InputData!$C$174*(IV11-InputData!$B$173),IF(IV11&lt;=InputData!$B$175,InputData!$D$174+InputData!$C$175*(IV11-InputData!$B$174),InputData!$D$175+InputData!$C$176*(IV11-InputData!$B$175))))))))</f>
        <v>4863.9086582931914</v>
      </c>
      <c r="IX11" s="32">
        <f>IF(IS11&lt;=InputData!$C$150,InputData!$C$152,IF(IS11&lt;InputData!$C$151,IF(InputData!$C$152-0.25*IF(IS11-InputData!$C$150&lt;=0,0,IS11-InputData!$C$150)&lt;=0,0,InputData!$C$152-0.25*IF(IS11-InputData!$C$150&lt;=0,0,IS11-InputData!$C$150)),0))</f>
        <v>51900</v>
      </c>
      <c r="IY11" s="32">
        <f>IF(IS11-IX11&lt;=0,0,IF(IS11-IX11&lt;=InputData!$C$153,InputData!$C$154*(IS11-IX11),InputData!$C$155*(IS11-IX11)-InputData!$D$154))</f>
        <v>0</v>
      </c>
      <c r="IZ11" s="32">
        <f t="shared" si="102"/>
        <v>4863.9086582931914</v>
      </c>
      <c r="JA11" s="32">
        <f>IF(IS11&gt;=0,IF(IS11&lt;=InputData!$C$148,InputData!$C$147*IS11,InputData!$C$147*InputData!$C$148)+InputData!$C$149*IS11,0)</f>
        <v>3473.1809157295279</v>
      </c>
      <c r="JB11" s="32">
        <f>IF(IU11&lt;0,0,IF(IU11&lt;=InputData!$B$163,InputData!$C$163*IU11,IF(IU11&lt;=InputData!$B$164,InputData!$D$163+InputData!$C$164*(IU11-InputData!$B$163),IF(IU11&lt;=InputData!$B$165,InputData!$D$164+InputData!$C$165*(IU11-InputData!$B$164),InputData!$D$165+InputData!$C$166*(IU11-InputData!$B$165)))))</f>
        <v>0</v>
      </c>
      <c r="JC11" s="43">
        <f t="shared" si="103"/>
        <v>0.18363205599924048</v>
      </c>
      <c r="JD11" s="43">
        <f t="shared" si="104"/>
        <v>0.12911757095371013</v>
      </c>
      <c r="JE11" s="5">
        <f t="shared" si="105"/>
        <v>56232.662725698312</v>
      </c>
      <c r="JF11" s="32">
        <f>JE11/((1+InputData!$C$7)^(Ophtha!$B11-Ophtha!$B$7))</f>
        <v>49961.992501594294</v>
      </c>
      <c r="JG11" s="5">
        <f t="shared" si="106"/>
        <v>169089.82248832227</v>
      </c>
      <c r="JI11" s="41" t="str">
        <f t="shared" si="32"/>
        <v>Residency</v>
      </c>
      <c r="JJ11" s="5">
        <f t="shared" si="33"/>
        <v>54353.24848224</v>
      </c>
      <c r="JK11" s="32">
        <v>0</v>
      </c>
      <c r="JL11" s="32">
        <f t="shared" si="108"/>
        <v>54353.24848224</v>
      </c>
      <c r="JM11" s="32">
        <f>JM10*(1+InputData!$C$8)</f>
        <v>12437.145518400002</v>
      </c>
      <c r="JN11" s="32">
        <f>JJ11/((1+InputData!$C$3)^(Ophtha!$B11-Ophtha!$B$7))</f>
        <v>50214</v>
      </c>
      <c r="JO11" s="32">
        <f>JK11/((1+InputData!$C$3)^(Ophtha!$B11-Ophtha!$B$7))</f>
        <v>0</v>
      </c>
      <c r="JP11" s="126" t="s">
        <v>319</v>
      </c>
      <c r="JQ11" s="32">
        <v>0</v>
      </c>
      <c r="JR11" s="118">
        <f>JR10</f>
        <v>0</v>
      </c>
      <c r="JS11" s="118">
        <f>(0.5*JR10+0.5*(JU10+0.5*JR10*InputData!$C$6))*InputData!$C$6</f>
        <v>0</v>
      </c>
      <c r="JT11" s="32">
        <v>0</v>
      </c>
      <c r="JU11" s="118">
        <f>JU10+JQ11+JS11-JT11</f>
        <v>0</v>
      </c>
      <c r="JV11" s="32">
        <f>JT11/((1+InputData!$C$3)^(Ophtha!$B11-Ophtha!$B$7))</f>
        <v>0</v>
      </c>
      <c r="JW11" s="32">
        <f>IF(JN11-InputData!$C$158-InputData!$C$159&gt;=0,JN11-InputData!$C$158-InputData!$C$159,0)</f>
        <v>50214</v>
      </c>
      <c r="JX11" s="32">
        <f>IF(JN11-IF(JN11&lt;=InputData!$C$146,InputData!$C$145,0)-MAX(InputData!$C$144,KD11)&gt;=0,JN11-IF(JN11&lt;=InputData!$C$146,InputData!$C$145,0)-MAX(InputData!$C$144,KD11),0)</f>
        <v>40214</v>
      </c>
      <c r="JY11" s="32">
        <f>IF(JX11&lt;0,"Error",IF(JX11&lt;=InputData!$B$170,InputData!$C$170*JX11,IF(JX11&lt;=InputData!$B$171,InputData!$D$170+InputData!$C$171*(JX11-InputData!$B$170),IF(JX11&lt;=InputData!$B$172,InputData!$D$171+InputData!$C$172*(JX11-InputData!$B$171),IF(JX11&lt;=InputData!$B$173,InputData!$D$172+InputData!$C$173*(JX11-InputData!$B$172),IF(JX11&lt;=InputData!$B$174,InputData!$D$173+InputData!$C$174*(JX11-InputData!$B$173),IF(JX11&lt;=InputData!$B$175,InputData!$D$174+InputData!$C$175*(JX11-InputData!$B$174),InputData!$D$175+InputData!$C$176*(JX11-InputData!$B$175))))))))</f>
        <v>5982.25</v>
      </c>
      <c r="JZ11" s="32">
        <f>IF(JN11&lt;=InputData!$C$150,InputData!$C$152,IF(JN11&lt;InputData!$C$151,IF(InputData!$C$152-0.25*IF(JN11-InputData!$C$150&lt;=0,0,JN11-InputData!$C$150)&lt;=0,0,InputData!$C$152-0.25*IF(JN11-InputData!$C$150&lt;=0,0,JN11-InputData!$C$150)),0))</f>
        <v>51900</v>
      </c>
      <c r="KA11" s="32">
        <f>IF(JN11-JZ11&lt;=0,0,IF(JN11-JZ11&lt;=InputData!$C$153,InputData!$C$154*(JN11-JZ11),InputData!$C$155*(JN11-JZ11)-InputData!$D$154))</f>
        <v>0</v>
      </c>
      <c r="KB11" s="32">
        <f t="shared" si="109"/>
        <v>5982.25</v>
      </c>
      <c r="KC11" s="32">
        <f>IF(JN11&gt;=0,IF(JN11&lt;=InputData!$C$148,InputData!$C$147*JN11,InputData!$C$147*InputData!$C$148)+InputData!$C$149*JN11,0)</f>
        <v>3841.3710000000001</v>
      </c>
      <c r="KD11" s="32">
        <f>IF(JW11&lt;0,0,IF(JW11&lt;=InputData!$B$163,InputData!$C$163*JW11,IF(JW11&lt;=InputData!$B$164,InputData!$D$163+InputData!$C$164*(JW11-InputData!$B$163),IF(JW11&lt;=InputData!$B$165,InputData!$D$164+InputData!$C$165*(JW11-InputData!$B$164),InputData!$D$165+InputData!$C$166*(JW11-InputData!$B$165)))))</f>
        <v>0</v>
      </c>
      <c r="KE11" s="43">
        <f t="shared" si="34"/>
        <v>0.19563510176444815</v>
      </c>
      <c r="KF11" s="32">
        <f t="shared" si="35"/>
        <v>40390.379000000001</v>
      </c>
      <c r="KG11" s="32">
        <f t="shared" si="110"/>
        <v>40390.379000000001</v>
      </c>
      <c r="KH11" s="32">
        <f>KG11/((1+InputData!$C$7)^(Ophtha!$B11-Ophtha!$B$7))</f>
        <v>35886.328601905836</v>
      </c>
      <c r="KI11" s="5">
        <f t="shared" si="129"/>
        <v>35886.328601905836</v>
      </c>
    </row>
    <row r="12" spans="1:295" ht="14.45" x14ac:dyDescent="0.3">
      <c r="A12" s="4">
        <v>2018</v>
      </c>
      <c r="B12" s="51">
        <v>6</v>
      </c>
      <c r="C12" s="4"/>
      <c r="D12" s="3">
        <v>2</v>
      </c>
      <c r="E12" s="97" t="s">
        <v>257</v>
      </c>
      <c r="F12" s="5">
        <f>InputData!$C$24*12</f>
        <v>46026</v>
      </c>
      <c r="G12" s="5">
        <f>(InputData!$C$24+InputData!$D$45)*12</f>
        <v>51025.919999999998</v>
      </c>
      <c r="H12" s="5">
        <f>(InputData!$C$35+InputData!$C$40)*12</f>
        <v>19939.199999999997</v>
      </c>
      <c r="I12" s="5">
        <f t="shared" si="36"/>
        <v>70965.119999999995</v>
      </c>
      <c r="J12" s="5">
        <f>G12*((1+InputData!$C$5)/(1+InputData!$C$3))^(Ophtha!$B12-Ophtha!$B$7)</f>
        <v>48573.21545684366</v>
      </c>
      <c r="K12" s="5">
        <f>H12*((1+InputData!$C$5)/(1+InputData!$C$3))^(Ophtha!$B12-Ophtha!$B$7)</f>
        <v>18980.766199553032</v>
      </c>
      <c r="L12" s="32">
        <f>IF(J12-InputData!$C$158-InputData!$C$159&gt;=0,J12-InputData!$C$158-InputData!$C$159,0)</f>
        <v>48573.21545684366</v>
      </c>
      <c r="M12" s="32">
        <f>IF(J12-IF(J12&lt;=InputData!$C$146,InputData!$C$145,0)-MAX(InputData!$C$144,S12)&gt;=0,J12-IF(J12&lt;=InputData!$C$146,InputData!$C$145,0)-MAX(InputData!$C$144,S12),0)</f>
        <v>38573.21545684366</v>
      </c>
      <c r="N12" s="32">
        <f>IF(M12&lt;0,"Error",IF(M12&lt;=InputData!$B$170,InputData!$C$170*M12,IF(M12&lt;=InputData!$B$171,InputData!$D$170+InputData!$C$171*(M12-InputData!$B$170),IF(M12&lt;=InputData!$B$172,InputData!$D$171+InputData!$C$172*(M12-InputData!$B$171),IF(M12&lt;=InputData!$B$173,InputData!$D$172+InputData!$C$173*(M12-InputData!$B$172),IF(M12&lt;=InputData!$B$174,InputData!$D$173+InputData!$C$174*(M12-InputData!$B$173),IF(M12&lt;=InputData!$B$175,InputData!$D$174+InputData!$C$175*(M12-InputData!$B$174),InputData!$D$175+InputData!$C$176*(M12-InputData!$B$175))))))))</f>
        <v>5572.053864210915</v>
      </c>
      <c r="O12" s="32">
        <f>IF(J12&lt;=InputData!$C$150,InputData!$C$152,IF(J12&lt;InputData!$C$151,IF(InputData!$C$152-0.25*IF(J12-InputData!$C$150&lt;=0,0,J12-InputData!$C$150)&lt;=0,0,InputData!$C$152-0.25*IF(J12-InputData!$C$150&lt;=0,0,J12-InputData!$C$150)),0))</f>
        <v>51900</v>
      </c>
      <c r="P12" s="32">
        <f>IF(J12-O12&lt;=0,0,IF(J12-O12&lt;=InputData!$C$153,InputData!$C$154*(J12-O12),InputData!$C$155*(J12-O12)-InputData!$D$154))</f>
        <v>0</v>
      </c>
      <c r="Q12" s="32">
        <f t="shared" si="37"/>
        <v>5572.053864210915</v>
      </c>
      <c r="R12" s="32">
        <f>IF(J12&gt;=0,IF(J12&lt;=InputData!$C$148,InputData!$C$147*J12,InputData!$C$147*InputData!$C$148)+InputData!$C$149*J12,0)</f>
        <v>3715.85098244854</v>
      </c>
      <c r="S12" s="32">
        <f>IF(L12&lt;0,0,IF(L12&lt;=InputData!$B$163,InputData!$C$163*L12,IF(L12&lt;=InputData!$B$164,InputData!$D$163+InputData!$C$164*(L12-InputData!$B$163),IF(L12&lt;=InputData!$B$165,InputData!$D$164+InputData!$C$165*(L12-InputData!$B$164),InputData!$D$165+InputData!$C$166*(L12-InputData!$B$165)))))</f>
        <v>0</v>
      </c>
      <c r="T12" s="43">
        <f t="shared" si="38"/>
        <v>0.191214535815764</v>
      </c>
      <c r="U12" s="43">
        <f t="shared" si="39"/>
        <v>0.13748863677497211</v>
      </c>
      <c r="V12" s="5">
        <f t="shared" si="40"/>
        <v>58266.076809737235</v>
      </c>
      <c r="W12" s="32">
        <f>V12/((1+InputData!$C$7)^(Ophtha!$B12-Ophtha!$B$7))</f>
        <v>50260.829687681769</v>
      </c>
      <c r="X12" s="5">
        <f t="shared" si="111"/>
        <v>311474.37448667729</v>
      </c>
      <c r="Y12" s="53"/>
      <c r="Z12" s="3">
        <v>2</v>
      </c>
      <c r="AA12" s="97" t="s">
        <v>257</v>
      </c>
      <c r="AB12" s="5">
        <f t="shared" ref="AB12:AB30" si="136">F12</f>
        <v>46026</v>
      </c>
      <c r="AC12" s="5">
        <f t="shared" ref="AC12:AD18" si="137">G12</f>
        <v>51025.919999999998</v>
      </c>
      <c r="AD12" s="5">
        <f t="shared" si="137"/>
        <v>19939.199999999997</v>
      </c>
      <c r="AE12" s="5">
        <f t="shared" si="41"/>
        <v>70965.119999999995</v>
      </c>
      <c r="AF12" s="5">
        <f>AC12*((1+InputData!$C$5)/(1+InputData!$C$3))^(Ophtha!$B12-Ophtha!$B$7)</f>
        <v>48573.21545684366</v>
      </c>
      <c r="AG12" s="5">
        <f>AD12*((1+InputData!$C$5)/(1+InputData!$C$3))^(Ophtha!$B12-Ophtha!$B$7)</f>
        <v>18980.766199553032</v>
      </c>
      <c r="AH12" s="32">
        <f>IF(AF12-InputData!$C$158-InputData!$C$159&gt;=0,AF12-InputData!$C$158-InputData!$C$159,0)</f>
        <v>48573.21545684366</v>
      </c>
      <c r="AI12" s="32">
        <f>IF(AF12-IF(AF12&lt;=InputData!$C$146,InputData!$C$145,0)-MAX(InputData!$C$144,AO12)&gt;=0,AF12-IF(AF12&lt;=InputData!$C$146,InputData!$C$145,0)-MAX(InputData!$C$144,AO12),0)</f>
        <v>38573.21545684366</v>
      </c>
      <c r="AJ12" s="32">
        <f>IF(AI12&lt;0,"Error",IF(AI12&lt;=InputData!$B$170,InputData!$C$170*AI12,IF(AI12&lt;=InputData!$B$171,InputData!$D$170+InputData!$C$171*(AI12-InputData!$B$170),IF(AI12&lt;=InputData!$B$172,InputData!$D$171+InputData!$C$172*(AI12-InputData!$B$171),IF(AI12&lt;=InputData!$B$173,InputData!$D$172+InputData!$C$173*(AI12-InputData!$B$172),IF(AI12&lt;=InputData!$B$174,InputData!$D$173+InputData!$C$174*(AI12-InputData!$B$173),IF(AI12&lt;=InputData!$B$175,InputData!$D$174+InputData!$C$175*(AI12-InputData!$B$174),InputData!$D$175+InputData!$C$176*(AI12-InputData!$B$175))))))))</f>
        <v>5572.053864210915</v>
      </c>
      <c r="AK12" s="32">
        <f>IF(AF12&lt;=InputData!$C$150,InputData!$C$152,IF(AF12&lt;InputData!$C$151,IF(InputData!$C$152-0.25*IF(AF12-InputData!$C$150&lt;=0,0,AF12-InputData!$C$150)&lt;=0,0,InputData!$C$152-0.25*IF(AF12-InputData!$C$150&lt;=0,0,AF12-InputData!$C$150)),0))</f>
        <v>51900</v>
      </c>
      <c r="AL12" s="32">
        <f>IF(AF12-AK12&lt;=0,0,IF(AF12-AK12&lt;=InputData!$C$153,InputData!$C$154*(AF12-AK12),InputData!$C$155*(AF12-AK12)-InputData!$D$154))</f>
        <v>0</v>
      </c>
      <c r="AM12" s="32">
        <f t="shared" si="42"/>
        <v>5572.053864210915</v>
      </c>
      <c r="AN12" s="32">
        <f>IF(AF12&gt;=0,IF(AF12&lt;=InputData!$C$148,InputData!$C$147*AF12,InputData!$C$147*InputData!$C$148)+InputData!$C$149*AF12,0)</f>
        <v>3715.85098244854</v>
      </c>
      <c r="AO12" s="32">
        <f>IF(AH12&lt;0,0,IF(AH12&lt;=InputData!$B$163,InputData!$C$163*AH12,IF(AH12&lt;=InputData!$B$164,InputData!$D$163+InputData!$C$164*(AH12-InputData!$B$163),IF(AH12&lt;=InputData!$B$165,InputData!$D$164+InputData!$C$165*(AH12-InputData!$B$164),InputData!$D$165+InputData!$C$166*(AH12-InputData!$B$165)))))</f>
        <v>0</v>
      </c>
      <c r="AP12" s="43">
        <f t="shared" si="43"/>
        <v>0.191214535815764</v>
      </c>
      <c r="AQ12" s="43">
        <f t="shared" si="44"/>
        <v>0.13748863677497211</v>
      </c>
      <c r="AR12" s="5">
        <f t="shared" si="45"/>
        <v>58266.076809737235</v>
      </c>
      <c r="AS12" s="32">
        <f>AR12/((1+InputData!$C$7)^(Ophtha!$B12-Ophtha!$B$7))</f>
        <v>50260.829687681769</v>
      </c>
      <c r="AT12" s="5">
        <f t="shared" si="112"/>
        <v>219350.65217600405</v>
      </c>
      <c r="AU12" s="53"/>
      <c r="AV12" s="41" t="s">
        <v>1</v>
      </c>
      <c r="AW12" s="32">
        <f>AW11*(1+InputData!$C$9)</f>
        <v>57614.443391174405</v>
      </c>
      <c r="AX12" s="32">
        <v>0</v>
      </c>
      <c r="AY12" s="32">
        <f t="shared" si="47"/>
        <v>57614.443391174405</v>
      </c>
      <c r="AZ12" s="32">
        <f>AZ11*(1+InputData!$C$8)</f>
        <v>12685.888428768003</v>
      </c>
      <c r="BA12" s="32">
        <f>AW12/((1+InputData!$C$3)^(Ophtha!$B12-Ophtha!$B$7))</f>
        <v>52183.176470588238</v>
      </c>
      <c r="BB12" s="32">
        <f>AX12/((1+InputData!$C$3)^(Ophtha!$B12-Ophtha!$B$7))</f>
        <v>0</v>
      </c>
      <c r="BC12" s="32" t="s">
        <v>140</v>
      </c>
      <c r="BD12" s="32">
        <v>0</v>
      </c>
      <c r="BE12" s="118">
        <f>BH10+0.5*BE10*InputData!$C$6</f>
        <v>212416.2</v>
      </c>
      <c r="BF12" s="32">
        <f>(BE12)*InputData!$C$6</f>
        <v>13191.046020000002</v>
      </c>
      <c r="BG12" s="32">
        <v>0</v>
      </c>
      <c r="BH12" s="32">
        <f>BH11+BD12+BF12-BG12</f>
        <v>232202.76903000002</v>
      </c>
      <c r="BI12" s="32">
        <f>BG12/((1+InputData!$C$3)^(Ophtha!$B12-Ophtha!$B$7))</f>
        <v>0</v>
      </c>
      <c r="BJ12" s="32">
        <f>IF(BA12-InputData!$C$158-InputData!$C$159&gt;=0,BA12-InputData!$C$158-InputData!$C$159,0)</f>
        <v>52183.176470588238</v>
      </c>
      <c r="BK12" s="32">
        <f>IF(BA12-IF(BA12&lt;=InputData!$C$146,InputData!$C$145,0)-MAX(InputData!$C$144,BQ12)&gt;=0,BA12-IF(BA12&lt;=InputData!$C$146,InputData!$C$145,0)-MAX(InputData!$C$144,BQ12),0)</f>
        <v>42183.176470588238</v>
      </c>
      <c r="BL12" s="32">
        <f>IF(BK12&lt;0,"Error",IF(BK12&lt;=InputData!$B$170,InputData!$C$170*BK12,IF(BK12&lt;=InputData!$B$171,InputData!$D$170+InputData!$C$171*(BK12-InputData!$B$170),IF(BK12&lt;=InputData!$B$172,InputData!$D$171+InputData!$C$172*(BK12-InputData!$B$171),IF(BK12&lt;=InputData!$B$173,InputData!$D$172+InputData!$C$173*(BK12-InputData!$B$172),IF(BK12&lt;=InputData!$B$174,InputData!$D$173+InputData!$C$174*(BK12-InputData!$B$173),IF(BK12&lt;=InputData!$B$175,InputData!$D$174+InputData!$C$175*(BK12-InputData!$B$174),InputData!$D$175+InputData!$C$176*(BK12-InputData!$B$175))))))))</f>
        <v>6474.5441176470595</v>
      </c>
      <c r="BM12" s="32">
        <f>IF(BA12&lt;=InputData!$C$150,InputData!$C$152,IF(BA12&lt;InputData!$C$151,IF(InputData!$C$152-0.25*IF(BA12-InputData!$C$150&lt;=0,0,BA12-InputData!$C$150)&lt;=0,0,InputData!$C$152-0.25*IF(BA12-InputData!$C$150&lt;=0,0,BA12-InputData!$C$150)),0))</f>
        <v>51900</v>
      </c>
      <c r="BN12" s="32">
        <f>IF(BA12-BM12&lt;=0,0,IF(BA12-BM12&lt;=InputData!$C$153,InputData!$C$154*(BA12-BM12),InputData!$C$155*(BA12-BM12)-InputData!$D$154))</f>
        <v>73.625882352941844</v>
      </c>
      <c r="BO12" s="32">
        <f t="shared" si="48"/>
        <v>6474.5441176470595</v>
      </c>
      <c r="BP12" s="32">
        <f>IF(BA12&gt;=0,IF(BA12&lt;=InputData!$C$148,InputData!$C$147*BA12,InputData!$C$147*InputData!$C$148)+InputData!$C$149*BA12,0)</f>
        <v>3992.0129999999999</v>
      </c>
      <c r="BQ12" s="32">
        <f>IF(BJ12&lt;0,0,IF(BJ12&lt;=InputData!$B$163,InputData!$C$163*BJ12,IF(BJ12&lt;=InputData!$B$164,InputData!$D$163+InputData!$C$164*(BJ12-InputData!$B$163),IF(BJ12&lt;=InputData!$B$165,InputData!$D$164+InputData!$C$165*(BJ12-InputData!$B$164),InputData!$D$165+InputData!$C$166*(BJ12-InputData!$B$165)))))</f>
        <v>0</v>
      </c>
      <c r="BR12" s="43">
        <f t="shared" si="49"/>
        <v>0.20057339981107275</v>
      </c>
      <c r="BS12" s="32">
        <f t="shared" si="50"/>
        <v>41716.619352941183</v>
      </c>
      <c r="BT12" s="32">
        <f t="shared" si="51"/>
        <v>41716.619352941183</v>
      </c>
      <c r="BU12" s="32">
        <f>BT12/((1+InputData!$C$7)^(Ophtha!$B12-Ophtha!$B$7))</f>
        <v>35985.12230865749</v>
      </c>
      <c r="BV12" s="5">
        <f t="shared" si="114"/>
        <v>-118995.92937851879</v>
      </c>
      <c r="BW12" s="5"/>
      <c r="BX12" s="32" t="s">
        <v>140</v>
      </c>
      <c r="BY12" s="5">
        <f t="shared" si="52"/>
        <v>212416.2</v>
      </c>
      <c r="BZ12" s="5">
        <f t="shared" si="53"/>
        <v>13191.046020000002</v>
      </c>
      <c r="CA12" s="5">
        <v>0</v>
      </c>
      <c r="CB12" s="5">
        <f t="shared" si="54"/>
        <v>232202.76903000002</v>
      </c>
      <c r="CC12" s="32">
        <f>CA12/((1+InputData!$C$3)^(Ophtha!$B12-Ophtha!$B$7))</f>
        <v>0</v>
      </c>
      <c r="CD12" s="5">
        <f t="shared" si="55"/>
        <v>41716.619352941183</v>
      </c>
      <c r="CE12" s="32">
        <f>CD12/((1+InputData!$C$7)^(Ophtha!$B12-Ophtha!$B$7))</f>
        <v>35985.12230865749</v>
      </c>
      <c r="CF12" s="5">
        <f t="shared" si="115"/>
        <v>-118995.92937851879</v>
      </c>
      <c r="CG12" s="5"/>
      <c r="CH12" s="32" t="s">
        <v>140</v>
      </c>
      <c r="CI12" s="5">
        <f t="shared" si="56"/>
        <v>212416.2</v>
      </c>
      <c r="CJ12" s="5">
        <f t="shared" si="57"/>
        <v>13191.046020000002</v>
      </c>
      <c r="CK12" s="5">
        <v>0</v>
      </c>
      <c r="CL12" s="5">
        <f t="shared" si="58"/>
        <v>232202.76903000002</v>
      </c>
      <c r="CM12" s="32">
        <f>CK12/((1+InputData!$C$3)^(Ophtha!$B12-Ophtha!$B$7))</f>
        <v>0</v>
      </c>
      <c r="CN12" s="5">
        <f t="shared" si="59"/>
        <v>41716.619352941183</v>
      </c>
      <c r="CO12" s="32">
        <f>CN12/((1+InputData!$C$7)^(Ophtha!$B12-Ophtha!$B$7))</f>
        <v>35985.12230865749</v>
      </c>
      <c r="CP12" s="5">
        <f t="shared" si="116"/>
        <v>-118995.92937851879</v>
      </c>
      <c r="CQ12" s="5"/>
      <c r="CR12" s="32" t="s">
        <v>140</v>
      </c>
      <c r="CS12" s="5">
        <f t="shared" si="60"/>
        <v>212416.2</v>
      </c>
      <c r="CT12" s="5">
        <f t="shared" si="61"/>
        <v>13191.046020000002</v>
      </c>
      <c r="CU12" s="5">
        <v>0</v>
      </c>
      <c r="CV12" s="5">
        <f t="shared" si="62"/>
        <v>232202.76903000002</v>
      </c>
      <c r="CW12" s="32">
        <f>CU12/((1+InputData!$C$3)^(Ophtha!$B12-Ophtha!$B$7))</f>
        <v>0</v>
      </c>
      <c r="CX12" s="5">
        <f t="shared" si="63"/>
        <v>41716.619352941183</v>
      </c>
      <c r="CY12" s="32">
        <f>CX12/((1+InputData!$C$7)^(Ophtha!$B12-Ophtha!$B$7))</f>
        <v>35985.12230865749</v>
      </c>
      <c r="CZ12" s="5">
        <f t="shared" si="117"/>
        <v>-118995.92937851879</v>
      </c>
      <c r="DA12" s="5"/>
      <c r="DB12" s="32" t="s">
        <v>141</v>
      </c>
      <c r="DC12" s="5">
        <f>DF11</f>
        <v>204437.53302805533</v>
      </c>
      <c r="DD12" s="5">
        <f>DC12*InputData!$C$6</f>
        <v>12695.570801042237</v>
      </c>
      <c r="DE12" s="32">
        <f>MIN($DD$2,DC12+DD12)</f>
        <v>29148.379963889372</v>
      </c>
      <c r="DF12" s="32">
        <f>DF11+$BD12+DD12-DE12</f>
        <v>187984.72386520819</v>
      </c>
      <c r="DG12" s="32">
        <f>DE12/((1+InputData!$C$3)^(Ophtha!$B12-Ophtha!$B$7))</f>
        <v>26400.585789923614</v>
      </c>
      <c r="DH12" s="5">
        <f t="shared" si="67"/>
        <v>15316.033563017569</v>
      </c>
      <c r="DI12" s="32">
        <f>DH12/((1+InputData!$C$7)^(Ophtha!$B12-Ophtha!$B$7))</f>
        <v>13211.745093381642</v>
      </c>
      <c r="DJ12" s="5">
        <f t="shared" si="130"/>
        <v>-153732.16164497906</v>
      </c>
      <c r="DK12" s="5"/>
      <c r="DL12" s="32" t="s">
        <v>141</v>
      </c>
      <c r="DM12" s="133">
        <f>IF(0.15*($AY12-1.5*$AZ12)&lt;=$DD$2,DQ11-DO11,DQ11)</f>
        <v>212416.2</v>
      </c>
      <c r="DN12" s="5">
        <f>DM12*InputData!$C$6</f>
        <v>13191.046020000002</v>
      </c>
      <c r="DO12" s="133">
        <f>DO11+DN12-DP12</f>
        <v>8644.0978871006446</v>
      </c>
      <c r="DP12" s="32">
        <f t="shared" si="131"/>
        <v>5787.8416122033605</v>
      </c>
      <c r="DQ12" s="32">
        <f t="shared" si="132"/>
        <v>221060.29788710066</v>
      </c>
      <c r="DR12" s="32">
        <f>DP12/((1+InputData!$C$3)^(Ophtha!$B12-Ophtha!$B$7))</f>
        <v>5242.2264705882353</v>
      </c>
      <c r="DS12" s="5">
        <f t="shared" si="71"/>
        <v>36474.39288235295</v>
      </c>
      <c r="DT12" s="32">
        <f>DS12/((1+InputData!$C$7)^(Ophtha!$B12-Ophtha!$B$7))</f>
        <v>31463.131705396885</v>
      </c>
      <c r="DU12" s="5">
        <f t="shared" si="133"/>
        <v>-127913.13213476112</v>
      </c>
      <c r="DV12" s="5"/>
      <c r="DW12" s="32" t="s">
        <v>141</v>
      </c>
      <c r="DX12" s="133">
        <f>IF(0.1*($AY12-1.5*$AZ12)&lt;=$DD$2,EB11-DZ11,MIN(EB11,1.1*$DC$2))</f>
        <v>212416.2</v>
      </c>
      <c r="DY12" s="5">
        <f>DX12*InputData!$C$6</f>
        <v>13191.046020000002</v>
      </c>
      <c r="DZ12" s="133">
        <f>MAX(0,DZ11+DY12-EA12)</f>
        <v>12358.254934733763</v>
      </c>
      <c r="EA12" s="32">
        <f>IF(0.1*($AY$11-1.5*$AZ12)&lt;=$DD$2,MIN(0.1*($AY12-1.5*$AZ12),$DD$2, DX12+DY12),"DNQ")</f>
        <v>3858.5610748022405</v>
      </c>
      <c r="EB12" s="32">
        <f>EB11+$BD12+DY12-EA12</f>
        <v>224774.45493473377</v>
      </c>
      <c r="EC12" s="32">
        <f>EA12/((1+InputData!$C$3)^(Ophtha!$B12-Ophtha!$B$7))</f>
        <v>3494.8176470588237</v>
      </c>
      <c r="ED12" s="5">
        <f t="shared" si="75"/>
        <v>38221.801705882361</v>
      </c>
      <c r="EE12" s="32">
        <f>ED12/((1+InputData!$C$7)^(Ophtha!$B12-Ophtha!$B$7))</f>
        <v>32970.461906483753</v>
      </c>
      <c r="EF12" s="5">
        <f t="shared" si="134"/>
        <v>-124940.73121601369</v>
      </c>
      <c r="EG12" s="32"/>
      <c r="EH12" s="133" t="s">
        <v>140</v>
      </c>
      <c r="EI12" s="32">
        <v>0</v>
      </c>
      <c r="EJ12" s="32">
        <f t="shared" ref="EJ12:EJ14" si="138">EJ$10</f>
        <v>185472.36</v>
      </c>
      <c r="EK12" s="32">
        <f>(EJ12)*InputData!$C$6</f>
        <v>11517.833556</v>
      </c>
      <c r="EL12" s="32">
        <f t="shared" si="135"/>
        <v>237017.53846799998</v>
      </c>
      <c r="EM12" s="32">
        <f>EM11*(1+InputData!$C$8)</f>
        <v>12685.888428768003</v>
      </c>
      <c r="EN12" s="32">
        <v>0</v>
      </c>
      <c r="EO12" s="32">
        <f>AW12/((1+InputData!$C$3)^(Ophtha!$B12-Ophtha!$B$7))</f>
        <v>52183.176470588238</v>
      </c>
      <c r="EP12" s="32">
        <f>AX12/((1+InputData!$C$3)^(Ophtha!$B12-Ophtha!$B$7))</f>
        <v>0</v>
      </c>
      <c r="EQ12" s="32">
        <v>6638.3</v>
      </c>
      <c r="ER12" s="32">
        <v>3470.18</v>
      </c>
      <c r="ES12" s="32">
        <v>0</v>
      </c>
      <c r="ET12" s="43">
        <f t="shared" ref="ET12:ET36" si="139">(EQ12+ER12+ES12)/(EO12+EP12)</f>
        <v>0.19371147338448044</v>
      </c>
      <c r="EU12" s="32">
        <f t="shared" si="76"/>
        <v>42074.696470588235</v>
      </c>
      <c r="EV12" s="32">
        <f>EN12/((1+InputData!$C$3)^(Ophtha!$B12-Ophtha!$B$7))</f>
        <v>0</v>
      </c>
      <c r="EW12" s="32">
        <f t="shared" si="77"/>
        <v>42074.696470588235</v>
      </c>
      <c r="EX12" s="32">
        <f>EW12/((1+InputData!$C$7)^(Ophtha!$B12-Ophtha!$B$7))</f>
        <v>36294.002775826797</v>
      </c>
      <c r="EY12" s="5">
        <f t="shared" si="124"/>
        <v>-118386.39289071826</v>
      </c>
      <c r="EZ12" s="79"/>
      <c r="FA12" s="32">
        <f t="shared" si="78"/>
        <v>185472.36</v>
      </c>
      <c r="FB12" s="32">
        <f t="shared" si="79"/>
        <v>11517.833556</v>
      </c>
      <c r="FC12" s="32">
        <f t="shared" si="80"/>
        <v>237017.53846799998</v>
      </c>
      <c r="FD12" s="32">
        <v>0</v>
      </c>
      <c r="FE12" s="32">
        <f>FD12/((1+InputData!$C$3)^(Ophtha!$B12-Ophtha!$B$7))</f>
        <v>0</v>
      </c>
      <c r="FF12" s="5">
        <f t="shared" si="81"/>
        <v>42074.696470588235</v>
      </c>
      <c r="FG12" s="32">
        <f>FF12/((1+InputData!$C$7)^(Ophtha!$B12-Ophtha!$B$7))</f>
        <v>36294.002775826797</v>
      </c>
      <c r="FH12" s="5">
        <f t="shared" si="125"/>
        <v>-118386.39289071826</v>
      </c>
      <c r="FI12" s="79"/>
      <c r="FJ12" s="32">
        <f t="shared" si="82"/>
        <v>185472.36</v>
      </c>
      <c r="FK12" s="32">
        <f t="shared" si="83"/>
        <v>11517.833556</v>
      </c>
      <c r="FL12" s="32">
        <f t="shared" si="84"/>
        <v>237017.53846799998</v>
      </c>
      <c r="FM12" s="32">
        <v>0</v>
      </c>
      <c r="FN12" s="32">
        <f>FM12/((1+InputData!$C$3)^(Ophtha!$B12-Ophtha!$B$7))</f>
        <v>0</v>
      </c>
      <c r="FO12" s="5">
        <f t="shared" si="85"/>
        <v>42074.696470588235</v>
      </c>
      <c r="FP12" s="32">
        <f>FO12/((1+InputData!$C$7)^(Ophtha!$B12-Ophtha!$B$7))</f>
        <v>36294.002775826797</v>
      </c>
      <c r="FQ12" s="5">
        <f t="shared" si="126"/>
        <v>-118386.39289071826</v>
      </c>
      <c r="FR12" s="79"/>
      <c r="FS12" s="32">
        <f t="shared" si="1"/>
        <v>185472.36</v>
      </c>
      <c r="FT12" s="32">
        <f t="shared" si="86"/>
        <v>11517.833556</v>
      </c>
      <c r="FU12" s="32">
        <f t="shared" si="87"/>
        <v>237017.53846799998</v>
      </c>
      <c r="FV12" s="32">
        <v>0</v>
      </c>
      <c r="FW12" s="32">
        <f>FV12/((1+InputData!$C$3)^(Ophtha!$B12-Ophtha!$B$7))</f>
        <v>0</v>
      </c>
      <c r="FX12" s="5">
        <f t="shared" si="88"/>
        <v>42074.696470588235</v>
      </c>
      <c r="FY12" s="32">
        <f>FX12/((1+InputData!$C$7)^(Ophtha!$B12-Ophtha!$B$7))</f>
        <v>36294.002775826797</v>
      </c>
      <c r="FZ12" s="5">
        <f t="shared" si="127"/>
        <v>-118386.39289071826</v>
      </c>
      <c r="GC12" s="3">
        <f t="shared" si="2"/>
        <v>2</v>
      </c>
      <c r="GD12" s="4" t="str">
        <f t="shared" si="3"/>
        <v>Residency (O3&lt;=2 = (BP+BAH+BAS+VSP)*12)</v>
      </c>
      <c r="GE12" s="5">
        <f t="shared" si="4"/>
        <v>51025.919999999998</v>
      </c>
      <c r="GF12" s="5">
        <f t="shared" si="5"/>
        <v>19939.199999999997</v>
      </c>
      <c r="GG12" s="5">
        <f t="shared" si="6"/>
        <v>70965.119999999995</v>
      </c>
      <c r="GH12" s="5">
        <f t="shared" si="7"/>
        <v>48573.21545684366</v>
      </c>
      <c r="GI12" s="5">
        <f t="shared" si="8"/>
        <v>18980.766199553032</v>
      </c>
      <c r="GJ12" s="32">
        <f>IF(GH12-InputData!$C$158-InputData!$C$159&gt;=0,GH12-InputData!$C$158-InputData!$C$159,0)</f>
        <v>48573.21545684366</v>
      </c>
      <c r="GK12" s="32">
        <f>IF(GH12-IF(GH12&lt;=InputData!$C$146,InputData!$C$145,0)-MAX(InputData!$C$144,GQ12)&gt;=0,GH12-IF(GH12&lt;=InputData!$C$146,InputData!$C$145,0)-MAX(InputData!$C$144,GQ12),0)</f>
        <v>38573.21545684366</v>
      </c>
      <c r="GL12" s="32">
        <f>IF(GK12&lt;0,"Error",IF(GK12&lt;=InputData!$B$170,InputData!$C$170*GK12,IF(GK12&lt;=InputData!$B$171,InputData!$D$170+InputData!$C$171*(GK12-InputData!$B$170),IF(GK12&lt;=InputData!$B$172,InputData!$D$171+InputData!$C$172*(GK12-InputData!$B$171),IF(GK12&lt;=InputData!$B$173,InputData!$D$172+InputData!$C$173*(GK12-InputData!$B$172),IF(GK12&lt;=InputData!$B$174,InputData!$D$173+InputData!$C$174*(GK12-InputData!$B$173),IF(GK12&lt;=InputData!$B$175,InputData!$D$174+InputData!$C$175*(GK12-InputData!$B$174),InputData!$D$175+InputData!$C$176*(GK12-InputData!$B$175))))))))</f>
        <v>5572.053864210915</v>
      </c>
      <c r="GM12" s="32">
        <f>IF(GH12&lt;=InputData!$C$150,InputData!$C$152,IF(GH12&lt;InputData!$C$151,IF(InputData!$C$152-0.25*IF(GH12-InputData!$C$150&lt;=0,0,GH12-InputData!$C$150)&lt;=0,0,InputData!$C$152-0.25*IF(GH12-InputData!$C$150&lt;=0,0,GH12-InputData!$C$150)),0))</f>
        <v>51900</v>
      </c>
      <c r="GN12" s="32">
        <f>IF(GH12-GM12&lt;=0,0,IF(GH12-GM12&lt;=InputData!$C$153,InputData!$C$154*(GH12-GM12),InputData!$C$155*(GH12-GM12)-InputData!$D$154))</f>
        <v>0</v>
      </c>
      <c r="GO12" s="32">
        <f t="shared" si="89"/>
        <v>5572.053864210915</v>
      </c>
      <c r="GP12" s="32">
        <f>IF(GH12&gt;=0,IF(GH12&lt;=InputData!$C$148,InputData!$C$147*GH12,InputData!$C$147*InputData!$C$148)+InputData!$C$149*GH12,0)</f>
        <v>3715.85098244854</v>
      </c>
      <c r="GQ12" s="32">
        <f>IF(GJ12&lt;0,0,IF(GJ12&lt;=InputData!$B$163,InputData!$C$163*GJ12,IF(GJ12&lt;=InputData!$B$164,InputData!$D$163+InputData!$C$164*(GJ12-InputData!$B$163),IF(GJ12&lt;=InputData!$B$165,InputData!$D$164+InputData!$C$165*(GJ12-InputData!$B$164),InputData!$D$165+InputData!$C$166*(GJ12-InputData!$B$165)))))</f>
        <v>0</v>
      </c>
      <c r="GR12" s="43">
        <f t="shared" si="90"/>
        <v>0.191214535815764</v>
      </c>
      <c r="GS12" s="43">
        <f t="shared" si="91"/>
        <v>0.13748863677497211</v>
      </c>
      <c r="GT12" s="5">
        <f t="shared" si="9"/>
        <v>58266.076809737235</v>
      </c>
      <c r="GU12" s="32">
        <f>GT12/((1+InputData!$C$7)^(Ophtha!$B12-Ophtha!$B$7))</f>
        <v>50260.829687681769</v>
      </c>
      <c r="GV12" s="32">
        <f t="shared" si="92"/>
        <v>311474.37448667729</v>
      </c>
      <c r="GX12" s="3">
        <f t="shared" si="10"/>
        <v>2</v>
      </c>
      <c r="GY12" s="4" t="str">
        <f t="shared" si="11"/>
        <v>Residency (O3&lt;=2 = (BP+BAH+BAS+VSP)*12)</v>
      </c>
      <c r="GZ12" s="5">
        <f t="shared" si="12"/>
        <v>51025.919999999998</v>
      </c>
      <c r="HA12" s="5">
        <f t="shared" si="13"/>
        <v>19939.199999999997</v>
      </c>
      <c r="HB12" s="5">
        <f t="shared" si="14"/>
        <v>70965.119999999995</v>
      </c>
      <c r="HC12" s="5">
        <f t="shared" si="15"/>
        <v>48573.21545684366</v>
      </c>
      <c r="HD12" s="5">
        <f t="shared" si="16"/>
        <v>18980.766199553032</v>
      </c>
      <c r="HE12" s="32">
        <f>IF(HC12-InputData!$C$158-InputData!$C$159&gt;=0,HC12-InputData!$C$158-InputData!$C$159,0)</f>
        <v>48573.21545684366</v>
      </c>
      <c r="HF12" s="32">
        <f>IF(HC12-IF(HC12&lt;=InputData!$C$146,InputData!$C$145,0)-MAX(InputData!$C$144,HL12)&gt;=0,HC12-IF(HC12&lt;=InputData!$C$146,InputData!$C$145,0)-MAX(InputData!$C$144,HL12),0)</f>
        <v>38573.21545684366</v>
      </c>
      <c r="HG12" s="32">
        <f>IF(HF12&lt;0,"Error",IF(HF12&lt;=InputData!$B$170,InputData!$C$170*HF12,IF(HF12&lt;=InputData!$B$171,InputData!$D$170+InputData!$C$171*(HF12-InputData!$B$170),IF(HF12&lt;=InputData!$B$172,InputData!$D$171+InputData!$C$172*(HF12-InputData!$B$171),IF(HF12&lt;=InputData!$B$173,InputData!$D$172+InputData!$C$173*(HF12-InputData!$B$172),IF(HF12&lt;=InputData!$B$174,InputData!$D$173+InputData!$C$174*(HF12-InputData!$B$173),IF(HF12&lt;=InputData!$B$175,InputData!$D$174+InputData!$C$175*(HF12-InputData!$B$174),InputData!$D$175+InputData!$C$176*(HF12-InputData!$B$175))))))))</f>
        <v>5572.053864210915</v>
      </c>
      <c r="HH12" s="32">
        <f>IF(HC12&lt;=InputData!$C$150,InputData!$C$152,IF(HC12&lt;InputData!$C$151,IF(InputData!$C$152-0.25*IF(HC12-InputData!$C$150&lt;=0,0,HC12-InputData!$C$150)&lt;=0,0,InputData!$C$152-0.25*IF(HC12-InputData!$C$150&lt;=0,0,HC12-InputData!$C$150)),0))</f>
        <v>51900</v>
      </c>
      <c r="HI12" s="32">
        <f>IF(HC12-HH12&lt;=0,0,IF(HC12-HH12&lt;=InputData!$C$153,InputData!$C$154*(HC12-HH12),InputData!$C$155*(HC12-HH12)-InputData!$D$154))</f>
        <v>0</v>
      </c>
      <c r="HJ12" s="32">
        <f t="shared" si="93"/>
        <v>5572.053864210915</v>
      </c>
      <c r="HK12" s="32">
        <f>IF(HC12&gt;=0,IF(HC12&lt;=InputData!$C$148,InputData!$C$147*HC12,InputData!$C$147*InputData!$C$148)+InputData!$C$149*HC12,0)</f>
        <v>3715.85098244854</v>
      </c>
      <c r="HL12" s="32">
        <f>IF(HE12&lt;0,0,IF(HE12&lt;=InputData!$B$163,InputData!$C$163*HE12,IF(HE12&lt;=InputData!$B$164,InputData!$D$163+InputData!$C$164*(HE12-InputData!$B$163),IF(HE12&lt;=InputData!$B$165,InputData!$D$164+InputData!$C$165*(HE12-InputData!$B$164),InputData!$D$165+InputData!$C$166*(HE12-InputData!$B$165)))))</f>
        <v>0</v>
      </c>
      <c r="HM12" s="43">
        <f t="shared" si="94"/>
        <v>0.191214535815764</v>
      </c>
      <c r="HN12" s="43">
        <f t="shared" si="95"/>
        <v>0.13748863677497211</v>
      </c>
      <c r="HO12" s="5">
        <f t="shared" si="17"/>
        <v>58266.076809737235</v>
      </c>
      <c r="HP12" s="32">
        <f>HO12/((1+InputData!$C$7)^(Ophtha!$B12-Ophtha!$B$7))</f>
        <v>50260.829687681769</v>
      </c>
      <c r="HQ12" s="32">
        <f t="shared" si="96"/>
        <v>219350.65217600405</v>
      </c>
      <c r="HS12" s="93">
        <f t="shared" si="18"/>
        <v>2</v>
      </c>
      <c r="HT12" s="5" t="str">
        <f t="shared" si="19"/>
        <v>Residency (O3&lt;=2 = (BP+BAH+BAS+VSP)*12)</v>
      </c>
      <c r="HU12" s="5">
        <f t="shared" si="20"/>
        <v>51025.919999999998</v>
      </c>
      <c r="HV12" s="5">
        <f t="shared" si="21"/>
        <v>19939.199999999997</v>
      </c>
      <c r="HW12" s="5">
        <f t="shared" si="22"/>
        <v>70965.119999999995</v>
      </c>
      <c r="HX12" s="5">
        <f t="shared" si="23"/>
        <v>48573.21545684366</v>
      </c>
      <c r="HY12" s="5">
        <f t="shared" si="24"/>
        <v>18980.766199553032</v>
      </c>
      <c r="HZ12" s="32">
        <f>IF(HX12-InputData!$C$158-InputData!$C$159&gt;=0,HX12-InputData!$C$158-InputData!$C$159,0)</f>
        <v>48573.21545684366</v>
      </c>
      <c r="IA12" s="32">
        <f>IF(HX12-IF(HX12&lt;=InputData!$C$146,InputData!$C$145,0)-MAX(InputData!$C$144,IG12)&gt;=0,HX12-IF(HX12&lt;=InputData!$C$146,InputData!$C$145,0)-MAX(InputData!$C$144,IG12),0)</f>
        <v>38573.21545684366</v>
      </c>
      <c r="IB12" s="32">
        <f>IF(IA12&lt;0,"Error",IF(IA12&lt;=InputData!$B$170,InputData!$C$170*IA12,IF(IA12&lt;=InputData!$B$171,InputData!$D$170+InputData!$C$171*(IA12-InputData!$B$170),IF(IA12&lt;=InputData!$B$172,InputData!$D$171+InputData!$C$172*(IA12-InputData!$B$171),IF(IA12&lt;=InputData!$B$173,InputData!$D$172+InputData!$C$173*(IA12-InputData!$B$172),IF(IA12&lt;=InputData!$B$174,InputData!$D$173+InputData!$C$174*(IA12-InputData!$B$173),IF(IA12&lt;=InputData!$B$175,InputData!$D$174+InputData!$C$175*(IA12-InputData!$B$174),InputData!$D$175+InputData!$C$176*(IA12-InputData!$B$175))))))))</f>
        <v>5572.053864210915</v>
      </c>
      <c r="IC12" s="32">
        <f>IF(HX12&lt;=InputData!$C$150,InputData!$C$152,IF(HX12&lt;InputData!$C$151,IF(InputData!$C$152-0.25*IF(HX12-InputData!$C$150&lt;=0,0,HX12-InputData!$C$150)&lt;=0,0,InputData!$C$152-0.25*IF(HX12-InputData!$C$150&lt;=0,0,HX12-InputData!$C$150)),0))</f>
        <v>51900</v>
      </c>
      <c r="ID12" s="32">
        <f>IF(HX12-IC12&lt;=0,0,IF(HX12-IC12&lt;=InputData!$C$153,InputData!$C$154*(HX12-IC12),InputData!$C$155*(HX12-IC12)-InputData!$D$154))</f>
        <v>0</v>
      </c>
      <c r="IE12" s="32">
        <f t="shared" si="97"/>
        <v>5572.053864210915</v>
      </c>
      <c r="IF12" s="32">
        <f>IF(HX12&gt;=0,IF(HX12&lt;=InputData!$C$148,InputData!$C$147*HX12,InputData!$C$147*InputData!$C$148)+InputData!$C$149*HX12,0)</f>
        <v>3715.85098244854</v>
      </c>
      <c r="IG12" s="32">
        <f>IF(HZ12&lt;0,0,IF(HZ12&lt;=InputData!$B$163,InputData!$C$163*HZ12,IF(HZ12&lt;=InputData!$B$164,InputData!$D$163+InputData!$C$164*(HZ12-InputData!$B$163),IF(HZ12&lt;=InputData!$B$165,InputData!$D$164+InputData!$C$165*(HZ12-InputData!$B$164),InputData!$D$165+InputData!$C$166*(HZ12-InputData!$B$165)))))</f>
        <v>0</v>
      </c>
      <c r="IH12" s="43">
        <f t="shared" si="98"/>
        <v>0.191214535815764</v>
      </c>
      <c r="II12" s="43">
        <f t="shared" si="99"/>
        <v>0.13748863677497211</v>
      </c>
      <c r="IJ12" s="5">
        <f t="shared" si="100"/>
        <v>58266.076809737235</v>
      </c>
      <c r="IK12" s="32">
        <f>IJ12/((1+InputData!$C$7)^(Ophtha!$B12-Ophtha!$B$7))</f>
        <v>50260.829687681769</v>
      </c>
      <c r="IL12" s="5">
        <f t="shared" si="101"/>
        <v>311474.37448667729</v>
      </c>
      <c r="IN12" s="93">
        <f t="shared" si="25"/>
        <v>2</v>
      </c>
      <c r="IO12" s="5" t="str">
        <f t="shared" si="26"/>
        <v>Residency (O3&lt;=2 = (BP+BAH+BAS+VSP)*12)</v>
      </c>
      <c r="IP12" s="5">
        <f t="shared" si="27"/>
        <v>51025.919999999998</v>
      </c>
      <c r="IQ12" s="5">
        <f t="shared" si="28"/>
        <v>19939.199999999997</v>
      </c>
      <c r="IR12" s="5">
        <f t="shared" si="29"/>
        <v>70965.119999999995</v>
      </c>
      <c r="IS12" s="5">
        <f t="shared" si="30"/>
        <v>48573.21545684366</v>
      </c>
      <c r="IT12" s="5">
        <f t="shared" si="31"/>
        <v>18980.766199553032</v>
      </c>
      <c r="IU12" s="32">
        <f>IF(IS12-InputData!$C$158-InputData!$C$159&gt;=0,IS12-InputData!$C$158-InputData!$C$159,0)</f>
        <v>48573.21545684366</v>
      </c>
      <c r="IV12" s="32">
        <f>IF(IS12-IF(IS12&lt;=InputData!$C$146,InputData!$C$145,0)-MAX(InputData!$C$144,JB12)&gt;=0,IS12-IF(IS12&lt;=InputData!$C$146,InputData!$C$145,0)-MAX(InputData!$C$144,JB12),0)</f>
        <v>38573.21545684366</v>
      </c>
      <c r="IW12" s="32">
        <f>IF(IV12&lt;0,"Error",IF(IV12&lt;=InputData!$B$170,InputData!$C$170*IV12,IF(IV12&lt;=InputData!$B$171,InputData!$D$170+InputData!$C$171*(IV12-InputData!$B$170),IF(IV12&lt;=InputData!$B$172,InputData!$D$171+InputData!$C$172*(IV12-InputData!$B$171),IF(IV12&lt;=InputData!$B$173,InputData!$D$172+InputData!$C$173*(IV12-InputData!$B$172),IF(IV12&lt;=InputData!$B$174,InputData!$D$173+InputData!$C$174*(IV12-InputData!$B$173),IF(IV12&lt;=InputData!$B$175,InputData!$D$174+InputData!$C$175*(IV12-InputData!$B$174),InputData!$D$175+InputData!$C$176*(IV12-InputData!$B$175))))))))</f>
        <v>5572.053864210915</v>
      </c>
      <c r="IX12" s="32">
        <f>IF(IS12&lt;=InputData!$C$150,InputData!$C$152,IF(IS12&lt;InputData!$C$151,IF(InputData!$C$152-0.25*IF(IS12-InputData!$C$150&lt;=0,0,IS12-InputData!$C$150)&lt;=0,0,InputData!$C$152-0.25*IF(IS12-InputData!$C$150&lt;=0,0,IS12-InputData!$C$150)),0))</f>
        <v>51900</v>
      </c>
      <c r="IY12" s="32">
        <f>IF(IS12-IX12&lt;=0,0,IF(IS12-IX12&lt;=InputData!$C$153,InputData!$C$154*(IS12-IX12),InputData!$C$155*(IS12-IX12)-InputData!$D$154))</f>
        <v>0</v>
      </c>
      <c r="IZ12" s="32">
        <f t="shared" si="102"/>
        <v>5572.053864210915</v>
      </c>
      <c r="JA12" s="32">
        <f>IF(IS12&gt;=0,IF(IS12&lt;=InputData!$C$148,InputData!$C$147*IS12,InputData!$C$147*InputData!$C$148)+InputData!$C$149*IS12,0)</f>
        <v>3715.85098244854</v>
      </c>
      <c r="JB12" s="32">
        <f>IF(IU12&lt;0,0,IF(IU12&lt;=InputData!$B$163,InputData!$C$163*IU12,IF(IU12&lt;=InputData!$B$164,InputData!$D$163+InputData!$C$164*(IU12-InputData!$B$163),IF(IU12&lt;=InputData!$B$165,InputData!$D$164+InputData!$C$165*(IU12-InputData!$B$164),InputData!$D$165+InputData!$C$166*(IU12-InputData!$B$165)))))</f>
        <v>0</v>
      </c>
      <c r="JC12" s="43">
        <f t="shared" si="103"/>
        <v>0.191214535815764</v>
      </c>
      <c r="JD12" s="43">
        <f t="shared" si="104"/>
        <v>0.13748863677497211</v>
      </c>
      <c r="JE12" s="5">
        <f t="shared" si="105"/>
        <v>58266.076809737235</v>
      </c>
      <c r="JF12" s="32">
        <f>JE12/((1+InputData!$C$7)^(Ophtha!$B12-Ophtha!$B$7))</f>
        <v>50260.829687681769</v>
      </c>
      <c r="JG12" s="5">
        <f t="shared" si="106"/>
        <v>219350.65217600405</v>
      </c>
      <c r="JI12" s="41" t="str">
        <f t="shared" si="32"/>
        <v>Residency</v>
      </c>
      <c r="JJ12" s="5">
        <f t="shared" si="33"/>
        <v>57614.443391174405</v>
      </c>
      <c r="JK12" s="32">
        <v>0</v>
      </c>
      <c r="JL12" s="32">
        <f t="shared" si="108"/>
        <v>57614.443391174405</v>
      </c>
      <c r="JM12" s="32">
        <f>JM11*(1+InputData!$C$8)</f>
        <v>12685.888428768003</v>
      </c>
      <c r="JN12" s="32">
        <f>JJ12/((1+InputData!$C$3)^(Ophtha!$B12-Ophtha!$B$7))</f>
        <v>52183.176470588238</v>
      </c>
      <c r="JO12" s="32">
        <f>JK12/((1+InputData!$C$3)^(Ophtha!$B12-Ophtha!$B$7))</f>
        <v>0</v>
      </c>
      <c r="JP12" s="32" t="s">
        <v>140</v>
      </c>
      <c r="JQ12" s="32">
        <v>0</v>
      </c>
      <c r="JR12" s="118">
        <f>JU10+0.5*JR10*InputData!$C$6</f>
        <v>0</v>
      </c>
      <c r="JS12" s="32">
        <f>(JR12)*InputData!$C$6</f>
        <v>0</v>
      </c>
      <c r="JT12" s="32">
        <v>0</v>
      </c>
      <c r="JU12" s="32">
        <f>JU11+JQ12+JS12-JT12</f>
        <v>0</v>
      </c>
      <c r="JV12" s="32">
        <f>JT12/((1+InputData!$C$3)^(Ophtha!$B12-Ophtha!$B$7))</f>
        <v>0</v>
      </c>
      <c r="JW12" s="32">
        <f>IF(JN12-InputData!$C$158-InputData!$C$159&gt;=0,JN12-InputData!$C$158-InputData!$C$159,0)</f>
        <v>52183.176470588238</v>
      </c>
      <c r="JX12" s="32">
        <f>IF(JN12-IF(JN12&lt;=InputData!$C$146,InputData!$C$145,0)-MAX(InputData!$C$144,KD12)&gt;=0,JN12-IF(JN12&lt;=InputData!$C$146,InputData!$C$145,0)-MAX(InputData!$C$144,KD12),0)</f>
        <v>42183.176470588238</v>
      </c>
      <c r="JY12" s="32">
        <f>IF(JX12&lt;0,"Error",IF(JX12&lt;=InputData!$B$170,InputData!$C$170*JX12,IF(JX12&lt;=InputData!$B$171,InputData!$D$170+InputData!$C$171*(JX12-InputData!$B$170),IF(JX12&lt;=InputData!$B$172,InputData!$D$171+InputData!$C$172*(JX12-InputData!$B$171),IF(JX12&lt;=InputData!$B$173,InputData!$D$172+InputData!$C$173*(JX12-InputData!$B$172),IF(JX12&lt;=InputData!$B$174,InputData!$D$173+InputData!$C$174*(JX12-InputData!$B$173),IF(JX12&lt;=InputData!$B$175,InputData!$D$174+InputData!$C$175*(JX12-InputData!$B$174),InputData!$D$175+InputData!$C$176*(JX12-InputData!$B$175))))))))</f>
        <v>6474.5441176470595</v>
      </c>
      <c r="JZ12" s="32">
        <f>IF(JN12&lt;=InputData!$C$150,InputData!$C$152,IF(JN12&lt;InputData!$C$151,IF(InputData!$C$152-0.25*IF(JN12-InputData!$C$150&lt;=0,0,JN12-InputData!$C$150)&lt;=0,0,InputData!$C$152-0.25*IF(JN12-InputData!$C$150&lt;=0,0,JN12-InputData!$C$150)),0))</f>
        <v>51900</v>
      </c>
      <c r="KA12" s="32">
        <f>IF(JN12-JZ12&lt;=0,0,IF(JN12-JZ12&lt;=InputData!$C$153,InputData!$C$154*(JN12-JZ12),InputData!$C$155*(JN12-JZ12)-InputData!$D$154))</f>
        <v>73.625882352941844</v>
      </c>
      <c r="KB12" s="32">
        <f t="shared" si="109"/>
        <v>6474.5441176470595</v>
      </c>
      <c r="KC12" s="32">
        <f>IF(JN12&gt;=0,IF(JN12&lt;=InputData!$C$148,InputData!$C$147*JN12,InputData!$C$147*InputData!$C$148)+InputData!$C$149*JN12,0)</f>
        <v>3992.0129999999999</v>
      </c>
      <c r="KD12" s="32">
        <f>IF(JW12&lt;0,0,IF(JW12&lt;=InputData!$B$163,InputData!$C$163*JW12,IF(JW12&lt;=InputData!$B$164,InputData!$D$163+InputData!$C$164*(JW12-InputData!$B$163),IF(JW12&lt;=InputData!$B$165,InputData!$D$164+InputData!$C$165*(JW12-InputData!$B$164),InputData!$D$165+InputData!$C$166*(JW12-InputData!$B$165)))))</f>
        <v>0</v>
      </c>
      <c r="KE12" s="43">
        <f t="shared" si="34"/>
        <v>0.20057339981107275</v>
      </c>
      <c r="KF12" s="32">
        <f t="shared" si="35"/>
        <v>41716.619352941183</v>
      </c>
      <c r="KG12" s="32">
        <f t="shared" si="110"/>
        <v>41716.619352941183</v>
      </c>
      <c r="KH12" s="32">
        <f>KG12/((1+InputData!$C$7)^(Ophtha!$B12-Ophtha!$B$7))</f>
        <v>35985.12230865749</v>
      </c>
      <c r="KI12" s="5">
        <f t="shared" si="129"/>
        <v>71871.450910563319</v>
      </c>
    </row>
    <row r="13" spans="1:295" ht="14.45" x14ac:dyDescent="0.3">
      <c r="A13" s="4">
        <v>2019</v>
      </c>
      <c r="B13" s="51">
        <v>7</v>
      </c>
      <c r="C13" s="4"/>
      <c r="D13" s="3">
        <v>3</v>
      </c>
      <c r="E13" s="97" t="s">
        <v>256</v>
      </c>
      <c r="F13" s="5">
        <f>InputData!$D$24*12</f>
        <v>52174.799999999996</v>
      </c>
      <c r="G13" s="5">
        <f>(InputData!$D$24+InputData!$D$45)*12</f>
        <v>57174.719999999994</v>
      </c>
      <c r="H13" s="5">
        <f>(InputData!$C$35+InputData!$C$40)*12</f>
        <v>19939.199999999997</v>
      </c>
      <c r="I13" s="5">
        <f t="shared" si="36"/>
        <v>77113.919999999984</v>
      </c>
      <c r="J13" s="5">
        <f>G13*((1+InputData!$C$5)/(1+InputData!$C$3))^(Ophtha!$B13-Ophtha!$B$7)</f>
        <v>53892.863362138443</v>
      </c>
      <c r="K13" s="5">
        <f>H13*((1+InputData!$C$5)/(1+InputData!$C$3))^(Ophtha!$B13-Ophtha!$B$7)</f>
        <v>18794.680256420157</v>
      </c>
      <c r="L13" s="32">
        <f>IF(J13-InputData!$C$158-InputData!$C$159&gt;=0,J13-InputData!$C$158-InputData!$C$159,0)</f>
        <v>53892.863362138443</v>
      </c>
      <c r="M13" s="32">
        <f>IF(J13-IF(J13&lt;=InputData!$C$146,InputData!$C$145,0)-MAX(InputData!$C$144,S13)&gt;=0,J13-IF(J13&lt;=InputData!$C$146,InputData!$C$145,0)-MAX(InputData!$C$144,S13),0)</f>
        <v>43892.863362138443</v>
      </c>
      <c r="N13" s="32">
        <f>IF(M13&lt;0,"Error",IF(M13&lt;=InputData!$B$170,InputData!$C$170*M13,IF(M13&lt;=InputData!$B$171,InputData!$D$170+InputData!$C$171*(M13-InputData!$B$170),IF(M13&lt;=InputData!$B$172,InputData!$D$171+InputData!$C$172*(M13-InputData!$B$171),IF(M13&lt;=InputData!$B$173,InputData!$D$172+InputData!$C$173*(M13-InputData!$B$172),IF(M13&lt;=InputData!$B$174,InputData!$D$173+InputData!$C$174*(M13-InputData!$B$173),IF(M13&lt;=InputData!$B$175,InputData!$D$174+InputData!$C$175*(M13-InputData!$B$174),InputData!$D$175+InputData!$C$176*(M13-InputData!$B$175))))))))</f>
        <v>6901.9658405346108</v>
      </c>
      <c r="O13" s="32">
        <f>IF(J13&lt;=InputData!$C$150,InputData!$C$152,IF(J13&lt;InputData!$C$151,IF(InputData!$C$152-0.25*IF(J13-InputData!$C$150&lt;=0,0,J13-InputData!$C$150)&lt;=0,0,InputData!$C$152-0.25*IF(J13-InputData!$C$150&lt;=0,0,J13-InputData!$C$150)),0))</f>
        <v>51900</v>
      </c>
      <c r="P13" s="32">
        <f>IF(J13-O13&lt;=0,0,IF(J13-O13&lt;=InputData!$C$153,InputData!$C$154*(J13-O13),InputData!$C$155*(J13-O13)-InputData!$D$154))</f>
        <v>518.14447415599534</v>
      </c>
      <c r="Q13" s="32">
        <f t="shared" si="37"/>
        <v>6901.9658405346108</v>
      </c>
      <c r="R13" s="32">
        <f>IF(J13&gt;=0,IF(J13&lt;=InputData!$C$148,InputData!$C$147*J13,InputData!$C$147*InputData!$C$148)+InputData!$C$149*J13,0)</f>
        <v>4122.8040472035909</v>
      </c>
      <c r="S13" s="32">
        <f>IF(L13&lt;0,0,IF(L13&lt;=InputData!$B$163,InputData!$C$163*L13,IF(L13&lt;=InputData!$B$164,InputData!$D$163+InputData!$C$164*(L13-InputData!$B$163),IF(L13&lt;=InputData!$B$165,InputData!$D$164+InputData!$C$165*(L13-InputData!$B$164),InputData!$D$165+InputData!$C$166*(L13-InputData!$B$165)))))</f>
        <v>0</v>
      </c>
      <c r="T13" s="43">
        <f t="shared" si="38"/>
        <v>0.20456827119494778</v>
      </c>
      <c r="U13" s="43">
        <f t="shared" si="39"/>
        <v>0.15167344140273514</v>
      </c>
      <c r="V13" s="5">
        <f t="shared" si="40"/>
        <v>61662.773730820394</v>
      </c>
      <c r="W13" s="32">
        <f>V13/((1+InputData!$C$7)^(Ophtha!$B13-Ophtha!$B$7))</f>
        <v>51641.602223008493</v>
      </c>
      <c r="X13" s="5">
        <f t="shared" si="111"/>
        <v>363115.97670968575</v>
      </c>
      <c r="Y13" s="53"/>
      <c r="Z13" s="3">
        <v>3</v>
      </c>
      <c r="AA13" s="97" t="s">
        <v>256</v>
      </c>
      <c r="AB13" s="5">
        <f t="shared" si="136"/>
        <v>52174.799999999996</v>
      </c>
      <c r="AC13" s="5">
        <f t="shared" si="137"/>
        <v>57174.719999999994</v>
      </c>
      <c r="AD13" s="5">
        <f t="shared" si="137"/>
        <v>19939.199999999997</v>
      </c>
      <c r="AE13" s="5">
        <f t="shared" si="41"/>
        <v>77113.919999999984</v>
      </c>
      <c r="AF13" s="5">
        <f>AC13*((1+InputData!$C$5)/(1+InputData!$C$3))^(Ophtha!$B13-Ophtha!$B$7)</f>
        <v>53892.863362138443</v>
      </c>
      <c r="AG13" s="5">
        <f>AD13*((1+InputData!$C$5)/(1+InputData!$C$3))^(Ophtha!$B13-Ophtha!$B$7)</f>
        <v>18794.680256420157</v>
      </c>
      <c r="AH13" s="32">
        <f>IF(AF13-InputData!$C$158-InputData!$C$159&gt;=0,AF13-InputData!$C$158-InputData!$C$159,0)</f>
        <v>53892.863362138443</v>
      </c>
      <c r="AI13" s="32">
        <f>IF(AF13-IF(AF13&lt;=InputData!$C$146,InputData!$C$145,0)-MAX(InputData!$C$144,AO13)&gt;=0,AF13-IF(AF13&lt;=InputData!$C$146,InputData!$C$145,0)-MAX(InputData!$C$144,AO13),0)</f>
        <v>43892.863362138443</v>
      </c>
      <c r="AJ13" s="32">
        <f>IF(AI13&lt;0,"Error",IF(AI13&lt;=InputData!$B$170,InputData!$C$170*AI13,IF(AI13&lt;=InputData!$B$171,InputData!$D$170+InputData!$C$171*(AI13-InputData!$B$170),IF(AI13&lt;=InputData!$B$172,InputData!$D$171+InputData!$C$172*(AI13-InputData!$B$171),IF(AI13&lt;=InputData!$B$173,InputData!$D$172+InputData!$C$173*(AI13-InputData!$B$172),IF(AI13&lt;=InputData!$B$174,InputData!$D$173+InputData!$C$174*(AI13-InputData!$B$173),IF(AI13&lt;=InputData!$B$175,InputData!$D$174+InputData!$C$175*(AI13-InputData!$B$174),InputData!$D$175+InputData!$C$176*(AI13-InputData!$B$175))))))))</f>
        <v>6901.9658405346108</v>
      </c>
      <c r="AK13" s="32">
        <f>IF(AF13&lt;=InputData!$C$150,InputData!$C$152,IF(AF13&lt;InputData!$C$151,IF(InputData!$C$152-0.25*IF(AF13-InputData!$C$150&lt;=0,0,AF13-InputData!$C$150)&lt;=0,0,InputData!$C$152-0.25*IF(AF13-InputData!$C$150&lt;=0,0,AF13-InputData!$C$150)),0))</f>
        <v>51900</v>
      </c>
      <c r="AL13" s="32">
        <f>IF(AF13-AK13&lt;=0,0,IF(AF13-AK13&lt;=InputData!$C$153,InputData!$C$154*(AF13-AK13),InputData!$C$155*(AF13-AK13)-InputData!$D$154))</f>
        <v>518.14447415599534</v>
      </c>
      <c r="AM13" s="32">
        <f t="shared" si="42"/>
        <v>6901.9658405346108</v>
      </c>
      <c r="AN13" s="32">
        <f>IF(AF13&gt;=0,IF(AF13&lt;=InputData!$C$148,InputData!$C$147*AF13,InputData!$C$147*InputData!$C$148)+InputData!$C$149*AF13,0)</f>
        <v>4122.8040472035909</v>
      </c>
      <c r="AO13" s="32">
        <f>IF(AH13&lt;0,0,IF(AH13&lt;=InputData!$B$163,InputData!$C$163*AH13,IF(AH13&lt;=InputData!$B$164,InputData!$D$163+InputData!$C$164*(AH13-InputData!$B$163),IF(AH13&lt;=InputData!$B$165,InputData!$D$164+InputData!$C$165*(AH13-InputData!$B$164),InputData!$D$165+InputData!$C$166*(AH13-InputData!$B$165)))))</f>
        <v>0</v>
      </c>
      <c r="AP13" s="43">
        <f t="shared" si="43"/>
        <v>0.20456827119494778</v>
      </c>
      <c r="AQ13" s="43">
        <f t="shared" si="44"/>
        <v>0.15167344140273514</v>
      </c>
      <c r="AR13" s="5">
        <f t="shared" si="45"/>
        <v>61662.773730820394</v>
      </c>
      <c r="AS13" s="32">
        <f>AR13/((1+InputData!$C$7)^(Ophtha!$B13-Ophtha!$B$7))</f>
        <v>51641.602223008493</v>
      </c>
      <c r="AT13" s="5">
        <f t="shared" si="112"/>
        <v>270992.25439901254</v>
      </c>
      <c r="AU13" s="53"/>
      <c r="AV13" s="41" t="s">
        <v>1</v>
      </c>
      <c r="AW13" s="32">
        <f>AW12*(1+InputData!$C$9)</f>
        <v>61071.309994644871</v>
      </c>
      <c r="AX13" s="32">
        <v>0</v>
      </c>
      <c r="AY13" s="32">
        <f t="shared" si="47"/>
        <v>61071.309994644871</v>
      </c>
      <c r="AZ13" s="32">
        <f>AZ12*(1+InputData!$C$8)</f>
        <v>12939.606197343363</v>
      </c>
      <c r="BA13" s="32">
        <f>AW13/((1+InputData!$C$3)^(Ophtha!$B13-Ophtha!$B$7))</f>
        <v>54229.57554786621</v>
      </c>
      <c r="BB13" s="32">
        <f>AX13/((1+InputData!$C$3)^(Ophtha!$B13-Ophtha!$B$7))</f>
        <v>0</v>
      </c>
      <c r="BC13" s="32" t="s">
        <v>140</v>
      </c>
      <c r="BD13" s="32">
        <v>0</v>
      </c>
      <c r="BE13" s="32">
        <f>$BE$12</f>
        <v>212416.2</v>
      </c>
      <c r="BF13" s="32">
        <f>(BE13)*InputData!$C$6</f>
        <v>13191.046020000002</v>
      </c>
      <c r="BG13" s="32">
        <v>0</v>
      </c>
      <c r="BH13" s="32">
        <f t="shared" ref="BH13:BH36" si="140">BH12+BD13+BF13-BG13</f>
        <v>245393.81505000003</v>
      </c>
      <c r="BI13" s="32">
        <f>BG13/((1+InputData!$C$3)^(Ophtha!$B13-Ophtha!$B$7))</f>
        <v>0</v>
      </c>
      <c r="BJ13" s="32">
        <f>IF(BA13-InputData!$C$158-InputData!$C$159&gt;=0,BA13-InputData!$C$158-InputData!$C$159,0)</f>
        <v>54229.57554786621</v>
      </c>
      <c r="BK13" s="32">
        <f>IF(BA13-IF(BA13&lt;=InputData!$C$146,InputData!$C$145,0)-MAX(InputData!$C$144,BQ13)&gt;=0,BA13-IF(BA13&lt;=InputData!$C$146,InputData!$C$145,0)-MAX(InputData!$C$144,BQ13),0)</f>
        <v>44229.57554786621</v>
      </c>
      <c r="BL13" s="32">
        <f>IF(BK13&lt;0,"Error",IF(BK13&lt;=InputData!$B$170,InputData!$C$170*BK13,IF(BK13&lt;=InputData!$B$171,InputData!$D$170+InputData!$C$171*(BK13-InputData!$B$170),IF(BK13&lt;=InputData!$B$172,InputData!$D$171+InputData!$C$172*(BK13-InputData!$B$171),IF(BK13&lt;=InputData!$B$173,InputData!$D$172+InputData!$C$173*(BK13-InputData!$B$172),IF(BK13&lt;=InputData!$B$174,InputData!$D$173+InputData!$C$174*(BK13-InputData!$B$173),IF(BK13&lt;=InputData!$B$175,InputData!$D$174+InputData!$C$175*(BK13-InputData!$B$174),InputData!$D$175+InputData!$C$176*(BK13-InputData!$B$175))))))))</f>
        <v>6986.1438869665526</v>
      </c>
      <c r="BM13" s="32">
        <f>IF(BA13&lt;=InputData!$C$150,InputData!$C$152,IF(BA13&lt;InputData!$C$151,IF(InputData!$C$152-0.25*IF(BA13-InputData!$C$150&lt;=0,0,BA13-InputData!$C$150)&lt;=0,0,InputData!$C$152-0.25*IF(BA13-InputData!$C$150&lt;=0,0,BA13-InputData!$C$150)),0))</f>
        <v>51900</v>
      </c>
      <c r="BN13" s="32">
        <f>IF(BA13-BM13&lt;=0,0,IF(BA13-BM13&lt;=InputData!$C$153,InputData!$C$154*(BA13-BM13),InputData!$C$155*(BA13-BM13)-InputData!$D$154))</f>
        <v>605.68964244521476</v>
      </c>
      <c r="BO13" s="32">
        <f t="shared" si="48"/>
        <v>6986.1438869665526</v>
      </c>
      <c r="BP13" s="32">
        <f>IF(BA13&gt;=0,IF(BA13&lt;=InputData!$C$148,InputData!$C$147*BA13,InputData!$C$147*InputData!$C$148)+InputData!$C$149*BA13,0)</f>
        <v>4148.5625294117654</v>
      </c>
      <c r="BQ13" s="32">
        <f>IF(BJ13&lt;0,0,IF(BJ13&lt;=InputData!$B$163,InputData!$C$163*BJ13,IF(BJ13&lt;=InputData!$B$164,InputData!$D$163+InputData!$C$164*(BJ13-InputData!$B$163),IF(BJ13&lt;=InputData!$B$165,InputData!$D$164+InputData!$C$165*(BJ13-InputData!$B$164),InputData!$D$165+InputData!$C$166*(BJ13-InputData!$B$165)))))</f>
        <v>0</v>
      </c>
      <c r="BR13" s="43">
        <f t="shared" si="49"/>
        <v>0.20532534698801341</v>
      </c>
      <c r="BS13" s="32">
        <f t="shared" si="50"/>
        <v>43094.869131487896</v>
      </c>
      <c r="BT13" s="32">
        <f t="shared" si="51"/>
        <v>43094.869131487896</v>
      </c>
      <c r="BU13" s="32">
        <f>BT13/((1+InputData!$C$7)^(Ophtha!$B13-Ophtha!$B$7))</f>
        <v>36091.274441463502</v>
      </c>
      <c r="BV13" s="5">
        <f t="shared" si="114"/>
        <v>-82904.654937055282</v>
      </c>
      <c r="BW13" s="5"/>
      <c r="BX13" s="32" t="s">
        <v>140</v>
      </c>
      <c r="BY13" s="5">
        <f t="shared" si="52"/>
        <v>212416.2</v>
      </c>
      <c r="BZ13" s="5">
        <f t="shared" si="53"/>
        <v>13191.046020000002</v>
      </c>
      <c r="CA13" s="5">
        <v>0</v>
      </c>
      <c r="CB13" s="5">
        <f t="shared" si="54"/>
        <v>245393.81505000003</v>
      </c>
      <c r="CC13" s="32">
        <f>CA13/((1+InputData!$C$3)^(Ophtha!$B13-Ophtha!$B$7))</f>
        <v>0</v>
      </c>
      <c r="CD13" s="5">
        <f t="shared" si="55"/>
        <v>43094.869131487896</v>
      </c>
      <c r="CE13" s="32">
        <f>CD13/((1+InputData!$C$7)^(Ophtha!$B13-Ophtha!$B$7))</f>
        <v>36091.274441463502</v>
      </c>
      <c r="CF13" s="5">
        <f t="shared" si="115"/>
        <v>-82904.654937055282</v>
      </c>
      <c r="CG13" s="5"/>
      <c r="CH13" s="32" t="s">
        <v>140</v>
      </c>
      <c r="CI13" s="5">
        <f t="shared" si="56"/>
        <v>212416.2</v>
      </c>
      <c r="CJ13" s="5">
        <f t="shared" si="57"/>
        <v>13191.046020000002</v>
      </c>
      <c r="CK13" s="5">
        <v>0</v>
      </c>
      <c r="CL13" s="5">
        <f t="shared" si="58"/>
        <v>245393.81505000003</v>
      </c>
      <c r="CM13" s="32">
        <f>CK13/((1+InputData!$C$3)^(Ophtha!$B13-Ophtha!$B$7))</f>
        <v>0</v>
      </c>
      <c r="CN13" s="5">
        <f t="shared" si="59"/>
        <v>43094.869131487896</v>
      </c>
      <c r="CO13" s="32">
        <f>CN13/((1+InputData!$C$7)^(Ophtha!$B13-Ophtha!$B$7))</f>
        <v>36091.274441463502</v>
      </c>
      <c r="CP13" s="5">
        <f t="shared" si="116"/>
        <v>-82904.654937055282</v>
      </c>
      <c r="CQ13" s="5"/>
      <c r="CR13" s="32" t="s">
        <v>140</v>
      </c>
      <c r="CS13" s="5">
        <f t="shared" si="60"/>
        <v>212416.2</v>
      </c>
      <c r="CT13" s="5">
        <f t="shared" si="61"/>
        <v>13191.046020000002</v>
      </c>
      <c r="CU13" s="5">
        <v>0</v>
      </c>
      <c r="CV13" s="5">
        <f t="shared" si="62"/>
        <v>245393.81505000003</v>
      </c>
      <c r="CW13" s="32">
        <f>CU13/((1+InputData!$C$3)^(Ophtha!$B13-Ophtha!$B$7))</f>
        <v>0</v>
      </c>
      <c r="CX13" s="5">
        <f t="shared" si="63"/>
        <v>43094.869131487896</v>
      </c>
      <c r="CY13" s="32">
        <f>CX13/((1+InputData!$C$7)^(Ophtha!$B13-Ophtha!$B$7))</f>
        <v>36091.274441463502</v>
      </c>
      <c r="CZ13" s="5">
        <f t="shared" si="117"/>
        <v>-82904.654937055282</v>
      </c>
      <c r="DA13" s="5"/>
      <c r="DB13" s="32" t="s">
        <v>141</v>
      </c>
      <c r="DC13" s="5">
        <f t="shared" ref="DC13:DC36" si="141">DF12</f>
        <v>187984.72386520819</v>
      </c>
      <c r="DD13" s="5">
        <f>DC13*InputData!$C$6</f>
        <v>11673.851352029429</v>
      </c>
      <c r="DE13" s="32">
        <f t="shared" ref="DE13:DE36" si="142">MIN($DD$2,DC13+DD13)</f>
        <v>29148.379963889372</v>
      </c>
      <c r="DF13" s="32">
        <f t="shared" ref="DF13:DF36" si="143">DF12+$BD13+DD13-DE13</f>
        <v>170510.19525334824</v>
      </c>
      <c r="DG13" s="32">
        <f>DE13/((1+InputData!$C$3)^(Ophtha!$B13-Ophtha!$B$7))</f>
        <v>25882.927245023151</v>
      </c>
      <c r="DH13" s="5">
        <f t="shared" si="67"/>
        <v>17211.941886464745</v>
      </c>
      <c r="DI13" s="32">
        <f>DH13/((1+InputData!$C$7)^(Ophtha!$B13-Ophtha!$B$7))</f>
        <v>14414.730356868184</v>
      </c>
      <c r="DJ13" s="5">
        <f t="shared" si="130"/>
        <v>-139317.43128811088</v>
      </c>
      <c r="DK13" s="5"/>
      <c r="DL13" s="32" t="s">
        <v>141</v>
      </c>
      <c r="DM13" s="133">
        <f>IF(0.15*($AY13-1.5*$AZ13)&lt;=$DD$2,DQ12-DO12,DQ12)</f>
        <v>212416.2</v>
      </c>
      <c r="DN13" s="5">
        <f>DM13*InputData!$C$6</f>
        <v>13191.046020000002</v>
      </c>
      <c r="DO13" s="133">
        <f>DO12+DN13-DP13</f>
        <v>15585.858802306171</v>
      </c>
      <c r="DP13" s="32">
        <f t="shared" si="131"/>
        <v>6249.2851047944741</v>
      </c>
      <c r="DQ13" s="32">
        <f t="shared" si="132"/>
        <v>228002.05880230619</v>
      </c>
      <c r="DR13" s="32">
        <f>DP13/((1+InputData!$C$3)^(Ophtha!$B13-Ophtha!$B$7))</f>
        <v>5549.186332179931</v>
      </c>
      <c r="DS13" s="5">
        <f t="shared" si="71"/>
        <v>37545.682799307964</v>
      </c>
      <c r="DT13" s="32">
        <f>DS13/((1+InputData!$C$7)^(Ophtha!$B13-Ophtha!$B$7))</f>
        <v>31443.9182508587</v>
      </c>
      <c r="DU13" s="5">
        <f t="shared" si="133"/>
        <v>-96469.213883902426</v>
      </c>
      <c r="DV13" s="5"/>
      <c r="DW13" s="32" t="s">
        <v>141</v>
      </c>
      <c r="DX13" s="133">
        <f t="shared" ref="DX13:DX36" si="144">IF(0.1*($AY13-1.5*$AZ13)&lt;=$DD$2,EB12-DZ12,MIN(EB12,1.1*$DC$2))</f>
        <v>212416.2</v>
      </c>
      <c r="DY13" s="5">
        <f>DX13*InputData!$C$6</f>
        <v>13191.046020000002</v>
      </c>
      <c r="DZ13" s="133">
        <f t="shared" ref="DZ13:DZ36" si="145">MAX(0,DZ12+DY13-EA13)</f>
        <v>21383.110884870781</v>
      </c>
      <c r="EA13" s="32">
        <f t="shared" ref="EA13:EA36" si="146">IF(0.1*($AY$11-1.5*$AZ13)&lt;=$DD$2,MIN(0.1*($AY13-1.5*$AZ13),$DD$2, DX13+DY13),"DNQ")</f>
        <v>4166.1900698629825</v>
      </c>
      <c r="EB13" s="32">
        <f t="shared" ref="EB13:EB36" si="147">EB12+$BD13+DY13-EA13</f>
        <v>233799.31088487079</v>
      </c>
      <c r="EC13" s="32">
        <f>EA13/((1+InputData!$C$3)^(Ophtha!$B13-Ophtha!$B$7))</f>
        <v>3699.4575547866202</v>
      </c>
      <c r="ED13" s="5">
        <f t="shared" si="75"/>
        <v>39395.411576701277</v>
      </c>
      <c r="EE13" s="32">
        <f>ED13/((1+InputData!$C$7)^(Ophtha!$B13-Ophtha!$B$7))</f>
        <v>32993.036981060301</v>
      </c>
      <c r="EF13" s="5">
        <f t="shared" si="134"/>
        <v>-91947.694234953393</v>
      </c>
      <c r="EG13" s="32"/>
      <c r="EH13" s="133" t="s">
        <v>140</v>
      </c>
      <c r="EI13" s="32">
        <v>0</v>
      </c>
      <c r="EJ13" s="32">
        <f t="shared" si="138"/>
        <v>185472.36</v>
      </c>
      <c r="EK13" s="32">
        <f>(EJ13)*InputData!$C$6</f>
        <v>11517.833556</v>
      </c>
      <c r="EL13" s="32">
        <f t="shared" si="135"/>
        <v>248535.37202399998</v>
      </c>
      <c r="EM13" s="32">
        <f>EM12*(1+InputData!$C$8)</f>
        <v>12939.606197343363</v>
      </c>
      <c r="EN13" s="32">
        <v>0</v>
      </c>
      <c r="EO13" s="32">
        <f>AW13/((1+InputData!$C$3)^(Ophtha!$B13-Ophtha!$B$7))</f>
        <v>54229.57554786621</v>
      </c>
      <c r="EP13" s="32">
        <f>AX13/((1+InputData!$C$3)^(Ophtha!$B13-Ophtha!$B$7))</f>
        <v>0</v>
      </c>
      <c r="EQ13" s="32">
        <v>7149.9</v>
      </c>
      <c r="ER13" s="32">
        <v>3606.2649999999999</v>
      </c>
      <c r="ES13" s="32">
        <v>0</v>
      </c>
      <c r="ET13" s="43">
        <f t="shared" si="139"/>
        <v>0.19834499701193448</v>
      </c>
      <c r="EU13" s="32">
        <f t="shared" si="76"/>
        <v>43473.41054786621</v>
      </c>
      <c r="EV13" s="32">
        <f>EN13/((1+InputData!$C$3)^(Ophtha!$B13-Ophtha!$B$7))</f>
        <v>0</v>
      </c>
      <c r="EW13" s="32">
        <f t="shared" si="77"/>
        <v>43473.41054786621</v>
      </c>
      <c r="EX13" s="32">
        <f>EW13/((1+InputData!$C$7)^(Ophtha!$B13-Ophtha!$B$7))</f>
        <v>36408.29691818307</v>
      </c>
      <c r="EY13" s="5">
        <f t="shared" si="124"/>
        <v>-81978.095972535186</v>
      </c>
      <c r="EZ13" s="79"/>
      <c r="FA13" s="32">
        <f t="shared" si="78"/>
        <v>185472.36</v>
      </c>
      <c r="FB13" s="32">
        <f t="shared" si="79"/>
        <v>11517.833556</v>
      </c>
      <c r="FC13" s="32">
        <f t="shared" si="80"/>
        <v>248535.37202399998</v>
      </c>
      <c r="FD13" s="32">
        <v>0</v>
      </c>
      <c r="FE13" s="32">
        <f>FD13/((1+InputData!$C$3)^(Ophtha!$B13-Ophtha!$B$7))</f>
        <v>0</v>
      </c>
      <c r="FF13" s="5">
        <f t="shared" si="81"/>
        <v>43473.41054786621</v>
      </c>
      <c r="FG13" s="32">
        <f>FF13/((1+InputData!$C$7)^(Ophtha!$B13-Ophtha!$B$7))</f>
        <v>36408.29691818307</v>
      </c>
      <c r="FH13" s="5">
        <f t="shared" si="125"/>
        <v>-81978.095972535186</v>
      </c>
      <c r="FI13" s="79"/>
      <c r="FJ13" s="32">
        <f t="shared" si="82"/>
        <v>185472.36</v>
      </c>
      <c r="FK13" s="32">
        <f t="shared" si="83"/>
        <v>11517.833556</v>
      </c>
      <c r="FL13" s="32">
        <f t="shared" si="84"/>
        <v>248535.37202399998</v>
      </c>
      <c r="FM13" s="32">
        <v>0</v>
      </c>
      <c r="FN13" s="32">
        <f>FM13/((1+InputData!$C$3)^(Ophtha!$B13-Ophtha!$B$7))</f>
        <v>0</v>
      </c>
      <c r="FO13" s="5">
        <f t="shared" si="85"/>
        <v>43473.41054786621</v>
      </c>
      <c r="FP13" s="32">
        <f>FO13/((1+InputData!$C$7)^(Ophtha!$B13-Ophtha!$B$7))</f>
        <v>36408.29691818307</v>
      </c>
      <c r="FQ13" s="5">
        <f t="shared" si="126"/>
        <v>-81978.095972535186</v>
      </c>
      <c r="FR13" s="79"/>
      <c r="FS13" s="32">
        <f t="shared" si="1"/>
        <v>185472.36</v>
      </c>
      <c r="FT13" s="32">
        <f t="shared" si="86"/>
        <v>11517.833556</v>
      </c>
      <c r="FU13" s="32">
        <f t="shared" si="87"/>
        <v>248535.37202399998</v>
      </c>
      <c r="FV13" s="32">
        <v>0</v>
      </c>
      <c r="FW13" s="32">
        <f>FV13/((1+InputData!$C$3)^(Ophtha!$B13-Ophtha!$B$7))</f>
        <v>0</v>
      </c>
      <c r="FX13" s="5">
        <f t="shared" si="88"/>
        <v>43473.41054786621</v>
      </c>
      <c r="FY13" s="32">
        <f>FX13/((1+InputData!$C$7)^(Ophtha!$B13-Ophtha!$B$7))</f>
        <v>36408.29691818307</v>
      </c>
      <c r="FZ13" s="5">
        <f t="shared" si="127"/>
        <v>-81978.095972535186</v>
      </c>
      <c r="GC13" s="3">
        <f t="shared" si="2"/>
        <v>3</v>
      </c>
      <c r="GD13" s="4" t="str">
        <f t="shared" si="3"/>
        <v>Residency (O3&gt;2 = (BP+BAH+BAS+VSP)*12)</v>
      </c>
      <c r="GE13" s="5">
        <f t="shared" si="4"/>
        <v>57174.719999999994</v>
      </c>
      <c r="GF13" s="5">
        <f t="shared" si="5"/>
        <v>19939.199999999997</v>
      </c>
      <c r="GG13" s="5">
        <f t="shared" si="6"/>
        <v>77113.919999999984</v>
      </c>
      <c r="GH13" s="5">
        <f t="shared" si="7"/>
        <v>53892.863362138443</v>
      </c>
      <c r="GI13" s="5">
        <f t="shared" si="8"/>
        <v>18794.680256420157</v>
      </c>
      <c r="GJ13" s="32">
        <f>IF(GH13-InputData!$C$158-InputData!$C$159&gt;=0,GH13-InputData!$C$158-InputData!$C$159,0)</f>
        <v>53892.863362138443</v>
      </c>
      <c r="GK13" s="32">
        <f>IF(GH13-IF(GH13&lt;=InputData!$C$146,InputData!$C$145,0)-MAX(InputData!$C$144,GQ13)&gt;=0,GH13-IF(GH13&lt;=InputData!$C$146,InputData!$C$145,0)-MAX(InputData!$C$144,GQ13),0)</f>
        <v>43892.863362138443</v>
      </c>
      <c r="GL13" s="32">
        <f>IF(GK13&lt;0,"Error",IF(GK13&lt;=InputData!$B$170,InputData!$C$170*GK13,IF(GK13&lt;=InputData!$B$171,InputData!$D$170+InputData!$C$171*(GK13-InputData!$B$170),IF(GK13&lt;=InputData!$B$172,InputData!$D$171+InputData!$C$172*(GK13-InputData!$B$171),IF(GK13&lt;=InputData!$B$173,InputData!$D$172+InputData!$C$173*(GK13-InputData!$B$172),IF(GK13&lt;=InputData!$B$174,InputData!$D$173+InputData!$C$174*(GK13-InputData!$B$173),IF(GK13&lt;=InputData!$B$175,InputData!$D$174+InputData!$C$175*(GK13-InputData!$B$174),InputData!$D$175+InputData!$C$176*(GK13-InputData!$B$175))))))))</f>
        <v>6901.9658405346108</v>
      </c>
      <c r="GM13" s="32">
        <f>IF(GH13&lt;=InputData!$C$150,InputData!$C$152,IF(GH13&lt;InputData!$C$151,IF(InputData!$C$152-0.25*IF(GH13-InputData!$C$150&lt;=0,0,GH13-InputData!$C$150)&lt;=0,0,InputData!$C$152-0.25*IF(GH13-InputData!$C$150&lt;=0,0,GH13-InputData!$C$150)),0))</f>
        <v>51900</v>
      </c>
      <c r="GN13" s="32">
        <f>IF(GH13-GM13&lt;=0,0,IF(GH13-GM13&lt;=InputData!$C$153,InputData!$C$154*(GH13-GM13),InputData!$C$155*(GH13-GM13)-InputData!$D$154))</f>
        <v>518.14447415599534</v>
      </c>
      <c r="GO13" s="32">
        <f t="shared" si="89"/>
        <v>6901.9658405346108</v>
      </c>
      <c r="GP13" s="32">
        <f>IF(GH13&gt;=0,IF(GH13&lt;=InputData!$C$148,InputData!$C$147*GH13,InputData!$C$147*InputData!$C$148)+InputData!$C$149*GH13,0)</f>
        <v>4122.8040472035909</v>
      </c>
      <c r="GQ13" s="32">
        <f>IF(GJ13&lt;0,0,IF(GJ13&lt;=InputData!$B$163,InputData!$C$163*GJ13,IF(GJ13&lt;=InputData!$B$164,InputData!$D$163+InputData!$C$164*(GJ13-InputData!$B$163),IF(GJ13&lt;=InputData!$B$165,InputData!$D$164+InputData!$C$165*(GJ13-InputData!$B$164),InputData!$D$165+InputData!$C$166*(GJ13-InputData!$B$165)))))</f>
        <v>0</v>
      </c>
      <c r="GR13" s="43">
        <f t="shared" si="90"/>
        <v>0.20456827119494778</v>
      </c>
      <c r="GS13" s="43">
        <f t="shared" si="91"/>
        <v>0.15167344140273514</v>
      </c>
      <c r="GT13" s="5">
        <f t="shared" si="9"/>
        <v>61662.773730820394</v>
      </c>
      <c r="GU13" s="32">
        <f>GT13/((1+InputData!$C$7)^(Ophtha!$B13-Ophtha!$B$7))</f>
        <v>51641.602223008493</v>
      </c>
      <c r="GV13" s="32">
        <f t="shared" si="92"/>
        <v>363115.97670968575</v>
      </c>
      <c r="GX13" s="3">
        <f t="shared" si="10"/>
        <v>3</v>
      </c>
      <c r="GY13" s="4" t="str">
        <f t="shared" si="11"/>
        <v>Residency (O3&gt;2 = (BP+BAH+BAS+VSP)*12)</v>
      </c>
      <c r="GZ13" s="5">
        <f t="shared" si="12"/>
        <v>57174.719999999994</v>
      </c>
      <c r="HA13" s="5">
        <f t="shared" si="13"/>
        <v>19939.199999999997</v>
      </c>
      <c r="HB13" s="5">
        <f t="shared" si="14"/>
        <v>77113.919999999984</v>
      </c>
      <c r="HC13" s="5">
        <f t="shared" si="15"/>
        <v>53892.863362138443</v>
      </c>
      <c r="HD13" s="5">
        <f t="shared" si="16"/>
        <v>18794.680256420157</v>
      </c>
      <c r="HE13" s="32">
        <f>IF(HC13-InputData!$C$158-InputData!$C$159&gt;=0,HC13-InputData!$C$158-InputData!$C$159,0)</f>
        <v>53892.863362138443</v>
      </c>
      <c r="HF13" s="32">
        <f>IF(HC13-IF(HC13&lt;=InputData!$C$146,InputData!$C$145,0)-MAX(InputData!$C$144,HL13)&gt;=0,HC13-IF(HC13&lt;=InputData!$C$146,InputData!$C$145,0)-MAX(InputData!$C$144,HL13),0)</f>
        <v>43892.863362138443</v>
      </c>
      <c r="HG13" s="32">
        <f>IF(HF13&lt;0,"Error",IF(HF13&lt;=InputData!$B$170,InputData!$C$170*HF13,IF(HF13&lt;=InputData!$B$171,InputData!$D$170+InputData!$C$171*(HF13-InputData!$B$170),IF(HF13&lt;=InputData!$B$172,InputData!$D$171+InputData!$C$172*(HF13-InputData!$B$171),IF(HF13&lt;=InputData!$B$173,InputData!$D$172+InputData!$C$173*(HF13-InputData!$B$172),IF(HF13&lt;=InputData!$B$174,InputData!$D$173+InputData!$C$174*(HF13-InputData!$B$173),IF(HF13&lt;=InputData!$B$175,InputData!$D$174+InputData!$C$175*(HF13-InputData!$B$174),InputData!$D$175+InputData!$C$176*(HF13-InputData!$B$175))))))))</f>
        <v>6901.9658405346108</v>
      </c>
      <c r="HH13" s="32">
        <f>IF(HC13&lt;=InputData!$C$150,InputData!$C$152,IF(HC13&lt;InputData!$C$151,IF(InputData!$C$152-0.25*IF(HC13-InputData!$C$150&lt;=0,0,HC13-InputData!$C$150)&lt;=0,0,InputData!$C$152-0.25*IF(HC13-InputData!$C$150&lt;=0,0,HC13-InputData!$C$150)),0))</f>
        <v>51900</v>
      </c>
      <c r="HI13" s="32">
        <f>IF(HC13-HH13&lt;=0,0,IF(HC13-HH13&lt;=InputData!$C$153,InputData!$C$154*(HC13-HH13),InputData!$C$155*(HC13-HH13)-InputData!$D$154))</f>
        <v>518.14447415599534</v>
      </c>
      <c r="HJ13" s="32">
        <f t="shared" si="93"/>
        <v>6901.9658405346108</v>
      </c>
      <c r="HK13" s="32">
        <f>IF(HC13&gt;=0,IF(HC13&lt;=InputData!$C$148,InputData!$C$147*HC13,InputData!$C$147*InputData!$C$148)+InputData!$C$149*HC13,0)</f>
        <v>4122.8040472035909</v>
      </c>
      <c r="HL13" s="32">
        <f>IF(HE13&lt;0,0,IF(HE13&lt;=InputData!$B$163,InputData!$C$163*HE13,IF(HE13&lt;=InputData!$B$164,InputData!$D$163+InputData!$C$164*(HE13-InputData!$B$163),IF(HE13&lt;=InputData!$B$165,InputData!$D$164+InputData!$C$165*(HE13-InputData!$B$164),InputData!$D$165+InputData!$C$166*(HE13-InputData!$B$165)))))</f>
        <v>0</v>
      </c>
      <c r="HM13" s="43">
        <f t="shared" si="94"/>
        <v>0.20456827119494778</v>
      </c>
      <c r="HN13" s="43">
        <f t="shared" si="95"/>
        <v>0.15167344140273514</v>
      </c>
      <c r="HO13" s="5">
        <f t="shared" si="17"/>
        <v>61662.773730820394</v>
      </c>
      <c r="HP13" s="32">
        <f>HO13/((1+InputData!$C$7)^(Ophtha!$B13-Ophtha!$B$7))</f>
        <v>51641.602223008493</v>
      </c>
      <c r="HQ13" s="32">
        <f t="shared" si="96"/>
        <v>270992.25439901254</v>
      </c>
      <c r="HS13" s="93">
        <f t="shared" si="18"/>
        <v>3</v>
      </c>
      <c r="HT13" s="5" t="str">
        <f t="shared" si="19"/>
        <v>Residency (O3&gt;2 = (BP+BAH+BAS+VSP)*12)</v>
      </c>
      <c r="HU13" s="5">
        <f t="shared" si="20"/>
        <v>57174.719999999994</v>
      </c>
      <c r="HV13" s="5">
        <f t="shared" si="21"/>
        <v>19939.199999999997</v>
      </c>
      <c r="HW13" s="5">
        <f t="shared" si="22"/>
        <v>77113.919999999984</v>
      </c>
      <c r="HX13" s="5">
        <f t="shared" si="23"/>
        <v>53892.863362138443</v>
      </c>
      <c r="HY13" s="5">
        <f t="shared" si="24"/>
        <v>18794.680256420157</v>
      </c>
      <c r="HZ13" s="32">
        <f>IF(HX13-InputData!$C$158-InputData!$C$159&gt;=0,HX13-InputData!$C$158-InputData!$C$159,0)</f>
        <v>53892.863362138443</v>
      </c>
      <c r="IA13" s="32">
        <f>IF(HX13-IF(HX13&lt;=InputData!$C$146,InputData!$C$145,0)-MAX(InputData!$C$144,IG13)&gt;=0,HX13-IF(HX13&lt;=InputData!$C$146,InputData!$C$145,0)-MAX(InputData!$C$144,IG13),0)</f>
        <v>43892.863362138443</v>
      </c>
      <c r="IB13" s="32">
        <f>IF(IA13&lt;0,"Error",IF(IA13&lt;=InputData!$B$170,InputData!$C$170*IA13,IF(IA13&lt;=InputData!$B$171,InputData!$D$170+InputData!$C$171*(IA13-InputData!$B$170),IF(IA13&lt;=InputData!$B$172,InputData!$D$171+InputData!$C$172*(IA13-InputData!$B$171),IF(IA13&lt;=InputData!$B$173,InputData!$D$172+InputData!$C$173*(IA13-InputData!$B$172),IF(IA13&lt;=InputData!$B$174,InputData!$D$173+InputData!$C$174*(IA13-InputData!$B$173),IF(IA13&lt;=InputData!$B$175,InputData!$D$174+InputData!$C$175*(IA13-InputData!$B$174),InputData!$D$175+InputData!$C$176*(IA13-InputData!$B$175))))))))</f>
        <v>6901.9658405346108</v>
      </c>
      <c r="IC13" s="32">
        <f>IF(HX13&lt;=InputData!$C$150,InputData!$C$152,IF(HX13&lt;InputData!$C$151,IF(InputData!$C$152-0.25*IF(HX13-InputData!$C$150&lt;=0,0,HX13-InputData!$C$150)&lt;=0,0,InputData!$C$152-0.25*IF(HX13-InputData!$C$150&lt;=0,0,HX13-InputData!$C$150)),0))</f>
        <v>51900</v>
      </c>
      <c r="ID13" s="32">
        <f>IF(HX13-IC13&lt;=0,0,IF(HX13-IC13&lt;=InputData!$C$153,InputData!$C$154*(HX13-IC13),InputData!$C$155*(HX13-IC13)-InputData!$D$154))</f>
        <v>518.14447415599534</v>
      </c>
      <c r="IE13" s="32">
        <f t="shared" si="97"/>
        <v>6901.9658405346108</v>
      </c>
      <c r="IF13" s="32">
        <f>IF(HX13&gt;=0,IF(HX13&lt;=InputData!$C$148,InputData!$C$147*HX13,InputData!$C$147*InputData!$C$148)+InputData!$C$149*HX13,0)</f>
        <v>4122.8040472035909</v>
      </c>
      <c r="IG13" s="32">
        <f>IF(HZ13&lt;0,0,IF(HZ13&lt;=InputData!$B$163,InputData!$C$163*HZ13,IF(HZ13&lt;=InputData!$B$164,InputData!$D$163+InputData!$C$164*(HZ13-InputData!$B$163),IF(HZ13&lt;=InputData!$B$165,InputData!$D$164+InputData!$C$165*(HZ13-InputData!$B$164),InputData!$D$165+InputData!$C$166*(HZ13-InputData!$B$165)))))</f>
        <v>0</v>
      </c>
      <c r="IH13" s="43">
        <f t="shared" si="98"/>
        <v>0.20456827119494778</v>
      </c>
      <c r="II13" s="43">
        <f t="shared" si="99"/>
        <v>0.15167344140273514</v>
      </c>
      <c r="IJ13" s="5">
        <f t="shared" si="100"/>
        <v>61662.773730820394</v>
      </c>
      <c r="IK13" s="32">
        <f>IJ13/((1+InputData!$C$7)^(Ophtha!$B13-Ophtha!$B$7))</f>
        <v>51641.602223008493</v>
      </c>
      <c r="IL13" s="5">
        <f t="shared" si="101"/>
        <v>363115.97670968575</v>
      </c>
      <c r="IN13" s="93">
        <f t="shared" si="25"/>
        <v>3</v>
      </c>
      <c r="IO13" s="5" t="str">
        <f t="shared" si="26"/>
        <v>Residency (O3&gt;2 = (BP+BAH+BAS+VSP)*12)</v>
      </c>
      <c r="IP13" s="5">
        <f t="shared" si="27"/>
        <v>57174.719999999994</v>
      </c>
      <c r="IQ13" s="5">
        <f t="shared" si="28"/>
        <v>19939.199999999997</v>
      </c>
      <c r="IR13" s="5">
        <f t="shared" si="29"/>
        <v>77113.919999999984</v>
      </c>
      <c r="IS13" s="5">
        <f t="shared" si="30"/>
        <v>53892.863362138443</v>
      </c>
      <c r="IT13" s="5">
        <f t="shared" si="31"/>
        <v>18794.680256420157</v>
      </c>
      <c r="IU13" s="32">
        <f>IF(IS13-InputData!$C$158-InputData!$C$159&gt;=0,IS13-InputData!$C$158-InputData!$C$159,0)</f>
        <v>53892.863362138443</v>
      </c>
      <c r="IV13" s="32">
        <f>IF(IS13-IF(IS13&lt;=InputData!$C$146,InputData!$C$145,0)-MAX(InputData!$C$144,JB13)&gt;=0,IS13-IF(IS13&lt;=InputData!$C$146,InputData!$C$145,0)-MAX(InputData!$C$144,JB13),0)</f>
        <v>43892.863362138443</v>
      </c>
      <c r="IW13" s="32">
        <f>IF(IV13&lt;0,"Error",IF(IV13&lt;=InputData!$B$170,InputData!$C$170*IV13,IF(IV13&lt;=InputData!$B$171,InputData!$D$170+InputData!$C$171*(IV13-InputData!$B$170),IF(IV13&lt;=InputData!$B$172,InputData!$D$171+InputData!$C$172*(IV13-InputData!$B$171),IF(IV13&lt;=InputData!$B$173,InputData!$D$172+InputData!$C$173*(IV13-InputData!$B$172),IF(IV13&lt;=InputData!$B$174,InputData!$D$173+InputData!$C$174*(IV13-InputData!$B$173),IF(IV13&lt;=InputData!$B$175,InputData!$D$174+InputData!$C$175*(IV13-InputData!$B$174),InputData!$D$175+InputData!$C$176*(IV13-InputData!$B$175))))))))</f>
        <v>6901.9658405346108</v>
      </c>
      <c r="IX13" s="32">
        <f>IF(IS13&lt;=InputData!$C$150,InputData!$C$152,IF(IS13&lt;InputData!$C$151,IF(InputData!$C$152-0.25*IF(IS13-InputData!$C$150&lt;=0,0,IS13-InputData!$C$150)&lt;=0,0,InputData!$C$152-0.25*IF(IS13-InputData!$C$150&lt;=0,0,IS13-InputData!$C$150)),0))</f>
        <v>51900</v>
      </c>
      <c r="IY13" s="32">
        <f>IF(IS13-IX13&lt;=0,0,IF(IS13-IX13&lt;=InputData!$C$153,InputData!$C$154*(IS13-IX13),InputData!$C$155*(IS13-IX13)-InputData!$D$154))</f>
        <v>518.14447415599534</v>
      </c>
      <c r="IZ13" s="32">
        <f t="shared" si="102"/>
        <v>6901.9658405346108</v>
      </c>
      <c r="JA13" s="32">
        <f>IF(IS13&gt;=0,IF(IS13&lt;=InputData!$C$148,InputData!$C$147*IS13,InputData!$C$147*InputData!$C$148)+InputData!$C$149*IS13,0)</f>
        <v>4122.8040472035909</v>
      </c>
      <c r="JB13" s="32">
        <f>IF(IU13&lt;0,0,IF(IU13&lt;=InputData!$B$163,InputData!$C$163*IU13,IF(IU13&lt;=InputData!$B$164,InputData!$D$163+InputData!$C$164*(IU13-InputData!$B$163),IF(IU13&lt;=InputData!$B$165,InputData!$D$164+InputData!$C$165*(IU13-InputData!$B$164),InputData!$D$165+InputData!$C$166*(IU13-InputData!$B$165)))))</f>
        <v>0</v>
      </c>
      <c r="JC13" s="43">
        <f t="shared" si="103"/>
        <v>0.20456827119494778</v>
      </c>
      <c r="JD13" s="43">
        <f t="shared" si="104"/>
        <v>0.15167344140273514</v>
      </c>
      <c r="JE13" s="5">
        <f t="shared" si="105"/>
        <v>61662.773730820394</v>
      </c>
      <c r="JF13" s="32">
        <f>JE13/((1+InputData!$C$7)^(Ophtha!$B13-Ophtha!$B$7))</f>
        <v>51641.602223008493</v>
      </c>
      <c r="JG13" s="5">
        <f t="shared" si="106"/>
        <v>270992.25439901254</v>
      </c>
      <c r="JI13" s="41" t="str">
        <f t="shared" si="32"/>
        <v>Residency</v>
      </c>
      <c r="JJ13" s="5">
        <f t="shared" si="33"/>
        <v>61071.309994644871</v>
      </c>
      <c r="JK13" s="32">
        <v>0</v>
      </c>
      <c r="JL13" s="32">
        <f t="shared" si="108"/>
        <v>61071.309994644871</v>
      </c>
      <c r="JM13" s="32">
        <f>JM12*(1+InputData!$C$8)</f>
        <v>12939.606197343363</v>
      </c>
      <c r="JN13" s="32">
        <f>JJ13/((1+InputData!$C$3)^(Ophtha!$B13-Ophtha!$B$7))</f>
        <v>54229.57554786621</v>
      </c>
      <c r="JO13" s="32">
        <f>JK13/((1+InputData!$C$3)^(Ophtha!$B13-Ophtha!$B$7))</f>
        <v>0</v>
      </c>
      <c r="JP13" s="32" t="s">
        <v>140</v>
      </c>
      <c r="JQ13" s="32">
        <v>0</v>
      </c>
      <c r="JR13" s="32">
        <f>JR12</f>
        <v>0</v>
      </c>
      <c r="JS13" s="32">
        <f>(JR13)*InputData!$C$6</f>
        <v>0</v>
      </c>
      <c r="JT13" s="32">
        <v>0</v>
      </c>
      <c r="JU13" s="32">
        <f t="shared" ref="JU13:JU36" si="148">JU12+JQ13+JS13-JT13</f>
        <v>0</v>
      </c>
      <c r="JV13" s="32">
        <f>JT13/((1+InputData!$C$3)^(Ophtha!$B13-Ophtha!$B$7))</f>
        <v>0</v>
      </c>
      <c r="JW13" s="32">
        <f>IF(JN13-InputData!$C$158-InputData!$C$159&gt;=0,JN13-InputData!$C$158-InputData!$C$159,0)</f>
        <v>54229.57554786621</v>
      </c>
      <c r="JX13" s="32">
        <f>IF(JN13-IF(JN13&lt;=InputData!$C$146,InputData!$C$145,0)-MAX(InputData!$C$144,KD13)&gt;=0,JN13-IF(JN13&lt;=InputData!$C$146,InputData!$C$145,0)-MAX(InputData!$C$144,KD13),0)</f>
        <v>44229.57554786621</v>
      </c>
      <c r="JY13" s="32">
        <f>IF(JX13&lt;0,"Error",IF(JX13&lt;=InputData!$B$170,InputData!$C$170*JX13,IF(JX13&lt;=InputData!$B$171,InputData!$D$170+InputData!$C$171*(JX13-InputData!$B$170),IF(JX13&lt;=InputData!$B$172,InputData!$D$171+InputData!$C$172*(JX13-InputData!$B$171),IF(JX13&lt;=InputData!$B$173,InputData!$D$172+InputData!$C$173*(JX13-InputData!$B$172),IF(JX13&lt;=InputData!$B$174,InputData!$D$173+InputData!$C$174*(JX13-InputData!$B$173),IF(JX13&lt;=InputData!$B$175,InputData!$D$174+InputData!$C$175*(JX13-InputData!$B$174),InputData!$D$175+InputData!$C$176*(JX13-InputData!$B$175))))))))</f>
        <v>6986.1438869665526</v>
      </c>
      <c r="JZ13" s="32">
        <f>IF(JN13&lt;=InputData!$C$150,InputData!$C$152,IF(JN13&lt;InputData!$C$151,IF(InputData!$C$152-0.25*IF(JN13-InputData!$C$150&lt;=0,0,JN13-InputData!$C$150)&lt;=0,0,InputData!$C$152-0.25*IF(JN13-InputData!$C$150&lt;=0,0,JN13-InputData!$C$150)),0))</f>
        <v>51900</v>
      </c>
      <c r="KA13" s="32">
        <f>IF(JN13-JZ13&lt;=0,0,IF(JN13-JZ13&lt;=InputData!$C$153,InputData!$C$154*(JN13-JZ13),InputData!$C$155*(JN13-JZ13)-InputData!$D$154))</f>
        <v>605.68964244521476</v>
      </c>
      <c r="KB13" s="32">
        <f t="shared" si="109"/>
        <v>6986.1438869665526</v>
      </c>
      <c r="KC13" s="32">
        <f>IF(JN13&gt;=0,IF(JN13&lt;=InputData!$C$148,InputData!$C$147*JN13,InputData!$C$147*InputData!$C$148)+InputData!$C$149*JN13,0)</f>
        <v>4148.5625294117654</v>
      </c>
      <c r="KD13" s="32">
        <f>IF(JW13&lt;0,0,IF(JW13&lt;=InputData!$B$163,InputData!$C$163*JW13,IF(JW13&lt;=InputData!$B$164,InputData!$D$163+InputData!$C$164*(JW13-InputData!$B$163),IF(JW13&lt;=InputData!$B$165,InputData!$D$164+InputData!$C$165*(JW13-InputData!$B$164),InputData!$D$165+InputData!$C$166*(JW13-InputData!$B$165)))))</f>
        <v>0</v>
      </c>
      <c r="KE13" s="43">
        <f t="shared" si="34"/>
        <v>0.20532534698801341</v>
      </c>
      <c r="KF13" s="32">
        <f t="shared" si="35"/>
        <v>43094.869131487896</v>
      </c>
      <c r="KG13" s="32">
        <f t="shared" si="110"/>
        <v>43094.869131487896</v>
      </c>
      <c r="KH13" s="32">
        <f>KG13/((1+InputData!$C$7)^(Ophtha!$B13-Ophtha!$B$7))</f>
        <v>36091.274441463502</v>
      </c>
      <c r="KI13" s="5">
        <f t="shared" si="129"/>
        <v>107962.72535202681</v>
      </c>
    </row>
    <row r="14" spans="1:295" ht="14.45" x14ac:dyDescent="0.3">
      <c r="A14" s="4">
        <v>2020</v>
      </c>
      <c r="B14" s="51">
        <v>8</v>
      </c>
      <c r="C14" s="4"/>
      <c r="D14" s="3">
        <v>4</v>
      </c>
      <c r="E14" s="96" t="s">
        <v>274</v>
      </c>
      <c r="F14" s="5">
        <f>InputData!$E$24*12</f>
        <v>56314.799999999996</v>
      </c>
      <c r="G14" s="32">
        <f>(InputData!$E$24+InputData!$D$45)*12</f>
        <v>61314.719999999994</v>
      </c>
      <c r="H14" s="32">
        <f>(InputData!$C$35+InputData!$C$40)*12</f>
        <v>19939.199999999997</v>
      </c>
      <c r="I14" s="32">
        <f t="shared" si="36"/>
        <v>81253.919999999984</v>
      </c>
      <c r="J14" s="32">
        <f>G14*((1+InputData!$C$5)/(1+InputData!$C$3))^(Ophtha!$B14-Ophtha!$B$7)</f>
        <v>57228.605499249563</v>
      </c>
      <c r="K14" s="32">
        <f>H14*((1+InputData!$C$5)/(1+InputData!$C$3))^(Ophtha!$B14-Ophtha!$B$7)</f>
        <v>18610.418685278786</v>
      </c>
      <c r="L14" s="32">
        <f>IF(J14-InputData!$C$158-InputData!$C$159&gt;=0,J14-InputData!$C$158-InputData!$C$159,0)</f>
        <v>57228.605499249563</v>
      </c>
      <c r="M14" s="32">
        <f>IF(J14-IF(J14&lt;=InputData!$C$146,InputData!$C$145,0)-MAX(InputData!$C$144,S14)&gt;=0,J14-IF(J14&lt;=InputData!$C$146,InputData!$C$145,0)-MAX(InputData!$C$144,S14),0)</f>
        <v>47228.605499249563</v>
      </c>
      <c r="N14" s="32">
        <f>IF(M14&lt;0,"Error",IF(M14&lt;=InputData!$B$170,InputData!$C$170*M14,IF(M14&lt;=InputData!$B$171,InputData!$D$170+InputData!$C$171*(M14-InputData!$B$170),IF(M14&lt;=InputData!$B$172,InputData!$D$171+InputData!$C$172*(M14-InputData!$B$171),IF(M14&lt;=InputData!$B$173,InputData!$D$172+InputData!$C$173*(M14-InputData!$B$172),IF(M14&lt;=InputData!$B$174,InputData!$D$173+InputData!$C$174*(M14-InputData!$B$173),IF(M14&lt;=InputData!$B$175,InputData!$D$174+InputData!$C$175*(M14-InputData!$B$174),InputData!$D$175+InputData!$C$176*(M14-InputData!$B$175))))))))</f>
        <v>7735.9013748123907</v>
      </c>
      <c r="O14" s="32">
        <f>IF(J14&lt;=InputData!$C$150,InputData!$C$152,IF(J14&lt;InputData!$C$151,IF(InputData!$C$152-0.25*IF(J14-InputData!$C$150&lt;=0,0,J14-InputData!$C$150)&lt;=0,0,InputData!$C$152-0.25*IF(J14-InputData!$C$150&lt;=0,0,J14-InputData!$C$150)),0))</f>
        <v>51900</v>
      </c>
      <c r="P14" s="32">
        <f>IF(J14-O14&lt;=0,0,IF(J14-O14&lt;=InputData!$C$153,InputData!$C$154*(J14-O14),InputData!$C$155*(J14-O14)-InputData!$D$154))</f>
        <v>1385.4374298048863</v>
      </c>
      <c r="Q14" s="32">
        <f t="shared" si="37"/>
        <v>7735.9013748123907</v>
      </c>
      <c r="R14" s="32">
        <f>IF(J14&gt;=0,IF(J14&lt;=InputData!$C$148,InputData!$C$147*J14,InputData!$C$147*InputData!$C$148)+InputData!$C$149*J14,0)</f>
        <v>4377.9883206925915</v>
      </c>
      <c r="S14" s="32">
        <f>IF(L14&lt;0,0,IF(L14&lt;=InputData!$B$163,InputData!$C$163*L14,IF(L14&lt;=InputData!$B$164,InputData!$D$163+InputData!$C$164*(L14-InputData!$B$163),IF(L14&lt;=InputData!$B$165,InputData!$D$164+InputData!$C$165*(L14-InputData!$B$164),InputData!$D$165+InputData!$C$166*(L14-InputData!$B$165)))))</f>
        <v>0</v>
      </c>
      <c r="T14" s="43">
        <f t="shared" si="38"/>
        <v>0.21167543031716599</v>
      </c>
      <c r="U14" s="43">
        <f t="shared" si="39"/>
        <v>0.15973161345048389</v>
      </c>
      <c r="V14" s="5">
        <f t="shared" si="40"/>
        <v>63725.134489023359</v>
      </c>
      <c r="W14" s="32">
        <f>V14/((1+InputData!$C$7)^(Ophtha!$B14-Ophtha!$B$7))</f>
        <v>51814.365912238478</v>
      </c>
      <c r="X14" s="5">
        <f t="shared" si="111"/>
        <v>414930.34262192424</v>
      </c>
      <c r="Y14" s="53"/>
      <c r="Z14" s="3">
        <v>4</v>
      </c>
      <c r="AA14" s="96" t="s">
        <v>280</v>
      </c>
      <c r="AB14" s="5">
        <f t="shared" si="136"/>
        <v>56314.799999999996</v>
      </c>
      <c r="AC14" s="32">
        <f t="shared" si="137"/>
        <v>61314.719999999994</v>
      </c>
      <c r="AD14" s="32">
        <f t="shared" si="137"/>
        <v>19939.199999999997</v>
      </c>
      <c r="AE14" s="32">
        <f t="shared" si="41"/>
        <v>81253.919999999984</v>
      </c>
      <c r="AF14" s="5">
        <f>AC14*((1+InputData!$C$5)/(1+InputData!$C$3))^(Ophtha!$B14-Ophtha!$B$7)</f>
        <v>57228.605499249563</v>
      </c>
      <c r="AG14" s="5">
        <f>AD14*((1+InputData!$C$5)/(1+InputData!$C$3))^(Ophtha!$B14-Ophtha!$B$7)</f>
        <v>18610.418685278786</v>
      </c>
      <c r="AH14" s="32">
        <f>IF(AF14-InputData!$C$158-InputData!$C$159&gt;=0,AF14-InputData!$C$158-InputData!$C$159,0)</f>
        <v>57228.605499249563</v>
      </c>
      <c r="AI14" s="32">
        <f>IF(AF14-IF(AF14&lt;=InputData!$C$146,InputData!$C$145,0)-MAX(InputData!$C$144,AO14)&gt;=0,AF14-IF(AF14&lt;=InputData!$C$146,InputData!$C$145,0)-MAX(InputData!$C$144,AO14),0)</f>
        <v>47228.605499249563</v>
      </c>
      <c r="AJ14" s="32">
        <f>IF(AI14&lt;0,"Error",IF(AI14&lt;=InputData!$B$170,InputData!$C$170*AI14,IF(AI14&lt;=InputData!$B$171,InputData!$D$170+InputData!$C$171*(AI14-InputData!$B$170),IF(AI14&lt;=InputData!$B$172,InputData!$D$171+InputData!$C$172*(AI14-InputData!$B$171),IF(AI14&lt;=InputData!$B$173,InputData!$D$172+InputData!$C$173*(AI14-InputData!$B$172),IF(AI14&lt;=InputData!$B$174,InputData!$D$173+InputData!$C$174*(AI14-InputData!$B$173),IF(AI14&lt;=InputData!$B$175,InputData!$D$174+InputData!$C$175*(AI14-InputData!$B$174),InputData!$D$175+InputData!$C$176*(AI14-InputData!$B$175))))))))</f>
        <v>7735.9013748123907</v>
      </c>
      <c r="AK14" s="32">
        <f>IF(AF14&lt;=InputData!$C$150,InputData!$C$152,IF(AF14&lt;InputData!$C$151,IF(InputData!$C$152-0.25*IF(AF14-InputData!$C$150&lt;=0,0,AF14-InputData!$C$150)&lt;=0,0,InputData!$C$152-0.25*IF(AF14-InputData!$C$150&lt;=0,0,AF14-InputData!$C$150)),0))</f>
        <v>51900</v>
      </c>
      <c r="AL14" s="32">
        <f>IF(AF14-AK14&lt;=0,0,IF(AF14-AK14&lt;=InputData!$C$153,InputData!$C$154*(AF14-AK14),InputData!$C$155*(AF14-AK14)-InputData!$D$154))</f>
        <v>1385.4374298048863</v>
      </c>
      <c r="AM14" s="32">
        <f t="shared" si="42"/>
        <v>7735.9013748123907</v>
      </c>
      <c r="AN14" s="32">
        <f>IF(AF14&gt;=0,IF(AF14&lt;=InputData!$C$148,InputData!$C$147*AF14,InputData!$C$147*InputData!$C$148)+InputData!$C$149*AF14,0)</f>
        <v>4377.9883206925915</v>
      </c>
      <c r="AO14" s="32">
        <f>IF(AH14&lt;0,0,IF(AH14&lt;=InputData!$B$163,InputData!$C$163*AH14,IF(AH14&lt;=InputData!$B$164,InputData!$D$163+InputData!$C$164*(AH14-InputData!$B$163),IF(AH14&lt;=InputData!$B$165,InputData!$D$164+InputData!$C$165*(AH14-InputData!$B$164),InputData!$D$165+InputData!$C$166*(AH14-InputData!$B$165)))))</f>
        <v>0</v>
      </c>
      <c r="AP14" s="43">
        <f t="shared" si="43"/>
        <v>0.21167543031716599</v>
      </c>
      <c r="AQ14" s="43">
        <f t="shared" si="44"/>
        <v>0.15973161345048389</v>
      </c>
      <c r="AR14" s="5">
        <f t="shared" si="45"/>
        <v>63725.134489023359</v>
      </c>
      <c r="AS14" s="32">
        <f>AR14/((1+InputData!$C$7)^(Ophtha!$B14-Ophtha!$B$7))</f>
        <v>51814.365912238478</v>
      </c>
      <c r="AT14" s="5">
        <f t="shared" si="112"/>
        <v>322806.62031125103</v>
      </c>
      <c r="AU14" s="53"/>
      <c r="AV14" s="56" t="s">
        <v>1</v>
      </c>
      <c r="AW14" s="32">
        <f>AW13*(1+InputData!$C$9)</f>
        <v>64735.58859432357</v>
      </c>
      <c r="AX14" s="32">
        <v>0</v>
      </c>
      <c r="AY14" s="32">
        <f t="shared" si="47"/>
        <v>64735.58859432357</v>
      </c>
      <c r="AZ14" s="32">
        <f>AZ13*(1+InputData!$C$8)</f>
        <v>13198.398321290229</v>
      </c>
      <c r="BA14" s="32">
        <f>AW14/((1+InputData!$C$3)^(Ophtha!$B14-Ophtha!$B$7))</f>
        <v>56356.225569351176</v>
      </c>
      <c r="BB14" s="32">
        <f>AX14/((1+InputData!$C$3)^(Ophtha!$B14-Ophtha!$B$7))</f>
        <v>0</v>
      </c>
      <c r="BC14" s="32" t="s">
        <v>140</v>
      </c>
      <c r="BD14" s="32">
        <v>0</v>
      </c>
      <c r="BE14" s="32">
        <f>$BE$12</f>
        <v>212416.2</v>
      </c>
      <c r="BF14" s="32">
        <f>(BE14)*InputData!$C$6</f>
        <v>13191.046020000002</v>
      </c>
      <c r="BG14" s="32">
        <v>0</v>
      </c>
      <c r="BH14" s="118">
        <f t="shared" si="140"/>
        <v>258584.86107000004</v>
      </c>
      <c r="BI14" s="32">
        <f>BG14/((1+InputData!$C$3)^(Ophtha!$B14-Ophtha!$B$7))</f>
        <v>0</v>
      </c>
      <c r="BJ14" s="32">
        <f>IF(BA14-InputData!$C$158-InputData!$C$159&gt;=0,BA14-InputData!$C$158-InputData!$C$159,0)</f>
        <v>56356.225569351176</v>
      </c>
      <c r="BK14" s="32">
        <f>IF(BA14-IF(BA14&lt;=InputData!$C$146,InputData!$C$145,0)-MAX(InputData!$C$144,BQ14)&gt;=0,BA14-IF(BA14&lt;=InputData!$C$146,InputData!$C$145,0)-MAX(InputData!$C$144,BQ14),0)</f>
        <v>46356.225569351176</v>
      </c>
      <c r="BL14" s="32">
        <f>IF(BK14&lt;0,"Error",IF(BK14&lt;=InputData!$B$170,InputData!$C$170*BK14,IF(BK14&lt;=InputData!$B$171,InputData!$D$170+InputData!$C$171*(BK14-InputData!$B$170),IF(BK14&lt;=InputData!$B$172,InputData!$D$171+InputData!$C$172*(BK14-InputData!$B$171),IF(BK14&lt;=InputData!$B$173,InputData!$D$172+InputData!$C$173*(BK14-InputData!$B$172),IF(BK14&lt;=InputData!$B$174,InputData!$D$173+InputData!$C$174*(BK14-InputData!$B$173),IF(BK14&lt;=InputData!$B$175,InputData!$D$174+InputData!$C$175*(BK14-InputData!$B$174),InputData!$D$175+InputData!$C$176*(BK14-InputData!$B$175))))))))</f>
        <v>7517.806392337794</v>
      </c>
      <c r="BM14" s="32">
        <f>IF(BA14&lt;=InputData!$C$150,InputData!$C$152,IF(BA14&lt;InputData!$C$151,IF(InputData!$C$152-0.25*IF(BA14-InputData!$C$150&lt;=0,0,BA14-InputData!$C$150)&lt;=0,0,InputData!$C$152-0.25*IF(BA14-InputData!$C$150&lt;=0,0,BA14-InputData!$C$150)),0))</f>
        <v>51900</v>
      </c>
      <c r="BN14" s="32">
        <f>IF(BA14-BM14&lt;=0,0,IF(BA14-BM14&lt;=InputData!$C$153,InputData!$C$154*(BA14-BM14),InputData!$C$155*(BA14-BM14)-InputData!$D$154))</f>
        <v>1158.6186480313058</v>
      </c>
      <c r="BO14" s="32">
        <f t="shared" si="48"/>
        <v>7517.806392337794</v>
      </c>
      <c r="BP14" s="32">
        <f>IF(BA14&gt;=0,IF(BA14&lt;=InputData!$C$148,InputData!$C$147*BA14,InputData!$C$147*InputData!$C$148)+InputData!$C$149*BA14,0)</f>
        <v>4311.251256055365</v>
      </c>
      <c r="BQ14" s="32">
        <f>IF(BJ14&lt;0,0,IF(BJ14&lt;=InputData!$B$163,InputData!$C$163*BJ14,IF(BJ14&lt;=InputData!$B$164,InputData!$D$163+InputData!$C$164*(BJ14-InputData!$B$163),IF(BJ14&lt;=InputData!$B$165,InputData!$D$164+InputData!$C$165*(BJ14-InputData!$B$164),InputData!$D$165+InputData!$C$166*(BJ14-InputData!$B$165)))))</f>
        <v>0</v>
      </c>
      <c r="BR14" s="43">
        <f t="shared" si="49"/>
        <v>0.20989797540356012</v>
      </c>
      <c r="BS14" s="32">
        <f t="shared" si="50"/>
        <v>44527.167920958018</v>
      </c>
      <c r="BT14" s="32">
        <f t="shared" si="51"/>
        <v>44527.167920958018</v>
      </c>
      <c r="BU14" s="32">
        <f>BT14/((1+InputData!$C$7)^(Ophtha!$B14-Ophtha!$B$7))</f>
        <v>36204.662260691053</v>
      </c>
      <c r="BV14" s="5">
        <f t="shared" si="114"/>
        <v>-46699.992676364229</v>
      </c>
      <c r="BW14" s="5"/>
      <c r="BX14" s="32" t="s">
        <v>140</v>
      </c>
      <c r="BY14" s="5">
        <f t="shared" si="52"/>
        <v>212416.2</v>
      </c>
      <c r="BZ14" s="5">
        <f t="shared" si="53"/>
        <v>13191.046020000002</v>
      </c>
      <c r="CA14" s="5">
        <v>0</v>
      </c>
      <c r="CB14" s="5">
        <f t="shared" si="54"/>
        <v>258584.86107000004</v>
      </c>
      <c r="CC14" s="32">
        <f>CA14/((1+InputData!$C$3)^(Ophtha!$B14-Ophtha!$B$7))</f>
        <v>0</v>
      </c>
      <c r="CD14" s="5">
        <f t="shared" si="55"/>
        <v>44527.167920958018</v>
      </c>
      <c r="CE14" s="32">
        <f>CD14/((1+InputData!$C$7)^(Ophtha!$B14-Ophtha!$B$7))</f>
        <v>36204.662260691053</v>
      </c>
      <c r="CF14" s="5">
        <f t="shared" si="115"/>
        <v>-46699.992676364229</v>
      </c>
      <c r="CG14" s="5"/>
      <c r="CH14" s="32" t="s">
        <v>140</v>
      </c>
      <c r="CI14" s="5">
        <f t="shared" si="56"/>
        <v>212416.2</v>
      </c>
      <c r="CJ14" s="5">
        <f t="shared" si="57"/>
        <v>13191.046020000002</v>
      </c>
      <c r="CK14" s="5">
        <v>0</v>
      </c>
      <c r="CL14" s="5">
        <f t="shared" si="58"/>
        <v>258584.86107000004</v>
      </c>
      <c r="CM14" s="32">
        <f>CK14/((1+InputData!$C$3)^(Ophtha!$B14-Ophtha!$B$7))</f>
        <v>0</v>
      </c>
      <c r="CN14" s="5">
        <f t="shared" si="59"/>
        <v>44527.167920958018</v>
      </c>
      <c r="CO14" s="32">
        <f>CN14/((1+InputData!$C$7)^(Ophtha!$B14-Ophtha!$B$7))</f>
        <v>36204.662260691053</v>
      </c>
      <c r="CP14" s="5">
        <f t="shared" si="116"/>
        <v>-46699.992676364229</v>
      </c>
      <c r="CQ14" s="5"/>
      <c r="CR14" s="32" t="s">
        <v>140</v>
      </c>
      <c r="CS14" s="5">
        <f t="shared" si="60"/>
        <v>212416.2</v>
      </c>
      <c r="CT14" s="5">
        <f t="shared" si="61"/>
        <v>13191.046020000002</v>
      </c>
      <c r="CU14" s="5">
        <v>0</v>
      </c>
      <c r="CV14" s="5">
        <f t="shared" si="62"/>
        <v>258584.86107000004</v>
      </c>
      <c r="CW14" s="32">
        <f>CU14/((1+InputData!$C$3)^(Ophtha!$B14-Ophtha!$B$7))</f>
        <v>0</v>
      </c>
      <c r="CX14" s="5">
        <f t="shared" si="63"/>
        <v>44527.167920958018</v>
      </c>
      <c r="CY14" s="32">
        <f>CX14/((1+InputData!$C$7)^(Ophtha!$B14-Ophtha!$B$7))</f>
        <v>36204.662260691053</v>
      </c>
      <c r="CZ14" s="5">
        <f t="shared" si="117"/>
        <v>-46699.992676364229</v>
      </c>
      <c r="DA14" s="5"/>
      <c r="DB14" s="32" t="s">
        <v>141</v>
      </c>
      <c r="DC14" s="5">
        <f t="shared" si="141"/>
        <v>170510.19525334824</v>
      </c>
      <c r="DD14" s="5">
        <f>DC14*InputData!$C$6</f>
        <v>10588.683125232927</v>
      </c>
      <c r="DE14" s="32">
        <f t="shared" si="142"/>
        <v>29148.379963889372</v>
      </c>
      <c r="DF14" s="32">
        <f t="shared" si="143"/>
        <v>151950.4984146918</v>
      </c>
      <c r="DG14" s="32">
        <f>DE14/((1+InputData!$C$3)^(Ophtha!$B14-Ophtha!$B$7))</f>
        <v>25375.418867669763</v>
      </c>
      <c r="DH14" s="5">
        <f t="shared" si="67"/>
        <v>19151.749053288255</v>
      </c>
      <c r="DI14" s="32">
        <f>DH14/((1+InputData!$C$7)^(Ophtha!$B14-Ophtha!$B$7))</f>
        <v>15572.124582606792</v>
      </c>
      <c r="DJ14" s="5">
        <f t="shared" si="130"/>
        <v>-123745.30670550409</v>
      </c>
      <c r="DK14" s="5"/>
      <c r="DL14" s="32" t="s">
        <v>141</v>
      </c>
      <c r="DM14" s="133">
        <f>IF(0.15*($AY14-1.5*$AZ14)&lt;=$DD$2,DQ13-DO13,DQ13)</f>
        <v>212416.2</v>
      </c>
      <c r="DN14" s="5">
        <f>DM14*InputData!$C$6</f>
        <v>13191.046020000002</v>
      </c>
      <c r="DO14" s="133">
        <f>DO13+DN14-DP14</f>
        <v>22036.206155447937</v>
      </c>
      <c r="DP14" s="32">
        <f t="shared" si="131"/>
        <v>6740.698666858234</v>
      </c>
      <c r="DQ14" s="32">
        <f t="shared" si="132"/>
        <v>234452.40615544797</v>
      </c>
      <c r="DR14" s="32">
        <f>DP14/((1+InputData!$C$3)^(Ophtha!$B14-Ophtha!$B$7))</f>
        <v>5868.1838354026759</v>
      </c>
      <c r="DS14" s="5">
        <f t="shared" si="71"/>
        <v>38658.984085555341</v>
      </c>
      <c r="DT14" s="32">
        <f>DS14/((1+InputData!$C$7)^(Ophtha!$B14-Ophtha!$B$7))</f>
        <v>31433.291797122853</v>
      </c>
      <c r="DU14" s="5">
        <f t="shared" si="133"/>
        <v>-65035.922086779574</v>
      </c>
      <c r="DV14" s="5"/>
      <c r="DW14" s="32" t="s">
        <v>141</v>
      </c>
      <c r="DX14" s="133">
        <f t="shared" si="144"/>
        <v>212416.2</v>
      </c>
      <c r="DY14" s="5">
        <f>DX14*InputData!$C$6</f>
        <v>13191.046020000002</v>
      </c>
      <c r="DZ14" s="133">
        <f t="shared" si="145"/>
        <v>30080.35779363196</v>
      </c>
      <c r="EA14" s="32">
        <f t="shared" si="146"/>
        <v>4493.7991112388227</v>
      </c>
      <c r="EB14" s="32">
        <f t="shared" si="147"/>
        <v>242496.55779363198</v>
      </c>
      <c r="EC14" s="32">
        <f>EA14/((1+InputData!$C$3)^(Ophtha!$B14-Ophtha!$B$7))</f>
        <v>3912.1225569351172</v>
      </c>
      <c r="ED14" s="5">
        <f t="shared" si="75"/>
        <v>40615.045364022903</v>
      </c>
      <c r="EE14" s="32">
        <f>ED14/((1+InputData!$C$7)^(Ophtha!$B14-Ophtha!$B$7))</f>
        <v>33023.748618312253</v>
      </c>
      <c r="EF14" s="5">
        <f t="shared" si="134"/>
        <v>-58923.94561664114</v>
      </c>
      <c r="EG14" s="32"/>
      <c r="EH14" s="133" t="s">
        <v>140</v>
      </c>
      <c r="EI14" s="32">
        <v>0</v>
      </c>
      <c r="EJ14" s="32">
        <f t="shared" si="138"/>
        <v>185472.36</v>
      </c>
      <c r="EK14" s="32">
        <f>(EJ14)*InputData!$C$6</f>
        <v>11517.833556</v>
      </c>
      <c r="EL14" s="32">
        <f t="shared" si="135"/>
        <v>260053.20557999998</v>
      </c>
      <c r="EM14" s="32">
        <f>EM13*(1+InputData!$C$8)</f>
        <v>13198.398321290229</v>
      </c>
      <c r="EN14" s="32">
        <v>0</v>
      </c>
      <c r="EO14" s="32">
        <f>AW14/((1+InputData!$C$3)^(Ophtha!$B14-Ophtha!$B$7))</f>
        <v>56356.225569351176</v>
      </c>
      <c r="EP14" s="32">
        <f>AX14/((1+InputData!$C$3)^(Ophtha!$B14-Ophtha!$B$7))</f>
        <v>0</v>
      </c>
      <c r="EQ14" s="32">
        <v>7681.56</v>
      </c>
      <c r="ER14" s="32">
        <v>3747.69</v>
      </c>
      <c r="ES14" s="32">
        <v>0</v>
      </c>
      <c r="ET14" s="43">
        <f t="shared" si="139"/>
        <v>0.20280368112898772</v>
      </c>
      <c r="EU14" s="32">
        <f t="shared" si="76"/>
        <v>44926.975569351176</v>
      </c>
      <c r="EV14" s="32">
        <f>EN14/((1+InputData!$C$3)^(Ophtha!$B14-Ophtha!$B$7))</f>
        <v>0</v>
      </c>
      <c r="EW14" s="32">
        <f t="shared" si="77"/>
        <v>44926.975569351176</v>
      </c>
      <c r="EX14" s="32">
        <f>EW14/((1+InputData!$C$7)^(Ophtha!$B14-Ophtha!$B$7))</f>
        <v>36529.742465769676</v>
      </c>
      <c r="EY14" s="5">
        <f t="shared" si="124"/>
        <v>-45448.35350676551</v>
      </c>
      <c r="EZ14" s="79"/>
      <c r="FA14" s="32">
        <f t="shared" si="78"/>
        <v>185472.36</v>
      </c>
      <c r="FB14" s="32">
        <f t="shared" si="79"/>
        <v>11517.833556</v>
      </c>
      <c r="FC14" s="32">
        <f t="shared" si="80"/>
        <v>260053.20557999998</v>
      </c>
      <c r="FD14" s="32">
        <v>0</v>
      </c>
      <c r="FE14" s="32">
        <f>FD14/((1+InputData!$C$3)^(Ophtha!$B14-Ophtha!$B$7))</f>
        <v>0</v>
      </c>
      <c r="FF14" s="5">
        <f t="shared" si="81"/>
        <v>44926.975569351176</v>
      </c>
      <c r="FG14" s="32">
        <f>FF14/((1+InputData!$C$7)^(Ophtha!$B14-Ophtha!$B$7))</f>
        <v>36529.742465769676</v>
      </c>
      <c r="FH14" s="5">
        <f t="shared" si="125"/>
        <v>-45448.35350676551</v>
      </c>
      <c r="FI14" s="79"/>
      <c r="FJ14" s="32">
        <f t="shared" si="82"/>
        <v>185472.36</v>
      </c>
      <c r="FK14" s="32">
        <f>FJ14*InputData!$C$6</f>
        <v>11517.833556</v>
      </c>
      <c r="FL14" s="32">
        <f>FL13+$EI14+FK14-FM14</f>
        <v>260053.20557999998</v>
      </c>
      <c r="FM14" s="32">
        <v>0</v>
      </c>
      <c r="FN14" s="32">
        <f>FM14/((1+InputData!$C$3)^(Ophtha!$B14-Ophtha!$B$7))</f>
        <v>0</v>
      </c>
      <c r="FO14" s="5">
        <f t="shared" si="85"/>
        <v>44926.975569351176</v>
      </c>
      <c r="FP14" s="32">
        <f>FO14/((1+InputData!$C$7)^(Ophtha!$B14-Ophtha!$B$7))</f>
        <v>36529.742465769676</v>
      </c>
      <c r="FQ14" s="5">
        <f t="shared" si="126"/>
        <v>-45448.35350676551</v>
      </c>
      <c r="FR14" s="79"/>
      <c r="FS14" s="32">
        <f t="shared" si="1"/>
        <v>185472.36</v>
      </c>
      <c r="FT14" s="32">
        <f>FS14*InputData!$C$6</f>
        <v>11517.833556</v>
      </c>
      <c r="FU14" s="32">
        <f>FU13+$EI14+FT14-FV14</f>
        <v>260053.20557999998</v>
      </c>
      <c r="FV14" s="32">
        <v>0</v>
      </c>
      <c r="FW14" s="32">
        <f>FV14/((1+InputData!$C$3)^(Ophtha!$B14-Ophtha!$B$7))</f>
        <v>0</v>
      </c>
      <c r="FX14" s="5">
        <f t="shared" si="88"/>
        <v>44926.975569351176</v>
      </c>
      <c r="FY14" s="32">
        <f>FX14/((1+InputData!$C$7)^(Ophtha!$B14-Ophtha!$B$7))</f>
        <v>36529.742465769676</v>
      </c>
      <c r="FZ14" s="5">
        <f t="shared" si="127"/>
        <v>-45448.35350676551</v>
      </c>
      <c r="GC14" s="3">
        <f t="shared" si="2"/>
        <v>4</v>
      </c>
      <c r="GD14" s="46" t="str">
        <f t="shared" si="3"/>
        <v>Residency (O3&gt;3 = (BP+BAH+BAS+VSP)*12)</v>
      </c>
      <c r="GE14" s="5">
        <f t="shared" si="4"/>
        <v>61314.719999999994</v>
      </c>
      <c r="GF14" s="5">
        <f t="shared" si="5"/>
        <v>19939.199999999997</v>
      </c>
      <c r="GG14" s="5">
        <f t="shared" si="6"/>
        <v>81253.919999999984</v>
      </c>
      <c r="GH14" s="5">
        <f t="shared" si="7"/>
        <v>57228.605499249563</v>
      </c>
      <c r="GI14" s="5">
        <f t="shared" si="8"/>
        <v>18610.418685278786</v>
      </c>
      <c r="GJ14" s="32">
        <f>IF(GH14-InputData!$C$158-InputData!$C$159&gt;=0,GH14-InputData!$C$158-InputData!$C$159,0)</f>
        <v>57228.605499249563</v>
      </c>
      <c r="GK14" s="32">
        <f>IF(GH14-IF(GH14&lt;=InputData!$C$146,InputData!$C$145,0)-MAX(InputData!$C$144,GQ14)&gt;=0,GH14-IF(GH14&lt;=InputData!$C$146,InputData!$C$145,0)-MAX(InputData!$C$144,GQ14),0)</f>
        <v>47228.605499249563</v>
      </c>
      <c r="GL14" s="32">
        <f>IF(GK14&lt;0,"Error",IF(GK14&lt;=InputData!$B$170,InputData!$C$170*GK14,IF(GK14&lt;=InputData!$B$171,InputData!$D$170+InputData!$C$171*(GK14-InputData!$B$170),IF(GK14&lt;=InputData!$B$172,InputData!$D$171+InputData!$C$172*(GK14-InputData!$B$171),IF(GK14&lt;=InputData!$B$173,InputData!$D$172+InputData!$C$173*(GK14-InputData!$B$172),IF(GK14&lt;=InputData!$B$174,InputData!$D$173+InputData!$C$174*(GK14-InputData!$B$173),IF(GK14&lt;=InputData!$B$175,InputData!$D$174+InputData!$C$175*(GK14-InputData!$B$174),InputData!$D$175+InputData!$C$176*(GK14-InputData!$B$175))))))))</f>
        <v>7735.9013748123907</v>
      </c>
      <c r="GM14" s="32">
        <f>IF(GH14&lt;=InputData!$C$150,InputData!$C$152,IF(GH14&lt;InputData!$C$151,IF(InputData!$C$152-0.25*IF(GH14-InputData!$C$150&lt;=0,0,GH14-InputData!$C$150)&lt;=0,0,InputData!$C$152-0.25*IF(GH14-InputData!$C$150&lt;=0,0,GH14-InputData!$C$150)),0))</f>
        <v>51900</v>
      </c>
      <c r="GN14" s="32">
        <f>IF(GH14-GM14&lt;=0,0,IF(GH14-GM14&lt;=InputData!$C$153,InputData!$C$154*(GH14-GM14),InputData!$C$155*(GH14-GM14)-InputData!$D$154))</f>
        <v>1385.4374298048863</v>
      </c>
      <c r="GO14" s="32">
        <f t="shared" si="89"/>
        <v>7735.9013748123907</v>
      </c>
      <c r="GP14" s="32">
        <f>IF(GH14&gt;=0,IF(GH14&lt;=InputData!$C$148,InputData!$C$147*GH14,InputData!$C$147*InputData!$C$148)+InputData!$C$149*GH14,0)</f>
        <v>4377.9883206925915</v>
      </c>
      <c r="GQ14" s="32">
        <f>IF(GJ14&lt;0,0,IF(GJ14&lt;=InputData!$B$163,InputData!$C$163*GJ14,IF(GJ14&lt;=InputData!$B$164,InputData!$D$163+InputData!$C$164*(GJ14-InputData!$B$163),IF(GJ14&lt;=InputData!$B$165,InputData!$D$164+InputData!$C$165*(GJ14-InputData!$B$164),InputData!$D$165+InputData!$C$166*(GJ14-InputData!$B$165)))))</f>
        <v>0</v>
      </c>
      <c r="GR14" s="43">
        <f t="shared" si="90"/>
        <v>0.21167543031716599</v>
      </c>
      <c r="GS14" s="43">
        <f t="shared" si="91"/>
        <v>0.15973161345048389</v>
      </c>
      <c r="GT14" s="5">
        <f t="shared" si="9"/>
        <v>63725.134489023359</v>
      </c>
      <c r="GU14" s="32">
        <f>GT14/((1+InputData!$C$7)^(Ophtha!$B14-Ophtha!$B$7))</f>
        <v>51814.365912238478</v>
      </c>
      <c r="GV14" s="32">
        <f t="shared" si="92"/>
        <v>414930.34262192424</v>
      </c>
      <c r="GX14" s="3">
        <f t="shared" si="10"/>
        <v>4</v>
      </c>
      <c r="GY14" s="46" t="str">
        <f t="shared" si="11"/>
        <v>Residency (O3&gt;3 = (BP+BAH+BAS+VSP+BCPSP)*12)</v>
      </c>
      <c r="GZ14" s="5">
        <f t="shared" si="12"/>
        <v>61314.719999999994</v>
      </c>
      <c r="HA14" s="5">
        <f t="shared" si="13"/>
        <v>19939.199999999997</v>
      </c>
      <c r="HB14" s="5">
        <f t="shared" si="14"/>
        <v>81253.919999999984</v>
      </c>
      <c r="HC14" s="5">
        <f t="shared" si="15"/>
        <v>57228.605499249563</v>
      </c>
      <c r="HD14" s="5">
        <f t="shared" si="16"/>
        <v>18610.418685278786</v>
      </c>
      <c r="HE14" s="32">
        <f>IF(HC14-InputData!$C$158-InputData!$C$159&gt;=0,HC14-InputData!$C$158-InputData!$C$159,0)</f>
        <v>57228.605499249563</v>
      </c>
      <c r="HF14" s="32">
        <f>IF(HC14-IF(HC14&lt;=InputData!$C$146,InputData!$C$145,0)-MAX(InputData!$C$144,HL14)&gt;=0,HC14-IF(HC14&lt;=InputData!$C$146,InputData!$C$145,0)-MAX(InputData!$C$144,HL14),0)</f>
        <v>47228.605499249563</v>
      </c>
      <c r="HG14" s="32">
        <f>IF(HF14&lt;0,"Error",IF(HF14&lt;=InputData!$B$170,InputData!$C$170*HF14,IF(HF14&lt;=InputData!$B$171,InputData!$D$170+InputData!$C$171*(HF14-InputData!$B$170),IF(HF14&lt;=InputData!$B$172,InputData!$D$171+InputData!$C$172*(HF14-InputData!$B$171),IF(HF14&lt;=InputData!$B$173,InputData!$D$172+InputData!$C$173*(HF14-InputData!$B$172),IF(HF14&lt;=InputData!$B$174,InputData!$D$173+InputData!$C$174*(HF14-InputData!$B$173),IF(HF14&lt;=InputData!$B$175,InputData!$D$174+InputData!$C$175*(HF14-InputData!$B$174),InputData!$D$175+InputData!$C$176*(HF14-InputData!$B$175))))))))</f>
        <v>7735.9013748123907</v>
      </c>
      <c r="HH14" s="32">
        <f>IF(HC14&lt;=InputData!$C$150,InputData!$C$152,IF(HC14&lt;InputData!$C$151,IF(InputData!$C$152-0.25*IF(HC14-InputData!$C$150&lt;=0,0,HC14-InputData!$C$150)&lt;=0,0,InputData!$C$152-0.25*IF(HC14-InputData!$C$150&lt;=0,0,HC14-InputData!$C$150)),0))</f>
        <v>51900</v>
      </c>
      <c r="HI14" s="32">
        <f>IF(HC14-HH14&lt;=0,0,IF(HC14-HH14&lt;=InputData!$C$153,InputData!$C$154*(HC14-HH14),InputData!$C$155*(HC14-HH14)-InputData!$D$154))</f>
        <v>1385.4374298048863</v>
      </c>
      <c r="HJ14" s="32">
        <f t="shared" si="93"/>
        <v>7735.9013748123907</v>
      </c>
      <c r="HK14" s="32">
        <f>IF(HC14&gt;=0,IF(HC14&lt;=InputData!$C$148,InputData!$C$147*HC14,InputData!$C$147*InputData!$C$148)+InputData!$C$149*HC14,0)</f>
        <v>4377.9883206925915</v>
      </c>
      <c r="HL14" s="32">
        <f>IF(HE14&lt;0,0,IF(HE14&lt;=InputData!$B$163,InputData!$C$163*HE14,IF(HE14&lt;=InputData!$B$164,InputData!$D$163+InputData!$C$164*(HE14-InputData!$B$163),IF(HE14&lt;=InputData!$B$165,InputData!$D$164+InputData!$C$165*(HE14-InputData!$B$164),InputData!$D$165+InputData!$C$166*(HE14-InputData!$B$165)))))</f>
        <v>0</v>
      </c>
      <c r="HM14" s="43">
        <f t="shared" si="94"/>
        <v>0.21167543031716599</v>
      </c>
      <c r="HN14" s="43">
        <f t="shared" si="95"/>
        <v>0.15973161345048389</v>
      </c>
      <c r="HO14" s="5">
        <f t="shared" si="17"/>
        <v>63725.134489023359</v>
      </c>
      <c r="HP14" s="32">
        <f>HO14/((1+InputData!$C$7)^(Ophtha!$B14-Ophtha!$B$7))</f>
        <v>51814.365912238478</v>
      </c>
      <c r="HQ14" s="32">
        <f t="shared" si="96"/>
        <v>322806.62031125103</v>
      </c>
      <c r="HS14" s="93">
        <f t="shared" si="18"/>
        <v>4</v>
      </c>
      <c r="HT14" s="92" t="str">
        <f t="shared" si="19"/>
        <v>Residency (O3&gt;3 = (BP+BAH+BAS+VSP)*12)</v>
      </c>
      <c r="HU14" s="5">
        <f t="shared" si="20"/>
        <v>61314.719999999994</v>
      </c>
      <c r="HV14" s="5">
        <f t="shared" si="21"/>
        <v>19939.199999999997</v>
      </c>
      <c r="HW14" s="5">
        <f t="shared" si="22"/>
        <v>81253.919999999984</v>
      </c>
      <c r="HX14" s="5">
        <f t="shared" si="23"/>
        <v>57228.605499249563</v>
      </c>
      <c r="HY14" s="5">
        <f t="shared" si="24"/>
        <v>18610.418685278786</v>
      </c>
      <c r="HZ14" s="32">
        <f>IF(HX14-InputData!$C$158-InputData!$C$159&gt;=0,HX14-InputData!$C$158-InputData!$C$159,0)</f>
        <v>57228.605499249563</v>
      </c>
      <c r="IA14" s="32">
        <f>IF(HX14-IF(HX14&lt;=InputData!$C$146,InputData!$C$145,0)-MAX(InputData!$C$144,IG14)&gt;=0,HX14-IF(HX14&lt;=InputData!$C$146,InputData!$C$145,0)-MAX(InputData!$C$144,IG14),0)</f>
        <v>47228.605499249563</v>
      </c>
      <c r="IB14" s="32">
        <f>IF(IA14&lt;0,"Error",IF(IA14&lt;=InputData!$B$170,InputData!$C$170*IA14,IF(IA14&lt;=InputData!$B$171,InputData!$D$170+InputData!$C$171*(IA14-InputData!$B$170),IF(IA14&lt;=InputData!$B$172,InputData!$D$171+InputData!$C$172*(IA14-InputData!$B$171),IF(IA14&lt;=InputData!$B$173,InputData!$D$172+InputData!$C$173*(IA14-InputData!$B$172),IF(IA14&lt;=InputData!$B$174,InputData!$D$173+InputData!$C$174*(IA14-InputData!$B$173),IF(IA14&lt;=InputData!$B$175,InputData!$D$174+InputData!$C$175*(IA14-InputData!$B$174),InputData!$D$175+InputData!$C$176*(IA14-InputData!$B$175))))))))</f>
        <v>7735.9013748123907</v>
      </c>
      <c r="IC14" s="32">
        <f>IF(HX14&lt;=InputData!$C$150,InputData!$C$152,IF(HX14&lt;InputData!$C$151,IF(InputData!$C$152-0.25*IF(HX14-InputData!$C$150&lt;=0,0,HX14-InputData!$C$150)&lt;=0,0,InputData!$C$152-0.25*IF(HX14-InputData!$C$150&lt;=0,0,HX14-InputData!$C$150)),0))</f>
        <v>51900</v>
      </c>
      <c r="ID14" s="32">
        <f>IF(HX14-IC14&lt;=0,0,IF(HX14-IC14&lt;=InputData!$C$153,InputData!$C$154*(HX14-IC14),InputData!$C$155*(HX14-IC14)-InputData!$D$154))</f>
        <v>1385.4374298048863</v>
      </c>
      <c r="IE14" s="32">
        <f t="shared" si="97"/>
        <v>7735.9013748123907</v>
      </c>
      <c r="IF14" s="32">
        <f>IF(HX14&gt;=0,IF(HX14&lt;=InputData!$C$148,InputData!$C$147*HX14,InputData!$C$147*InputData!$C$148)+InputData!$C$149*HX14,0)</f>
        <v>4377.9883206925915</v>
      </c>
      <c r="IG14" s="32">
        <f>IF(HZ14&lt;0,0,IF(HZ14&lt;=InputData!$B$163,InputData!$C$163*HZ14,IF(HZ14&lt;=InputData!$B$164,InputData!$D$163+InputData!$C$164*(HZ14-InputData!$B$163),IF(HZ14&lt;=InputData!$B$165,InputData!$D$164+InputData!$C$165*(HZ14-InputData!$B$164),InputData!$D$165+InputData!$C$166*(HZ14-InputData!$B$165)))))</f>
        <v>0</v>
      </c>
      <c r="IH14" s="43">
        <f t="shared" si="98"/>
        <v>0.21167543031716599</v>
      </c>
      <c r="II14" s="43">
        <f t="shared" si="99"/>
        <v>0.15973161345048389</v>
      </c>
      <c r="IJ14" s="5">
        <f t="shared" si="100"/>
        <v>63725.134489023359</v>
      </c>
      <c r="IK14" s="32">
        <f>IJ14/((1+InputData!$C$7)^(Ophtha!$B14-Ophtha!$B$7))</f>
        <v>51814.365912238478</v>
      </c>
      <c r="IL14" s="5">
        <f t="shared" si="101"/>
        <v>414930.34262192424</v>
      </c>
      <c r="IN14" s="93">
        <f t="shared" si="25"/>
        <v>4</v>
      </c>
      <c r="IO14" s="92" t="str">
        <f t="shared" si="26"/>
        <v>Residency (O3&gt;3 = (BP+BAH+BAS+VSP+BCPSP)*12)</v>
      </c>
      <c r="IP14" s="5">
        <f t="shared" si="27"/>
        <v>61314.719999999994</v>
      </c>
      <c r="IQ14" s="5">
        <f t="shared" si="28"/>
        <v>19939.199999999997</v>
      </c>
      <c r="IR14" s="5">
        <f t="shared" si="29"/>
        <v>81253.919999999984</v>
      </c>
      <c r="IS14" s="5">
        <f t="shared" si="30"/>
        <v>57228.605499249563</v>
      </c>
      <c r="IT14" s="5">
        <f t="shared" si="31"/>
        <v>18610.418685278786</v>
      </c>
      <c r="IU14" s="32">
        <f>IF(IS14-InputData!$C$158-InputData!$C$159&gt;=0,IS14-InputData!$C$158-InputData!$C$159,0)</f>
        <v>57228.605499249563</v>
      </c>
      <c r="IV14" s="32">
        <f>IF(IS14-IF(IS14&lt;=InputData!$C$146,InputData!$C$145,0)-MAX(InputData!$C$144,JB14)&gt;=0,IS14-IF(IS14&lt;=InputData!$C$146,InputData!$C$145,0)-MAX(InputData!$C$144,JB14),0)</f>
        <v>47228.605499249563</v>
      </c>
      <c r="IW14" s="32">
        <f>IF(IV14&lt;0,"Error",IF(IV14&lt;=InputData!$B$170,InputData!$C$170*IV14,IF(IV14&lt;=InputData!$B$171,InputData!$D$170+InputData!$C$171*(IV14-InputData!$B$170),IF(IV14&lt;=InputData!$B$172,InputData!$D$171+InputData!$C$172*(IV14-InputData!$B$171),IF(IV14&lt;=InputData!$B$173,InputData!$D$172+InputData!$C$173*(IV14-InputData!$B$172),IF(IV14&lt;=InputData!$B$174,InputData!$D$173+InputData!$C$174*(IV14-InputData!$B$173),IF(IV14&lt;=InputData!$B$175,InputData!$D$174+InputData!$C$175*(IV14-InputData!$B$174),InputData!$D$175+InputData!$C$176*(IV14-InputData!$B$175))))))))</f>
        <v>7735.9013748123907</v>
      </c>
      <c r="IX14" s="32">
        <f>IF(IS14&lt;=InputData!$C$150,InputData!$C$152,IF(IS14&lt;InputData!$C$151,IF(InputData!$C$152-0.25*IF(IS14-InputData!$C$150&lt;=0,0,IS14-InputData!$C$150)&lt;=0,0,InputData!$C$152-0.25*IF(IS14-InputData!$C$150&lt;=0,0,IS14-InputData!$C$150)),0))</f>
        <v>51900</v>
      </c>
      <c r="IY14" s="32">
        <f>IF(IS14-IX14&lt;=0,0,IF(IS14-IX14&lt;=InputData!$C$153,InputData!$C$154*(IS14-IX14),InputData!$C$155*(IS14-IX14)-InputData!$D$154))</f>
        <v>1385.4374298048863</v>
      </c>
      <c r="IZ14" s="32">
        <f t="shared" si="102"/>
        <v>7735.9013748123907</v>
      </c>
      <c r="JA14" s="32">
        <f>IF(IS14&gt;=0,IF(IS14&lt;=InputData!$C$148,InputData!$C$147*IS14,InputData!$C$147*InputData!$C$148)+InputData!$C$149*IS14,0)</f>
        <v>4377.9883206925915</v>
      </c>
      <c r="JB14" s="32">
        <f>IF(IU14&lt;0,0,IF(IU14&lt;=InputData!$B$163,InputData!$C$163*IU14,IF(IU14&lt;=InputData!$B$164,InputData!$D$163+InputData!$C$164*(IU14-InputData!$B$163),IF(IU14&lt;=InputData!$B$165,InputData!$D$164+InputData!$C$165*(IU14-InputData!$B$164),InputData!$D$165+InputData!$C$166*(IU14-InputData!$B$165)))))</f>
        <v>0</v>
      </c>
      <c r="JC14" s="43">
        <f t="shared" si="103"/>
        <v>0.21167543031716599</v>
      </c>
      <c r="JD14" s="43">
        <f t="shared" si="104"/>
        <v>0.15973161345048389</v>
      </c>
      <c r="JE14" s="5">
        <f t="shared" si="105"/>
        <v>63725.134489023359</v>
      </c>
      <c r="JF14" s="32">
        <f>JE14/((1+InputData!$C$7)^(Ophtha!$B14-Ophtha!$B$7))</f>
        <v>51814.365912238478</v>
      </c>
      <c r="JG14" s="5">
        <f t="shared" si="106"/>
        <v>322806.62031125103</v>
      </c>
      <c r="JI14" s="56" t="str">
        <f t="shared" si="32"/>
        <v>Residency</v>
      </c>
      <c r="JJ14" s="5">
        <f t="shared" si="33"/>
        <v>64735.58859432357</v>
      </c>
      <c r="JK14" s="32">
        <v>0</v>
      </c>
      <c r="JL14" s="32">
        <f t="shared" si="108"/>
        <v>64735.58859432357</v>
      </c>
      <c r="JM14" s="32">
        <f>JM13*(1+InputData!$C$8)</f>
        <v>13198.398321290229</v>
      </c>
      <c r="JN14" s="32">
        <f>JJ14/((1+InputData!$C$3)^(Ophtha!$B14-Ophtha!$B$7))</f>
        <v>56356.225569351176</v>
      </c>
      <c r="JO14" s="32">
        <f>JK14/((1+InputData!$C$3)^(Ophtha!$B14-Ophtha!$B$7))</f>
        <v>0</v>
      </c>
      <c r="JP14" s="32" t="s">
        <v>140</v>
      </c>
      <c r="JQ14" s="32">
        <v>0</v>
      </c>
      <c r="JR14" s="32">
        <f>JR12</f>
        <v>0</v>
      </c>
      <c r="JS14" s="32">
        <f>(JR14)*InputData!$C$6</f>
        <v>0</v>
      </c>
      <c r="JT14" s="32">
        <v>0</v>
      </c>
      <c r="JU14" s="118">
        <f t="shared" si="148"/>
        <v>0</v>
      </c>
      <c r="JV14" s="32">
        <f>JT14/((1+InputData!$C$3)^(Ophtha!$B14-Ophtha!$B$7))</f>
        <v>0</v>
      </c>
      <c r="JW14" s="32">
        <f>IF(JN14-InputData!$C$158-InputData!$C$159&gt;=0,JN14-InputData!$C$158-InputData!$C$159,0)</f>
        <v>56356.225569351176</v>
      </c>
      <c r="JX14" s="32">
        <f>IF(JN14-IF(JN14&lt;=InputData!$C$146,InputData!$C$145,0)-MAX(InputData!$C$144,KD14)&gt;=0,JN14-IF(JN14&lt;=InputData!$C$146,InputData!$C$145,0)-MAX(InputData!$C$144,KD14),0)</f>
        <v>46356.225569351176</v>
      </c>
      <c r="JY14" s="32">
        <f>IF(JX14&lt;0,"Error",IF(JX14&lt;=InputData!$B$170,InputData!$C$170*JX14,IF(JX14&lt;=InputData!$B$171,InputData!$D$170+InputData!$C$171*(JX14-InputData!$B$170),IF(JX14&lt;=InputData!$B$172,InputData!$D$171+InputData!$C$172*(JX14-InputData!$B$171),IF(JX14&lt;=InputData!$B$173,InputData!$D$172+InputData!$C$173*(JX14-InputData!$B$172),IF(JX14&lt;=InputData!$B$174,InputData!$D$173+InputData!$C$174*(JX14-InputData!$B$173),IF(JX14&lt;=InputData!$B$175,InputData!$D$174+InputData!$C$175*(JX14-InputData!$B$174),InputData!$D$175+InputData!$C$176*(JX14-InputData!$B$175))))))))</f>
        <v>7517.806392337794</v>
      </c>
      <c r="JZ14" s="32">
        <f>IF(JN14&lt;=InputData!$C$150,InputData!$C$152,IF(JN14&lt;InputData!$C$151,IF(InputData!$C$152-0.25*IF(JN14-InputData!$C$150&lt;=0,0,JN14-InputData!$C$150)&lt;=0,0,InputData!$C$152-0.25*IF(JN14-InputData!$C$150&lt;=0,0,JN14-InputData!$C$150)),0))</f>
        <v>51900</v>
      </c>
      <c r="KA14" s="32">
        <f>IF(JN14-JZ14&lt;=0,0,IF(JN14-JZ14&lt;=InputData!$C$153,InputData!$C$154*(JN14-JZ14),InputData!$C$155*(JN14-JZ14)-InputData!$D$154))</f>
        <v>1158.6186480313058</v>
      </c>
      <c r="KB14" s="32">
        <f t="shared" si="109"/>
        <v>7517.806392337794</v>
      </c>
      <c r="KC14" s="32">
        <f>IF(JN14&gt;=0,IF(JN14&lt;=InputData!$C$148,InputData!$C$147*JN14,InputData!$C$147*InputData!$C$148)+InputData!$C$149*JN14,0)</f>
        <v>4311.251256055365</v>
      </c>
      <c r="KD14" s="32">
        <f>IF(JW14&lt;0,0,IF(JW14&lt;=InputData!$B$163,InputData!$C$163*JW14,IF(JW14&lt;=InputData!$B$164,InputData!$D$163+InputData!$C$164*(JW14-InputData!$B$163),IF(JW14&lt;=InputData!$B$165,InputData!$D$164+InputData!$C$165*(JW14-InputData!$B$164),InputData!$D$165+InputData!$C$166*(JW14-InputData!$B$165)))))</f>
        <v>0</v>
      </c>
      <c r="KE14" s="43">
        <f t="shared" si="34"/>
        <v>0.20989797540356012</v>
      </c>
      <c r="KF14" s="32">
        <f t="shared" si="35"/>
        <v>44527.167920958018</v>
      </c>
      <c r="KG14" s="32">
        <f t="shared" si="110"/>
        <v>44527.167920958018</v>
      </c>
      <c r="KH14" s="32">
        <f>KG14/((1+InputData!$C$7)^(Ophtha!$B14-Ophtha!$B$7))</f>
        <v>36204.662260691053</v>
      </c>
      <c r="KI14" s="5">
        <f t="shared" si="129"/>
        <v>144167.38761271787</v>
      </c>
    </row>
    <row r="15" spans="1:295" ht="14.45" x14ac:dyDescent="0.3">
      <c r="A15" s="4">
        <v>2021</v>
      </c>
      <c r="B15" s="51">
        <v>9</v>
      </c>
      <c r="C15" s="4"/>
      <c r="D15" s="3">
        <v>5</v>
      </c>
      <c r="E15" s="97" t="s">
        <v>273</v>
      </c>
      <c r="F15" s="5">
        <f>InputData!$F$24*12</f>
        <v>61398</v>
      </c>
      <c r="G15" s="32">
        <f>(InputData!$F$24+InputData!$D$45)*12+InputData!$J$50</f>
        <v>81397.919999999998</v>
      </c>
      <c r="H15" s="32">
        <f>(InputData!$C$35+InputData!$C$40)*12</f>
        <v>19939.199999999997</v>
      </c>
      <c r="I15" s="32">
        <f t="shared" si="36"/>
        <v>101337.12</v>
      </c>
      <c r="J15" s="32">
        <f>G15*((1+InputData!$C$5)/(1+InputData!$C$3))^(Ophtha!$B15-Ophtha!$B$7)</f>
        <v>75228.590258697048</v>
      </c>
      <c r="K15" s="32">
        <f>H15*((1+InputData!$C$5)/(1+InputData!$C$3))^(Ophtha!$B15-Ophtha!$B$7)</f>
        <v>18427.963600128995</v>
      </c>
      <c r="L15" s="32">
        <f>IF(J15-InputData!$C$158-InputData!$C$159&gt;=0,J15-InputData!$C$158-InputData!$C$159,0)</f>
        <v>75228.590258697048</v>
      </c>
      <c r="M15" s="32">
        <f>IF(J15-IF(J15&lt;=InputData!$C$146,InputData!$C$145,0)-MAX(InputData!$C$144,S15)&gt;=0,J15-IF(J15&lt;=InputData!$C$146,InputData!$C$145,0)-MAX(InputData!$C$144,S15),0)</f>
        <v>65228.590258697048</v>
      </c>
      <c r="N15" s="32">
        <f>IF(M15&lt;0,"Error",IF(M15&lt;=InputData!$B$170,InputData!$C$170*M15,IF(M15&lt;=InputData!$B$171,InputData!$D$170+InputData!$C$171*(M15-InputData!$B$170),IF(M15&lt;=InputData!$B$172,InputData!$D$171+InputData!$C$172*(M15-InputData!$B$171),IF(M15&lt;=InputData!$B$173,InputData!$D$172+InputData!$C$173*(M15-InputData!$B$172),IF(M15&lt;=InputData!$B$174,InputData!$D$173+InputData!$C$174*(M15-InputData!$B$173),IF(M15&lt;=InputData!$B$175,InputData!$D$174+InputData!$C$175*(M15-InputData!$B$174),InputData!$D$175+InputData!$C$176*(M15-InputData!$B$175))))))))</f>
        <v>12235.897564674262</v>
      </c>
      <c r="O15" s="32">
        <f>IF(J15&lt;=InputData!$C$150,InputData!$C$152,IF(J15&lt;InputData!$C$151,IF(InputData!$C$152-0.25*IF(J15-InputData!$C$150&lt;=0,0,J15-InputData!$C$150)&lt;=0,0,InputData!$C$152-0.25*IF(J15-InputData!$C$150&lt;=0,0,J15-InputData!$C$150)),0))</f>
        <v>51900</v>
      </c>
      <c r="P15" s="32">
        <f>IF(J15-O15&lt;=0,0,IF(J15-O15&lt;=InputData!$C$153,InputData!$C$154*(J15-O15),InputData!$C$155*(J15-O15)-InputData!$D$154))</f>
        <v>6065.4334672612331</v>
      </c>
      <c r="Q15" s="32">
        <f t="shared" si="37"/>
        <v>12235.897564674262</v>
      </c>
      <c r="R15" s="32">
        <f>IF(J15&gt;=0,IF(J15&lt;=InputData!$C$148,InputData!$C$147*J15,InputData!$C$147*InputData!$C$148)+InputData!$C$149*J15,0)</f>
        <v>5754.987154790324</v>
      </c>
      <c r="S15" s="32">
        <f>IF(L15&lt;0,0,IF(L15&lt;=InputData!$B$163,InputData!$C$163*L15,IF(L15&lt;=InputData!$B$164,InputData!$D$163+InputData!$C$164*(L15-InputData!$B$163),IF(L15&lt;=InputData!$B$165,InputData!$D$164+InputData!$C$165*(L15-InputData!$B$164),InputData!$D$165+InputData!$C$166*(L15-InputData!$B$165)))))</f>
        <v>0</v>
      </c>
      <c r="T15" s="43">
        <f t="shared" si="38"/>
        <v>0.23914956611040164</v>
      </c>
      <c r="U15" s="43">
        <f t="shared" si="39"/>
        <v>0.19209424197460107</v>
      </c>
      <c r="V15" s="5">
        <f t="shared" si="40"/>
        <v>75665.669139361446</v>
      </c>
      <c r="W15" s="32">
        <f>V15/((1+InputData!$C$7)^(Ophtha!$B15-Ophtha!$B$7))</f>
        <v>59731.177939154921</v>
      </c>
      <c r="X15" s="5">
        <f t="shared" si="111"/>
        <v>474661.52056107915</v>
      </c>
      <c r="Y15" s="53"/>
      <c r="Z15" s="3">
        <v>5</v>
      </c>
      <c r="AA15" s="97" t="s">
        <v>19</v>
      </c>
      <c r="AB15" s="5">
        <f t="shared" si="136"/>
        <v>61398</v>
      </c>
      <c r="AC15" s="32">
        <f t="shared" si="137"/>
        <v>81397.919999999998</v>
      </c>
      <c r="AD15" s="32">
        <f t="shared" si="137"/>
        <v>19939.199999999997</v>
      </c>
      <c r="AE15" s="32">
        <f t="shared" si="41"/>
        <v>101337.12</v>
      </c>
      <c r="AF15" s="5">
        <f>AC15*((1+InputData!$C$5)/(1+InputData!$C$3))^(Ophtha!$B15-Ophtha!$B$7)</f>
        <v>75228.590258697048</v>
      </c>
      <c r="AG15" s="5">
        <f>AD15*((1+InputData!$C$5)/(1+InputData!$C$3))^(Ophtha!$B15-Ophtha!$B$7)</f>
        <v>18427.963600128995</v>
      </c>
      <c r="AH15" s="32">
        <f>IF(AF15-InputData!$C$158-InputData!$C$159&gt;=0,AF15-InputData!$C$158-InputData!$C$159,0)</f>
        <v>75228.590258697048</v>
      </c>
      <c r="AI15" s="32">
        <f>IF(AF15-IF(AF15&lt;=InputData!$C$146,InputData!$C$145,0)-MAX(InputData!$C$144,AO15)&gt;=0,AF15-IF(AF15&lt;=InputData!$C$146,InputData!$C$145,0)-MAX(InputData!$C$144,AO15),0)</f>
        <v>65228.590258697048</v>
      </c>
      <c r="AJ15" s="32">
        <f>IF(AI15&lt;0,"Error",IF(AI15&lt;=InputData!$B$170,InputData!$C$170*AI15,IF(AI15&lt;=InputData!$B$171,InputData!$D$170+InputData!$C$171*(AI15-InputData!$B$170),IF(AI15&lt;=InputData!$B$172,InputData!$D$171+InputData!$C$172*(AI15-InputData!$B$171),IF(AI15&lt;=InputData!$B$173,InputData!$D$172+InputData!$C$173*(AI15-InputData!$B$172),IF(AI15&lt;=InputData!$B$174,InputData!$D$173+InputData!$C$174*(AI15-InputData!$B$173),IF(AI15&lt;=InputData!$B$175,InputData!$D$174+InputData!$C$175*(AI15-InputData!$B$174),InputData!$D$175+InputData!$C$176*(AI15-InputData!$B$175))))))))</f>
        <v>12235.897564674262</v>
      </c>
      <c r="AK15" s="32">
        <f>IF(AF15&lt;=InputData!$C$150,InputData!$C$152,IF(AF15&lt;InputData!$C$151,IF(InputData!$C$152-0.25*IF(AF15-InputData!$C$150&lt;=0,0,AF15-InputData!$C$150)&lt;=0,0,InputData!$C$152-0.25*IF(AF15-InputData!$C$150&lt;=0,0,AF15-InputData!$C$150)),0))</f>
        <v>51900</v>
      </c>
      <c r="AL15" s="32">
        <f>IF(AF15-AK15&lt;=0,0,IF(AF15-AK15&lt;=InputData!$C$153,InputData!$C$154*(AF15-AK15),InputData!$C$155*(AF15-AK15)-InputData!$D$154))</f>
        <v>6065.4334672612331</v>
      </c>
      <c r="AM15" s="32">
        <f t="shared" si="42"/>
        <v>12235.897564674262</v>
      </c>
      <c r="AN15" s="32">
        <f>IF(AF15&gt;=0,IF(AF15&lt;=InputData!$C$148,InputData!$C$147*AF15,InputData!$C$147*InputData!$C$148)+InputData!$C$149*AF15,0)</f>
        <v>5754.987154790324</v>
      </c>
      <c r="AO15" s="32">
        <f>IF(AH15&lt;0,0,IF(AH15&lt;=InputData!$B$163,InputData!$C$163*AH15,IF(AH15&lt;=InputData!$B$164,InputData!$D$163+InputData!$C$164*(AH15-InputData!$B$163),IF(AH15&lt;=InputData!$B$165,InputData!$D$164+InputData!$C$165*(AH15-InputData!$B$164),InputData!$D$165+InputData!$C$166*(AH15-InputData!$B$165)))))</f>
        <v>0</v>
      </c>
      <c r="AP15" s="43">
        <f t="shared" si="43"/>
        <v>0.23914956611040164</v>
      </c>
      <c r="AQ15" s="43">
        <f t="shared" si="44"/>
        <v>0.19209424197460107</v>
      </c>
      <c r="AR15" s="5">
        <f t="shared" si="45"/>
        <v>75665.669139361446</v>
      </c>
      <c r="AS15" s="32">
        <f>AR15/((1+InputData!$C$7)^(Ophtha!$B15-Ophtha!$B$7))</f>
        <v>59731.177939154921</v>
      </c>
      <c r="AT15" s="5">
        <f t="shared" si="112"/>
        <v>382537.79825040593</v>
      </c>
      <c r="AU15" s="53"/>
      <c r="AV15" s="41" t="s">
        <v>109</v>
      </c>
      <c r="AW15" s="32">
        <f>InputData!$C$84*(1+InputData!$C$12)^(Ophtha!B15-Ophtha!$B$7)</f>
        <v>252164.53197930759</v>
      </c>
      <c r="AX15" s="32">
        <v>0</v>
      </c>
      <c r="AY15" s="32">
        <f t="shared" si="47"/>
        <v>252164.53197930759</v>
      </c>
      <c r="AZ15" s="32">
        <f>AZ14*(1+InputData!$C$8)</f>
        <v>13462.366287716035</v>
      </c>
      <c r="BA15" s="32">
        <f>AW15/((1+InputData!$C$3)^(Ophtha!$B15-Ophtha!$B$7))</f>
        <v>215220</v>
      </c>
      <c r="BB15" s="32">
        <f>AX15/((1+InputData!$C$3)^(Ophtha!$B15-Ophtha!$B$7))</f>
        <v>0</v>
      </c>
      <c r="BC15" s="60" t="s">
        <v>144</v>
      </c>
      <c r="BD15" s="32">
        <v>0</v>
      </c>
      <c r="BE15" s="118">
        <f>BH14+BD15</f>
        <v>258584.86107000004</v>
      </c>
      <c r="BF15" s="32">
        <f>(BE15)*InputData!$C$6</f>
        <v>16058.119872447003</v>
      </c>
      <c r="BG15" s="32">
        <f>MIN($BE$15*InputData!$C$6/(1-(1+InputData!$C$6)^(-10)), BE15+BF15)</f>
        <v>35483.780349040731</v>
      </c>
      <c r="BH15" s="32">
        <f t="shared" si="140"/>
        <v>239159.20059340631</v>
      </c>
      <c r="BI15" s="32">
        <f>BG15/((1+InputData!$C$3)^(Ophtha!$B15-Ophtha!$B$7))</f>
        <v>30285.064861331161</v>
      </c>
      <c r="BJ15" s="32">
        <f>IF(BA15-InputData!$C$158-InputData!$C$159&gt;=0,BA15-InputData!$C$158-InputData!$C$159,0)</f>
        <v>215220</v>
      </c>
      <c r="BK15" s="32">
        <f>IF(BA15-IF(BA15&lt;=InputData!$C$146,InputData!$C$145,0)-MAX(InputData!$C$144,BQ15)&gt;=0,BA15-IF(BA15&lt;=InputData!$C$146,InputData!$C$145,0)-MAX(InputData!$C$144,BQ15),0)</f>
        <v>209120</v>
      </c>
      <c r="BL15" s="32">
        <f>IF(BK15&lt;0,"Error",IF(BK15&lt;=InputData!$B$170,InputData!$C$170*BK15,IF(BK15&lt;=InputData!$B$171,InputData!$D$170+InputData!$C$171*(BK15-InputData!$B$170),IF(BK15&lt;=InputData!$B$172,InputData!$D$171+InputData!$C$172*(BK15-InputData!$B$171),IF(BK15&lt;=InputData!$B$173,InputData!$D$172+InputData!$C$173*(BK15-InputData!$B$172),IF(BK15&lt;=InputData!$B$174,InputData!$D$173+InputData!$C$174*(BK15-InputData!$B$173),IF(BK15&lt;=InputData!$B$175,InputData!$D$174+InputData!$C$175*(BK15-InputData!$B$174),InputData!$D$175+InputData!$C$176*(BK15-InputData!$B$175))))))))</f>
        <v>53140.35</v>
      </c>
      <c r="BM15" s="32">
        <f>IF(BA15&lt;=InputData!$C$150,InputData!$C$152,IF(BA15&lt;InputData!$C$151,IF(InputData!$C$152-0.25*IF(BA15-InputData!$C$150&lt;=0,0,BA15-InputData!$C$150)&lt;=0,0,InputData!$C$152-0.25*IF(BA15-InputData!$C$150&lt;=0,0,BA15-InputData!$C$150)),0))</f>
        <v>26945</v>
      </c>
      <c r="BN15" s="32">
        <f>IF(BA15-BM15&lt;=0,0,IF(BA15-BM15&lt;=InputData!$C$153,InputData!$C$154*(BA15-BM15),InputData!$C$155*(BA15-BM15)-InputData!$D$154))</f>
        <v>49127.000000000007</v>
      </c>
      <c r="BO15" s="32">
        <f t="shared" si="48"/>
        <v>53140.35</v>
      </c>
      <c r="BP15" s="32">
        <f>IF(BA15&gt;=0,IF(BA15&lt;=InputData!$C$148,InputData!$C$147*BA15,InputData!$C$147*InputData!$C$148)+InputData!$C$149*BA15,0)</f>
        <v>10170.09</v>
      </c>
      <c r="BQ15" s="32">
        <f>IF(BJ15&lt;0,0,IF(BJ15&lt;=InputData!$B$163,InputData!$C$163*BJ15,IF(BJ15&lt;=InputData!$B$164,InputData!$D$163+InputData!$C$164*(BJ15-InputData!$B$163),IF(BJ15&lt;=InputData!$B$165,InputData!$D$164+InputData!$C$165*(BJ15-InputData!$B$164),InputData!$D$165+InputData!$C$166*(BJ15-InputData!$B$165)))))</f>
        <v>0</v>
      </c>
      <c r="BR15" s="43">
        <f t="shared" si="49"/>
        <v>0.2941661555617508</v>
      </c>
      <c r="BS15" s="32">
        <f t="shared" si="50"/>
        <v>151909.56</v>
      </c>
      <c r="BT15" s="32">
        <f t="shared" si="51"/>
        <v>121624.49513866883</v>
      </c>
      <c r="BU15" s="32">
        <f>BT15/((1+InputData!$C$7)^(Ophtha!$B15-Ophtha!$B$7))</f>
        <v>96011.499581235563</v>
      </c>
      <c r="BV15" s="5">
        <f t="shared" si="114"/>
        <v>49311.506904871334</v>
      </c>
      <c r="BW15" s="5"/>
      <c r="BX15" s="60" t="s">
        <v>144</v>
      </c>
      <c r="BY15" s="5">
        <f>CB14</f>
        <v>258584.86107000004</v>
      </c>
      <c r="BZ15" s="32">
        <f>(BY15)*InputData!$C$6</f>
        <v>16058.119872447003</v>
      </c>
      <c r="CA15" s="32">
        <f>MIN($BY$15*InputData!$C$6/(1-(1+InputData!$C$6)^(-25)), BY15+BZ15)</f>
        <v>20633.642137763909</v>
      </c>
      <c r="CB15" s="32">
        <f>CB14+$BD15+BZ15-CA15</f>
        <v>254009.33880468312</v>
      </c>
      <c r="CC15" s="32">
        <f>CA15/((1+InputData!$C$3)^(Ophtha!$B15-Ophtha!$B$7))</f>
        <v>17610.614887164047</v>
      </c>
      <c r="CD15" s="5">
        <f t="shared" si="55"/>
        <v>134298.94511283597</v>
      </c>
      <c r="CE15" s="32">
        <f>CD15/((1+InputData!$C$7)^(Ophtha!$B15-Ophtha!$B$7))</f>
        <v>106016.82743069313</v>
      </c>
      <c r="CF15" s="5">
        <f t="shared" si="115"/>
        <v>59316.834754328898</v>
      </c>
      <c r="CG15" s="5"/>
      <c r="CH15" s="60" t="s">
        <v>144</v>
      </c>
      <c r="CI15" s="5">
        <f>CL14</f>
        <v>258584.86107000004</v>
      </c>
      <c r="CJ15" s="32">
        <f>(CI15)*InputData!$C$6</f>
        <v>16058.119872447003</v>
      </c>
      <c r="CK15" s="118">
        <f>IF(0.15*($AY$15-1.5*$AZ15)&lt;=$BG$15,MIN(0.15*($AY15-1.5*$AZ15),$BG$15, CI15+CJ15),"DNQ")</f>
        <v>34795.64738216003</v>
      </c>
      <c r="CL15" s="32">
        <f>CL14+$BD15+CJ15-CK15</f>
        <v>239847.33356028699</v>
      </c>
      <c r="CM15" s="32">
        <f>CK15/((1+InputData!$C$3)^(Ophtha!$B15-Ophtha!$B$7))</f>
        <v>29697.75</v>
      </c>
      <c r="CN15" s="5">
        <f t="shared" si="59"/>
        <v>122211.81</v>
      </c>
      <c r="CO15" s="32">
        <f>CN15/((1+InputData!$C$7)^(Ophtha!$B15-Ophtha!$B$7))</f>
        <v>96475.131356220198</v>
      </c>
      <c r="CP15" s="5">
        <f t="shared" ref="CP15:CP36" si="149">CP14+CO15</f>
        <v>49775.138679855969</v>
      </c>
      <c r="CQ15" s="5"/>
      <c r="CR15" s="60" t="s">
        <v>144</v>
      </c>
      <c r="CS15" s="5">
        <f>CV14</f>
        <v>258584.86107000004</v>
      </c>
      <c r="CT15" s="32">
        <f>(CS15)*InputData!$C$6</f>
        <v>16058.119872447003</v>
      </c>
      <c r="CU15" s="118">
        <f>IF(0.1*($AY$15-1.5*$AZ15)&lt;=$BG$15,MIN(0.1*($AY15-1.5*$AZ15),$BG$15, CS15+CT15),"DNQ")</f>
        <v>23197.098254773355</v>
      </c>
      <c r="CV15" s="32">
        <f>CV14+$BD15+CT15-CU15</f>
        <v>251445.88268767367</v>
      </c>
      <c r="CW15" s="32">
        <f>CU15/((1+InputData!$C$3)^(Ophtha!$B15-Ophtha!$B$7))</f>
        <v>19798.5</v>
      </c>
      <c r="CX15" s="5">
        <f t="shared" si="63"/>
        <v>132111.06</v>
      </c>
      <c r="CY15" s="32">
        <f>CX15/((1+InputData!$C$7)^(Ophtha!$B15-Ophtha!$B$7))</f>
        <v>104289.69071900242</v>
      </c>
      <c r="CZ15" s="5">
        <f t="shared" ref="CZ15:CZ36" si="150">CZ14+CY15</f>
        <v>57589.698042638192</v>
      </c>
      <c r="DA15" s="5"/>
      <c r="DB15" s="32" t="s">
        <v>141</v>
      </c>
      <c r="DC15" s="5">
        <f t="shared" si="141"/>
        <v>151950.4984146918</v>
      </c>
      <c r="DD15" s="5">
        <f>DC15*InputData!$C$6</f>
        <v>9436.1259515523616</v>
      </c>
      <c r="DE15" s="32">
        <f t="shared" si="142"/>
        <v>29148.379963889372</v>
      </c>
      <c r="DF15" s="32">
        <f t="shared" si="143"/>
        <v>132238.24440235479</v>
      </c>
      <c r="DG15" s="32">
        <f>DE15/((1+InputData!$C$3)^(Ophtha!$B15-Ophtha!$B$7))</f>
        <v>24877.861634970352</v>
      </c>
      <c r="DH15" s="5">
        <f t="shared" si="67"/>
        <v>127031.69836502965</v>
      </c>
      <c r="DI15" s="32">
        <f>DH15/((1+InputData!$C$7)^(Ophtha!$B15-Ophtha!$B$7))</f>
        <v>100279.9957399369</v>
      </c>
      <c r="DJ15" s="5">
        <f t="shared" si="130"/>
        <v>-23465.310965567187</v>
      </c>
      <c r="DK15" s="5"/>
      <c r="DL15" s="32" t="s">
        <v>141</v>
      </c>
      <c r="DM15" s="32">
        <f>IF(0.15*($AY15-1.5*$AZ15)&lt;=$DD$2,DQ14-DO14,DQ14)</f>
        <v>234452.40615544797</v>
      </c>
      <c r="DN15" s="5">
        <f>DM15*InputData!$C$6</f>
        <v>14559.494422253319</v>
      </c>
      <c r="DO15" s="32">
        <f>MAX(0,DN15-DP15)</f>
        <v>0</v>
      </c>
      <c r="DP15" s="32">
        <f t="shared" si="131"/>
        <v>29148.379963889372</v>
      </c>
      <c r="DQ15" s="32">
        <f t="shared" si="132"/>
        <v>219863.52061381191</v>
      </c>
      <c r="DR15" s="32">
        <f>DP15/((1+InputData!$C$3)^(Ophtha!$B15-Ophtha!$B$7))</f>
        <v>24877.861634970352</v>
      </c>
      <c r="DS15" s="5">
        <f t="shared" si="71"/>
        <v>127031.69836502965</v>
      </c>
      <c r="DT15" s="32">
        <f>DS15/((1+InputData!$C$7)^(Ophtha!$B15-Ophtha!$B$7))</f>
        <v>100279.9957399369</v>
      </c>
      <c r="DU15" s="5">
        <f t="shared" si="133"/>
        <v>35244.073653157327</v>
      </c>
      <c r="DV15" s="5"/>
      <c r="DW15" s="32" t="s">
        <v>141</v>
      </c>
      <c r="DX15" s="133">
        <f t="shared" si="144"/>
        <v>212416.2</v>
      </c>
      <c r="DY15" s="5">
        <f>DX15*InputData!$C$6</f>
        <v>13191.046020000002</v>
      </c>
      <c r="DZ15" s="133">
        <f t="shared" si="145"/>
        <v>20074.305558858603</v>
      </c>
      <c r="EA15" s="32">
        <f t="shared" si="146"/>
        <v>23197.098254773355</v>
      </c>
      <c r="EB15" s="32">
        <f t="shared" si="147"/>
        <v>232490.50555885863</v>
      </c>
      <c r="EC15" s="32">
        <f>EA15/((1+InputData!$C$3)^(Ophtha!$B15-Ophtha!$B$7))</f>
        <v>19798.5</v>
      </c>
      <c r="ED15" s="5">
        <f t="shared" si="75"/>
        <v>132111.06</v>
      </c>
      <c r="EE15" s="32">
        <f>ED15/((1+InputData!$C$7)^(Ophtha!$B15-Ophtha!$B$7))</f>
        <v>104289.69071900242</v>
      </c>
      <c r="EF15" s="5">
        <f t="shared" si="134"/>
        <v>45365.745102361281</v>
      </c>
      <c r="EG15" s="32"/>
      <c r="EH15" s="133" t="s">
        <v>144</v>
      </c>
      <c r="EI15" s="32">
        <v>0</v>
      </c>
      <c r="EJ15" s="60">
        <f>EL14</f>
        <v>260053.20557999998</v>
      </c>
      <c r="EK15" s="32">
        <f>(EJ15)*InputData!$C$6</f>
        <v>16149.304066518</v>
      </c>
      <c r="EL15" s="32">
        <f t="shared" ref="EL15:EL16" si="151">EL14+EI15+EK15-EN15</f>
        <v>253005.41139174462</v>
      </c>
      <c r="EM15" s="32">
        <f>EM14*(1+InputData!$C$8)</f>
        <v>13462.366287716035</v>
      </c>
      <c r="EN15" s="32">
        <f t="shared" ref="EN15:EN36" si="152">MIN(0.1*(AW15-1.5*EM15),$FD$15,EJ15+EK15)</f>
        <v>23197.098254773355</v>
      </c>
      <c r="EO15" s="32">
        <f>AW15/((1+InputData!$C$3)^(Ophtha!$B15-Ophtha!$B$7))</f>
        <v>215220</v>
      </c>
      <c r="EP15" s="32">
        <f>AX15/((1+InputData!$C$3)^(Ophtha!$B15-Ophtha!$B$7))</f>
        <v>0</v>
      </c>
      <c r="EQ15" s="32">
        <v>8234.07</v>
      </c>
      <c r="ER15" s="32">
        <v>3894.6550000000002</v>
      </c>
      <c r="ES15" s="32">
        <v>0</v>
      </c>
      <c r="ET15" s="43">
        <f t="shared" si="139"/>
        <v>5.6355008828175825E-2</v>
      </c>
      <c r="EU15" s="32">
        <f t="shared" si="76"/>
        <v>203091.27499999999</v>
      </c>
      <c r="EV15" s="32">
        <f>EN15/((1+InputData!$C$3)^(Ophtha!$B15-Ophtha!$B$7))</f>
        <v>19798.5</v>
      </c>
      <c r="EW15" s="32">
        <f t="shared" si="77"/>
        <v>183292.77499999999</v>
      </c>
      <c r="EX15" s="32">
        <f>EW15/((1+InputData!$C$7)^(Ophtha!$B15-Ophtha!$B$7))</f>
        <v>144693.0091680265</v>
      </c>
      <c r="EY15" s="5">
        <f t="shared" si="124"/>
        <v>99244.655661261</v>
      </c>
      <c r="EZ15" s="79"/>
      <c r="FA15" s="60">
        <f t="shared" ref="FA15:FA36" si="153">FC14</f>
        <v>260053.20557999998</v>
      </c>
      <c r="FB15" s="32">
        <f>FA15*InputData!$C$6</f>
        <v>16149.304066518</v>
      </c>
      <c r="FC15" s="32">
        <f t="shared" ref="FC15:FC36" si="154">FC14+$EI15+FB15-FD15</f>
        <v>240517.23871580142</v>
      </c>
      <c r="FD15" s="32">
        <f>MIN($EJ$15*InputData!$C$6/(1-(1+InputData!$C$6)^(-10)), FA15+FB15)</f>
        <v>35685.270930716564</v>
      </c>
      <c r="FE15" s="32">
        <f>FD15/((1+InputData!$C$3)^(Ophtha!$B15-Ophtha!$B$7))</f>
        <v>30457.035132676981</v>
      </c>
      <c r="FF15" s="5">
        <f t="shared" si="81"/>
        <v>172634.23986732302</v>
      </c>
      <c r="FG15" s="32">
        <f>FF15/((1+InputData!$C$7)^(Ophtha!$B15-Ophtha!$B$7))</f>
        <v>136279.0631100318</v>
      </c>
      <c r="FH15" s="5">
        <f t="shared" si="125"/>
        <v>90830.709603266296</v>
      </c>
      <c r="FI15" s="79"/>
      <c r="FJ15" s="60">
        <f t="shared" ref="FJ15:FJ36" si="155">FL14</f>
        <v>260053.20557999998</v>
      </c>
      <c r="FK15" s="32">
        <f>FJ15*InputData!$C$6</f>
        <v>16149.304066518</v>
      </c>
      <c r="FL15" s="32">
        <f>FL14+$EI15+FK15-FM15</f>
        <v>255451.70173567315</v>
      </c>
      <c r="FM15" s="32">
        <f>MIN($EJ$15*InputData!$C$6/(1-(1+InputData!$C$6)^(-25)), FJ15+FK15)</f>
        <v>20750.807910844829</v>
      </c>
      <c r="FN15" s="32">
        <f>FM15/((1+InputData!$C$3)^(Ophtha!$B15-Ophtha!$B$7))</f>
        <v>17710.614746321658</v>
      </c>
      <c r="FO15" s="5">
        <f t="shared" si="85"/>
        <v>185380.66025367833</v>
      </c>
      <c r="FP15" s="32">
        <f>FO15/((1+InputData!$C$7)^(Ophtha!$B15-Ophtha!$B$7))</f>
        <v>146341.20506746808</v>
      </c>
      <c r="FQ15" s="5">
        <f t="shared" si="126"/>
        <v>100892.85156070258</v>
      </c>
      <c r="FR15" s="79"/>
      <c r="FS15" s="60">
        <f t="shared" ref="FS15:FS36" si="156">FU14</f>
        <v>260053.20557999998</v>
      </c>
      <c r="FT15" s="32">
        <f>FS15*InputData!$C$6</f>
        <v>16149.304066518</v>
      </c>
      <c r="FU15" s="32">
        <f>FU14+$EI15+FT15-FV15</f>
        <v>241406.86226435794</v>
      </c>
      <c r="FV15" s="5">
        <f t="shared" ref="FV15:FV36" si="157">MIN(0.15*($AW15-1.5*$EM15),$FD$15, FS15+FT15)</f>
        <v>34795.64738216003</v>
      </c>
      <c r="FW15" s="32">
        <f>FV15/((1+InputData!$C$3)^(Ophtha!$B15-Ophtha!$B$7))</f>
        <v>29697.75</v>
      </c>
      <c r="FX15" s="5">
        <f t="shared" si="88"/>
        <v>173393.52499999999</v>
      </c>
      <c r="FY15" s="32">
        <f>FX15/((1+InputData!$C$7)^(Ophtha!$B15-Ophtha!$B$7))</f>
        <v>136878.44980524428</v>
      </c>
      <c r="FZ15" s="5">
        <f t="shared" si="127"/>
        <v>91430.096298478777</v>
      </c>
      <c r="GC15" s="3">
        <f t="shared" si="2"/>
        <v>5</v>
      </c>
      <c r="GD15" s="4" t="str">
        <f t="shared" si="3"/>
        <v>Service (O3&gt;4 = (BP+BAH+BAS+VSP)*12)+ASP</v>
      </c>
      <c r="GE15" s="5">
        <f t="shared" si="4"/>
        <v>81397.919999999998</v>
      </c>
      <c r="GF15" s="5">
        <f t="shared" si="5"/>
        <v>19939.199999999997</v>
      </c>
      <c r="GG15" s="5">
        <f t="shared" si="6"/>
        <v>101337.12</v>
      </c>
      <c r="GH15" s="5">
        <f t="shared" si="7"/>
        <v>75228.590258697048</v>
      </c>
      <c r="GI15" s="5">
        <f t="shared" si="8"/>
        <v>18427.963600128995</v>
      </c>
      <c r="GJ15" s="32">
        <f>IF(GH15-InputData!$C$158-InputData!$C$159&gt;=0,GH15-InputData!$C$158-InputData!$C$159,0)</f>
        <v>75228.590258697048</v>
      </c>
      <c r="GK15" s="32">
        <f>IF(GH15-IF(GH15&lt;=InputData!$C$146,InputData!$C$145,0)-MAX(InputData!$C$144,GQ15)&gt;=0,GH15-IF(GH15&lt;=InputData!$C$146,InputData!$C$145,0)-MAX(InputData!$C$144,GQ15),0)</f>
        <v>65228.590258697048</v>
      </c>
      <c r="GL15" s="32">
        <f>IF(GK15&lt;0,"Error",IF(GK15&lt;=InputData!$B$170,InputData!$C$170*GK15,IF(GK15&lt;=InputData!$B$171,InputData!$D$170+InputData!$C$171*(GK15-InputData!$B$170),IF(GK15&lt;=InputData!$B$172,InputData!$D$171+InputData!$C$172*(GK15-InputData!$B$171),IF(GK15&lt;=InputData!$B$173,InputData!$D$172+InputData!$C$173*(GK15-InputData!$B$172),IF(GK15&lt;=InputData!$B$174,InputData!$D$173+InputData!$C$174*(GK15-InputData!$B$173),IF(GK15&lt;=InputData!$B$175,InputData!$D$174+InputData!$C$175*(GK15-InputData!$B$174),InputData!$D$175+InputData!$C$176*(GK15-InputData!$B$175))))))))</f>
        <v>12235.897564674262</v>
      </c>
      <c r="GM15" s="32">
        <f>IF(GH15&lt;=InputData!$C$150,InputData!$C$152,IF(GH15&lt;InputData!$C$151,IF(InputData!$C$152-0.25*IF(GH15-InputData!$C$150&lt;=0,0,GH15-InputData!$C$150)&lt;=0,0,InputData!$C$152-0.25*IF(GH15-InputData!$C$150&lt;=0,0,GH15-InputData!$C$150)),0))</f>
        <v>51900</v>
      </c>
      <c r="GN15" s="32">
        <f>IF(GH15-GM15&lt;=0,0,IF(GH15-GM15&lt;=InputData!$C$153,InputData!$C$154*(GH15-GM15),InputData!$C$155*(GH15-GM15)-InputData!$D$154))</f>
        <v>6065.4334672612331</v>
      </c>
      <c r="GO15" s="32">
        <f t="shared" si="89"/>
        <v>12235.897564674262</v>
      </c>
      <c r="GP15" s="32">
        <f>IF(GH15&gt;=0,IF(GH15&lt;=InputData!$C$148,InputData!$C$147*GH15,InputData!$C$147*InputData!$C$148)+InputData!$C$149*GH15,0)</f>
        <v>5754.987154790324</v>
      </c>
      <c r="GQ15" s="32">
        <f>IF(GJ15&lt;0,0,IF(GJ15&lt;=InputData!$B$163,InputData!$C$163*GJ15,IF(GJ15&lt;=InputData!$B$164,InputData!$D$163+InputData!$C$164*(GJ15-InputData!$B$163),IF(GJ15&lt;=InputData!$B$165,InputData!$D$164+InputData!$C$165*(GJ15-InputData!$B$164),InputData!$D$165+InputData!$C$166*(GJ15-InputData!$B$165)))))</f>
        <v>0</v>
      </c>
      <c r="GR15" s="43">
        <f t="shared" si="90"/>
        <v>0.23914956611040164</v>
      </c>
      <c r="GS15" s="43">
        <f t="shared" si="91"/>
        <v>0.19209424197460107</v>
      </c>
      <c r="GT15" s="5">
        <f t="shared" si="9"/>
        <v>75665.669139361446</v>
      </c>
      <c r="GU15" s="32">
        <f>GT15/((1+InputData!$C$7)^(Ophtha!$B15-Ophtha!$B$7))</f>
        <v>59731.177939154921</v>
      </c>
      <c r="GV15" s="32">
        <f t="shared" si="92"/>
        <v>474661.52056107915</v>
      </c>
      <c r="GX15" s="3">
        <f t="shared" si="10"/>
        <v>5</v>
      </c>
      <c r="GY15" s="4" t="str">
        <f t="shared" si="11"/>
        <v>Service (O3&gt;4 = (BP+BAH+BAS+VSP+BCPSP)*12)+ASP</v>
      </c>
      <c r="GZ15" s="5">
        <f t="shared" si="12"/>
        <v>81397.919999999998</v>
      </c>
      <c r="HA15" s="5">
        <f t="shared" si="13"/>
        <v>19939.199999999997</v>
      </c>
      <c r="HB15" s="5">
        <f t="shared" si="14"/>
        <v>101337.12</v>
      </c>
      <c r="HC15" s="5">
        <f t="shared" si="15"/>
        <v>75228.590258697048</v>
      </c>
      <c r="HD15" s="5">
        <f t="shared" si="16"/>
        <v>18427.963600128995</v>
      </c>
      <c r="HE15" s="32">
        <f>IF(HC15-InputData!$C$158-InputData!$C$159&gt;=0,HC15-InputData!$C$158-InputData!$C$159,0)</f>
        <v>75228.590258697048</v>
      </c>
      <c r="HF15" s="32">
        <f>IF(HC15-IF(HC15&lt;=InputData!$C$146,InputData!$C$145,0)-MAX(InputData!$C$144,HL15)&gt;=0,HC15-IF(HC15&lt;=InputData!$C$146,InputData!$C$145,0)-MAX(InputData!$C$144,HL15),0)</f>
        <v>65228.590258697048</v>
      </c>
      <c r="HG15" s="32">
        <f>IF(HF15&lt;0,"Error",IF(HF15&lt;=InputData!$B$170,InputData!$C$170*HF15,IF(HF15&lt;=InputData!$B$171,InputData!$D$170+InputData!$C$171*(HF15-InputData!$B$170),IF(HF15&lt;=InputData!$B$172,InputData!$D$171+InputData!$C$172*(HF15-InputData!$B$171),IF(HF15&lt;=InputData!$B$173,InputData!$D$172+InputData!$C$173*(HF15-InputData!$B$172),IF(HF15&lt;=InputData!$B$174,InputData!$D$173+InputData!$C$174*(HF15-InputData!$B$173),IF(HF15&lt;=InputData!$B$175,InputData!$D$174+InputData!$C$175*(HF15-InputData!$B$174),InputData!$D$175+InputData!$C$176*(HF15-InputData!$B$175))))))))</f>
        <v>12235.897564674262</v>
      </c>
      <c r="HH15" s="32">
        <f>IF(HC15&lt;=InputData!$C$150,InputData!$C$152,IF(HC15&lt;InputData!$C$151,IF(InputData!$C$152-0.25*IF(HC15-InputData!$C$150&lt;=0,0,HC15-InputData!$C$150)&lt;=0,0,InputData!$C$152-0.25*IF(HC15-InputData!$C$150&lt;=0,0,HC15-InputData!$C$150)),0))</f>
        <v>51900</v>
      </c>
      <c r="HI15" s="32">
        <f>IF(HC15-HH15&lt;=0,0,IF(HC15-HH15&lt;=InputData!$C$153,InputData!$C$154*(HC15-HH15),InputData!$C$155*(HC15-HH15)-InputData!$D$154))</f>
        <v>6065.4334672612331</v>
      </c>
      <c r="HJ15" s="32">
        <f t="shared" si="93"/>
        <v>12235.897564674262</v>
      </c>
      <c r="HK15" s="32">
        <f>IF(HC15&gt;=0,IF(HC15&lt;=InputData!$C$148,InputData!$C$147*HC15,InputData!$C$147*InputData!$C$148)+InputData!$C$149*HC15,0)</f>
        <v>5754.987154790324</v>
      </c>
      <c r="HL15" s="32">
        <f>IF(HE15&lt;0,0,IF(HE15&lt;=InputData!$B$163,InputData!$C$163*HE15,IF(HE15&lt;=InputData!$B$164,InputData!$D$163+InputData!$C$164*(HE15-InputData!$B$163),IF(HE15&lt;=InputData!$B$165,InputData!$D$164+InputData!$C$165*(HE15-InputData!$B$164),InputData!$D$165+InputData!$C$166*(HE15-InputData!$B$165)))))</f>
        <v>0</v>
      </c>
      <c r="HM15" s="43">
        <f t="shared" si="94"/>
        <v>0.23914956611040164</v>
      </c>
      <c r="HN15" s="43">
        <f t="shared" si="95"/>
        <v>0.19209424197460107</v>
      </c>
      <c r="HO15" s="5">
        <f t="shared" si="17"/>
        <v>75665.669139361446</v>
      </c>
      <c r="HP15" s="32">
        <f>HO15/((1+InputData!$C$7)^(Ophtha!$B15-Ophtha!$B$7))</f>
        <v>59731.177939154921</v>
      </c>
      <c r="HQ15" s="32">
        <f t="shared" si="96"/>
        <v>382537.79825040593</v>
      </c>
      <c r="HS15" s="93">
        <f t="shared" si="18"/>
        <v>5</v>
      </c>
      <c r="HT15" s="5" t="str">
        <f t="shared" si="19"/>
        <v>Service (O3&gt;4 = (BP+BAH+BAS+VSP)*12)+ASP</v>
      </c>
      <c r="HU15" s="5">
        <f t="shared" si="20"/>
        <v>81397.919999999998</v>
      </c>
      <c r="HV15" s="5">
        <f t="shared" si="21"/>
        <v>19939.199999999997</v>
      </c>
      <c r="HW15" s="5">
        <f t="shared" si="22"/>
        <v>101337.12</v>
      </c>
      <c r="HX15" s="5">
        <f t="shared" si="23"/>
        <v>75228.590258697048</v>
      </c>
      <c r="HY15" s="5">
        <f t="shared" si="24"/>
        <v>18427.963600128995</v>
      </c>
      <c r="HZ15" s="32">
        <f>IF(HX15-InputData!$C$158-InputData!$C$159&gt;=0,HX15-InputData!$C$158-InputData!$C$159,0)</f>
        <v>75228.590258697048</v>
      </c>
      <c r="IA15" s="32">
        <f>IF(HX15-IF(HX15&lt;=InputData!$C$146,InputData!$C$145,0)-MAX(InputData!$C$144,IG15)&gt;=0,HX15-IF(HX15&lt;=InputData!$C$146,InputData!$C$145,0)-MAX(InputData!$C$144,IG15),0)</f>
        <v>65228.590258697048</v>
      </c>
      <c r="IB15" s="32">
        <f>IF(IA15&lt;0,"Error",IF(IA15&lt;=InputData!$B$170,InputData!$C$170*IA15,IF(IA15&lt;=InputData!$B$171,InputData!$D$170+InputData!$C$171*(IA15-InputData!$B$170),IF(IA15&lt;=InputData!$B$172,InputData!$D$171+InputData!$C$172*(IA15-InputData!$B$171),IF(IA15&lt;=InputData!$B$173,InputData!$D$172+InputData!$C$173*(IA15-InputData!$B$172),IF(IA15&lt;=InputData!$B$174,InputData!$D$173+InputData!$C$174*(IA15-InputData!$B$173),IF(IA15&lt;=InputData!$B$175,InputData!$D$174+InputData!$C$175*(IA15-InputData!$B$174),InputData!$D$175+InputData!$C$176*(IA15-InputData!$B$175))))))))</f>
        <v>12235.897564674262</v>
      </c>
      <c r="IC15" s="32">
        <f>IF(HX15&lt;=InputData!$C$150,InputData!$C$152,IF(HX15&lt;InputData!$C$151,IF(InputData!$C$152-0.25*IF(HX15-InputData!$C$150&lt;=0,0,HX15-InputData!$C$150)&lt;=0,0,InputData!$C$152-0.25*IF(HX15-InputData!$C$150&lt;=0,0,HX15-InputData!$C$150)),0))</f>
        <v>51900</v>
      </c>
      <c r="ID15" s="32">
        <f>IF(HX15-IC15&lt;=0,0,IF(HX15-IC15&lt;=InputData!$C$153,InputData!$C$154*(HX15-IC15),InputData!$C$155*(HX15-IC15)-InputData!$D$154))</f>
        <v>6065.4334672612331</v>
      </c>
      <c r="IE15" s="32">
        <f t="shared" si="97"/>
        <v>12235.897564674262</v>
      </c>
      <c r="IF15" s="32">
        <f>IF(HX15&gt;=0,IF(HX15&lt;=InputData!$C$148,InputData!$C$147*HX15,InputData!$C$147*InputData!$C$148)+InputData!$C$149*HX15,0)</f>
        <v>5754.987154790324</v>
      </c>
      <c r="IG15" s="32">
        <f>IF(HZ15&lt;0,0,IF(HZ15&lt;=InputData!$B$163,InputData!$C$163*HZ15,IF(HZ15&lt;=InputData!$B$164,InputData!$D$163+InputData!$C$164*(HZ15-InputData!$B$163),IF(HZ15&lt;=InputData!$B$165,InputData!$D$164+InputData!$C$165*(HZ15-InputData!$B$164),InputData!$D$165+InputData!$C$166*(HZ15-InputData!$B$165)))))</f>
        <v>0</v>
      </c>
      <c r="IH15" s="43">
        <f t="shared" si="98"/>
        <v>0.23914956611040164</v>
      </c>
      <c r="II15" s="43">
        <f t="shared" si="99"/>
        <v>0.19209424197460107</v>
      </c>
      <c r="IJ15" s="5">
        <f t="shared" si="100"/>
        <v>75665.669139361446</v>
      </c>
      <c r="IK15" s="32">
        <f>IJ15/((1+InputData!$C$7)^(Ophtha!$B15-Ophtha!$B$7))</f>
        <v>59731.177939154921</v>
      </c>
      <c r="IL15" s="5">
        <f t="shared" si="101"/>
        <v>474661.52056107915</v>
      </c>
      <c r="IN15" s="93">
        <f t="shared" si="25"/>
        <v>5</v>
      </c>
      <c r="IO15" s="5" t="str">
        <f t="shared" si="26"/>
        <v>Service (O3&gt;4 = (BP+BAH+BAS+VSP+BCPSP)*12)+ASP</v>
      </c>
      <c r="IP15" s="5">
        <f t="shared" si="27"/>
        <v>81397.919999999998</v>
      </c>
      <c r="IQ15" s="5">
        <f t="shared" si="28"/>
        <v>19939.199999999997</v>
      </c>
      <c r="IR15" s="5">
        <f t="shared" si="29"/>
        <v>101337.12</v>
      </c>
      <c r="IS15" s="5">
        <f t="shared" si="30"/>
        <v>75228.590258697048</v>
      </c>
      <c r="IT15" s="5">
        <f t="shared" si="31"/>
        <v>18427.963600128995</v>
      </c>
      <c r="IU15" s="32">
        <f>IF(IS15-InputData!$C$158-InputData!$C$159&gt;=0,IS15-InputData!$C$158-InputData!$C$159,0)</f>
        <v>75228.590258697048</v>
      </c>
      <c r="IV15" s="32">
        <f>IF(IS15-IF(IS15&lt;=InputData!$C$146,InputData!$C$145,0)-MAX(InputData!$C$144,JB15)&gt;=0,IS15-IF(IS15&lt;=InputData!$C$146,InputData!$C$145,0)-MAX(InputData!$C$144,JB15),0)</f>
        <v>65228.590258697048</v>
      </c>
      <c r="IW15" s="32">
        <f>IF(IV15&lt;0,"Error",IF(IV15&lt;=InputData!$B$170,InputData!$C$170*IV15,IF(IV15&lt;=InputData!$B$171,InputData!$D$170+InputData!$C$171*(IV15-InputData!$B$170),IF(IV15&lt;=InputData!$B$172,InputData!$D$171+InputData!$C$172*(IV15-InputData!$B$171),IF(IV15&lt;=InputData!$B$173,InputData!$D$172+InputData!$C$173*(IV15-InputData!$B$172),IF(IV15&lt;=InputData!$B$174,InputData!$D$173+InputData!$C$174*(IV15-InputData!$B$173),IF(IV15&lt;=InputData!$B$175,InputData!$D$174+InputData!$C$175*(IV15-InputData!$B$174),InputData!$D$175+InputData!$C$176*(IV15-InputData!$B$175))))))))</f>
        <v>12235.897564674262</v>
      </c>
      <c r="IX15" s="32">
        <f>IF(IS15&lt;=InputData!$C$150,InputData!$C$152,IF(IS15&lt;InputData!$C$151,IF(InputData!$C$152-0.25*IF(IS15-InputData!$C$150&lt;=0,0,IS15-InputData!$C$150)&lt;=0,0,InputData!$C$152-0.25*IF(IS15-InputData!$C$150&lt;=0,0,IS15-InputData!$C$150)),0))</f>
        <v>51900</v>
      </c>
      <c r="IY15" s="32">
        <f>IF(IS15-IX15&lt;=0,0,IF(IS15-IX15&lt;=InputData!$C$153,InputData!$C$154*(IS15-IX15),InputData!$C$155*(IS15-IX15)-InputData!$D$154))</f>
        <v>6065.4334672612331</v>
      </c>
      <c r="IZ15" s="32">
        <f t="shared" si="102"/>
        <v>12235.897564674262</v>
      </c>
      <c r="JA15" s="32">
        <f>IF(IS15&gt;=0,IF(IS15&lt;=InputData!$C$148,InputData!$C$147*IS15,InputData!$C$147*InputData!$C$148)+InputData!$C$149*IS15,0)</f>
        <v>5754.987154790324</v>
      </c>
      <c r="JB15" s="32">
        <f>IF(IU15&lt;0,0,IF(IU15&lt;=InputData!$B$163,InputData!$C$163*IU15,IF(IU15&lt;=InputData!$B$164,InputData!$D$163+InputData!$C$164*(IU15-InputData!$B$163),IF(IU15&lt;=InputData!$B$165,InputData!$D$164+InputData!$C$165*(IU15-InputData!$B$164),InputData!$D$165+InputData!$C$166*(IU15-InputData!$B$165)))))</f>
        <v>0</v>
      </c>
      <c r="JC15" s="43">
        <f t="shared" si="103"/>
        <v>0.23914956611040164</v>
      </c>
      <c r="JD15" s="43">
        <f t="shared" si="104"/>
        <v>0.19209424197460107</v>
      </c>
      <c r="JE15" s="5">
        <f t="shared" si="105"/>
        <v>75665.669139361446</v>
      </c>
      <c r="JF15" s="32">
        <f>JE15/((1+InputData!$C$7)^(Ophtha!$B15-Ophtha!$B$7))</f>
        <v>59731.177939154921</v>
      </c>
      <c r="JG15" s="5">
        <f t="shared" si="106"/>
        <v>382537.79825040593</v>
      </c>
      <c r="JI15" s="41" t="str">
        <f t="shared" si="32"/>
        <v>Private Practice</v>
      </c>
      <c r="JJ15" s="5">
        <f t="shared" si="33"/>
        <v>252164.53197930759</v>
      </c>
      <c r="JK15" s="32">
        <v>0</v>
      </c>
      <c r="JL15" s="32">
        <f t="shared" si="108"/>
        <v>252164.53197930759</v>
      </c>
      <c r="JM15" s="32">
        <f>JM14*(1+InputData!$C$8)</f>
        <v>13462.366287716035</v>
      </c>
      <c r="JN15" s="32">
        <f>JJ15/((1+InputData!$C$3)^(Ophtha!$B15-Ophtha!$B$7))</f>
        <v>215220</v>
      </c>
      <c r="JO15" s="32">
        <f>JK15/((1+InputData!$C$3)^(Ophtha!$B15-Ophtha!$B$7))</f>
        <v>0</v>
      </c>
      <c r="JP15" s="60" t="s">
        <v>144</v>
      </c>
      <c r="JQ15" s="32">
        <v>0</v>
      </c>
      <c r="JR15" s="118">
        <f>JU14+JQ15</f>
        <v>0</v>
      </c>
      <c r="JS15" s="32">
        <f>(JR15)*InputData!$C$6</f>
        <v>0</v>
      </c>
      <c r="JT15" s="32">
        <f>MIN($BE$15*InputData!$C$6/(1-(1+InputData!$C$6)^(-10)), JR15+JS15)</f>
        <v>0</v>
      </c>
      <c r="JU15" s="32">
        <f t="shared" si="148"/>
        <v>0</v>
      </c>
      <c r="JV15" s="32">
        <f>JT15/((1+InputData!$C$3)^(Ophtha!$B15-Ophtha!$B$7))</f>
        <v>0</v>
      </c>
      <c r="JW15" s="32">
        <f>IF(JN15-InputData!$C$158-InputData!$C$159&gt;=0,JN15-InputData!$C$158-InputData!$C$159,0)</f>
        <v>215220</v>
      </c>
      <c r="JX15" s="32">
        <f>IF(JN15-IF(JN15&lt;=InputData!$C$146,InputData!$C$145,0)-MAX(InputData!$C$144,KD15)&gt;=0,JN15-IF(JN15&lt;=InputData!$C$146,InputData!$C$145,0)-MAX(InputData!$C$144,KD15),0)</f>
        <v>209120</v>
      </c>
      <c r="JY15" s="32">
        <f>IF(JX15&lt;0,"Error",IF(JX15&lt;=InputData!$B$170,InputData!$C$170*JX15,IF(JX15&lt;=InputData!$B$171,InputData!$D$170+InputData!$C$171*(JX15-InputData!$B$170),IF(JX15&lt;=InputData!$B$172,InputData!$D$171+InputData!$C$172*(JX15-InputData!$B$171),IF(JX15&lt;=InputData!$B$173,InputData!$D$172+InputData!$C$173*(JX15-InputData!$B$172),IF(JX15&lt;=InputData!$B$174,InputData!$D$173+InputData!$C$174*(JX15-InputData!$B$173),IF(JX15&lt;=InputData!$B$175,InputData!$D$174+InputData!$C$175*(JX15-InputData!$B$174),InputData!$D$175+InputData!$C$176*(JX15-InputData!$B$175))))))))</f>
        <v>53140.35</v>
      </c>
      <c r="JZ15" s="32">
        <f>IF(JN15&lt;=InputData!$C$150,InputData!$C$152,IF(JN15&lt;InputData!$C$151,IF(InputData!$C$152-0.25*IF(JN15-InputData!$C$150&lt;=0,0,JN15-InputData!$C$150)&lt;=0,0,InputData!$C$152-0.25*IF(JN15-InputData!$C$150&lt;=0,0,JN15-InputData!$C$150)),0))</f>
        <v>26945</v>
      </c>
      <c r="KA15" s="32">
        <f>IF(JN15-JZ15&lt;=0,0,IF(JN15-JZ15&lt;=InputData!$C$153,InputData!$C$154*(JN15-JZ15),InputData!$C$155*(JN15-JZ15)-InputData!$D$154))</f>
        <v>49127.000000000007</v>
      </c>
      <c r="KB15" s="32">
        <f t="shared" si="109"/>
        <v>53140.35</v>
      </c>
      <c r="KC15" s="32">
        <f>IF(JN15&gt;=0,IF(JN15&lt;=InputData!$C$148,InputData!$C$147*JN15,InputData!$C$147*InputData!$C$148)+InputData!$C$149*JN15,0)</f>
        <v>10170.09</v>
      </c>
      <c r="KD15" s="32">
        <f>IF(JW15&lt;0,0,IF(JW15&lt;=InputData!$B$163,InputData!$C$163*JW15,IF(JW15&lt;=InputData!$B$164,InputData!$D$163+InputData!$C$164*(JW15-InputData!$B$163),IF(JW15&lt;=InputData!$B$165,InputData!$D$164+InputData!$C$165*(JW15-InputData!$B$164),InputData!$D$165+InputData!$C$166*(JW15-InputData!$B$165)))))</f>
        <v>0</v>
      </c>
      <c r="KE15" s="43">
        <f t="shared" si="34"/>
        <v>0.2941661555617508</v>
      </c>
      <c r="KF15" s="32">
        <f t="shared" si="35"/>
        <v>151909.56</v>
      </c>
      <c r="KG15" s="32">
        <f t="shared" si="110"/>
        <v>151909.56</v>
      </c>
      <c r="KH15" s="32">
        <f>KG15/((1+InputData!$C$7)^(Ophtha!$B15-Ophtha!$B$7))</f>
        <v>119918.80944456688</v>
      </c>
      <c r="KI15" s="5">
        <f t="shared" si="129"/>
        <v>264086.19705728476</v>
      </c>
    </row>
    <row r="16" spans="1:295" ht="14.45" x14ac:dyDescent="0.3">
      <c r="A16" s="4">
        <v>2022</v>
      </c>
      <c r="B16" s="51">
        <v>10</v>
      </c>
      <c r="C16" s="4"/>
      <c r="D16" s="3">
        <v>6</v>
      </c>
      <c r="E16" s="97" t="s">
        <v>19</v>
      </c>
      <c r="F16" s="5">
        <f>InputData!$F$24*12</f>
        <v>61398</v>
      </c>
      <c r="G16" s="32">
        <f>(InputData!$F$24+InputData!$D$45+InputData!$C$50)*12+InputData!$J$50</f>
        <v>83897.88</v>
      </c>
      <c r="H16" s="32">
        <f>(InputData!$C$35+InputData!$C$40)*12</f>
        <v>19939.199999999997</v>
      </c>
      <c r="I16" s="32">
        <f t="shared" si="36"/>
        <v>103837.08</v>
      </c>
      <c r="J16" s="32">
        <f>G16*((1+InputData!$C$5)/(1+InputData!$C$3))^(Ophtha!$B16-Ophtha!$B$7)</f>
        <v>76778.885732020964</v>
      </c>
      <c r="K16" s="32">
        <f>H16*((1+InputData!$C$5)/(1+InputData!$C$3))^(Ophtha!$B16-Ophtha!$B$7)</f>
        <v>18247.297290323808</v>
      </c>
      <c r="L16" s="32">
        <f>IF(J16-InputData!$C$158-InputData!$C$159&gt;=0,J16-InputData!$C$158-InputData!$C$159,0)</f>
        <v>76778.885732020964</v>
      </c>
      <c r="M16" s="32">
        <f>IF(J16-IF(J16&lt;=InputData!$C$146,InputData!$C$145,0)-MAX(InputData!$C$144,S16)&gt;=0,J16-IF(J16&lt;=InputData!$C$146,InputData!$C$145,0)-MAX(InputData!$C$144,S16),0)</f>
        <v>66778.885732020964</v>
      </c>
      <c r="N16" s="32">
        <f>IF(M16&lt;0,"Error",IF(M16&lt;=InputData!$B$170,InputData!$C$170*M16,IF(M16&lt;=InputData!$B$171,InputData!$D$170+InputData!$C$171*(M16-InputData!$B$170),IF(M16&lt;=InputData!$B$172,InputData!$D$171+InputData!$C$172*(M16-InputData!$B$171),IF(M16&lt;=InputData!$B$173,InputData!$D$172+InputData!$C$173*(M16-InputData!$B$172),IF(M16&lt;=InputData!$B$174,InputData!$D$173+InputData!$C$174*(M16-InputData!$B$173),IF(M16&lt;=InputData!$B$175,InputData!$D$174+InputData!$C$175*(M16-InputData!$B$174),InputData!$D$175+InputData!$C$176*(M16-InputData!$B$175))))))))</f>
        <v>12623.471433005241</v>
      </c>
      <c r="O16" s="32">
        <f>IF(J16&lt;=InputData!$C$150,InputData!$C$152,IF(J16&lt;InputData!$C$151,IF(InputData!$C$152-0.25*IF(J16-InputData!$C$150&lt;=0,0,J16-InputData!$C$150)&lt;=0,0,InputData!$C$152-0.25*IF(J16-InputData!$C$150&lt;=0,0,J16-InputData!$C$150)),0))</f>
        <v>51900</v>
      </c>
      <c r="P16" s="32">
        <f>IF(J16-O16&lt;=0,0,IF(J16-O16&lt;=InputData!$C$153,InputData!$C$154*(J16-O16),InputData!$C$155*(J16-O16)-InputData!$D$154))</f>
        <v>6468.510290325451</v>
      </c>
      <c r="Q16" s="32">
        <f t="shared" si="37"/>
        <v>12623.471433005241</v>
      </c>
      <c r="R16" s="32">
        <f>IF(J16&gt;=0,IF(J16&lt;=InputData!$C$148,InputData!$C$147*J16,InputData!$C$147*InputData!$C$148)+InputData!$C$149*J16,0)</f>
        <v>5873.5847584996036</v>
      </c>
      <c r="S16" s="32">
        <f>IF(L16&lt;0,0,IF(L16&lt;=InputData!$B$163,InputData!$C$163*L16,IF(L16&lt;=InputData!$B$164,InputData!$D$163+InputData!$C$164*(L16-InputData!$B$163),IF(L16&lt;=InputData!$B$165,InputData!$D$164+InputData!$C$165*(L16-InputData!$B$164),InputData!$D$165+InputData!$C$166*(L16-InputData!$B$165)))))</f>
        <v>0</v>
      </c>
      <c r="T16" s="43">
        <f t="shared" si="38"/>
        <v>0.24091331900888174</v>
      </c>
      <c r="U16" s="43">
        <f t="shared" si="39"/>
        <v>0.19465220640457995</v>
      </c>
      <c r="V16" s="5">
        <f t="shared" si="40"/>
        <v>76529.12683083993</v>
      </c>
      <c r="W16" s="32">
        <f>V16/((1+InputData!$C$7)^(Ophtha!$B16-Ophtha!$B$7))</f>
        <v>58653.20331480333</v>
      </c>
      <c r="X16" s="5">
        <f t="shared" si="111"/>
        <v>533314.72387588245</v>
      </c>
      <c r="Y16" s="53"/>
      <c r="Z16" s="3">
        <v>6</v>
      </c>
      <c r="AA16" s="97" t="s">
        <v>19</v>
      </c>
      <c r="AB16" s="5">
        <f t="shared" si="136"/>
        <v>61398</v>
      </c>
      <c r="AC16" s="32">
        <f t="shared" si="137"/>
        <v>83897.88</v>
      </c>
      <c r="AD16" s="32">
        <f t="shared" si="137"/>
        <v>19939.199999999997</v>
      </c>
      <c r="AE16" s="32">
        <f t="shared" si="41"/>
        <v>103837.08</v>
      </c>
      <c r="AF16" s="5">
        <f>AC16*((1+InputData!$C$5)/(1+InputData!$C$3))^(Ophtha!$B16-Ophtha!$B$7)</f>
        <v>76778.885732020964</v>
      </c>
      <c r="AG16" s="5">
        <f>AD16*((1+InputData!$C$5)/(1+InputData!$C$3))^(Ophtha!$B16-Ophtha!$B$7)</f>
        <v>18247.297290323808</v>
      </c>
      <c r="AH16" s="32">
        <f>IF(AF16-InputData!$C$158-InputData!$C$159&gt;=0,AF16-InputData!$C$158-InputData!$C$159,0)</f>
        <v>76778.885732020964</v>
      </c>
      <c r="AI16" s="32">
        <f>IF(AF16-IF(AF16&lt;=InputData!$C$146,InputData!$C$145,0)-MAX(InputData!$C$144,AO16)&gt;=0,AF16-IF(AF16&lt;=InputData!$C$146,InputData!$C$145,0)-MAX(InputData!$C$144,AO16),0)</f>
        <v>66778.885732020964</v>
      </c>
      <c r="AJ16" s="32">
        <f>IF(AI16&lt;0,"Error",IF(AI16&lt;=InputData!$B$170,InputData!$C$170*AI16,IF(AI16&lt;=InputData!$B$171,InputData!$D$170+InputData!$C$171*(AI16-InputData!$B$170),IF(AI16&lt;=InputData!$B$172,InputData!$D$171+InputData!$C$172*(AI16-InputData!$B$171),IF(AI16&lt;=InputData!$B$173,InputData!$D$172+InputData!$C$173*(AI16-InputData!$B$172),IF(AI16&lt;=InputData!$B$174,InputData!$D$173+InputData!$C$174*(AI16-InputData!$B$173),IF(AI16&lt;=InputData!$B$175,InputData!$D$174+InputData!$C$175*(AI16-InputData!$B$174),InputData!$D$175+InputData!$C$176*(AI16-InputData!$B$175))))))))</f>
        <v>12623.471433005241</v>
      </c>
      <c r="AK16" s="32">
        <f>IF(AF16&lt;=InputData!$C$150,InputData!$C$152,IF(AF16&lt;InputData!$C$151,IF(InputData!$C$152-0.25*IF(AF16-InputData!$C$150&lt;=0,0,AF16-InputData!$C$150)&lt;=0,0,InputData!$C$152-0.25*IF(AF16-InputData!$C$150&lt;=0,0,AF16-InputData!$C$150)),0))</f>
        <v>51900</v>
      </c>
      <c r="AL16" s="32">
        <f>IF(AF16-AK16&lt;=0,0,IF(AF16-AK16&lt;=InputData!$C$153,InputData!$C$154*(AF16-AK16),InputData!$C$155*(AF16-AK16)-InputData!$D$154))</f>
        <v>6468.510290325451</v>
      </c>
      <c r="AM16" s="32">
        <f t="shared" si="42"/>
        <v>12623.471433005241</v>
      </c>
      <c r="AN16" s="32">
        <f>IF(AF16&gt;=0,IF(AF16&lt;=InputData!$C$148,InputData!$C$147*AF16,InputData!$C$147*InputData!$C$148)+InputData!$C$149*AF16,0)</f>
        <v>5873.5847584996036</v>
      </c>
      <c r="AO16" s="32">
        <f>IF(AH16&lt;0,0,IF(AH16&lt;=InputData!$B$163,InputData!$C$163*AH16,IF(AH16&lt;=InputData!$B$164,InputData!$D$163+InputData!$C$164*(AH16-InputData!$B$163),IF(AH16&lt;=InputData!$B$165,InputData!$D$164+InputData!$C$165*(AH16-InputData!$B$164),InputData!$D$165+InputData!$C$166*(AH16-InputData!$B$165)))))</f>
        <v>0</v>
      </c>
      <c r="AP16" s="43">
        <f t="shared" si="43"/>
        <v>0.24091331900888174</v>
      </c>
      <c r="AQ16" s="43">
        <f t="shared" si="44"/>
        <v>0.19465220640457995</v>
      </c>
      <c r="AR16" s="5">
        <f t="shared" si="45"/>
        <v>76529.12683083993</v>
      </c>
      <c r="AS16" s="32">
        <f>AR16/((1+InputData!$C$7)^(Ophtha!$B16-Ophtha!$B$7))</f>
        <v>58653.20331480333</v>
      </c>
      <c r="AT16" s="5">
        <f t="shared" si="112"/>
        <v>441191.00156520924</v>
      </c>
      <c r="AU16" s="53"/>
      <c r="AV16" s="41" t="s">
        <v>109</v>
      </c>
      <c r="AW16" s="32">
        <f>$AW$15*(1+InputData!$C$3+InputData!$C$4)^(Ophtha!$B16-Ophtha!$B$17)</f>
        <v>244819.93396049281</v>
      </c>
      <c r="AX16" s="32">
        <v>0</v>
      </c>
      <c r="AY16" s="32">
        <f t="shared" si="47"/>
        <v>244819.93396049281</v>
      </c>
      <c r="AZ16" s="32">
        <f>AZ15*(1+InputData!$C$8)</f>
        <v>13731.613613470356</v>
      </c>
      <c r="BA16" s="32">
        <f>AW16/((1+InputData!$C$3)^(Ophtha!$B16-Ophtha!$B$7))</f>
        <v>204854.36893203884</v>
      </c>
      <c r="BB16" s="32">
        <f>AX16/((1+InputData!$C$3)^(Ophtha!$B16-Ophtha!$B$7))</f>
        <v>0</v>
      </c>
      <c r="BC16" s="32" t="s">
        <v>141</v>
      </c>
      <c r="BD16" s="32">
        <v>0</v>
      </c>
      <c r="BE16" s="32">
        <f t="shared" ref="BE16:BE36" si="158">BH15+BD16</f>
        <v>239159.20059340631</v>
      </c>
      <c r="BF16" s="32">
        <f>(BE16)*InputData!$C$6</f>
        <v>14851.786356850533</v>
      </c>
      <c r="BG16" s="32">
        <f>MIN($BE$15*InputData!$C$6/(1-(1+InputData!$C$6)^(-10)), BE16+BF16)</f>
        <v>35483.780349040731</v>
      </c>
      <c r="BH16" s="32">
        <f t="shared" si="140"/>
        <v>218527.20660121611</v>
      </c>
      <c r="BI16" s="32">
        <f>BG16/((1+InputData!$C$3)^(Ophtha!$B16-Ophtha!$B$7))</f>
        <v>29691.240060128592</v>
      </c>
      <c r="BJ16" s="32">
        <f>IF(BA16-InputData!$C$158-InputData!$C$159&gt;=0,BA16-InputData!$C$158-InputData!$C$159,0)</f>
        <v>204854.36893203884</v>
      </c>
      <c r="BK16" s="32">
        <f>IF(BA16-IF(BA16&lt;=InputData!$C$146,InputData!$C$145,0)-MAX(InputData!$C$144,BQ16)&gt;=0,BA16-IF(BA16&lt;=InputData!$C$146,InputData!$C$145,0)-MAX(InputData!$C$144,BQ16),0)</f>
        <v>198754.36893203884</v>
      </c>
      <c r="BL16" s="32">
        <f>IF(BK16&lt;0,"Error",IF(BK16&lt;=InputData!$B$170,InputData!$C$170*BK16,IF(BK16&lt;=InputData!$B$171,InputData!$D$170+InputData!$C$171*(BK16-InputData!$B$170),IF(BK16&lt;=InputData!$B$172,InputData!$D$171+InputData!$C$172*(BK16-InputData!$B$171),IF(BK16&lt;=InputData!$B$173,InputData!$D$172+InputData!$C$173*(BK16-InputData!$B$172),IF(BK16&lt;=InputData!$B$174,InputData!$D$173+InputData!$C$174*(BK16-InputData!$B$173),IF(BK16&lt;=InputData!$B$175,InputData!$D$174+InputData!$C$175*(BK16-InputData!$B$174),InputData!$D$175+InputData!$C$176*(BK16-InputData!$B$175))))))))</f>
        <v>49719.691747572819</v>
      </c>
      <c r="BM16" s="32">
        <f>IF(BA16&lt;=InputData!$C$150,InputData!$C$152,IF(BA16&lt;InputData!$C$151,IF(InputData!$C$152-0.25*IF(BA16-InputData!$C$150&lt;=0,0,BA16-InputData!$C$150)&lt;=0,0,InputData!$C$152-0.25*IF(BA16-InputData!$C$150&lt;=0,0,BA16-InputData!$C$150)),0))</f>
        <v>29536.407766990291</v>
      </c>
      <c r="BN16" s="32">
        <f>IF(BA16-BM16&lt;=0,0,IF(BA16-BM16&lt;=InputData!$C$153,InputData!$C$154*(BA16-BM16),InputData!$C$155*(BA16-BM16)-InputData!$D$154))</f>
        <v>45582.669902912618</v>
      </c>
      <c r="BO16" s="32">
        <f t="shared" si="48"/>
        <v>49719.691747572819</v>
      </c>
      <c r="BP16" s="32">
        <f>IF(BA16&gt;=0,IF(BA16&lt;=InputData!$C$148,InputData!$C$147*BA16,InputData!$C$147*InputData!$C$148)+InputData!$C$149*BA16,0)</f>
        <v>10019.788349514563</v>
      </c>
      <c r="BQ16" s="32">
        <f>IF(BJ16&lt;0,0,IF(BJ16&lt;=InputData!$B$163,InputData!$C$163*BJ16,IF(BJ16&lt;=InputData!$B$164,InputData!$D$163+InputData!$C$164*(BJ16-InputData!$B$163),IF(BJ16&lt;=InputData!$B$165,InputData!$D$164+InputData!$C$165*(BJ16-InputData!$B$164),InputData!$D$165+InputData!$C$166*(BJ16-InputData!$B$165)))))</f>
        <v>0</v>
      </c>
      <c r="BR16" s="43">
        <f t="shared" si="49"/>
        <v>0.29161926303317537</v>
      </c>
      <c r="BS16" s="32">
        <f t="shared" si="50"/>
        <v>145114.88883495145</v>
      </c>
      <c r="BT16" s="32">
        <f t="shared" si="51"/>
        <v>115423.64877482285</v>
      </c>
      <c r="BU16" s="32">
        <f>BT16/((1+InputData!$C$7)^(Ophtha!$B16-Ophtha!$B$7))</f>
        <v>88462.615729178215</v>
      </c>
      <c r="BV16" s="5">
        <f t="shared" si="114"/>
        <v>137774.12263404956</v>
      </c>
      <c r="BW16" s="5"/>
      <c r="BX16" s="32" t="s">
        <v>141</v>
      </c>
      <c r="BY16" s="5">
        <f t="shared" ref="BY16:BY36" si="159">CB15</f>
        <v>254009.33880468312</v>
      </c>
      <c r="BZ16" s="32">
        <f>(BY16)*InputData!$C$6</f>
        <v>15773.979939770823</v>
      </c>
      <c r="CA16" s="32">
        <f>MIN($BY$15*InputData!$C$6/(1-(1+InputData!$C$6)^(-25)), BY16+BZ16)</f>
        <v>20633.642137763909</v>
      </c>
      <c r="CB16" s="32">
        <f t="shared" ref="CB16:CB36" si="160">CB15+$BD16+BZ16-CA16</f>
        <v>249149.67660669005</v>
      </c>
      <c r="CC16" s="32">
        <f>CA16/((1+InputData!$C$3)^(Ophtha!$B16-Ophtha!$B$7))</f>
        <v>17265.308712905928</v>
      </c>
      <c r="CD16" s="5">
        <f t="shared" si="55"/>
        <v>127849.58012204552</v>
      </c>
      <c r="CE16" s="32">
        <f>CD16/((1+InputData!$C$7)^(Ophtha!$B16-Ophtha!$B$7))</f>
        <v>97986.057428642845</v>
      </c>
      <c r="CF16" s="5">
        <f t="shared" si="115"/>
        <v>157302.89218297176</v>
      </c>
      <c r="CG16" s="5"/>
      <c r="CH16" s="32" t="s">
        <v>141</v>
      </c>
      <c r="CI16" s="5">
        <f t="shared" ref="CI16:CI36" si="161">CL15</f>
        <v>239847.33356028699</v>
      </c>
      <c r="CJ16" s="32">
        <f>(CI16)*InputData!$C$6</f>
        <v>14894.519414093822</v>
      </c>
      <c r="CK16" s="5">
        <f t="shared" ref="CK16:CK36" si="162">IF(0.15*($AY$15-1.5*$AZ16)&lt;=$BG$15,MIN(0.15*($AY16-1.5*$AZ16),$BG$15, CI16+CJ16),"DNQ")</f>
        <v>33633.377031043092</v>
      </c>
      <c r="CL16" s="32">
        <f t="shared" ref="CL16:CL36" si="163">CL15+$BD16+CJ16-CK16</f>
        <v>221108.47594333772</v>
      </c>
      <c r="CM16" s="32">
        <f>CK16/((1+InputData!$C$3)^(Ophtha!$B16-Ophtha!$B$7))</f>
        <v>28142.905339805824</v>
      </c>
      <c r="CN16" s="5">
        <f t="shared" si="59"/>
        <v>116971.98349514563</v>
      </c>
      <c r="CO16" s="32">
        <f>CN16/((1+InputData!$C$7)^(Ophtha!$B16-Ophtha!$B$7))</f>
        <v>89649.28536610218</v>
      </c>
      <c r="CP16" s="5">
        <f t="shared" si="149"/>
        <v>139424.42404595815</v>
      </c>
      <c r="CQ16" s="5"/>
      <c r="CR16" s="32" t="s">
        <v>141</v>
      </c>
      <c r="CS16" s="5">
        <f t="shared" ref="CS16:CS36" si="164">CV15</f>
        <v>251445.88268767367</v>
      </c>
      <c r="CT16" s="32">
        <f>(CS16)*InputData!$C$6</f>
        <v>15614.789314904536</v>
      </c>
      <c r="CU16" s="32">
        <f t="shared" ref="CU16:CU36" si="165">IF(0.1*($AY$15-1.5*$AZ16)&lt;=$BG$15,MIN(0.1*($AY16-1.5*$AZ16),$BG$15, CS16+CT16),"DNQ")</f>
        <v>22422.251354028729</v>
      </c>
      <c r="CV16" s="32">
        <f t="shared" ref="CV16:CV36" si="166">CV15+$BD16+CT16-CU16</f>
        <v>244638.42064854948</v>
      </c>
      <c r="CW16" s="32">
        <f>CU16/((1+InputData!$C$3)^(Ophtha!$B16-Ophtha!$B$7))</f>
        <v>18761.936893203885</v>
      </c>
      <c r="CX16" s="5">
        <f t="shared" si="63"/>
        <v>126352.95194174757</v>
      </c>
      <c r="CY16" s="32">
        <f>CX16/((1+InputData!$C$7)^(Ophtha!$B16-Ophtha!$B$7))</f>
        <v>96839.016549165506</v>
      </c>
      <c r="CZ16" s="5">
        <f t="shared" si="150"/>
        <v>154428.7145918037</v>
      </c>
      <c r="DA16" s="5"/>
      <c r="DB16" s="32" t="s">
        <v>141</v>
      </c>
      <c r="DC16" s="5">
        <f t="shared" si="141"/>
        <v>132238.24440235479</v>
      </c>
      <c r="DD16" s="5">
        <f>DC16*InputData!$C$6</f>
        <v>8211.9949773862318</v>
      </c>
      <c r="DE16" s="32">
        <f t="shared" si="142"/>
        <v>29148.379963889372</v>
      </c>
      <c r="DF16" s="32">
        <f t="shared" si="143"/>
        <v>111301.85941585165</v>
      </c>
      <c r="DG16" s="32">
        <f>DE16/((1+InputData!$C$3)^(Ophtha!$B16-Ophtha!$B$7))</f>
        <v>24390.060426441523</v>
      </c>
      <c r="DH16" s="5">
        <f t="shared" si="67"/>
        <v>120724.82840850993</v>
      </c>
      <c r="DI16" s="32">
        <f>DH16/((1+InputData!$C$7)^(Ophtha!$B16-Ophtha!$B$7))</f>
        <v>92525.52850159524</v>
      </c>
      <c r="DJ16" s="5">
        <f t="shared" si="130"/>
        <v>69060.217536028053</v>
      </c>
      <c r="DK16" s="5"/>
      <c r="DL16" s="32" t="s">
        <v>141</v>
      </c>
      <c r="DM16" s="32">
        <f t="shared" ref="DM16:DM36" si="167">IF(0.15*($AY16-1.5*$AZ16)&lt;=$DD$2,DQ15-DO15,DQ15)</f>
        <v>219863.52061381191</v>
      </c>
      <c r="DN16" s="5">
        <f>DM16*InputData!$C$6</f>
        <v>13653.524630117719</v>
      </c>
      <c r="DO16" s="32">
        <f t="shared" ref="DO16:DO36" si="168">MAX(0,DN16-DP16)</f>
        <v>0</v>
      </c>
      <c r="DP16" s="32">
        <f t="shared" si="131"/>
        <v>29148.379963889372</v>
      </c>
      <c r="DQ16" s="32">
        <f t="shared" si="132"/>
        <v>204368.66528004027</v>
      </c>
      <c r="DR16" s="32">
        <f>DP16/((1+InputData!$C$3)^(Ophtha!$B16-Ophtha!$B$7))</f>
        <v>24390.060426441523</v>
      </c>
      <c r="DS16" s="5">
        <f t="shared" si="71"/>
        <v>120724.82840850993</v>
      </c>
      <c r="DT16" s="32">
        <f>DS16/((1+InputData!$C$7)^(Ophtha!$B16-Ophtha!$B$7))</f>
        <v>92525.52850159524</v>
      </c>
      <c r="DU16" s="5">
        <f t="shared" si="133"/>
        <v>127769.60215475256</v>
      </c>
      <c r="DV16" s="5"/>
      <c r="DW16" s="32" t="s">
        <v>141</v>
      </c>
      <c r="DX16" s="133">
        <f t="shared" si="144"/>
        <v>212416.2</v>
      </c>
      <c r="DY16" s="5">
        <f>DX16*InputData!$C$6</f>
        <v>13191.046020000002</v>
      </c>
      <c r="DZ16" s="133">
        <f t="shared" si="145"/>
        <v>10843.100224829879</v>
      </c>
      <c r="EA16" s="32">
        <f t="shared" si="146"/>
        <v>22422.251354028729</v>
      </c>
      <c r="EB16" s="32">
        <f t="shared" si="147"/>
        <v>223259.3002248299</v>
      </c>
      <c r="EC16" s="32">
        <f>EA16/((1+InputData!$C$3)^(Ophtha!$B16-Ophtha!$B$7))</f>
        <v>18761.936893203885</v>
      </c>
      <c r="ED16" s="5">
        <f t="shared" si="75"/>
        <v>126352.95194174757</v>
      </c>
      <c r="EE16" s="32">
        <f>ED16/((1+InputData!$C$7)^(Ophtha!$B16-Ophtha!$B$7))</f>
        <v>96839.016549165506</v>
      </c>
      <c r="EF16" s="5">
        <f t="shared" si="134"/>
        <v>142204.76165152679</v>
      </c>
      <c r="EG16" s="32"/>
      <c r="EH16" s="133" t="s">
        <v>141</v>
      </c>
      <c r="EI16" s="32">
        <v>0</v>
      </c>
      <c r="EJ16" s="32">
        <f t="shared" ref="EJ16:EJ17" si="169">EJ15-(EN15-EK15)</f>
        <v>253005.41139174462</v>
      </c>
      <c r="EK16" s="32">
        <f>(EJ16)*InputData!$C$6</f>
        <v>15711.636047427342</v>
      </c>
      <c r="EL16" s="32">
        <f t="shared" si="151"/>
        <v>246294.79608514326</v>
      </c>
      <c r="EM16" s="32">
        <f>EM15*(1+InputData!$C$8)</f>
        <v>13731.613613470356</v>
      </c>
      <c r="EN16" s="32">
        <f t="shared" si="152"/>
        <v>22422.251354028729</v>
      </c>
      <c r="EO16" s="32">
        <f>AW16/((1+InputData!$C$3)^(Ophtha!$B16-Ophtha!$B$7))</f>
        <v>204854.36893203884</v>
      </c>
      <c r="EP16" s="32">
        <f>AX16/((1+InputData!$C$3)^(Ophtha!$B16-Ophtha!$B$7))</f>
        <v>0</v>
      </c>
      <c r="EQ16" s="32">
        <v>8808.25</v>
      </c>
      <c r="ER16" s="32">
        <v>4047.39</v>
      </c>
      <c r="ES16" s="32">
        <v>0</v>
      </c>
      <c r="ET16" s="43">
        <f t="shared" si="139"/>
        <v>6.2755019905213261E-2</v>
      </c>
      <c r="EU16" s="32">
        <f t="shared" si="76"/>
        <v>191998.72893203882</v>
      </c>
      <c r="EV16" s="32">
        <f>EN16/((1+InputData!$C$3)^(Ophtha!$B16-Ophtha!$B$7))</f>
        <v>18761.936893203885</v>
      </c>
      <c r="EW16" s="32">
        <f t="shared" si="77"/>
        <v>173236.79203883494</v>
      </c>
      <c r="EX16" s="32">
        <f>EW16/((1+InputData!$C$7)^(Ophtha!$B16-Ophtha!$B$7))</f>
        <v>132771.57607609633</v>
      </c>
      <c r="EY16" s="5">
        <f t="shared" si="124"/>
        <v>232016.23173735733</v>
      </c>
      <c r="EZ16" s="79"/>
      <c r="FA16" s="32">
        <f t="shared" si="153"/>
        <v>240517.23871580142</v>
      </c>
      <c r="FB16" s="32">
        <f>FA16*InputData!$C$6</f>
        <v>14936.120524251268</v>
      </c>
      <c r="FC16" s="32">
        <f t="shared" si="154"/>
        <v>219768.08830933613</v>
      </c>
      <c r="FD16" s="32">
        <f>MIN($EJ$15*InputData!$C$6/(1-(1+InputData!$C$6)^(-10)), FA16+FB16)</f>
        <v>35685.270930716564</v>
      </c>
      <c r="FE16" s="32">
        <f>FD16/((1+InputData!$C$3)^(Ophtha!$B16-Ophtha!$B$7))</f>
        <v>29859.838365369589</v>
      </c>
      <c r="FF16" s="5">
        <f t="shared" si="81"/>
        <v>162138.89056666923</v>
      </c>
      <c r="FG16" s="32">
        <f>FF16/((1+InputData!$C$7)^(Ophtha!$B16-Ophtha!$B$7))</f>
        <v>124265.95869392755</v>
      </c>
      <c r="FH16" s="5">
        <f t="shared" si="125"/>
        <v>215096.66829719383</v>
      </c>
      <c r="FI16" s="79"/>
      <c r="FJ16" s="32">
        <f t="shared" si="155"/>
        <v>255451.70173567315</v>
      </c>
      <c r="FK16" s="32">
        <f>FJ16*InputData!$C$6</f>
        <v>15863.550677785302</v>
      </c>
      <c r="FL16" s="32">
        <f t="shared" ref="FL16:FL36" si="170">FL15+$EI16+FK16-FM16</f>
        <v>250564.44450261365</v>
      </c>
      <c r="FM16" s="32">
        <f>MIN($EJ$15*InputData!$C$6/(1-(1+InputData!$C$6)^(-25)), FJ16+FK16)</f>
        <v>20750.807910844829</v>
      </c>
      <c r="FN16" s="32">
        <f>FM16/((1+InputData!$C$3)^(Ophtha!$B16-Ophtha!$B$7))</f>
        <v>17363.347790511431</v>
      </c>
      <c r="FO16" s="5">
        <f t="shared" si="85"/>
        <v>174635.38114152738</v>
      </c>
      <c r="FP16" s="32">
        <f>FO16/((1+InputData!$C$7)^(Ophtha!$B16-Ophtha!$B$7))</f>
        <v>133843.47816607327</v>
      </c>
      <c r="FQ16" s="5">
        <f t="shared" si="126"/>
        <v>234736.32972677585</v>
      </c>
      <c r="FR16" s="79"/>
      <c r="FS16" s="32">
        <f t="shared" si="156"/>
        <v>241406.86226435794</v>
      </c>
      <c r="FT16" s="32">
        <f>FS16*InputData!$C$6</f>
        <v>14991.366146616629</v>
      </c>
      <c r="FU16" s="32">
        <f t="shared" ref="FU16:FU36" si="171">FU15+$EI16+FT16-FV16</f>
        <v>222764.8513799315</v>
      </c>
      <c r="FV16" s="5">
        <f t="shared" si="157"/>
        <v>33633.377031043092</v>
      </c>
      <c r="FW16" s="32">
        <f>FV16/((1+InputData!$C$3)^(Ophtha!$B16-Ophtha!$B$7))</f>
        <v>28142.905339805824</v>
      </c>
      <c r="FX16" s="5">
        <f t="shared" si="88"/>
        <v>163855.82359223301</v>
      </c>
      <c r="FY16" s="32">
        <f>FX16/((1+InputData!$C$7)^(Ophtha!$B16-Ophtha!$B$7))</f>
        <v>125581.84489303299</v>
      </c>
      <c r="FZ16" s="5">
        <f t="shared" si="127"/>
        <v>217011.94119151175</v>
      </c>
      <c r="GC16" s="3">
        <f t="shared" si="2"/>
        <v>6</v>
      </c>
      <c r="GD16" s="4" t="str">
        <f t="shared" si="3"/>
        <v>Service (O3&gt;4 = (BP+BAH+BAS+VSP+BCPSP)*12)+ASP</v>
      </c>
      <c r="GE16" s="5">
        <f t="shared" si="4"/>
        <v>83897.88</v>
      </c>
      <c r="GF16" s="5">
        <f t="shared" si="5"/>
        <v>19939.199999999997</v>
      </c>
      <c r="GG16" s="5">
        <f t="shared" si="6"/>
        <v>103837.08</v>
      </c>
      <c r="GH16" s="5">
        <f t="shared" si="7"/>
        <v>76778.885732020964</v>
      </c>
      <c r="GI16" s="5">
        <f t="shared" si="8"/>
        <v>18247.297290323808</v>
      </c>
      <c r="GJ16" s="32">
        <f>IF(GH16-InputData!$C$158-InputData!$C$159&gt;=0,GH16-InputData!$C$158-InputData!$C$159,0)</f>
        <v>76778.885732020964</v>
      </c>
      <c r="GK16" s="32">
        <f>IF(GH16-IF(GH16&lt;=InputData!$C$146,InputData!$C$145,0)-MAX(InputData!$C$144,GQ16)&gt;=0,GH16-IF(GH16&lt;=InputData!$C$146,InputData!$C$145,0)-MAX(InputData!$C$144,GQ16),0)</f>
        <v>66778.885732020964</v>
      </c>
      <c r="GL16" s="32">
        <f>IF(GK16&lt;0,"Error",IF(GK16&lt;=InputData!$B$170,InputData!$C$170*GK16,IF(GK16&lt;=InputData!$B$171,InputData!$D$170+InputData!$C$171*(GK16-InputData!$B$170),IF(GK16&lt;=InputData!$B$172,InputData!$D$171+InputData!$C$172*(GK16-InputData!$B$171),IF(GK16&lt;=InputData!$B$173,InputData!$D$172+InputData!$C$173*(GK16-InputData!$B$172),IF(GK16&lt;=InputData!$B$174,InputData!$D$173+InputData!$C$174*(GK16-InputData!$B$173),IF(GK16&lt;=InputData!$B$175,InputData!$D$174+InputData!$C$175*(GK16-InputData!$B$174),InputData!$D$175+InputData!$C$176*(GK16-InputData!$B$175))))))))</f>
        <v>12623.471433005241</v>
      </c>
      <c r="GM16" s="32">
        <f>IF(GH16&lt;=InputData!$C$150,InputData!$C$152,IF(GH16&lt;InputData!$C$151,IF(InputData!$C$152-0.25*IF(GH16-InputData!$C$150&lt;=0,0,GH16-InputData!$C$150)&lt;=0,0,InputData!$C$152-0.25*IF(GH16-InputData!$C$150&lt;=0,0,GH16-InputData!$C$150)),0))</f>
        <v>51900</v>
      </c>
      <c r="GN16" s="32">
        <f>IF(GH16-GM16&lt;=0,0,IF(GH16-GM16&lt;=InputData!$C$153,InputData!$C$154*(GH16-GM16),InputData!$C$155*(GH16-GM16)-InputData!$D$154))</f>
        <v>6468.510290325451</v>
      </c>
      <c r="GO16" s="32">
        <f t="shared" si="89"/>
        <v>12623.471433005241</v>
      </c>
      <c r="GP16" s="32">
        <f>IF(GH16&gt;=0,IF(GH16&lt;=InputData!$C$148,InputData!$C$147*GH16,InputData!$C$147*InputData!$C$148)+InputData!$C$149*GH16,0)</f>
        <v>5873.5847584996036</v>
      </c>
      <c r="GQ16" s="32">
        <f>IF(GJ16&lt;0,0,IF(GJ16&lt;=InputData!$B$163,InputData!$C$163*GJ16,IF(GJ16&lt;=InputData!$B$164,InputData!$D$163+InputData!$C$164*(GJ16-InputData!$B$163),IF(GJ16&lt;=InputData!$B$165,InputData!$D$164+InputData!$C$165*(GJ16-InputData!$B$164),InputData!$D$165+InputData!$C$166*(GJ16-InputData!$B$165)))))</f>
        <v>0</v>
      </c>
      <c r="GR16" s="43">
        <f t="shared" si="90"/>
        <v>0.24091331900888174</v>
      </c>
      <c r="GS16" s="43">
        <f t="shared" si="91"/>
        <v>0.19465220640457995</v>
      </c>
      <c r="GT16" s="5">
        <f t="shared" si="9"/>
        <v>76529.12683083993</v>
      </c>
      <c r="GU16" s="32">
        <f>GT16/((1+InputData!$C$7)^(Ophtha!$B16-Ophtha!$B$7))</f>
        <v>58653.20331480333</v>
      </c>
      <c r="GV16" s="32">
        <f t="shared" si="92"/>
        <v>533314.72387588245</v>
      </c>
      <c r="GX16" s="3">
        <f t="shared" si="10"/>
        <v>6</v>
      </c>
      <c r="GY16" s="4" t="str">
        <f t="shared" si="11"/>
        <v>Service (O3&gt;4 = (BP+BAH+BAS+VSP+BCPSP)*12)+ASP</v>
      </c>
      <c r="GZ16" s="5">
        <f t="shared" si="12"/>
        <v>83897.88</v>
      </c>
      <c r="HA16" s="5">
        <f t="shared" si="13"/>
        <v>19939.199999999997</v>
      </c>
      <c r="HB16" s="5">
        <f t="shared" si="14"/>
        <v>103837.08</v>
      </c>
      <c r="HC16" s="5">
        <f t="shared" si="15"/>
        <v>76778.885732020964</v>
      </c>
      <c r="HD16" s="5">
        <f t="shared" si="16"/>
        <v>18247.297290323808</v>
      </c>
      <c r="HE16" s="32">
        <f>IF(HC16-InputData!$C$158-InputData!$C$159&gt;=0,HC16-InputData!$C$158-InputData!$C$159,0)</f>
        <v>76778.885732020964</v>
      </c>
      <c r="HF16" s="32">
        <f>IF(HC16-IF(HC16&lt;=InputData!$C$146,InputData!$C$145,0)-MAX(InputData!$C$144,HL16)&gt;=0,HC16-IF(HC16&lt;=InputData!$C$146,InputData!$C$145,0)-MAX(InputData!$C$144,HL16),0)</f>
        <v>66778.885732020964</v>
      </c>
      <c r="HG16" s="32">
        <f>IF(HF16&lt;0,"Error",IF(HF16&lt;=InputData!$B$170,InputData!$C$170*HF16,IF(HF16&lt;=InputData!$B$171,InputData!$D$170+InputData!$C$171*(HF16-InputData!$B$170),IF(HF16&lt;=InputData!$B$172,InputData!$D$171+InputData!$C$172*(HF16-InputData!$B$171),IF(HF16&lt;=InputData!$B$173,InputData!$D$172+InputData!$C$173*(HF16-InputData!$B$172),IF(HF16&lt;=InputData!$B$174,InputData!$D$173+InputData!$C$174*(HF16-InputData!$B$173),IF(HF16&lt;=InputData!$B$175,InputData!$D$174+InputData!$C$175*(HF16-InputData!$B$174),InputData!$D$175+InputData!$C$176*(HF16-InputData!$B$175))))))))</f>
        <v>12623.471433005241</v>
      </c>
      <c r="HH16" s="32">
        <f>IF(HC16&lt;=InputData!$C$150,InputData!$C$152,IF(HC16&lt;InputData!$C$151,IF(InputData!$C$152-0.25*IF(HC16-InputData!$C$150&lt;=0,0,HC16-InputData!$C$150)&lt;=0,0,InputData!$C$152-0.25*IF(HC16-InputData!$C$150&lt;=0,0,HC16-InputData!$C$150)),0))</f>
        <v>51900</v>
      </c>
      <c r="HI16" s="32">
        <f>IF(HC16-HH16&lt;=0,0,IF(HC16-HH16&lt;=InputData!$C$153,InputData!$C$154*(HC16-HH16),InputData!$C$155*(HC16-HH16)-InputData!$D$154))</f>
        <v>6468.510290325451</v>
      </c>
      <c r="HJ16" s="32">
        <f t="shared" si="93"/>
        <v>12623.471433005241</v>
      </c>
      <c r="HK16" s="32">
        <f>IF(HC16&gt;=0,IF(HC16&lt;=InputData!$C$148,InputData!$C$147*HC16,InputData!$C$147*InputData!$C$148)+InputData!$C$149*HC16,0)</f>
        <v>5873.5847584996036</v>
      </c>
      <c r="HL16" s="32">
        <f>IF(HE16&lt;0,0,IF(HE16&lt;=InputData!$B$163,InputData!$C$163*HE16,IF(HE16&lt;=InputData!$B$164,InputData!$D$163+InputData!$C$164*(HE16-InputData!$B$163),IF(HE16&lt;=InputData!$B$165,InputData!$D$164+InputData!$C$165*(HE16-InputData!$B$164),InputData!$D$165+InputData!$C$166*(HE16-InputData!$B$165)))))</f>
        <v>0</v>
      </c>
      <c r="HM16" s="43">
        <f t="shared" si="94"/>
        <v>0.24091331900888174</v>
      </c>
      <c r="HN16" s="43">
        <f t="shared" si="95"/>
        <v>0.19465220640457995</v>
      </c>
      <c r="HO16" s="5">
        <f t="shared" si="17"/>
        <v>76529.12683083993</v>
      </c>
      <c r="HP16" s="32">
        <f>HO16/((1+InputData!$C$7)^(Ophtha!$B16-Ophtha!$B$7))</f>
        <v>58653.20331480333</v>
      </c>
      <c r="HQ16" s="32">
        <f t="shared" si="96"/>
        <v>441191.00156520924</v>
      </c>
      <c r="HS16" s="93">
        <f t="shared" si="18"/>
        <v>6</v>
      </c>
      <c r="HT16" s="100" t="str">
        <f t="shared" si="19"/>
        <v>Service (O3&gt;4 = (BP+BAH+BAS+VSP+BCPSP)*12)+ASP</v>
      </c>
      <c r="HU16" s="5">
        <f t="shared" si="20"/>
        <v>83897.88</v>
      </c>
      <c r="HV16" s="5">
        <f t="shared" si="21"/>
        <v>19939.199999999997</v>
      </c>
      <c r="HW16" s="5">
        <f t="shared" si="22"/>
        <v>103837.08</v>
      </c>
      <c r="HX16" s="5">
        <f t="shared" si="23"/>
        <v>76778.885732020964</v>
      </c>
      <c r="HY16" s="5">
        <f t="shared" si="24"/>
        <v>18247.297290323808</v>
      </c>
      <c r="HZ16" s="32">
        <f>IF(HX16-InputData!$C$158-InputData!$C$159&gt;=0,HX16-InputData!$C$158-InputData!$C$159,0)</f>
        <v>76778.885732020964</v>
      </c>
      <c r="IA16" s="32">
        <f>IF(HX16-IF(HX16&lt;=InputData!$C$146,InputData!$C$145,0)-MAX(InputData!$C$144,IG16)&gt;=0,HX16-IF(HX16&lt;=InputData!$C$146,InputData!$C$145,0)-MAX(InputData!$C$144,IG16),0)</f>
        <v>66778.885732020964</v>
      </c>
      <c r="IB16" s="32">
        <f>IF(IA16&lt;0,"Error",IF(IA16&lt;=InputData!$B$170,InputData!$C$170*IA16,IF(IA16&lt;=InputData!$B$171,InputData!$D$170+InputData!$C$171*(IA16-InputData!$B$170),IF(IA16&lt;=InputData!$B$172,InputData!$D$171+InputData!$C$172*(IA16-InputData!$B$171),IF(IA16&lt;=InputData!$B$173,InputData!$D$172+InputData!$C$173*(IA16-InputData!$B$172),IF(IA16&lt;=InputData!$B$174,InputData!$D$173+InputData!$C$174*(IA16-InputData!$B$173),IF(IA16&lt;=InputData!$B$175,InputData!$D$174+InputData!$C$175*(IA16-InputData!$B$174),InputData!$D$175+InputData!$C$176*(IA16-InputData!$B$175))))))))</f>
        <v>12623.471433005241</v>
      </c>
      <c r="IC16" s="32">
        <f>IF(HX16&lt;=InputData!$C$150,InputData!$C$152,IF(HX16&lt;InputData!$C$151,IF(InputData!$C$152-0.25*IF(HX16-InputData!$C$150&lt;=0,0,HX16-InputData!$C$150)&lt;=0,0,InputData!$C$152-0.25*IF(HX16-InputData!$C$150&lt;=0,0,HX16-InputData!$C$150)),0))</f>
        <v>51900</v>
      </c>
      <c r="ID16" s="32">
        <f>IF(HX16-IC16&lt;=0,0,IF(HX16-IC16&lt;=InputData!$C$153,InputData!$C$154*(HX16-IC16),InputData!$C$155*(HX16-IC16)-InputData!$D$154))</f>
        <v>6468.510290325451</v>
      </c>
      <c r="IE16" s="32">
        <f t="shared" si="97"/>
        <v>12623.471433005241</v>
      </c>
      <c r="IF16" s="32">
        <f>IF(HX16&gt;=0,IF(HX16&lt;=InputData!$C$148,InputData!$C$147*HX16,InputData!$C$147*InputData!$C$148)+InputData!$C$149*HX16,0)</f>
        <v>5873.5847584996036</v>
      </c>
      <c r="IG16" s="32">
        <f>IF(HZ16&lt;0,0,IF(HZ16&lt;=InputData!$B$163,InputData!$C$163*HZ16,IF(HZ16&lt;=InputData!$B$164,InputData!$D$163+InputData!$C$164*(HZ16-InputData!$B$163),IF(HZ16&lt;=InputData!$B$165,InputData!$D$164+InputData!$C$165*(HZ16-InputData!$B$164),InputData!$D$165+InputData!$C$166*(HZ16-InputData!$B$165)))))</f>
        <v>0</v>
      </c>
      <c r="IH16" s="43">
        <f t="shared" si="98"/>
        <v>0.24091331900888174</v>
      </c>
      <c r="II16" s="43">
        <f t="shared" si="99"/>
        <v>0.19465220640457995</v>
      </c>
      <c r="IJ16" s="5">
        <f t="shared" si="100"/>
        <v>76529.12683083993</v>
      </c>
      <c r="IK16" s="32">
        <f>IJ16/((1+InputData!$C$7)^(Ophtha!$B16-Ophtha!$B$7))</f>
        <v>58653.20331480333</v>
      </c>
      <c r="IL16" s="5">
        <f t="shared" si="101"/>
        <v>533314.72387588245</v>
      </c>
      <c r="IN16" s="93">
        <f t="shared" si="25"/>
        <v>6</v>
      </c>
      <c r="IO16" s="100" t="str">
        <f t="shared" si="26"/>
        <v>Service (O3&gt;4 = (BP+BAH+BAS+VSP+BCPSP)*12)+ASP</v>
      </c>
      <c r="IP16" s="5">
        <f t="shared" si="27"/>
        <v>83897.88</v>
      </c>
      <c r="IQ16" s="5">
        <f t="shared" si="28"/>
        <v>19939.199999999997</v>
      </c>
      <c r="IR16" s="5">
        <f t="shared" si="29"/>
        <v>103837.08</v>
      </c>
      <c r="IS16" s="5">
        <f t="shared" si="30"/>
        <v>76778.885732020964</v>
      </c>
      <c r="IT16" s="5">
        <f t="shared" si="31"/>
        <v>18247.297290323808</v>
      </c>
      <c r="IU16" s="32">
        <f>IF(IS16-InputData!$C$158-InputData!$C$159&gt;=0,IS16-InputData!$C$158-InputData!$C$159,0)</f>
        <v>76778.885732020964</v>
      </c>
      <c r="IV16" s="32">
        <f>IF(IS16-IF(IS16&lt;=InputData!$C$146,InputData!$C$145,0)-MAX(InputData!$C$144,JB16)&gt;=0,IS16-IF(IS16&lt;=InputData!$C$146,InputData!$C$145,0)-MAX(InputData!$C$144,JB16),0)</f>
        <v>66778.885732020964</v>
      </c>
      <c r="IW16" s="32">
        <f>IF(IV16&lt;0,"Error",IF(IV16&lt;=InputData!$B$170,InputData!$C$170*IV16,IF(IV16&lt;=InputData!$B$171,InputData!$D$170+InputData!$C$171*(IV16-InputData!$B$170),IF(IV16&lt;=InputData!$B$172,InputData!$D$171+InputData!$C$172*(IV16-InputData!$B$171),IF(IV16&lt;=InputData!$B$173,InputData!$D$172+InputData!$C$173*(IV16-InputData!$B$172),IF(IV16&lt;=InputData!$B$174,InputData!$D$173+InputData!$C$174*(IV16-InputData!$B$173),IF(IV16&lt;=InputData!$B$175,InputData!$D$174+InputData!$C$175*(IV16-InputData!$B$174),InputData!$D$175+InputData!$C$176*(IV16-InputData!$B$175))))))))</f>
        <v>12623.471433005241</v>
      </c>
      <c r="IX16" s="32">
        <f>IF(IS16&lt;=InputData!$C$150,InputData!$C$152,IF(IS16&lt;InputData!$C$151,IF(InputData!$C$152-0.25*IF(IS16-InputData!$C$150&lt;=0,0,IS16-InputData!$C$150)&lt;=0,0,InputData!$C$152-0.25*IF(IS16-InputData!$C$150&lt;=0,0,IS16-InputData!$C$150)),0))</f>
        <v>51900</v>
      </c>
      <c r="IY16" s="32">
        <f>IF(IS16-IX16&lt;=0,0,IF(IS16-IX16&lt;=InputData!$C$153,InputData!$C$154*(IS16-IX16),InputData!$C$155*(IS16-IX16)-InputData!$D$154))</f>
        <v>6468.510290325451</v>
      </c>
      <c r="IZ16" s="32">
        <f t="shared" si="102"/>
        <v>12623.471433005241</v>
      </c>
      <c r="JA16" s="32">
        <f>IF(IS16&gt;=0,IF(IS16&lt;=InputData!$C$148,InputData!$C$147*IS16,InputData!$C$147*InputData!$C$148)+InputData!$C$149*IS16,0)</f>
        <v>5873.5847584996036</v>
      </c>
      <c r="JB16" s="32">
        <f>IF(IU16&lt;0,0,IF(IU16&lt;=InputData!$B$163,InputData!$C$163*IU16,IF(IU16&lt;=InputData!$B$164,InputData!$D$163+InputData!$C$164*(IU16-InputData!$B$163),IF(IU16&lt;=InputData!$B$165,InputData!$D$164+InputData!$C$165*(IU16-InputData!$B$164),InputData!$D$165+InputData!$C$166*(IU16-InputData!$B$165)))))</f>
        <v>0</v>
      </c>
      <c r="JC16" s="43">
        <f t="shared" si="103"/>
        <v>0.24091331900888174</v>
      </c>
      <c r="JD16" s="43">
        <f t="shared" si="104"/>
        <v>0.19465220640457995</v>
      </c>
      <c r="JE16" s="5">
        <f t="shared" si="105"/>
        <v>76529.12683083993</v>
      </c>
      <c r="JF16" s="32">
        <f>JE16/((1+InputData!$C$7)^(Ophtha!$B16-Ophtha!$B$7))</f>
        <v>58653.20331480333</v>
      </c>
      <c r="JG16" s="5">
        <f t="shared" si="106"/>
        <v>441191.00156520924</v>
      </c>
      <c r="JI16" s="41" t="str">
        <f t="shared" si="32"/>
        <v>Private Practice</v>
      </c>
      <c r="JJ16" s="5">
        <f t="shared" si="33"/>
        <v>244819.93396049281</v>
      </c>
      <c r="JK16" s="32">
        <v>0</v>
      </c>
      <c r="JL16" s="32">
        <f t="shared" si="108"/>
        <v>244819.93396049281</v>
      </c>
      <c r="JM16" s="32">
        <f>JM15*(1+InputData!$C$8)</f>
        <v>13731.613613470356</v>
      </c>
      <c r="JN16" s="32">
        <f>JJ16/((1+InputData!$C$3)^(Ophtha!$B16-Ophtha!$B$7))</f>
        <v>204854.36893203884</v>
      </c>
      <c r="JO16" s="32">
        <f>JK16/((1+InputData!$C$3)^(Ophtha!$B16-Ophtha!$B$7))</f>
        <v>0</v>
      </c>
      <c r="JP16" s="32" t="s">
        <v>141</v>
      </c>
      <c r="JQ16" s="32">
        <v>0</v>
      </c>
      <c r="JR16" s="32">
        <f t="shared" ref="JR16:JR36" si="172">JU15+JQ16</f>
        <v>0</v>
      </c>
      <c r="JS16" s="32">
        <f>(JR16)*InputData!$C$6</f>
        <v>0</v>
      </c>
      <c r="JT16" s="32">
        <f>MIN($BE$15*InputData!$C$6/(1-(1+InputData!$C$6)^(-10)), JR16+JS16)</f>
        <v>0</v>
      </c>
      <c r="JU16" s="32">
        <f t="shared" si="148"/>
        <v>0</v>
      </c>
      <c r="JV16" s="32">
        <f>JT16/((1+InputData!$C$3)^(Ophtha!$B16-Ophtha!$B$7))</f>
        <v>0</v>
      </c>
      <c r="JW16" s="32">
        <f>IF(JN16-InputData!$C$158-InputData!$C$159&gt;=0,JN16-InputData!$C$158-InputData!$C$159,0)</f>
        <v>204854.36893203884</v>
      </c>
      <c r="JX16" s="32">
        <f>IF(JN16-IF(JN16&lt;=InputData!$C$146,InputData!$C$145,0)-MAX(InputData!$C$144,KD16)&gt;=0,JN16-IF(JN16&lt;=InputData!$C$146,InputData!$C$145,0)-MAX(InputData!$C$144,KD16),0)</f>
        <v>198754.36893203884</v>
      </c>
      <c r="JY16" s="32">
        <f>IF(JX16&lt;0,"Error",IF(JX16&lt;=InputData!$B$170,InputData!$C$170*JX16,IF(JX16&lt;=InputData!$B$171,InputData!$D$170+InputData!$C$171*(JX16-InputData!$B$170),IF(JX16&lt;=InputData!$B$172,InputData!$D$171+InputData!$C$172*(JX16-InputData!$B$171),IF(JX16&lt;=InputData!$B$173,InputData!$D$172+InputData!$C$173*(JX16-InputData!$B$172),IF(JX16&lt;=InputData!$B$174,InputData!$D$173+InputData!$C$174*(JX16-InputData!$B$173),IF(JX16&lt;=InputData!$B$175,InputData!$D$174+InputData!$C$175*(JX16-InputData!$B$174),InputData!$D$175+InputData!$C$176*(JX16-InputData!$B$175))))))))</f>
        <v>49719.691747572819</v>
      </c>
      <c r="JZ16" s="32">
        <f>IF(JN16&lt;=InputData!$C$150,InputData!$C$152,IF(JN16&lt;InputData!$C$151,IF(InputData!$C$152-0.25*IF(JN16-InputData!$C$150&lt;=0,0,JN16-InputData!$C$150)&lt;=0,0,InputData!$C$152-0.25*IF(JN16-InputData!$C$150&lt;=0,0,JN16-InputData!$C$150)),0))</f>
        <v>29536.407766990291</v>
      </c>
      <c r="KA16" s="32">
        <f>IF(JN16-JZ16&lt;=0,0,IF(JN16-JZ16&lt;=InputData!$C$153,InputData!$C$154*(JN16-JZ16),InputData!$C$155*(JN16-JZ16)-InputData!$D$154))</f>
        <v>45582.669902912618</v>
      </c>
      <c r="KB16" s="32">
        <f t="shared" si="109"/>
        <v>49719.691747572819</v>
      </c>
      <c r="KC16" s="32">
        <f>IF(JN16&gt;=0,IF(JN16&lt;=InputData!$C$148,InputData!$C$147*JN16,InputData!$C$147*InputData!$C$148)+InputData!$C$149*JN16,0)</f>
        <v>10019.788349514563</v>
      </c>
      <c r="KD16" s="32">
        <f>IF(JW16&lt;0,0,IF(JW16&lt;=InputData!$B$163,InputData!$C$163*JW16,IF(JW16&lt;=InputData!$B$164,InputData!$D$163+InputData!$C$164*(JW16-InputData!$B$163),IF(JW16&lt;=InputData!$B$165,InputData!$D$164+InputData!$C$165*(JW16-InputData!$B$164),InputData!$D$165+InputData!$C$166*(JW16-InputData!$B$165)))))</f>
        <v>0</v>
      </c>
      <c r="KE16" s="43">
        <f t="shared" si="34"/>
        <v>0.29161926303317537</v>
      </c>
      <c r="KF16" s="32">
        <f t="shared" si="35"/>
        <v>145114.88883495145</v>
      </c>
      <c r="KG16" s="32">
        <f t="shared" si="110"/>
        <v>145114.88883495145</v>
      </c>
      <c r="KH16" s="32">
        <f>KG16/((1+InputData!$C$7)^(Ophtha!$B16-Ophtha!$B$7))</f>
        <v>111218.47891529216</v>
      </c>
      <c r="KI16" s="5">
        <f t="shared" si="129"/>
        <v>375304.67597257695</v>
      </c>
    </row>
    <row r="17" spans="1:295" ht="14.45" x14ac:dyDescent="0.3">
      <c r="A17" s="4">
        <v>2023</v>
      </c>
      <c r="B17" s="51">
        <v>11</v>
      </c>
      <c r="C17" s="4"/>
      <c r="D17" s="3">
        <v>7</v>
      </c>
      <c r="E17" s="97" t="s">
        <v>20</v>
      </c>
      <c r="F17" s="5">
        <f>InputData!$G$23*12</f>
        <v>69296.399999999994</v>
      </c>
      <c r="G17" s="32">
        <f>(InputData!$G$23+InputData!$E$45+InputData!$C$50)*12+InputData!$J$50</f>
        <v>98796.36</v>
      </c>
      <c r="H17" s="32">
        <f>(InputData!$C$34+InputData!$C$40)*12</f>
        <v>20659.199999999997</v>
      </c>
      <c r="I17" s="32">
        <f t="shared" si="36"/>
        <v>119455.56</v>
      </c>
      <c r="J17" s="32">
        <f>G17*((1+InputData!$C$5)/(1+InputData!$C$3))^(Ophtha!$B17-Ophtha!$B$7)</f>
        <v>89526.779922880974</v>
      </c>
      <c r="K17" s="32">
        <f>H17*((1+InputData!$C$5)/(1+InputData!$C$3))^(Ophtha!$B17-Ophtha!$B$7)</f>
        <v>18720.848134311655</v>
      </c>
      <c r="L17" s="32">
        <f>IF(J17-InputData!$C$158-InputData!$C$159&gt;=0,J17-InputData!$C$158-InputData!$C$159,0)</f>
        <v>89526.779922880974</v>
      </c>
      <c r="M17" s="32">
        <f>IF(J17-IF(J17&lt;=InputData!$C$146,InputData!$C$145,0)-MAX(InputData!$C$144,S17)&gt;=0,J17-IF(J17&lt;=InputData!$C$146,InputData!$C$145,0)-MAX(InputData!$C$144,S17),0)</f>
        <v>79526.779922880974</v>
      </c>
      <c r="N17" s="32">
        <f>IF(M17&lt;0,"Error",IF(M17&lt;=InputData!$B$170,InputData!$C$170*M17,IF(M17&lt;=InputData!$B$171,InputData!$D$170+InputData!$C$171*(M17-InputData!$B$170),IF(M17&lt;=InputData!$B$172,InputData!$D$171+InputData!$C$172*(M17-InputData!$B$171),IF(M17&lt;=InputData!$B$173,InputData!$D$172+InputData!$C$173*(M17-InputData!$B$172),IF(M17&lt;=InputData!$B$174,InputData!$D$173+InputData!$C$174*(M17-InputData!$B$173),IF(M17&lt;=InputData!$B$175,InputData!$D$174+InputData!$C$175*(M17-InputData!$B$174),InputData!$D$175+InputData!$C$176*(M17-InputData!$B$175))))))))</f>
        <v>15810.444980720244</v>
      </c>
      <c r="O17" s="32">
        <f>IF(J17&lt;=InputData!$C$150,InputData!$C$152,IF(J17&lt;InputData!$C$151,IF(InputData!$C$152-0.25*IF(J17-InputData!$C$150&lt;=0,0,J17-InputData!$C$150)&lt;=0,0,InputData!$C$152-0.25*IF(J17-InputData!$C$150&lt;=0,0,J17-InputData!$C$150)),0))</f>
        <v>51900</v>
      </c>
      <c r="P17" s="32">
        <f>IF(J17-O17&lt;=0,0,IF(J17-O17&lt;=InputData!$C$153,InputData!$C$154*(J17-O17),InputData!$C$155*(J17-O17)-InputData!$D$154))</f>
        <v>9782.9627799490536</v>
      </c>
      <c r="Q17" s="32">
        <f t="shared" si="37"/>
        <v>15810.444980720244</v>
      </c>
      <c r="R17" s="32">
        <f>IF(J17&gt;=0,IF(J17&lt;=InputData!$C$148,InputData!$C$147*J17,InputData!$C$147*InputData!$C$148)+InputData!$C$149*J17,0)</f>
        <v>6848.7986641003954</v>
      </c>
      <c r="S17" s="32">
        <f>IF(L17&lt;0,0,IF(L17&lt;=InputData!$B$163,InputData!$C$163*L17,IF(L17&lt;=InputData!$B$164,InputData!$D$163+InputData!$C$164*(L17-InputData!$B$163),IF(L17&lt;=InputData!$B$165,InputData!$D$164+InputData!$C$165*(L17-InputData!$B$164),InputData!$D$165+InputData!$C$166*(L17-InputData!$B$165)))))</f>
        <v>0</v>
      </c>
      <c r="T17" s="43">
        <f t="shared" si="38"/>
        <v>0.25310017476714203</v>
      </c>
      <c r="U17" s="43">
        <f t="shared" si="39"/>
        <v>0.20932785365836032</v>
      </c>
      <c r="V17" s="5">
        <f t="shared" si="40"/>
        <v>85588.38441237199</v>
      </c>
      <c r="W17" s="32">
        <f>V17/((1+InputData!$C$7)^(Ophtha!$B17-Ophtha!$B$7))</f>
        <v>63685.796027087723</v>
      </c>
      <c r="X17" s="5">
        <f t="shared" si="111"/>
        <v>597000.51990297018</v>
      </c>
      <c r="Y17" s="53"/>
      <c r="Z17" s="3">
        <v>7</v>
      </c>
      <c r="AA17" s="97" t="s">
        <v>20</v>
      </c>
      <c r="AB17" s="5">
        <f t="shared" si="136"/>
        <v>69296.399999999994</v>
      </c>
      <c r="AC17" s="32">
        <f t="shared" si="137"/>
        <v>98796.36</v>
      </c>
      <c r="AD17" s="32">
        <f t="shared" si="137"/>
        <v>20659.199999999997</v>
      </c>
      <c r="AE17" s="32">
        <f t="shared" si="41"/>
        <v>119455.56</v>
      </c>
      <c r="AF17" s="5">
        <f>AC17*((1+InputData!$C$5)/(1+InputData!$C$3))^(Ophtha!$B17-Ophtha!$B$7)</f>
        <v>89526.779922880974</v>
      </c>
      <c r="AG17" s="5">
        <f>AD17*((1+InputData!$C$5)/(1+InputData!$C$3))^(Ophtha!$B17-Ophtha!$B$7)</f>
        <v>18720.848134311655</v>
      </c>
      <c r="AH17" s="32">
        <f>IF(AF17-InputData!$C$158-InputData!$C$159&gt;=0,AF17-InputData!$C$158-InputData!$C$159,0)</f>
        <v>89526.779922880974</v>
      </c>
      <c r="AI17" s="32">
        <f>IF(AF17-IF(AF17&lt;=InputData!$C$146,InputData!$C$145,0)-MAX(InputData!$C$144,AO17)&gt;=0,AF17-IF(AF17&lt;=InputData!$C$146,InputData!$C$145,0)-MAX(InputData!$C$144,AO17),0)</f>
        <v>79526.779922880974</v>
      </c>
      <c r="AJ17" s="32">
        <f>IF(AI17&lt;0,"Error",IF(AI17&lt;=InputData!$B$170,InputData!$C$170*AI17,IF(AI17&lt;=InputData!$B$171,InputData!$D$170+InputData!$C$171*(AI17-InputData!$B$170),IF(AI17&lt;=InputData!$B$172,InputData!$D$171+InputData!$C$172*(AI17-InputData!$B$171),IF(AI17&lt;=InputData!$B$173,InputData!$D$172+InputData!$C$173*(AI17-InputData!$B$172),IF(AI17&lt;=InputData!$B$174,InputData!$D$173+InputData!$C$174*(AI17-InputData!$B$173),IF(AI17&lt;=InputData!$B$175,InputData!$D$174+InputData!$C$175*(AI17-InputData!$B$174),InputData!$D$175+InputData!$C$176*(AI17-InputData!$B$175))))))))</f>
        <v>15810.444980720244</v>
      </c>
      <c r="AK17" s="32">
        <f>IF(AF17&lt;=InputData!$C$150,InputData!$C$152,IF(AF17&lt;InputData!$C$151,IF(InputData!$C$152-0.25*IF(AF17-InputData!$C$150&lt;=0,0,AF17-InputData!$C$150)&lt;=0,0,InputData!$C$152-0.25*IF(AF17-InputData!$C$150&lt;=0,0,AF17-InputData!$C$150)),0))</f>
        <v>51900</v>
      </c>
      <c r="AL17" s="32">
        <f>IF(AF17-AK17&lt;=0,0,IF(AF17-AK17&lt;=InputData!$C$153,InputData!$C$154*(AF17-AK17),InputData!$C$155*(AF17-AK17)-InputData!$D$154))</f>
        <v>9782.9627799490536</v>
      </c>
      <c r="AM17" s="32">
        <f t="shared" si="42"/>
        <v>15810.444980720244</v>
      </c>
      <c r="AN17" s="32">
        <f>IF(AF17&gt;=0,IF(AF17&lt;=InputData!$C$148,InputData!$C$147*AF17,InputData!$C$147*InputData!$C$148)+InputData!$C$149*AF17,0)</f>
        <v>6848.7986641003954</v>
      </c>
      <c r="AO17" s="32">
        <f>IF(AH17&lt;0,0,IF(AH17&lt;=InputData!$B$163,InputData!$C$163*AH17,IF(AH17&lt;=InputData!$B$164,InputData!$D$163+InputData!$C$164*(AH17-InputData!$B$163),IF(AH17&lt;=InputData!$B$165,InputData!$D$164+InputData!$C$165*(AH17-InputData!$B$164),InputData!$D$165+InputData!$C$166*(AH17-InputData!$B$165)))))</f>
        <v>0</v>
      </c>
      <c r="AP17" s="43">
        <f t="shared" si="43"/>
        <v>0.25310017476714203</v>
      </c>
      <c r="AQ17" s="43">
        <f t="shared" si="44"/>
        <v>0.20932785365836032</v>
      </c>
      <c r="AR17" s="5">
        <f t="shared" si="45"/>
        <v>85588.38441237199</v>
      </c>
      <c r="AS17" s="32">
        <f>AR17/((1+InputData!$C$7)^(Ophtha!$B17-Ophtha!$B$7))</f>
        <v>63685.796027087723</v>
      </c>
      <c r="AT17" s="5">
        <f t="shared" si="112"/>
        <v>504876.79759229696</v>
      </c>
      <c r="AU17" s="53"/>
      <c r="AV17" s="41" t="s">
        <v>109</v>
      </c>
      <c r="AW17" s="32">
        <f>$AW$15*(1+InputData!$C$3+InputData!$C$4)^(Ophtha!$B17-Ophtha!$B$17)</f>
        <v>252164.53197930759</v>
      </c>
      <c r="AX17" s="32">
        <v>0</v>
      </c>
      <c r="AY17" s="32">
        <f t="shared" si="47"/>
        <v>252164.53197930759</v>
      </c>
      <c r="AZ17" s="32">
        <f>AZ16*(1+InputData!$C$8)</f>
        <v>14006.245885739763</v>
      </c>
      <c r="BA17" s="32">
        <f>AW17/((1+InputData!$C$3)^(Ophtha!$B17-Ophtha!$B$7))</f>
        <v>206862.74509803922</v>
      </c>
      <c r="BB17" s="32">
        <f>AX17/((1+InputData!$C$3)^(Ophtha!$B17-Ophtha!$B$7))</f>
        <v>0</v>
      </c>
      <c r="BC17" s="32" t="s">
        <v>141</v>
      </c>
      <c r="BD17" s="32">
        <v>0</v>
      </c>
      <c r="BE17" s="32">
        <f t="shared" si="158"/>
        <v>218527.20660121611</v>
      </c>
      <c r="BF17" s="32">
        <f>(BE17)*InputData!$C$6</f>
        <v>13570.53952993552</v>
      </c>
      <c r="BG17" s="32">
        <f>MIN($BE$15*InputData!$C$6/(1-(1+InputData!$C$6)^(-10)), BE17+BF17)</f>
        <v>35483.780349040731</v>
      </c>
      <c r="BH17" s="32">
        <f t="shared" si="140"/>
        <v>196613.9657821109</v>
      </c>
      <c r="BI17" s="32">
        <f>BG17/((1+InputData!$C$3)^(Ophtha!$B17-Ophtha!$B$7))</f>
        <v>29109.05888247901</v>
      </c>
      <c r="BJ17" s="32">
        <f>IF(BA17-InputData!$C$158-InputData!$C$159&gt;=0,BA17-InputData!$C$158-InputData!$C$159,0)</f>
        <v>206862.74509803922</v>
      </c>
      <c r="BK17" s="32">
        <f>IF(BA17-IF(BA17&lt;=InputData!$C$146,InputData!$C$145,0)-MAX(InputData!$C$144,BQ17)&gt;=0,BA17-IF(BA17&lt;=InputData!$C$146,InputData!$C$145,0)-MAX(InputData!$C$144,BQ17),0)</f>
        <v>200762.74509803922</v>
      </c>
      <c r="BL17" s="32">
        <f>IF(BK17&lt;0,"Error",IF(BK17&lt;=InputData!$B$170,InputData!$C$170*BK17,IF(BK17&lt;=InputData!$B$171,InputData!$D$170+InputData!$C$171*(BK17-InputData!$B$170),IF(BK17&lt;=InputData!$B$172,InputData!$D$171+InputData!$C$172*(BK17-InputData!$B$171),IF(BK17&lt;=InputData!$B$173,InputData!$D$172+InputData!$C$173*(BK17-InputData!$B$172),IF(BK17&lt;=InputData!$B$174,InputData!$D$173+InputData!$C$174*(BK17-InputData!$B$173),IF(BK17&lt;=InputData!$B$175,InputData!$D$174+InputData!$C$175*(BK17-InputData!$B$174),InputData!$D$175+InputData!$C$176*(BK17-InputData!$B$175))))))))</f>
        <v>50382.455882352944</v>
      </c>
      <c r="BM17" s="32">
        <f>IF(BA17&lt;=InputData!$C$150,InputData!$C$152,IF(BA17&lt;InputData!$C$151,IF(InputData!$C$152-0.25*IF(BA17-InputData!$C$150&lt;=0,0,BA17-InputData!$C$150)&lt;=0,0,InputData!$C$152-0.25*IF(BA17-InputData!$C$150&lt;=0,0,BA17-InputData!$C$150)),0))</f>
        <v>29034.313725490196</v>
      </c>
      <c r="BN17" s="32">
        <f>IF(BA17-BM17&lt;=0,0,IF(BA17-BM17&lt;=InputData!$C$153,InputData!$C$154*(BA17-BM17),InputData!$C$155*(BA17-BM17)-InputData!$D$154))</f>
        <v>46235.392156862748</v>
      </c>
      <c r="BO17" s="32">
        <f t="shared" si="48"/>
        <v>50382.455882352944</v>
      </c>
      <c r="BP17" s="32">
        <f>IF(BA17&gt;=0,IF(BA17&lt;=InputData!$C$148,InputData!$C$147*BA17,InputData!$C$147*InputData!$C$148)+InputData!$C$149*BA17,0)</f>
        <v>10048.909803921568</v>
      </c>
      <c r="BQ17" s="32">
        <f>IF(BJ17&lt;0,0,IF(BJ17&lt;=InputData!$B$163,InputData!$C$163*BJ17,IF(BJ17&lt;=InputData!$B$164,InputData!$D$163+InputData!$C$164*(BJ17-InputData!$B$163),IF(BJ17&lt;=InputData!$B$165,InputData!$D$164+InputData!$C$165*(BJ17-InputData!$B$164),InputData!$D$165+InputData!$C$166*(BJ17-InputData!$B$165)))))</f>
        <v>0</v>
      </c>
      <c r="BR17" s="43">
        <f t="shared" si="49"/>
        <v>0.29213266824644551</v>
      </c>
      <c r="BS17" s="32">
        <f t="shared" si="50"/>
        <v>146431.3794117647</v>
      </c>
      <c r="BT17" s="32">
        <f t="shared" si="51"/>
        <v>117322.3205292857</v>
      </c>
      <c r="BU17" s="32">
        <f>BT17/((1+InputData!$C$7)^(Ophtha!$B17-Ophtha!$B$7))</f>
        <v>87298.824787404636</v>
      </c>
      <c r="BV17" s="5">
        <f t="shared" si="114"/>
        <v>225072.94742145418</v>
      </c>
      <c r="BW17" s="5"/>
      <c r="BX17" s="32" t="s">
        <v>141</v>
      </c>
      <c r="BY17" s="5">
        <f t="shared" si="159"/>
        <v>249149.67660669005</v>
      </c>
      <c r="BZ17" s="32">
        <f>(BY17)*InputData!$C$6</f>
        <v>15472.194917275452</v>
      </c>
      <c r="CA17" s="32">
        <f>MIN($BY$15*InputData!$C$6/(1-(1+InputData!$C$6)^(-25)), BY17+BZ17)</f>
        <v>20633.642137763909</v>
      </c>
      <c r="CB17" s="32">
        <f t="shared" si="160"/>
        <v>243988.22938620159</v>
      </c>
      <c r="CC17" s="32">
        <f>CA17/((1+InputData!$C$3)^(Ophtha!$B17-Ophtha!$B$7))</f>
        <v>16926.773247946989</v>
      </c>
      <c r="CD17" s="5">
        <f t="shared" si="55"/>
        <v>129504.60616381772</v>
      </c>
      <c r="CE17" s="32">
        <f>CD17/((1+InputData!$C$7)^(Ophtha!$B17-Ophtha!$B$7))</f>
        <v>96363.589397593692</v>
      </c>
      <c r="CF17" s="5">
        <f t="shared" si="115"/>
        <v>253666.48158056545</v>
      </c>
      <c r="CG17" s="5"/>
      <c r="CH17" s="32" t="s">
        <v>141</v>
      </c>
      <c r="CI17" s="5">
        <f t="shared" si="161"/>
        <v>221108.47594333772</v>
      </c>
      <c r="CJ17" s="32">
        <f>(CI17)*InputData!$C$6</f>
        <v>13730.836356081272</v>
      </c>
      <c r="CK17" s="5">
        <f t="shared" si="162"/>
        <v>34673.274472604688</v>
      </c>
      <c r="CL17" s="32">
        <f t="shared" si="163"/>
        <v>200166.03782681431</v>
      </c>
      <c r="CM17" s="32">
        <f>CK17/((1+InputData!$C$3)^(Ophtha!$B17-Ophtha!$B$7))</f>
        <v>28444.161764705877</v>
      </c>
      <c r="CN17" s="5">
        <f t="shared" si="59"/>
        <v>117987.21764705883</v>
      </c>
      <c r="CO17" s="32">
        <f>CN17/((1+InputData!$C$7)^(Ophtha!$B17-Ophtha!$B$7))</f>
        <v>87793.570686771985</v>
      </c>
      <c r="CP17" s="5">
        <f t="shared" si="149"/>
        <v>227217.99473273015</v>
      </c>
      <c r="CQ17" s="5"/>
      <c r="CR17" s="32" t="s">
        <v>141</v>
      </c>
      <c r="CS17" s="5">
        <f t="shared" si="164"/>
        <v>244638.42064854948</v>
      </c>
      <c r="CT17" s="32">
        <f>(CS17)*InputData!$C$6</f>
        <v>15192.045922274923</v>
      </c>
      <c r="CU17" s="32">
        <f t="shared" si="165"/>
        <v>23115.516315069795</v>
      </c>
      <c r="CV17" s="32">
        <f t="shared" si="166"/>
        <v>236714.95025575461</v>
      </c>
      <c r="CW17" s="32">
        <f>CU17/((1+InputData!$C$3)^(Ophtha!$B17-Ophtha!$B$7))</f>
        <v>18962.774509803919</v>
      </c>
      <c r="CX17" s="5">
        <f t="shared" si="63"/>
        <v>127468.60490196079</v>
      </c>
      <c r="CY17" s="32">
        <f>CX17/((1+InputData!$C$7)^(Ophtha!$B17-Ophtha!$B$7))</f>
        <v>94848.613247923902</v>
      </c>
      <c r="CZ17" s="5">
        <f t="shared" si="150"/>
        <v>249277.3278397276</v>
      </c>
      <c r="DA17" s="5"/>
      <c r="DB17" s="32" t="s">
        <v>141</v>
      </c>
      <c r="DC17" s="5">
        <f t="shared" si="141"/>
        <v>111301.85941585165</v>
      </c>
      <c r="DD17" s="5">
        <f>DC17*InputData!$C$6</f>
        <v>6911.8454697243878</v>
      </c>
      <c r="DE17" s="32">
        <f t="shared" si="142"/>
        <v>29148.379963889372</v>
      </c>
      <c r="DF17" s="32">
        <f t="shared" si="143"/>
        <v>89065.324921686668</v>
      </c>
      <c r="DG17" s="32">
        <f>DE17/((1+InputData!$C$3)^(Ophtha!$B17-Ophtha!$B$7))</f>
        <v>23911.823947491688</v>
      </c>
      <c r="DH17" s="5">
        <f t="shared" si="67"/>
        <v>122519.55546427301</v>
      </c>
      <c r="DI17" s="32">
        <f>DH17/((1+InputData!$C$7)^(Ophtha!$B17-Ophtha!$B$7))</f>
        <v>91166.05567681737</v>
      </c>
      <c r="DJ17" s="5">
        <f t="shared" si="130"/>
        <v>160226.27321284544</v>
      </c>
      <c r="DK17" s="5"/>
      <c r="DL17" s="32" t="s">
        <v>141</v>
      </c>
      <c r="DM17" s="32">
        <f t="shared" si="167"/>
        <v>204368.66528004027</v>
      </c>
      <c r="DN17" s="5">
        <f>DM17*InputData!$C$6</f>
        <v>12691.294113890501</v>
      </c>
      <c r="DO17" s="32">
        <f t="shared" si="168"/>
        <v>0</v>
      </c>
      <c r="DP17" s="32">
        <f t="shared" si="131"/>
        <v>29148.379963889372</v>
      </c>
      <c r="DQ17" s="32">
        <f t="shared" si="132"/>
        <v>187911.5794300414</v>
      </c>
      <c r="DR17" s="32">
        <f>DP17/((1+InputData!$C$3)^(Ophtha!$B17-Ophtha!$B$7))</f>
        <v>23911.823947491688</v>
      </c>
      <c r="DS17" s="5">
        <f t="shared" si="71"/>
        <v>122519.55546427301</v>
      </c>
      <c r="DT17" s="32">
        <f>DS17/((1+InputData!$C$7)^(Ophtha!$B17-Ophtha!$B$7))</f>
        <v>91166.05567681737</v>
      </c>
      <c r="DU17" s="5">
        <f t="shared" si="133"/>
        <v>218935.65783156993</v>
      </c>
      <c r="DV17" s="5"/>
      <c r="DW17" s="32" t="s">
        <v>141</v>
      </c>
      <c r="DX17" s="133">
        <f t="shared" si="144"/>
        <v>212416.2</v>
      </c>
      <c r="DY17" s="5">
        <f>DX17*InputData!$C$6</f>
        <v>13191.046020000002</v>
      </c>
      <c r="DZ17" s="133">
        <f t="shared" si="145"/>
        <v>918.62992976008536</v>
      </c>
      <c r="EA17" s="32">
        <f t="shared" si="146"/>
        <v>23115.516315069795</v>
      </c>
      <c r="EB17" s="32">
        <f t="shared" si="147"/>
        <v>213334.8299297601</v>
      </c>
      <c r="EC17" s="32">
        <f>EA17/((1+InputData!$C$3)^(Ophtha!$B17-Ophtha!$B$7))</f>
        <v>18962.774509803919</v>
      </c>
      <c r="ED17" s="5">
        <f t="shared" si="75"/>
        <v>127468.60490196079</v>
      </c>
      <c r="EE17" s="32">
        <f>ED17/((1+InputData!$C$7)^(Ophtha!$B17-Ophtha!$B$7))</f>
        <v>94848.613247923902</v>
      </c>
      <c r="EF17" s="5">
        <f t="shared" si="134"/>
        <v>237053.37489945069</v>
      </c>
      <c r="EG17" s="32"/>
      <c r="EH17" s="133" t="s">
        <v>141</v>
      </c>
      <c r="EI17" s="32">
        <v>0</v>
      </c>
      <c r="EJ17" s="32">
        <f t="shared" si="169"/>
        <v>246294.79608514323</v>
      </c>
      <c r="EK17" s="32">
        <f>(EJ17)*InputData!$C$6</f>
        <v>15294.906836887396</v>
      </c>
      <c r="EL17" s="32">
        <f>EL16+EI17+EK17-EN17</f>
        <v>238474.18660696084</v>
      </c>
      <c r="EM17" s="32">
        <f>EM16*(1+InputData!$C$8)</f>
        <v>14006.245885739763</v>
      </c>
      <c r="EN17" s="32">
        <f t="shared" si="152"/>
        <v>23115.516315069795</v>
      </c>
      <c r="EO17" s="32">
        <f>AW17/((1+InputData!$C$3)^(Ophtha!$B17-Ophtha!$B$7))</f>
        <v>206862.74509803922</v>
      </c>
      <c r="EP17" s="32">
        <f>AX17/((1+InputData!$C$3)^(Ophtha!$B17-Ophtha!$B$7))</f>
        <v>0</v>
      </c>
      <c r="EQ17" s="32">
        <v>50280.5</v>
      </c>
      <c r="ER17" s="32">
        <v>8755.7000000000007</v>
      </c>
      <c r="ES17" s="32">
        <v>0</v>
      </c>
      <c r="ET17" s="43">
        <f t="shared" si="139"/>
        <v>0.28538826540284357</v>
      </c>
      <c r="EU17" s="32">
        <f t="shared" si="76"/>
        <v>147826.54509803921</v>
      </c>
      <c r="EV17" s="32">
        <f>EN17/((1+InputData!$C$3)^(Ophtha!$B17-Ophtha!$B$7))</f>
        <v>18962.774509803919</v>
      </c>
      <c r="EW17" s="32">
        <f t="shared" si="77"/>
        <v>128863.77058823529</v>
      </c>
      <c r="EX17" s="32">
        <f>EW17/((1+InputData!$C$7)^(Ophtha!$B17-Ophtha!$B$7))</f>
        <v>95886.747545353472</v>
      </c>
      <c r="EY17" s="5">
        <f t="shared" si="124"/>
        <v>327902.97928271082</v>
      </c>
      <c r="EZ17" s="79"/>
      <c r="FA17" s="32">
        <f t="shared" si="153"/>
        <v>219768.08830933613</v>
      </c>
      <c r="FB17" s="32">
        <f>FA17*InputData!$C$6</f>
        <v>13647.598284009775</v>
      </c>
      <c r="FC17" s="32">
        <f t="shared" si="154"/>
        <v>197730.41566262936</v>
      </c>
      <c r="FD17" s="32">
        <f>MIN($EJ$15*InputData!$C$6/(1-(1+InputData!$C$6)^(-10)), FA17+FB17)</f>
        <v>35685.270930716564</v>
      </c>
      <c r="FE17" s="32">
        <f>FD17/((1+InputData!$C$3)^(Ophtha!$B17-Ophtha!$B$7))</f>
        <v>29274.351338597633</v>
      </c>
      <c r="FF17" s="5">
        <f t="shared" si="81"/>
        <v>118552.19375944158</v>
      </c>
      <c r="FG17" s="32">
        <f>FF17/((1+InputData!$C$7)^(Ophtha!$B17-Ophtha!$B$7))</f>
        <v>88213.965974057995</v>
      </c>
      <c r="FH17" s="5">
        <f t="shared" si="125"/>
        <v>303310.63427125185</v>
      </c>
      <c r="FI17" s="79"/>
      <c r="FJ17" s="32">
        <f t="shared" si="155"/>
        <v>250564.44450261365</v>
      </c>
      <c r="FK17" s="32">
        <f>FJ17*InputData!$C$6</f>
        <v>15560.052003612309</v>
      </c>
      <c r="FL17" s="32">
        <f t="shared" si="170"/>
        <v>245373.68859538113</v>
      </c>
      <c r="FM17" s="32">
        <f>MIN($EJ$15*InputData!$C$6/(1-(1+InputData!$C$6)^(-25)), FJ17+FK17)</f>
        <v>20750.807910844829</v>
      </c>
      <c r="FN17" s="32">
        <f>FM17/((1+InputData!$C$3)^(Ophtha!$B17-Ophtha!$B$7))</f>
        <v>17022.88999069748</v>
      </c>
      <c r="FO17" s="5">
        <f t="shared" si="85"/>
        <v>130803.65510734172</v>
      </c>
      <c r="FP17" s="32">
        <f>FO17/((1+InputData!$C$7)^(Ophtha!$B17-Ophtha!$B$7))</f>
        <v>97330.203811622923</v>
      </c>
      <c r="FQ17" s="5">
        <f t="shared" si="126"/>
        <v>332066.5335383988</v>
      </c>
      <c r="FR17" s="79"/>
      <c r="FS17" s="32">
        <f t="shared" si="156"/>
        <v>222764.8513799315</v>
      </c>
      <c r="FT17" s="32">
        <f>FS17*InputData!$C$6</f>
        <v>13833.697270693747</v>
      </c>
      <c r="FU17" s="32">
        <f t="shared" si="171"/>
        <v>201925.27417802057</v>
      </c>
      <c r="FV17" s="5">
        <f t="shared" si="157"/>
        <v>34673.274472604688</v>
      </c>
      <c r="FW17" s="32">
        <f>FV17/((1+InputData!$C$3)^(Ophtha!$B17-Ophtha!$B$7))</f>
        <v>28444.161764705877</v>
      </c>
      <c r="FX17" s="5">
        <f t="shared" si="88"/>
        <v>119382.38333333333</v>
      </c>
      <c r="FY17" s="32">
        <f>FX17/((1+InputData!$C$7)^(Ophtha!$B17-Ophtha!$B$7))</f>
        <v>88831.704984201555</v>
      </c>
      <c r="FZ17" s="5">
        <f t="shared" si="127"/>
        <v>305843.64617571328</v>
      </c>
      <c r="GC17" s="3">
        <f t="shared" si="2"/>
        <v>7</v>
      </c>
      <c r="GD17" s="4" t="str">
        <f t="shared" si="3"/>
        <v>Service (O4&gt;6 = (BP+BAH+BAS+VSP+BCPSP)*12)+ASP</v>
      </c>
      <c r="GE17" s="5">
        <f t="shared" si="4"/>
        <v>98796.36</v>
      </c>
      <c r="GF17" s="5">
        <f t="shared" si="5"/>
        <v>20659.199999999997</v>
      </c>
      <c r="GG17" s="5">
        <f t="shared" si="6"/>
        <v>119455.56</v>
      </c>
      <c r="GH17" s="5">
        <f t="shared" si="7"/>
        <v>89526.779922880974</v>
      </c>
      <c r="GI17" s="5">
        <f t="shared" si="8"/>
        <v>18720.848134311655</v>
      </c>
      <c r="GJ17" s="32">
        <f>IF(GH17-InputData!$C$158-InputData!$C$159&gt;=0,GH17-InputData!$C$158-InputData!$C$159,0)</f>
        <v>89526.779922880974</v>
      </c>
      <c r="GK17" s="32">
        <f>IF(GH17-IF(GH17&lt;=InputData!$C$146,InputData!$C$145,0)-MAX(InputData!$C$144,GQ17)&gt;=0,GH17-IF(GH17&lt;=InputData!$C$146,InputData!$C$145,0)-MAX(InputData!$C$144,GQ17),0)</f>
        <v>79526.779922880974</v>
      </c>
      <c r="GL17" s="32">
        <f>IF(GK17&lt;0,"Error",IF(GK17&lt;=InputData!$B$170,InputData!$C$170*GK17,IF(GK17&lt;=InputData!$B$171,InputData!$D$170+InputData!$C$171*(GK17-InputData!$B$170),IF(GK17&lt;=InputData!$B$172,InputData!$D$171+InputData!$C$172*(GK17-InputData!$B$171),IF(GK17&lt;=InputData!$B$173,InputData!$D$172+InputData!$C$173*(GK17-InputData!$B$172),IF(GK17&lt;=InputData!$B$174,InputData!$D$173+InputData!$C$174*(GK17-InputData!$B$173),IF(GK17&lt;=InputData!$B$175,InputData!$D$174+InputData!$C$175*(GK17-InputData!$B$174),InputData!$D$175+InputData!$C$176*(GK17-InputData!$B$175))))))))</f>
        <v>15810.444980720244</v>
      </c>
      <c r="GM17" s="32">
        <f>IF(GH17&lt;=InputData!$C$150,InputData!$C$152,IF(GH17&lt;InputData!$C$151,IF(InputData!$C$152-0.25*IF(GH17-InputData!$C$150&lt;=0,0,GH17-InputData!$C$150)&lt;=0,0,InputData!$C$152-0.25*IF(GH17-InputData!$C$150&lt;=0,0,GH17-InputData!$C$150)),0))</f>
        <v>51900</v>
      </c>
      <c r="GN17" s="32">
        <f>IF(GH17-GM17&lt;=0,0,IF(GH17-GM17&lt;=InputData!$C$153,InputData!$C$154*(GH17-GM17),InputData!$C$155*(GH17-GM17)-InputData!$D$154))</f>
        <v>9782.9627799490536</v>
      </c>
      <c r="GO17" s="32">
        <f t="shared" si="89"/>
        <v>15810.444980720244</v>
      </c>
      <c r="GP17" s="32">
        <f>IF(GH17&gt;=0,IF(GH17&lt;=InputData!$C$148,InputData!$C$147*GH17,InputData!$C$147*InputData!$C$148)+InputData!$C$149*GH17,0)</f>
        <v>6848.7986641003954</v>
      </c>
      <c r="GQ17" s="32">
        <f>IF(GJ17&lt;0,0,IF(GJ17&lt;=InputData!$B$163,InputData!$C$163*GJ17,IF(GJ17&lt;=InputData!$B$164,InputData!$D$163+InputData!$C$164*(GJ17-InputData!$B$163),IF(GJ17&lt;=InputData!$B$165,InputData!$D$164+InputData!$C$165*(GJ17-InputData!$B$164),InputData!$D$165+InputData!$C$166*(GJ17-InputData!$B$165)))))</f>
        <v>0</v>
      </c>
      <c r="GR17" s="43">
        <f t="shared" si="90"/>
        <v>0.25310017476714203</v>
      </c>
      <c r="GS17" s="43">
        <f t="shared" si="91"/>
        <v>0.20932785365836032</v>
      </c>
      <c r="GT17" s="5">
        <f t="shared" si="9"/>
        <v>85588.38441237199</v>
      </c>
      <c r="GU17" s="32">
        <f>GT17/((1+InputData!$C$7)^(Ophtha!$B17-Ophtha!$B$7))</f>
        <v>63685.796027087723</v>
      </c>
      <c r="GV17" s="32">
        <f t="shared" si="92"/>
        <v>597000.51990297018</v>
      </c>
      <c r="GX17" s="3">
        <f t="shared" si="10"/>
        <v>7</v>
      </c>
      <c r="GY17" s="4" t="str">
        <f t="shared" si="11"/>
        <v>Service (O4&gt;6 = (BP+BAH+BAS+VSP+BCPSP)*12)+ASP</v>
      </c>
      <c r="GZ17" s="5">
        <f t="shared" si="12"/>
        <v>98796.36</v>
      </c>
      <c r="HA17" s="5">
        <f t="shared" si="13"/>
        <v>20659.199999999997</v>
      </c>
      <c r="HB17" s="5">
        <f t="shared" si="14"/>
        <v>119455.56</v>
      </c>
      <c r="HC17" s="5">
        <f t="shared" si="15"/>
        <v>89526.779922880974</v>
      </c>
      <c r="HD17" s="5">
        <f t="shared" si="16"/>
        <v>18720.848134311655</v>
      </c>
      <c r="HE17" s="32">
        <f>IF(HC17-InputData!$C$158-InputData!$C$159&gt;=0,HC17-InputData!$C$158-InputData!$C$159,0)</f>
        <v>89526.779922880974</v>
      </c>
      <c r="HF17" s="32">
        <f>IF(HC17-IF(HC17&lt;=InputData!$C$146,InputData!$C$145,0)-MAX(InputData!$C$144,HL17)&gt;=0,HC17-IF(HC17&lt;=InputData!$C$146,InputData!$C$145,0)-MAX(InputData!$C$144,HL17),0)</f>
        <v>79526.779922880974</v>
      </c>
      <c r="HG17" s="32">
        <f>IF(HF17&lt;0,"Error",IF(HF17&lt;=InputData!$B$170,InputData!$C$170*HF17,IF(HF17&lt;=InputData!$B$171,InputData!$D$170+InputData!$C$171*(HF17-InputData!$B$170),IF(HF17&lt;=InputData!$B$172,InputData!$D$171+InputData!$C$172*(HF17-InputData!$B$171),IF(HF17&lt;=InputData!$B$173,InputData!$D$172+InputData!$C$173*(HF17-InputData!$B$172),IF(HF17&lt;=InputData!$B$174,InputData!$D$173+InputData!$C$174*(HF17-InputData!$B$173),IF(HF17&lt;=InputData!$B$175,InputData!$D$174+InputData!$C$175*(HF17-InputData!$B$174),InputData!$D$175+InputData!$C$176*(HF17-InputData!$B$175))))))))</f>
        <v>15810.444980720244</v>
      </c>
      <c r="HH17" s="32">
        <f>IF(HC17&lt;=InputData!$C$150,InputData!$C$152,IF(HC17&lt;InputData!$C$151,IF(InputData!$C$152-0.25*IF(HC17-InputData!$C$150&lt;=0,0,HC17-InputData!$C$150)&lt;=0,0,InputData!$C$152-0.25*IF(HC17-InputData!$C$150&lt;=0,0,HC17-InputData!$C$150)),0))</f>
        <v>51900</v>
      </c>
      <c r="HI17" s="32">
        <f>IF(HC17-HH17&lt;=0,0,IF(HC17-HH17&lt;=InputData!$C$153,InputData!$C$154*(HC17-HH17),InputData!$C$155*(HC17-HH17)-InputData!$D$154))</f>
        <v>9782.9627799490536</v>
      </c>
      <c r="HJ17" s="32">
        <f t="shared" si="93"/>
        <v>15810.444980720244</v>
      </c>
      <c r="HK17" s="32">
        <f>IF(HC17&gt;=0,IF(HC17&lt;=InputData!$C$148,InputData!$C$147*HC17,InputData!$C$147*InputData!$C$148)+InputData!$C$149*HC17,0)</f>
        <v>6848.7986641003954</v>
      </c>
      <c r="HL17" s="32">
        <f>IF(HE17&lt;0,0,IF(HE17&lt;=InputData!$B$163,InputData!$C$163*HE17,IF(HE17&lt;=InputData!$B$164,InputData!$D$163+InputData!$C$164*(HE17-InputData!$B$163),IF(HE17&lt;=InputData!$B$165,InputData!$D$164+InputData!$C$165*(HE17-InputData!$B$164),InputData!$D$165+InputData!$C$166*(HE17-InputData!$B$165)))))</f>
        <v>0</v>
      </c>
      <c r="HM17" s="43">
        <f t="shared" si="94"/>
        <v>0.25310017476714203</v>
      </c>
      <c r="HN17" s="43">
        <f t="shared" si="95"/>
        <v>0.20932785365836032</v>
      </c>
      <c r="HO17" s="5">
        <f t="shared" si="17"/>
        <v>85588.38441237199</v>
      </c>
      <c r="HP17" s="32">
        <f>HO17/((1+InputData!$C$7)^(Ophtha!$B17-Ophtha!$B$7))</f>
        <v>63685.796027087723</v>
      </c>
      <c r="HQ17" s="32">
        <f t="shared" si="96"/>
        <v>504876.79759229696</v>
      </c>
      <c r="HS17" s="93">
        <f t="shared" si="18"/>
        <v>7</v>
      </c>
      <c r="HT17" s="5" t="str">
        <f t="shared" si="19"/>
        <v>Service (O4&gt;6 = (BP+BAH+BAS+VSP+BCPSP)*12)+ASP</v>
      </c>
      <c r="HU17" s="5">
        <f t="shared" si="20"/>
        <v>98796.36</v>
      </c>
      <c r="HV17" s="5">
        <f t="shared" si="21"/>
        <v>20659.199999999997</v>
      </c>
      <c r="HW17" s="5">
        <f t="shared" si="22"/>
        <v>119455.56</v>
      </c>
      <c r="HX17" s="5">
        <f t="shared" si="23"/>
        <v>89526.779922880974</v>
      </c>
      <c r="HY17" s="5">
        <f t="shared" si="24"/>
        <v>18720.848134311655</v>
      </c>
      <c r="HZ17" s="32">
        <f>IF(HX17-InputData!$C$158-InputData!$C$159&gt;=0,HX17-InputData!$C$158-InputData!$C$159,0)</f>
        <v>89526.779922880974</v>
      </c>
      <c r="IA17" s="32">
        <f>IF(HX17-IF(HX17&lt;=InputData!$C$146,InputData!$C$145,0)-MAX(InputData!$C$144,IG17)&gt;=0,HX17-IF(HX17&lt;=InputData!$C$146,InputData!$C$145,0)-MAX(InputData!$C$144,IG17),0)</f>
        <v>79526.779922880974</v>
      </c>
      <c r="IB17" s="32">
        <f>IF(IA17&lt;0,"Error",IF(IA17&lt;=InputData!$B$170,InputData!$C$170*IA17,IF(IA17&lt;=InputData!$B$171,InputData!$D$170+InputData!$C$171*(IA17-InputData!$B$170),IF(IA17&lt;=InputData!$B$172,InputData!$D$171+InputData!$C$172*(IA17-InputData!$B$171),IF(IA17&lt;=InputData!$B$173,InputData!$D$172+InputData!$C$173*(IA17-InputData!$B$172),IF(IA17&lt;=InputData!$B$174,InputData!$D$173+InputData!$C$174*(IA17-InputData!$B$173),IF(IA17&lt;=InputData!$B$175,InputData!$D$174+InputData!$C$175*(IA17-InputData!$B$174),InputData!$D$175+InputData!$C$176*(IA17-InputData!$B$175))))))))</f>
        <v>15810.444980720244</v>
      </c>
      <c r="IC17" s="32">
        <f>IF(HX17&lt;=InputData!$C$150,InputData!$C$152,IF(HX17&lt;InputData!$C$151,IF(InputData!$C$152-0.25*IF(HX17-InputData!$C$150&lt;=0,0,HX17-InputData!$C$150)&lt;=0,0,InputData!$C$152-0.25*IF(HX17-InputData!$C$150&lt;=0,0,HX17-InputData!$C$150)),0))</f>
        <v>51900</v>
      </c>
      <c r="ID17" s="32">
        <f>IF(HX17-IC17&lt;=0,0,IF(HX17-IC17&lt;=InputData!$C$153,InputData!$C$154*(HX17-IC17),InputData!$C$155*(HX17-IC17)-InputData!$D$154))</f>
        <v>9782.9627799490536</v>
      </c>
      <c r="IE17" s="32">
        <f t="shared" si="97"/>
        <v>15810.444980720244</v>
      </c>
      <c r="IF17" s="32">
        <f>IF(HX17&gt;=0,IF(HX17&lt;=InputData!$C$148,InputData!$C$147*HX17,InputData!$C$147*InputData!$C$148)+InputData!$C$149*HX17,0)</f>
        <v>6848.7986641003954</v>
      </c>
      <c r="IG17" s="32">
        <f>IF(HZ17&lt;0,0,IF(HZ17&lt;=InputData!$B$163,InputData!$C$163*HZ17,IF(HZ17&lt;=InputData!$B$164,InputData!$D$163+InputData!$C$164*(HZ17-InputData!$B$163),IF(HZ17&lt;=InputData!$B$165,InputData!$D$164+InputData!$C$165*(HZ17-InputData!$B$164),InputData!$D$165+InputData!$C$166*(HZ17-InputData!$B$165)))))</f>
        <v>0</v>
      </c>
      <c r="IH17" s="43">
        <f t="shared" si="98"/>
        <v>0.25310017476714203</v>
      </c>
      <c r="II17" s="43">
        <f t="shared" si="99"/>
        <v>0.20932785365836032</v>
      </c>
      <c r="IJ17" s="5">
        <f t="shared" si="100"/>
        <v>85588.38441237199</v>
      </c>
      <c r="IK17" s="32">
        <f>IJ17/((1+InputData!$C$7)^(Ophtha!$B17-Ophtha!$B$7))</f>
        <v>63685.796027087723</v>
      </c>
      <c r="IL17" s="5">
        <f t="shared" si="101"/>
        <v>597000.51990297018</v>
      </c>
      <c r="IN17" s="93">
        <f t="shared" si="25"/>
        <v>7</v>
      </c>
      <c r="IO17" s="5" t="str">
        <f t="shared" si="26"/>
        <v>Service (O4&gt;6 = (BP+BAH+BAS+VSP+BCPSP)*12)+ASP</v>
      </c>
      <c r="IP17" s="5">
        <f t="shared" si="27"/>
        <v>98796.36</v>
      </c>
      <c r="IQ17" s="5">
        <f t="shared" si="28"/>
        <v>20659.199999999997</v>
      </c>
      <c r="IR17" s="5">
        <f t="shared" si="29"/>
        <v>119455.56</v>
      </c>
      <c r="IS17" s="5">
        <f t="shared" si="30"/>
        <v>89526.779922880974</v>
      </c>
      <c r="IT17" s="5">
        <f t="shared" si="31"/>
        <v>18720.848134311655</v>
      </c>
      <c r="IU17" s="32">
        <f>IF(IS17-InputData!$C$158-InputData!$C$159&gt;=0,IS17-InputData!$C$158-InputData!$C$159,0)</f>
        <v>89526.779922880974</v>
      </c>
      <c r="IV17" s="32">
        <f>IF(IS17-IF(IS17&lt;=InputData!$C$146,InputData!$C$145,0)-MAX(InputData!$C$144,JB17)&gt;=0,IS17-IF(IS17&lt;=InputData!$C$146,InputData!$C$145,0)-MAX(InputData!$C$144,JB17),0)</f>
        <v>79526.779922880974</v>
      </c>
      <c r="IW17" s="32">
        <f>IF(IV17&lt;0,"Error",IF(IV17&lt;=InputData!$B$170,InputData!$C$170*IV17,IF(IV17&lt;=InputData!$B$171,InputData!$D$170+InputData!$C$171*(IV17-InputData!$B$170),IF(IV17&lt;=InputData!$B$172,InputData!$D$171+InputData!$C$172*(IV17-InputData!$B$171),IF(IV17&lt;=InputData!$B$173,InputData!$D$172+InputData!$C$173*(IV17-InputData!$B$172),IF(IV17&lt;=InputData!$B$174,InputData!$D$173+InputData!$C$174*(IV17-InputData!$B$173),IF(IV17&lt;=InputData!$B$175,InputData!$D$174+InputData!$C$175*(IV17-InputData!$B$174),InputData!$D$175+InputData!$C$176*(IV17-InputData!$B$175))))))))</f>
        <v>15810.444980720244</v>
      </c>
      <c r="IX17" s="32">
        <f>IF(IS17&lt;=InputData!$C$150,InputData!$C$152,IF(IS17&lt;InputData!$C$151,IF(InputData!$C$152-0.25*IF(IS17-InputData!$C$150&lt;=0,0,IS17-InputData!$C$150)&lt;=0,0,InputData!$C$152-0.25*IF(IS17-InputData!$C$150&lt;=0,0,IS17-InputData!$C$150)),0))</f>
        <v>51900</v>
      </c>
      <c r="IY17" s="32">
        <f>IF(IS17-IX17&lt;=0,0,IF(IS17-IX17&lt;=InputData!$C$153,InputData!$C$154*(IS17-IX17),InputData!$C$155*(IS17-IX17)-InputData!$D$154))</f>
        <v>9782.9627799490536</v>
      </c>
      <c r="IZ17" s="32">
        <f t="shared" si="102"/>
        <v>15810.444980720244</v>
      </c>
      <c r="JA17" s="32">
        <f>IF(IS17&gt;=0,IF(IS17&lt;=InputData!$C$148,InputData!$C$147*IS17,InputData!$C$147*InputData!$C$148)+InputData!$C$149*IS17,0)</f>
        <v>6848.7986641003954</v>
      </c>
      <c r="JB17" s="32">
        <f>IF(IU17&lt;0,0,IF(IU17&lt;=InputData!$B$163,InputData!$C$163*IU17,IF(IU17&lt;=InputData!$B$164,InputData!$D$163+InputData!$C$164*(IU17-InputData!$B$163),IF(IU17&lt;=InputData!$B$165,InputData!$D$164+InputData!$C$165*(IU17-InputData!$B$164),InputData!$D$165+InputData!$C$166*(IU17-InputData!$B$165)))))</f>
        <v>0</v>
      </c>
      <c r="JC17" s="43">
        <f t="shared" si="103"/>
        <v>0.25310017476714203</v>
      </c>
      <c r="JD17" s="43">
        <f t="shared" si="104"/>
        <v>0.20932785365836032</v>
      </c>
      <c r="JE17" s="5">
        <f t="shared" si="105"/>
        <v>85588.38441237199</v>
      </c>
      <c r="JF17" s="32">
        <f>JE17/((1+InputData!$C$7)^(Ophtha!$B17-Ophtha!$B$7))</f>
        <v>63685.796027087723</v>
      </c>
      <c r="JG17" s="5">
        <f t="shared" si="106"/>
        <v>504876.79759229696</v>
      </c>
      <c r="JI17" s="41" t="str">
        <f t="shared" si="32"/>
        <v>Private Practice</v>
      </c>
      <c r="JJ17" s="5">
        <f t="shared" si="33"/>
        <v>252164.53197930759</v>
      </c>
      <c r="JK17" s="32">
        <v>0</v>
      </c>
      <c r="JL17" s="32">
        <f t="shared" si="108"/>
        <v>252164.53197930759</v>
      </c>
      <c r="JM17" s="32">
        <f>JM16*(1+InputData!$C$8)</f>
        <v>14006.245885739763</v>
      </c>
      <c r="JN17" s="32">
        <f>JJ17/((1+InputData!$C$3)^(Ophtha!$B17-Ophtha!$B$7))</f>
        <v>206862.74509803922</v>
      </c>
      <c r="JO17" s="32">
        <f>JK17/((1+InputData!$C$3)^(Ophtha!$B17-Ophtha!$B$7))</f>
        <v>0</v>
      </c>
      <c r="JP17" s="32" t="s">
        <v>141</v>
      </c>
      <c r="JQ17" s="32">
        <v>0</v>
      </c>
      <c r="JR17" s="32">
        <f t="shared" si="172"/>
        <v>0</v>
      </c>
      <c r="JS17" s="32">
        <f>(JR17)*InputData!$C$6</f>
        <v>0</v>
      </c>
      <c r="JT17" s="32">
        <f>MIN($BE$15*InputData!$C$6/(1-(1+InputData!$C$6)^(-10)), JR17+JS17)</f>
        <v>0</v>
      </c>
      <c r="JU17" s="32">
        <f t="shared" si="148"/>
        <v>0</v>
      </c>
      <c r="JV17" s="32">
        <f>JT17/((1+InputData!$C$3)^(Ophtha!$B17-Ophtha!$B$7))</f>
        <v>0</v>
      </c>
      <c r="JW17" s="32">
        <f>IF(JN17-InputData!$C$158-InputData!$C$159&gt;=0,JN17-InputData!$C$158-InputData!$C$159,0)</f>
        <v>206862.74509803922</v>
      </c>
      <c r="JX17" s="32">
        <f>IF(JN17-IF(JN17&lt;=InputData!$C$146,InputData!$C$145,0)-MAX(InputData!$C$144,KD17)&gt;=0,JN17-IF(JN17&lt;=InputData!$C$146,InputData!$C$145,0)-MAX(InputData!$C$144,KD17),0)</f>
        <v>200762.74509803922</v>
      </c>
      <c r="JY17" s="32">
        <f>IF(JX17&lt;0,"Error",IF(JX17&lt;=InputData!$B$170,InputData!$C$170*JX17,IF(JX17&lt;=InputData!$B$171,InputData!$D$170+InputData!$C$171*(JX17-InputData!$B$170),IF(JX17&lt;=InputData!$B$172,InputData!$D$171+InputData!$C$172*(JX17-InputData!$B$171),IF(JX17&lt;=InputData!$B$173,InputData!$D$172+InputData!$C$173*(JX17-InputData!$B$172),IF(JX17&lt;=InputData!$B$174,InputData!$D$173+InputData!$C$174*(JX17-InputData!$B$173),IF(JX17&lt;=InputData!$B$175,InputData!$D$174+InputData!$C$175*(JX17-InputData!$B$174),InputData!$D$175+InputData!$C$176*(JX17-InputData!$B$175))))))))</f>
        <v>50382.455882352944</v>
      </c>
      <c r="JZ17" s="32">
        <f>IF(JN17&lt;=InputData!$C$150,InputData!$C$152,IF(JN17&lt;InputData!$C$151,IF(InputData!$C$152-0.25*IF(JN17-InputData!$C$150&lt;=0,0,JN17-InputData!$C$150)&lt;=0,0,InputData!$C$152-0.25*IF(JN17-InputData!$C$150&lt;=0,0,JN17-InputData!$C$150)),0))</f>
        <v>29034.313725490196</v>
      </c>
      <c r="KA17" s="32">
        <f>IF(JN17-JZ17&lt;=0,0,IF(JN17-JZ17&lt;=InputData!$C$153,InputData!$C$154*(JN17-JZ17),InputData!$C$155*(JN17-JZ17)-InputData!$D$154))</f>
        <v>46235.392156862748</v>
      </c>
      <c r="KB17" s="32">
        <f t="shared" si="109"/>
        <v>50382.455882352944</v>
      </c>
      <c r="KC17" s="32">
        <f>IF(JN17&gt;=0,IF(JN17&lt;=InputData!$C$148,InputData!$C$147*JN17,InputData!$C$147*InputData!$C$148)+InputData!$C$149*JN17,0)</f>
        <v>10048.909803921568</v>
      </c>
      <c r="KD17" s="32">
        <f>IF(JW17&lt;0,0,IF(JW17&lt;=InputData!$B$163,InputData!$C$163*JW17,IF(JW17&lt;=InputData!$B$164,InputData!$D$163+InputData!$C$164*(JW17-InputData!$B$163),IF(JW17&lt;=InputData!$B$165,InputData!$D$164+InputData!$C$165*(JW17-InputData!$B$164),InputData!$D$165+InputData!$C$166*(JW17-InputData!$B$165)))))</f>
        <v>0</v>
      </c>
      <c r="KE17" s="43">
        <f t="shared" si="34"/>
        <v>0.29213266824644551</v>
      </c>
      <c r="KF17" s="32">
        <f t="shared" si="35"/>
        <v>146431.3794117647</v>
      </c>
      <c r="KG17" s="32">
        <f t="shared" si="110"/>
        <v>146431.3794117647</v>
      </c>
      <c r="KH17" s="32">
        <f>KG17/((1+InputData!$C$7)^(Ophtha!$B17-Ophtha!$B$7))</f>
        <v>108958.69837022772</v>
      </c>
      <c r="KI17" s="5">
        <f t="shared" si="129"/>
        <v>484263.37434280466</v>
      </c>
    </row>
    <row r="18" spans="1:295" ht="14.45" x14ac:dyDescent="0.3">
      <c r="A18" s="4">
        <v>2024</v>
      </c>
      <c r="B18" s="51">
        <v>12</v>
      </c>
      <c r="C18" s="4"/>
      <c r="D18" s="3">
        <v>8</v>
      </c>
      <c r="E18" s="97" t="s">
        <v>20</v>
      </c>
      <c r="F18" s="5">
        <f>InputData!$G$23*12</f>
        <v>69296.399999999994</v>
      </c>
      <c r="G18" s="32">
        <f>(InputData!$G$23+InputData!$E$45+InputData!$C$50)*12+InputData!$J$50</f>
        <v>98796.36</v>
      </c>
      <c r="H18" s="32">
        <f>(InputData!$C$34+InputData!$C$40)*12</f>
        <v>20659.199999999997</v>
      </c>
      <c r="I18" s="32">
        <f t="shared" si="36"/>
        <v>119455.56</v>
      </c>
      <c r="J18" s="32">
        <f>G18*((1+InputData!$C$5)/(1+InputData!$C$3))^(Ophtha!$B18-Ophtha!$B$7)</f>
        <v>88649.066394225287</v>
      </c>
      <c r="K18" s="32">
        <f>H18*((1+InputData!$C$5)/(1+InputData!$C$3))^(Ophtha!$B18-Ophtha!$B$7)</f>
        <v>18537.310407504676</v>
      </c>
      <c r="L18" s="32">
        <f>IF(J18-InputData!$C$158-InputData!$C$159&gt;=0,J18-InputData!$C$158-InputData!$C$159,0)</f>
        <v>88649.066394225287</v>
      </c>
      <c r="M18" s="32">
        <f>IF(J18-IF(J18&lt;=InputData!$C$146,InputData!$C$145,0)-MAX(InputData!$C$144,S18)&gt;=0,J18-IF(J18&lt;=InputData!$C$146,InputData!$C$145,0)-MAX(InputData!$C$144,S18),0)</f>
        <v>78649.066394225287</v>
      </c>
      <c r="N18" s="32">
        <f>IF(M18&lt;0,"Error",IF(M18&lt;=InputData!$B$170,InputData!$C$170*M18,IF(M18&lt;=InputData!$B$171,InputData!$D$170+InputData!$C$171*(M18-InputData!$B$170),IF(M18&lt;=InputData!$B$172,InputData!$D$171+InputData!$C$172*(M18-InputData!$B$171),IF(M18&lt;=InputData!$B$173,InputData!$D$172+InputData!$C$173*(M18-InputData!$B$172),IF(M18&lt;=InputData!$B$174,InputData!$D$173+InputData!$C$174*(M18-InputData!$B$173),IF(M18&lt;=InputData!$B$175,InputData!$D$174+InputData!$C$175*(M18-InputData!$B$174),InputData!$D$175+InputData!$C$176*(M18-InputData!$B$175))))))))</f>
        <v>15591.016598556322</v>
      </c>
      <c r="O18" s="32">
        <f>IF(J18&lt;=InputData!$C$150,InputData!$C$152,IF(J18&lt;InputData!$C$151,IF(InputData!$C$152-0.25*IF(J18-InputData!$C$150&lt;=0,0,J18-InputData!$C$150)&lt;=0,0,InputData!$C$152-0.25*IF(J18-InputData!$C$150&lt;=0,0,J18-InputData!$C$150)),0))</f>
        <v>51900</v>
      </c>
      <c r="P18" s="32">
        <f>IF(J18-O18&lt;=0,0,IF(J18-O18&lt;=InputData!$C$153,InputData!$C$154*(J18-O18),InputData!$C$155*(J18-O18)-InputData!$D$154))</f>
        <v>9554.7572624985751</v>
      </c>
      <c r="Q18" s="32">
        <f t="shared" si="37"/>
        <v>15591.016598556322</v>
      </c>
      <c r="R18" s="32">
        <f>IF(J18&gt;=0,IF(J18&lt;=InputData!$C$148,InputData!$C$147*J18,InputData!$C$147*InputData!$C$148)+InputData!$C$149*J18,0)</f>
        <v>6781.6535791582337</v>
      </c>
      <c r="S18" s="32">
        <f>IF(L18&lt;0,0,IF(L18&lt;=InputData!$B$163,InputData!$C$163*L18,IF(L18&lt;=InputData!$B$164,InputData!$D$163+InputData!$C$164*(L18-InputData!$B$163),IF(L18&lt;=InputData!$B$165,InputData!$D$164+InputData!$C$165*(L18-InputData!$B$164),InputData!$D$165+InputData!$C$166*(L18-InputData!$B$165)))))</f>
        <v>0</v>
      </c>
      <c r="T18" s="43">
        <f t="shared" si="38"/>
        <v>0.25237344382424248</v>
      </c>
      <c r="U18" s="43">
        <f t="shared" si="39"/>
        <v>0.20872680694393494</v>
      </c>
      <c r="V18" s="5">
        <f t="shared" si="40"/>
        <v>84813.706624015409</v>
      </c>
      <c r="W18" s="32">
        <f>V18/((1+InputData!$C$7)^(Ophtha!$B18-Ophtha!$B$7))</f>
        <v>61271.226212394111</v>
      </c>
      <c r="X18" s="5">
        <f t="shared" si="111"/>
        <v>658271.74611536425</v>
      </c>
      <c r="Y18" s="53"/>
      <c r="Z18" s="3">
        <v>8</v>
      </c>
      <c r="AA18" s="96" t="s">
        <v>20</v>
      </c>
      <c r="AB18" s="5">
        <f t="shared" si="136"/>
        <v>69296.399999999994</v>
      </c>
      <c r="AC18" s="32">
        <f t="shared" si="137"/>
        <v>98796.36</v>
      </c>
      <c r="AD18" s="32">
        <f t="shared" si="137"/>
        <v>20659.199999999997</v>
      </c>
      <c r="AE18" s="32">
        <f t="shared" si="41"/>
        <v>119455.56</v>
      </c>
      <c r="AF18" s="5">
        <f>AC18*((1+InputData!$C$5)/(1+InputData!$C$3))^(Ophtha!$B18-Ophtha!$B$7)</f>
        <v>88649.066394225287</v>
      </c>
      <c r="AG18" s="5">
        <f>AD18*((1+InputData!$C$5)/(1+InputData!$C$3))^(Ophtha!$B18-Ophtha!$B$7)</f>
        <v>18537.310407504676</v>
      </c>
      <c r="AH18" s="32">
        <f>IF(AF18-InputData!$C$158-InputData!$C$159&gt;=0,AF18-InputData!$C$158-InputData!$C$159,0)</f>
        <v>88649.066394225287</v>
      </c>
      <c r="AI18" s="32">
        <f>IF(AF18-IF(AF18&lt;=InputData!$C$146,InputData!$C$145,0)-MAX(InputData!$C$144,AO18)&gt;=0,AF18-IF(AF18&lt;=InputData!$C$146,InputData!$C$145,0)-MAX(InputData!$C$144,AO18),0)</f>
        <v>78649.066394225287</v>
      </c>
      <c r="AJ18" s="32">
        <f>IF(AI18&lt;0,"Error",IF(AI18&lt;=InputData!$B$170,InputData!$C$170*AI18,IF(AI18&lt;=InputData!$B$171,InputData!$D$170+InputData!$C$171*(AI18-InputData!$B$170),IF(AI18&lt;=InputData!$B$172,InputData!$D$171+InputData!$C$172*(AI18-InputData!$B$171),IF(AI18&lt;=InputData!$B$173,InputData!$D$172+InputData!$C$173*(AI18-InputData!$B$172),IF(AI18&lt;=InputData!$B$174,InputData!$D$173+InputData!$C$174*(AI18-InputData!$B$173),IF(AI18&lt;=InputData!$B$175,InputData!$D$174+InputData!$C$175*(AI18-InputData!$B$174),InputData!$D$175+InputData!$C$176*(AI18-InputData!$B$175))))))))</f>
        <v>15591.016598556322</v>
      </c>
      <c r="AK18" s="32">
        <f>IF(AF18&lt;=InputData!$C$150,InputData!$C$152,IF(AF18&lt;InputData!$C$151,IF(InputData!$C$152-0.25*IF(AF18-InputData!$C$150&lt;=0,0,AF18-InputData!$C$150)&lt;=0,0,InputData!$C$152-0.25*IF(AF18-InputData!$C$150&lt;=0,0,AF18-InputData!$C$150)),0))</f>
        <v>51900</v>
      </c>
      <c r="AL18" s="32">
        <f>IF(AF18-AK18&lt;=0,0,IF(AF18-AK18&lt;=InputData!$C$153,InputData!$C$154*(AF18-AK18),InputData!$C$155*(AF18-AK18)-InputData!$D$154))</f>
        <v>9554.7572624985751</v>
      </c>
      <c r="AM18" s="32">
        <f t="shared" si="42"/>
        <v>15591.016598556322</v>
      </c>
      <c r="AN18" s="32">
        <f>IF(AF18&gt;=0,IF(AF18&lt;=InputData!$C$148,InputData!$C$147*AF18,InputData!$C$147*InputData!$C$148)+InputData!$C$149*AF18,0)</f>
        <v>6781.6535791582337</v>
      </c>
      <c r="AO18" s="32">
        <f>IF(AH18&lt;0,0,IF(AH18&lt;=InputData!$B$163,InputData!$C$163*AH18,IF(AH18&lt;=InputData!$B$164,InputData!$D$163+InputData!$C$164*(AH18-InputData!$B$163),IF(AH18&lt;=InputData!$B$165,InputData!$D$164+InputData!$C$165*(AH18-InputData!$B$164),InputData!$D$165+InputData!$C$166*(AH18-InputData!$B$165)))))</f>
        <v>0</v>
      </c>
      <c r="AP18" s="43">
        <f t="shared" si="43"/>
        <v>0.25237344382424248</v>
      </c>
      <c r="AQ18" s="43">
        <f t="shared" si="44"/>
        <v>0.20872680694393494</v>
      </c>
      <c r="AR18" s="5">
        <f t="shared" si="45"/>
        <v>84813.706624015409</v>
      </c>
      <c r="AS18" s="32">
        <f>AR18/((1+InputData!$C$7)^(Ophtha!$B18-Ophtha!$B$7))</f>
        <v>61271.226212394111</v>
      </c>
      <c r="AT18" s="5">
        <f t="shared" si="112"/>
        <v>566148.02380469104</v>
      </c>
      <c r="AU18" s="53"/>
      <c r="AV18" s="41" t="s">
        <v>109</v>
      </c>
      <c r="AW18" s="32">
        <f>$AW$15*(1+InputData!$C$3+InputData!$C$4)^(Ophtha!$B18-Ophtha!$B$17)</f>
        <v>259729.46793868684</v>
      </c>
      <c r="AX18" s="32">
        <v>0</v>
      </c>
      <c r="AY18" s="32">
        <f t="shared" si="47"/>
        <v>259729.46793868684</v>
      </c>
      <c r="AZ18" s="32">
        <f>AZ17*(1+InputData!$C$8)</f>
        <v>14286.370803454558</v>
      </c>
      <c r="BA18" s="32">
        <f>AW18/((1+InputData!$C$3)^(Ophtha!$B18-Ophtha!$B$7))</f>
        <v>208890.81122645142</v>
      </c>
      <c r="BB18" s="32">
        <f>AX18/((1+InputData!$C$3)^(Ophtha!$B18-Ophtha!$B$7))</f>
        <v>0</v>
      </c>
      <c r="BC18" s="32" t="s">
        <v>141</v>
      </c>
      <c r="BD18" s="32">
        <v>0</v>
      </c>
      <c r="BE18" s="32">
        <f t="shared" si="158"/>
        <v>196613.9657821109</v>
      </c>
      <c r="BF18" s="32">
        <f>(BE18)*InputData!$C$6</f>
        <v>12209.727275069088</v>
      </c>
      <c r="BG18" s="32">
        <f>MIN($BE$15*InputData!$C$6/(1-(1+InputData!$C$6)^(-10)), BE18+BF18)</f>
        <v>35483.780349040731</v>
      </c>
      <c r="BH18" s="32">
        <f t="shared" si="140"/>
        <v>173339.91270813925</v>
      </c>
      <c r="BI18" s="32">
        <f>BG18/((1+InputData!$C$3)^(Ophtha!$B18-Ophtha!$B$7))</f>
        <v>28538.293022038248</v>
      </c>
      <c r="BJ18" s="32">
        <f>IF(BA18-InputData!$C$158-InputData!$C$159&gt;=0,BA18-InputData!$C$158-InputData!$C$159,0)</f>
        <v>208890.81122645142</v>
      </c>
      <c r="BK18" s="32">
        <f>IF(BA18-IF(BA18&lt;=InputData!$C$146,InputData!$C$145,0)-MAX(InputData!$C$144,BQ18)&gt;=0,BA18-IF(BA18&lt;=InputData!$C$146,InputData!$C$145,0)-MAX(InputData!$C$144,BQ18),0)</f>
        <v>202790.81122645142</v>
      </c>
      <c r="BL18" s="32">
        <f>IF(BK18&lt;0,"Error",IF(BK18&lt;=InputData!$B$170,InputData!$C$170*BK18,IF(BK18&lt;=InputData!$B$171,InputData!$D$170+InputData!$C$171*(BK18-InputData!$B$170),IF(BK18&lt;=InputData!$B$172,InputData!$D$171+InputData!$C$172*(BK18-InputData!$B$171),IF(BK18&lt;=InputData!$B$173,InputData!$D$172+InputData!$C$173*(BK18-InputData!$B$172),IF(BK18&lt;=InputData!$B$174,InputData!$D$173+InputData!$C$174*(BK18-InputData!$B$173),IF(BK18&lt;=InputData!$B$175,InputData!$D$174+InputData!$C$175*(BK18-InputData!$B$174),InputData!$D$175+InputData!$C$176*(BK18-InputData!$B$175))))))))</f>
        <v>51051.717704728966</v>
      </c>
      <c r="BM18" s="32">
        <f>IF(BA18&lt;=InputData!$C$150,InputData!$C$152,IF(BA18&lt;InputData!$C$151,IF(InputData!$C$152-0.25*IF(BA18-InputData!$C$150&lt;=0,0,BA18-InputData!$C$150)&lt;=0,0,InputData!$C$152-0.25*IF(BA18-InputData!$C$150&lt;=0,0,BA18-InputData!$C$150)),0))</f>
        <v>28527.297193387145</v>
      </c>
      <c r="BN18" s="32">
        <f>IF(BA18-BM18&lt;=0,0,IF(BA18-BM18&lt;=InputData!$C$153,InputData!$C$154*(BA18-BM18),InputData!$C$155*(BA18-BM18)-InputData!$D$154))</f>
        <v>46911.783929258003</v>
      </c>
      <c r="BO18" s="32">
        <f t="shared" si="48"/>
        <v>51051.717704728966</v>
      </c>
      <c r="BP18" s="32">
        <f>IF(BA18&gt;=0,IF(BA18&lt;=InputData!$C$148,InputData!$C$147*BA18,InputData!$C$147*InputData!$C$148)+InputData!$C$149*BA18,0)</f>
        <v>10078.316762783546</v>
      </c>
      <c r="BQ18" s="32">
        <f>IF(BJ18&lt;0,0,IF(BJ18&lt;=InputData!$B$163,InputData!$C$163*BJ18,IF(BJ18&lt;=InputData!$B$164,InputData!$D$163+InputData!$C$164*(BJ18-InputData!$B$163),IF(BJ18&lt;=InputData!$B$165,InputData!$D$164+InputData!$C$165*(BJ18-InputData!$B$164),InputData!$D$165+InputData!$C$166*(BJ18-InputData!$B$165)))))</f>
        <v>0</v>
      </c>
      <c r="BR18" s="43">
        <f t="shared" si="49"/>
        <v>0.29264108894308194</v>
      </c>
      <c r="BS18" s="32">
        <f t="shared" si="50"/>
        <v>147760.77675893891</v>
      </c>
      <c r="BT18" s="32">
        <f t="shared" si="51"/>
        <v>119222.48373690067</v>
      </c>
      <c r="BU18" s="32">
        <f>BT18/((1+InputData!$C$7)^(Ophtha!$B18-Ophtha!$B$7))</f>
        <v>86128.858900486957</v>
      </c>
      <c r="BV18" s="5">
        <f t="shared" si="114"/>
        <v>311201.80632194114</v>
      </c>
      <c r="BW18" s="5"/>
      <c r="BX18" s="32" t="s">
        <v>141</v>
      </c>
      <c r="BY18" s="5">
        <f t="shared" si="159"/>
        <v>243988.22938620159</v>
      </c>
      <c r="BZ18" s="32">
        <f>(BY18)*InputData!$C$6</f>
        <v>15151.66904488312</v>
      </c>
      <c r="CA18" s="32">
        <f>MIN($BY$15*InputData!$C$6/(1-(1+InputData!$C$6)^(-25)), BY18+BZ18)</f>
        <v>20633.642137763909</v>
      </c>
      <c r="CB18" s="32">
        <f t="shared" si="160"/>
        <v>238506.2562933208</v>
      </c>
      <c r="CC18" s="32">
        <f>CA18/((1+InputData!$C$3)^(Ophtha!$B18-Ophtha!$B$7))</f>
        <v>16594.875733281362</v>
      </c>
      <c r="CD18" s="5">
        <f t="shared" si="55"/>
        <v>131165.90102565754</v>
      </c>
      <c r="CE18" s="32">
        <f>CD18/((1+InputData!$C$7)^(Ophtha!$B18-Ophtha!$B$7))</f>
        <v>94757.037665182434</v>
      </c>
      <c r="CF18" s="5">
        <f t="shared" si="115"/>
        <v>348423.51924574788</v>
      </c>
      <c r="CG18" s="5"/>
      <c r="CH18" s="32" t="s">
        <v>141</v>
      </c>
      <c r="CI18" s="5">
        <f t="shared" si="161"/>
        <v>200166.03782681431</v>
      </c>
      <c r="CJ18" s="32">
        <f>(CI18)*InputData!$C$6</f>
        <v>12430.31094904517</v>
      </c>
      <c r="CK18" s="5">
        <f t="shared" si="162"/>
        <v>35483.780349040731</v>
      </c>
      <c r="CL18" s="32">
        <f t="shared" si="163"/>
        <v>177112.56842681876</v>
      </c>
      <c r="CM18" s="32">
        <f>CK18/((1+InputData!$C$3)^(Ophtha!$B18-Ophtha!$B$7))</f>
        <v>28538.293022038248</v>
      </c>
      <c r="CN18" s="5">
        <f t="shared" si="59"/>
        <v>119222.48373690067</v>
      </c>
      <c r="CO18" s="32">
        <f>CN18/((1+InputData!$C$7)^(Ophtha!$B18-Ophtha!$B$7))</f>
        <v>86128.858900486957</v>
      </c>
      <c r="CP18" s="5">
        <f t="shared" si="149"/>
        <v>313346.85363321711</v>
      </c>
      <c r="CQ18" s="5"/>
      <c r="CR18" s="32" t="s">
        <v>141</v>
      </c>
      <c r="CS18" s="5">
        <f t="shared" si="164"/>
        <v>236714.95025575461</v>
      </c>
      <c r="CT18" s="32">
        <f>(CS18)*InputData!$C$6</f>
        <v>14699.998410882361</v>
      </c>
      <c r="CU18" s="32">
        <f t="shared" si="165"/>
        <v>23829.9911733505</v>
      </c>
      <c r="CV18" s="32">
        <f t="shared" si="166"/>
        <v>227584.95749328646</v>
      </c>
      <c r="CW18" s="32">
        <f>CU18/((1+InputData!$C$3)^(Ophtha!$B18-Ophtha!$B$7))</f>
        <v>19165.581122645141</v>
      </c>
      <c r="CX18" s="5">
        <f t="shared" si="63"/>
        <v>128595.19563629376</v>
      </c>
      <c r="CY18" s="32">
        <f>CX18/((1+InputData!$C$7)^(Ophtha!$B18-Ophtha!$B$7))</f>
        <v>92899.905396038928</v>
      </c>
      <c r="CZ18" s="5">
        <f t="shared" si="150"/>
        <v>342177.23323576653</v>
      </c>
      <c r="DA18" s="5"/>
      <c r="DB18" s="32" t="s">
        <v>141</v>
      </c>
      <c r="DC18" s="5">
        <f t="shared" si="141"/>
        <v>89065.324921686668</v>
      </c>
      <c r="DD18" s="5">
        <f>DC18*InputData!$C$6</f>
        <v>5530.9566776367419</v>
      </c>
      <c r="DE18" s="32">
        <f t="shared" si="142"/>
        <v>29148.379963889372</v>
      </c>
      <c r="DF18" s="32">
        <f t="shared" si="143"/>
        <v>65447.901635434042</v>
      </c>
      <c r="DG18" s="32">
        <f>DE18/((1+InputData!$C$3)^(Ophtha!$B18-Ophtha!$B$7))</f>
        <v>23442.964654403619</v>
      </c>
      <c r="DH18" s="5">
        <f t="shared" si="67"/>
        <v>124317.81210453529</v>
      </c>
      <c r="DI18" s="32">
        <f>DH18/((1+InputData!$C$7)^(Ophtha!$B18-Ophtha!$B$7))</f>
        <v>89809.832524523445</v>
      </c>
      <c r="DJ18" s="5">
        <f t="shared" si="130"/>
        <v>250036.10573736887</v>
      </c>
      <c r="DK18" s="5"/>
      <c r="DL18" s="32" t="s">
        <v>141</v>
      </c>
      <c r="DM18" s="32">
        <f t="shared" si="167"/>
        <v>187911.5794300414</v>
      </c>
      <c r="DN18" s="5">
        <f>DM18*InputData!$C$6</f>
        <v>11669.30908260557</v>
      </c>
      <c r="DO18" s="32">
        <f t="shared" si="168"/>
        <v>0</v>
      </c>
      <c r="DP18" s="32">
        <f t="shared" si="131"/>
        <v>29148.379963889372</v>
      </c>
      <c r="DQ18" s="32">
        <f t="shared" si="132"/>
        <v>170432.50854875759</v>
      </c>
      <c r="DR18" s="32">
        <f>DP18/((1+InputData!$C$3)^(Ophtha!$B18-Ophtha!$B$7))</f>
        <v>23442.964654403619</v>
      </c>
      <c r="DS18" s="5">
        <f t="shared" si="71"/>
        <v>124317.81210453529</v>
      </c>
      <c r="DT18" s="32">
        <f>DS18/((1+InputData!$C$7)^(Ophtha!$B18-Ophtha!$B$7))</f>
        <v>89809.832524523445</v>
      </c>
      <c r="DU18" s="5">
        <f t="shared" si="133"/>
        <v>308745.49035609339</v>
      </c>
      <c r="DV18" s="5"/>
      <c r="DW18" s="32" t="s">
        <v>141</v>
      </c>
      <c r="DX18" s="133">
        <f t="shared" si="144"/>
        <v>212416.2</v>
      </c>
      <c r="DY18" s="5">
        <f>DX18*InputData!$C$6</f>
        <v>13191.046020000002</v>
      </c>
      <c r="DZ18" s="133">
        <f t="shared" si="145"/>
        <v>0</v>
      </c>
      <c r="EA18" s="32">
        <f t="shared" si="146"/>
        <v>23829.9911733505</v>
      </c>
      <c r="EB18" s="32">
        <f t="shared" si="147"/>
        <v>202695.8847764096</v>
      </c>
      <c r="EC18" s="32">
        <f>EA18/((1+InputData!$C$3)^(Ophtha!$B18-Ophtha!$B$7))</f>
        <v>19165.581122645141</v>
      </c>
      <c r="ED18" s="5">
        <f t="shared" si="75"/>
        <v>128595.19563629376</v>
      </c>
      <c r="EE18" s="32">
        <f>ED18/((1+InputData!$C$7)^(Ophtha!$B18-Ophtha!$B$7))</f>
        <v>92899.905396038928</v>
      </c>
      <c r="EF18" s="5">
        <f t="shared" si="134"/>
        <v>329953.28029548959</v>
      </c>
      <c r="EG18" s="32"/>
      <c r="EH18" s="133" t="s">
        <v>141</v>
      </c>
      <c r="EI18" s="32">
        <v>0</v>
      </c>
      <c r="EJ18" s="32">
        <f>EJ17-(EN17-EK17)</f>
        <v>238474.18660696084</v>
      </c>
      <c r="EK18" s="32">
        <f>(EJ18)*InputData!$C$6</f>
        <v>14809.246988292269</v>
      </c>
      <c r="EL18" s="32">
        <f t="shared" ref="EL18:EL36" si="173">EL17+EI18+EK18-EN18</f>
        <v>229453.44242190261</v>
      </c>
      <c r="EM18" s="32">
        <f>EM17*(1+InputData!$C$8)</f>
        <v>14286.370803454558</v>
      </c>
      <c r="EN18" s="32">
        <f t="shared" si="152"/>
        <v>23829.9911733505</v>
      </c>
      <c r="EO18" s="32">
        <f>AW18/((1+InputData!$C$3)^(Ophtha!$B18-Ophtha!$B$7))</f>
        <v>208890.81122645142</v>
      </c>
      <c r="EP18" s="32">
        <f>AX18/((1+InputData!$C$3)^(Ophtha!$B18-Ophtha!$B$7))</f>
        <v>0</v>
      </c>
      <c r="EQ18" s="32">
        <v>50956.68</v>
      </c>
      <c r="ER18" s="32">
        <v>8785.41</v>
      </c>
      <c r="ES18" s="32">
        <v>0</v>
      </c>
      <c r="ET18" s="43">
        <f t="shared" si="139"/>
        <v>0.28599673508489387</v>
      </c>
      <c r="EU18" s="32">
        <f t="shared" si="76"/>
        <v>149148.72122645142</v>
      </c>
      <c r="EV18" s="32">
        <f>EN18/((1+InputData!$C$3)^(Ophtha!$B18-Ophtha!$B$7))</f>
        <v>19165.581122645141</v>
      </c>
      <c r="EW18" s="32">
        <f t="shared" si="77"/>
        <v>129983.14010380628</v>
      </c>
      <c r="EX18" s="32">
        <f>EW18/((1+InputData!$C$7)^(Ophtha!$B18-Ophtha!$B$7))</f>
        <v>93902.586010107509</v>
      </c>
      <c r="EY18" s="5">
        <f t="shared" si="124"/>
        <v>421805.56529281836</v>
      </c>
      <c r="EZ18" s="79"/>
      <c r="FA18" s="32">
        <f t="shared" si="153"/>
        <v>197730.41566262936</v>
      </c>
      <c r="FB18" s="32">
        <f>FA18*InputData!$C$6</f>
        <v>12279.058812649284</v>
      </c>
      <c r="FC18" s="32">
        <f t="shared" si="154"/>
        <v>174324.20354456207</v>
      </c>
      <c r="FD18" s="32">
        <f>MIN($EJ$15*InputData!$C$6/(1-(1+InputData!$C$6)^(-10)), FA18+FB18)</f>
        <v>35685.270930716564</v>
      </c>
      <c r="FE18" s="32">
        <f>FD18/((1+InputData!$C$3)^(Ophtha!$B18-Ophtha!$B$7))</f>
        <v>28700.344449605527</v>
      </c>
      <c r="FF18" s="5">
        <f t="shared" si="81"/>
        <v>120448.37677684589</v>
      </c>
      <c r="FG18" s="32">
        <f>FF18/((1+InputData!$C$7)^(Ophtha!$B18-Ophtha!$B$7))</f>
        <v>87014.470115377728</v>
      </c>
      <c r="FH18" s="5">
        <f t="shared" si="125"/>
        <v>390325.10438662959</v>
      </c>
      <c r="FI18" s="79"/>
      <c r="FJ18" s="32">
        <f t="shared" si="155"/>
        <v>245373.68859538113</v>
      </c>
      <c r="FK18" s="32">
        <f>FJ18*InputData!$C$6</f>
        <v>15237.706061773169</v>
      </c>
      <c r="FL18" s="32">
        <f t="shared" si="170"/>
        <v>239860.58674630948</v>
      </c>
      <c r="FM18" s="32">
        <f>MIN($EJ$15*InputData!$C$6/(1-(1+InputData!$C$6)^(-25)), FJ18+FK18)</f>
        <v>20750.807910844829</v>
      </c>
      <c r="FN18" s="32">
        <f>FM18/((1+InputData!$C$3)^(Ophtha!$B18-Ophtha!$B$7))</f>
        <v>16689.107834017141</v>
      </c>
      <c r="FO18" s="5">
        <f t="shared" si="85"/>
        <v>132459.61339243429</v>
      </c>
      <c r="FP18" s="32">
        <f>FO18/((1+InputData!$C$7)^(Ophtha!$B18-Ophtha!$B$7))</f>
        <v>95691.643004740894</v>
      </c>
      <c r="FQ18" s="5">
        <f t="shared" si="126"/>
        <v>427758.17654313968</v>
      </c>
      <c r="FR18" s="79"/>
      <c r="FS18" s="32">
        <f t="shared" si="156"/>
        <v>201925.27417802057</v>
      </c>
      <c r="FT18" s="32">
        <f>FS18*InputData!$C$6</f>
        <v>12539.559526455078</v>
      </c>
      <c r="FU18" s="32">
        <f t="shared" si="171"/>
        <v>178779.56277375907</v>
      </c>
      <c r="FV18" s="5">
        <f t="shared" si="157"/>
        <v>35685.270930716564</v>
      </c>
      <c r="FW18" s="32">
        <f>FV18/((1+InputData!$C$3)^(Ophtha!$B18-Ophtha!$B$7))</f>
        <v>28700.344449605527</v>
      </c>
      <c r="FX18" s="5">
        <f t="shared" si="88"/>
        <v>120448.37677684589</v>
      </c>
      <c r="FY18" s="32">
        <f>FX18/((1+InputData!$C$7)^(Ophtha!$B18-Ophtha!$B$7))</f>
        <v>87014.470115377728</v>
      </c>
      <c r="FZ18" s="5">
        <f t="shared" si="127"/>
        <v>392858.11629109102</v>
      </c>
      <c r="GC18" s="3">
        <f t="shared" si="2"/>
        <v>8</v>
      </c>
      <c r="GD18" s="4" t="str">
        <f t="shared" si="3"/>
        <v>Service (O4&gt;6 = (BP+BAH+BAS+VSP+BCPSP)*12)+ASP</v>
      </c>
      <c r="GE18" s="5">
        <f t="shared" si="4"/>
        <v>98796.36</v>
      </c>
      <c r="GF18" s="5">
        <f t="shared" si="5"/>
        <v>20659.199999999997</v>
      </c>
      <c r="GG18" s="5">
        <f t="shared" si="6"/>
        <v>119455.56</v>
      </c>
      <c r="GH18" s="5">
        <f t="shared" si="7"/>
        <v>88649.066394225287</v>
      </c>
      <c r="GI18" s="5">
        <f t="shared" si="8"/>
        <v>18537.310407504676</v>
      </c>
      <c r="GJ18" s="32">
        <f>IF(GH18-InputData!$C$158-InputData!$C$159&gt;=0,GH18-InputData!$C$158-InputData!$C$159,0)</f>
        <v>88649.066394225287</v>
      </c>
      <c r="GK18" s="32">
        <f>IF(GH18-IF(GH18&lt;=InputData!$C$146,InputData!$C$145,0)-MAX(InputData!$C$144,GQ18)&gt;=0,GH18-IF(GH18&lt;=InputData!$C$146,InputData!$C$145,0)-MAX(InputData!$C$144,GQ18),0)</f>
        <v>78649.066394225287</v>
      </c>
      <c r="GL18" s="32">
        <f>IF(GK18&lt;0,"Error",IF(GK18&lt;=InputData!$B$170,InputData!$C$170*GK18,IF(GK18&lt;=InputData!$B$171,InputData!$D$170+InputData!$C$171*(GK18-InputData!$B$170),IF(GK18&lt;=InputData!$B$172,InputData!$D$171+InputData!$C$172*(GK18-InputData!$B$171),IF(GK18&lt;=InputData!$B$173,InputData!$D$172+InputData!$C$173*(GK18-InputData!$B$172),IF(GK18&lt;=InputData!$B$174,InputData!$D$173+InputData!$C$174*(GK18-InputData!$B$173),IF(GK18&lt;=InputData!$B$175,InputData!$D$174+InputData!$C$175*(GK18-InputData!$B$174),InputData!$D$175+InputData!$C$176*(GK18-InputData!$B$175))))))))</f>
        <v>15591.016598556322</v>
      </c>
      <c r="GM18" s="32">
        <f>IF(GH18&lt;=InputData!$C$150,InputData!$C$152,IF(GH18&lt;InputData!$C$151,IF(InputData!$C$152-0.25*IF(GH18-InputData!$C$150&lt;=0,0,GH18-InputData!$C$150)&lt;=0,0,InputData!$C$152-0.25*IF(GH18-InputData!$C$150&lt;=0,0,GH18-InputData!$C$150)),0))</f>
        <v>51900</v>
      </c>
      <c r="GN18" s="32">
        <f>IF(GH18-GM18&lt;=0,0,IF(GH18-GM18&lt;=InputData!$C$153,InputData!$C$154*(GH18-GM18),InputData!$C$155*(GH18-GM18)-InputData!$D$154))</f>
        <v>9554.7572624985751</v>
      </c>
      <c r="GO18" s="32">
        <f t="shared" si="89"/>
        <v>15591.016598556322</v>
      </c>
      <c r="GP18" s="32">
        <f>IF(GH18&gt;=0,IF(GH18&lt;=InputData!$C$148,InputData!$C$147*GH18,InputData!$C$147*InputData!$C$148)+InputData!$C$149*GH18,0)</f>
        <v>6781.6535791582337</v>
      </c>
      <c r="GQ18" s="32">
        <f>IF(GJ18&lt;0,0,IF(GJ18&lt;=InputData!$B$163,InputData!$C$163*GJ18,IF(GJ18&lt;=InputData!$B$164,InputData!$D$163+InputData!$C$164*(GJ18-InputData!$B$163),IF(GJ18&lt;=InputData!$B$165,InputData!$D$164+InputData!$C$165*(GJ18-InputData!$B$164),InputData!$D$165+InputData!$C$166*(GJ18-InputData!$B$165)))))</f>
        <v>0</v>
      </c>
      <c r="GR18" s="43">
        <f t="shared" si="90"/>
        <v>0.25237344382424248</v>
      </c>
      <c r="GS18" s="43">
        <f t="shared" si="91"/>
        <v>0.20872680694393494</v>
      </c>
      <c r="GT18" s="5">
        <f t="shared" si="9"/>
        <v>84813.706624015409</v>
      </c>
      <c r="GU18" s="32">
        <f>GT18/((1+InputData!$C$7)^(Ophtha!$B18-Ophtha!$B$7))</f>
        <v>61271.226212394111</v>
      </c>
      <c r="GV18" s="32">
        <f t="shared" si="92"/>
        <v>658271.74611536425</v>
      </c>
      <c r="GX18" s="3">
        <f t="shared" si="10"/>
        <v>8</v>
      </c>
      <c r="GY18" s="46" t="str">
        <f t="shared" si="11"/>
        <v>Service (O4&gt;6 = (BP+BAH+BAS+VSP+BCPSP)*12)+ASP</v>
      </c>
      <c r="GZ18" s="5">
        <f t="shared" si="12"/>
        <v>98796.36</v>
      </c>
      <c r="HA18" s="5">
        <f t="shared" si="13"/>
        <v>20659.199999999997</v>
      </c>
      <c r="HB18" s="5">
        <f t="shared" si="14"/>
        <v>119455.56</v>
      </c>
      <c r="HC18" s="5">
        <f t="shared" si="15"/>
        <v>88649.066394225287</v>
      </c>
      <c r="HD18" s="5">
        <f t="shared" si="16"/>
        <v>18537.310407504676</v>
      </c>
      <c r="HE18" s="32">
        <f>IF(HC18-InputData!$C$158-InputData!$C$159&gt;=0,HC18-InputData!$C$158-InputData!$C$159,0)</f>
        <v>88649.066394225287</v>
      </c>
      <c r="HF18" s="32">
        <f>IF(HC18-IF(HC18&lt;=InputData!$C$146,InputData!$C$145,0)-MAX(InputData!$C$144,HL18)&gt;=0,HC18-IF(HC18&lt;=InputData!$C$146,InputData!$C$145,0)-MAX(InputData!$C$144,HL18),0)</f>
        <v>78649.066394225287</v>
      </c>
      <c r="HG18" s="32">
        <f>IF(HF18&lt;0,"Error",IF(HF18&lt;=InputData!$B$170,InputData!$C$170*HF18,IF(HF18&lt;=InputData!$B$171,InputData!$D$170+InputData!$C$171*(HF18-InputData!$B$170),IF(HF18&lt;=InputData!$B$172,InputData!$D$171+InputData!$C$172*(HF18-InputData!$B$171),IF(HF18&lt;=InputData!$B$173,InputData!$D$172+InputData!$C$173*(HF18-InputData!$B$172),IF(HF18&lt;=InputData!$B$174,InputData!$D$173+InputData!$C$174*(HF18-InputData!$B$173),IF(HF18&lt;=InputData!$B$175,InputData!$D$174+InputData!$C$175*(HF18-InputData!$B$174),InputData!$D$175+InputData!$C$176*(HF18-InputData!$B$175))))))))</f>
        <v>15591.016598556322</v>
      </c>
      <c r="HH18" s="32">
        <f>IF(HC18&lt;=InputData!$C$150,InputData!$C$152,IF(HC18&lt;InputData!$C$151,IF(InputData!$C$152-0.25*IF(HC18-InputData!$C$150&lt;=0,0,HC18-InputData!$C$150)&lt;=0,0,InputData!$C$152-0.25*IF(HC18-InputData!$C$150&lt;=0,0,HC18-InputData!$C$150)),0))</f>
        <v>51900</v>
      </c>
      <c r="HI18" s="32">
        <f>IF(HC18-HH18&lt;=0,0,IF(HC18-HH18&lt;=InputData!$C$153,InputData!$C$154*(HC18-HH18),InputData!$C$155*(HC18-HH18)-InputData!$D$154))</f>
        <v>9554.7572624985751</v>
      </c>
      <c r="HJ18" s="32">
        <f t="shared" si="93"/>
        <v>15591.016598556322</v>
      </c>
      <c r="HK18" s="32">
        <f>IF(HC18&gt;=0,IF(HC18&lt;=InputData!$C$148,InputData!$C$147*HC18,InputData!$C$147*InputData!$C$148)+InputData!$C$149*HC18,0)</f>
        <v>6781.6535791582337</v>
      </c>
      <c r="HL18" s="32">
        <f>IF(HE18&lt;0,0,IF(HE18&lt;=InputData!$B$163,InputData!$C$163*HE18,IF(HE18&lt;=InputData!$B$164,InputData!$D$163+InputData!$C$164*(HE18-InputData!$B$163),IF(HE18&lt;=InputData!$B$165,InputData!$D$164+InputData!$C$165*(HE18-InputData!$B$164),InputData!$D$165+InputData!$C$166*(HE18-InputData!$B$165)))))</f>
        <v>0</v>
      </c>
      <c r="HM18" s="43">
        <f t="shared" si="94"/>
        <v>0.25237344382424248</v>
      </c>
      <c r="HN18" s="43">
        <f t="shared" si="95"/>
        <v>0.20872680694393494</v>
      </c>
      <c r="HO18" s="5">
        <f t="shared" si="17"/>
        <v>84813.706624015409</v>
      </c>
      <c r="HP18" s="32">
        <f>HO18/((1+InputData!$C$7)^(Ophtha!$B18-Ophtha!$B$7))</f>
        <v>61271.226212394111</v>
      </c>
      <c r="HQ18" s="32">
        <f t="shared" si="96"/>
        <v>566148.02380469104</v>
      </c>
      <c r="HS18" s="93">
        <f t="shared" si="18"/>
        <v>8</v>
      </c>
      <c r="HT18" s="5" t="str">
        <f t="shared" si="19"/>
        <v>Service (O4&gt;6 = (BP+BAH+BAS+VSP+BCPSP)*12)+ASP</v>
      </c>
      <c r="HU18" s="5">
        <f t="shared" si="20"/>
        <v>98796.36</v>
      </c>
      <c r="HV18" s="5">
        <f t="shared" si="21"/>
        <v>20659.199999999997</v>
      </c>
      <c r="HW18" s="5">
        <f t="shared" si="22"/>
        <v>119455.56</v>
      </c>
      <c r="HX18" s="5">
        <f t="shared" si="23"/>
        <v>88649.066394225287</v>
      </c>
      <c r="HY18" s="5">
        <f t="shared" si="24"/>
        <v>18537.310407504676</v>
      </c>
      <c r="HZ18" s="32">
        <f>IF(HX18-InputData!$C$158-InputData!$C$159&gt;=0,HX18-InputData!$C$158-InputData!$C$159,0)</f>
        <v>88649.066394225287</v>
      </c>
      <c r="IA18" s="32">
        <f>IF(HX18-IF(HX18&lt;=InputData!$C$146,InputData!$C$145,0)-MAX(InputData!$C$144,IG18)&gt;=0,HX18-IF(HX18&lt;=InputData!$C$146,InputData!$C$145,0)-MAX(InputData!$C$144,IG18),0)</f>
        <v>78649.066394225287</v>
      </c>
      <c r="IB18" s="32">
        <f>IF(IA18&lt;0,"Error",IF(IA18&lt;=InputData!$B$170,InputData!$C$170*IA18,IF(IA18&lt;=InputData!$B$171,InputData!$D$170+InputData!$C$171*(IA18-InputData!$B$170),IF(IA18&lt;=InputData!$B$172,InputData!$D$171+InputData!$C$172*(IA18-InputData!$B$171),IF(IA18&lt;=InputData!$B$173,InputData!$D$172+InputData!$C$173*(IA18-InputData!$B$172),IF(IA18&lt;=InputData!$B$174,InputData!$D$173+InputData!$C$174*(IA18-InputData!$B$173),IF(IA18&lt;=InputData!$B$175,InputData!$D$174+InputData!$C$175*(IA18-InputData!$B$174),InputData!$D$175+InputData!$C$176*(IA18-InputData!$B$175))))))))</f>
        <v>15591.016598556322</v>
      </c>
      <c r="IC18" s="32">
        <f>IF(HX18&lt;=InputData!$C$150,InputData!$C$152,IF(HX18&lt;InputData!$C$151,IF(InputData!$C$152-0.25*IF(HX18-InputData!$C$150&lt;=0,0,HX18-InputData!$C$150)&lt;=0,0,InputData!$C$152-0.25*IF(HX18-InputData!$C$150&lt;=0,0,HX18-InputData!$C$150)),0))</f>
        <v>51900</v>
      </c>
      <c r="ID18" s="32">
        <f>IF(HX18-IC18&lt;=0,0,IF(HX18-IC18&lt;=InputData!$C$153,InputData!$C$154*(HX18-IC18),InputData!$C$155*(HX18-IC18)-InputData!$D$154))</f>
        <v>9554.7572624985751</v>
      </c>
      <c r="IE18" s="32">
        <f t="shared" si="97"/>
        <v>15591.016598556322</v>
      </c>
      <c r="IF18" s="32">
        <f>IF(HX18&gt;=0,IF(HX18&lt;=InputData!$C$148,InputData!$C$147*HX18,InputData!$C$147*InputData!$C$148)+InputData!$C$149*HX18,0)</f>
        <v>6781.6535791582337</v>
      </c>
      <c r="IG18" s="32">
        <f>IF(HZ18&lt;0,0,IF(HZ18&lt;=InputData!$B$163,InputData!$C$163*HZ18,IF(HZ18&lt;=InputData!$B$164,InputData!$D$163+InputData!$C$164*(HZ18-InputData!$B$163),IF(HZ18&lt;=InputData!$B$165,InputData!$D$164+InputData!$C$165*(HZ18-InputData!$B$164),InputData!$D$165+InputData!$C$166*(HZ18-InputData!$B$165)))))</f>
        <v>0</v>
      </c>
      <c r="IH18" s="43">
        <f t="shared" si="98"/>
        <v>0.25237344382424248</v>
      </c>
      <c r="II18" s="43">
        <f t="shared" si="99"/>
        <v>0.20872680694393494</v>
      </c>
      <c r="IJ18" s="5">
        <f t="shared" si="100"/>
        <v>84813.706624015409</v>
      </c>
      <c r="IK18" s="32">
        <f>IJ18/((1+InputData!$C$7)^(Ophtha!$B18-Ophtha!$B$7))</f>
        <v>61271.226212394111</v>
      </c>
      <c r="IL18" s="5">
        <f t="shared" si="101"/>
        <v>658271.74611536425</v>
      </c>
      <c r="IN18" s="93">
        <f t="shared" si="25"/>
        <v>8</v>
      </c>
      <c r="IO18" s="92" t="str">
        <f t="shared" si="26"/>
        <v>Service (O4&gt;6 = (BP+BAH+BAS+VSP+BCPSP)*12)+ASP</v>
      </c>
      <c r="IP18" s="5">
        <f t="shared" si="27"/>
        <v>98796.36</v>
      </c>
      <c r="IQ18" s="5">
        <f t="shared" si="28"/>
        <v>20659.199999999997</v>
      </c>
      <c r="IR18" s="5">
        <f t="shared" si="29"/>
        <v>119455.56</v>
      </c>
      <c r="IS18" s="5">
        <f t="shared" si="30"/>
        <v>88649.066394225287</v>
      </c>
      <c r="IT18" s="5">
        <f t="shared" si="31"/>
        <v>18537.310407504676</v>
      </c>
      <c r="IU18" s="32">
        <f>IF(IS18-InputData!$C$158-InputData!$C$159&gt;=0,IS18-InputData!$C$158-InputData!$C$159,0)</f>
        <v>88649.066394225287</v>
      </c>
      <c r="IV18" s="32">
        <f>IF(IS18-IF(IS18&lt;=InputData!$C$146,InputData!$C$145,0)-MAX(InputData!$C$144,JB18)&gt;=0,IS18-IF(IS18&lt;=InputData!$C$146,InputData!$C$145,0)-MAX(InputData!$C$144,JB18),0)</f>
        <v>78649.066394225287</v>
      </c>
      <c r="IW18" s="32">
        <f>IF(IV18&lt;0,"Error",IF(IV18&lt;=InputData!$B$170,InputData!$C$170*IV18,IF(IV18&lt;=InputData!$B$171,InputData!$D$170+InputData!$C$171*(IV18-InputData!$B$170),IF(IV18&lt;=InputData!$B$172,InputData!$D$171+InputData!$C$172*(IV18-InputData!$B$171),IF(IV18&lt;=InputData!$B$173,InputData!$D$172+InputData!$C$173*(IV18-InputData!$B$172),IF(IV18&lt;=InputData!$B$174,InputData!$D$173+InputData!$C$174*(IV18-InputData!$B$173),IF(IV18&lt;=InputData!$B$175,InputData!$D$174+InputData!$C$175*(IV18-InputData!$B$174),InputData!$D$175+InputData!$C$176*(IV18-InputData!$B$175))))))))</f>
        <v>15591.016598556322</v>
      </c>
      <c r="IX18" s="32">
        <f>IF(IS18&lt;=InputData!$C$150,InputData!$C$152,IF(IS18&lt;InputData!$C$151,IF(InputData!$C$152-0.25*IF(IS18-InputData!$C$150&lt;=0,0,IS18-InputData!$C$150)&lt;=0,0,InputData!$C$152-0.25*IF(IS18-InputData!$C$150&lt;=0,0,IS18-InputData!$C$150)),0))</f>
        <v>51900</v>
      </c>
      <c r="IY18" s="32">
        <f>IF(IS18-IX18&lt;=0,0,IF(IS18-IX18&lt;=InputData!$C$153,InputData!$C$154*(IS18-IX18),InputData!$C$155*(IS18-IX18)-InputData!$D$154))</f>
        <v>9554.7572624985751</v>
      </c>
      <c r="IZ18" s="32">
        <f t="shared" si="102"/>
        <v>15591.016598556322</v>
      </c>
      <c r="JA18" s="32">
        <f>IF(IS18&gt;=0,IF(IS18&lt;=InputData!$C$148,InputData!$C$147*IS18,InputData!$C$147*InputData!$C$148)+InputData!$C$149*IS18,0)</f>
        <v>6781.6535791582337</v>
      </c>
      <c r="JB18" s="32">
        <f>IF(IU18&lt;0,0,IF(IU18&lt;=InputData!$B$163,InputData!$C$163*IU18,IF(IU18&lt;=InputData!$B$164,InputData!$D$163+InputData!$C$164*(IU18-InputData!$B$163),IF(IU18&lt;=InputData!$B$165,InputData!$D$164+InputData!$C$165*(IU18-InputData!$B$164),InputData!$D$165+InputData!$C$166*(IU18-InputData!$B$165)))))</f>
        <v>0</v>
      </c>
      <c r="JC18" s="43">
        <f t="shared" si="103"/>
        <v>0.25237344382424248</v>
      </c>
      <c r="JD18" s="43">
        <f t="shared" si="104"/>
        <v>0.20872680694393494</v>
      </c>
      <c r="JE18" s="5">
        <f t="shared" si="105"/>
        <v>84813.706624015409</v>
      </c>
      <c r="JF18" s="32">
        <f>JE18/((1+InputData!$C$7)^(Ophtha!$B18-Ophtha!$B$7))</f>
        <v>61271.226212394111</v>
      </c>
      <c r="JG18" s="5">
        <f t="shared" si="106"/>
        <v>566148.02380469104</v>
      </c>
      <c r="JI18" s="41" t="str">
        <f t="shared" si="32"/>
        <v>Private Practice</v>
      </c>
      <c r="JJ18" s="5">
        <f t="shared" si="33"/>
        <v>259729.46793868684</v>
      </c>
      <c r="JK18" s="32">
        <v>0</v>
      </c>
      <c r="JL18" s="32">
        <f t="shared" si="108"/>
        <v>259729.46793868684</v>
      </c>
      <c r="JM18" s="32">
        <f>JM17*(1+InputData!$C$8)</f>
        <v>14286.370803454558</v>
      </c>
      <c r="JN18" s="32">
        <f>JJ18/((1+InputData!$C$3)^(Ophtha!$B18-Ophtha!$B$7))</f>
        <v>208890.81122645142</v>
      </c>
      <c r="JO18" s="32">
        <f>JK18/((1+InputData!$C$3)^(Ophtha!$B18-Ophtha!$B$7))</f>
        <v>0</v>
      </c>
      <c r="JP18" s="32" t="s">
        <v>141</v>
      </c>
      <c r="JQ18" s="32">
        <v>0</v>
      </c>
      <c r="JR18" s="32">
        <f t="shared" si="172"/>
        <v>0</v>
      </c>
      <c r="JS18" s="32">
        <f>(JR18)*InputData!$C$6</f>
        <v>0</v>
      </c>
      <c r="JT18" s="32">
        <f>MIN($BE$15*InputData!$C$6/(1-(1+InputData!$C$6)^(-10)), JR18+JS18)</f>
        <v>0</v>
      </c>
      <c r="JU18" s="32">
        <f t="shared" si="148"/>
        <v>0</v>
      </c>
      <c r="JV18" s="32">
        <f>JT18/((1+InputData!$C$3)^(Ophtha!$B18-Ophtha!$B$7))</f>
        <v>0</v>
      </c>
      <c r="JW18" s="32">
        <f>IF(JN18-InputData!$C$158-InputData!$C$159&gt;=0,JN18-InputData!$C$158-InputData!$C$159,0)</f>
        <v>208890.81122645142</v>
      </c>
      <c r="JX18" s="32">
        <f>IF(JN18-IF(JN18&lt;=InputData!$C$146,InputData!$C$145,0)-MAX(InputData!$C$144,KD18)&gt;=0,JN18-IF(JN18&lt;=InputData!$C$146,InputData!$C$145,0)-MAX(InputData!$C$144,KD18),0)</f>
        <v>202790.81122645142</v>
      </c>
      <c r="JY18" s="32">
        <f>IF(JX18&lt;0,"Error",IF(JX18&lt;=InputData!$B$170,InputData!$C$170*JX18,IF(JX18&lt;=InputData!$B$171,InputData!$D$170+InputData!$C$171*(JX18-InputData!$B$170),IF(JX18&lt;=InputData!$B$172,InputData!$D$171+InputData!$C$172*(JX18-InputData!$B$171),IF(JX18&lt;=InputData!$B$173,InputData!$D$172+InputData!$C$173*(JX18-InputData!$B$172),IF(JX18&lt;=InputData!$B$174,InputData!$D$173+InputData!$C$174*(JX18-InputData!$B$173),IF(JX18&lt;=InputData!$B$175,InputData!$D$174+InputData!$C$175*(JX18-InputData!$B$174),InputData!$D$175+InputData!$C$176*(JX18-InputData!$B$175))))))))</f>
        <v>51051.717704728966</v>
      </c>
      <c r="JZ18" s="32">
        <f>IF(JN18&lt;=InputData!$C$150,InputData!$C$152,IF(JN18&lt;InputData!$C$151,IF(InputData!$C$152-0.25*IF(JN18-InputData!$C$150&lt;=0,0,JN18-InputData!$C$150)&lt;=0,0,InputData!$C$152-0.25*IF(JN18-InputData!$C$150&lt;=0,0,JN18-InputData!$C$150)),0))</f>
        <v>28527.297193387145</v>
      </c>
      <c r="KA18" s="32">
        <f>IF(JN18-JZ18&lt;=0,0,IF(JN18-JZ18&lt;=InputData!$C$153,InputData!$C$154*(JN18-JZ18),InputData!$C$155*(JN18-JZ18)-InputData!$D$154))</f>
        <v>46911.783929258003</v>
      </c>
      <c r="KB18" s="32">
        <f t="shared" si="109"/>
        <v>51051.717704728966</v>
      </c>
      <c r="KC18" s="32">
        <f>IF(JN18&gt;=0,IF(JN18&lt;=InputData!$C$148,InputData!$C$147*JN18,InputData!$C$147*InputData!$C$148)+InputData!$C$149*JN18,0)</f>
        <v>10078.316762783546</v>
      </c>
      <c r="KD18" s="32">
        <f>IF(JW18&lt;0,0,IF(JW18&lt;=InputData!$B$163,InputData!$C$163*JW18,IF(JW18&lt;=InputData!$B$164,InputData!$D$163+InputData!$C$164*(JW18-InputData!$B$163),IF(JW18&lt;=InputData!$B$165,InputData!$D$164+InputData!$C$165*(JW18-InputData!$B$164),InputData!$D$165+InputData!$C$166*(JW18-InputData!$B$165)))))</f>
        <v>0</v>
      </c>
      <c r="KE18" s="43">
        <f t="shared" si="34"/>
        <v>0.29264108894308194</v>
      </c>
      <c r="KF18" s="32">
        <f t="shared" si="35"/>
        <v>147760.77675893891</v>
      </c>
      <c r="KG18" s="32">
        <f t="shared" si="110"/>
        <v>147760.77675893891</v>
      </c>
      <c r="KH18" s="32">
        <f>KG18/((1+InputData!$C$7)^(Ophtha!$B18-Ophtha!$B$7))</f>
        <v>106745.52897741737</v>
      </c>
      <c r="KI18" s="5">
        <f t="shared" si="129"/>
        <v>591008.90332022205</v>
      </c>
    </row>
    <row r="19" spans="1:295" ht="14.45" x14ac:dyDescent="0.3">
      <c r="A19" s="4">
        <v>2025</v>
      </c>
      <c r="B19" s="51">
        <v>13</v>
      </c>
      <c r="C19" s="4"/>
      <c r="D19" s="3">
        <v>9</v>
      </c>
      <c r="E19" s="97" t="s">
        <v>21</v>
      </c>
      <c r="F19" s="5">
        <f>InputData!$H$23*12</f>
        <v>73317.600000000006</v>
      </c>
      <c r="G19" s="32">
        <f>(InputData!$H$23+InputData!$F$45+InputData!$C$50)*12+InputData!$J$50</f>
        <v>102317.52</v>
      </c>
      <c r="H19" s="32">
        <f>(InputData!$C$34+InputData!$C$40)*12</f>
        <v>20659.199999999997</v>
      </c>
      <c r="I19" s="32">
        <f t="shared" si="36"/>
        <v>122976.72</v>
      </c>
      <c r="J19" s="32">
        <f>G19*((1+InputData!$C$5)/(1+InputData!$C$3))^(Ophtha!$B19-Ophtha!$B$7)</f>
        <v>90908.486892120462</v>
      </c>
      <c r="K19" s="32">
        <f>H19*((1+InputData!$C$5)/(1+InputData!$C$3))^(Ophtha!$B19-Ophtha!$B$7)</f>
        <v>18355.5720701762</v>
      </c>
      <c r="L19" s="32">
        <f>IF(J19-InputData!$C$158-InputData!$C$159&gt;=0,J19-InputData!$C$158-InputData!$C$159,0)</f>
        <v>90908.486892120462</v>
      </c>
      <c r="M19" s="32">
        <f>IF(J19-IF(J19&lt;=InputData!$C$146,InputData!$C$145,0)-MAX(InputData!$C$144,S19)&gt;=0,J19-IF(J19&lt;=InputData!$C$146,InputData!$C$145,0)-MAX(InputData!$C$144,S19),0)</f>
        <v>80908.486892120462</v>
      </c>
      <c r="N19" s="32">
        <f>IF(M19&lt;0,"Error",IF(M19&lt;=InputData!$B$170,InputData!$C$170*M19,IF(M19&lt;=InputData!$B$171,InputData!$D$170+InputData!$C$171*(M19-InputData!$B$170),IF(M19&lt;=InputData!$B$172,InputData!$D$171+InputData!$C$172*(M19-InputData!$B$171),IF(M19&lt;=InputData!$B$173,InputData!$D$172+InputData!$C$173*(M19-InputData!$B$172),IF(M19&lt;=InputData!$B$174,InputData!$D$173+InputData!$C$174*(M19-InputData!$B$173),IF(M19&lt;=InputData!$B$175,InputData!$D$174+InputData!$C$175*(M19-InputData!$B$174),InputData!$D$175+InputData!$C$176*(M19-InputData!$B$175))))))))</f>
        <v>16155.871723030115</v>
      </c>
      <c r="O19" s="32">
        <f>IF(J19&lt;=InputData!$C$150,InputData!$C$152,IF(J19&lt;InputData!$C$151,IF(InputData!$C$152-0.25*IF(J19-InputData!$C$150&lt;=0,0,J19-InputData!$C$150)&lt;=0,0,InputData!$C$152-0.25*IF(J19-InputData!$C$150&lt;=0,0,J19-InputData!$C$150)),0))</f>
        <v>51900</v>
      </c>
      <c r="P19" s="32">
        <f>IF(J19-O19&lt;=0,0,IF(J19-O19&lt;=InputData!$C$153,InputData!$C$154*(J19-O19),InputData!$C$155*(J19-O19)-InputData!$D$154))</f>
        <v>10142.206591951321</v>
      </c>
      <c r="Q19" s="32">
        <f t="shared" si="37"/>
        <v>16155.871723030115</v>
      </c>
      <c r="R19" s="32">
        <f>IF(J19&gt;=0,IF(J19&lt;=InputData!$C$148,InputData!$C$147*J19,InputData!$C$147*InputData!$C$148)+InputData!$C$149*J19,0)</f>
        <v>6954.4992472472159</v>
      </c>
      <c r="S19" s="32">
        <f>IF(L19&lt;0,0,IF(L19&lt;=InputData!$B$163,InputData!$C$163*L19,IF(L19&lt;=InputData!$B$164,InputData!$D$163+InputData!$C$164*(L19-InputData!$B$163),IF(L19&lt;=InputData!$B$165,InputData!$D$164+InputData!$C$165*(L19-InputData!$B$164),InputData!$D$165+InputData!$C$166*(L19-InputData!$B$165)))))</f>
        <v>0</v>
      </c>
      <c r="T19" s="43">
        <f t="shared" si="38"/>
        <v>0.25421576973008042</v>
      </c>
      <c r="U19" s="43">
        <f t="shared" si="39"/>
        <v>0.21150935806120783</v>
      </c>
      <c r="V19" s="5">
        <f t="shared" si="40"/>
        <v>86153.687992019331</v>
      </c>
      <c r="W19" s="32">
        <f>V19/((1+InputData!$C$7)^(Ophtha!$B19-Ophtha!$B$7))</f>
        <v>60426.463362025315</v>
      </c>
      <c r="X19" s="5">
        <f t="shared" si="111"/>
        <v>718698.20947738958</v>
      </c>
      <c r="Y19" s="53"/>
      <c r="Z19" s="3">
        <v>9</v>
      </c>
      <c r="AA19" s="97" t="s">
        <v>278</v>
      </c>
      <c r="AB19" s="5">
        <f t="shared" si="136"/>
        <v>73317.600000000006</v>
      </c>
      <c r="AC19" s="32">
        <f>G19+InputData!$D$60+InputData!$J$60</f>
        <v>157317.52000000002</v>
      </c>
      <c r="AD19" s="32">
        <f t="shared" ref="AD19:AD36" si="174">H19</f>
        <v>20659.199999999997</v>
      </c>
      <c r="AE19" s="32">
        <f t="shared" si="41"/>
        <v>177976.72000000003</v>
      </c>
      <c r="AF19" s="5">
        <f>AC19*((1+InputData!$C$5)/(1+InputData!$C$3))^(Ophtha!$B19-Ophtha!$B$7)</f>
        <v>139775.64844047138</v>
      </c>
      <c r="AG19" s="5">
        <f>AD19*((1+InputData!$C$5)/(1+InputData!$C$3))^(Ophtha!$B19-Ophtha!$B$7)</f>
        <v>18355.5720701762</v>
      </c>
      <c r="AH19" s="32">
        <f>IF(AF19-InputData!$C$158-InputData!$C$159&gt;=0,AF19-InputData!$C$158-InputData!$C$159,0)</f>
        <v>139775.64844047138</v>
      </c>
      <c r="AI19" s="32">
        <f>IF(AF19-IF(AF19&lt;=InputData!$C$146,InputData!$C$145,0)-MAX(InputData!$C$144,AO19)&gt;=0,AF19-IF(AF19&lt;=InputData!$C$146,InputData!$C$145,0)-MAX(InputData!$C$144,AO19),0)</f>
        <v>129775.64844047138</v>
      </c>
      <c r="AJ19" s="32">
        <f>IF(AI19&lt;0,"Error",IF(AI19&lt;=InputData!$B$170,InputData!$C$170*AI19,IF(AI19&lt;=InputData!$B$171,InputData!$D$170+InputData!$C$171*(AI19-InputData!$B$170),IF(AI19&lt;=InputData!$B$172,InputData!$D$171+InputData!$C$172*(AI19-InputData!$B$171),IF(AI19&lt;=InputData!$B$173,InputData!$D$172+InputData!$C$173*(AI19-InputData!$B$172),IF(AI19&lt;=InputData!$B$174,InputData!$D$173+InputData!$C$174*(AI19-InputData!$B$173),IF(AI19&lt;=InputData!$B$175,InputData!$D$174+InputData!$C$175*(AI19-InputData!$B$174),InputData!$D$175+InputData!$C$176*(AI19-InputData!$B$175))))))))</f>
        <v>29630.431563331989</v>
      </c>
      <c r="AK19" s="32">
        <f>IF(AF19&lt;=InputData!$C$150,InputData!$C$152,IF(AF19&lt;InputData!$C$151,IF(InputData!$C$152-0.25*IF(AF19-InputData!$C$150&lt;=0,0,AF19-InputData!$C$150)&lt;=0,0,InputData!$C$152-0.25*IF(AF19-InputData!$C$150&lt;=0,0,AF19-InputData!$C$150)),0))</f>
        <v>45806.087889882154</v>
      </c>
      <c r="AL19" s="32">
        <f>IF(AF19-AK19&lt;=0,0,IF(AF19-AK19&lt;=InputData!$C$153,InputData!$C$154*(AF19-AK19),InputData!$C$155*(AF19-AK19)-InputData!$D$154))</f>
        <v>24432.085743153202</v>
      </c>
      <c r="AM19" s="32">
        <f t="shared" si="42"/>
        <v>29630.431563331989</v>
      </c>
      <c r="AN19" s="32">
        <f>IF(AF19&gt;=0,IF(AF19&lt;=InputData!$C$148,InputData!$C$147*AF19,InputData!$C$147*InputData!$C$148)+InputData!$C$149*AF19,0)</f>
        <v>9076.146902386834</v>
      </c>
      <c r="AO19" s="32">
        <f>IF(AH19&lt;0,0,IF(AH19&lt;=InputData!$B$163,InputData!$C$163*AH19,IF(AH19&lt;=InputData!$B$164,InputData!$D$163+InputData!$C$164*(AH19-InputData!$B$163),IF(AH19&lt;=InputData!$B$165,InputData!$D$164+InputData!$C$165*(AH19-InputData!$B$164),InputData!$D$165+InputData!$C$166*(AH19-InputData!$B$165)))))</f>
        <v>0</v>
      </c>
      <c r="AP19" s="43">
        <f t="shared" si="43"/>
        <v>0.27691932677531766</v>
      </c>
      <c r="AQ19" s="43">
        <f t="shared" si="44"/>
        <v>0.24477505669484514</v>
      </c>
      <c r="AR19" s="5">
        <f t="shared" si="45"/>
        <v>119424.64204492874</v>
      </c>
      <c r="AS19" s="32">
        <f>AR19/((1+InputData!$C$7)^(Ophtha!$B19-Ophtha!$B$7))</f>
        <v>83762.041129560836</v>
      </c>
      <c r="AT19" s="5">
        <f t="shared" si="112"/>
        <v>649910.06493425183</v>
      </c>
      <c r="AU19" s="53"/>
      <c r="AV19" s="41" t="s">
        <v>109</v>
      </c>
      <c r="AW19" s="32">
        <f>$AW$15*(1+InputData!$C$3+InputData!$C$4)^(Ophtha!$B19-Ophtha!$B$17)</f>
        <v>267521.35197684739</v>
      </c>
      <c r="AX19" s="32">
        <v>0</v>
      </c>
      <c r="AY19" s="32">
        <f t="shared" si="47"/>
        <v>267521.35197684739</v>
      </c>
      <c r="AZ19" s="32">
        <f>AZ18*(1+InputData!$C$8)</f>
        <v>14572.09821952365</v>
      </c>
      <c r="BA19" s="32">
        <f>AW19/((1+InputData!$C$3)^(Ophtha!$B19-Ophtha!$B$7))</f>
        <v>210938.76035612242</v>
      </c>
      <c r="BB19" s="32">
        <f>AX19/((1+InputData!$C$3)^(Ophtha!$B19-Ophtha!$B$7))</f>
        <v>0</v>
      </c>
      <c r="BC19" s="32" t="s">
        <v>141</v>
      </c>
      <c r="BD19" s="32">
        <v>0</v>
      </c>
      <c r="BE19" s="32">
        <f t="shared" si="158"/>
        <v>173339.91270813925</v>
      </c>
      <c r="BF19" s="32">
        <f>(BE19)*InputData!$C$6</f>
        <v>10764.408579175448</v>
      </c>
      <c r="BG19" s="32">
        <f>MIN($BE$15*InputData!$C$6/(1-(1+InputData!$C$6)^(-10)), BE19+BF19)</f>
        <v>35483.780349040731</v>
      </c>
      <c r="BH19" s="32">
        <f t="shared" si="140"/>
        <v>148620.54093827397</v>
      </c>
      <c r="BI19" s="32">
        <f>BG19/((1+InputData!$C$3)^(Ophtha!$B19-Ophtha!$B$7))</f>
        <v>27978.718649057104</v>
      </c>
      <c r="BJ19" s="32">
        <f>IF(BA19-InputData!$C$158-InputData!$C$159&gt;=0,BA19-InputData!$C$158-InputData!$C$159,0)</f>
        <v>210938.76035612242</v>
      </c>
      <c r="BK19" s="32">
        <f>IF(BA19-IF(BA19&lt;=InputData!$C$146,InputData!$C$145,0)-MAX(InputData!$C$144,BQ19)&gt;=0,BA19-IF(BA19&lt;=InputData!$C$146,InputData!$C$145,0)-MAX(InputData!$C$144,BQ19),0)</f>
        <v>204838.76035612242</v>
      </c>
      <c r="BL19" s="32">
        <f>IF(BK19&lt;0,"Error",IF(BK19&lt;=InputData!$B$170,InputData!$C$170*BK19,IF(BK19&lt;=InputData!$B$171,InputData!$D$170+InputData!$C$171*(BK19-InputData!$B$170),IF(BK19&lt;=InputData!$B$172,InputData!$D$171+InputData!$C$172*(BK19-InputData!$B$171),IF(BK19&lt;=InputData!$B$173,InputData!$D$172+InputData!$C$173*(BK19-InputData!$B$172),IF(BK19&lt;=InputData!$B$174,InputData!$D$173+InputData!$C$174*(BK19-InputData!$B$173),IF(BK19&lt;=InputData!$B$175,InputData!$D$174+InputData!$C$175*(BK19-InputData!$B$174),InputData!$D$175+InputData!$C$176*(BK19-InputData!$B$175))))))))</f>
        <v>51727.540917520397</v>
      </c>
      <c r="BM19" s="32">
        <f>IF(BA19&lt;=InputData!$C$150,InputData!$C$152,IF(BA19&lt;InputData!$C$151,IF(InputData!$C$152-0.25*IF(BA19-InputData!$C$150&lt;=0,0,BA19-InputData!$C$150)&lt;=0,0,InputData!$C$152-0.25*IF(BA19-InputData!$C$150&lt;=0,0,BA19-InputData!$C$150)),0))</f>
        <v>28015.309910969394</v>
      </c>
      <c r="BN19" s="32">
        <f>IF(BA19-BM19&lt;=0,0,IF(BA19-BM19&lt;=InputData!$C$153,InputData!$C$154*(BA19-BM19),InputData!$C$155*(BA19-BM19)-InputData!$D$154))</f>
        <v>47628.56612464285</v>
      </c>
      <c r="BO19" s="32">
        <f t="shared" si="48"/>
        <v>51727.540917520397</v>
      </c>
      <c r="BP19" s="32">
        <f>IF(BA19&gt;=0,IF(BA19&lt;=InputData!$C$148,InputData!$C$147*BA19,InputData!$C$147*InputData!$C$148)+InputData!$C$149*BA19,0)</f>
        <v>10108.012025163775</v>
      </c>
      <c r="BQ19" s="32">
        <f>IF(BJ19&lt;0,0,IF(BJ19&lt;=InputData!$B$163,InputData!$C$163*BJ19,IF(BJ19&lt;=InputData!$B$164,InputData!$D$163+InputData!$C$164*(BJ19-InputData!$B$163),IF(BJ19&lt;=InputData!$B$165,InputData!$D$164+InputData!$C$165*(BJ19-InputData!$B$164),InputData!$D$165+InputData!$C$166*(BJ19-InputData!$B$165)))))</f>
        <v>0</v>
      </c>
      <c r="BR19" s="43">
        <f t="shared" si="49"/>
        <v>0.29314457351645007</v>
      </c>
      <c r="BS19" s="32">
        <f t="shared" si="50"/>
        <v>149103.20741343824</v>
      </c>
      <c r="BT19" s="32">
        <f t="shared" si="51"/>
        <v>121124.48876438114</v>
      </c>
      <c r="BU19" s="32">
        <f>BT19/((1+InputData!$C$7)^(Ophtha!$B19-Ophtha!$B$7))</f>
        <v>84954.279417996775</v>
      </c>
      <c r="BV19" s="5">
        <f t="shared" si="114"/>
        <v>396156.0857399379</v>
      </c>
      <c r="BW19" s="5"/>
      <c r="BX19" s="32" t="s">
        <v>141</v>
      </c>
      <c r="BY19" s="5">
        <f t="shared" si="159"/>
        <v>238506.2562933208</v>
      </c>
      <c r="BZ19" s="32">
        <f>(BY19)*InputData!$C$6</f>
        <v>14811.238515815223</v>
      </c>
      <c r="CA19" s="32">
        <f>MIN($BY$15*InputData!$C$6/(1-(1+InputData!$C$6)^(-25)), BY19+BZ19)</f>
        <v>20633.642137763909</v>
      </c>
      <c r="CB19" s="32">
        <f t="shared" si="160"/>
        <v>232683.85267137212</v>
      </c>
      <c r="CC19" s="32">
        <f>CA19/((1+InputData!$C$3)^(Ophtha!$B19-Ophtha!$B$7))</f>
        <v>16269.486013020942</v>
      </c>
      <c r="CD19" s="5">
        <f t="shared" si="55"/>
        <v>132833.7214004173</v>
      </c>
      <c r="CE19" s="32">
        <f>CD19/((1+InputData!$C$7)^(Ophtha!$B19-Ophtha!$B$7))</f>
        <v>93166.899601411467</v>
      </c>
      <c r="CF19" s="5">
        <f t="shared" si="115"/>
        <v>441590.41884715937</v>
      </c>
      <c r="CG19" s="5"/>
      <c r="CH19" s="32" t="s">
        <v>141</v>
      </c>
      <c r="CI19" s="5">
        <f t="shared" si="161"/>
        <v>177112.56842681876</v>
      </c>
      <c r="CJ19" s="32">
        <f>(CI19)*InputData!$C$6</f>
        <v>10998.690499305445</v>
      </c>
      <c r="CK19" s="5">
        <f t="shared" si="162"/>
        <v>35483.780349040731</v>
      </c>
      <c r="CL19" s="32">
        <f t="shared" si="163"/>
        <v>152627.47857708347</v>
      </c>
      <c r="CM19" s="32">
        <f>CK19/((1+InputData!$C$3)^(Ophtha!$B19-Ophtha!$B$7))</f>
        <v>27978.718649057104</v>
      </c>
      <c r="CN19" s="5">
        <f t="shared" si="59"/>
        <v>121124.48876438114</v>
      </c>
      <c r="CO19" s="32">
        <f>CN19/((1+InputData!$C$7)^(Ophtha!$B19-Ophtha!$B$7))</f>
        <v>84954.279417996775</v>
      </c>
      <c r="CP19" s="5">
        <f t="shared" si="149"/>
        <v>398301.13305121387</v>
      </c>
      <c r="CQ19" s="5"/>
      <c r="CR19" s="32" t="s">
        <v>141</v>
      </c>
      <c r="CS19" s="5">
        <f t="shared" si="164"/>
        <v>227584.95749328646</v>
      </c>
      <c r="CT19" s="32">
        <f>(CS19)*InputData!$C$6</f>
        <v>14133.025860333089</v>
      </c>
      <c r="CU19" s="32">
        <f t="shared" si="165"/>
        <v>24566.320464756194</v>
      </c>
      <c r="CV19" s="32">
        <f t="shared" si="166"/>
        <v>217151.66288886336</v>
      </c>
      <c r="CW19" s="32">
        <f>CU19/((1+InputData!$C$3)^(Ophtha!$B19-Ophtha!$B$7))</f>
        <v>19370.376035612244</v>
      </c>
      <c r="CX19" s="5">
        <f t="shared" si="63"/>
        <v>129732.83137782599</v>
      </c>
      <c r="CY19" s="32">
        <f>CX19/((1+InputData!$C$7)^(Ophtha!$B19-Ophtha!$B$7))</f>
        <v>90991.99772887479</v>
      </c>
      <c r="CZ19" s="5">
        <f t="shared" si="150"/>
        <v>433169.23096464132</v>
      </c>
      <c r="DA19" s="5"/>
      <c r="DB19" s="32" t="s">
        <v>141</v>
      </c>
      <c r="DC19" s="5">
        <f t="shared" si="141"/>
        <v>65447.901635434042</v>
      </c>
      <c r="DD19" s="5">
        <f>DC19*InputData!$C$6</f>
        <v>4064.3146915604543</v>
      </c>
      <c r="DE19" s="32">
        <f t="shared" si="142"/>
        <v>29148.379963889372</v>
      </c>
      <c r="DF19" s="32">
        <f t="shared" si="143"/>
        <v>40363.836363105132</v>
      </c>
      <c r="DG19" s="32">
        <f>DE19/((1+InputData!$C$3)^(Ophtha!$B19-Ophtha!$B$7))</f>
        <v>22983.298680787859</v>
      </c>
      <c r="DH19" s="5">
        <f t="shared" si="67"/>
        <v>126119.90873265038</v>
      </c>
      <c r="DI19" s="32">
        <f>DH19/((1+InputData!$C$7)^(Ophtha!$B19-Ophtha!$B$7))</f>
        <v>88457.966476855043</v>
      </c>
      <c r="DJ19" s="5">
        <f t="shared" si="130"/>
        <v>338494.07221422391</v>
      </c>
      <c r="DK19" s="5"/>
      <c r="DL19" s="32" t="s">
        <v>141</v>
      </c>
      <c r="DM19" s="32">
        <f t="shared" si="167"/>
        <v>170432.50854875759</v>
      </c>
      <c r="DN19" s="5">
        <f>DM19*InputData!$C$6</f>
        <v>10583.858780877847</v>
      </c>
      <c r="DO19" s="32">
        <f t="shared" si="168"/>
        <v>0</v>
      </c>
      <c r="DP19" s="32">
        <f t="shared" si="131"/>
        <v>29148.379963889372</v>
      </c>
      <c r="DQ19" s="32">
        <f t="shared" si="132"/>
        <v>151867.98736574606</v>
      </c>
      <c r="DR19" s="32">
        <f>DP19/((1+InputData!$C$3)^(Ophtha!$B19-Ophtha!$B$7))</f>
        <v>22983.298680787859</v>
      </c>
      <c r="DS19" s="5">
        <f t="shared" si="71"/>
        <v>126119.90873265038</v>
      </c>
      <c r="DT19" s="32">
        <f>DS19/((1+InputData!$C$7)^(Ophtha!$B19-Ophtha!$B$7))</f>
        <v>88457.966476855043</v>
      </c>
      <c r="DU19" s="5">
        <f t="shared" si="133"/>
        <v>397203.45683294843</v>
      </c>
      <c r="DV19" s="5"/>
      <c r="DW19" s="32" t="s">
        <v>141</v>
      </c>
      <c r="DX19" s="133">
        <f t="shared" si="144"/>
        <v>202695.8847764096</v>
      </c>
      <c r="DY19" s="5">
        <f>DX19*InputData!$C$6</f>
        <v>12587.414444615037</v>
      </c>
      <c r="DZ19" s="133">
        <f t="shared" si="145"/>
        <v>0</v>
      </c>
      <c r="EA19" s="32">
        <f t="shared" si="146"/>
        <v>24566.320464756194</v>
      </c>
      <c r="EB19" s="32">
        <f t="shared" si="147"/>
        <v>190716.97875626845</v>
      </c>
      <c r="EC19" s="32">
        <f>EA19/((1+InputData!$C$3)^(Ophtha!$B19-Ophtha!$B$7))</f>
        <v>19370.376035612244</v>
      </c>
      <c r="ED19" s="5">
        <f t="shared" si="75"/>
        <v>129732.83137782599</v>
      </c>
      <c r="EE19" s="32">
        <f>ED19/((1+InputData!$C$7)^(Ophtha!$B19-Ophtha!$B$7))</f>
        <v>90991.99772887479</v>
      </c>
      <c r="EF19" s="5">
        <f t="shared" si="134"/>
        <v>420945.27802436438</v>
      </c>
      <c r="EG19" s="32"/>
      <c r="EH19" s="133" t="s">
        <v>141</v>
      </c>
      <c r="EI19" s="32">
        <v>0</v>
      </c>
      <c r="EJ19" s="32">
        <f t="shared" ref="EJ19:EJ36" si="175">EJ18-(EN18-EK18)</f>
        <v>229453.44242190261</v>
      </c>
      <c r="EK19" s="32">
        <f>(EJ19)*InputData!$C$6</f>
        <v>14249.058774400153</v>
      </c>
      <c r="EL19" s="32">
        <f t="shared" si="173"/>
        <v>219136.18073154657</v>
      </c>
      <c r="EM19" s="32">
        <f>EM18*(1+InputData!$C$8)</f>
        <v>14572.09821952365</v>
      </c>
      <c r="EN19" s="32">
        <f t="shared" si="152"/>
        <v>24566.320464756194</v>
      </c>
      <c r="EO19" s="32">
        <f>AW19/((1+InputData!$C$3)^(Ophtha!$B19-Ophtha!$B$7))</f>
        <v>210938.76035612242</v>
      </c>
      <c r="EP19" s="32">
        <f>AX19/((1+InputData!$C$3)^(Ophtha!$B19-Ophtha!$B$7))</f>
        <v>0</v>
      </c>
      <c r="EQ19" s="32">
        <v>51639.48</v>
      </c>
      <c r="ER19" s="32">
        <v>8815.4150000000009</v>
      </c>
      <c r="ES19" s="32">
        <v>0</v>
      </c>
      <c r="ET19" s="43">
        <f t="shared" si="139"/>
        <v>0.28659927126686235</v>
      </c>
      <c r="EU19" s="32">
        <f t="shared" si="76"/>
        <v>150483.86535612241</v>
      </c>
      <c r="EV19" s="32">
        <f>EN19/((1+InputData!$C$3)^(Ophtha!$B19-Ophtha!$B$7))</f>
        <v>19370.376035612244</v>
      </c>
      <c r="EW19" s="32">
        <f t="shared" si="77"/>
        <v>131113.48932051015</v>
      </c>
      <c r="EX19" s="32">
        <f>EW19/((1+InputData!$C$7)^(Ophtha!$B19-Ophtha!$B$7))</f>
        <v>91960.363431302088</v>
      </c>
      <c r="EY19" s="5">
        <f t="shared" si="124"/>
        <v>513765.92872412043</v>
      </c>
      <c r="EZ19" s="79"/>
      <c r="FA19" s="32">
        <f t="shared" si="153"/>
        <v>174324.20354456207</v>
      </c>
      <c r="FB19" s="32">
        <f>FA19*InputData!$C$6</f>
        <v>10825.533040117305</v>
      </c>
      <c r="FC19" s="32">
        <f t="shared" si="154"/>
        <v>149464.4656539628</v>
      </c>
      <c r="FD19" s="32">
        <f>MIN($EJ$15*InputData!$C$6/(1-(1+InputData!$C$6)^(-10)), FA19+FB19)</f>
        <v>35685.270930716564</v>
      </c>
      <c r="FE19" s="32">
        <f>FD19/((1+InputData!$C$3)^(Ophtha!$B19-Ophtha!$B$7))</f>
        <v>28137.592597652474</v>
      </c>
      <c r="FF19" s="5">
        <f t="shared" si="81"/>
        <v>122346.27275846993</v>
      </c>
      <c r="FG19" s="32">
        <f>FF19/((1+InputData!$C$7)^(Ophtha!$B19-Ophtha!$B$7))</f>
        <v>85811.214129392465</v>
      </c>
      <c r="FH19" s="5">
        <f t="shared" si="125"/>
        <v>476136.31851602206</v>
      </c>
      <c r="FI19" s="79"/>
      <c r="FJ19" s="32">
        <f t="shared" si="155"/>
        <v>239860.58674630948</v>
      </c>
      <c r="FK19" s="32">
        <f>FJ19*InputData!$C$6</f>
        <v>14895.342436945819</v>
      </c>
      <c r="FL19" s="32">
        <f t="shared" si="170"/>
        <v>234005.12127241047</v>
      </c>
      <c r="FM19" s="32">
        <f>MIN($EJ$15*InputData!$C$6/(1-(1+InputData!$C$6)^(-25)), FJ19+FK19)</f>
        <v>20750.807910844829</v>
      </c>
      <c r="FN19" s="32">
        <f>FM19/((1+InputData!$C$3)^(Ophtha!$B19-Ophtha!$B$7))</f>
        <v>16361.870425506997</v>
      </c>
      <c r="FO19" s="5">
        <f t="shared" si="85"/>
        <v>134121.99493061542</v>
      </c>
      <c r="FP19" s="32">
        <f>FO19/((1+InputData!$C$7)^(Ophtha!$B19-Ophtha!$B$7))</f>
        <v>94070.468735677598</v>
      </c>
      <c r="FQ19" s="5">
        <f t="shared" si="126"/>
        <v>521828.64527881728</v>
      </c>
      <c r="FR19" s="79"/>
      <c r="FS19" s="32">
        <f t="shared" si="156"/>
        <v>178779.56277375907</v>
      </c>
      <c r="FT19" s="32">
        <f>FS19*InputData!$C$6</f>
        <v>11102.210848250439</v>
      </c>
      <c r="FU19" s="32">
        <f t="shared" si="171"/>
        <v>154196.50269129293</v>
      </c>
      <c r="FV19" s="5">
        <f t="shared" si="157"/>
        <v>35685.270930716564</v>
      </c>
      <c r="FW19" s="32">
        <f>FV19/((1+InputData!$C$3)^(Ophtha!$B19-Ophtha!$B$7))</f>
        <v>28137.592597652474</v>
      </c>
      <c r="FX19" s="5">
        <f t="shared" si="88"/>
        <v>122346.27275846993</v>
      </c>
      <c r="FY19" s="32">
        <f>FX19/((1+InputData!$C$7)^(Ophtha!$B19-Ophtha!$B$7))</f>
        <v>85811.214129392465</v>
      </c>
      <c r="FZ19" s="5">
        <f t="shared" si="127"/>
        <v>478669.33042048349</v>
      </c>
      <c r="GC19" s="3">
        <f t="shared" si="2"/>
        <v>9</v>
      </c>
      <c r="GD19" s="4" t="str">
        <f t="shared" si="3"/>
        <v>Service (O4&gt;8 = (BP+BAH+BAS+VSP+BCPSP)*12)+ASP</v>
      </c>
      <c r="GE19" s="5">
        <f t="shared" si="4"/>
        <v>102317.52</v>
      </c>
      <c r="GF19" s="5">
        <f t="shared" si="5"/>
        <v>20659.199999999997</v>
      </c>
      <c r="GG19" s="5">
        <f t="shared" si="6"/>
        <v>122976.72</v>
      </c>
      <c r="GH19" s="5">
        <f t="shared" si="7"/>
        <v>90908.486892120462</v>
      </c>
      <c r="GI19" s="5">
        <f t="shared" si="8"/>
        <v>18355.5720701762</v>
      </c>
      <c r="GJ19" s="32">
        <f>IF(GH19-InputData!$C$158-InputData!$C$159&gt;=0,GH19-InputData!$C$158-InputData!$C$159,0)</f>
        <v>90908.486892120462</v>
      </c>
      <c r="GK19" s="32">
        <f>IF(GH19-IF(GH19&lt;=InputData!$C$146,InputData!$C$145,0)-MAX(InputData!$C$144,GQ19)&gt;=0,GH19-IF(GH19&lt;=InputData!$C$146,InputData!$C$145,0)-MAX(InputData!$C$144,GQ19),0)</f>
        <v>80908.486892120462</v>
      </c>
      <c r="GL19" s="32">
        <f>IF(GK19&lt;0,"Error",IF(GK19&lt;=InputData!$B$170,InputData!$C$170*GK19,IF(GK19&lt;=InputData!$B$171,InputData!$D$170+InputData!$C$171*(GK19-InputData!$B$170),IF(GK19&lt;=InputData!$B$172,InputData!$D$171+InputData!$C$172*(GK19-InputData!$B$171),IF(GK19&lt;=InputData!$B$173,InputData!$D$172+InputData!$C$173*(GK19-InputData!$B$172),IF(GK19&lt;=InputData!$B$174,InputData!$D$173+InputData!$C$174*(GK19-InputData!$B$173),IF(GK19&lt;=InputData!$B$175,InputData!$D$174+InputData!$C$175*(GK19-InputData!$B$174),InputData!$D$175+InputData!$C$176*(GK19-InputData!$B$175))))))))</f>
        <v>16155.871723030115</v>
      </c>
      <c r="GM19" s="32">
        <f>IF(GH19&lt;=InputData!$C$150,InputData!$C$152,IF(GH19&lt;InputData!$C$151,IF(InputData!$C$152-0.25*IF(GH19-InputData!$C$150&lt;=0,0,GH19-InputData!$C$150)&lt;=0,0,InputData!$C$152-0.25*IF(GH19-InputData!$C$150&lt;=0,0,GH19-InputData!$C$150)),0))</f>
        <v>51900</v>
      </c>
      <c r="GN19" s="32">
        <f>IF(GH19-GM19&lt;=0,0,IF(GH19-GM19&lt;=InputData!$C$153,InputData!$C$154*(GH19-GM19),InputData!$C$155*(GH19-GM19)-InputData!$D$154))</f>
        <v>10142.206591951321</v>
      </c>
      <c r="GO19" s="32">
        <f t="shared" si="89"/>
        <v>16155.871723030115</v>
      </c>
      <c r="GP19" s="32">
        <f>IF(GH19&gt;=0,IF(GH19&lt;=InputData!$C$148,InputData!$C$147*GH19,InputData!$C$147*InputData!$C$148)+InputData!$C$149*GH19,0)</f>
        <v>6954.4992472472159</v>
      </c>
      <c r="GQ19" s="32">
        <f>IF(GJ19&lt;0,0,IF(GJ19&lt;=InputData!$B$163,InputData!$C$163*GJ19,IF(GJ19&lt;=InputData!$B$164,InputData!$D$163+InputData!$C$164*(GJ19-InputData!$B$163),IF(GJ19&lt;=InputData!$B$165,InputData!$D$164+InputData!$C$165*(GJ19-InputData!$B$164),InputData!$D$165+InputData!$C$166*(GJ19-InputData!$B$165)))))</f>
        <v>0</v>
      </c>
      <c r="GR19" s="43">
        <f t="shared" si="90"/>
        <v>0.25421576973008042</v>
      </c>
      <c r="GS19" s="43">
        <f t="shared" si="91"/>
        <v>0.21150935806120783</v>
      </c>
      <c r="GT19" s="5">
        <f t="shared" si="9"/>
        <v>86153.687992019331</v>
      </c>
      <c r="GU19" s="32">
        <f>GT19/((1+InputData!$C$7)^(Ophtha!$B19-Ophtha!$B$7))</f>
        <v>60426.463362025315</v>
      </c>
      <c r="GV19" s="32">
        <f t="shared" si="92"/>
        <v>718698.20947738958</v>
      </c>
      <c r="GX19" s="3">
        <f t="shared" si="10"/>
        <v>9</v>
      </c>
      <c r="GY19" s="122" t="str">
        <f t="shared" si="11"/>
        <v>Multi-Year (O4&gt;8 = (BP+BAH+BAS+VSP+BCPSP)*12+ASP)+ISP+MSP</v>
      </c>
      <c r="GZ19" s="5">
        <f t="shared" si="12"/>
        <v>157317.52000000002</v>
      </c>
      <c r="HA19" s="5">
        <f t="shared" si="13"/>
        <v>20659.199999999997</v>
      </c>
      <c r="HB19" s="5">
        <f t="shared" si="14"/>
        <v>177976.72000000003</v>
      </c>
      <c r="HC19" s="5">
        <f t="shared" si="15"/>
        <v>139775.64844047138</v>
      </c>
      <c r="HD19" s="5">
        <f t="shared" si="16"/>
        <v>18355.5720701762</v>
      </c>
      <c r="HE19" s="32">
        <f>IF(HC19-InputData!$C$158-InputData!$C$159&gt;=0,HC19-InputData!$C$158-InputData!$C$159,0)</f>
        <v>139775.64844047138</v>
      </c>
      <c r="HF19" s="32">
        <f>IF(HC19-IF(HC19&lt;=InputData!$C$146,InputData!$C$145,0)-MAX(InputData!$C$144,HL19)&gt;=0,HC19-IF(HC19&lt;=InputData!$C$146,InputData!$C$145,0)-MAX(InputData!$C$144,HL19),0)</f>
        <v>129775.64844047138</v>
      </c>
      <c r="HG19" s="32">
        <f>IF(HF19&lt;0,"Error",IF(HF19&lt;=InputData!$B$170,InputData!$C$170*HF19,IF(HF19&lt;=InputData!$B$171,InputData!$D$170+InputData!$C$171*(HF19-InputData!$B$170),IF(HF19&lt;=InputData!$B$172,InputData!$D$171+InputData!$C$172*(HF19-InputData!$B$171),IF(HF19&lt;=InputData!$B$173,InputData!$D$172+InputData!$C$173*(HF19-InputData!$B$172),IF(HF19&lt;=InputData!$B$174,InputData!$D$173+InputData!$C$174*(HF19-InputData!$B$173),IF(HF19&lt;=InputData!$B$175,InputData!$D$174+InputData!$C$175*(HF19-InputData!$B$174),InputData!$D$175+InputData!$C$176*(HF19-InputData!$B$175))))))))</f>
        <v>29630.431563331989</v>
      </c>
      <c r="HH19" s="32">
        <f>IF(HC19&lt;=InputData!$C$150,InputData!$C$152,IF(HC19&lt;InputData!$C$151,IF(InputData!$C$152-0.25*IF(HC19-InputData!$C$150&lt;=0,0,HC19-InputData!$C$150)&lt;=0,0,InputData!$C$152-0.25*IF(HC19-InputData!$C$150&lt;=0,0,HC19-InputData!$C$150)),0))</f>
        <v>45806.087889882154</v>
      </c>
      <c r="HI19" s="32">
        <f>IF(HC19-HH19&lt;=0,0,IF(HC19-HH19&lt;=InputData!$C$153,InputData!$C$154*(HC19-HH19),InputData!$C$155*(HC19-HH19)-InputData!$D$154))</f>
        <v>24432.085743153202</v>
      </c>
      <c r="HJ19" s="32">
        <f t="shared" si="93"/>
        <v>29630.431563331989</v>
      </c>
      <c r="HK19" s="32">
        <f>IF(HC19&gt;=0,IF(HC19&lt;=InputData!$C$148,InputData!$C$147*HC19,InputData!$C$147*InputData!$C$148)+InputData!$C$149*HC19,0)</f>
        <v>9076.146902386834</v>
      </c>
      <c r="HL19" s="32">
        <f>IF(HE19&lt;0,0,IF(HE19&lt;=InputData!$B$163,InputData!$C$163*HE19,IF(HE19&lt;=InputData!$B$164,InputData!$D$163+InputData!$C$164*(HE19-InputData!$B$163),IF(HE19&lt;=InputData!$B$165,InputData!$D$164+InputData!$C$165*(HE19-InputData!$B$164),InputData!$D$165+InputData!$C$166*(HE19-InputData!$B$165)))))</f>
        <v>0</v>
      </c>
      <c r="HM19" s="43">
        <f t="shared" si="94"/>
        <v>0.27691932677531766</v>
      </c>
      <c r="HN19" s="43">
        <f t="shared" si="95"/>
        <v>0.24477505669484514</v>
      </c>
      <c r="HO19" s="5">
        <f t="shared" si="17"/>
        <v>119424.64204492874</v>
      </c>
      <c r="HP19" s="32">
        <f>HO19/((1+InputData!$C$7)^(Ophtha!$B19-Ophtha!$B$7))</f>
        <v>83762.041129560836</v>
      </c>
      <c r="HQ19" s="32">
        <f t="shared" si="96"/>
        <v>649910.06493425183</v>
      </c>
      <c r="HS19" s="93">
        <f t="shared" si="18"/>
        <v>9</v>
      </c>
      <c r="HT19" s="5" t="str">
        <f t="shared" si="19"/>
        <v>Service (O4&gt;8 = (BP+BAH+BAS+VSP+BCPSP)*12)+ASP</v>
      </c>
      <c r="HU19" s="5">
        <f t="shared" si="20"/>
        <v>102317.52</v>
      </c>
      <c r="HV19" s="5">
        <f t="shared" si="21"/>
        <v>20659.199999999997</v>
      </c>
      <c r="HW19" s="5">
        <f t="shared" si="22"/>
        <v>122976.72</v>
      </c>
      <c r="HX19" s="5">
        <f t="shared" si="23"/>
        <v>90908.486892120462</v>
      </c>
      <c r="HY19" s="5">
        <f t="shared" si="24"/>
        <v>18355.5720701762</v>
      </c>
      <c r="HZ19" s="32">
        <f>IF(HX19-InputData!$C$158-InputData!$C$159&gt;=0,HX19-InputData!$C$158-InputData!$C$159,0)</f>
        <v>90908.486892120462</v>
      </c>
      <c r="IA19" s="32">
        <f>IF(HX19-IF(HX19&lt;=InputData!$C$146,InputData!$C$145,0)-MAX(InputData!$C$144,IG19)&gt;=0,HX19-IF(HX19&lt;=InputData!$C$146,InputData!$C$145,0)-MAX(InputData!$C$144,IG19),0)</f>
        <v>80908.486892120462</v>
      </c>
      <c r="IB19" s="32">
        <f>IF(IA19&lt;0,"Error",IF(IA19&lt;=InputData!$B$170,InputData!$C$170*IA19,IF(IA19&lt;=InputData!$B$171,InputData!$D$170+InputData!$C$171*(IA19-InputData!$B$170),IF(IA19&lt;=InputData!$B$172,InputData!$D$171+InputData!$C$172*(IA19-InputData!$B$171),IF(IA19&lt;=InputData!$B$173,InputData!$D$172+InputData!$C$173*(IA19-InputData!$B$172),IF(IA19&lt;=InputData!$B$174,InputData!$D$173+InputData!$C$174*(IA19-InputData!$B$173),IF(IA19&lt;=InputData!$B$175,InputData!$D$174+InputData!$C$175*(IA19-InputData!$B$174),InputData!$D$175+InputData!$C$176*(IA19-InputData!$B$175))))))))</f>
        <v>16155.871723030115</v>
      </c>
      <c r="IC19" s="32">
        <f>IF(HX19&lt;=InputData!$C$150,InputData!$C$152,IF(HX19&lt;InputData!$C$151,IF(InputData!$C$152-0.25*IF(HX19-InputData!$C$150&lt;=0,0,HX19-InputData!$C$150)&lt;=0,0,InputData!$C$152-0.25*IF(HX19-InputData!$C$150&lt;=0,0,HX19-InputData!$C$150)),0))</f>
        <v>51900</v>
      </c>
      <c r="ID19" s="32">
        <f>IF(HX19-IC19&lt;=0,0,IF(HX19-IC19&lt;=InputData!$C$153,InputData!$C$154*(HX19-IC19),InputData!$C$155*(HX19-IC19)-InputData!$D$154))</f>
        <v>10142.206591951321</v>
      </c>
      <c r="IE19" s="32">
        <f t="shared" si="97"/>
        <v>16155.871723030115</v>
      </c>
      <c r="IF19" s="32">
        <f>IF(HX19&gt;=0,IF(HX19&lt;=InputData!$C$148,InputData!$C$147*HX19,InputData!$C$147*InputData!$C$148)+InputData!$C$149*HX19,0)</f>
        <v>6954.4992472472159</v>
      </c>
      <c r="IG19" s="32">
        <f>IF(HZ19&lt;0,0,IF(HZ19&lt;=InputData!$B$163,InputData!$C$163*HZ19,IF(HZ19&lt;=InputData!$B$164,InputData!$D$163+InputData!$C$164*(HZ19-InputData!$B$163),IF(HZ19&lt;=InputData!$B$165,InputData!$D$164+InputData!$C$165*(HZ19-InputData!$B$164),InputData!$D$165+InputData!$C$166*(HZ19-InputData!$B$165)))))</f>
        <v>0</v>
      </c>
      <c r="IH19" s="43">
        <f t="shared" si="98"/>
        <v>0.25421576973008042</v>
      </c>
      <c r="II19" s="43">
        <f t="shared" si="99"/>
        <v>0.21150935806120783</v>
      </c>
      <c r="IJ19" s="5">
        <f t="shared" si="100"/>
        <v>86153.687992019331</v>
      </c>
      <c r="IK19" s="32">
        <f>IJ19/((1+InputData!$C$7)^(Ophtha!$B19-Ophtha!$B$7))</f>
        <v>60426.463362025315</v>
      </c>
      <c r="IL19" s="5">
        <f t="shared" si="101"/>
        <v>718698.20947738958</v>
      </c>
      <c r="IN19" s="94"/>
      <c r="IO19" s="53" t="s">
        <v>109</v>
      </c>
      <c r="IP19" s="32">
        <f>MIN(InputData!$C$13+InputData!$E$13*($B19-$B$19),1)*Ophtha!AW19</f>
        <v>240769.21677916267</v>
      </c>
      <c r="IQ19" s="32">
        <f>MIN(InputData!$C$13+InputData!$E$13*($B19-$B$19),1)*Ophtha!AX19</f>
        <v>0</v>
      </c>
      <c r="IR19" s="32">
        <f>MIN(InputData!$C$13+InputData!$E$13*($B19-$B$19),1)*Ophtha!AY19</f>
        <v>240769.21677916267</v>
      </c>
      <c r="IS19" s="32">
        <f>MIN(InputData!$C$13+InputData!$E$13*($B19-$B$19),1)*Ophtha!BA19</f>
        <v>189844.88432051017</v>
      </c>
      <c r="IT19" s="32">
        <f>MIN(InputData!$C$13+InputData!$E$13*($B19-$B$19),1)*Ophtha!BB19</f>
        <v>0</v>
      </c>
      <c r="IU19" s="32">
        <f>IF(IS19-InputData!$C$158-InputData!$C$159&gt;=0,IS19-InputData!$C$158-InputData!$C$159,0)</f>
        <v>189844.88432051017</v>
      </c>
      <c r="IV19" s="32">
        <f>IF(IS19-IF(IS19&lt;=InputData!$C$146,InputData!$C$145,0)-MAX(InputData!$C$144,JB19)&gt;=0,IS19-IF(IS19&lt;=InputData!$C$146,InputData!$C$145,0)-MAX(InputData!$C$144,JB19),0)</f>
        <v>183744.88432051017</v>
      </c>
      <c r="IW19" s="32">
        <f>IF(IV19&lt;0,"Error",IF(IV19&lt;=InputData!$B$170,InputData!$C$170*IV19,IF(IV19&lt;=InputData!$B$171,InputData!$D$170+InputData!$C$171*(IV19-InputData!$B$170),IF(IV19&lt;=InputData!$B$172,InputData!$D$171+InputData!$C$172*(IV19-InputData!$B$171),IF(IV19&lt;=InputData!$B$173,InputData!$D$172+InputData!$C$173*(IV19-InputData!$B$172),IF(IV19&lt;=InputData!$B$174,InputData!$D$173+InputData!$C$174*(IV19-InputData!$B$173),IF(IV19&lt;=InputData!$B$175,InputData!$D$174+InputData!$C$175*(IV19-InputData!$B$174),InputData!$D$175+InputData!$C$176*(IV19-InputData!$B$175))))))))</f>
        <v>44766.56182576836</v>
      </c>
      <c r="IX19" s="32">
        <f>IF(IS19&lt;=InputData!$C$150,InputData!$C$152,IF(IS19&lt;InputData!$C$151,IF(InputData!$C$152-0.25*IF(IS19-InputData!$C$150&lt;=0,0,IS19-InputData!$C$150)&lt;=0,0,InputData!$C$152-0.25*IF(IS19-InputData!$C$150&lt;=0,0,IS19-InputData!$C$150)),0))</f>
        <v>33288.778919872457</v>
      </c>
      <c r="IY19" s="32">
        <f>IF(IS19-IX19&lt;=0,0,IF(IS19-IX19&lt;=InputData!$C$153,InputData!$C$154*(IS19-IX19),InputData!$C$155*(IS19-IX19)-InputData!$D$154))</f>
        <v>40704.58740416581</v>
      </c>
      <c r="IZ19" s="32">
        <f t="shared" si="102"/>
        <v>44766.56182576836</v>
      </c>
      <c r="JA19" s="32">
        <f>IF(IS19&gt;=0,IF(IS19&lt;=InputData!$C$148,InputData!$C$147*IS19,InputData!$C$147*InputData!$C$148)+InputData!$C$149*IS19,0)</f>
        <v>9802.1508226473979</v>
      </c>
      <c r="JB19" s="32">
        <f>IF(IU19&lt;0,0,IF(IU19&lt;=InputData!$B$163,InputData!$C$163*IU19,IF(IU19&lt;=InputData!$B$164,InputData!$D$163+InputData!$C$164*(IU19-InputData!$B$163),IF(IU19&lt;=InputData!$B$165,InputData!$D$164+InputData!$C$165*(IU19-InputData!$B$164),InputData!$D$165+InputData!$C$166*(IU19-InputData!$B$165)))))</f>
        <v>0</v>
      </c>
      <c r="JC19" s="43">
        <f t="shared" si="103"/>
        <v>0.28743841501827788</v>
      </c>
      <c r="JD19" s="43">
        <f t="shared" si="104"/>
        <v>0.28743841501827788</v>
      </c>
      <c r="JE19" s="5">
        <f t="shared" si="105"/>
        <v>135276.17167209441</v>
      </c>
      <c r="JF19" s="32">
        <f>JE19/((1+InputData!$C$7)^(Ophtha!$B19-Ophtha!$B$7))</f>
        <v>94879.985080337647</v>
      </c>
      <c r="JG19" s="5">
        <f t="shared" si="106"/>
        <v>661028.00888502866</v>
      </c>
      <c r="JI19" s="41" t="str">
        <f t="shared" si="32"/>
        <v>Private Practice</v>
      </c>
      <c r="JJ19" s="5">
        <f t="shared" si="33"/>
        <v>267521.35197684739</v>
      </c>
      <c r="JK19" s="32">
        <v>0</v>
      </c>
      <c r="JL19" s="32">
        <f t="shared" si="108"/>
        <v>267521.35197684739</v>
      </c>
      <c r="JM19" s="32">
        <f>JM18*(1+InputData!$C$8)</f>
        <v>14572.09821952365</v>
      </c>
      <c r="JN19" s="32">
        <f>JJ19/((1+InputData!$C$3)^(Ophtha!$B19-Ophtha!$B$7))</f>
        <v>210938.76035612242</v>
      </c>
      <c r="JO19" s="32">
        <f>JK19/((1+InputData!$C$3)^(Ophtha!$B19-Ophtha!$B$7))</f>
        <v>0</v>
      </c>
      <c r="JP19" s="32" t="s">
        <v>141</v>
      </c>
      <c r="JQ19" s="32">
        <v>0</v>
      </c>
      <c r="JR19" s="32">
        <f t="shared" si="172"/>
        <v>0</v>
      </c>
      <c r="JS19" s="32">
        <f>(JR19)*InputData!$C$6</f>
        <v>0</v>
      </c>
      <c r="JT19" s="32">
        <f>MIN($BE$15*InputData!$C$6/(1-(1+InputData!$C$6)^(-10)), JR19+JS19)</f>
        <v>0</v>
      </c>
      <c r="JU19" s="32">
        <f t="shared" si="148"/>
        <v>0</v>
      </c>
      <c r="JV19" s="32">
        <f>JT19/((1+InputData!$C$3)^(Ophtha!$B19-Ophtha!$B$7))</f>
        <v>0</v>
      </c>
      <c r="JW19" s="32">
        <f>IF(JN19-InputData!$C$158-InputData!$C$159&gt;=0,JN19-InputData!$C$158-InputData!$C$159,0)</f>
        <v>210938.76035612242</v>
      </c>
      <c r="JX19" s="32">
        <f>IF(JN19-IF(JN19&lt;=InputData!$C$146,InputData!$C$145,0)-MAX(InputData!$C$144,KD19)&gt;=0,JN19-IF(JN19&lt;=InputData!$C$146,InputData!$C$145,0)-MAX(InputData!$C$144,KD19),0)</f>
        <v>204838.76035612242</v>
      </c>
      <c r="JY19" s="32">
        <f>IF(JX19&lt;0,"Error",IF(JX19&lt;=InputData!$B$170,InputData!$C$170*JX19,IF(JX19&lt;=InputData!$B$171,InputData!$D$170+InputData!$C$171*(JX19-InputData!$B$170),IF(JX19&lt;=InputData!$B$172,InputData!$D$171+InputData!$C$172*(JX19-InputData!$B$171),IF(JX19&lt;=InputData!$B$173,InputData!$D$172+InputData!$C$173*(JX19-InputData!$B$172),IF(JX19&lt;=InputData!$B$174,InputData!$D$173+InputData!$C$174*(JX19-InputData!$B$173),IF(JX19&lt;=InputData!$B$175,InputData!$D$174+InputData!$C$175*(JX19-InputData!$B$174),InputData!$D$175+InputData!$C$176*(JX19-InputData!$B$175))))))))</f>
        <v>51727.540917520397</v>
      </c>
      <c r="JZ19" s="32">
        <f>IF(JN19&lt;=InputData!$C$150,InputData!$C$152,IF(JN19&lt;InputData!$C$151,IF(InputData!$C$152-0.25*IF(JN19-InputData!$C$150&lt;=0,0,JN19-InputData!$C$150)&lt;=0,0,InputData!$C$152-0.25*IF(JN19-InputData!$C$150&lt;=0,0,JN19-InputData!$C$150)),0))</f>
        <v>28015.309910969394</v>
      </c>
      <c r="KA19" s="32">
        <f>IF(JN19-JZ19&lt;=0,0,IF(JN19-JZ19&lt;=InputData!$C$153,InputData!$C$154*(JN19-JZ19),InputData!$C$155*(JN19-JZ19)-InputData!$D$154))</f>
        <v>47628.56612464285</v>
      </c>
      <c r="KB19" s="32">
        <f t="shared" si="109"/>
        <v>51727.540917520397</v>
      </c>
      <c r="KC19" s="32">
        <f>IF(JN19&gt;=0,IF(JN19&lt;=InputData!$C$148,InputData!$C$147*JN19,InputData!$C$147*InputData!$C$148)+InputData!$C$149*JN19,0)</f>
        <v>10108.012025163775</v>
      </c>
      <c r="KD19" s="32">
        <f>IF(JW19&lt;0,0,IF(JW19&lt;=InputData!$B$163,InputData!$C$163*JW19,IF(JW19&lt;=InputData!$B$164,InputData!$D$163+InputData!$C$164*(JW19-InputData!$B$163),IF(JW19&lt;=InputData!$B$165,InputData!$D$164+InputData!$C$165*(JW19-InputData!$B$164),InputData!$D$165+InputData!$C$166*(JW19-InputData!$B$165)))))</f>
        <v>0</v>
      </c>
      <c r="KE19" s="43">
        <f t="shared" si="34"/>
        <v>0.29314457351645007</v>
      </c>
      <c r="KF19" s="32">
        <f t="shared" si="35"/>
        <v>149103.20741343824</v>
      </c>
      <c r="KG19" s="32">
        <f t="shared" si="110"/>
        <v>149103.20741343824</v>
      </c>
      <c r="KH19" s="32">
        <f>KG19/((1+InputData!$C$7)^(Ophtha!$B19-Ophtha!$B$7))</f>
        <v>104577.98975202534</v>
      </c>
      <c r="KI19" s="5">
        <f t="shared" si="129"/>
        <v>695586.89307224739</v>
      </c>
    </row>
    <row r="20" spans="1:295" ht="14.45" x14ac:dyDescent="0.3">
      <c r="A20" s="4">
        <v>2026</v>
      </c>
      <c r="B20" s="51">
        <v>14</v>
      </c>
      <c r="C20" s="4"/>
      <c r="D20" s="3">
        <v>10</v>
      </c>
      <c r="E20" s="97" t="s">
        <v>21</v>
      </c>
      <c r="F20" s="5">
        <f>InputData!$H$23*12</f>
        <v>73317.600000000006</v>
      </c>
      <c r="G20" s="32">
        <f>(InputData!$H$23+InputData!$F$45+InputData!$C$50)*12+InputData!$J$50</f>
        <v>102317.52</v>
      </c>
      <c r="H20" s="32">
        <f>(InputData!$C$34+InputData!$C$40)*12</f>
        <v>20659.199999999997</v>
      </c>
      <c r="I20" s="32">
        <f t="shared" si="36"/>
        <v>122976.72</v>
      </c>
      <c r="J20" s="32">
        <f>G20*((1+InputData!$C$5)/(1+InputData!$C$3))^(Ophtha!$B20-Ophtha!$B$7)</f>
        <v>90017.227216707513</v>
      </c>
      <c r="K20" s="32">
        <f>H20*((1+InputData!$C$5)/(1+InputData!$C$3))^(Ophtha!$B20-Ophtha!$B$7)</f>
        <v>18175.615481252906</v>
      </c>
      <c r="L20" s="32">
        <f>IF(J20-InputData!$C$158-InputData!$C$159&gt;=0,J20-InputData!$C$158-InputData!$C$159,0)</f>
        <v>90017.227216707513</v>
      </c>
      <c r="M20" s="32">
        <f>IF(J20-IF(J20&lt;=InputData!$C$146,InputData!$C$145,0)-MAX(InputData!$C$144,S20)&gt;=0,J20-IF(J20&lt;=InputData!$C$146,InputData!$C$145,0)-MAX(InputData!$C$144,S20),0)</f>
        <v>80017.227216707513</v>
      </c>
      <c r="N20" s="32">
        <f>IF(M20&lt;0,"Error",IF(M20&lt;=InputData!$B$170,InputData!$C$170*M20,IF(M20&lt;=InputData!$B$171,InputData!$D$170+InputData!$C$171*(M20-InputData!$B$170),IF(M20&lt;=InputData!$B$172,InputData!$D$171+InputData!$C$172*(M20-InputData!$B$171),IF(M20&lt;=InputData!$B$173,InputData!$D$172+InputData!$C$173*(M20-InputData!$B$172),IF(M20&lt;=InputData!$B$174,InputData!$D$173+InputData!$C$174*(M20-InputData!$B$173),IF(M20&lt;=InputData!$B$175,InputData!$D$174+InputData!$C$175*(M20-InputData!$B$174),InputData!$D$175+InputData!$C$176*(M20-InputData!$B$175))))))))</f>
        <v>15933.056804176878</v>
      </c>
      <c r="O20" s="32">
        <f>IF(J20&lt;=InputData!$C$150,InputData!$C$152,IF(J20&lt;InputData!$C$151,IF(InputData!$C$152-0.25*IF(J20-InputData!$C$150&lt;=0,0,J20-InputData!$C$150)&lt;=0,0,InputData!$C$152-0.25*IF(J20-InputData!$C$150&lt;=0,0,J20-InputData!$C$150)),0))</f>
        <v>51900</v>
      </c>
      <c r="P20" s="32">
        <f>IF(J20-O20&lt;=0,0,IF(J20-O20&lt;=InputData!$C$153,InputData!$C$154*(J20-O20),InputData!$C$155*(J20-O20)-InputData!$D$154))</f>
        <v>9910.4790763439541</v>
      </c>
      <c r="Q20" s="32">
        <f t="shared" si="37"/>
        <v>15933.056804176878</v>
      </c>
      <c r="R20" s="32">
        <f>IF(J20&gt;=0,IF(J20&lt;=InputData!$C$148,InputData!$C$147*J20,InputData!$C$147*InputData!$C$148)+InputData!$C$149*J20,0)</f>
        <v>6886.317882078125</v>
      </c>
      <c r="S20" s="32">
        <f>IF(L20&lt;0,0,IF(L20&lt;=InputData!$B$163,InputData!$C$163*L20,IF(L20&lt;=InputData!$B$164,InputData!$D$163+InputData!$C$164*(L20-InputData!$B$163),IF(L20&lt;=InputData!$B$165,InputData!$D$164+InputData!$C$165*(L20-InputData!$B$164),InputData!$D$165+InputData!$C$166*(L20-InputData!$B$165)))))</f>
        <v>0</v>
      </c>
      <c r="T20" s="43">
        <f t="shared" si="38"/>
        <v>0.25350008428186344</v>
      </c>
      <c r="U20" s="43">
        <f t="shared" si="39"/>
        <v>0.21091390259482645</v>
      </c>
      <c r="V20" s="5">
        <f t="shared" si="40"/>
        <v>85373.468011705409</v>
      </c>
      <c r="W20" s="32">
        <f>V20/((1+InputData!$C$7)^(Ophtha!$B20-Ophtha!$B$7))</f>
        <v>58135.17744243551</v>
      </c>
      <c r="X20" s="5">
        <f t="shared" si="111"/>
        <v>776833.3869198251</v>
      </c>
      <c r="Y20" s="53"/>
      <c r="Z20" s="3">
        <v>10</v>
      </c>
      <c r="AA20" s="97" t="s">
        <v>278</v>
      </c>
      <c r="AB20" s="5">
        <f t="shared" si="136"/>
        <v>73317.600000000006</v>
      </c>
      <c r="AC20" s="32">
        <f>G20+InputData!$D$60+InputData!$J$60</f>
        <v>157317.52000000002</v>
      </c>
      <c r="AD20" s="32">
        <f t="shared" si="174"/>
        <v>20659.199999999997</v>
      </c>
      <c r="AE20" s="32">
        <f t="shared" si="41"/>
        <v>177976.72000000003</v>
      </c>
      <c r="AF20" s="5">
        <f>AC20*((1+InputData!$C$5)/(1+InputData!$C$3))^(Ophtha!$B20-Ophtha!$B$7)</f>
        <v>138405.29894595695</v>
      </c>
      <c r="AG20" s="5">
        <f>AD20*((1+InputData!$C$5)/(1+InputData!$C$3))^(Ophtha!$B20-Ophtha!$B$7)</f>
        <v>18175.615481252906</v>
      </c>
      <c r="AH20" s="32">
        <f>IF(AF20-InputData!$C$158-InputData!$C$159&gt;=0,AF20-InputData!$C$158-InputData!$C$159,0)</f>
        <v>138405.29894595695</v>
      </c>
      <c r="AI20" s="32">
        <f>IF(AF20-IF(AF20&lt;=InputData!$C$146,InputData!$C$145,0)-MAX(InputData!$C$144,AO20)&gt;=0,AF20-IF(AF20&lt;=InputData!$C$146,InputData!$C$145,0)-MAX(InputData!$C$144,AO20),0)</f>
        <v>128405.29894595695</v>
      </c>
      <c r="AJ20" s="32">
        <f>IF(AI20&lt;0,"Error",IF(AI20&lt;=InputData!$B$170,InputData!$C$170*AI20,IF(AI20&lt;=InputData!$B$171,InputData!$D$170+InputData!$C$171*(AI20-InputData!$B$170),IF(AI20&lt;=InputData!$B$172,InputData!$D$171+InputData!$C$172*(AI20-InputData!$B$171),IF(AI20&lt;=InputData!$B$173,InputData!$D$172+InputData!$C$173*(AI20-InputData!$B$172),IF(AI20&lt;=InputData!$B$174,InputData!$D$173+InputData!$C$174*(AI20-InputData!$B$173),IF(AI20&lt;=InputData!$B$175,InputData!$D$174+InputData!$C$175*(AI20-InputData!$B$174),InputData!$D$175+InputData!$C$176*(AI20-InputData!$B$175))))))))</f>
        <v>29246.733704867947</v>
      </c>
      <c r="AK20" s="32">
        <f>IF(AF20&lt;=InputData!$C$150,InputData!$C$152,IF(AF20&lt;InputData!$C$151,IF(InputData!$C$152-0.25*IF(AF20-InputData!$C$150&lt;=0,0,AF20-InputData!$C$150)&lt;=0,0,InputData!$C$152-0.25*IF(AF20-InputData!$C$150&lt;=0,0,AF20-InputData!$C$150)),0))</f>
        <v>46148.675263510762</v>
      </c>
      <c r="AL20" s="32">
        <f>IF(AF20-AK20&lt;=0,0,IF(AF20-AK20&lt;=InputData!$C$153,InputData!$C$154*(AF20-AK20),InputData!$C$155*(AF20-AK20)-InputData!$D$154))</f>
        <v>23986.722157436012</v>
      </c>
      <c r="AM20" s="32">
        <f t="shared" si="42"/>
        <v>29246.733704867947</v>
      </c>
      <c r="AN20" s="32">
        <f>IF(AF20&gt;=0,IF(AF20&lt;=InputData!$C$148,InputData!$C$147*AF20,InputData!$C$147*InputData!$C$148)+InputData!$C$149*AF20,0)</f>
        <v>9056.2768347163765</v>
      </c>
      <c r="AO20" s="32">
        <f>IF(AH20&lt;0,0,IF(AH20&lt;=InputData!$B$163,InputData!$C$163*AH20,IF(AH20&lt;=InputData!$B$164,InputData!$D$163+InputData!$C$164*(AH20-InputData!$B$163),IF(AH20&lt;=InputData!$B$165,InputData!$D$164+InputData!$C$165*(AH20-InputData!$B$164),InputData!$D$165+InputData!$C$166*(AH20-InputData!$B$165)))))</f>
        <v>0</v>
      </c>
      <c r="AP20" s="43">
        <f t="shared" si="43"/>
        <v>0.27674526070378624</v>
      </c>
      <c r="AQ20" s="43">
        <f t="shared" si="44"/>
        <v>0.24462119588265874</v>
      </c>
      <c r="AR20" s="5">
        <f t="shared" si="45"/>
        <v>118277.90388762552</v>
      </c>
      <c r="AS20" s="32">
        <f>AR20/((1+InputData!$C$7)^(Ophtha!$B20-Ophtha!$B$7))</f>
        <v>80541.4971438629</v>
      </c>
      <c r="AT20" s="5">
        <f t="shared" si="112"/>
        <v>730451.56207811472</v>
      </c>
      <c r="AU20" s="53"/>
      <c r="AV20" s="41" t="s">
        <v>109</v>
      </c>
      <c r="AW20" s="32">
        <f>$AW$15*(1+InputData!$C$3+InputData!$C$4)^(Ophtha!$B20-Ophtha!$B$17)</f>
        <v>275546.99253615283</v>
      </c>
      <c r="AX20" s="32">
        <v>0</v>
      </c>
      <c r="AY20" s="32">
        <f t="shared" si="47"/>
        <v>275546.99253615283</v>
      </c>
      <c r="AZ20" s="32">
        <f>AZ19*(1+InputData!$C$8)</f>
        <v>14863.540183914123</v>
      </c>
      <c r="BA20" s="32">
        <f>AW20/((1+InputData!$C$3)^(Ophtha!$B20-Ophtha!$B$7))</f>
        <v>213006.78741843739</v>
      </c>
      <c r="BB20" s="32">
        <f>AX20/((1+InputData!$C$3)^(Ophtha!$B20-Ophtha!$B$7))</f>
        <v>0</v>
      </c>
      <c r="BC20" s="32" t="s">
        <v>141</v>
      </c>
      <c r="BD20" s="32">
        <v>0</v>
      </c>
      <c r="BE20" s="32">
        <f t="shared" si="158"/>
        <v>148620.54093827397</v>
      </c>
      <c r="BF20" s="32">
        <f>(BE20)*InputData!$C$6</f>
        <v>9229.3355922668143</v>
      </c>
      <c r="BG20" s="32">
        <f>MIN($BE$15*InputData!$C$6/(1-(1+InputData!$C$6)^(-10)), BE20+BF20)</f>
        <v>35483.780349040731</v>
      </c>
      <c r="BH20" s="32">
        <f t="shared" si="140"/>
        <v>122366.09618150006</v>
      </c>
      <c r="BI20" s="32">
        <f>BG20/((1+InputData!$C$3)^(Ophtha!$B20-Ophtha!$B$7))</f>
        <v>27430.116322605005</v>
      </c>
      <c r="BJ20" s="32">
        <f>IF(BA20-InputData!$C$158-InputData!$C$159&gt;=0,BA20-InputData!$C$158-InputData!$C$159,0)</f>
        <v>213006.78741843739</v>
      </c>
      <c r="BK20" s="32">
        <f>IF(BA20-IF(BA20&lt;=InputData!$C$146,InputData!$C$145,0)-MAX(InputData!$C$144,BQ20)&gt;=0,BA20-IF(BA20&lt;=InputData!$C$146,InputData!$C$145,0)-MAX(InputData!$C$144,BQ20),0)</f>
        <v>206906.78741843739</v>
      </c>
      <c r="BL20" s="32">
        <f>IF(BK20&lt;0,"Error",IF(BK20&lt;=InputData!$B$170,InputData!$C$170*BK20,IF(BK20&lt;=InputData!$B$171,InputData!$D$170+InputData!$C$171*(BK20-InputData!$B$170),IF(BK20&lt;=InputData!$B$172,InputData!$D$171+InputData!$C$172*(BK20-InputData!$B$171),IF(BK20&lt;=InputData!$B$173,InputData!$D$172+InputData!$C$173*(BK20-InputData!$B$172),IF(BK20&lt;=InputData!$B$174,InputData!$D$173+InputData!$C$174*(BK20-InputData!$B$173),IF(BK20&lt;=InputData!$B$175,InputData!$D$174+InputData!$C$175*(BK20-InputData!$B$174),InputData!$D$175+InputData!$C$176*(BK20-InputData!$B$175))))))))</f>
        <v>52409.98984808434</v>
      </c>
      <c r="BM20" s="32">
        <f>IF(BA20&lt;=InputData!$C$150,InputData!$C$152,IF(BA20&lt;InputData!$C$151,IF(InputData!$C$152-0.25*IF(BA20-InputData!$C$150&lt;=0,0,BA20-InputData!$C$150)&lt;=0,0,InputData!$C$152-0.25*IF(BA20-InputData!$C$150&lt;=0,0,BA20-InputData!$C$150)),0))</f>
        <v>27498.303145390651</v>
      </c>
      <c r="BN20" s="32">
        <f>IF(BA20-BM20&lt;=0,0,IF(BA20-BM20&lt;=InputData!$C$153,InputData!$C$154*(BA20-BM20),InputData!$C$155*(BA20-BM20)-InputData!$D$154))</f>
        <v>48352.375596453094</v>
      </c>
      <c r="BO20" s="32">
        <f t="shared" si="48"/>
        <v>52409.98984808434</v>
      </c>
      <c r="BP20" s="32">
        <f>IF(BA20&gt;=0,IF(BA20&lt;=InputData!$C$148,InputData!$C$147*BA20,InputData!$C$147*InputData!$C$148)+InputData!$C$149*BA20,0)</f>
        <v>10137.998417567342</v>
      </c>
      <c r="BQ20" s="32">
        <f>IF(BJ20&lt;0,0,IF(BJ20&lt;=InputData!$B$163,InputData!$C$163*BJ20,IF(BJ20&lt;=InputData!$B$164,InputData!$D$163+InputData!$C$164*(BJ20-InputData!$B$163),IF(BJ20&lt;=InputData!$B$165,InputData!$D$164+InputData!$C$165*(BJ20-InputData!$B$164),InputData!$D$165+InputData!$C$166*(BJ20-InputData!$B$165)))))</f>
        <v>0</v>
      </c>
      <c r="BR20" s="43">
        <f t="shared" si="49"/>
        <v>0.29364316989007683</v>
      </c>
      <c r="BS20" s="32">
        <f t="shared" si="50"/>
        <v>150458.79915278571</v>
      </c>
      <c r="BT20" s="32">
        <f t="shared" si="51"/>
        <v>123028.68283018071</v>
      </c>
      <c r="BU20" s="32">
        <f>BT20/((1+InputData!$C$7)^(Ophtha!$B20-Ophtha!$B$7))</f>
        <v>83776.546430807241</v>
      </c>
      <c r="BV20" s="5">
        <f t="shared" si="114"/>
        <v>479932.63217074517</v>
      </c>
      <c r="BW20" s="5"/>
      <c r="BX20" s="32" t="s">
        <v>141</v>
      </c>
      <c r="BY20" s="5">
        <f t="shared" si="159"/>
        <v>232683.85267137212</v>
      </c>
      <c r="BZ20" s="32">
        <f>(BY20)*InputData!$C$6</f>
        <v>14449.667250892209</v>
      </c>
      <c r="CA20" s="32">
        <f>MIN($BY$15*InputData!$C$6/(1-(1+InputData!$C$6)^(-25)), BY20+BZ20)</f>
        <v>20633.642137763909</v>
      </c>
      <c r="CB20" s="32">
        <f t="shared" si="160"/>
        <v>226499.87778450042</v>
      </c>
      <c r="CC20" s="32">
        <f>CA20/((1+InputData!$C$3)^(Ophtha!$B20-Ophtha!$B$7))</f>
        <v>15950.476483353865</v>
      </c>
      <c r="CD20" s="5">
        <f t="shared" si="55"/>
        <v>134508.32266943186</v>
      </c>
      <c r="CE20" s="32">
        <f>CD20/((1+InputData!$C$7)^(Ophtha!$B20-Ophtha!$B$7))</f>
        <v>91593.622561984375</v>
      </c>
      <c r="CF20" s="5">
        <f t="shared" si="115"/>
        <v>533184.04140914371</v>
      </c>
      <c r="CG20" s="5"/>
      <c r="CH20" s="32" t="s">
        <v>141</v>
      </c>
      <c r="CI20" s="5">
        <f t="shared" si="161"/>
        <v>152627.47857708347</v>
      </c>
      <c r="CJ20" s="32">
        <f>(CI20)*InputData!$C$6</f>
        <v>9478.1664196368838</v>
      </c>
      <c r="CK20" s="5">
        <f t="shared" si="162"/>
        <v>35483.780349040731</v>
      </c>
      <c r="CL20" s="32">
        <f t="shared" si="163"/>
        <v>126621.86464767964</v>
      </c>
      <c r="CM20" s="32">
        <f>CK20/((1+InputData!$C$3)^(Ophtha!$B20-Ophtha!$B$7))</f>
        <v>27430.116322605005</v>
      </c>
      <c r="CN20" s="5">
        <f t="shared" si="59"/>
        <v>123028.68283018071</v>
      </c>
      <c r="CO20" s="32">
        <f>CN20/((1+InputData!$C$7)^(Ophtha!$B20-Ophtha!$B$7))</f>
        <v>83776.546430807241</v>
      </c>
      <c r="CP20" s="5">
        <f t="shared" si="149"/>
        <v>482077.67948202114</v>
      </c>
      <c r="CQ20" s="5"/>
      <c r="CR20" s="32" t="s">
        <v>141</v>
      </c>
      <c r="CS20" s="5">
        <f t="shared" si="164"/>
        <v>217151.66288886336</v>
      </c>
      <c r="CT20" s="32">
        <f>(CS20)*InputData!$C$6</f>
        <v>13485.118265398414</v>
      </c>
      <c r="CU20" s="32">
        <f t="shared" si="165"/>
        <v>25325.168226028167</v>
      </c>
      <c r="CV20" s="32">
        <f t="shared" si="166"/>
        <v>205311.61292823363</v>
      </c>
      <c r="CW20" s="32">
        <f>CU20/((1+InputData!$C$3)^(Ophtha!$B20-Ophtha!$B$7))</f>
        <v>19577.178741843738</v>
      </c>
      <c r="CX20" s="5">
        <f t="shared" si="63"/>
        <v>130881.62041094198</v>
      </c>
      <c r="CY20" s="32">
        <f>CX20/((1+InputData!$C$7)^(Ophtha!$B20-Ophtha!$B$7))</f>
        <v>89124.0147993094</v>
      </c>
      <c r="CZ20" s="5">
        <f t="shared" si="150"/>
        <v>522293.24576395075</v>
      </c>
      <c r="DA20" s="5"/>
      <c r="DB20" s="32" t="s">
        <v>141</v>
      </c>
      <c r="DC20" s="5">
        <f t="shared" si="141"/>
        <v>40363.836363105132</v>
      </c>
      <c r="DD20" s="5">
        <f>DC20*InputData!$C$6</f>
        <v>2506.5942381488289</v>
      </c>
      <c r="DE20" s="32">
        <f t="shared" si="142"/>
        <v>29148.379963889372</v>
      </c>
      <c r="DF20" s="32">
        <f t="shared" si="143"/>
        <v>13722.050637364588</v>
      </c>
      <c r="DG20" s="32">
        <f>DE20/((1+InputData!$C$3)^(Ophtha!$B20-Ophtha!$B$7))</f>
        <v>22532.645765478293</v>
      </c>
      <c r="DH20" s="5">
        <f t="shared" si="67"/>
        <v>127926.15338730742</v>
      </c>
      <c r="DI20" s="32">
        <f>DH20/((1+InputData!$C$7)^(Ophtha!$B20-Ophtha!$B$7))</f>
        <v>87111.485569259807</v>
      </c>
      <c r="DJ20" s="5">
        <f t="shared" si="130"/>
        <v>425605.5577834837</v>
      </c>
      <c r="DK20" s="5"/>
      <c r="DL20" s="32" t="s">
        <v>141</v>
      </c>
      <c r="DM20" s="32">
        <f t="shared" si="167"/>
        <v>151867.98736574606</v>
      </c>
      <c r="DN20" s="5">
        <f>DM20*InputData!$C$6</f>
        <v>9431.0020154128306</v>
      </c>
      <c r="DO20" s="32">
        <f t="shared" si="168"/>
        <v>0</v>
      </c>
      <c r="DP20" s="32">
        <f t="shared" si="131"/>
        <v>29148.379963889372</v>
      </c>
      <c r="DQ20" s="32">
        <f t="shared" si="132"/>
        <v>132150.60941726953</v>
      </c>
      <c r="DR20" s="32">
        <f>DP20/((1+InputData!$C$3)^(Ophtha!$B20-Ophtha!$B$7))</f>
        <v>22532.645765478293</v>
      </c>
      <c r="DS20" s="5">
        <f t="shared" si="71"/>
        <v>127926.15338730742</v>
      </c>
      <c r="DT20" s="32">
        <f>DS20/((1+InputData!$C$7)^(Ophtha!$B20-Ophtha!$B$7))</f>
        <v>87111.485569259807</v>
      </c>
      <c r="DU20" s="5">
        <f t="shared" si="133"/>
        <v>484314.94240220822</v>
      </c>
      <c r="DV20" s="5"/>
      <c r="DW20" s="32" t="s">
        <v>141</v>
      </c>
      <c r="DX20" s="133">
        <f t="shared" si="144"/>
        <v>190716.97875626845</v>
      </c>
      <c r="DY20" s="5">
        <f>DX20*InputData!$C$6</f>
        <v>11843.524380764271</v>
      </c>
      <c r="DZ20" s="133">
        <f t="shared" si="145"/>
        <v>0</v>
      </c>
      <c r="EA20" s="32">
        <f t="shared" si="146"/>
        <v>25325.168226028167</v>
      </c>
      <c r="EB20" s="32">
        <f t="shared" si="147"/>
        <v>177235.33491100458</v>
      </c>
      <c r="EC20" s="32">
        <f>EA20/((1+InputData!$C$3)^(Ophtha!$B20-Ophtha!$B$7))</f>
        <v>19577.178741843738</v>
      </c>
      <c r="ED20" s="5">
        <f t="shared" si="75"/>
        <v>130881.62041094198</v>
      </c>
      <c r="EE20" s="32">
        <f>ED20/((1+InputData!$C$7)^(Ophtha!$B20-Ophtha!$B$7))</f>
        <v>89124.0147993094</v>
      </c>
      <c r="EF20" s="5">
        <f t="shared" si="134"/>
        <v>510069.29282367381</v>
      </c>
      <c r="EG20" s="32"/>
      <c r="EH20" s="133" t="s">
        <v>141</v>
      </c>
      <c r="EI20" s="32">
        <v>0</v>
      </c>
      <c r="EJ20" s="32">
        <f t="shared" si="175"/>
        <v>219136.18073154657</v>
      </c>
      <c r="EK20" s="32">
        <f>(EJ20)*InputData!$C$6</f>
        <v>13608.356823429043</v>
      </c>
      <c r="EL20" s="32">
        <f t="shared" si="173"/>
        <v>207419.36932894745</v>
      </c>
      <c r="EM20" s="32">
        <f>EM19*(1+InputData!$C$8)</f>
        <v>14863.540183914123</v>
      </c>
      <c r="EN20" s="32">
        <f t="shared" si="152"/>
        <v>25325.168226028167</v>
      </c>
      <c r="EO20" s="32">
        <f>AW20/((1+InputData!$C$3)^(Ophtha!$B20-Ophtha!$B$7))</f>
        <v>213006.78741843739</v>
      </c>
      <c r="EP20" s="32">
        <f>AX20/((1+InputData!$C$3)^(Ophtha!$B20-Ophtha!$B$7))</f>
        <v>0</v>
      </c>
      <c r="EQ20" s="32">
        <v>52328.98</v>
      </c>
      <c r="ER20" s="32">
        <v>8845.7099999999991</v>
      </c>
      <c r="ES20" s="32">
        <v>0</v>
      </c>
      <c r="ET20" s="43">
        <f t="shared" si="139"/>
        <v>0.28719596563759481</v>
      </c>
      <c r="EU20" s="32">
        <f t="shared" si="76"/>
        <v>151832.09741843739</v>
      </c>
      <c r="EV20" s="32">
        <f>EN20/((1+InputData!$C$3)^(Ophtha!$B20-Ophtha!$B$7))</f>
        <v>19577.178741843738</v>
      </c>
      <c r="EW20" s="32">
        <f t="shared" si="77"/>
        <v>132254.91867659366</v>
      </c>
      <c r="EX20" s="32">
        <f>EW20/((1+InputData!$C$7)^(Ophtha!$B20-Ophtha!$B$7))</f>
        <v>90059.164093515225</v>
      </c>
      <c r="EY20" s="5">
        <f t="shared" si="124"/>
        <v>603825.09281763562</v>
      </c>
      <c r="EZ20" s="79"/>
      <c r="FA20" s="32">
        <f t="shared" si="153"/>
        <v>149464.4656539628</v>
      </c>
      <c r="FB20" s="32">
        <f>FA20*InputData!$C$6</f>
        <v>9281.7433171110897</v>
      </c>
      <c r="FC20" s="32">
        <f t="shared" si="154"/>
        <v>123060.93804035735</v>
      </c>
      <c r="FD20" s="32">
        <f>MIN($EJ$15*InputData!$C$6/(1-(1+InputData!$C$6)^(-10)), FA20+FB20)</f>
        <v>35685.270930716564</v>
      </c>
      <c r="FE20" s="32">
        <f>FD20/((1+InputData!$C$3)^(Ophtha!$B20-Ophtha!$B$7))</f>
        <v>27585.875095737723</v>
      </c>
      <c r="FF20" s="5">
        <f t="shared" si="81"/>
        <v>124246.22232269967</v>
      </c>
      <c r="FG20" s="32">
        <f>FF20/((1+InputData!$C$7)^(Ophtha!$B20-Ophtha!$B$7))</f>
        <v>84605.631579732639</v>
      </c>
      <c r="FH20" s="5">
        <f t="shared" si="125"/>
        <v>560741.9500957547</v>
      </c>
      <c r="FI20" s="79"/>
      <c r="FJ20" s="32">
        <f t="shared" si="155"/>
        <v>234005.12127241047</v>
      </c>
      <c r="FK20" s="32">
        <f>FJ20*InputData!$C$6</f>
        <v>14531.718031016691</v>
      </c>
      <c r="FL20" s="32">
        <f t="shared" si="170"/>
        <v>227786.03139258234</v>
      </c>
      <c r="FM20" s="32">
        <f>MIN($EJ$15*InputData!$C$6/(1-(1+InputData!$C$6)^(-25)), FJ20+FK20)</f>
        <v>20750.807910844829</v>
      </c>
      <c r="FN20" s="32">
        <f>FM20/((1+InputData!$C$3)^(Ophtha!$B20-Ophtha!$B$7))</f>
        <v>16041.049436771566</v>
      </c>
      <c r="FO20" s="5">
        <f t="shared" si="85"/>
        <v>135791.04798166582</v>
      </c>
      <c r="FP20" s="32">
        <f>FO20/((1+InputData!$C$7)^(Ophtha!$B20-Ophtha!$B$7))</f>
        <v>92467.096082193253</v>
      </c>
      <c r="FQ20" s="5">
        <f t="shared" si="126"/>
        <v>614295.74136101059</v>
      </c>
      <c r="FR20" s="79"/>
      <c r="FS20" s="32">
        <f t="shared" si="156"/>
        <v>154196.50269129293</v>
      </c>
      <c r="FT20" s="32">
        <f>FS20*InputData!$C$6</f>
        <v>9575.602817129291</v>
      </c>
      <c r="FU20" s="32">
        <f t="shared" si="171"/>
        <v>128086.83457770565</v>
      </c>
      <c r="FV20" s="5">
        <f t="shared" si="157"/>
        <v>35685.270930716564</v>
      </c>
      <c r="FW20" s="32">
        <f>FV20/((1+InputData!$C$3)^(Ophtha!$B20-Ophtha!$B$7))</f>
        <v>27585.875095737723</v>
      </c>
      <c r="FX20" s="5">
        <f t="shared" si="88"/>
        <v>124246.22232269967</v>
      </c>
      <c r="FY20" s="32">
        <f>FX20/((1+InputData!$C$7)^(Ophtha!$B20-Ophtha!$B$7))</f>
        <v>84605.631579732639</v>
      </c>
      <c r="FZ20" s="5">
        <f t="shared" si="127"/>
        <v>563274.96200021612</v>
      </c>
      <c r="GC20" s="3">
        <f t="shared" si="2"/>
        <v>10</v>
      </c>
      <c r="GD20" s="4" t="str">
        <f t="shared" si="3"/>
        <v>Service (O4&gt;8 = (BP+BAH+BAS+VSP+BCPSP)*12)+ASP</v>
      </c>
      <c r="GE20" s="5">
        <f t="shared" si="4"/>
        <v>102317.52</v>
      </c>
      <c r="GF20" s="5">
        <f t="shared" si="5"/>
        <v>20659.199999999997</v>
      </c>
      <c r="GG20" s="5">
        <f t="shared" si="6"/>
        <v>122976.72</v>
      </c>
      <c r="GH20" s="5">
        <f t="shared" si="7"/>
        <v>90017.227216707513</v>
      </c>
      <c r="GI20" s="5">
        <f t="shared" si="8"/>
        <v>18175.615481252906</v>
      </c>
      <c r="GJ20" s="32">
        <f>IF(GH20-InputData!$C$158-InputData!$C$159&gt;=0,GH20-InputData!$C$158-InputData!$C$159,0)</f>
        <v>90017.227216707513</v>
      </c>
      <c r="GK20" s="32">
        <f>IF(GH20-IF(GH20&lt;=InputData!$C$146,InputData!$C$145,0)-MAX(InputData!$C$144,GQ20)&gt;=0,GH20-IF(GH20&lt;=InputData!$C$146,InputData!$C$145,0)-MAX(InputData!$C$144,GQ20),0)</f>
        <v>80017.227216707513</v>
      </c>
      <c r="GL20" s="32">
        <f>IF(GK20&lt;0,"Error",IF(GK20&lt;=InputData!$B$170,InputData!$C$170*GK20,IF(GK20&lt;=InputData!$B$171,InputData!$D$170+InputData!$C$171*(GK20-InputData!$B$170),IF(GK20&lt;=InputData!$B$172,InputData!$D$171+InputData!$C$172*(GK20-InputData!$B$171),IF(GK20&lt;=InputData!$B$173,InputData!$D$172+InputData!$C$173*(GK20-InputData!$B$172),IF(GK20&lt;=InputData!$B$174,InputData!$D$173+InputData!$C$174*(GK20-InputData!$B$173),IF(GK20&lt;=InputData!$B$175,InputData!$D$174+InputData!$C$175*(GK20-InputData!$B$174),InputData!$D$175+InputData!$C$176*(GK20-InputData!$B$175))))))))</f>
        <v>15933.056804176878</v>
      </c>
      <c r="GM20" s="32">
        <f>IF(GH20&lt;=InputData!$C$150,InputData!$C$152,IF(GH20&lt;InputData!$C$151,IF(InputData!$C$152-0.25*IF(GH20-InputData!$C$150&lt;=0,0,GH20-InputData!$C$150)&lt;=0,0,InputData!$C$152-0.25*IF(GH20-InputData!$C$150&lt;=0,0,GH20-InputData!$C$150)),0))</f>
        <v>51900</v>
      </c>
      <c r="GN20" s="32">
        <f>IF(GH20-GM20&lt;=0,0,IF(GH20-GM20&lt;=InputData!$C$153,InputData!$C$154*(GH20-GM20),InputData!$C$155*(GH20-GM20)-InputData!$D$154))</f>
        <v>9910.4790763439541</v>
      </c>
      <c r="GO20" s="32">
        <f t="shared" si="89"/>
        <v>15933.056804176878</v>
      </c>
      <c r="GP20" s="32">
        <f>IF(GH20&gt;=0,IF(GH20&lt;=InputData!$C$148,InputData!$C$147*GH20,InputData!$C$147*InputData!$C$148)+InputData!$C$149*GH20,0)</f>
        <v>6886.317882078125</v>
      </c>
      <c r="GQ20" s="32">
        <f>IF(GJ20&lt;0,0,IF(GJ20&lt;=InputData!$B$163,InputData!$C$163*GJ20,IF(GJ20&lt;=InputData!$B$164,InputData!$D$163+InputData!$C$164*(GJ20-InputData!$B$163),IF(GJ20&lt;=InputData!$B$165,InputData!$D$164+InputData!$C$165*(GJ20-InputData!$B$164),InputData!$D$165+InputData!$C$166*(GJ20-InputData!$B$165)))))</f>
        <v>0</v>
      </c>
      <c r="GR20" s="43">
        <f t="shared" si="90"/>
        <v>0.25350008428186344</v>
      </c>
      <c r="GS20" s="43">
        <f t="shared" si="91"/>
        <v>0.21091390259482645</v>
      </c>
      <c r="GT20" s="5">
        <f t="shared" si="9"/>
        <v>85373.468011705409</v>
      </c>
      <c r="GU20" s="32">
        <f>GT20/((1+InputData!$C$7)^(Ophtha!$B20-Ophtha!$B$7))</f>
        <v>58135.17744243551</v>
      </c>
      <c r="GV20" s="32">
        <f t="shared" si="92"/>
        <v>776833.3869198251</v>
      </c>
      <c r="GX20" s="3">
        <f t="shared" si="10"/>
        <v>10</v>
      </c>
      <c r="GY20" s="122" t="str">
        <f t="shared" si="11"/>
        <v>Multi-Year (O4&gt;8 = (BP+BAH+BAS+VSP+BCPSP)*12+ASP)+ISP+MSP</v>
      </c>
      <c r="GZ20" s="5">
        <f t="shared" si="12"/>
        <v>157317.52000000002</v>
      </c>
      <c r="HA20" s="5">
        <f t="shared" si="13"/>
        <v>20659.199999999997</v>
      </c>
      <c r="HB20" s="5">
        <f t="shared" si="14"/>
        <v>177976.72000000003</v>
      </c>
      <c r="HC20" s="5">
        <f t="shared" si="15"/>
        <v>138405.29894595695</v>
      </c>
      <c r="HD20" s="5">
        <f t="shared" si="16"/>
        <v>18175.615481252906</v>
      </c>
      <c r="HE20" s="32">
        <f>IF(HC20-InputData!$C$158-InputData!$C$159&gt;=0,HC20-InputData!$C$158-InputData!$C$159,0)</f>
        <v>138405.29894595695</v>
      </c>
      <c r="HF20" s="32">
        <f>IF(HC20-IF(HC20&lt;=InputData!$C$146,InputData!$C$145,0)-MAX(InputData!$C$144,HL20)&gt;=0,HC20-IF(HC20&lt;=InputData!$C$146,InputData!$C$145,0)-MAX(InputData!$C$144,HL20),0)</f>
        <v>128405.29894595695</v>
      </c>
      <c r="HG20" s="32">
        <f>IF(HF20&lt;0,"Error",IF(HF20&lt;=InputData!$B$170,InputData!$C$170*HF20,IF(HF20&lt;=InputData!$B$171,InputData!$D$170+InputData!$C$171*(HF20-InputData!$B$170),IF(HF20&lt;=InputData!$B$172,InputData!$D$171+InputData!$C$172*(HF20-InputData!$B$171),IF(HF20&lt;=InputData!$B$173,InputData!$D$172+InputData!$C$173*(HF20-InputData!$B$172),IF(HF20&lt;=InputData!$B$174,InputData!$D$173+InputData!$C$174*(HF20-InputData!$B$173),IF(HF20&lt;=InputData!$B$175,InputData!$D$174+InputData!$C$175*(HF20-InputData!$B$174),InputData!$D$175+InputData!$C$176*(HF20-InputData!$B$175))))))))</f>
        <v>29246.733704867947</v>
      </c>
      <c r="HH20" s="32">
        <f>IF(HC20&lt;=InputData!$C$150,InputData!$C$152,IF(HC20&lt;InputData!$C$151,IF(InputData!$C$152-0.25*IF(HC20-InputData!$C$150&lt;=0,0,HC20-InputData!$C$150)&lt;=0,0,InputData!$C$152-0.25*IF(HC20-InputData!$C$150&lt;=0,0,HC20-InputData!$C$150)),0))</f>
        <v>46148.675263510762</v>
      </c>
      <c r="HI20" s="32">
        <f>IF(HC20-HH20&lt;=0,0,IF(HC20-HH20&lt;=InputData!$C$153,InputData!$C$154*(HC20-HH20),InputData!$C$155*(HC20-HH20)-InputData!$D$154))</f>
        <v>23986.722157436012</v>
      </c>
      <c r="HJ20" s="32">
        <f t="shared" si="93"/>
        <v>29246.733704867947</v>
      </c>
      <c r="HK20" s="32">
        <f>IF(HC20&gt;=0,IF(HC20&lt;=InputData!$C$148,InputData!$C$147*HC20,InputData!$C$147*InputData!$C$148)+InputData!$C$149*HC20,0)</f>
        <v>9056.2768347163765</v>
      </c>
      <c r="HL20" s="32">
        <f>IF(HE20&lt;0,0,IF(HE20&lt;=InputData!$B$163,InputData!$C$163*HE20,IF(HE20&lt;=InputData!$B$164,InputData!$D$163+InputData!$C$164*(HE20-InputData!$B$163),IF(HE20&lt;=InputData!$B$165,InputData!$D$164+InputData!$C$165*(HE20-InputData!$B$164),InputData!$D$165+InputData!$C$166*(HE20-InputData!$B$165)))))</f>
        <v>0</v>
      </c>
      <c r="HM20" s="43">
        <f t="shared" si="94"/>
        <v>0.27674526070378624</v>
      </c>
      <c r="HN20" s="43">
        <f t="shared" si="95"/>
        <v>0.24462119588265874</v>
      </c>
      <c r="HO20" s="5">
        <f t="shared" si="17"/>
        <v>118277.90388762552</v>
      </c>
      <c r="HP20" s="32">
        <f>HO20/((1+InputData!$C$7)^(Ophtha!$B20-Ophtha!$B$7))</f>
        <v>80541.4971438629</v>
      </c>
      <c r="HQ20" s="32">
        <f t="shared" si="96"/>
        <v>730451.56207811472</v>
      </c>
      <c r="HS20" s="93">
        <f t="shared" si="18"/>
        <v>10</v>
      </c>
      <c r="HT20" s="5" t="str">
        <f t="shared" si="19"/>
        <v>Service (O4&gt;8 = (BP+BAH+BAS+VSP+BCPSP)*12)+ASP</v>
      </c>
      <c r="HU20" s="5">
        <f t="shared" si="20"/>
        <v>102317.52</v>
      </c>
      <c r="HV20" s="5">
        <f t="shared" si="21"/>
        <v>20659.199999999997</v>
      </c>
      <c r="HW20" s="5">
        <f t="shared" si="22"/>
        <v>122976.72</v>
      </c>
      <c r="HX20" s="5">
        <f t="shared" si="23"/>
        <v>90017.227216707513</v>
      </c>
      <c r="HY20" s="5">
        <f t="shared" si="24"/>
        <v>18175.615481252906</v>
      </c>
      <c r="HZ20" s="32">
        <f>IF(HX20-InputData!$C$158-InputData!$C$159&gt;=0,HX20-InputData!$C$158-InputData!$C$159,0)</f>
        <v>90017.227216707513</v>
      </c>
      <c r="IA20" s="32">
        <f>IF(HX20-IF(HX20&lt;=InputData!$C$146,InputData!$C$145,0)-MAX(InputData!$C$144,IG20)&gt;=0,HX20-IF(HX20&lt;=InputData!$C$146,InputData!$C$145,0)-MAX(InputData!$C$144,IG20),0)</f>
        <v>80017.227216707513</v>
      </c>
      <c r="IB20" s="32">
        <f>IF(IA20&lt;0,"Error",IF(IA20&lt;=InputData!$B$170,InputData!$C$170*IA20,IF(IA20&lt;=InputData!$B$171,InputData!$D$170+InputData!$C$171*(IA20-InputData!$B$170),IF(IA20&lt;=InputData!$B$172,InputData!$D$171+InputData!$C$172*(IA20-InputData!$B$171),IF(IA20&lt;=InputData!$B$173,InputData!$D$172+InputData!$C$173*(IA20-InputData!$B$172),IF(IA20&lt;=InputData!$B$174,InputData!$D$173+InputData!$C$174*(IA20-InputData!$B$173),IF(IA20&lt;=InputData!$B$175,InputData!$D$174+InputData!$C$175*(IA20-InputData!$B$174),InputData!$D$175+InputData!$C$176*(IA20-InputData!$B$175))))))))</f>
        <v>15933.056804176878</v>
      </c>
      <c r="IC20" s="32">
        <f>IF(HX20&lt;=InputData!$C$150,InputData!$C$152,IF(HX20&lt;InputData!$C$151,IF(InputData!$C$152-0.25*IF(HX20-InputData!$C$150&lt;=0,0,HX20-InputData!$C$150)&lt;=0,0,InputData!$C$152-0.25*IF(HX20-InputData!$C$150&lt;=0,0,HX20-InputData!$C$150)),0))</f>
        <v>51900</v>
      </c>
      <c r="ID20" s="32">
        <f>IF(HX20-IC20&lt;=0,0,IF(HX20-IC20&lt;=InputData!$C$153,InputData!$C$154*(HX20-IC20),InputData!$C$155*(HX20-IC20)-InputData!$D$154))</f>
        <v>9910.4790763439541</v>
      </c>
      <c r="IE20" s="32">
        <f t="shared" si="97"/>
        <v>15933.056804176878</v>
      </c>
      <c r="IF20" s="32">
        <f>IF(HX20&gt;=0,IF(HX20&lt;=InputData!$C$148,InputData!$C$147*HX20,InputData!$C$147*InputData!$C$148)+InputData!$C$149*HX20,0)</f>
        <v>6886.317882078125</v>
      </c>
      <c r="IG20" s="32">
        <f>IF(HZ20&lt;0,0,IF(HZ20&lt;=InputData!$B$163,InputData!$C$163*HZ20,IF(HZ20&lt;=InputData!$B$164,InputData!$D$163+InputData!$C$164*(HZ20-InputData!$B$163),IF(HZ20&lt;=InputData!$B$165,InputData!$D$164+InputData!$C$165*(HZ20-InputData!$B$164),InputData!$D$165+InputData!$C$166*(HZ20-InputData!$B$165)))))</f>
        <v>0</v>
      </c>
      <c r="IH20" s="43">
        <f t="shared" si="98"/>
        <v>0.25350008428186344</v>
      </c>
      <c r="II20" s="43">
        <f t="shared" si="99"/>
        <v>0.21091390259482645</v>
      </c>
      <c r="IJ20" s="5">
        <f t="shared" si="100"/>
        <v>85373.468011705409</v>
      </c>
      <c r="IK20" s="32">
        <f>IJ20/((1+InputData!$C$7)^(Ophtha!$B20-Ophtha!$B$7))</f>
        <v>58135.17744243551</v>
      </c>
      <c r="IL20" s="5">
        <f t="shared" si="101"/>
        <v>776833.3869198251</v>
      </c>
      <c r="IN20" s="94"/>
      <c r="IO20" s="53" t="s">
        <v>109</v>
      </c>
      <c r="IP20" s="32">
        <f>MIN(InputData!$C$13+InputData!$E$13*($B20-$B$19),1)*Ophtha!AW20</f>
        <v>247992.29328253755</v>
      </c>
      <c r="IQ20" s="32">
        <f>MIN(InputData!$C$13+InputData!$E$13*($B20-$B$19),1)*Ophtha!AX20</f>
        <v>0</v>
      </c>
      <c r="IR20" s="32">
        <f>MIN(InputData!$C$13+InputData!$E$13*($B20-$B$19),1)*Ophtha!AY20</f>
        <v>247992.29328253755</v>
      </c>
      <c r="IS20" s="32">
        <f>MIN(InputData!$C$13+InputData!$E$13*($B20-$B$19),1)*Ophtha!BA20</f>
        <v>191706.10867659366</v>
      </c>
      <c r="IT20" s="32">
        <f>MIN(InputData!$C$13+InputData!$E$13*($B20-$B$19),1)*Ophtha!BB20</f>
        <v>0</v>
      </c>
      <c r="IU20" s="32">
        <f>IF(IS20-InputData!$C$158-InputData!$C$159&gt;=0,IS20-InputData!$C$158-InputData!$C$159,0)</f>
        <v>191706.10867659366</v>
      </c>
      <c r="IV20" s="32">
        <f>IF(IS20-IF(IS20&lt;=InputData!$C$146,InputData!$C$145,0)-MAX(InputData!$C$144,JB20)&gt;=0,IS20-IF(IS20&lt;=InputData!$C$146,InputData!$C$145,0)-MAX(InputData!$C$144,JB20),0)</f>
        <v>185606.10867659366</v>
      </c>
      <c r="IW20" s="32">
        <f>IF(IV20&lt;0,"Error",IF(IV20&lt;=InputData!$B$170,InputData!$C$170*IV20,IF(IV20&lt;=InputData!$B$171,InputData!$D$170+InputData!$C$171*(IV20-InputData!$B$170),IF(IV20&lt;=InputData!$B$172,InputData!$D$171+InputData!$C$172*(IV20-InputData!$B$171),IF(IV20&lt;=InputData!$B$173,InputData!$D$172+InputData!$C$173*(IV20-InputData!$B$172),IF(IV20&lt;=InputData!$B$174,InputData!$D$173+InputData!$C$174*(IV20-InputData!$B$173),IF(IV20&lt;=InputData!$B$175,InputData!$D$174+InputData!$C$175*(IV20-InputData!$B$174),InputData!$D$175+InputData!$C$176*(IV20-InputData!$B$175))))))))</f>
        <v>45380.765863275912</v>
      </c>
      <c r="IX20" s="32">
        <f>IF(IS20&lt;=InputData!$C$150,InputData!$C$152,IF(IS20&lt;InputData!$C$151,IF(InputData!$C$152-0.25*IF(IS20-InputData!$C$150&lt;=0,0,IS20-InputData!$C$150)&lt;=0,0,InputData!$C$152-0.25*IF(IS20-InputData!$C$150&lt;=0,0,IS20-InputData!$C$150)),0))</f>
        <v>32823.472830851584</v>
      </c>
      <c r="IY20" s="32">
        <f>IF(IS20-IX20&lt;=0,0,IF(IS20-IX20&lt;=InputData!$C$153,InputData!$C$154*(IS20-IX20),InputData!$C$155*(IS20-IX20)-InputData!$D$154))</f>
        <v>41309.485319892941</v>
      </c>
      <c r="IZ20" s="32">
        <f t="shared" si="102"/>
        <v>45380.765863275912</v>
      </c>
      <c r="JA20" s="32">
        <f>IF(IS20&gt;=0,IF(IS20&lt;=InputData!$C$148,InputData!$C$147*IS20,InputData!$C$147*InputData!$C$148)+InputData!$C$149*IS20,0)</f>
        <v>9829.138575810608</v>
      </c>
      <c r="JB20" s="32">
        <f>IF(IU20&lt;0,0,IF(IU20&lt;=InputData!$B$163,InputData!$C$163*IU20,IF(IU20&lt;=InputData!$B$164,InputData!$D$163+InputData!$C$164*(IU20-InputData!$B$163),IF(IU20&lt;=InputData!$B$165,InputData!$D$164+InputData!$C$165*(IU20-InputData!$B$164),InputData!$D$165+InputData!$C$166*(IU20-InputData!$B$165)))))</f>
        <v>0</v>
      </c>
      <c r="JC20" s="43">
        <f t="shared" si="103"/>
        <v>0.28799241098897421</v>
      </c>
      <c r="JD20" s="43">
        <f t="shared" si="104"/>
        <v>0.28799241098897421</v>
      </c>
      <c r="JE20" s="5">
        <f t="shared" si="105"/>
        <v>136496.20423750713</v>
      </c>
      <c r="JF20" s="32">
        <f>JE20/((1+InputData!$C$7)^(Ophtha!$B20-Ophtha!$B$7))</f>
        <v>92947.273179512966</v>
      </c>
      <c r="JG20" s="5">
        <f t="shared" si="106"/>
        <v>753975.28206454159</v>
      </c>
      <c r="JI20" s="41" t="str">
        <f t="shared" si="32"/>
        <v>Private Practice</v>
      </c>
      <c r="JJ20" s="5">
        <f t="shared" si="33"/>
        <v>275546.99253615283</v>
      </c>
      <c r="JK20" s="32">
        <v>0</v>
      </c>
      <c r="JL20" s="32">
        <f t="shared" si="108"/>
        <v>275546.99253615283</v>
      </c>
      <c r="JM20" s="32">
        <f>JM19*(1+InputData!$C$8)</f>
        <v>14863.540183914123</v>
      </c>
      <c r="JN20" s="32">
        <f>JJ20/((1+InputData!$C$3)^(Ophtha!$B20-Ophtha!$B$7))</f>
        <v>213006.78741843739</v>
      </c>
      <c r="JO20" s="32">
        <f>JK20/((1+InputData!$C$3)^(Ophtha!$B20-Ophtha!$B$7))</f>
        <v>0</v>
      </c>
      <c r="JP20" s="32" t="s">
        <v>141</v>
      </c>
      <c r="JQ20" s="32">
        <v>0</v>
      </c>
      <c r="JR20" s="32">
        <f t="shared" si="172"/>
        <v>0</v>
      </c>
      <c r="JS20" s="32">
        <f>(JR20)*InputData!$C$6</f>
        <v>0</v>
      </c>
      <c r="JT20" s="32">
        <f>MIN($BE$15*InputData!$C$6/(1-(1+InputData!$C$6)^(-10)), JR20+JS20)</f>
        <v>0</v>
      </c>
      <c r="JU20" s="32">
        <f t="shared" si="148"/>
        <v>0</v>
      </c>
      <c r="JV20" s="32">
        <f>JT20/((1+InputData!$C$3)^(Ophtha!$B20-Ophtha!$B$7))</f>
        <v>0</v>
      </c>
      <c r="JW20" s="32">
        <f>IF(JN20-InputData!$C$158-InputData!$C$159&gt;=0,JN20-InputData!$C$158-InputData!$C$159,0)</f>
        <v>213006.78741843739</v>
      </c>
      <c r="JX20" s="32">
        <f>IF(JN20-IF(JN20&lt;=InputData!$C$146,InputData!$C$145,0)-MAX(InputData!$C$144,KD20)&gt;=0,JN20-IF(JN20&lt;=InputData!$C$146,InputData!$C$145,0)-MAX(InputData!$C$144,KD20),0)</f>
        <v>206906.78741843739</v>
      </c>
      <c r="JY20" s="32">
        <f>IF(JX20&lt;0,"Error",IF(JX20&lt;=InputData!$B$170,InputData!$C$170*JX20,IF(JX20&lt;=InputData!$B$171,InputData!$D$170+InputData!$C$171*(JX20-InputData!$B$170),IF(JX20&lt;=InputData!$B$172,InputData!$D$171+InputData!$C$172*(JX20-InputData!$B$171),IF(JX20&lt;=InputData!$B$173,InputData!$D$172+InputData!$C$173*(JX20-InputData!$B$172),IF(JX20&lt;=InputData!$B$174,InputData!$D$173+InputData!$C$174*(JX20-InputData!$B$173),IF(JX20&lt;=InputData!$B$175,InputData!$D$174+InputData!$C$175*(JX20-InputData!$B$174),InputData!$D$175+InputData!$C$176*(JX20-InputData!$B$175))))))))</f>
        <v>52409.98984808434</v>
      </c>
      <c r="JZ20" s="32">
        <f>IF(JN20&lt;=InputData!$C$150,InputData!$C$152,IF(JN20&lt;InputData!$C$151,IF(InputData!$C$152-0.25*IF(JN20-InputData!$C$150&lt;=0,0,JN20-InputData!$C$150)&lt;=0,0,InputData!$C$152-0.25*IF(JN20-InputData!$C$150&lt;=0,0,JN20-InputData!$C$150)),0))</f>
        <v>27498.303145390651</v>
      </c>
      <c r="KA20" s="32">
        <f>IF(JN20-JZ20&lt;=0,0,IF(JN20-JZ20&lt;=InputData!$C$153,InputData!$C$154*(JN20-JZ20),InputData!$C$155*(JN20-JZ20)-InputData!$D$154))</f>
        <v>48352.375596453094</v>
      </c>
      <c r="KB20" s="32">
        <f t="shared" si="109"/>
        <v>52409.98984808434</v>
      </c>
      <c r="KC20" s="32">
        <f>IF(JN20&gt;=0,IF(JN20&lt;=InputData!$C$148,InputData!$C$147*JN20,InputData!$C$147*InputData!$C$148)+InputData!$C$149*JN20,0)</f>
        <v>10137.998417567342</v>
      </c>
      <c r="KD20" s="32">
        <f>IF(JW20&lt;0,0,IF(JW20&lt;=InputData!$B$163,InputData!$C$163*JW20,IF(JW20&lt;=InputData!$B$164,InputData!$D$163+InputData!$C$164*(JW20-InputData!$B$163),IF(JW20&lt;=InputData!$B$165,InputData!$D$164+InputData!$C$165*(JW20-InputData!$B$164),InputData!$D$165+InputData!$C$166*(JW20-InputData!$B$165)))))</f>
        <v>0</v>
      </c>
      <c r="KE20" s="43">
        <f t="shared" si="34"/>
        <v>0.29364316989007683</v>
      </c>
      <c r="KF20" s="32">
        <f t="shared" si="35"/>
        <v>150458.79915278571</v>
      </c>
      <c r="KG20" s="32">
        <f t="shared" si="110"/>
        <v>150458.79915278571</v>
      </c>
      <c r="KH20" s="32">
        <f>KG20/((1+InputData!$C$7)^(Ophtha!$B20-Ophtha!$B$7))</f>
        <v>102455.12089685386</v>
      </c>
      <c r="KI20" s="5">
        <f t="shared" si="129"/>
        <v>798042.01396910124</v>
      </c>
    </row>
    <row r="21" spans="1:295" ht="14.45" x14ac:dyDescent="0.3">
      <c r="A21" s="4">
        <v>2027</v>
      </c>
      <c r="B21" s="51">
        <v>15</v>
      </c>
      <c r="C21" s="4"/>
      <c r="D21" s="3">
        <v>11</v>
      </c>
      <c r="E21" s="96" t="s">
        <v>213</v>
      </c>
      <c r="F21" s="5">
        <f>InputData!$I$23*12</f>
        <v>78332.399999999994</v>
      </c>
      <c r="G21" s="32">
        <f>(InputData!$I$23+InputData!$G$45+InputData!$D$50)*12+InputData!$J$50</f>
        <v>107832.23999999999</v>
      </c>
      <c r="H21" s="32">
        <f>(InputData!$C$34+InputData!$C$40)*12</f>
        <v>20659.199999999997</v>
      </c>
      <c r="I21" s="32">
        <f t="shared" si="36"/>
        <v>128491.43999999999</v>
      </c>
      <c r="J21" s="32">
        <f>G21*((1+InputData!$C$5)/(1+InputData!$C$3))^(Ophtha!$B21-Ophtha!$B$7)</f>
        <v>93938.896710946457</v>
      </c>
      <c r="K21" s="32">
        <f>H21*((1+InputData!$C$5)/(1+InputData!$C$3))^(Ophtha!$B21-Ophtha!$B$7)</f>
        <v>17997.423172613169</v>
      </c>
      <c r="L21" s="32">
        <f>IF(J21-InputData!$C$158-InputData!$C$159&gt;=0,J21-InputData!$C$158-InputData!$C$159,0)</f>
        <v>93938.896710946457</v>
      </c>
      <c r="M21" s="32">
        <f>IF(J21-IF(J21&lt;=InputData!$C$146,InputData!$C$145,0)-MAX(InputData!$C$144,S21)&gt;=0,J21-IF(J21&lt;=InputData!$C$146,InputData!$C$145,0)-MAX(InputData!$C$144,S21),0)</f>
        <v>83938.896710946457</v>
      </c>
      <c r="N21" s="32">
        <f>IF(M21&lt;0,"Error",IF(M21&lt;=InputData!$B$170,InputData!$C$170*M21,IF(M21&lt;=InputData!$B$171,InputData!$D$170+InputData!$C$171*(M21-InputData!$B$170),IF(M21&lt;=InputData!$B$172,InputData!$D$171+InputData!$C$172*(M21-InputData!$B$171),IF(M21&lt;=InputData!$B$173,InputData!$D$172+InputData!$C$173*(M21-InputData!$B$172),IF(M21&lt;=InputData!$B$174,InputData!$D$173+InputData!$C$174*(M21-InputData!$B$173),IF(M21&lt;=InputData!$B$175,InputData!$D$174+InputData!$C$175*(M21-InputData!$B$174),InputData!$D$175+InputData!$C$176*(M21-InputData!$B$175))))))))</f>
        <v>16913.474177736614</v>
      </c>
      <c r="O21" s="32">
        <f>IF(J21&lt;=InputData!$C$150,InputData!$C$152,IF(J21&lt;InputData!$C$151,IF(InputData!$C$152-0.25*IF(J21-InputData!$C$150&lt;=0,0,J21-InputData!$C$150)&lt;=0,0,InputData!$C$152-0.25*IF(J21-InputData!$C$150&lt;=0,0,J21-InputData!$C$150)),0))</f>
        <v>51900</v>
      </c>
      <c r="P21" s="32">
        <f>IF(J21-O21&lt;=0,0,IF(J21-O21&lt;=InputData!$C$153,InputData!$C$154*(J21-O21),InputData!$C$155*(J21-O21)-InputData!$D$154))</f>
        <v>10930.11314484608</v>
      </c>
      <c r="Q21" s="32">
        <f t="shared" si="37"/>
        <v>16913.474177736614</v>
      </c>
      <c r="R21" s="32">
        <f>IF(J21&gt;=0,IF(J21&lt;=InputData!$C$148,InputData!$C$147*J21,InputData!$C$147*InputData!$C$148)+InputData!$C$149*J21,0)</f>
        <v>7186.3255983874042</v>
      </c>
      <c r="S21" s="32">
        <f>IF(L21&lt;0,0,IF(L21&lt;=InputData!$B$163,InputData!$C$163*L21,IF(L21&lt;=InputData!$B$164,InputData!$D$163+InputData!$C$164*(L21-InputData!$B$163),IF(L21&lt;=InputData!$B$165,InputData!$D$164+InputData!$C$165*(L21-InputData!$B$164),InputData!$D$165+InputData!$C$166*(L21-InputData!$B$165)))))</f>
        <v>0</v>
      </c>
      <c r="T21" s="43">
        <f t="shared" si="38"/>
        <v>0.2565476136075987</v>
      </c>
      <c r="U21" s="43">
        <f t="shared" si="39"/>
        <v>0.2152991969111861</v>
      </c>
      <c r="V21" s="5">
        <f t="shared" si="40"/>
        <v>87836.520107435616</v>
      </c>
      <c r="W21" s="32">
        <f>V21/((1+InputData!$C$7)^(Ophtha!$B21-Ophtha!$B$7))</f>
        <v>58070.287444170863</v>
      </c>
      <c r="X21" s="5">
        <f t="shared" si="111"/>
        <v>834903.67436399602</v>
      </c>
      <c r="Y21" s="53"/>
      <c r="Z21" s="3">
        <v>11</v>
      </c>
      <c r="AA21" s="97" t="s">
        <v>262</v>
      </c>
      <c r="AB21" s="5">
        <f t="shared" si="136"/>
        <v>78332.399999999994</v>
      </c>
      <c r="AC21" s="32">
        <f>G21+InputData!$D$60+InputData!$J$60</f>
        <v>162832.24</v>
      </c>
      <c r="AD21" s="32">
        <f t="shared" si="174"/>
        <v>20659.199999999997</v>
      </c>
      <c r="AE21" s="32">
        <f t="shared" si="41"/>
        <v>183491.44</v>
      </c>
      <c r="AF21" s="5">
        <f>AC21*((1+InputData!$C$5)/(1+InputData!$C$3))^(Ophtha!$B21-Ophtha!$B$7)</f>
        <v>141852.57558010521</v>
      </c>
      <c r="AG21" s="5">
        <f>AD21*((1+InputData!$C$5)/(1+InputData!$C$3))^(Ophtha!$B21-Ophtha!$B$7)</f>
        <v>17997.423172613169</v>
      </c>
      <c r="AH21" s="32">
        <f>IF(AF21-InputData!$C$158-InputData!$C$159&gt;=0,AF21-InputData!$C$158-InputData!$C$159,0)</f>
        <v>141852.57558010521</v>
      </c>
      <c r="AI21" s="32">
        <f>IF(AF21-IF(AF21&lt;=InputData!$C$146,InputData!$C$145,0)-MAX(InputData!$C$144,AO21)&gt;=0,AF21-IF(AF21&lt;=InputData!$C$146,InputData!$C$145,0)-MAX(InputData!$C$144,AO21),0)</f>
        <v>131852.57558010521</v>
      </c>
      <c r="AJ21" s="32">
        <f>IF(AI21&lt;0,"Error",IF(AI21&lt;=InputData!$B$170,InputData!$C$170*AI21,IF(AI21&lt;=InputData!$B$171,InputData!$D$170+InputData!$C$171*(AI21-InputData!$B$170),IF(AI21&lt;=InputData!$B$172,InputData!$D$171+InputData!$C$172*(AI21-InputData!$B$171),IF(AI21&lt;=InputData!$B$173,InputData!$D$172+InputData!$C$173*(AI21-InputData!$B$172),IF(AI21&lt;=InputData!$B$174,InputData!$D$173+InputData!$C$174*(AI21-InputData!$B$173),IF(AI21&lt;=InputData!$B$175,InputData!$D$174+InputData!$C$175*(AI21-InputData!$B$174),InputData!$D$175+InputData!$C$176*(AI21-InputData!$B$175))))))))</f>
        <v>30211.971162429461</v>
      </c>
      <c r="AK21" s="32">
        <f>IF(AF21&lt;=InputData!$C$150,InputData!$C$152,IF(AF21&lt;InputData!$C$151,IF(InputData!$C$152-0.25*IF(AF21-InputData!$C$150&lt;=0,0,AF21-InputData!$C$150)&lt;=0,0,InputData!$C$152-0.25*IF(AF21-InputData!$C$150&lt;=0,0,AF21-InputData!$C$150)),0))</f>
        <v>45286.856104973696</v>
      </c>
      <c r="AL21" s="32">
        <f>IF(AF21-AK21&lt;=0,0,IF(AF21-AK21&lt;=InputData!$C$153,InputData!$C$154*(AF21-AK21),InputData!$C$155*(AF21-AK21)-InputData!$D$154))</f>
        <v>25107.087063534193</v>
      </c>
      <c r="AM21" s="32">
        <f t="shared" si="42"/>
        <v>30211.971162429461</v>
      </c>
      <c r="AN21" s="32">
        <f>IF(AF21&gt;=0,IF(AF21&lt;=InputData!$C$148,InputData!$C$147*AF21,InputData!$C$147*InputData!$C$148)+InputData!$C$149*AF21,0)</f>
        <v>9106.2623459115257</v>
      </c>
      <c r="AO21" s="32">
        <f>IF(AH21&lt;0,0,IF(AH21&lt;=InputData!$B$163,InputData!$C$163*AH21,IF(AH21&lt;=InputData!$B$164,InputData!$D$163+InputData!$C$164*(AH21-InputData!$B$163),IF(AH21&lt;=InputData!$B$165,InputData!$D$164+InputData!$C$165*(AH21-InputData!$B$164),InputData!$D$165+InputData!$C$166*(AH21-InputData!$B$165)))))</f>
        <v>0</v>
      </c>
      <c r="AP21" s="43">
        <f t="shared" si="43"/>
        <v>0.27717673329193576</v>
      </c>
      <c r="AQ21" s="43">
        <f t="shared" si="44"/>
        <v>0.24596955780503155</v>
      </c>
      <c r="AR21" s="5">
        <f t="shared" si="45"/>
        <v>120531.7652443774</v>
      </c>
      <c r="AS21" s="32">
        <f>AR21/((1+InputData!$C$7)^(Ophtha!$B21-Ophtha!$B$7))</f>
        <v>79685.696169807692</v>
      </c>
      <c r="AT21" s="5">
        <f t="shared" si="112"/>
        <v>810137.25824792241</v>
      </c>
      <c r="AU21" s="53"/>
      <c r="AV21" s="41" t="s">
        <v>109</v>
      </c>
      <c r="AW21" s="32">
        <f>$AW$15*(1+InputData!$C$3+InputData!$C$4)^(Ophtha!$B21-Ophtha!$B$17)</f>
        <v>283813.40231223742</v>
      </c>
      <c r="AX21" s="32">
        <v>0</v>
      </c>
      <c r="AY21" s="32">
        <f t="shared" si="47"/>
        <v>283813.40231223742</v>
      </c>
      <c r="AZ21" s="32">
        <f>AZ20*(1+InputData!$C$8)</f>
        <v>15160.810987592406</v>
      </c>
      <c r="BA21" s="32">
        <f>AW21/((1+InputData!$C$3)^(Ophtha!$B21-Ophtha!$B$7))</f>
        <v>215095.08925587303</v>
      </c>
      <c r="BB21" s="32">
        <f>AX21/((1+InputData!$C$3)^(Ophtha!$B21-Ophtha!$B$7))</f>
        <v>0</v>
      </c>
      <c r="BC21" s="32" t="s">
        <v>141</v>
      </c>
      <c r="BD21" s="32">
        <v>0</v>
      </c>
      <c r="BE21" s="32">
        <f t="shared" si="158"/>
        <v>122366.09618150006</v>
      </c>
      <c r="BF21" s="32">
        <f>(BE21)*InputData!$C$6</f>
        <v>7598.9345728711542</v>
      </c>
      <c r="BG21" s="32">
        <f>MIN($BE$15*InputData!$C$6/(1-(1+InputData!$C$6)^(-10)), BE21+BF21)</f>
        <v>35483.780349040731</v>
      </c>
      <c r="BH21" s="32">
        <f t="shared" si="140"/>
        <v>94481.250405330473</v>
      </c>
      <c r="BI21" s="32">
        <f>BG21/((1+InputData!$C$3)^(Ophtha!$B21-Ophtha!$B$7))</f>
        <v>26892.270904514706</v>
      </c>
      <c r="BJ21" s="32">
        <f>IF(BA21-InputData!$C$158-InputData!$C$159&gt;=0,BA21-InputData!$C$158-InputData!$C$159,0)</f>
        <v>215095.08925587303</v>
      </c>
      <c r="BK21" s="32">
        <f>IF(BA21-IF(BA21&lt;=InputData!$C$146,InputData!$C$145,0)-MAX(InputData!$C$144,BQ21)&gt;=0,BA21-IF(BA21&lt;=InputData!$C$146,InputData!$C$145,0)-MAX(InputData!$C$144,BQ21),0)</f>
        <v>208995.08925587303</v>
      </c>
      <c r="BL21" s="32">
        <f>IF(BK21&lt;0,"Error",IF(BK21&lt;=InputData!$B$170,InputData!$C$170*BK21,IF(BK21&lt;=InputData!$B$171,InputData!$D$170+InputData!$C$171*(BK21-InputData!$B$170),IF(BK21&lt;=InputData!$B$172,InputData!$D$171+InputData!$C$172*(BK21-InputData!$B$171),IF(BK21&lt;=InputData!$B$173,InputData!$D$172+InputData!$C$173*(BK21-InputData!$B$172),IF(BK21&lt;=InputData!$B$174,InputData!$D$173+InputData!$C$174*(BK21-InputData!$B$173),IF(BK21&lt;=InputData!$B$175,InputData!$D$174+InputData!$C$175*(BK21-InputData!$B$174),InputData!$D$175+InputData!$C$176*(BK21-InputData!$B$175))))))))</f>
        <v>53099.129454438102</v>
      </c>
      <c r="BM21" s="32">
        <f>IF(BA21&lt;=InputData!$C$150,InputData!$C$152,IF(BA21&lt;InputData!$C$151,IF(InputData!$C$152-0.25*IF(BA21-InputData!$C$150&lt;=0,0,BA21-InputData!$C$150)&lt;=0,0,InputData!$C$152-0.25*IF(BA21-InputData!$C$150&lt;=0,0,BA21-InputData!$C$150)),0))</f>
        <v>26976.227686031743</v>
      </c>
      <c r="BN21" s="32">
        <f>IF(BA21-BM21&lt;=0,0,IF(BA21-BM21&lt;=InputData!$C$153,InputData!$C$154*(BA21-BM21),InputData!$C$155*(BA21-BM21)-InputData!$D$154))</f>
        <v>49083.281239555559</v>
      </c>
      <c r="BO21" s="32">
        <f t="shared" si="48"/>
        <v>53099.129454438102</v>
      </c>
      <c r="BP21" s="32">
        <f>IF(BA21&gt;=0,IF(BA21&lt;=InputData!$C$148,InputData!$C$147*BA21,InputData!$C$147*InputData!$C$148)+InputData!$C$149*BA21,0)</f>
        <v>10168.278794210159</v>
      </c>
      <c r="BQ21" s="32">
        <f>IF(BJ21&lt;0,0,IF(BJ21&lt;=InputData!$B$163,InputData!$C$163*BJ21,IF(BJ21&lt;=InputData!$B$164,InputData!$D$163+InputData!$C$164*(BJ21-InputData!$B$163),IF(BJ21&lt;=InputData!$B$165,InputData!$D$164+InputData!$C$165*(BJ21-InputData!$B$164),InputData!$D$165+InputData!$C$166*(BJ21-InputData!$B$165)))))</f>
        <v>0</v>
      </c>
      <c r="BR21" s="43">
        <f t="shared" si="49"/>
        <v>0.29413692552221193</v>
      </c>
      <c r="BS21" s="32">
        <f t="shared" si="50"/>
        <v>151827.68100722478</v>
      </c>
      <c r="BT21" s="32">
        <f t="shared" si="51"/>
        <v>124935.41010271007</v>
      </c>
      <c r="BU21" s="32">
        <f>BT21/((1+InputData!$C$7)^(Ophtha!$B21-Ophtha!$B$7))</f>
        <v>82597.024196153041</v>
      </c>
      <c r="BV21" s="5">
        <f t="shared" si="114"/>
        <v>562529.65636689821</v>
      </c>
      <c r="BW21" s="5"/>
      <c r="BX21" s="32" t="s">
        <v>141</v>
      </c>
      <c r="BY21" s="5">
        <f t="shared" si="159"/>
        <v>226499.87778450042</v>
      </c>
      <c r="BZ21" s="32">
        <f>(BY21)*InputData!$C$6</f>
        <v>14065.642410417477</v>
      </c>
      <c r="CA21" s="32">
        <f>MIN($BY$15*InputData!$C$6/(1-(1+InputData!$C$6)^(-25)), BY21+BZ21)</f>
        <v>20633.642137763909</v>
      </c>
      <c r="CB21" s="32">
        <f t="shared" si="160"/>
        <v>219931.87805715398</v>
      </c>
      <c r="CC21" s="32">
        <f>CA21/((1+InputData!$C$3)^(Ophtha!$B21-Ophtha!$B$7))</f>
        <v>15637.722042503789</v>
      </c>
      <c r="CD21" s="5">
        <f t="shared" si="55"/>
        <v>136189.95896472098</v>
      </c>
      <c r="CE21" s="32">
        <f>CD21/((1+InputData!$C$7)^(Ophtha!$B21-Ophtha!$B$7))</f>
        <v>90037.606845284128</v>
      </c>
      <c r="CF21" s="5">
        <f t="shared" si="115"/>
        <v>623221.64825442783</v>
      </c>
      <c r="CG21" s="5"/>
      <c r="CH21" s="32" t="s">
        <v>141</v>
      </c>
      <c r="CI21" s="5">
        <f t="shared" si="161"/>
        <v>126621.86464767964</v>
      </c>
      <c r="CJ21" s="32">
        <f>(CI21)*InputData!$C$6</f>
        <v>7863.2177946209058</v>
      </c>
      <c r="CK21" s="5">
        <f t="shared" si="162"/>
        <v>35483.780349040731</v>
      </c>
      <c r="CL21" s="32">
        <f t="shared" si="163"/>
        <v>99001.302093259816</v>
      </c>
      <c r="CM21" s="32">
        <f>CK21/((1+InputData!$C$3)^(Ophtha!$B21-Ophtha!$B$7))</f>
        <v>26892.270904514706</v>
      </c>
      <c r="CN21" s="5">
        <f t="shared" si="59"/>
        <v>124935.41010271007</v>
      </c>
      <c r="CO21" s="32">
        <f>CN21/((1+InputData!$C$7)^(Ophtha!$B21-Ophtha!$B$7))</f>
        <v>82597.024196153041</v>
      </c>
      <c r="CP21" s="5">
        <f t="shared" si="149"/>
        <v>564674.70367817418</v>
      </c>
      <c r="CQ21" s="5"/>
      <c r="CR21" s="32" t="s">
        <v>141</v>
      </c>
      <c r="CS21" s="5">
        <f t="shared" si="164"/>
        <v>205311.61292823363</v>
      </c>
      <c r="CT21" s="32">
        <f>(CS21)*InputData!$C$6</f>
        <v>12749.85116284331</v>
      </c>
      <c r="CU21" s="32">
        <f t="shared" si="165"/>
        <v>26107.218583084883</v>
      </c>
      <c r="CV21" s="32">
        <f t="shared" si="166"/>
        <v>191954.24550799208</v>
      </c>
      <c r="CW21" s="32">
        <f>CU21/((1+InputData!$C$3)^(Ophtha!$B21-Ophtha!$B$7))</f>
        <v>19786.008925587303</v>
      </c>
      <c r="CX21" s="5">
        <f t="shared" si="63"/>
        <v>132041.67208163749</v>
      </c>
      <c r="CY21" s="32">
        <f>CX21/((1+InputData!$C$7)^(Ophtha!$B21-Ophtha!$B$7))</f>
        <v>87295.100523233807</v>
      </c>
      <c r="CZ21" s="5">
        <f t="shared" si="150"/>
        <v>609588.34628718451</v>
      </c>
      <c r="DA21" s="5"/>
      <c r="DB21" s="32" t="s">
        <v>141</v>
      </c>
      <c r="DC21" s="5">
        <f t="shared" si="141"/>
        <v>13722.050637364588</v>
      </c>
      <c r="DD21" s="5">
        <f>DC21*InputData!$C$6</f>
        <v>852.13934458034089</v>
      </c>
      <c r="DE21" s="32">
        <f t="shared" si="142"/>
        <v>14574.189981944928</v>
      </c>
      <c r="DF21" s="32">
        <f t="shared" si="143"/>
        <v>0</v>
      </c>
      <c r="DG21" s="32">
        <f>DE21/((1+InputData!$C$3)^(Ophtha!$B21-Ophtha!$B$7))</f>
        <v>11045.414590920915</v>
      </c>
      <c r="DH21" s="5">
        <f t="shared" si="67"/>
        <v>140782.26641630387</v>
      </c>
      <c r="DI21" s="32">
        <f>DH21/((1+InputData!$C$7)^(Ophtha!$B21-Ophtha!$B$7))</f>
        <v>93073.663071319112</v>
      </c>
      <c r="DJ21" s="5">
        <f t="shared" si="130"/>
        <v>518679.22085480281</v>
      </c>
      <c r="DK21" s="5"/>
      <c r="DL21" s="32" t="s">
        <v>141</v>
      </c>
      <c r="DM21" s="32">
        <f t="shared" si="167"/>
        <v>132150.60941726953</v>
      </c>
      <c r="DN21" s="5">
        <f>DM21*InputData!$C$6</f>
        <v>8206.5528448124387</v>
      </c>
      <c r="DO21" s="32">
        <f t="shared" si="168"/>
        <v>0</v>
      </c>
      <c r="DP21" s="32">
        <f t="shared" si="131"/>
        <v>29148.379963889372</v>
      </c>
      <c r="DQ21" s="32">
        <f t="shared" si="132"/>
        <v>111208.78229819261</v>
      </c>
      <c r="DR21" s="32">
        <f>DP21/((1+InputData!$C$3)^(Ophtha!$B21-Ophtha!$B$7))</f>
        <v>22090.829181841462</v>
      </c>
      <c r="DS21" s="5">
        <f t="shared" si="71"/>
        <v>129736.85182538332</v>
      </c>
      <c r="DT21" s="32">
        <f>DS21/((1+InputData!$C$7)^(Ophtha!$B21-Ophtha!$B$7))</f>
        <v>85771.34281261274</v>
      </c>
      <c r="DU21" s="5">
        <f t="shared" si="133"/>
        <v>570086.28521482099</v>
      </c>
      <c r="DV21" s="5"/>
      <c r="DW21" s="32" t="s">
        <v>141</v>
      </c>
      <c r="DX21" s="133">
        <f t="shared" si="144"/>
        <v>177235.33491100458</v>
      </c>
      <c r="DY21" s="5">
        <f>DX21*InputData!$C$6</f>
        <v>11006.314297973386</v>
      </c>
      <c r="DZ21" s="133">
        <f t="shared" si="145"/>
        <v>0</v>
      </c>
      <c r="EA21" s="32">
        <f t="shared" si="146"/>
        <v>26107.218583084883</v>
      </c>
      <c r="EB21" s="32">
        <f t="shared" si="147"/>
        <v>162134.43062589309</v>
      </c>
      <c r="EC21" s="32">
        <f>EA21/((1+InputData!$C$3)^(Ophtha!$B21-Ophtha!$B$7))</f>
        <v>19786.008925587303</v>
      </c>
      <c r="ED21" s="5">
        <f t="shared" si="75"/>
        <v>132041.67208163749</v>
      </c>
      <c r="EE21" s="32">
        <f>ED21/((1+InputData!$C$7)^(Ophtha!$B21-Ophtha!$B$7))</f>
        <v>87295.100523233807</v>
      </c>
      <c r="EF21" s="5">
        <f t="shared" si="134"/>
        <v>597364.39334690757</v>
      </c>
      <c r="EG21" s="32"/>
      <c r="EH21" s="133" t="s">
        <v>141</v>
      </c>
      <c r="EI21" s="32">
        <v>0</v>
      </c>
      <c r="EJ21" s="32">
        <f t="shared" si="175"/>
        <v>207419.36932894745</v>
      </c>
      <c r="EK21" s="32">
        <f>(EJ21)*InputData!$C$6</f>
        <v>12880.742835327637</v>
      </c>
      <c r="EL21" s="32">
        <f t="shared" si="173"/>
        <v>194192.8935811902</v>
      </c>
      <c r="EM21" s="32">
        <f>EM20*(1+InputData!$C$8)</f>
        <v>15160.810987592406</v>
      </c>
      <c r="EN21" s="32">
        <f t="shared" si="152"/>
        <v>26107.218583084883</v>
      </c>
      <c r="EO21" s="32">
        <f>AW21/((1+InputData!$C$3)^(Ophtha!$B21-Ophtha!$B$7))</f>
        <v>215095.08925587303</v>
      </c>
      <c r="EP21" s="32">
        <f>AX21/((1+InputData!$C$3)^(Ophtha!$B21-Ophtha!$B$7))</f>
        <v>0</v>
      </c>
      <c r="EQ21" s="32">
        <v>53025.24</v>
      </c>
      <c r="ER21" s="32">
        <v>8876.2999999999993</v>
      </c>
      <c r="ES21" s="32">
        <v>0</v>
      </c>
      <c r="ET21" s="43">
        <f t="shared" si="139"/>
        <v>0.28778685842689372</v>
      </c>
      <c r="EU21" s="32">
        <f t="shared" si="76"/>
        <v>153193.54925587305</v>
      </c>
      <c r="EV21" s="32">
        <f>EN21/((1+InputData!$C$3)^(Ophtha!$B21-Ophtha!$B$7))</f>
        <v>19786.008925587303</v>
      </c>
      <c r="EW21" s="32">
        <f t="shared" si="77"/>
        <v>133407.54033028573</v>
      </c>
      <c r="EX21" s="32">
        <f>EW21/((1+InputData!$C$7)^(Ophtha!$B21-Ophtha!$B$7))</f>
        <v>88198.100342817459</v>
      </c>
      <c r="EY21" s="5">
        <f t="shared" si="124"/>
        <v>692023.19316045311</v>
      </c>
      <c r="EZ21" s="79"/>
      <c r="FA21" s="32">
        <f t="shared" si="153"/>
        <v>123060.93804035735</v>
      </c>
      <c r="FB21" s="32">
        <f>FA21*InputData!$C$6</f>
        <v>7642.084252306191</v>
      </c>
      <c r="FC21" s="32">
        <f t="shared" si="154"/>
        <v>95017.751361946968</v>
      </c>
      <c r="FD21" s="32">
        <f>MIN($EJ$15*InputData!$C$6/(1-(1+InputData!$C$6)^(-10)), FA21+FB21)</f>
        <v>35685.270930716564</v>
      </c>
      <c r="FE21" s="32">
        <f>FD21/((1+InputData!$C$3)^(Ophtha!$B21-Ophtha!$B$7))</f>
        <v>27044.975584056589</v>
      </c>
      <c r="FF21" s="5">
        <f t="shared" si="81"/>
        <v>126148.57367181646</v>
      </c>
      <c r="FG21" s="32">
        <f>FF21/((1+InputData!$C$7)^(Ophtha!$B21-Ophtha!$B$7))</f>
        <v>83399.068233059734</v>
      </c>
      <c r="FH21" s="5">
        <f t="shared" si="125"/>
        <v>644141.01832881442</v>
      </c>
      <c r="FI21" s="79"/>
      <c r="FJ21" s="32">
        <f t="shared" si="155"/>
        <v>227786.03139258234</v>
      </c>
      <c r="FK21" s="32">
        <f>FJ21*InputData!$C$6</f>
        <v>14145.512549479365</v>
      </c>
      <c r="FL21" s="32">
        <f t="shared" si="170"/>
        <v>221180.73603121689</v>
      </c>
      <c r="FM21" s="32">
        <f>MIN($EJ$15*InputData!$C$6/(1-(1+InputData!$C$6)^(-25)), FJ21+FK21)</f>
        <v>20750.807910844829</v>
      </c>
      <c r="FN21" s="32">
        <f>FM21/((1+InputData!$C$3)^(Ophtha!$B21-Ophtha!$B$7))</f>
        <v>15726.519055658397</v>
      </c>
      <c r="FO21" s="5">
        <f t="shared" si="85"/>
        <v>137467.03020021465</v>
      </c>
      <c r="FP21" s="32">
        <f>FO21/((1+InputData!$C$7)^(Ophtha!$B21-Ophtha!$B$7))</f>
        <v>90881.90137836778</v>
      </c>
      <c r="FQ21" s="5">
        <f t="shared" si="126"/>
        <v>705177.64273937838</v>
      </c>
      <c r="FR21" s="79"/>
      <c r="FS21" s="32">
        <f t="shared" si="156"/>
        <v>128086.83457770565</v>
      </c>
      <c r="FT21" s="32">
        <f>FS21*InputData!$C$6</f>
        <v>7954.1924272755214</v>
      </c>
      <c r="FU21" s="32">
        <f t="shared" si="171"/>
        <v>100355.75607426462</v>
      </c>
      <c r="FV21" s="5">
        <f t="shared" si="157"/>
        <v>35685.270930716564</v>
      </c>
      <c r="FW21" s="32">
        <f>FV21/((1+InputData!$C$3)^(Ophtha!$B21-Ophtha!$B$7))</f>
        <v>27044.975584056589</v>
      </c>
      <c r="FX21" s="5">
        <f t="shared" si="88"/>
        <v>126148.57367181646</v>
      </c>
      <c r="FY21" s="32">
        <f>FX21/((1+InputData!$C$7)^(Ophtha!$B21-Ophtha!$B$7))</f>
        <v>83399.068233059734</v>
      </c>
      <c r="FZ21" s="5">
        <f t="shared" si="127"/>
        <v>646674.03023327584</v>
      </c>
      <c r="GC21" s="3">
        <f t="shared" si="2"/>
        <v>11</v>
      </c>
      <c r="GD21" s="46" t="str">
        <f t="shared" si="3"/>
        <v>Service (O4&gt;10 = (BP+BAH+BAS+VSP+BCPSP)*12+ASP)</v>
      </c>
      <c r="GE21" s="5">
        <f t="shared" si="4"/>
        <v>107832.23999999999</v>
      </c>
      <c r="GF21" s="5">
        <f t="shared" si="5"/>
        <v>20659.199999999997</v>
      </c>
      <c r="GG21" s="5">
        <f t="shared" si="6"/>
        <v>128491.43999999999</v>
      </c>
      <c r="GH21" s="5">
        <f t="shared" si="7"/>
        <v>93938.896710946457</v>
      </c>
      <c r="GI21" s="5">
        <f t="shared" si="8"/>
        <v>17997.423172613169</v>
      </c>
      <c r="GJ21" s="32">
        <f>IF(GH21-InputData!$C$158-InputData!$C$159&gt;=0,GH21-InputData!$C$158-InputData!$C$159,0)</f>
        <v>93938.896710946457</v>
      </c>
      <c r="GK21" s="32">
        <f>IF(GH21-IF(GH21&lt;=InputData!$C$146,InputData!$C$145,0)-MAX(InputData!$C$144,GQ21)&gt;=0,GH21-IF(GH21&lt;=InputData!$C$146,InputData!$C$145,0)-MAX(InputData!$C$144,GQ21),0)</f>
        <v>83938.896710946457</v>
      </c>
      <c r="GL21" s="32">
        <f>IF(GK21&lt;0,"Error",IF(GK21&lt;=InputData!$B$170,InputData!$C$170*GK21,IF(GK21&lt;=InputData!$B$171,InputData!$D$170+InputData!$C$171*(GK21-InputData!$B$170),IF(GK21&lt;=InputData!$B$172,InputData!$D$171+InputData!$C$172*(GK21-InputData!$B$171),IF(GK21&lt;=InputData!$B$173,InputData!$D$172+InputData!$C$173*(GK21-InputData!$B$172),IF(GK21&lt;=InputData!$B$174,InputData!$D$173+InputData!$C$174*(GK21-InputData!$B$173),IF(GK21&lt;=InputData!$B$175,InputData!$D$174+InputData!$C$175*(GK21-InputData!$B$174),InputData!$D$175+InputData!$C$176*(GK21-InputData!$B$175))))))))</f>
        <v>16913.474177736614</v>
      </c>
      <c r="GM21" s="32">
        <f>IF(GH21&lt;=InputData!$C$150,InputData!$C$152,IF(GH21&lt;InputData!$C$151,IF(InputData!$C$152-0.25*IF(GH21-InputData!$C$150&lt;=0,0,GH21-InputData!$C$150)&lt;=0,0,InputData!$C$152-0.25*IF(GH21-InputData!$C$150&lt;=0,0,GH21-InputData!$C$150)),0))</f>
        <v>51900</v>
      </c>
      <c r="GN21" s="32">
        <f>IF(GH21-GM21&lt;=0,0,IF(GH21-GM21&lt;=InputData!$C$153,InputData!$C$154*(GH21-GM21),InputData!$C$155*(GH21-GM21)-InputData!$D$154))</f>
        <v>10930.11314484608</v>
      </c>
      <c r="GO21" s="32">
        <f t="shared" si="89"/>
        <v>16913.474177736614</v>
      </c>
      <c r="GP21" s="32">
        <f>IF(GH21&gt;=0,IF(GH21&lt;=InputData!$C$148,InputData!$C$147*GH21,InputData!$C$147*InputData!$C$148)+InputData!$C$149*GH21,0)</f>
        <v>7186.3255983874042</v>
      </c>
      <c r="GQ21" s="32">
        <f>IF(GJ21&lt;0,0,IF(GJ21&lt;=InputData!$B$163,InputData!$C$163*GJ21,IF(GJ21&lt;=InputData!$B$164,InputData!$D$163+InputData!$C$164*(GJ21-InputData!$B$163),IF(GJ21&lt;=InputData!$B$165,InputData!$D$164+InputData!$C$165*(GJ21-InputData!$B$164),InputData!$D$165+InputData!$C$166*(GJ21-InputData!$B$165)))))</f>
        <v>0</v>
      </c>
      <c r="GR21" s="43">
        <f t="shared" si="90"/>
        <v>0.2565476136075987</v>
      </c>
      <c r="GS21" s="43">
        <f t="shared" si="91"/>
        <v>0.2152991969111861</v>
      </c>
      <c r="GT21" s="5">
        <f t="shared" si="9"/>
        <v>87836.520107435616</v>
      </c>
      <c r="GU21" s="32">
        <f>GT21/((1+InputData!$C$7)^(Ophtha!$B21-Ophtha!$B$7))</f>
        <v>58070.287444170863</v>
      </c>
      <c r="GV21" s="32">
        <f t="shared" si="92"/>
        <v>834903.67436399602</v>
      </c>
      <c r="GX21" s="3">
        <f t="shared" si="10"/>
        <v>11</v>
      </c>
      <c r="GY21" s="122" t="str">
        <f t="shared" si="11"/>
        <v>Multi-Year (O4&gt;10 = (BP+BAH+BAS+VSP+BCPSP)*12+ASP+ISP+MSP)</v>
      </c>
      <c r="GZ21" s="5">
        <f t="shared" si="12"/>
        <v>162832.24</v>
      </c>
      <c r="HA21" s="5">
        <f t="shared" si="13"/>
        <v>20659.199999999997</v>
      </c>
      <c r="HB21" s="5">
        <f t="shared" si="14"/>
        <v>183491.44</v>
      </c>
      <c r="HC21" s="5">
        <f t="shared" si="15"/>
        <v>141852.57558010521</v>
      </c>
      <c r="HD21" s="5">
        <f t="shared" si="16"/>
        <v>17997.423172613169</v>
      </c>
      <c r="HE21" s="32">
        <f>IF(HC21-InputData!$C$158-InputData!$C$159&gt;=0,HC21-InputData!$C$158-InputData!$C$159,0)</f>
        <v>141852.57558010521</v>
      </c>
      <c r="HF21" s="32">
        <f>IF(HC21-IF(HC21&lt;=InputData!$C$146,InputData!$C$145,0)-MAX(InputData!$C$144,HL21)&gt;=0,HC21-IF(HC21&lt;=InputData!$C$146,InputData!$C$145,0)-MAX(InputData!$C$144,HL21),0)</f>
        <v>131852.57558010521</v>
      </c>
      <c r="HG21" s="32">
        <f>IF(HF21&lt;0,"Error",IF(HF21&lt;=InputData!$B$170,InputData!$C$170*HF21,IF(HF21&lt;=InputData!$B$171,InputData!$D$170+InputData!$C$171*(HF21-InputData!$B$170),IF(HF21&lt;=InputData!$B$172,InputData!$D$171+InputData!$C$172*(HF21-InputData!$B$171),IF(HF21&lt;=InputData!$B$173,InputData!$D$172+InputData!$C$173*(HF21-InputData!$B$172),IF(HF21&lt;=InputData!$B$174,InputData!$D$173+InputData!$C$174*(HF21-InputData!$B$173),IF(HF21&lt;=InputData!$B$175,InputData!$D$174+InputData!$C$175*(HF21-InputData!$B$174),InputData!$D$175+InputData!$C$176*(HF21-InputData!$B$175))))))))</f>
        <v>30211.971162429461</v>
      </c>
      <c r="HH21" s="32">
        <f>IF(HC21&lt;=InputData!$C$150,InputData!$C$152,IF(HC21&lt;InputData!$C$151,IF(InputData!$C$152-0.25*IF(HC21-InputData!$C$150&lt;=0,0,HC21-InputData!$C$150)&lt;=0,0,InputData!$C$152-0.25*IF(HC21-InputData!$C$150&lt;=0,0,HC21-InputData!$C$150)),0))</f>
        <v>45286.856104973696</v>
      </c>
      <c r="HI21" s="32">
        <f>IF(HC21-HH21&lt;=0,0,IF(HC21-HH21&lt;=InputData!$C$153,InputData!$C$154*(HC21-HH21),InputData!$C$155*(HC21-HH21)-InputData!$D$154))</f>
        <v>25107.087063534193</v>
      </c>
      <c r="HJ21" s="32">
        <f t="shared" si="93"/>
        <v>30211.971162429461</v>
      </c>
      <c r="HK21" s="32">
        <f>IF(HC21&gt;=0,IF(HC21&lt;=InputData!$C$148,InputData!$C$147*HC21,InputData!$C$147*InputData!$C$148)+InputData!$C$149*HC21,0)</f>
        <v>9106.2623459115257</v>
      </c>
      <c r="HL21" s="32">
        <f>IF(HE21&lt;0,0,IF(HE21&lt;=InputData!$B$163,InputData!$C$163*HE21,IF(HE21&lt;=InputData!$B$164,InputData!$D$163+InputData!$C$164*(HE21-InputData!$B$163),IF(HE21&lt;=InputData!$B$165,InputData!$D$164+InputData!$C$165*(HE21-InputData!$B$164),InputData!$D$165+InputData!$C$166*(HE21-InputData!$B$165)))))</f>
        <v>0</v>
      </c>
      <c r="HM21" s="43">
        <f t="shared" si="94"/>
        <v>0.27717673329193576</v>
      </c>
      <c r="HN21" s="43">
        <f t="shared" si="95"/>
        <v>0.24596955780503155</v>
      </c>
      <c r="HO21" s="5">
        <f t="shared" si="17"/>
        <v>120531.7652443774</v>
      </c>
      <c r="HP21" s="32">
        <f>HO21/((1+InputData!$C$7)^(Ophtha!$B21-Ophtha!$B$7))</f>
        <v>79685.696169807692</v>
      </c>
      <c r="HQ21" s="32">
        <f t="shared" si="96"/>
        <v>810137.25824792241</v>
      </c>
      <c r="HS21" s="93">
        <f t="shared" si="18"/>
        <v>11</v>
      </c>
      <c r="HT21" s="92" t="str">
        <f t="shared" si="19"/>
        <v>Service (O4&gt;10 = (BP+BAH+BAS+VSP+BCPSP)*12+ASP)</v>
      </c>
      <c r="HU21" s="5">
        <f t="shared" si="20"/>
        <v>107832.23999999999</v>
      </c>
      <c r="HV21" s="5">
        <f t="shared" si="21"/>
        <v>20659.199999999997</v>
      </c>
      <c r="HW21" s="5">
        <f t="shared" si="22"/>
        <v>128491.43999999999</v>
      </c>
      <c r="HX21" s="5">
        <f t="shared" si="23"/>
        <v>93938.896710946457</v>
      </c>
      <c r="HY21" s="5">
        <f t="shared" si="24"/>
        <v>17997.423172613169</v>
      </c>
      <c r="HZ21" s="32">
        <f>IF(HX21-InputData!$C$158-InputData!$C$159&gt;=0,HX21-InputData!$C$158-InputData!$C$159,0)</f>
        <v>93938.896710946457</v>
      </c>
      <c r="IA21" s="32">
        <f>IF(HX21-IF(HX21&lt;=InputData!$C$146,InputData!$C$145,0)-MAX(InputData!$C$144,IG21)&gt;=0,HX21-IF(HX21&lt;=InputData!$C$146,InputData!$C$145,0)-MAX(InputData!$C$144,IG21),0)</f>
        <v>83938.896710946457</v>
      </c>
      <c r="IB21" s="32">
        <f>IF(IA21&lt;0,"Error",IF(IA21&lt;=InputData!$B$170,InputData!$C$170*IA21,IF(IA21&lt;=InputData!$B$171,InputData!$D$170+InputData!$C$171*(IA21-InputData!$B$170),IF(IA21&lt;=InputData!$B$172,InputData!$D$171+InputData!$C$172*(IA21-InputData!$B$171),IF(IA21&lt;=InputData!$B$173,InputData!$D$172+InputData!$C$173*(IA21-InputData!$B$172),IF(IA21&lt;=InputData!$B$174,InputData!$D$173+InputData!$C$174*(IA21-InputData!$B$173),IF(IA21&lt;=InputData!$B$175,InputData!$D$174+InputData!$C$175*(IA21-InputData!$B$174),InputData!$D$175+InputData!$C$176*(IA21-InputData!$B$175))))))))</f>
        <v>16913.474177736614</v>
      </c>
      <c r="IC21" s="32">
        <f>IF(HX21&lt;=InputData!$C$150,InputData!$C$152,IF(HX21&lt;InputData!$C$151,IF(InputData!$C$152-0.25*IF(HX21-InputData!$C$150&lt;=0,0,HX21-InputData!$C$150)&lt;=0,0,InputData!$C$152-0.25*IF(HX21-InputData!$C$150&lt;=0,0,HX21-InputData!$C$150)),0))</f>
        <v>51900</v>
      </c>
      <c r="ID21" s="32">
        <f>IF(HX21-IC21&lt;=0,0,IF(HX21-IC21&lt;=InputData!$C$153,InputData!$C$154*(HX21-IC21),InputData!$C$155*(HX21-IC21)-InputData!$D$154))</f>
        <v>10930.11314484608</v>
      </c>
      <c r="IE21" s="32">
        <f t="shared" si="97"/>
        <v>16913.474177736614</v>
      </c>
      <c r="IF21" s="32">
        <f>IF(HX21&gt;=0,IF(HX21&lt;=InputData!$C$148,InputData!$C$147*HX21,InputData!$C$147*InputData!$C$148)+InputData!$C$149*HX21,0)</f>
        <v>7186.3255983874042</v>
      </c>
      <c r="IG21" s="32">
        <f>IF(HZ21&lt;0,0,IF(HZ21&lt;=InputData!$B$163,InputData!$C$163*HZ21,IF(HZ21&lt;=InputData!$B$164,InputData!$D$163+InputData!$C$164*(HZ21-InputData!$B$163),IF(HZ21&lt;=InputData!$B$165,InputData!$D$164+InputData!$C$165*(HZ21-InputData!$B$164),InputData!$D$165+InputData!$C$166*(HZ21-InputData!$B$165)))))</f>
        <v>0</v>
      </c>
      <c r="IH21" s="43">
        <f t="shared" si="98"/>
        <v>0.2565476136075987</v>
      </c>
      <c r="II21" s="43">
        <f t="shared" si="99"/>
        <v>0.2152991969111861</v>
      </c>
      <c r="IJ21" s="5">
        <f t="shared" si="100"/>
        <v>87836.520107435616</v>
      </c>
      <c r="IK21" s="32">
        <f>IJ21/((1+InputData!$C$7)^(Ophtha!$B21-Ophtha!$B$7))</f>
        <v>58070.287444170863</v>
      </c>
      <c r="IL21" s="5">
        <f t="shared" si="101"/>
        <v>834903.67436399602</v>
      </c>
      <c r="IN21" s="94"/>
      <c r="IO21" s="53" t="s">
        <v>109</v>
      </c>
      <c r="IP21" s="32">
        <f>MIN(InputData!$C$13+InputData!$E$13*($B21-$B$19),1)*Ophtha!AW21</f>
        <v>255432.06208101369</v>
      </c>
      <c r="IQ21" s="32">
        <f>MIN(InputData!$C$13+InputData!$E$13*($B21-$B$19),1)*Ophtha!AX21</f>
        <v>0</v>
      </c>
      <c r="IR21" s="32">
        <f>MIN(InputData!$C$13+InputData!$E$13*($B21-$B$19),1)*Ophtha!AY21</f>
        <v>255432.06208101369</v>
      </c>
      <c r="IS21" s="32">
        <f>MIN(InputData!$C$13+InputData!$E$13*($B21-$B$19),1)*Ophtha!BA21</f>
        <v>193585.58033028574</v>
      </c>
      <c r="IT21" s="32">
        <f>MIN(InputData!$C$13+InputData!$E$13*($B21-$B$19),1)*Ophtha!BB21</f>
        <v>0</v>
      </c>
      <c r="IU21" s="32">
        <f>IF(IS21-InputData!$C$158-InputData!$C$159&gt;=0,IS21-InputData!$C$158-InputData!$C$159,0)</f>
        <v>193585.58033028574</v>
      </c>
      <c r="IV21" s="32">
        <f>IF(IS21-IF(IS21&lt;=InputData!$C$146,InputData!$C$145,0)-MAX(InputData!$C$144,JB21)&gt;=0,IS21-IF(IS21&lt;=InputData!$C$146,InputData!$C$145,0)-MAX(InputData!$C$144,JB21),0)</f>
        <v>187485.58033028574</v>
      </c>
      <c r="IW21" s="32">
        <f>IF(IV21&lt;0,"Error",IF(IV21&lt;=InputData!$B$170,InputData!$C$170*IV21,IF(IV21&lt;=InputData!$B$171,InputData!$D$170+InputData!$C$171*(IV21-InputData!$B$170),IF(IV21&lt;=InputData!$B$172,InputData!$D$171+InputData!$C$172*(IV21-InputData!$B$171),IF(IV21&lt;=InputData!$B$173,InputData!$D$172+InputData!$C$173*(IV21-InputData!$B$172),IF(IV21&lt;=InputData!$B$174,InputData!$D$173+InputData!$C$174*(IV21-InputData!$B$173),IF(IV21&lt;=InputData!$B$175,InputData!$D$174+InputData!$C$175*(IV21-InputData!$B$174),InputData!$D$175+InputData!$C$176*(IV21-InputData!$B$175))))))))</f>
        <v>46000.991508994295</v>
      </c>
      <c r="IX21" s="32">
        <f>IF(IS21&lt;=InputData!$C$150,InputData!$C$152,IF(IS21&lt;InputData!$C$151,IF(InputData!$C$152-0.25*IF(IS21-InputData!$C$150&lt;=0,0,IS21-InputData!$C$150)&lt;=0,0,InputData!$C$152-0.25*IF(IS21-InputData!$C$150&lt;=0,0,IS21-InputData!$C$150)),0))</f>
        <v>32353.604917428565</v>
      </c>
      <c r="IY21" s="32">
        <f>IF(IS21-IX21&lt;=0,0,IF(IS21-IX21&lt;=InputData!$C$153,InputData!$C$154*(IS21-IX21),InputData!$C$155*(IS21-IX21)-InputData!$D$154))</f>
        <v>41920.313607342861</v>
      </c>
      <c r="IZ21" s="32">
        <f t="shared" si="102"/>
        <v>46000.991508994295</v>
      </c>
      <c r="JA21" s="32">
        <f>IF(IS21&gt;=0,IF(IS21&lt;=InputData!$C$148,InputData!$C$147*IS21,InputData!$C$147*InputData!$C$148)+InputData!$C$149*IS21,0)</f>
        <v>9856.3909147891427</v>
      </c>
      <c r="JB21" s="32">
        <f>IF(IU21&lt;0,0,IF(IU21&lt;=InputData!$B$163,InputData!$C$163*IU21,IF(IU21&lt;=InputData!$B$164,InputData!$D$163+InputData!$C$164*(IU21-InputData!$B$163),IF(IU21&lt;=InputData!$B$165,InputData!$D$164+InputData!$C$165*(IU21-InputData!$B$164),InputData!$D$165+InputData!$C$166*(IU21-InputData!$B$165)))))</f>
        <v>0</v>
      </c>
      <c r="JC21" s="43">
        <f t="shared" si="103"/>
        <v>0.28854102835801326</v>
      </c>
      <c r="JD21" s="43">
        <f t="shared" si="104"/>
        <v>0.28854102835801326</v>
      </c>
      <c r="JE21" s="5">
        <f t="shared" si="105"/>
        <v>137728.19790650232</v>
      </c>
      <c r="JF21" s="32">
        <f>JE21/((1+InputData!$C$7)^(Ophtha!$B21-Ophtha!$B$7))</f>
        <v>91054.563999299367</v>
      </c>
      <c r="JG21" s="5">
        <f t="shared" si="106"/>
        <v>845029.8460638409</v>
      </c>
      <c r="JI21" s="41" t="str">
        <f t="shared" si="32"/>
        <v>Private Practice</v>
      </c>
      <c r="JJ21" s="5">
        <f t="shared" si="33"/>
        <v>283813.40231223742</v>
      </c>
      <c r="JK21" s="32">
        <v>0</v>
      </c>
      <c r="JL21" s="32">
        <f t="shared" si="108"/>
        <v>283813.40231223742</v>
      </c>
      <c r="JM21" s="32">
        <f>JM20*(1+InputData!$C$8)</f>
        <v>15160.810987592406</v>
      </c>
      <c r="JN21" s="32">
        <f>JJ21/((1+InputData!$C$3)^(Ophtha!$B21-Ophtha!$B$7))</f>
        <v>215095.08925587303</v>
      </c>
      <c r="JO21" s="32">
        <f>JK21/((1+InputData!$C$3)^(Ophtha!$B21-Ophtha!$B$7))</f>
        <v>0</v>
      </c>
      <c r="JP21" s="32" t="s">
        <v>141</v>
      </c>
      <c r="JQ21" s="32">
        <v>0</v>
      </c>
      <c r="JR21" s="32">
        <f t="shared" si="172"/>
        <v>0</v>
      </c>
      <c r="JS21" s="32">
        <f>(JR21)*InputData!$C$6</f>
        <v>0</v>
      </c>
      <c r="JT21" s="32">
        <f>MIN($BE$15*InputData!$C$6/(1-(1+InputData!$C$6)^(-10)), JR21+JS21)</f>
        <v>0</v>
      </c>
      <c r="JU21" s="32">
        <f t="shared" si="148"/>
        <v>0</v>
      </c>
      <c r="JV21" s="32">
        <f>JT21/((1+InputData!$C$3)^(Ophtha!$B21-Ophtha!$B$7))</f>
        <v>0</v>
      </c>
      <c r="JW21" s="32">
        <f>IF(JN21-InputData!$C$158-InputData!$C$159&gt;=0,JN21-InputData!$C$158-InputData!$C$159,0)</f>
        <v>215095.08925587303</v>
      </c>
      <c r="JX21" s="32">
        <f>IF(JN21-IF(JN21&lt;=InputData!$C$146,InputData!$C$145,0)-MAX(InputData!$C$144,KD21)&gt;=0,JN21-IF(JN21&lt;=InputData!$C$146,InputData!$C$145,0)-MAX(InputData!$C$144,KD21),0)</f>
        <v>208995.08925587303</v>
      </c>
      <c r="JY21" s="32">
        <f>IF(JX21&lt;0,"Error",IF(JX21&lt;=InputData!$B$170,InputData!$C$170*JX21,IF(JX21&lt;=InputData!$B$171,InputData!$D$170+InputData!$C$171*(JX21-InputData!$B$170),IF(JX21&lt;=InputData!$B$172,InputData!$D$171+InputData!$C$172*(JX21-InputData!$B$171),IF(JX21&lt;=InputData!$B$173,InputData!$D$172+InputData!$C$173*(JX21-InputData!$B$172),IF(JX21&lt;=InputData!$B$174,InputData!$D$173+InputData!$C$174*(JX21-InputData!$B$173),IF(JX21&lt;=InputData!$B$175,InputData!$D$174+InputData!$C$175*(JX21-InputData!$B$174),InputData!$D$175+InputData!$C$176*(JX21-InputData!$B$175))))))))</f>
        <v>53099.129454438102</v>
      </c>
      <c r="JZ21" s="32">
        <f>IF(JN21&lt;=InputData!$C$150,InputData!$C$152,IF(JN21&lt;InputData!$C$151,IF(InputData!$C$152-0.25*IF(JN21-InputData!$C$150&lt;=0,0,JN21-InputData!$C$150)&lt;=0,0,InputData!$C$152-0.25*IF(JN21-InputData!$C$150&lt;=0,0,JN21-InputData!$C$150)),0))</f>
        <v>26976.227686031743</v>
      </c>
      <c r="KA21" s="32">
        <f>IF(JN21-JZ21&lt;=0,0,IF(JN21-JZ21&lt;=InputData!$C$153,InputData!$C$154*(JN21-JZ21),InputData!$C$155*(JN21-JZ21)-InputData!$D$154))</f>
        <v>49083.281239555559</v>
      </c>
      <c r="KB21" s="32">
        <f t="shared" si="109"/>
        <v>53099.129454438102</v>
      </c>
      <c r="KC21" s="32">
        <f>IF(JN21&gt;=0,IF(JN21&lt;=InputData!$C$148,InputData!$C$147*JN21,InputData!$C$147*InputData!$C$148)+InputData!$C$149*JN21,0)</f>
        <v>10168.278794210159</v>
      </c>
      <c r="KD21" s="32">
        <f>IF(JW21&lt;0,0,IF(JW21&lt;=InputData!$B$163,InputData!$C$163*JW21,IF(JW21&lt;=InputData!$B$164,InputData!$D$163+InputData!$C$164*(JW21-InputData!$B$163),IF(JW21&lt;=InputData!$B$165,InputData!$D$164+InputData!$C$165*(JW21-InputData!$B$164),InputData!$D$165+InputData!$C$166*(JW21-InputData!$B$165)))))</f>
        <v>0</v>
      </c>
      <c r="KE21" s="43">
        <f t="shared" si="34"/>
        <v>0.29413692552221193</v>
      </c>
      <c r="KF21" s="32">
        <f t="shared" si="35"/>
        <v>151827.68100722478</v>
      </c>
      <c r="KG21" s="32">
        <f t="shared" si="110"/>
        <v>151827.68100722478</v>
      </c>
      <c r="KH21" s="32">
        <f>KG21/((1+InputData!$C$7)^(Ophtha!$B21-Ophtha!$B$7))</f>
        <v>100375.9833300257</v>
      </c>
      <c r="KI21" s="5">
        <f t="shared" si="129"/>
        <v>898417.99729912693</v>
      </c>
    </row>
    <row r="22" spans="1:295" ht="14.45" x14ac:dyDescent="0.3">
      <c r="A22" s="4">
        <v>2028</v>
      </c>
      <c r="B22" s="51">
        <v>16</v>
      </c>
      <c r="C22" s="4"/>
      <c r="D22" s="3">
        <v>12</v>
      </c>
      <c r="E22" s="97" t="s">
        <v>282</v>
      </c>
      <c r="F22" s="5">
        <f>InputData!$I$23*12</f>
        <v>78332.399999999994</v>
      </c>
      <c r="G22" s="32">
        <f>(InputData!$I$23+InputData!$G$45+InputData!$D$50)*12+InputData!$J$50+InputData!$D$60+InputData!$J$60</f>
        <v>162832.24</v>
      </c>
      <c r="H22" s="32">
        <f>(InputData!$C$34+InputData!$C$40)*12</f>
        <v>20659.199999999997</v>
      </c>
      <c r="I22" s="32">
        <f t="shared" si="36"/>
        <v>183491.44</v>
      </c>
      <c r="J22" s="32">
        <f>G22*((1+InputData!$C$5)/(1+InputData!$C$3))^(Ophtha!$B22-Ophtha!$B$7)</f>
        <v>140461.86405481008</v>
      </c>
      <c r="K22" s="32">
        <f>H22*((1+InputData!$C$5)/(1+InputData!$C$3))^(Ophtha!$B22-Ophtha!$B$7)</f>
        <v>17820.977847391474</v>
      </c>
      <c r="L22" s="32">
        <f>IF(J22-InputData!$C$158-InputData!$C$159&gt;=0,J22-InputData!$C$158-InputData!$C$159,0)</f>
        <v>140461.86405481008</v>
      </c>
      <c r="M22" s="32">
        <f>IF(J22-IF(J22&lt;=InputData!$C$146,InputData!$C$145,0)-MAX(InputData!$C$144,S22)&gt;=0,J22-IF(J22&lt;=InputData!$C$146,InputData!$C$145,0)-MAX(InputData!$C$144,S22),0)</f>
        <v>130461.86405481008</v>
      </c>
      <c r="N22" s="32">
        <f>IF(M22&lt;0,"Error",IF(M22&lt;=InputData!$B$170,InputData!$C$170*M22,IF(M22&lt;=InputData!$B$171,InputData!$D$170+InputData!$C$171*(M22-InputData!$B$170),IF(M22&lt;=InputData!$B$172,InputData!$D$171+InputData!$C$172*(M22-InputData!$B$171),IF(M22&lt;=InputData!$B$173,InputData!$D$172+InputData!$C$173*(M22-InputData!$B$172),IF(M22&lt;=InputData!$B$174,InputData!$D$173+InputData!$C$174*(M22-InputData!$B$173),IF(M22&lt;=InputData!$B$175,InputData!$D$174+InputData!$C$175*(M22-InputData!$B$174),InputData!$D$175+InputData!$C$176*(M22-InputData!$B$175))))))))</f>
        <v>29822.571935346823</v>
      </c>
      <c r="O22" s="32">
        <f>IF(J22&lt;=InputData!$C$150,InputData!$C$152,IF(J22&lt;InputData!$C$151,IF(InputData!$C$152-0.25*IF(J22-InputData!$C$150&lt;=0,0,J22-InputData!$C$150)&lt;=0,0,InputData!$C$152-0.25*IF(J22-InputData!$C$150&lt;=0,0,J22-InputData!$C$150)),0))</f>
        <v>45634.53398629748</v>
      </c>
      <c r="P22" s="32">
        <f>IF(J22-O22&lt;=0,0,IF(J22-O22&lt;=InputData!$C$153,InputData!$C$154*(J22-O22),InputData!$C$155*(J22-O22)-InputData!$D$154))</f>
        <v>24655.105817813277</v>
      </c>
      <c r="Q22" s="32">
        <f t="shared" si="37"/>
        <v>29822.571935346823</v>
      </c>
      <c r="R22" s="32">
        <f>IF(J22&gt;=0,IF(J22&lt;=InputData!$C$148,InputData!$C$147*J22,InputData!$C$147*InputData!$C$148)+InputData!$C$149*J22,0)</f>
        <v>9086.0970287947457</v>
      </c>
      <c r="S22" s="32">
        <f>IF(L22&lt;0,0,IF(L22&lt;=InputData!$B$163,InputData!$C$163*L22,IF(L22&lt;=InputData!$B$164,InputData!$D$163+InputData!$C$164*(L22-InputData!$B$163),IF(L22&lt;=InputData!$B$165,InputData!$D$164+InputData!$C$165*(L22-InputData!$B$164),InputData!$D$165+InputData!$C$166*(L22-InputData!$B$165)))))</f>
        <v>0</v>
      </c>
      <c r="T22" s="43">
        <f t="shared" si="38"/>
        <v>0.27700521579977677</v>
      </c>
      <c r="U22" s="43">
        <f t="shared" si="39"/>
        <v>0.24581735137269095</v>
      </c>
      <c r="V22" s="5">
        <f t="shared" si="40"/>
        <v>119374.17293806</v>
      </c>
      <c r="W22" s="32">
        <f>V22/((1+InputData!$C$7)^(Ophtha!$B22-Ophtha!$B$7))</f>
        <v>76621.739110895753</v>
      </c>
      <c r="X22" s="5">
        <f t="shared" si="111"/>
        <v>911525.4134748918</v>
      </c>
      <c r="Y22" s="53"/>
      <c r="Z22" s="3">
        <v>12</v>
      </c>
      <c r="AA22" s="97" t="s">
        <v>262</v>
      </c>
      <c r="AB22" s="5">
        <f t="shared" si="136"/>
        <v>78332.399999999994</v>
      </c>
      <c r="AC22" s="32">
        <f t="shared" ref="AC22:AC30" si="176">G22</f>
        <v>162832.24</v>
      </c>
      <c r="AD22" s="32">
        <f t="shared" si="174"/>
        <v>20659.199999999997</v>
      </c>
      <c r="AE22" s="32">
        <f t="shared" si="41"/>
        <v>183491.44</v>
      </c>
      <c r="AF22" s="5">
        <f>AC22*((1+InputData!$C$5)/(1+InputData!$C$3))^(Ophtha!$B22-Ophtha!$B$7)</f>
        <v>140461.86405481008</v>
      </c>
      <c r="AG22" s="5">
        <f>AD22*((1+InputData!$C$5)/(1+InputData!$C$3))^(Ophtha!$B22-Ophtha!$B$7)</f>
        <v>17820.977847391474</v>
      </c>
      <c r="AH22" s="32">
        <f>IF(AF22-InputData!$C$158-InputData!$C$159&gt;=0,AF22-InputData!$C$158-InputData!$C$159,0)</f>
        <v>140461.86405481008</v>
      </c>
      <c r="AI22" s="32">
        <f>IF(AF22-IF(AF22&lt;=InputData!$C$146,InputData!$C$145,0)-MAX(InputData!$C$144,AO22)&gt;=0,AF22-IF(AF22&lt;=InputData!$C$146,InputData!$C$145,0)-MAX(InputData!$C$144,AO22),0)</f>
        <v>130461.86405481008</v>
      </c>
      <c r="AJ22" s="32">
        <f>IF(AI22&lt;0,"Error",IF(AI22&lt;=InputData!$B$170,InputData!$C$170*AI22,IF(AI22&lt;=InputData!$B$171,InputData!$D$170+InputData!$C$171*(AI22-InputData!$B$170),IF(AI22&lt;=InputData!$B$172,InputData!$D$171+InputData!$C$172*(AI22-InputData!$B$171),IF(AI22&lt;=InputData!$B$173,InputData!$D$172+InputData!$C$173*(AI22-InputData!$B$172),IF(AI22&lt;=InputData!$B$174,InputData!$D$173+InputData!$C$174*(AI22-InputData!$B$173),IF(AI22&lt;=InputData!$B$175,InputData!$D$174+InputData!$C$175*(AI22-InputData!$B$174),InputData!$D$175+InputData!$C$176*(AI22-InputData!$B$175))))))))</f>
        <v>29822.571935346823</v>
      </c>
      <c r="AK22" s="32">
        <f>IF(AF22&lt;=InputData!$C$150,InputData!$C$152,IF(AF22&lt;InputData!$C$151,IF(InputData!$C$152-0.25*IF(AF22-InputData!$C$150&lt;=0,0,AF22-InputData!$C$150)&lt;=0,0,InputData!$C$152-0.25*IF(AF22-InputData!$C$150&lt;=0,0,AF22-InputData!$C$150)),0))</f>
        <v>45634.53398629748</v>
      </c>
      <c r="AL22" s="32">
        <f>IF(AF22-AK22&lt;=0,0,IF(AF22-AK22&lt;=InputData!$C$153,InputData!$C$154*(AF22-AK22),InputData!$C$155*(AF22-AK22)-InputData!$D$154))</f>
        <v>24655.105817813277</v>
      </c>
      <c r="AM22" s="32">
        <f t="shared" si="42"/>
        <v>29822.571935346823</v>
      </c>
      <c r="AN22" s="32">
        <f>IF(AF22&gt;=0,IF(AF22&lt;=InputData!$C$148,InputData!$C$147*AF22,InputData!$C$147*InputData!$C$148)+InputData!$C$149*AF22,0)</f>
        <v>9086.0970287947457</v>
      </c>
      <c r="AO22" s="32">
        <f>IF(AH22&lt;0,0,IF(AH22&lt;=InputData!$B$163,InputData!$C$163*AH22,IF(AH22&lt;=InputData!$B$164,InputData!$D$163+InputData!$C$164*(AH22-InputData!$B$163),IF(AH22&lt;=InputData!$B$165,InputData!$D$164+InputData!$C$165*(AH22-InputData!$B$164),InputData!$D$165+InputData!$C$166*(AH22-InputData!$B$165)))))</f>
        <v>0</v>
      </c>
      <c r="AP22" s="43">
        <f t="shared" si="43"/>
        <v>0.27700521579977677</v>
      </c>
      <c r="AQ22" s="43">
        <f t="shared" si="44"/>
        <v>0.24581735137269095</v>
      </c>
      <c r="AR22" s="5">
        <f t="shared" si="45"/>
        <v>119374.17293806</v>
      </c>
      <c r="AS22" s="32">
        <f>AR22/((1+InputData!$C$7)^(Ophtha!$B22-Ophtha!$B$7))</f>
        <v>76621.739110895753</v>
      </c>
      <c r="AT22" s="5">
        <f t="shared" si="112"/>
        <v>886758.99735881819</v>
      </c>
      <c r="AU22" s="53"/>
      <c r="AV22" s="41" t="s">
        <v>109</v>
      </c>
      <c r="AW22" s="32">
        <f>$AW$15*(1+InputData!$C$3+InputData!$C$4)^(Ophtha!$B22-Ophtha!$B$17)</f>
        <v>292327.80438160454</v>
      </c>
      <c r="AX22" s="32">
        <v>0</v>
      </c>
      <c r="AY22" s="32">
        <f t="shared" si="47"/>
        <v>292327.80438160454</v>
      </c>
      <c r="AZ22" s="32">
        <f>AZ21*(1+InputData!$C$8)</f>
        <v>15464.027207344254</v>
      </c>
      <c r="BA22" s="32">
        <f>AW22/((1+InputData!$C$3)^(Ophtha!$B22-Ophtha!$B$7))</f>
        <v>217203.8646407346</v>
      </c>
      <c r="BB22" s="32">
        <f>AX22/((1+InputData!$C$3)^(Ophtha!$B22-Ophtha!$B$7))</f>
        <v>0</v>
      </c>
      <c r="BC22" s="32" t="s">
        <v>141</v>
      </c>
      <c r="BD22" s="32">
        <v>0</v>
      </c>
      <c r="BE22" s="32">
        <f t="shared" si="158"/>
        <v>94481.250405330473</v>
      </c>
      <c r="BF22" s="32">
        <f>(BE22)*InputData!$C$6</f>
        <v>5867.285650171023</v>
      </c>
      <c r="BG22" s="32">
        <f>MIN($BE$15*InputData!$C$6/(1-(1+InputData!$C$6)^(-10)), BE22+BF22)</f>
        <v>35483.780349040731</v>
      </c>
      <c r="BH22" s="32">
        <f t="shared" si="140"/>
        <v>64864.755706460761</v>
      </c>
      <c r="BI22" s="32">
        <f>BG22/((1+InputData!$C$3)^(Ophtha!$B22-Ophtha!$B$7))</f>
        <v>26364.971475014427</v>
      </c>
      <c r="BJ22" s="32">
        <f>IF(BA22-InputData!$C$158-InputData!$C$159&gt;=0,BA22-InputData!$C$158-InputData!$C$159,0)</f>
        <v>217203.8646407346</v>
      </c>
      <c r="BK22" s="32">
        <f>IF(BA22-IF(BA22&lt;=InputData!$C$146,InputData!$C$145,0)-MAX(InputData!$C$144,BQ22)&gt;=0,BA22-IF(BA22&lt;=InputData!$C$146,InputData!$C$145,0)-MAX(InputData!$C$144,BQ22),0)</f>
        <v>211103.8646407346</v>
      </c>
      <c r="BL22" s="32">
        <f>IF(BK22&lt;0,"Error",IF(BK22&lt;=InputData!$B$170,InputData!$C$170*BK22,IF(BK22&lt;=InputData!$B$171,InputData!$D$170+InputData!$C$171*(BK22-InputData!$B$170),IF(BK22&lt;=InputData!$B$172,InputData!$D$171+InputData!$C$172*(BK22-InputData!$B$171),IF(BK22&lt;=InputData!$B$173,InputData!$D$172+InputData!$C$173*(BK22-InputData!$B$172),IF(BK22&lt;=InputData!$B$174,InputData!$D$173+InputData!$C$174*(BK22-InputData!$B$173),IF(BK22&lt;=InputData!$B$175,InputData!$D$174+InputData!$C$175*(BK22-InputData!$B$174),InputData!$D$175+InputData!$C$176*(BK22-InputData!$B$175))))))))</f>
        <v>53795.025331442419</v>
      </c>
      <c r="BM22" s="32">
        <f>IF(BA22&lt;=InputData!$C$150,InputData!$C$152,IF(BA22&lt;InputData!$C$151,IF(InputData!$C$152-0.25*IF(BA22-InputData!$C$150&lt;=0,0,BA22-InputData!$C$150)&lt;=0,0,InputData!$C$152-0.25*IF(BA22-InputData!$C$150&lt;=0,0,BA22-InputData!$C$150)),0))</f>
        <v>26449.033839816351</v>
      </c>
      <c r="BN22" s="32">
        <f>IF(BA22-BM22&lt;=0,0,IF(BA22-BM22&lt;=InputData!$C$153,InputData!$C$154*(BA22-BM22),InputData!$C$155*(BA22-BM22)-InputData!$D$154))</f>
        <v>49821.352624257117</v>
      </c>
      <c r="BO22" s="32">
        <f t="shared" si="48"/>
        <v>53795.025331442419</v>
      </c>
      <c r="BP22" s="32">
        <f>IF(BA22&gt;=0,IF(BA22&lt;=InputData!$C$148,InputData!$C$147*BA22,InputData!$C$147*InputData!$C$148)+InputData!$C$149*BA22,0)</f>
        <v>10198.85603729065</v>
      </c>
      <c r="BQ22" s="32">
        <f>IF(BJ22&lt;0,0,IF(BJ22&lt;=InputData!$B$163,InputData!$C$163*BJ22,IF(BJ22&lt;=InputData!$B$164,InputData!$D$163+InputData!$C$164*(BJ22-InputData!$B$163),IF(BJ22&lt;=InputData!$B$165,InputData!$D$164+InputData!$C$165*(BJ22-InputData!$B$164),InputData!$D$165+InputData!$C$166*(BJ22-InputData!$B$165)))))</f>
        <v>0</v>
      </c>
      <c r="BR22" s="43">
        <f t="shared" si="49"/>
        <v>0.29462588741034584</v>
      </c>
      <c r="BS22" s="32">
        <f t="shared" si="50"/>
        <v>153209.98327200153</v>
      </c>
      <c r="BT22" s="32">
        <f t="shared" si="51"/>
        <v>126845.01179698709</v>
      </c>
      <c r="BU22" s="32">
        <f>BT22/((1+InputData!$C$7)^(Ophtha!$B22-Ophtha!$B$7))</f>
        <v>81416.986289573761</v>
      </c>
      <c r="BV22" s="5">
        <f t="shared" si="114"/>
        <v>643946.64265647193</v>
      </c>
      <c r="BW22" s="5"/>
      <c r="BX22" s="32" t="s">
        <v>141</v>
      </c>
      <c r="BY22" s="5">
        <f t="shared" si="159"/>
        <v>219931.87805715398</v>
      </c>
      <c r="BZ22" s="32">
        <f>(BY22)*InputData!$C$6</f>
        <v>13657.769627349262</v>
      </c>
      <c r="CA22" s="32">
        <f>MIN($BY$15*InputData!$C$6/(1-(1+InputData!$C$6)^(-25)), BY22+BZ22)</f>
        <v>20633.642137763909</v>
      </c>
      <c r="CB22" s="32">
        <f t="shared" si="160"/>
        <v>212956.00554673932</v>
      </c>
      <c r="CC22" s="32">
        <f>CA22/((1+InputData!$C$3)^(Ophtha!$B22-Ophtha!$B$7))</f>
        <v>15331.100041670385</v>
      </c>
      <c r="CD22" s="5">
        <f t="shared" si="55"/>
        <v>137878.88323033115</v>
      </c>
      <c r="CE22" s="32">
        <f>CD22/((1+InputData!$C$7)^(Ophtha!$B22-Ophtha!$B$7))</f>
        <v>88499.208495104991</v>
      </c>
      <c r="CF22" s="5">
        <f t="shared" si="115"/>
        <v>711720.85674953286</v>
      </c>
      <c r="CG22" s="5"/>
      <c r="CH22" s="32" t="s">
        <v>141</v>
      </c>
      <c r="CI22" s="5">
        <f t="shared" si="161"/>
        <v>99001.302093259816</v>
      </c>
      <c r="CJ22" s="32">
        <f>(CI22)*InputData!$C$6</f>
        <v>6147.980859991435</v>
      </c>
      <c r="CK22" s="5">
        <f t="shared" si="162"/>
        <v>35483.780349040731</v>
      </c>
      <c r="CL22" s="32">
        <f t="shared" si="163"/>
        <v>69665.502604210516</v>
      </c>
      <c r="CM22" s="32">
        <f>CK22/((1+InputData!$C$3)^(Ophtha!$B22-Ophtha!$B$7))</f>
        <v>26364.971475014427</v>
      </c>
      <c r="CN22" s="5">
        <f t="shared" si="59"/>
        <v>126845.01179698709</v>
      </c>
      <c r="CO22" s="32">
        <f>CN22/((1+InputData!$C$7)^(Ophtha!$B22-Ophtha!$B$7))</f>
        <v>81416.986289573761</v>
      </c>
      <c r="CP22" s="5">
        <f t="shared" si="149"/>
        <v>646091.68996774789</v>
      </c>
      <c r="CQ22" s="5"/>
      <c r="CR22" s="32" t="s">
        <v>141</v>
      </c>
      <c r="CS22" s="5">
        <f t="shared" si="164"/>
        <v>191954.24550799208</v>
      </c>
      <c r="CT22" s="32">
        <f>(CS22)*InputData!$C$6</f>
        <v>11920.358646046308</v>
      </c>
      <c r="CU22" s="32">
        <f t="shared" si="165"/>
        <v>26913.176357058815</v>
      </c>
      <c r="CV22" s="32">
        <f t="shared" si="166"/>
        <v>176961.42779697958</v>
      </c>
      <c r="CW22" s="32">
        <f>CU22/((1+InputData!$C$3)^(Ophtha!$B22-Ophtha!$B$7))</f>
        <v>19996.886464073457</v>
      </c>
      <c r="CX22" s="5">
        <f t="shared" si="63"/>
        <v>133213.09680792806</v>
      </c>
      <c r="CY22" s="32">
        <f>CX22/((1+InputData!$C$7)^(Ophtha!$B22-Ophtha!$B$7))</f>
        <v>85504.417735884184</v>
      </c>
      <c r="CZ22" s="5">
        <f t="shared" si="150"/>
        <v>695092.76402306871</v>
      </c>
      <c r="DA22" s="5"/>
      <c r="DB22" s="32" t="s">
        <v>141</v>
      </c>
      <c r="DC22" s="5">
        <f t="shared" si="141"/>
        <v>0</v>
      </c>
      <c r="DD22" s="5">
        <f>DC22*InputData!$C$6</f>
        <v>0</v>
      </c>
      <c r="DE22" s="32">
        <f t="shared" si="142"/>
        <v>0</v>
      </c>
      <c r="DF22" s="32">
        <f t="shared" si="143"/>
        <v>0</v>
      </c>
      <c r="DG22" s="32">
        <f>DE22/((1+InputData!$C$3)^(Ophtha!$B22-Ophtha!$B$7))</f>
        <v>0</v>
      </c>
      <c r="DH22" s="5">
        <f t="shared" si="67"/>
        <v>153209.98327200153</v>
      </c>
      <c r="DI22" s="32">
        <f>DH22/((1+InputData!$C$7)^(Ophtha!$B22-Ophtha!$B$7))</f>
        <v>98339.658223585444</v>
      </c>
      <c r="DJ22" s="5">
        <f t="shared" si="130"/>
        <v>617018.87907838821</v>
      </c>
      <c r="DK22" s="5"/>
      <c r="DL22" s="32" t="s">
        <v>141</v>
      </c>
      <c r="DM22" s="32">
        <f t="shared" si="167"/>
        <v>111208.78229819261</v>
      </c>
      <c r="DN22" s="5">
        <f>DM22*InputData!$C$6</f>
        <v>6906.0653807177614</v>
      </c>
      <c r="DO22" s="32">
        <f t="shared" si="168"/>
        <v>0</v>
      </c>
      <c r="DP22" s="32">
        <f t="shared" si="131"/>
        <v>29148.379963889372</v>
      </c>
      <c r="DQ22" s="32">
        <f t="shared" si="132"/>
        <v>88966.467715021005</v>
      </c>
      <c r="DR22" s="32">
        <f>DP22/((1+InputData!$C$3)^(Ophtha!$B22-Ophtha!$B$7))</f>
        <v>21657.675668472028</v>
      </c>
      <c r="DS22" s="5">
        <f t="shared" si="71"/>
        <v>131552.30760352951</v>
      </c>
      <c r="DT22" s="32">
        <f>DS22/((1+InputData!$C$7)^(Ophtha!$B22-Ophtha!$B$7))</f>
        <v>84438.420342933474</v>
      </c>
      <c r="DU22" s="5">
        <f t="shared" si="133"/>
        <v>654524.7055577545</v>
      </c>
      <c r="DV22" s="5"/>
      <c r="DW22" s="32" t="s">
        <v>141</v>
      </c>
      <c r="DX22" s="133">
        <f t="shared" si="144"/>
        <v>162134.43062589309</v>
      </c>
      <c r="DY22" s="5">
        <f>DX22*InputData!$C$6</f>
        <v>10068.548141867961</v>
      </c>
      <c r="DZ22" s="133">
        <f t="shared" si="145"/>
        <v>0</v>
      </c>
      <c r="EA22" s="32">
        <f t="shared" si="146"/>
        <v>26913.176357058815</v>
      </c>
      <c r="EB22" s="32">
        <f t="shared" si="147"/>
        <v>145289.80241070225</v>
      </c>
      <c r="EC22" s="32">
        <f>EA22/((1+InputData!$C$3)^(Ophtha!$B22-Ophtha!$B$7))</f>
        <v>19996.886464073457</v>
      </c>
      <c r="ED22" s="5">
        <f t="shared" si="75"/>
        <v>133213.09680792806</v>
      </c>
      <c r="EE22" s="32">
        <f>ED22/((1+InputData!$C$7)^(Ophtha!$B22-Ophtha!$B$7))</f>
        <v>85504.417735884184</v>
      </c>
      <c r="EF22" s="5">
        <f t="shared" si="134"/>
        <v>682868.81108279177</v>
      </c>
      <c r="EG22" s="32"/>
      <c r="EH22" s="133" t="s">
        <v>141</v>
      </c>
      <c r="EI22" s="32">
        <v>0</v>
      </c>
      <c r="EJ22" s="32">
        <f t="shared" si="175"/>
        <v>194192.8935811902</v>
      </c>
      <c r="EK22" s="32">
        <f>(EJ22)*InputData!$C$6</f>
        <v>12059.378691391912</v>
      </c>
      <c r="EL22" s="32">
        <f t="shared" si="173"/>
        <v>179339.0959155233</v>
      </c>
      <c r="EM22" s="32">
        <f>EM21*(1+InputData!$C$8)</f>
        <v>15464.027207344254</v>
      </c>
      <c r="EN22" s="32">
        <f t="shared" si="152"/>
        <v>26913.176357058815</v>
      </c>
      <c r="EO22" s="32">
        <f>AW22/((1+InputData!$C$3)^(Ophtha!$B22-Ophtha!$B$7))</f>
        <v>217203.8646407346</v>
      </c>
      <c r="EP22" s="32">
        <f>AX22/((1+InputData!$C$3)^(Ophtha!$B22-Ophtha!$B$7))</f>
        <v>0</v>
      </c>
      <c r="EQ22" s="32">
        <v>53728.33</v>
      </c>
      <c r="ER22" s="32">
        <v>8907.1949999999997</v>
      </c>
      <c r="ES22" s="32">
        <v>0</v>
      </c>
      <c r="ET22" s="43">
        <f t="shared" si="139"/>
        <v>0.28837205591899623</v>
      </c>
      <c r="EU22" s="32">
        <f t="shared" si="76"/>
        <v>154568.3396407346</v>
      </c>
      <c r="EV22" s="32">
        <f>EN22/((1+InputData!$C$3)^(Ophtha!$B22-Ophtha!$B$7))</f>
        <v>19996.886464073457</v>
      </c>
      <c r="EW22" s="32">
        <f t="shared" si="77"/>
        <v>134571.45317666113</v>
      </c>
      <c r="EX22" s="32">
        <f>EW22/((1+InputData!$C$7)^(Ophtha!$B22-Ophtha!$B$7))</f>
        <v>86376.294999977923</v>
      </c>
      <c r="EY22" s="5">
        <f t="shared" si="124"/>
        <v>778399.48816043104</v>
      </c>
      <c r="EZ22" s="79"/>
      <c r="FA22" s="32">
        <f t="shared" si="153"/>
        <v>95017.751361946968</v>
      </c>
      <c r="FB22" s="32">
        <f>FA22*InputData!$C$6</f>
        <v>5900.6023595769066</v>
      </c>
      <c r="FC22" s="32">
        <f t="shared" si="154"/>
        <v>65233.082790807312</v>
      </c>
      <c r="FD22" s="32">
        <f>MIN($EJ$15*InputData!$C$6/(1-(1+InputData!$C$6)^(-10)), FA22+FB22)</f>
        <v>35685.270930716564</v>
      </c>
      <c r="FE22" s="32">
        <f>FD22/((1+InputData!$C$3)^(Ophtha!$B22-Ophtha!$B$7))</f>
        <v>26514.681945153523</v>
      </c>
      <c r="FF22" s="5">
        <f t="shared" si="81"/>
        <v>128053.65769558107</v>
      </c>
      <c r="FG22" s="32">
        <f>FF22/((1+InputData!$C$7)^(Ophtha!$B22-Ophtha!$B$7))</f>
        <v>82192.770099758345</v>
      </c>
      <c r="FH22" s="5">
        <f t="shared" si="125"/>
        <v>726333.78842857271</v>
      </c>
      <c r="FI22" s="79"/>
      <c r="FJ22" s="32">
        <f t="shared" si="155"/>
        <v>221180.73603121689</v>
      </c>
      <c r="FK22" s="32">
        <f>FJ22*InputData!$C$6</f>
        <v>13735.32370753857</v>
      </c>
      <c r="FL22" s="32">
        <f t="shared" si="170"/>
        <v>214165.25182791063</v>
      </c>
      <c r="FM22" s="32">
        <f>MIN($EJ$15*InputData!$C$6/(1-(1+InputData!$C$6)^(-25)), FJ22+FK22)</f>
        <v>20750.807910844829</v>
      </c>
      <c r="FN22" s="32">
        <f>FM22/((1+InputData!$C$3)^(Ophtha!$B22-Ophtha!$B$7))</f>
        <v>15418.15593692</v>
      </c>
      <c r="FO22" s="5">
        <f t="shared" si="85"/>
        <v>139150.1837038146</v>
      </c>
      <c r="FP22" s="32">
        <f>FO22/((1+InputData!$C$7)^(Ophtha!$B22-Ophtha!$B$7))</f>
        <v>89315.207892741455</v>
      </c>
      <c r="FQ22" s="5">
        <f t="shared" si="126"/>
        <v>794492.85063211981</v>
      </c>
      <c r="FR22" s="79"/>
      <c r="FS22" s="32">
        <f t="shared" si="156"/>
        <v>100355.75607426462</v>
      </c>
      <c r="FT22" s="32">
        <f>FS22*InputData!$C$6</f>
        <v>6232.092452211833</v>
      </c>
      <c r="FU22" s="32">
        <f t="shared" si="171"/>
        <v>70902.577595759882</v>
      </c>
      <c r="FV22" s="5">
        <f t="shared" si="157"/>
        <v>35685.270930716564</v>
      </c>
      <c r="FW22" s="32">
        <f>FV22/((1+InputData!$C$3)^(Ophtha!$B22-Ophtha!$B$7))</f>
        <v>26514.681945153523</v>
      </c>
      <c r="FX22" s="5">
        <f t="shared" si="88"/>
        <v>128053.65769558107</v>
      </c>
      <c r="FY22" s="32">
        <f>FX22/((1+InputData!$C$7)^(Ophtha!$B22-Ophtha!$B$7))</f>
        <v>82192.770099758345</v>
      </c>
      <c r="FZ22" s="5">
        <f t="shared" si="127"/>
        <v>728866.80033303425</v>
      </c>
      <c r="GC22" s="3">
        <f t="shared" si="2"/>
        <v>12</v>
      </c>
      <c r="GD22" s="122" t="str">
        <f t="shared" si="3"/>
        <v>Multi-Year (O4&gt;10 = (BP+BAH+BAS+VSP+BCPSP)*12+ASP)+ISP+MSP</v>
      </c>
      <c r="GE22" s="5">
        <f t="shared" si="4"/>
        <v>162832.24</v>
      </c>
      <c r="GF22" s="5">
        <f t="shared" si="5"/>
        <v>20659.199999999997</v>
      </c>
      <c r="GG22" s="5">
        <f t="shared" si="6"/>
        <v>183491.44</v>
      </c>
      <c r="GH22" s="5">
        <f t="shared" si="7"/>
        <v>140461.86405481008</v>
      </c>
      <c r="GI22" s="5">
        <f t="shared" si="8"/>
        <v>17820.977847391474</v>
      </c>
      <c r="GJ22" s="32">
        <f>IF(GH22-InputData!$C$158-InputData!$C$159&gt;=0,GH22-InputData!$C$158-InputData!$C$159,0)</f>
        <v>140461.86405481008</v>
      </c>
      <c r="GK22" s="32">
        <f>IF(GH22-IF(GH22&lt;=InputData!$C$146,InputData!$C$145,0)-MAX(InputData!$C$144,GQ22)&gt;=0,GH22-IF(GH22&lt;=InputData!$C$146,InputData!$C$145,0)-MAX(InputData!$C$144,GQ22),0)</f>
        <v>130461.86405481008</v>
      </c>
      <c r="GL22" s="32">
        <f>IF(GK22&lt;0,"Error",IF(GK22&lt;=InputData!$B$170,InputData!$C$170*GK22,IF(GK22&lt;=InputData!$B$171,InputData!$D$170+InputData!$C$171*(GK22-InputData!$B$170),IF(GK22&lt;=InputData!$B$172,InputData!$D$171+InputData!$C$172*(GK22-InputData!$B$171),IF(GK22&lt;=InputData!$B$173,InputData!$D$172+InputData!$C$173*(GK22-InputData!$B$172),IF(GK22&lt;=InputData!$B$174,InputData!$D$173+InputData!$C$174*(GK22-InputData!$B$173),IF(GK22&lt;=InputData!$B$175,InputData!$D$174+InputData!$C$175*(GK22-InputData!$B$174),InputData!$D$175+InputData!$C$176*(GK22-InputData!$B$175))))))))</f>
        <v>29822.571935346823</v>
      </c>
      <c r="GM22" s="32">
        <f>IF(GH22&lt;=InputData!$C$150,InputData!$C$152,IF(GH22&lt;InputData!$C$151,IF(InputData!$C$152-0.25*IF(GH22-InputData!$C$150&lt;=0,0,GH22-InputData!$C$150)&lt;=0,0,InputData!$C$152-0.25*IF(GH22-InputData!$C$150&lt;=0,0,GH22-InputData!$C$150)),0))</f>
        <v>45634.53398629748</v>
      </c>
      <c r="GN22" s="32">
        <f>IF(GH22-GM22&lt;=0,0,IF(GH22-GM22&lt;=InputData!$C$153,InputData!$C$154*(GH22-GM22),InputData!$C$155*(GH22-GM22)-InputData!$D$154))</f>
        <v>24655.105817813277</v>
      </c>
      <c r="GO22" s="32">
        <f t="shared" si="89"/>
        <v>29822.571935346823</v>
      </c>
      <c r="GP22" s="32">
        <f>IF(GH22&gt;=0,IF(GH22&lt;=InputData!$C$148,InputData!$C$147*GH22,InputData!$C$147*InputData!$C$148)+InputData!$C$149*GH22,0)</f>
        <v>9086.0970287947457</v>
      </c>
      <c r="GQ22" s="32">
        <f>IF(GJ22&lt;0,0,IF(GJ22&lt;=InputData!$B$163,InputData!$C$163*GJ22,IF(GJ22&lt;=InputData!$B$164,InputData!$D$163+InputData!$C$164*(GJ22-InputData!$B$163),IF(GJ22&lt;=InputData!$B$165,InputData!$D$164+InputData!$C$165*(GJ22-InputData!$B$164),InputData!$D$165+InputData!$C$166*(GJ22-InputData!$B$165)))))</f>
        <v>0</v>
      </c>
      <c r="GR22" s="43">
        <f t="shared" si="90"/>
        <v>0.27700521579977677</v>
      </c>
      <c r="GS22" s="43">
        <f t="shared" si="91"/>
        <v>0.24581735137269095</v>
      </c>
      <c r="GT22" s="5">
        <f t="shared" si="9"/>
        <v>119374.17293806</v>
      </c>
      <c r="GU22" s="32">
        <f>GT22/((1+InputData!$C$7)^(Ophtha!$B22-Ophtha!$B$7))</f>
        <v>76621.739110895753</v>
      </c>
      <c r="GV22" s="32">
        <f t="shared" si="92"/>
        <v>911525.4134748918</v>
      </c>
      <c r="GX22" s="3">
        <f t="shared" si="10"/>
        <v>12</v>
      </c>
      <c r="GY22" s="122" t="str">
        <f t="shared" si="11"/>
        <v>Multi-Year (O4&gt;10 = (BP+BAH+BAS+VSP+BCPSP)*12+ASP+ISP+MSP)</v>
      </c>
      <c r="GZ22" s="5">
        <f t="shared" si="12"/>
        <v>162832.24</v>
      </c>
      <c r="HA22" s="5">
        <f t="shared" si="13"/>
        <v>20659.199999999997</v>
      </c>
      <c r="HB22" s="5">
        <f t="shared" si="14"/>
        <v>183491.44</v>
      </c>
      <c r="HC22" s="5">
        <f t="shared" si="15"/>
        <v>140461.86405481008</v>
      </c>
      <c r="HD22" s="5">
        <f t="shared" si="16"/>
        <v>17820.977847391474</v>
      </c>
      <c r="HE22" s="32">
        <f>IF(HC22-InputData!$C$158-InputData!$C$159&gt;=0,HC22-InputData!$C$158-InputData!$C$159,0)</f>
        <v>140461.86405481008</v>
      </c>
      <c r="HF22" s="32">
        <f>IF(HC22-IF(HC22&lt;=InputData!$C$146,InputData!$C$145,0)-MAX(InputData!$C$144,HL22)&gt;=0,HC22-IF(HC22&lt;=InputData!$C$146,InputData!$C$145,0)-MAX(InputData!$C$144,HL22),0)</f>
        <v>130461.86405481008</v>
      </c>
      <c r="HG22" s="32">
        <f>IF(HF22&lt;0,"Error",IF(HF22&lt;=InputData!$B$170,InputData!$C$170*HF22,IF(HF22&lt;=InputData!$B$171,InputData!$D$170+InputData!$C$171*(HF22-InputData!$B$170),IF(HF22&lt;=InputData!$B$172,InputData!$D$171+InputData!$C$172*(HF22-InputData!$B$171),IF(HF22&lt;=InputData!$B$173,InputData!$D$172+InputData!$C$173*(HF22-InputData!$B$172),IF(HF22&lt;=InputData!$B$174,InputData!$D$173+InputData!$C$174*(HF22-InputData!$B$173),IF(HF22&lt;=InputData!$B$175,InputData!$D$174+InputData!$C$175*(HF22-InputData!$B$174),InputData!$D$175+InputData!$C$176*(HF22-InputData!$B$175))))))))</f>
        <v>29822.571935346823</v>
      </c>
      <c r="HH22" s="32">
        <f>IF(HC22&lt;=InputData!$C$150,InputData!$C$152,IF(HC22&lt;InputData!$C$151,IF(InputData!$C$152-0.25*IF(HC22-InputData!$C$150&lt;=0,0,HC22-InputData!$C$150)&lt;=0,0,InputData!$C$152-0.25*IF(HC22-InputData!$C$150&lt;=0,0,HC22-InputData!$C$150)),0))</f>
        <v>45634.53398629748</v>
      </c>
      <c r="HI22" s="32">
        <f>IF(HC22-HH22&lt;=0,0,IF(HC22-HH22&lt;=InputData!$C$153,InputData!$C$154*(HC22-HH22),InputData!$C$155*(HC22-HH22)-InputData!$D$154))</f>
        <v>24655.105817813277</v>
      </c>
      <c r="HJ22" s="32">
        <f t="shared" si="93"/>
        <v>29822.571935346823</v>
      </c>
      <c r="HK22" s="32">
        <f>IF(HC22&gt;=0,IF(HC22&lt;=InputData!$C$148,InputData!$C$147*HC22,InputData!$C$147*InputData!$C$148)+InputData!$C$149*HC22,0)</f>
        <v>9086.0970287947457</v>
      </c>
      <c r="HL22" s="32">
        <f>IF(HE22&lt;0,0,IF(HE22&lt;=InputData!$B$163,InputData!$C$163*HE22,IF(HE22&lt;=InputData!$B$164,InputData!$D$163+InputData!$C$164*(HE22-InputData!$B$163),IF(HE22&lt;=InputData!$B$165,InputData!$D$164+InputData!$C$165*(HE22-InputData!$B$164),InputData!$D$165+InputData!$C$166*(HE22-InputData!$B$165)))))</f>
        <v>0</v>
      </c>
      <c r="HM22" s="43">
        <f t="shared" si="94"/>
        <v>0.27700521579977677</v>
      </c>
      <c r="HN22" s="43">
        <f t="shared" si="95"/>
        <v>0.24581735137269095</v>
      </c>
      <c r="HO22" s="5">
        <f t="shared" si="17"/>
        <v>119374.17293806</v>
      </c>
      <c r="HP22" s="32">
        <f>HO22/((1+InputData!$C$7)^(Ophtha!$B22-Ophtha!$B$7))</f>
        <v>76621.739110895753</v>
      </c>
      <c r="HQ22" s="32">
        <f t="shared" si="96"/>
        <v>886758.99735881819</v>
      </c>
      <c r="HS22" s="90"/>
      <c r="HT22" s="53" t="s">
        <v>109</v>
      </c>
      <c r="HU22" s="32">
        <f>MIN(InputData!$C$13+InputData!$E$13*($B22-$B$22),1)*Ophtha!AW22</f>
        <v>263095.02394344407</v>
      </c>
      <c r="HV22" s="32">
        <f>MIN(InputData!$C$13+InputData!$E$13*($B22-$B$22),1)*Ophtha!AX22</f>
        <v>0</v>
      </c>
      <c r="HW22" s="32">
        <f>MIN(InputData!$C$13+InputData!$E$13*($B22-$B$22),1)*Ophtha!AY22</f>
        <v>263095.02394344407</v>
      </c>
      <c r="HX22" s="32">
        <f>MIN(InputData!$C$13+InputData!$E$13*($B22-$B$22),1)*Ophtha!BA22</f>
        <v>195483.47817666113</v>
      </c>
      <c r="HY22" s="32">
        <f>MIN(InputData!$C$13+InputData!$E$13*($B22-$B$22),1)*Ophtha!BB22</f>
        <v>0</v>
      </c>
      <c r="HZ22" s="32">
        <f>IF(HX22-InputData!$C$158-InputData!$C$159&gt;=0,HX22-InputData!$C$158-InputData!$C$159,0)</f>
        <v>195483.47817666113</v>
      </c>
      <c r="IA22" s="32">
        <f>IF(HX22-IF(HX22&lt;=InputData!$C$146,InputData!$C$145,0)-MAX(InputData!$C$144,IG22)&gt;=0,HX22-IF(HX22&lt;=InputData!$C$146,InputData!$C$145,0)-MAX(InputData!$C$144,IG22),0)</f>
        <v>189383.47817666113</v>
      </c>
      <c r="IB22" s="32">
        <f>IF(IA22&lt;0,"Error",IF(IA22&lt;=InputData!$B$170,InputData!$C$170*IA22,IF(IA22&lt;=InputData!$B$171,InputData!$D$170+InputData!$C$171*(IA22-InputData!$B$170),IF(IA22&lt;=InputData!$B$172,InputData!$D$171+InputData!$C$172*(IA22-InputData!$B$171),IF(IA22&lt;=InputData!$B$173,InputData!$D$172+InputData!$C$173*(IA22-InputData!$B$172),IF(IA22&lt;=InputData!$B$174,InputData!$D$173+InputData!$C$174*(IA22-InputData!$B$173),IF(IA22&lt;=InputData!$B$175,InputData!$D$174+InputData!$C$175*(IA22-InputData!$B$174),InputData!$D$175+InputData!$C$176*(IA22-InputData!$B$175))))))))</f>
        <v>46627.297798298168</v>
      </c>
      <c r="IC22" s="32">
        <f>IF(HX22&lt;=InputData!$C$150,InputData!$C$152,IF(HX22&lt;InputData!$C$151,IF(InputData!$C$152-0.25*IF(HX22-InputData!$C$150&lt;=0,0,HX22-InputData!$C$150)&lt;=0,0,InputData!$C$152-0.25*IF(HX22-InputData!$C$150&lt;=0,0,HX22-InputData!$C$150)),0))</f>
        <v>31879.130455834718</v>
      </c>
      <c r="ID22" s="32">
        <f>IF(HX22-IC22&lt;=0,0,IF(HX22-IC22&lt;=InputData!$C$153,InputData!$C$154*(HX22-IC22),InputData!$C$155*(HX22-IC22)-InputData!$D$154))</f>
        <v>42537.130407414865</v>
      </c>
      <c r="IE22" s="32">
        <f t="shared" si="97"/>
        <v>46627.297798298168</v>
      </c>
      <c r="IF22" s="32">
        <f>IF(HX22&gt;=0,IF(HX22&lt;=InputData!$C$148,InputData!$C$147*HX22,InputData!$C$147*InputData!$C$148)+InputData!$C$149*HX22,0)</f>
        <v>9883.9104335615866</v>
      </c>
      <c r="IG22" s="32">
        <f>IF(HZ22&lt;0,0,IF(HZ22&lt;=InputData!$B$163,InputData!$C$163*HZ22,IF(HZ22&lt;=InputData!$B$164,InputData!$D$163+InputData!$C$164*(HZ22-InputData!$B$163),IF(HZ22&lt;=InputData!$B$165,InputData!$D$164+InputData!$C$165*(HZ22-InputData!$B$164),InputData!$D$165+InputData!$C$166*(HZ22-InputData!$B$165)))))</f>
        <v>0</v>
      </c>
      <c r="IH22" s="43">
        <f t="shared" si="98"/>
        <v>0.2890843193448287</v>
      </c>
      <c r="II22" s="43">
        <f t="shared" si="99"/>
        <v>0.2890843193448287</v>
      </c>
      <c r="IJ22" s="5">
        <f t="shared" si="100"/>
        <v>138972.26994480134</v>
      </c>
      <c r="IK22" s="32">
        <f>IJ22/((1+InputData!$C$7)^(Ophtha!$B22-Ophtha!$B$7))</f>
        <v>89201.011820912536</v>
      </c>
      <c r="IL22" s="5">
        <f t="shared" si="101"/>
        <v>924104.6861849085</v>
      </c>
      <c r="IN22" s="94"/>
      <c r="IO22" s="53" t="s">
        <v>109</v>
      </c>
      <c r="IP22" s="32">
        <f>MIN(InputData!$C$13+InputData!$E$13*($B22-$B$19),1)*Ophtha!AW22</f>
        <v>263095.02394344407</v>
      </c>
      <c r="IQ22" s="32">
        <f>MIN(InputData!$C$13+InputData!$E$13*($B22-$B$19),1)*Ophtha!AX22</f>
        <v>0</v>
      </c>
      <c r="IR22" s="32">
        <f>MIN(InputData!$C$13+InputData!$E$13*($B22-$B$19),1)*Ophtha!AY22</f>
        <v>263095.02394344407</v>
      </c>
      <c r="IS22" s="32">
        <f>MIN(InputData!$C$13+InputData!$E$13*($B22-$B$19),1)*Ophtha!BA22</f>
        <v>195483.47817666113</v>
      </c>
      <c r="IT22" s="32">
        <f>MIN(InputData!$C$13+InputData!$E$13*($B22-$B$19),1)*Ophtha!BB22</f>
        <v>0</v>
      </c>
      <c r="IU22" s="32">
        <f>IF(IS22-InputData!$C$158-InputData!$C$159&gt;=0,IS22-InputData!$C$158-InputData!$C$159,0)</f>
        <v>195483.47817666113</v>
      </c>
      <c r="IV22" s="32">
        <f>IF(IS22-IF(IS22&lt;=InputData!$C$146,InputData!$C$145,0)-MAX(InputData!$C$144,JB22)&gt;=0,IS22-IF(IS22&lt;=InputData!$C$146,InputData!$C$145,0)-MAX(InputData!$C$144,JB22),0)</f>
        <v>189383.47817666113</v>
      </c>
      <c r="IW22" s="32">
        <f>IF(IV22&lt;0,"Error",IF(IV22&lt;=InputData!$B$170,InputData!$C$170*IV22,IF(IV22&lt;=InputData!$B$171,InputData!$D$170+InputData!$C$171*(IV22-InputData!$B$170),IF(IV22&lt;=InputData!$B$172,InputData!$D$171+InputData!$C$172*(IV22-InputData!$B$171),IF(IV22&lt;=InputData!$B$173,InputData!$D$172+InputData!$C$173*(IV22-InputData!$B$172),IF(IV22&lt;=InputData!$B$174,InputData!$D$173+InputData!$C$174*(IV22-InputData!$B$173),IF(IV22&lt;=InputData!$B$175,InputData!$D$174+InputData!$C$175*(IV22-InputData!$B$174),InputData!$D$175+InputData!$C$176*(IV22-InputData!$B$175))))))))</f>
        <v>46627.297798298168</v>
      </c>
      <c r="IX22" s="32">
        <f>IF(IS22&lt;=InputData!$C$150,InputData!$C$152,IF(IS22&lt;InputData!$C$151,IF(InputData!$C$152-0.25*IF(IS22-InputData!$C$150&lt;=0,0,IS22-InputData!$C$150)&lt;=0,0,InputData!$C$152-0.25*IF(IS22-InputData!$C$150&lt;=0,0,IS22-InputData!$C$150)),0))</f>
        <v>31879.130455834718</v>
      </c>
      <c r="IY22" s="32">
        <f>IF(IS22-IX22&lt;=0,0,IF(IS22-IX22&lt;=InputData!$C$153,InputData!$C$154*(IS22-IX22),InputData!$C$155*(IS22-IX22)-InputData!$D$154))</f>
        <v>42537.130407414865</v>
      </c>
      <c r="IZ22" s="32">
        <f t="shared" si="102"/>
        <v>46627.297798298168</v>
      </c>
      <c r="JA22" s="32">
        <f>IF(IS22&gt;=0,IF(IS22&lt;=InputData!$C$148,InputData!$C$147*IS22,InputData!$C$147*InputData!$C$148)+InputData!$C$149*IS22,0)</f>
        <v>9883.9104335615866</v>
      </c>
      <c r="JB22" s="32">
        <f>IF(IU22&lt;0,0,IF(IU22&lt;=InputData!$B$163,InputData!$C$163*IU22,IF(IU22&lt;=InputData!$B$164,InputData!$D$163+InputData!$C$164*(IU22-InputData!$B$163),IF(IU22&lt;=InputData!$B$165,InputData!$D$164+InputData!$C$165*(IU22-InputData!$B$164),InputData!$D$165+InputData!$C$166*(IU22-InputData!$B$165)))))</f>
        <v>0</v>
      </c>
      <c r="JC22" s="43">
        <f t="shared" si="103"/>
        <v>0.2890843193448287</v>
      </c>
      <c r="JD22" s="43">
        <f t="shared" si="104"/>
        <v>0.2890843193448287</v>
      </c>
      <c r="JE22" s="5">
        <f t="shared" si="105"/>
        <v>138972.26994480134</v>
      </c>
      <c r="JF22" s="32">
        <f>JE22/((1+InputData!$C$7)^(Ophtha!$B22-Ophtha!$B$7))</f>
        <v>89201.011820912536</v>
      </c>
      <c r="JG22" s="5">
        <f t="shared" si="106"/>
        <v>934230.8578847535</v>
      </c>
      <c r="JI22" s="41" t="str">
        <f t="shared" si="32"/>
        <v>Private Practice</v>
      </c>
      <c r="JJ22" s="5">
        <f t="shared" si="33"/>
        <v>292327.80438160454</v>
      </c>
      <c r="JK22" s="32">
        <v>0</v>
      </c>
      <c r="JL22" s="32">
        <f t="shared" si="108"/>
        <v>292327.80438160454</v>
      </c>
      <c r="JM22" s="32">
        <f>JM21*(1+InputData!$C$8)</f>
        <v>15464.027207344254</v>
      </c>
      <c r="JN22" s="32">
        <f>JJ22/((1+InputData!$C$3)^(Ophtha!$B22-Ophtha!$B$7))</f>
        <v>217203.8646407346</v>
      </c>
      <c r="JO22" s="32">
        <f>JK22/((1+InputData!$C$3)^(Ophtha!$B22-Ophtha!$B$7))</f>
        <v>0</v>
      </c>
      <c r="JP22" s="32" t="s">
        <v>141</v>
      </c>
      <c r="JQ22" s="32">
        <v>0</v>
      </c>
      <c r="JR22" s="32">
        <f t="shared" si="172"/>
        <v>0</v>
      </c>
      <c r="JS22" s="32">
        <f>(JR22)*InputData!$C$6</f>
        <v>0</v>
      </c>
      <c r="JT22" s="32">
        <f>MIN($BE$15*InputData!$C$6/(1-(1+InputData!$C$6)^(-10)), JR22+JS22)</f>
        <v>0</v>
      </c>
      <c r="JU22" s="32">
        <f t="shared" si="148"/>
        <v>0</v>
      </c>
      <c r="JV22" s="32">
        <f>JT22/((1+InputData!$C$3)^(Ophtha!$B22-Ophtha!$B$7))</f>
        <v>0</v>
      </c>
      <c r="JW22" s="32">
        <f>IF(JN22-InputData!$C$158-InputData!$C$159&gt;=0,JN22-InputData!$C$158-InputData!$C$159,0)</f>
        <v>217203.8646407346</v>
      </c>
      <c r="JX22" s="32">
        <f>IF(JN22-IF(JN22&lt;=InputData!$C$146,InputData!$C$145,0)-MAX(InputData!$C$144,KD22)&gt;=0,JN22-IF(JN22&lt;=InputData!$C$146,InputData!$C$145,0)-MAX(InputData!$C$144,KD22),0)</f>
        <v>211103.8646407346</v>
      </c>
      <c r="JY22" s="32">
        <f>IF(JX22&lt;0,"Error",IF(JX22&lt;=InputData!$B$170,InputData!$C$170*JX22,IF(JX22&lt;=InputData!$B$171,InputData!$D$170+InputData!$C$171*(JX22-InputData!$B$170),IF(JX22&lt;=InputData!$B$172,InputData!$D$171+InputData!$C$172*(JX22-InputData!$B$171),IF(JX22&lt;=InputData!$B$173,InputData!$D$172+InputData!$C$173*(JX22-InputData!$B$172),IF(JX22&lt;=InputData!$B$174,InputData!$D$173+InputData!$C$174*(JX22-InputData!$B$173),IF(JX22&lt;=InputData!$B$175,InputData!$D$174+InputData!$C$175*(JX22-InputData!$B$174),InputData!$D$175+InputData!$C$176*(JX22-InputData!$B$175))))))))</f>
        <v>53795.025331442419</v>
      </c>
      <c r="JZ22" s="32">
        <f>IF(JN22&lt;=InputData!$C$150,InputData!$C$152,IF(JN22&lt;InputData!$C$151,IF(InputData!$C$152-0.25*IF(JN22-InputData!$C$150&lt;=0,0,JN22-InputData!$C$150)&lt;=0,0,InputData!$C$152-0.25*IF(JN22-InputData!$C$150&lt;=0,0,JN22-InputData!$C$150)),0))</f>
        <v>26449.033839816351</v>
      </c>
      <c r="KA22" s="32">
        <f>IF(JN22-JZ22&lt;=0,0,IF(JN22-JZ22&lt;=InputData!$C$153,InputData!$C$154*(JN22-JZ22),InputData!$C$155*(JN22-JZ22)-InputData!$D$154))</f>
        <v>49821.352624257117</v>
      </c>
      <c r="KB22" s="32">
        <f t="shared" si="109"/>
        <v>53795.025331442419</v>
      </c>
      <c r="KC22" s="32">
        <f>IF(JN22&gt;=0,IF(JN22&lt;=InputData!$C$148,InputData!$C$147*JN22,InputData!$C$147*InputData!$C$148)+InputData!$C$149*JN22,0)</f>
        <v>10198.85603729065</v>
      </c>
      <c r="KD22" s="32">
        <f>IF(JW22&lt;0,0,IF(JW22&lt;=InputData!$B$163,InputData!$C$163*JW22,IF(JW22&lt;=InputData!$B$164,InputData!$D$163+InputData!$C$164*(JW22-InputData!$B$163),IF(JW22&lt;=InputData!$B$165,InputData!$D$164+InputData!$C$165*(JW22-InputData!$B$164),InputData!$D$165+InputData!$C$166*(JW22-InputData!$B$165)))))</f>
        <v>0</v>
      </c>
      <c r="KE22" s="43">
        <f t="shared" si="34"/>
        <v>0.29462588741034584</v>
      </c>
      <c r="KF22" s="32">
        <f t="shared" si="35"/>
        <v>153209.98327200153</v>
      </c>
      <c r="KG22" s="32">
        <f t="shared" si="110"/>
        <v>153209.98327200153</v>
      </c>
      <c r="KH22" s="32">
        <f>KG22/((1+InputData!$C$7)^(Ophtha!$B22-Ophtha!$B$7))</f>
        <v>98339.658223585444</v>
      </c>
      <c r="KI22" s="5">
        <f t="shared" si="129"/>
        <v>996757.65552271239</v>
      </c>
    </row>
    <row r="23" spans="1:295" ht="14.45" x14ac:dyDescent="0.3">
      <c r="A23" s="4">
        <v>2029</v>
      </c>
      <c r="B23" s="51">
        <v>17</v>
      </c>
      <c r="C23" s="4"/>
      <c r="D23" s="3">
        <v>13</v>
      </c>
      <c r="E23" s="97" t="s">
        <v>279</v>
      </c>
      <c r="F23" s="5">
        <f>InputData!$J$22*12</f>
        <v>85420.799999999988</v>
      </c>
      <c r="G23" s="32">
        <f>(InputData!$J$22+InputData!$H$45+InputData!$E$50)*12+InputData!$J$50+InputData!$D$60+InputData!$J$60</f>
        <v>169420.72</v>
      </c>
      <c r="H23" s="32">
        <f>(InputData!$C$33+InputData!$C$40)*12</f>
        <v>21019.199999999997</v>
      </c>
      <c r="I23" s="32">
        <f t="shared" si="36"/>
        <v>190439.91999999998</v>
      </c>
      <c r="J23" s="32">
        <f>G23*((1+InputData!$C$5)/(1+InputData!$C$3))^(Ophtha!$B23-Ophtha!$B$7)</f>
        <v>144712.40306693374</v>
      </c>
      <c r="K23" s="32">
        <f>H23*((1+InputData!$C$5)/(1+InputData!$C$3))^(Ophtha!$B23-Ophtha!$B$7)</f>
        <v>17953.759980151739</v>
      </c>
      <c r="L23" s="32">
        <f>IF(J23-InputData!$C$158-InputData!$C$159&gt;=0,J23-InputData!$C$158-InputData!$C$159,0)</f>
        <v>144712.40306693374</v>
      </c>
      <c r="M23" s="32">
        <f>IF(J23-IF(J23&lt;=InputData!$C$146,InputData!$C$145,0)-MAX(InputData!$C$144,S23)&gt;=0,J23-IF(J23&lt;=InputData!$C$146,InputData!$C$145,0)-MAX(InputData!$C$144,S23),0)</f>
        <v>134712.40306693374</v>
      </c>
      <c r="N23" s="32">
        <f>IF(M23&lt;0,"Error",IF(M23&lt;=InputData!$B$170,InputData!$C$170*M23,IF(M23&lt;=InputData!$B$171,InputData!$D$170+InputData!$C$171*(M23-InputData!$B$170),IF(M23&lt;=InputData!$B$172,InputData!$D$171+InputData!$C$172*(M23-InputData!$B$171),IF(M23&lt;=InputData!$B$173,InputData!$D$172+InputData!$C$173*(M23-InputData!$B$172),IF(M23&lt;=InputData!$B$174,InputData!$D$173+InputData!$C$174*(M23-InputData!$B$173),IF(M23&lt;=InputData!$B$175,InputData!$D$174+InputData!$C$175*(M23-InputData!$B$174),InputData!$D$175+InputData!$C$176*(M23-InputData!$B$175))))))))</f>
        <v>31012.72285874145</v>
      </c>
      <c r="O23" s="32">
        <f>IF(J23&lt;=InputData!$C$150,InputData!$C$152,IF(J23&lt;InputData!$C$151,IF(InputData!$C$152-0.25*IF(J23-InputData!$C$150&lt;=0,0,J23-InputData!$C$150)&lt;=0,0,InputData!$C$152-0.25*IF(J23-InputData!$C$150&lt;=0,0,J23-InputData!$C$150)),0))</f>
        <v>44571.899233266566</v>
      </c>
      <c r="P23" s="32">
        <f>IF(J23-O23&lt;=0,0,IF(J23-O23&lt;=InputData!$C$153,InputData!$C$154*(J23-O23),InputData!$C$155*(J23-O23)-InputData!$D$154))</f>
        <v>26036.530996753467</v>
      </c>
      <c r="Q23" s="32">
        <f t="shared" si="37"/>
        <v>31012.72285874145</v>
      </c>
      <c r="R23" s="32">
        <f>IF(J23&gt;=0,IF(J23&lt;=InputData!$C$148,InputData!$C$147*J23,InputData!$C$147*InputData!$C$148)+InputData!$C$149*J23,0)</f>
        <v>9147.7298444705393</v>
      </c>
      <c r="S23" s="32">
        <f>IF(L23&lt;0,0,IF(L23&lt;=InputData!$B$163,InputData!$C$163*L23,IF(L23&lt;=InputData!$B$164,InputData!$D$163+InputData!$C$164*(L23-InputData!$B$163),IF(L23&lt;=InputData!$B$165,InputData!$D$164+InputData!$C$165*(L23-InputData!$B$164),InputData!$D$165+InputData!$C$166*(L23-InputData!$B$165)))))</f>
        <v>0</v>
      </c>
      <c r="T23" s="43">
        <f t="shared" si="38"/>
        <v>0.27751907819979049</v>
      </c>
      <c r="U23" s="43">
        <f t="shared" si="39"/>
        <v>0.24688879328632782</v>
      </c>
      <c r="V23" s="5">
        <f t="shared" si="40"/>
        <v>122505.71034387351</v>
      </c>
      <c r="W23" s="32">
        <f>V23/((1+InputData!$C$7)^(Ophtha!$B23-Ophtha!$B$7))</f>
        <v>76341.50855197756</v>
      </c>
      <c r="X23" s="5">
        <f t="shared" si="111"/>
        <v>987866.92202686938</v>
      </c>
      <c r="Y23" s="53"/>
      <c r="Z23" s="3">
        <v>13</v>
      </c>
      <c r="AA23" s="97" t="s">
        <v>263</v>
      </c>
      <c r="AB23" s="5">
        <f t="shared" si="136"/>
        <v>85420.799999999988</v>
      </c>
      <c r="AC23" s="32">
        <f t="shared" si="176"/>
        <v>169420.72</v>
      </c>
      <c r="AD23" s="32">
        <f t="shared" si="174"/>
        <v>21019.199999999997</v>
      </c>
      <c r="AE23" s="32">
        <f t="shared" si="41"/>
        <v>190439.91999999998</v>
      </c>
      <c r="AF23" s="5">
        <f>AC23*((1+InputData!$C$5)/(1+InputData!$C$3))^(Ophtha!$B23-Ophtha!$B$7)</f>
        <v>144712.40306693374</v>
      </c>
      <c r="AG23" s="5">
        <f>AD23*((1+InputData!$C$5)/(1+InputData!$C$3))^(Ophtha!$B23-Ophtha!$B$7)</f>
        <v>17953.759980151739</v>
      </c>
      <c r="AH23" s="32">
        <f>IF(AF23-InputData!$C$158-InputData!$C$159&gt;=0,AF23-InputData!$C$158-InputData!$C$159,0)</f>
        <v>144712.40306693374</v>
      </c>
      <c r="AI23" s="32">
        <f>IF(AF23-IF(AF23&lt;=InputData!$C$146,InputData!$C$145,0)-MAX(InputData!$C$144,AO23)&gt;=0,AF23-IF(AF23&lt;=InputData!$C$146,InputData!$C$145,0)-MAX(InputData!$C$144,AO23),0)</f>
        <v>134712.40306693374</v>
      </c>
      <c r="AJ23" s="32">
        <f>IF(AI23&lt;0,"Error",IF(AI23&lt;=InputData!$B$170,InputData!$C$170*AI23,IF(AI23&lt;=InputData!$B$171,InputData!$D$170+InputData!$C$171*(AI23-InputData!$B$170),IF(AI23&lt;=InputData!$B$172,InputData!$D$171+InputData!$C$172*(AI23-InputData!$B$171),IF(AI23&lt;=InputData!$B$173,InputData!$D$172+InputData!$C$173*(AI23-InputData!$B$172),IF(AI23&lt;=InputData!$B$174,InputData!$D$173+InputData!$C$174*(AI23-InputData!$B$173),IF(AI23&lt;=InputData!$B$175,InputData!$D$174+InputData!$C$175*(AI23-InputData!$B$174),InputData!$D$175+InputData!$C$176*(AI23-InputData!$B$175))))))))</f>
        <v>31012.72285874145</v>
      </c>
      <c r="AK23" s="32">
        <f>IF(AF23&lt;=InputData!$C$150,InputData!$C$152,IF(AF23&lt;InputData!$C$151,IF(InputData!$C$152-0.25*IF(AF23-InputData!$C$150&lt;=0,0,AF23-InputData!$C$150)&lt;=0,0,InputData!$C$152-0.25*IF(AF23-InputData!$C$150&lt;=0,0,AF23-InputData!$C$150)),0))</f>
        <v>44571.899233266566</v>
      </c>
      <c r="AL23" s="32">
        <f>IF(AF23-AK23&lt;=0,0,IF(AF23-AK23&lt;=InputData!$C$153,InputData!$C$154*(AF23-AK23),InputData!$C$155*(AF23-AK23)-InputData!$D$154))</f>
        <v>26036.530996753467</v>
      </c>
      <c r="AM23" s="32">
        <f t="shared" si="42"/>
        <v>31012.72285874145</v>
      </c>
      <c r="AN23" s="32">
        <f>IF(AF23&gt;=0,IF(AF23&lt;=InputData!$C$148,InputData!$C$147*AF23,InputData!$C$147*InputData!$C$148)+InputData!$C$149*AF23,0)</f>
        <v>9147.7298444705393</v>
      </c>
      <c r="AO23" s="32">
        <f>IF(AH23&lt;0,0,IF(AH23&lt;=InputData!$B$163,InputData!$C$163*AH23,IF(AH23&lt;=InputData!$B$164,InputData!$D$163+InputData!$C$164*(AH23-InputData!$B$163),IF(AH23&lt;=InputData!$B$165,InputData!$D$164+InputData!$C$165*(AH23-InputData!$B$164),InputData!$D$165+InputData!$C$166*(AH23-InputData!$B$165)))))</f>
        <v>0</v>
      </c>
      <c r="AP23" s="43">
        <f t="shared" si="43"/>
        <v>0.27751907819979049</v>
      </c>
      <c r="AQ23" s="43">
        <f t="shared" si="44"/>
        <v>0.24688879328632782</v>
      </c>
      <c r="AR23" s="5">
        <f t="shared" si="45"/>
        <v>122505.71034387351</v>
      </c>
      <c r="AS23" s="32">
        <f>AR23/((1+InputData!$C$7)^(Ophtha!$B23-Ophtha!$B$7))</f>
        <v>76341.50855197756</v>
      </c>
      <c r="AT23" s="5">
        <f t="shared" si="112"/>
        <v>963100.50591079576</v>
      </c>
      <c r="AU23" s="53"/>
      <c r="AV23" s="41" t="s">
        <v>109</v>
      </c>
      <c r="AW23" s="32">
        <f>$AW$15*(1+InputData!$C$3+InputData!$C$4)^(Ophtha!$B23-Ophtha!$B$17)</f>
        <v>301097.63851305266</v>
      </c>
      <c r="AX23" s="32">
        <v>0</v>
      </c>
      <c r="AY23" s="32">
        <f t="shared" si="47"/>
        <v>301097.63851305266</v>
      </c>
      <c r="AZ23" s="32">
        <f>AZ22*(1+InputData!$C$8)</f>
        <v>15773.307751491138</v>
      </c>
      <c r="BA23" s="32">
        <f>AW23/((1+InputData!$C$3)^(Ophtha!$B23-Ophtha!$B$7))</f>
        <v>219333.31429407507</v>
      </c>
      <c r="BB23" s="32">
        <f>AX23/((1+InputData!$C$3)^(Ophtha!$B23-Ophtha!$B$7))</f>
        <v>0</v>
      </c>
      <c r="BC23" s="32" t="s">
        <v>141</v>
      </c>
      <c r="BD23" s="32">
        <v>0</v>
      </c>
      <c r="BE23" s="32">
        <f t="shared" si="158"/>
        <v>64864.755706460761</v>
      </c>
      <c r="BF23" s="32">
        <f>(BE23)*InputData!$C$6</f>
        <v>4028.1013293712135</v>
      </c>
      <c r="BG23" s="32">
        <f>MIN($BE$15*InputData!$C$6/(1-(1+InputData!$C$6)^(-10)), BE23+BF23)</f>
        <v>35483.780349040731</v>
      </c>
      <c r="BH23" s="32">
        <f t="shared" si="140"/>
        <v>33409.076686791239</v>
      </c>
      <c r="BI23" s="32">
        <f>BG23/((1+InputData!$C$3)^(Ophtha!$B23-Ophtha!$B$7))</f>
        <v>25848.011250014137</v>
      </c>
      <c r="BJ23" s="32">
        <f>IF(BA23-InputData!$C$158-InputData!$C$159&gt;=0,BA23-InputData!$C$158-InputData!$C$159,0)</f>
        <v>219333.31429407507</v>
      </c>
      <c r="BK23" s="32">
        <f>IF(BA23-IF(BA23&lt;=InputData!$C$146,InputData!$C$145,0)-MAX(InputData!$C$144,BQ23)&gt;=0,BA23-IF(BA23&lt;=InputData!$C$146,InputData!$C$145,0)-MAX(InputData!$C$144,BQ23),0)</f>
        <v>213233.31429407507</v>
      </c>
      <c r="BL23" s="32">
        <f>IF(BK23&lt;0,"Error",IF(BK23&lt;=InputData!$B$170,InputData!$C$170*BK23,IF(BK23&lt;=InputData!$B$171,InputData!$D$170+InputData!$C$171*(BK23-InputData!$B$170),IF(BK23&lt;=InputData!$B$172,InputData!$D$171+InputData!$C$172*(BK23-InputData!$B$171),IF(BK23&lt;=InputData!$B$173,InputData!$D$172+InputData!$C$173*(BK23-InputData!$B$172),IF(BK23&lt;=InputData!$B$174,InputData!$D$173+InputData!$C$174*(BK23-InputData!$B$173),IF(BK23&lt;=InputData!$B$175,InputData!$D$174+InputData!$C$175*(BK23-InputData!$B$174),InputData!$D$175+InputData!$C$176*(BK23-InputData!$B$175))))))))</f>
        <v>54497.743717044774</v>
      </c>
      <c r="BM23" s="32">
        <f>IF(BA23&lt;=InputData!$C$150,InputData!$C$152,IF(BA23&lt;InputData!$C$151,IF(InputData!$C$152-0.25*IF(BA23-InputData!$C$150&lt;=0,0,BA23-InputData!$C$150)&lt;=0,0,InputData!$C$152-0.25*IF(BA23-InputData!$C$150&lt;=0,0,BA23-InputData!$C$150)),0))</f>
        <v>25916.671426481233</v>
      </c>
      <c r="BN23" s="32">
        <f>IF(BA23-BM23&lt;=0,0,IF(BA23-BM23&lt;=InputData!$C$153,InputData!$C$154*(BA23-BM23),InputData!$C$155*(BA23-BM23)-InputData!$D$154))</f>
        <v>50566.660002926285</v>
      </c>
      <c r="BO23" s="32">
        <f t="shared" si="48"/>
        <v>54497.743717044774</v>
      </c>
      <c r="BP23" s="32">
        <f>IF(BA23&gt;=0,IF(BA23&lt;=InputData!$C$148,InputData!$C$147*BA23,InputData!$C$147*InputData!$C$148)+InputData!$C$149*BA23,0)</f>
        <v>10229.733057264089</v>
      </c>
      <c r="BQ23" s="32">
        <f>IF(BJ23&lt;0,0,IF(BJ23&lt;=InputData!$B$163,InputData!$C$163*BJ23,IF(BJ23&lt;=InputData!$B$164,InputData!$D$163+InputData!$C$164*(BJ23-InputData!$B$163),IF(BJ23&lt;=InputData!$B$165,InputData!$D$164+InputData!$C$165*(BJ23-InputData!$B$164),InputData!$D$165+InputData!$C$166*(BJ23-InputData!$B$165)))))</f>
        <v>0</v>
      </c>
      <c r="BR23" s="43">
        <f t="shared" si="49"/>
        <v>0.29511010209568228</v>
      </c>
      <c r="BS23" s="32">
        <f t="shared" si="50"/>
        <v>154605.83751976621</v>
      </c>
      <c r="BT23" s="32">
        <f t="shared" si="51"/>
        <v>128757.82626975207</v>
      </c>
      <c r="BU23" s="32">
        <f>BT23/((1+InputData!$C$7)^(Ophtha!$B23-Ophtha!$B$7))</f>
        <v>80237.620497156633</v>
      </c>
      <c r="BV23" s="5">
        <f t="shared" si="114"/>
        <v>724184.26315362856</v>
      </c>
      <c r="BW23" s="5"/>
      <c r="BX23" s="32" t="s">
        <v>141</v>
      </c>
      <c r="BY23" s="5">
        <f t="shared" si="159"/>
        <v>212956.00554673932</v>
      </c>
      <c r="BZ23" s="32">
        <f>(BY23)*InputData!$C$6</f>
        <v>13224.567944452512</v>
      </c>
      <c r="CA23" s="32">
        <f>MIN($BY$15*InputData!$C$6/(1-(1+InputData!$C$6)^(-25)), BY23+BZ23)</f>
        <v>20633.642137763909</v>
      </c>
      <c r="CB23" s="32">
        <f t="shared" si="160"/>
        <v>205546.93135342794</v>
      </c>
      <c r="CC23" s="32">
        <f>CA23/((1+InputData!$C$3)^(Ophtha!$B23-Ophtha!$B$7))</f>
        <v>15030.490236931748</v>
      </c>
      <c r="CD23" s="5">
        <f t="shared" si="55"/>
        <v>139575.34728283447</v>
      </c>
      <c r="CE23" s="32">
        <f>CD23/((1+InputData!$C$7)^(Ophtha!$B23-Ophtha!$B$7))</f>
        <v>86978.741956828468</v>
      </c>
      <c r="CF23" s="5">
        <f t="shared" si="115"/>
        <v>798699.59870636137</v>
      </c>
      <c r="CG23" s="5"/>
      <c r="CH23" s="32" t="s">
        <v>141</v>
      </c>
      <c r="CI23" s="5">
        <f t="shared" si="161"/>
        <v>69665.502604210516</v>
      </c>
      <c r="CJ23" s="32">
        <f>(CI23)*InputData!$C$6</f>
        <v>4326.2277117214735</v>
      </c>
      <c r="CK23" s="5">
        <f t="shared" si="162"/>
        <v>35483.780349040731</v>
      </c>
      <c r="CL23" s="32">
        <f t="shared" si="163"/>
        <v>38507.949966891254</v>
      </c>
      <c r="CM23" s="32">
        <f>CK23/((1+InputData!$C$3)^(Ophtha!$B23-Ophtha!$B$7))</f>
        <v>25848.011250014137</v>
      </c>
      <c r="CN23" s="5">
        <f t="shared" si="59"/>
        <v>128757.82626975207</v>
      </c>
      <c r="CO23" s="32">
        <f>CN23/((1+InputData!$C$7)^(Ophtha!$B23-Ophtha!$B$7))</f>
        <v>80237.620497156633</v>
      </c>
      <c r="CP23" s="5">
        <f t="shared" si="149"/>
        <v>726329.31046490453</v>
      </c>
      <c r="CQ23" s="5"/>
      <c r="CR23" s="32" t="s">
        <v>141</v>
      </c>
      <c r="CS23" s="5">
        <f t="shared" si="164"/>
        <v>176961.42779697958</v>
      </c>
      <c r="CT23" s="32">
        <f>(CS23)*InputData!$C$6</f>
        <v>10989.304666192433</v>
      </c>
      <c r="CU23" s="32">
        <f t="shared" si="165"/>
        <v>27743.7676885816</v>
      </c>
      <c r="CV23" s="32">
        <f t="shared" si="166"/>
        <v>160206.96477459042</v>
      </c>
      <c r="CW23" s="32">
        <f>CU23/((1+InputData!$C$3)^(Ophtha!$B23-Ophtha!$B$7))</f>
        <v>20209.83142940751</v>
      </c>
      <c r="CX23" s="5">
        <f t="shared" si="63"/>
        <v>134396.00609035871</v>
      </c>
      <c r="CY23" s="32">
        <f>CX23/((1+InputData!$C$7)^(Ophtha!$B23-Ophtha!$B$7))</f>
        <v>83751.147758736683</v>
      </c>
      <c r="CZ23" s="5">
        <f t="shared" si="150"/>
        <v>778843.91178180533</v>
      </c>
      <c r="DA23" s="5"/>
      <c r="DB23" s="32" t="s">
        <v>141</v>
      </c>
      <c r="DC23" s="5">
        <f t="shared" si="141"/>
        <v>0</v>
      </c>
      <c r="DD23" s="5">
        <f>DC23*InputData!$C$6</f>
        <v>0</v>
      </c>
      <c r="DE23" s="32">
        <f t="shared" si="142"/>
        <v>0</v>
      </c>
      <c r="DF23" s="32">
        <f t="shared" si="143"/>
        <v>0</v>
      </c>
      <c r="DG23" s="32">
        <f>DE23/((1+InputData!$C$3)^(Ophtha!$B23-Ophtha!$B$7))</f>
        <v>0</v>
      </c>
      <c r="DH23" s="5">
        <f t="shared" si="67"/>
        <v>154605.83751976621</v>
      </c>
      <c r="DI23" s="32">
        <f>DH23/((1+InputData!$C$7)^(Ophtha!$B23-Ophtha!$B$7))</f>
        <v>96345.246552755023</v>
      </c>
      <c r="DJ23" s="5">
        <f t="shared" si="130"/>
        <v>713364.12563114322</v>
      </c>
      <c r="DK23" s="5"/>
      <c r="DL23" s="32" t="s">
        <v>141</v>
      </c>
      <c r="DM23" s="32">
        <f t="shared" si="167"/>
        <v>88966.467715021005</v>
      </c>
      <c r="DN23" s="5">
        <f>DM23*InputData!$C$6</f>
        <v>5524.8176451028048</v>
      </c>
      <c r="DO23" s="32">
        <f t="shared" si="168"/>
        <v>0</v>
      </c>
      <c r="DP23" s="32">
        <f t="shared" si="131"/>
        <v>29148.379963889372</v>
      </c>
      <c r="DQ23" s="32">
        <f t="shared" si="132"/>
        <v>65342.905396234448</v>
      </c>
      <c r="DR23" s="32">
        <f>DP23/((1+InputData!$C$3)^(Ophtha!$B23-Ophtha!$B$7))</f>
        <v>21233.015361247082</v>
      </c>
      <c r="DS23" s="5">
        <f t="shared" si="71"/>
        <v>133372.82215851912</v>
      </c>
      <c r="DT23" s="32">
        <f>DS23/((1+InputData!$C$7)^(Ophtha!$B23-Ophtha!$B$7))</f>
        <v>83113.533359673005</v>
      </c>
      <c r="DU23" s="5">
        <f t="shared" si="133"/>
        <v>737638.23891742749</v>
      </c>
      <c r="DV23" s="5"/>
      <c r="DW23" s="32" t="s">
        <v>141</v>
      </c>
      <c r="DX23" s="133">
        <f t="shared" si="144"/>
        <v>145289.80241070225</v>
      </c>
      <c r="DY23" s="5">
        <f>DX23*InputData!$C$6</f>
        <v>9022.4967297046096</v>
      </c>
      <c r="DZ23" s="133">
        <f t="shared" si="145"/>
        <v>0</v>
      </c>
      <c r="EA23" s="32">
        <f t="shared" si="146"/>
        <v>27743.7676885816</v>
      </c>
      <c r="EB23" s="32">
        <f t="shared" si="147"/>
        <v>126568.53145182526</v>
      </c>
      <c r="EC23" s="32">
        <f>EA23/((1+InputData!$C$3)^(Ophtha!$B23-Ophtha!$B$7))</f>
        <v>20209.83142940751</v>
      </c>
      <c r="ED23" s="5">
        <f t="shared" si="75"/>
        <v>134396.00609035871</v>
      </c>
      <c r="EE23" s="32">
        <f>ED23/((1+InputData!$C$7)^(Ophtha!$B23-Ophtha!$B$7))</f>
        <v>83751.147758736683</v>
      </c>
      <c r="EF23" s="5">
        <f t="shared" si="134"/>
        <v>766619.95884152851</v>
      </c>
      <c r="EG23" s="32"/>
      <c r="EH23" s="133" t="s">
        <v>141</v>
      </c>
      <c r="EI23" s="32">
        <v>0</v>
      </c>
      <c r="EJ23" s="32">
        <f t="shared" si="175"/>
        <v>179339.0959155233</v>
      </c>
      <c r="EK23" s="32">
        <f>(EJ23)*InputData!$C$6</f>
        <v>11136.957856353998</v>
      </c>
      <c r="EL23" s="32">
        <f t="shared" si="173"/>
        <v>162732.28608329571</v>
      </c>
      <c r="EM23" s="32">
        <f>EM22*(1+InputData!$C$8)</f>
        <v>15773.307751491138</v>
      </c>
      <c r="EN23" s="32">
        <f t="shared" si="152"/>
        <v>27743.7676885816</v>
      </c>
      <c r="EO23" s="32">
        <f>AW23/((1+InputData!$C$3)^(Ophtha!$B23-Ophtha!$B$7))</f>
        <v>219333.31429407507</v>
      </c>
      <c r="EP23" s="32">
        <f>AX23/((1+InputData!$C$3)^(Ophtha!$B23-Ophtha!$B$7))</f>
        <v>0</v>
      </c>
      <c r="EQ23" s="32">
        <v>54438.31</v>
      </c>
      <c r="ER23" s="32">
        <v>8938.39</v>
      </c>
      <c r="ES23" s="32">
        <v>0</v>
      </c>
      <c r="ET23" s="43">
        <f t="shared" si="139"/>
        <v>0.28895154483931496</v>
      </c>
      <c r="EU23" s="32">
        <f t="shared" si="76"/>
        <v>155956.61429407506</v>
      </c>
      <c r="EV23" s="32">
        <f>EN23/((1+InputData!$C$3)^(Ophtha!$B23-Ophtha!$B$7))</f>
        <v>20209.83142940751</v>
      </c>
      <c r="EW23" s="32">
        <f t="shared" si="77"/>
        <v>135746.78286466753</v>
      </c>
      <c r="EX23" s="32">
        <f>EW23/((1+InputData!$C$7)^(Ophtha!$B23-Ophtha!$B$7))</f>
        <v>84592.907186752331</v>
      </c>
      <c r="EY23" s="5">
        <f t="shared" si="124"/>
        <v>862992.39534718334</v>
      </c>
      <c r="EZ23" s="79"/>
      <c r="FA23" s="32">
        <f t="shared" si="153"/>
        <v>65233.082790807312</v>
      </c>
      <c r="FB23" s="32">
        <f>FA23*InputData!$C$6</f>
        <v>4050.9744413091344</v>
      </c>
      <c r="FC23" s="32">
        <f t="shared" si="154"/>
        <v>33598.786301399887</v>
      </c>
      <c r="FD23" s="32">
        <f>MIN($EJ$15*InputData!$C$6/(1-(1+InputData!$C$6)^(-10)), FA23+FB23)</f>
        <v>35685.270930716564</v>
      </c>
      <c r="FE23" s="32">
        <f>FD23/((1+InputData!$C$3)^(Ophtha!$B23-Ophtha!$B$7))</f>
        <v>25994.786220738744</v>
      </c>
      <c r="FF23" s="5">
        <f t="shared" si="81"/>
        <v>129961.82807333631</v>
      </c>
      <c r="FG23" s="32">
        <f>FF23/((1+InputData!$C$7)^(Ophtha!$B23-Ophtha!$B$7))</f>
        <v>80987.914615911723</v>
      </c>
      <c r="FH23" s="5">
        <f t="shared" si="125"/>
        <v>807321.70304448437</v>
      </c>
      <c r="FI23" s="79"/>
      <c r="FJ23" s="32">
        <f t="shared" si="155"/>
        <v>214165.25182791063</v>
      </c>
      <c r="FK23" s="32">
        <f>FJ23*InputData!$C$6</f>
        <v>13299.662138513251</v>
      </c>
      <c r="FL23" s="32">
        <f t="shared" si="170"/>
        <v>206714.10605557906</v>
      </c>
      <c r="FM23" s="32">
        <f>MIN($EJ$15*InputData!$C$6/(1-(1+InputData!$C$6)^(-25)), FJ23+FK23)</f>
        <v>20750.807910844829</v>
      </c>
      <c r="FN23" s="32">
        <f>FM23/((1+InputData!$C$3)^(Ophtha!$B23-Ophtha!$B$7))</f>
        <v>15115.839153843135</v>
      </c>
      <c r="FO23" s="5">
        <f t="shared" si="85"/>
        <v>140840.77514023191</v>
      </c>
      <c r="FP23" s="32">
        <f>FO23/((1+InputData!$C$7)^(Ophtha!$B23-Ophtha!$B$7))</f>
        <v>87767.314761526693</v>
      </c>
      <c r="FQ23" s="5">
        <f t="shared" si="126"/>
        <v>882260.16539364646</v>
      </c>
      <c r="FR23" s="79"/>
      <c r="FS23" s="32">
        <f t="shared" si="156"/>
        <v>70902.577595759882</v>
      </c>
      <c r="FT23" s="32">
        <f>FS23*InputData!$C$6</f>
        <v>4403.0500686966889</v>
      </c>
      <c r="FU23" s="32">
        <f t="shared" si="171"/>
        <v>39620.356733740002</v>
      </c>
      <c r="FV23" s="5">
        <f t="shared" si="157"/>
        <v>35685.270930716564</v>
      </c>
      <c r="FW23" s="32">
        <f>FV23/((1+InputData!$C$3)^(Ophtha!$B23-Ophtha!$B$7))</f>
        <v>25994.786220738744</v>
      </c>
      <c r="FX23" s="5">
        <f t="shared" si="88"/>
        <v>129961.82807333631</v>
      </c>
      <c r="FY23" s="32">
        <f>FX23/((1+InputData!$C$7)^(Ophtha!$B23-Ophtha!$B$7))</f>
        <v>80987.914615911723</v>
      </c>
      <c r="FZ23" s="5">
        <f t="shared" si="127"/>
        <v>809854.71494894591</v>
      </c>
      <c r="GC23" s="3">
        <f t="shared" si="2"/>
        <v>13</v>
      </c>
      <c r="GD23" s="122" t="str">
        <f t="shared" si="3"/>
        <v>Multi-Year (O5&gt;12 = (BP+BAH+BAS+VSP+BCPSP)*12+ASP)+ISP+MSP</v>
      </c>
      <c r="GE23" s="5">
        <f t="shared" si="4"/>
        <v>169420.72</v>
      </c>
      <c r="GF23" s="5">
        <f t="shared" si="5"/>
        <v>21019.199999999997</v>
      </c>
      <c r="GG23" s="5">
        <f t="shared" si="6"/>
        <v>190439.91999999998</v>
      </c>
      <c r="GH23" s="5">
        <f t="shared" si="7"/>
        <v>144712.40306693374</v>
      </c>
      <c r="GI23" s="5">
        <f t="shared" si="8"/>
        <v>17953.759980151739</v>
      </c>
      <c r="GJ23" s="32">
        <f>IF(GH23-InputData!$C$158-InputData!$C$159&gt;=0,GH23-InputData!$C$158-InputData!$C$159,0)</f>
        <v>144712.40306693374</v>
      </c>
      <c r="GK23" s="32">
        <f>IF(GH23-IF(GH23&lt;=InputData!$C$146,InputData!$C$145,0)-MAX(InputData!$C$144,GQ23)&gt;=0,GH23-IF(GH23&lt;=InputData!$C$146,InputData!$C$145,0)-MAX(InputData!$C$144,GQ23),0)</f>
        <v>134712.40306693374</v>
      </c>
      <c r="GL23" s="32">
        <f>IF(GK23&lt;0,"Error",IF(GK23&lt;=InputData!$B$170,InputData!$C$170*GK23,IF(GK23&lt;=InputData!$B$171,InputData!$D$170+InputData!$C$171*(GK23-InputData!$B$170),IF(GK23&lt;=InputData!$B$172,InputData!$D$171+InputData!$C$172*(GK23-InputData!$B$171),IF(GK23&lt;=InputData!$B$173,InputData!$D$172+InputData!$C$173*(GK23-InputData!$B$172),IF(GK23&lt;=InputData!$B$174,InputData!$D$173+InputData!$C$174*(GK23-InputData!$B$173),IF(GK23&lt;=InputData!$B$175,InputData!$D$174+InputData!$C$175*(GK23-InputData!$B$174),InputData!$D$175+InputData!$C$176*(GK23-InputData!$B$175))))))))</f>
        <v>31012.72285874145</v>
      </c>
      <c r="GM23" s="32">
        <f>IF(GH23&lt;=InputData!$C$150,InputData!$C$152,IF(GH23&lt;InputData!$C$151,IF(InputData!$C$152-0.25*IF(GH23-InputData!$C$150&lt;=0,0,GH23-InputData!$C$150)&lt;=0,0,InputData!$C$152-0.25*IF(GH23-InputData!$C$150&lt;=0,0,GH23-InputData!$C$150)),0))</f>
        <v>44571.899233266566</v>
      </c>
      <c r="GN23" s="32">
        <f>IF(GH23-GM23&lt;=0,0,IF(GH23-GM23&lt;=InputData!$C$153,InputData!$C$154*(GH23-GM23),InputData!$C$155*(GH23-GM23)-InputData!$D$154))</f>
        <v>26036.530996753467</v>
      </c>
      <c r="GO23" s="32">
        <f t="shared" si="89"/>
        <v>31012.72285874145</v>
      </c>
      <c r="GP23" s="32">
        <f>IF(GH23&gt;=0,IF(GH23&lt;=InputData!$C$148,InputData!$C$147*GH23,InputData!$C$147*InputData!$C$148)+InputData!$C$149*GH23,0)</f>
        <v>9147.7298444705393</v>
      </c>
      <c r="GQ23" s="32">
        <f>IF(GJ23&lt;0,0,IF(GJ23&lt;=InputData!$B$163,InputData!$C$163*GJ23,IF(GJ23&lt;=InputData!$B$164,InputData!$D$163+InputData!$C$164*(GJ23-InputData!$B$163),IF(GJ23&lt;=InputData!$B$165,InputData!$D$164+InputData!$C$165*(GJ23-InputData!$B$164),InputData!$D$165+InputData!$C$166*(GJ23-InputData!$B$165)))))</f>
        <v>0</v>
      </c>
      <c r="GR23" s="43">
        <f t="shared" si="90"/>
        <v>0.27751907819979049</v>
      </c>
      <c r="GS23" s="43">
        <f t="shared" si="91"/>
        <v>0.24688879328632782</v>
      </c>
      <c r="GT23" s="5">
        <f t="shared" si="9"/>
        <v>122505.71034387351</v>
      </c>
      <c r="GU23" s="32">
        <f>GT23/((1+InputData!$C$7)^(Ophtha!$B23-Ophtha!$B$7))</f>
        <v>76341.50855197756</v>
      </c>
      <c r="GV23" s="32">
        <f t="shared" si="92"/>
        <v>987866.92202686938</v>
      </c>
      <c r="GX23" s="3">
        <f t="shared" si="10"/>
        <v>13</v>
      </c>
      <c r="GY23" s="4" t="str">
        <f t="shared" si="11"/>
        <v>Multi-Year (O5&gt;12 = (BP+BAH+BAS+VSP+BCPSP)*12+ASP+ISP+MSP)</v>
      </c>
      <c r="GZ23" s="5">
        <f t="shared" si="12"/>
        <v>169420.72</v>
      </c>
      <c r="HA23" s="5">
        <f t="shared" si="13"/>
        <v>21019.199999999997</v>
      </c>
      <c r="HB23" s="5">
        <f t="shared" si="14"/>
        <v>190439.91999999998</v>
      </c>
      <c r="HC23" s="5">
        <f t="shared" si="15"/>
        <v>144712.40306693374</v>
      </c>
      <c r="HD23" s="5">
        <f t="shared" si="16"/>
        <v>17953.759980151739</v>
      </c>
      <c r="HE23" s="32">
        <f>IF(HC23-InputData!$C$158-InputData!$C$159&gt;=0,HC23-InputData!$C$158-InputData!$C$159,0)</f>
        <v>144712.40306693374</v>
      </c>
      <c r="HF23" s="32">
        <f>IF(HC23-IF(HC23&lt;=InputData!$C$146,InputData!$C$145,0)-MAX(InputData!$C$144,HL23)&gt;=0,HC23-IF(HC23&lt;=InputData!$C$146,InputData!$C$145,0)-MAX(InputData!$C$144,HL23),0)</f>
        <v>134712.40306693374</v>
      </c>
      <c r="HG23" s="32">
        <f>IF(HF23&lt;0,"Error",IF(HF23&lt;=InputData!$B$170,InputData!$C$170*HF23,IF(HF23&lt;=InputData!$B$171,InputData!$D$170+InputData!$C$171*(HF23-InputData!$B$170),IF(HF23&lt;=InputData!$B$172,InputData!$D$171+InputData!$C$172*(HF23-InputData!$B$171),IF(HF23&lt;=InputData!$B$173,InputData!$D$172+InputData!$C$173*(HF23-InputData!$B$172),IF(HF23&lt;=InputData!$B$174,InputData!$D$173+InputData!$C$174*(HF23-InputData!$B$173),IF(HF23&lt;=InputData!$B$175,InputData!$D$174+InputData!$C$175*(HF23-InputData!$B$174),InputData!$D$175+InputData!$C$176*(HF23-InputData!$B$175))))))))</f>
        <v>31012.72285874145</v>
      </c>
      <c r="HH23" s="32">
        <f>IF(HC23&lt;=InputData!$C$150,InputData!$C$152,IF(HC23&lt;InputData!$C$151,IF(InputData!$C$152-0.25*IF(HC23-InputData!$C$150&lt;=0,0,HC23-InputData!$C$150)&lt;=0,0,InputData!$C$152-0.25*IF(HC23-InputData!$C$150&lt;=0,0,HC23-InputData!$C$150)),0))</f>
        <v>44571.899233266566</v>
      </c>
      <c r="HI23" s="32">
        <f>IF(HC23-HH23&lt;=0,0,IF(HC23-HH23&lt;=InputData!$C$153,InputData!$C$154*(HC23-HH23),InputData!$C$155*(HC23-HH23)-InputData!$D$154))</f>
        <v>26036.530996753467</v>
      </c>
      <c r="HJ23" s="32">
        <f t="shared" si="93"/>
        <v>31012.72285874145</v>
      </c>
      <c r="HK23" s="32">
        <f>IF(HC23&gt;=0,IF(HC23&lt;=InputData!$C$148,InputData!$C$147*HC23,InputData!$C$147*InputData!$C$148)+InputData!$C$149*HC23,0)</f>
        <v>9147.7298444705393</v>
      </c>
      <c r="HL23" s="32">
        <f>IF(HE23&lt;0,0,IF(HE23&lt;=InputData!$B$163,InputData!$C$163*HE23,IF(HE23&lt;=InputData!$B$164,InputData!$D$163+InputData!$C$164*(HE23-InputData!$B$163),IF(HE23&lt;=InputData!$B$165,InputData!$D$164+InputData!$C$165*(HE23-InputData!$B$164),InputData!$D$165+InputData!$C$166*(HE23-InputData!$B$165)))))</f>
        <v>0</v>
      </c>
      <c r="HM23" s="43">
        <f t="shared" si="94"/>
        <v>0.27751907819979049</v>
      </c>
      <c r="HN23" s="43">
        <f t="shared" si="95"/>
        <v>0.24688879328632782</v>
      </c>
      <c r="HO23" s="5">
        <f t="shared" si="17"/>
        <v>122505.71034387351</v>
      </c>
      <c r="HP23" s="32">
        <f>HO23/((1+InputData!$C$7)^(Ophtha!$B23-Ophtha!$B$7))</f>
        <v>76341.50855197756</v>
      </c>
      <c r="HQ23" s="32">
        <f t="shared" si="96"/>
        <v>963100.50591079576</v>
      </c>
      <c r="HS23" s="90"/>
      <c r="HT23" s="53" t="s">
        <v>109</v>
      </c>
      <c r="HU23" s="32">
        <f>MIN(InputData!$C$13+InputData!$E$13*($B23-$B$22),1)*Ophtha!AW23</f>
        <v>270987.87466174742</v>
      </c>
      <c r="HV23" s="32">
        <f>MIN(InputData!$C$13+InputData!$E$13*($B23-$B$22),1)*Ophtha!AX23</f>
        <v>0</v>
      </c>
      <c r="HW23" s="32">
        <f>MIN(InputData!$C$13+InputData!$E$13*($B23-$B$22),1)*Ophtha!AY23</f>
        <v>270987.87466174742</v>
      </c>
      <c r="HX23" s="32">
        <f>MIN(InputData!$C$13+InputData!$E$13*($B23-$B$22),1)*Ophtha!BA23</f>
        <v>197399.98286466757</v>
      </c>
      <c r="HY23" s="32">
        <f>MIN(InputData!$C$13+InputData!$E$13*($B23-$B$22),1)*Ophtha!BB23</f>
        <v>0</v>
      </c>
      <c r="HZ23" s="32">
        <f>IF(HX23-InputData!$C$158-InputData!$C$159&gt;=0,HX23-InputData!$C$158-InputData!$C$159,0)</f>
        <v>197399.98286466757</v>
      </c>
      <c r="IA23" s="32">
        <f>IF(HX23-IF(HX23&lt;=InputData!$C$146,InputData!$C$145,0)-MAX(InputData!$C$144,IG23)&gt;=0,HX23-IF(HX23&lt;=InputData!$C$146,InputData!$C$145,0)-MAX(InputData!$C$144,IG23),0)</f>
        <v>191299.98286466757</v>
      </c>
      <c r="IB23" s="32">
        <f>IF(IA23&lt;0,"Error",IF(IA23&lt;=InputData!$B$170,InputData!$C$170*IA23,IF(IA23&lt;=InputData!$B$171,InputData!$D$170+InputData!$C$171*(IA23-InputData!$B$170),IF(IA23&lt;=InputData!$B$172,InputData!$D$171+InputData!$C$172*(IA23-InputData!$B$171),IF(IA23&lt;=InputData!$B$173,InputData!$D$172+InputData!$C$173*(IA23-InputData!$B$172),IF(IA23&lt;=InputData!$B$174,InputData!$D$173+InputData!$C$174*(IA23-InputData!$B$173),IF(IA23&lt;=InputData!$B$175,InputData!$D$174+InputData!$C$175*(IA23-InputData!$B$174),InputData!$D$175+InputData!$C$176*(IA23-InputData!$B$175))))))))</f>
        <v>47259.744345340303</v>
      </c>
      <c r="IC23" s="32">
        <f>IF(HX23&lt;=InputData!$C$150,InputData!$C$152,IF(HX23&lt;InputData!$C$151,IF(InputData!$C$152-0.25*IF(HX23-InputData!$C$150&lt;=0,0,HX23-InputData!$C$150)&lt;=0,0,InputData!$C$152-0.25*IF(HX23-InputData!$C$150&lt;=0,0,HX23-InputData!$C$150)),0))</f>
        <v>31400.004283833106</v>
      </c>
      <c r="ID23" s="32">
        <f>IF(HX23-IC23&lt;=0,0,IF(HX23-IC23&lt;=InputData!$C$153,InputData!$C$154*(HX23-IC23),InputData!$C$155*(HX23-IC23)-InputData!$D$154))</f>
        <v>43159.994431016959</v>
      </c>
      <c r="IE23" s="32">
        <f t="shared" si="97"/>
        <v>47259.744345340303</v>
      </c>
      <c r="IF23" s="32">
        <f>IF(HX23&gt;=0,IF(HX23&lt;=InputData!$C$148,InputData!$C$147*HX23,InputData!$C$147*InputData!$C$148)+InputData!$C$149*HX23,0)</f>
        <v>9911.6997515376788</v>
      </c>
      <c r="IG23" s="32">
        <f>IF(HZ23&lt;0,0,IF(HZ23&lt;=InputData!$B$163,InputData!$C$163*HZ23,IF(HZ23&lt;=InputData!$B$164,InputData!$D$163+InputData!$C$164*(HZ23-InputData!$B$163),IF(HZ23&lt;=InputData!$B$165,InputData!$D$164+InputData!$C$165*(HZ23-InputData!$B$164),InputData!$D$165+InputData!$C$166*(HZ23-InputData!$B$165)))))</f>
        <v>0</v>
      </c>
      <c r="IH23" s="43">
        <f t="shared" si="98"/>
        <v>0.28962233566186918</v>
      </c>
      <c r="II23" s="43">
        <f t="shared" si="99"/>
        <v>0.28962233566186918</v>
      </c>
      <c r="IJ23" s="5">
        <f t="shared" si="100"/>
        <v>140228.53876778961</v>
      </c>
      <c r="IK23" s="32">
        <f>IJ23/((1+InputData!$C$7)^(Ophtha!$B23-Ophtha!$B$7))</f>
        <v>87385.789295232593</v>
      </c>
      <c r="IL23" s="5">
        <f t="shared" si="101"/>
        <v>1011490.4754801411</v>
      </c>
      <c r="IN23" s="94"/>
      <c r="IO23" s="53" t="s">
        <v>109</v>
      </c>
      <c r="IP23" s="32">
        <f>MIN(InputData!$C$13+InputData!$E$13*($B23-$B$19),1)*Ophtha!AW23</f>
        <v>270987.87466174742</v>
      </c>
      <c r="IQ23" s="32">
        <f>MIN(InputData!$C$13+InputData!$E$13*($B23-$B$19),1)*Ophtha!AX23</f>
        <v>0</v>
      </c>
      <c r="IR23" s="32">
        <f>MIN(InputData!$C$13+InputData!$E$13*($B23-$B$19),1)*Ophtha!AY23</f>
        <v>270987.87466174742</v>
      </c>
      <c r="IS23" s="32">
        <f>MIN(InputData!$C$13+InputData!$E$13*($B23-$B$19),1)*Ophtha!BA23</f>
        <v>197399.98286466757</v>
      </c>
      <c r="IT23" s="32">
        <f>MIN(InputData!$C$13+InputData!$E$13*($B23-$B$19),1)*Ophtha!BB23</f>
        <v>0</v>
      </c>
      <c r="IU23" s="32">
        <f>IF(IS23-InputData!$C$158-InputData!$C$159&gt;=0,IS23-InputData!$C$158-InputData!$C$159,0)</f>
        <v>197399.98286466757</v>
      </c>
      <c r="IV23" s="32">
        <f>IF(IS23-IF(IS23&lt;=InputData!$C$146,InputData!$C$145,0)-MAX(InputData!$C$144,JB23)&gt;=0,IS23-IF(IS23&lt;=InputData!$C$146,InputData!$C$145,0)-MAX(InputData!$C$144,JB23),0)</f>
        <v>191299.98286466757</v>
      </c>
      <c r="IW23" s="32">
        <f>IF(IV23&lt;0,"Error",IF(IV23&lt;=InputData!$B$170,InputData!$C$170*IV23,IF(IV23&lt;=InputData!$B$171,InputData!$D$170+InputData!$C$171*(IV23-InputData!$B$170),IF(IV23&lt;=InputData!$B$172,InputData!$D$171+InputData!$C$172*(IV23-InputData!$B$171),IF(IV23&lt;=InputData!$B$173,InputData!$D$172+InputData!$C$173*(IV23-InputData!$B$172),IF(IV23&lt;=InputData!$B$174,InputData!$D$173+InputData!$C$174*(IV23-InputData!$B$173),IF(IV23&lt;=InputData!$B$175,InputData!$D$174+InputData!$C$175*(IV23-InputData!$B$174),InputData!$D$175+InputData!$C$176*(IV23-InputData!$B$175))))))))</f>
        <v>47259.744345340303</v>
      </c>
      <c r="IX23" s="32">
        <f>IF(IS23&lt;=InputData!$C$150,InputData!$C$152,IF(IS23&lt;InputData!$C$151,IF(InputData!$C$152-0.25*IF(IS23-InputData!$C$150&lt;=0,0,IS23-InputData!$C$150)&lt;=0,0,InputData!$C$152-0.25*IF(IS23-InputData!$C$150&lt;=0,0,IS23-InputData!$C$150)),0))</f>
        <v>31400.004283833106</v>
      </c>
      <c r="IY23" s="32">
        <f>IF(IS23-IX23&lt;=0,0,IF(IS23-IX23&lt;=InputData!$C$153,InputData!$C$154*(IS23-IX23),InputData!$C$155*(IS23-IX23)-InputData!$D$154))</f>
        <v>43159.994431016959</v>
      </c>
      <c r="IZ23" s="32">
        <f t="shared" si="102"/>
        <v>47259.744345340303</v>
      </c>
      <c r="JA23" s="32">
        <f>IF(IS23&gt;=0,IF(IS23&lt;=InputData!$C$148,InputData!$C$147*IS23,InputData!$C$147*InputData!$C$148)+InputData!$C$149*IS23,0)</f>
        <v>9911.6997515376788</v>
      </c>
      <c r="JB23" s="32">
        <f>IF(IU23&lt;0,0,IF(IU23&lt;=InputData!$B$163,InputData!$C$163*IU23,IF(IU23&lt;=InputData!$B$164,InputData!$D$163+InputData!$C$164*(IU23-InputData!$B$163),IF(IU23&lt;=InputData!$B$165,InputData!$D$164+InputData!$C$165*(IU23-InputData!$B$164),InputData!$D$165+InputData!$C$166*(IU23-InputData!$B$165)))))</f>
        <v>0</v>
      </c>
      <c r="JC23" s="43">
        <f t="shared" si="103"/>
        <v>0.28962233566186918</v>
      </c>
      <c r="JD23" s="43">
        <f t="shared" si="104"/>
        <v>0.28962233566186918</v>
      </c>
      <c r="JE23" s="5">
        <f t="shared" si="105"/>
        <v>140228.53876778961</v>
      </c>
      <c r="JF23" s="32">
        <f>JE23/((1+InputData!$C$7)^(Ophtha!$B23-Ophtha!$B$7))</f>
        <v>87385.789295232593</v>
      </c>
      <c r="JG23" s="5">
        <f t="shared" si="106"/>
        <v>1021616.6471799861</v>
      </c>
      <c r="JI23" s="41" t="str">
        <f t="shared" si="32"/>
        <v>Private Practice</v>
      </c>
      <c r="JJ23" s="5">
        <f t="shared" si="33"/>
        <v>301097.63851305266</v>
      </c>
      <c r="JK23" s="32">
        <v>0</v>
      </c>
      <c r="JL23" s="32">
        <f t="shared" si="108"/>
        <v>301097.63851305266</v>
      </c>
      <c r="JM23" s="32">
        <f>JM22*(1+InputData!$C$8)</f>
        <v>15773.307751491138</v>
      </c>
      <c r="JN23" s="32">
        <f>JJ23/((1+InputData!$C$3)^(Ophtha!$B23-Ophtha!$B$7))</f>
        <v>219333.31429407507</v>
      </c>
      <c r="JO23" s="32">
        <f>JK23/((1+InputData!$C$3)^(Ophtha!$B23-Ophtha!$B$7))</f>
        <v>0</v>
      </c>
      <c r="JP23" s="32" t="s">
        <v>141</v>
      </c>
      <c r="JQ23" s="32">
        <v>0</v>
      </c>
      <c r="JR23" s="32">
        <f t="shared" si="172"/>
        <v>0</v>
      </c>
      <c r="JS23" s="32">
        <f>(JR23)*InputData!$C$6</f>
        <v>0</v>
      </c>
      <c r="JT23" s="32">
        <f>MIN($BE$15*InputData!$C$6/(1-(1+InputData!$C$6)^(-10)), JR23+JS23)</f>
        <v>0</v>
      </c>
      <c r="JU23" s="32">
        <f t="shared" si="148"/>
        <v>0</v>
      </c>
      <c r="JV23" s="32">
        <f>JT23/((1+InputData!$C$3)^(Ophtha!$B23-Ophtha!$B$7))</f>
        <v>0</v>
      </c>
      <c r="JW23" s="32">
        <f>IF(JN23-InputData!$C$158-InputData!$C$159&gt;=0,JN23-InputData!$C$158-InputData!$C$159,0)</f>
        <v>219333.31429407507</v>
      </c>
      <c r="JX23" s="32">
        <f>IF(JN23-IF(JN23&lt;=InputData!$C$146,InputData!$C$145,0)-MAX(InputData!$C$144,KD23)&gt;=0,JN23-IF(JN23&lt;=InputData!$C$146,InputData!$C$145,0)-MAX(InputData!$C$144,KD23),0)</f>
        <v>213233.31429407507</v>
      </c>
      <c r="JY23" s="32">
        <f>IF(JX23&lt;0,"Error",IF(JX23&lt;=InputData!$B$170,InputData!$C$170*JX23,IF(JX23&lt;=InputData!$B$171,InputData!$D$170+InputData!$C$171*(JX23-InputData!$B$170),IF(JX23&lt;=InputData!$B$172,InputData!$D$171+InputData!$C$172*(JX23-InputData!$B$171),IF(JX23&lt;=InputData!$B$173,InputData!$D$172+InputData!$C$173*(JX23-InputData!$B$172),IF(JX23&lt;=InputData!$B$174,InputData!$D$173+InputData!$C$174*(JX23-InputData!$B$173),IF(JX23&lt;=InputData!$B$175,InputData!$D$174+InputData!$C$175*(JX23-InputData!$B$174),InputData!$D$175+InputData!$C$176*(JX23-InputData!$B$175))))))))</f>
        <v>54497.743717044774</v>
      </c>
      <c r="JZ23" s="32">
        <f>IF(JN23&lt;=InputData!$C$150,InputData!$C$152,IF(JN23&lt;InputData!$C$151,IF(InputData!$C$152-0.25*IF(JN23-InputData!$C$150&lt;=0,0,JN23-InputData!$C$150)&lt;=0,0,InputData!$C$152-0.25*IF(JN23-InputData!$C$150&lt;=0,0,JN23-InputData!$C$150)),0))</f>
        <v>25916.671426481233</v>
      </c>
      <c r="KA23" s="32">
        <f>IF(JN23-JZ23&lt;=0,0,IF(JN23-JZ23&lt;=InputData!$C$153,InputData!$C$154*(JN23-JZ23),InputData!$C$155*(JN23-JZ23)-InputData!$D$154))</f>
        <v>50566.660002926285</v>
      </c>
      <c r="KB23" s="32">
        <f t="shared" si="109"/>
        <v>54497.743717044774</v>
      </c>
      <c r="KC23" s="32">
        <f>IF(JN23&gt;=0,IF(JN23&lt;=InputData!$C$148,InputData!$C$147*JN23,InputData!$C$147*InputData!$C$148)+InputData!$C$149*JN23,0)</f>
        <v>10229.733057264089</v>
      </c>
      <c r="KD23" s="32">
        <f>IF(JW23&lt;0,0,IF(JW23&lt;=InputData!$B$163,InputData!$C$163*JW23,IF(JW23&lt;=InputData!$B$164,InputData!$D$163+InputData!$C$164*(JW23-InputData!$B$163),IF(JW23&lt;=InputData!$B$165,InputData!$D$164+InputData!$C$165*(JW23-InputData!$B$164),InputData!$D$165+InputData!$C$166*(JW23-InputData!$B$165)))))</f>
        <v>0</v>
      </c>
      <c r="KE23" s="43">
        <f t="shared" si="34"/>
        <v>0.29511010209568228</v>
      </c>
      <c r="KF23" s="32">
        <f t="shared" si="35"/>
        <v>154605.83751976621</v>
      </c>
      <c r="KG23" s="32">
        <f t="shared" si="110"/>
        <v>154605.83751976621</v>
      </c>
      <c r="KH23" s="32">
        <f>KG23/((1+InputData!$C$7)^(Ophtha!$B23-Ophtha!$B$7))</f>
        <v>96345.246552755023</v>
      </c>
      <c r="KI23" s="5">
        <f t="shared" si="129"/>
        <v>1093102.9020754674</v>
      </c>
    </row>
    <row r="24" spans="1:295" ht="14.45" x14ac:dyDescent="0.3">
      <c r="A24" s="4">
        <v>2030</v>
      </c>
      <c r="B24" s="51">
        <v>18</v>
      </c>
      <c r="C24" s="4"/>
      <c r="D24" s="3">
        <v>14</v>
      </c>
      <c r="E24" s="97" t="s">
        <v>263</v>
      </c>
      <c r="F24" s="5">
        <f>InputData!$J$22*12</f>
        <v>85420.799999999988</v>
      </c>
      <c r="G24" s="32">
        <f>(InputData!$J$22+InputData!$H$45+InputData!$E$50)*12+InputData!$J$50+InputData!$D$60+InputData!$J$60</f>
        <v>169420.72</v>
      </c>
      <c r="H24" s="32">
        <f>(InputData!$C$33+InputData!$C$40)*12</f>
        <v>21019.199999999997</v>
      </c>
      <c r="I24" s="32">
        <f t="shared" si="36"/>
        <v>190439.91999999998</v>
      </c>
      <c r="J24" s="32">
        <f>G24*((1+InputData!$C$5)/(1+InputData!$C$3))^(Ophtha!$B24-Ophtha!$B$7)</f>
        <v>143293.65401725791</v>
      </c>
      <c r="K24" s="32">
        <f>H24*((1+InputData!$C$5)/(1+InputData!$C$3))^(Ophtha!$B24-Ophtha!$B$7)</f>
        <v>17777.742725444368</v>
      </c>
      <c r="L24" s="32">
        <f>IF(J24-InputData!$C$158-InputData!$C$159&gt;=0,J24-InputData!$C$158-InputData!$C$159,0)</f>
        <v>143293.65401725791</v>
      </c>
      <c r="M24" s="32">
        <f>IF(J24-IF(J24&lt;=InputData!$C$146,InputData!$C$145,0)-MAX(InputData!$C$144,S24)&gt;=0,J24-IF(J24&lt;=InputData!$C$146,InputData!$C$145,0)-MAX(InputData!$C$144,S24),0)</f>
        <v>133293.65401725791</v>
      </c>
      <c r="N24" s="32">
        <f>IF(M24&lt;0,"Error",IF(M24&lt;=InputData!$B$170,InputData!$C$170*M24,IF(M24&lt;=InputData!$B$171,InputData!$D$170+InputData!$C$171*(M24-InputData!$B$170),IF(M24&lt;=InputData!$B$172,InputData!$D$171+InputData!$C$172*(M24-InputData!$B$171),IF(M24&lt;=InputData!$B$173,InputData!$D$172+InputData!$C$173*(M24-InputData!$B$172),IF(M24&lt;=InputData!$B$174,InputData!$D$173+InputData!$C$174*(M24-InputData!$B$173),IF(M24&lt;=InputData!$B$175,InputData!$D$174+InputData!$C$175*(M24-InputData!$B$174),InputData!$D$175+InputData!$C$176*(M24-InputData!$B$175))))))))</f>
        <v>30615.473124832217</v>
      </c>
      <c r="O24" s="32">
        <f>IF(J24&lt;=InputData!$C$150,InputData!$C$152,IF(J24&lt;InputData!$C$151,IF(InputData!$C$152-0.25*IF(J24-InputData!$C$150&lt;=0,0,J24-InputData!$C$150)&lt;=0,0,InputData!$C$152-0.25*IF(J24-InputData!$C$150&lt;=0,0,J24-InputData!$C$150)),0))</f>
        <v>44926.586495685522</v>
      </c>
      <c r="P24" s="32">
        <f>IF(J24-O24&lt;=0,0,IF(J24-O24&lt;=InputData!$C$153,InputData!$C$154*(J24-O24),InputData!$C$155*(J24-O24)-InputData!$D$154))</f>
        <v>25575.437555608823</v>
      </c>
      <c r="Q24" s="32">
        <f t="shared" si="37"/>
        <v>30615.473124832217</v>
      </c>
      <c r="R24" s="32">
        <f>IF(J24&gt;=0,IF(J24&lt;=InputData!$C$148,InputData!$C$147*J24,InputData!$C$147*InputData!$C$148)+InputData!$C$149*J24,0)</f>
        <v>9127.1579832502393</v>
      </c>
      <c r="S24" s="32">
        <f>IF(L24&lt;0,0,IF(L24&lt;=InputData!$B$163,InputData!$C$163*L24,IF(L24&lt;=InputData!$B$164,InputData!$D$163+InputData!$C$164*(L24-InputData!$B$163),IF(L24&lt;=InputData!$B$165,InputData!$D$164+InputData!$C$165*(L24-InputData!$B$164),InputData!$D$165+InputData!$C$166*(L24-InputData!$B$165)))))</f>
        <v>0</v>
      </c>
      <c r="T24" s="43">
        <f t="shared" si="38"/>
        <v>0.27735095026117457</v>
      </c>
      <c r="U24" s="43">
        <f t="shared" si="39"/>
        <v>0.24673922193378561</v>
      </c>
      <c r="V24" s="5">
        <f t="shared" si="40"/>
        <v>121328.76563461983</v>
      </c>
      <c r="W24" s="32">
        <f>V24/((1+InputData!$C$7)^(Ophtha!$B24-Ophtha!$B$7))</f>
        <v>73405.898562990915</v>
      </c>
      <c r="X24" s="5">
        <f t="shared" si="111"/>
        <v>1061272.8205898602</v>
      </c>
      <c r="Y24" s="53"/>
      <c r="Z24" s="3">
        <v>14</v>
      </c>
      <c r="AA24" s="97" t="s">
        <v>263</v>
      </c>
      <c r="AB24" s="5">
        <f t="shared" si="136"/>
        <v>85420.799999999988</v>
      </c>
      <c r="AC24" s="32">
        <f t="shared" si="176"/>
        <v>169420.72</v>
      </c>
      <c r="AD24" s="32">
        <f t="shared" si="174"/>
        <v>21019.199999999997</v>
      </c>
      <c r="AE24" s="32">
        <f t="shared" si="41"/>
        <v>190439.91999999998</v>
      </c>
      <c r="AF24" s="5">
        <f>AC24*((1+InputData!$C$5)/(1+InputData!$C$3))^(Ophtha!$B24-Ophtha!$B$7)</f>
        <v>143293.65401725791</v>
      </c>
      <c r="AG24" s="5">
        <f>AD24*((1+InputData!$C$5)/(1+InputData!$C$3))^(Ophtha!$B24-Ophtha!$B$7)</f>
        <v>17777.742725444368</v>
      </c>
      <c r="AH24" s="32">
        <f>IF(AF24-InputData!$C$158-InputData!$C$159&gt;=0,AF24-InputData!$C$158-InputData!$C$159,0)</f>
        <v>143293.65401725791</v>
      </c>
      <c r="AI24" s="32">
        <f>IF(AF24-IF(AF24&lt;=InputData!$C$146,InputData!$C$145,0)-MAX(InputData!$C$144,AO24)&gt;=0,AF24-IF(AF24&lt;=InputData!$C$146,InputData!$C$145,0)-MAX(InputData!$C$144,AO24),0)</f>
        <v>133293.65401725791</v>
      </c>
      <c r="AJ24" s="32">
        <f>IF(AI24&lt;0,"Error",IF(AI24&lt;=InputData!$B$170,InputData!$C$170*AI24,IF(AI24&lt;=InputData!$B$171,InputData!$D$170+InputData!$C$171*(AI24-InputData!$B$170),IF(AI24&lt;=InputData!$B$172,InputData!$D$171+InputData!$C$172*(AI24-InputData!$B$171),IF(AI24&lt;=InputData!$B$173,InputData!$D$172+InputData!$C$173*(AI24-InputData!$B$172),IF(AI24&lt;=InputData!$B$174,InputData!$D$173+InputData!$C$174*(AI24-InputData!$B$173),IF(AI24&lt;=InputData!$B$175,InputData!$D$174+InputData!$C$175*(AI24-InputData!$B$174),InputData!$D$175+InputData!$C$176*(AI24-InputData!$B$175))))))))</f>
        <v>30615.473124832217</v>
      </c>
      <c r="AK24" s="32">
        <f>IF(AF24&lt;=InputData!$C$150,InputData!$C$152,IF(AF24&lt;InputData!$C$151,IF(InputData!$C$152-0.25*IF(AF24-InputData!$C$150&lt;=0,0,AF24-InputData!$C$150)&lt;=0,0,InputData!$C$152-0.25*IF(AF24-InputData!$C$150&lt;=0,0,AF24-InputData!$C$150)),0))</f>
        <v>44926.586495685522</v>
      </c>
      <c r="AL24" s="32">
        <f>IF(AF24-AK24&lt;=0,0,IF(AF24-AK24&lt;=InputData!$C$153,InputData!$C$154*(AF24-AK24),InputData!$C$155*(AF24-AK24)-InputData!$D$154))</f>
        <v>25575.437555608823</v>
      </c>
      <c r="AM24" s="32">
        <f t="shared" si="42"/>
        <v>30615.473124832217</v>
      </c>
      <c r="AN24" s="32">
        <f>IF(AF24&gt;=0,IF(AF24&lt;=InputData!$C$148,InputData!$C$147*AF24,InputData!$C$147*InputData!$C$148)+InputData!$C$149*AF24,0)</f>
        <v>9127.1579832502393</v>
      </c>
      <c r="AO24" s="32">
        <f>IF(AH24&lt;0,0,IF(AH24&lt;=InputData!$B$163,InputData!$C$163*AH24,IF(AH24&lt;=InputData!$B$164,InputData!$D$163+InputData!$C$164*(AH24-InputData!$B$163),IF(AH24&lt;=InputData!$B$165,InputData!$D$164+InputData!$C$165*(AH24-InputData!$B$164),InputData!$D$165+InputData!$C$166*(AH24-InputData!$B$165)))))</f>
        <v>0</v>
      </c>
      <c r="AP24" s="43">
        <f t="shared" si="43"/>
        <v>0.27735095026117457</v>
      </c>
      <c r="AQ24" s="43">
        <f t="shared" si="44"/>
        <v>0.24673922193378561</v>
      </c>
      <c r="AR24" s="5">
        <f t="shared" si="45"/>
        <v>121328.76563461983</v>
      </c>
      <c r="AS24" s="32">
        <f>AR24/((1+InputData!$C$7)^(Ophtha!$B24-Ophtha!$B$7))</f>
        <v>73405.898562990915</v>
      </c>
      <c r="AT24" s="5">
        <f t="shared" si="112"/>
        <v>1036506.4044737867</v>
      </c>
      <c r="AU24" s="53"/>
      <c r="AV24" s="41" t="s">
        <v>109</v>
      </c>
      <c r="AW24" s="32">
        <f>$AW$15*(1+InputData!$C$3+InputData!$C$4)^(Ophtha!$B24-Ophtha!$B$17)</f>
        <v>310130.56766844424</v>
      </c>
      <c r="AX24" s="32">
        <v>0</v>
      </c>
      <c r="AY24" s="32">
        <f t="shared" si="47"/>
        <v>310130.56766844424</v>
      </c>
      <c r="AZ24" s="32">
        <f>AZ23*(1+InputData!$C$8)</f>
        <v>16088.773906520961</v>
      </c>
      <c r="BA24" s="32">
        <f>AW24/((1+InputData!$C$3)^(Ophtha!$B24-Ophtha!$B$7))</f>
        <v>221483.64090480129</v>
      </c>
      <c r="BB24" s="32">
        <f>AX24/((1+InputData!$C$3)^(Ophtha!$B24-Ophtha!$B$7))</f>
        <v>0</v>
      </c>
      <c r="BC24" s="32" t="s">
        <v>141</v>
      </c>
      <c r="BD24" s="32">
        <v>0</v>
      </c>
      <c r="BE24" s="32">
        <f t="shared" si="158"/>
        <v>33409.076686791239</v>
      </c>
      <c r="BF24" s="32">
        <f>(BE24)*InputData!$C$6</f>
        <v>2074.7036622497362</v>
      </c>
      <c r="BG24" s="32">
        <f>MIN($BE$15*InputData!$C$6/(1-(1+InputData!$C$6)^(-10)), BE24+BF24)</f>
        <v>35483.780349040731</v>
      </c>
      <c r="BH24" s="32">
        <f t="shared" si="140"/>
        <v>2.4010660126805305E-10</v>
      </c>
      <c r="BI24" s="32">
        <f>BG24/((1+InputData!$C$3)^(Ophtha!$B24-Ophtha!$B$7))</f>
        <v>25341.187500013861</v>
      </c>
      <c r="BJ24" s="32">
        <f>IF(BA24-InputData!$C$158-InputData!$C$159&gt;=0,BA24-InputData!$C$158-InputData!$C$159,0)</f>
        <v>221483.64090480129</v>
      </c>
      <c r="BK24" s="32">
        <f>IF(BA24-IF(BA24&lt;=InputData!$C$146,InputData!$C$145,0)-MAX(InputData!$C$144,BQ24)&gt;=0,BA24-IF(BA24&lt;=InputData!$C$146,InputData!$C$145,0)-MAX(InputData!$C$144,BQ24),0)</f>
        <v>215383.64090480129</v>
      </c>
      <c r="BL24" s="32">
        <f>IF(BK24&lt;0,"Error",IF(BK24&lt;=InputData!$B$170,InputData!$C$170*BK24,IF(BK24&lt;=InputData!$B$171,InputData!$D$170+InputData!$C$171*(BK24-InputData!$B$170),IF(BK24&lt;=InputData!$B$172,InputData!$D$171+InputData!$C$172*(BK24-InputData!$B$171),IF(BK24&lt;=InputData!$B$173,InputData!$D$172+InputData!$C$173*(BK24-InputData!$B$172),IF(BK24&lt;=InputData!$B$174,InputData!$D$173+InputData!$C$174*(BK24-InputData!$B$173),IF(BK24&lt;=InputData!$B$175,InputData!$D$174+InputData!$C$175*(BK24-InputData!$B$174),InputData!$D$175+InputData!$C$176*(BK24-InputData!$B$175))))))))</f>
        <v>55207.351498584423</v>
      </c>
      <c r="BM24" s="32">
        <f>IF(BA24&lt;=InputData!$C$150,InputData!$C$152,IF(BA24&lt;InputData!$C$151,IF(InputData!$C$152-0.25*IF(BA24-InputData!$C$150&lt;=0,0,BA24-InputData!$C$150)&lt;=0,0,InputData!$C$152-0.25*IF(BA24-InputData!$C$150&lt;=0,0,BA24-InputData!$C$150)),0))</f>
        <v>25379.089773799678</v>
      </c>
      <c r="BN24" s="32">
        <f>IF(BA24-BM24&lt;=0,0,IF(BA24-BM24&lt;=InputData!$C$153,InputData!$C$154*(BA24-BM24),InputData!$C$155*(BA24-BM24)-InputData!$D$154))</f>
        <v>51319.274316680458</v>
      </c>
      <c r="BO24" s="32">
        <f t="shared" si="48"/>
        <v>55207.351498584423</v>
      </c>
      <c r="BP24" s="32">
        <f>IF(BA24&gt;=0,IF(BA24&lt;=InputData!$C$148,InputData!$C$147*BA24,InputData!$C$147*InputData!$C$148)+InputData!$C$149*BA24,0)</f>
        <v>10260.912793119618</v>
      </c>
      <c r="BQ24" s="32">
        <f>IF(BJ24&lt;0,0,IF(BJ24&lt;=InputData!$B$163,InputData!$C$163*BJ24,IF(BJ24&lt;=InputData!$B$164,InputData!$D$163+InputData!$C$164*(BJ24-InputData!$B$163),IF(BJ24&lt;=InputData!$B$165,InputData!$D$164+InputData!$C$165*(BJ24-InputData!$B$164),InputData!$D$165+InputData!$C$166*(BJ24-InputData!$B$165)))))</f>
        <v>0</v>
      </c>
      <c r="BR24" s="43">
        <f t="shared" si="49"/>
        <v>0.29558961566756886</v>
      </c>
      <c r="BS24" s="32">
        <f t="shared" si="50"/>
        <v>156015.37661309724</v>
      </c>
      <c r="BT24" s="32">
        <f t="shared" si="51"/>
        <v>130674.18911308338</v>
      </c>
      <c r="BU24" s="32">
        <f>BT24/((1+InputData!$C$7)^(Ophtha!$B24-Ophtha!$B$7))</f>
        <v>79060.03346084521</v>
      </c>
      <c r="BV24" s="5">
        <f t="shared" si="114"/>
        <v>803244.2966144738</v>
      </c>
      <c r="BW24" s="5"/>
      <c r="BX24" s="32" t="s">
        <v>141</v>
      </c>
      <c r="BY24" s="5">
        <f t="shared" si="159"/>
        <v>205546.93135342794</v>
      </c>
      <c r="BZ24" s="32">
        <f>(BY24)*InputData!$C$6</f>
        <v>12764.464437047875</v>
      </c>
      <c r="CA24" s="32">
        <f>MIN($BY$15*InputData!$C$6/(1-(1+InputData!$C$6)^(-25)), BY24+BZ24)</f>
        <v>20633.642137763909</v>
      </c>
      <c r="CB24" s="32">
        <f t="shared" si="160"/>
        <v>197677.75365271189</v>
      </c>
      <c r="CC24" s="32">
        <f>CA24/((1+InputData!$C$3)^(Ophtha!$B24-Ophtha!$B$7))</f>
        <v>14735.774742089947</v>
      </c>
      <c r="CD24" s="5">
        <f t="shared" si="55"/>
        <v>141279.6018710073</v>
      </c>
      <c r="CE24" s="32">
        <f>CD24/((1+InputData!$C$7)^(Ophtha!$B24-Ophtha!$B$7))</f>
        <v>85476.482594361121</v>
      </c>
      <c r="CF24" s="5">
        <f t="shared" si="115"/>
        <v>884176.08130072244</v>
      </c>
      <c r="CG24" s="5"/>
      <c r="CH24" s="32" t="s">
        <v>141</v>
      </c>
      <c r="CI24" s="5">
        <f t="shared" si="161"/>
        <v>38507.949966891254</v>
      </c>
      <c r="CJ24" s="32">
        <f>(CI24)*InputData!$C$6</f>
        <v>2391.3436929439472</v>
      </c>
      <c r="CK24" s="5">
        <f t="shared" si="162"/>
        <v>35483.780349040731</v>
      </c>
      <c r="CL24" s="32">
        <f t="shared" si="163"/>
        <v>5415.5133107944712</v>
      </c>
      <c r="CM24" s="32">
        <f>CK24/((1+InputData!$C$3)^(Ophtha!$B24-Ophtha!$B$7))</f>
        <v>25341.187500013861</v>
      </c>
      <c r="CN24" s="5">
        <f t="shared" si="59"/>
        <v>130674.18911308338</v>
      </c>
      <c r="CO24" s="32">
        <f>CN24/((1+InputData!$C$7)^(Ophtha!$B24-Ophtha!$B$7))</f>
        <v>79060.03346084521</v>
      </c>
      <c r="CP24" s="5">
        <f t="shared" si="149"/>
        <v>805389.34392574977</v>
      </c>
      <c r="CQ24" s="5"/>
      <c r="CR24" s="32" t="s">
        <v>141</v>
      </c>
      <c r="CS24" s="5">
        <f t="shared" si="164"/>
        <v>160206.96477459042</v>
      </c>
      <c r="CT24" s="32">
        <f>(CS24)*InputData!$C$6</f>
        <v>9948.852512502066</v>
      </c>
      <c r="CU24" s="32">
        <f t="shared" si="165"/>
        <v>28599.740680866282</v>
      </c>
      <c r="CV24" s="32">
        <f t="shared" si="166"/>
        <v>141556.07660622618</v>
      </c>
      <c r="CW24" s="32">
        <f>CU24/((1+InputData!$C$3)^(Ophtha!$B24-Ophtha!$B$7))</f>
        <v>20424.864090480129</v>
      </c>
      <c r="CX24" s="5">
        <f t="shared" si="63"/>
        <v>135590.51252261712</v>
      </c>
      <c r="CY24" s="32">
        <f>CX24/((1+InputData!$C$7)^(Ophtha!$B24-Ophtha!$B$7))</f>
        <v>82034.489976704761</v>
      </c>
      <c r="CZ24" s="5">
        <f t="shared" si="150"/>
        <v>860878.40175851015</v>
      </c>
      <c r="DA24" s="5"/>
      <c r="DB24" s="32" t="s">
        <v>141</v>
      </c>
      <c r="DC24" s="5">
        <f t="shared" si="141"/>
        <v>0</v>
      </c>
      <c r="DD24" s="5">
        <f>DC24*InputData!$C$6</f>
        <v>0</v>
      </c>
      <c r="DE24" s="32">
        <f t="shared" si="142"/>
        <v>0</v>
      </c>
      <c r="DF24" s="32">
        <f t="shared" si="143"/>
        <v>0</v>
      </c>
      <c r="DG24" s="32">
        <f>DE24/((1+InputData!$C$3)^(Ophtha!$B24-Ophtha!$B$7))</f>
        <v>0</v>
      </c>
      <c r="DH24" s="5">
        <f t="shared" si="67"/>
        <v>156015.37661309724</v>
      </c>
      <c r="DI24" s="32">
        <f>DH24/((1+InputData!$C$7)^(Ophtha!$B24-Ophtha!$B$7))</f>
        <v>94391.868655589526</v>
      </c>
      <c r="DJ24" s="5">
        <f t="shared" si="130"/>
        <v>807755.99428673275</v>
      </c>
      <c r="DK24" s="5"/>
      <c r="DL24" s="32" t="s">
        <v>141</v>
      </c>
      <c r="DM24" s="32">
        <f t="shared" si="167"/>
        <v>65342.905396234448</v>
      </c>
      <c r="DN24" s="5">
        <f>DM24*InputData!$C$6</f>
        <v>4057.7944251061595</v>
      </c>
      <c r="DO24" s="32">
        <f t="shared" si="168"/>
        <v>0</v>
      </c>
      <c r="DP24" s="32">
        <f t="shared" si="131"/>
        <v>29148.379963889372</v>
      </c>
      <c r="DQ24" s="32">
        <f t="shared" si="132"/>
        <v>40252.319857451235</v>
      </c>
      <c r="DR24" s="32">
        <f>DP24/((1+InputData!$C$3)^(Ophtha!$B24-Ophtha!$B$7))</f>
        <v>20816.681726712824</v>
      </c>
      <c r="DS24" s="5">
        <f t="shared" si="71"/>
        <v>135198.69488638442</v>
      </c>
      <c r="DT24" s="32">
        <f>DS24/((1+InputData!$C$7)^(Ophtha!$B24-Ophtha!$B$7))</f>
        <v>81797.433863011946</v>
      </c>
      <c r="DU24" s="5">
        <f t="shared" si="133"/>
        <v>819435.67278043949</v>
      </c>
      <c r="DV24" s="5"/>
      <c r="DW24" s="32" t="s">
        <v>141</v>
      </c>
      <c r="DX24" s="133">
        <f t="shared" si="144"/>
        <v>126568.53145182526</v>
      </c>
      <c r="DY24" s="5">
        <f>DX24*InputData!$C$6</f>
        <v>7859.905803158349</v>
      </c>
      <c r="DZ24" s="133">
        <f t="shared" si="145"/>
        <v>0</v>
      </c>
      <c r="EA24" s="32">
        <f t="shared" si="146"/>
        <v>28599.740680866282</v>
      </c>
      <c r="EB24" s="32">
        <f t="shared" si="147"/>
        <v>105828.69657411733</v>
      </c>
      <c r="EC24" s="32">
        <f>EA24/((1+InputData!$C$3)^(Ophtha!$B24-Ophtha!$B$7))</f>
        <v>20424.864090480129</v>
      </c>
      <c r="ED24" s="5">
        <f t="shared" si="75"/>
        <v>135590.51252261712</v>
      </c>
      <c r="EE24" s="32">
        <f>ED24/((1+InputData!$C$7)^(Ophtha!$B24-Ophtha!$B$7))</f>
        <v>82034.489976704761</v>
      </c>
      <c r="EF24" s="5">
        <f t="shared" si="134"/>
        <v>848654.44881823333</v>
      </c>
      <c r="EG24" s="32"/>
      <c r="EH24" s="133" t="s">
        <v>141</v>
      </c>
      <c r="EI24" s="32">
        <v>0</v>
      </c>
      <c r="EJ24" s="32">
        <f t="shared" si="175"/>
        <v>162732.28608329571</v>
      </c>
      <c r="EK24" s="32">
        <f>(EJ24)*InputData!$C$6</f>
        <v>10105.674965772663</v>
      </c>
      <c r="EL24" s="32">
        <f t="shared" si="173"/>
        <v>144238.22036820208</v>
      </c>
      <c r="EM24" s="32">
        <f>EM23*(1+InputData!$C$8)</f>
        <v>16088.773906520961</v>
      </c>
      <c r="EN24" s="32">
        <f t="shared" si="152"/>
        <v>28599.740680866282</v>
      </c>
      <c r="EO24" s="32">
        <f>AW24/((1+InputData!$C$3)^(Ophtha!$B24-Ophtha!$B$7))</f>
        <v>221483.64090480129</v>
      </c>
      <c r="EP24" s="32">
        <f>AX24/((1+InputData!$C$3)^(Ophtha!$B24-Ophtha!$B$7))</f>
        <v>0</v>
      </c>
      <c r="EQ24" s="32">
        <v>55155.25</v>
      </c>
      <c r="ER24" s="32">
        <v>8969.8950000000004</v>
      </c>
      <c r="ES24" s="32">
        <v>0</v>
      </c>
      <c r="ET24" s="43">
        <f t="shared" si="139"/>
        <v>0.28952542381025087</v>
      </c>
      <c r="EU24" s="32">
        <f t="shared" si="76"/>
        <v>157358.4959048013</v>
      </c>
      <c r="EV24" s="32">
        <f>EN24/((1+InputData!$C$3)^(Ophtha!$B24-Ophtha!$B$7))</f>
        <v>20424.864090480129</v>
      </c>
      <c r="EW24" s="32">
        <f t="shared" si="77"/>
        <v>136933.63181432115</v>
      </c>
      <c r="EX24" s="32">
        <f>EW24/((1+InputData!$C$7)^(Ophtha!$B24-Ophtha!$B$7))</f>
        <v>82847.099236917071</v>
      </c>
      <c r="EY24" s="5">
        <f t="shared" si="124"/>
        <v>945839.49458410044</v>
      </c>
      <c r="EZ24" s="79"/>
      <c r="FA24" s="32">
        <f t="shared" si="153"/>
        <v>33598.786301399887</v>
      </c>
      <c r="FB24" s="32">
        <f>FA24*InputData!$C$6</f>
        <v>2086.484629316933</v>
      </c>
      <c r="FC24" s="32">
        <f t="shared" si="154"/>
        <v>2.5465851649641991E-10</v>
      </c>
      <c r="FD24" s="32">
        <f>MIN($EJ$15*InputData!$C$6/(1-(1+InputData!$C$6)^(-10)), FA24+FB24)</f>
        <v>35685.270930716564</v>
      </c>
      <c r="FE24" s="32">
        <f>FD24/((1+InputData!$C$3)^(Ophtha!$B24-Ophtha!$B$7))</f>
        <v>25485.084530136024</v>
      </c>
      <c r="FF24" s="5">
        <f t="shared" si="81"/>
        <v>131873.41137466527</v>
      </c>
      <c r="FG24" s="32">
        <f>FF24/((1+InputData!$C$7)^(Ophtha!$B24-Ophtha!$B$7))</f>
        <v>79785.582651325414</v>
      </c>
      <c r="FH24" s="5">
        <f t="shared" si="125"/>
        <v>887107.28569580975</v>
      </c>
      <c r="FI24" s="79"/>
      <c r="FJ24" s="32">
        <f t="shared" si="155"/>
        <v>206714.10605557906</v>
      </c>
      <c r="FK24" s="32">
        <f>FJ24*InputData!$C$6</f>
        <v>12836.94598605146</v>
      </c>
      <c r="FL24" s="32">
        <f t="shared" si="170"/>
        <v>198800.24413078569</v>
      </c>
      <c r="FM24" s="32">
        <f>MIN($EJ$15*InputData!$C$6/(1-(1+InputData!$C$6)^(-25)), FJ24+FK24)</f>
        <v>20750.807910844829</v>
      </c>
      <c r="FN24" s="32">
        <f>FM24/((1+InputData!$C$3)^(Ophtha!$B24-Ophtha!$B$7))</f>
        <v>14819.450150826602</v>
      </c>
      <c r="FO24" s="5">
        <f t="shared" si="85"/>
        <v>142539.0457539747</v>
      </c>
      <c r="FP24" s="32">
        <f>FO24/((1+InputData!$C$7)^(Ophtha!$B24-Ophtha!$B$7))</f>
        <v>86238.466856175</v>
      </c>
      <c r="FQ24" s="5">
        <f t="shared" si="126"/>
        <v>968498.63224982144</v>
      </c>
      <c r="FR24" s="79"/>
      <c r="FS24" s="32">
        <f t="shared" si="156"/>
        <v>39620.356733740002</v>
      </c>
      <c r="FT24" s="32">
        <f>FS24*InputData!$C$6</f>
        <v>2460.4241531652542</v>
      </c>
      <c r="FU24" s="32">
        <f t="shared" si="171"/>
        <v>6395.5099561886891</v>
      </c>
      <c r="FV24" s="5">
        <f t="shared" si="157"/>
        <v>35685.270930716564</v>
      </c>
      <c r="FW24" s="32">
        <f>FV24/((1+InputData!$C$3)^(Ophtha!$B24-Ophtha!$B$7))</f>
        <v>25485.084530136024</v>
      </c>
      <c r="FX24" s="5">
        <f t="shared" si="88"/>
        <v>131873.41137466527</v>
      </c>
      <c r="FY24" s="32">
        <f>FX24/((1+InputData!$C$7)^(Ophtha!$B24-Ophtha!$B$7))</f>
        <v>79785.582651325414</v>
      </c>
      <c r="FZ24" s="5">
        <f t="shared" si="127"/>
        <v>889640.2976002713</v>
      </c>
      <c r="GC24" s="3">
        <f t="shared" si="2"/>
        <v>14</v>
      </c>
      <c r="GD24" s="122" t="str">
        <f t="shared" si="3"/>
        <v>Multi-Year (O5&gt;12 = (BP+BAH+BAS+VSP+BCPSP)*12+ASP+ISP+MSP)</v>
      </c>
      <c r="GE24" s="5">
        <f t="shared" si="4"/>
        <v>169420.72</v>
      </c>
      <c r="GF24" s="5">
        <f t="shared" si="5"/>
        <v>21019.199999999997</v>
      </c>
      <c r="GG24" s="5">
        <f t="shared" si="6"/>
        <v>190439.91999999998</v>
      </c>
      <c r="GH24" s="5">
        <f t="shared" si="7"/>
        <v>143293.65401725791</v>
      </c>
      <c r="GI24" s="5">
        <f t="shared" si="8"/>
        <v>17777.742725444368</v>
      </c>
      <c r="GJ24" s="32">
        <f>IF(GH24-InputData!$C$158-InputData!$C$159&gt;=0,GH24-InputData!$C$158-InputData!$C$159,0)</f>
        <v>143293.65401725791</v>
      </c>
      <c r="GK24" s="32">
        <f>IF(GH24-IF(GH24&lt;=InputData!$C$146,InputData!$C$145,0)-MAX(InputData!$C$144,GQ24)&gt;=0,GH24-IF(GH24&lt;=InputData!$C$146,InputData!$C$145,0)-MAX(InputData!$C$144,GQ24),0)</f>
        <v>133293.65401725791</v>
      </c>
      <c r="GL24" s="32">
        <f>IF(GK24&lt;0,"Error",IF(GK24&lt;=InputData!$B$170,InputData!$C$170*GK24,IF(GK24&lt;=InputData!$B$171,InputData!$D$170+InputData!$C$171*(GK24-InputData!$B$170),IF(GK24&lt;=InputData!$B$172,InputData!$D$171+InputData!$C$172*(GK24-InputData!$B$171),IF(GK24&lt;=InputData!$B$173,InputData!$D$172+InputData!$C$173*(GK24-InputData!$B$172),IF(GK24&lt;=InputData!$B$174,InputData!$D$173+InputData!$C$174*(GK24-InputData!$B$173),IF(GK24&lt;=InputData!$B$175,InputData!$D$174+InputData!$C$175*(GK24-InputData!$B$174),InputData!$D$175+InputData!$C$176*(GK24-InputData!$B$175))))))))</f>
        <v>30615.473124832217</v>
      </c>
      <c r="GM24" s="32">
        <f>IF(GH24&lt;=InputData!$C$150,InputData!$C$152,IF(GH24&lt;InputData!$C$151,IF(InputData!$C$152-0.25*IF(GH24-InputData!$C$150&lt;=0,0,GH24-InputData!$C$150)&lt;=0,0,InputData!$C$152-0.25*IF(GH24-InputData!$C$150&lt;=0,0,GH24-InputData!$C$150)),0))</f>
        <v>44926.586495685522</v>
      </c>
      <c r="GN24" s="32">
        <f>IF(GH24-GM24&lt;=0,0,IF(GH24-GM24&lt;=InputData!$C$153,InputData!$C$154*(GH24-GM24),InputData!$C$155*(GH24-GM24)-InputData!$D$154))</f>
        <v>25575.437555608823</v>
      </c>
      <c r="GO24" s="32">
        <f t="shared" si="89"/>
        <v>30615.473124832217</v>
      </c>
      <c r="GP24" s="32">
        <f>IF(GH24&gt;=0,IF(GH24&lt;=InputData!$C$148,InputData!$C$147*GH24,InputData!$C$147*InputData!$C$148)+InputData!$C$149*GH24,0)</f>
        <v>9127.1579832502393</v>
      </c>
      <c r="GQ24" s="32">
        <f>IF(GJ24&lt;0,0,IF(GJ24&lt;=InputData!$B$163,InputData!$C$163*GJ24,IF(GJ24&lt;=InputData!$B$164,InputData!$D$163+InputData!$C$164*(GJ24-InputData!$B$163),IF(GJ24&lt;=InputData!$B$165,InputData!$D$164+InputData!$C$165*(GJ24-InputData!$B$164),InputData!$D$165+InputData!$C$166*(GJ24-InputData!$B$165)))))</f>
        <v>0</v>
      </c>
      <c r="GR24" s="43">
        <f t="shared" si="90"/>
        <v>0.27735095026117457</v>
      </c>
      <c r="GS24" s="43">
        <f t="shared" si="91"/>
        <v>0.24673922193378561</v>
      </c>
      <c r="GT24" s="5">
        <f t="shared" si="9"/>
        <v>121328.76563461983</v>
      </c>
      <c r="GU24" s="32">
        <f>GT24/((1+InputData!$C$7)^(Ophtha!$B24-Ophtha!$B$7))</f>
        <v>73405.898562990915</v>
      </c>
      <c r="GV24" s="32">
        <f t="shared" si="92"/>
        <v>1061272.8205898602</v>
      </c>
      <c r="GX24" s="3">
        <f t="shared" si="10"/>
        <v>14</v>
      </c>
      <c r="GY24" s="4" t="str">
        <f t="shared" si="11"/>
        <v>Multi-Year (O5&gt;12 = (BP+BAH+BAS+VSP+BCPSP)*12+ASP+ISP+MSP)</v>
      </c>
      <c r="GZ24" s="5">
        <f t="shared" si="12"/>
        <v>169420.72</v>
      </c>
      <c r="HA24" s="5">
        <f t="shared" si="13"/>
        <v>21019.199999999997</v>
      </c>
      <c r="HB24" s="5">
        <f t="shared" si="14"/>
        <v>190439.91999999998</v>
      </c>
      <c r="HC24" s="5">
        <f t="shared" si="15"/>
        <v>143293.65401725791</v>
      </c>
      <c r="HD24" s="5">
        <f t="shared" si="16"/>
        <v>17777.742725444368</v>
      </c>
      <c r="HE24" s="32">
        <f>IF(HC24-InputData!$C$158-InputData!$C$159&gt;=0,HC24-InputData!$C$158-InputData!$C$159,0)</f>
        <v>143293.65401725791</v>
      </c>
      <c r="HF24" s="32">
        <f>IF(HC24-IF(HC24&lt;=InputData!$C$146,InputData!$C$145,0)-MAX(InputData!$C$144,HL24)&gt;=0,HC24-IF(HC24&lt;=InputData!$C$146,InputData!$C$145,0)-MAX(InputData!$C$144,HL24),0)</f>
        <v>133293.65401725791</v>
      </c>
      <c r="HG24" s="32">
        <f>IF(HF24&lt;0,"Error",IF(HF24&lt;=InputData!$B$170,InputData!$C$170*HF24,IF(HF24&lt;=InputData!$B$171,InputData!$D$170+InputData!$C$171*(HF24-InputData!$B$170),IF(HF24&lt;=InputData!$B$172,InputData!$D$171+InputData!$C$172*(HF24-InputData!$B$171),IF(HF24&lt;=InputData!$B$173,InputData!$D$172+InputData!$C$173*(HF24-InputData!$B$172),IF(HF24&lt;=InputData!$B$174,InputData!$D$173+InputData!$C$174*(HF24-InputData!$B$173),IF(HF24&lt;=InputData!$B$175,InputData!$D$174+InputData!$C$175*(HF24-InputData!$B$174),InputData!$D$175+InputData!$C$176*(HF24-InputData!$B$175))))))))</f>
        <v>30615.473124832217</v>
      </c>
      <c r="HH24" s="32">
        <f>IF(HC24&lt;=InputData!$C$150,InputData!$C$152,IF(HC24&lt;InputData!$C$151,IF(InputData!$C$152-0.25*IF(HC24-InputData!$C$150&lt;=0,0,HC24-InputData!$C$150)&lt;=0,0,InputData!$C$152-0.25*IF(HC24-InputData!$C$150&lt;=0,0,HC24-InputData!$C$150)),0))</f>
        <v>44926.586495685522</v>
      </c>
      <c r="HI24" s="32">
        <f>IF(HC24-HH24&lt;=0,0,IF(HC24-HH24&lt;=InputData!$C$153,InputData!$C$154*(HC24-HH24),InputData!$C$155*(HC24-HH24)-InputData!$D$154))</f>
        <v>25575.437555608823</v>
      </c>
      <c r="HJ24" s="32">
        <f t="shared" si="93"/>
        <v>30615.473124832217</v>
      </c>
      <c r="HK24" s="32">
        <f>IF(HC24&gt;=0,IF(HC24&lt;=InputData!$C$148,InputData!$C$147*HC24,InputData!$C$147*InputData!$C$148)+InputData!$C$149*HC24,0)</f>
        <v>9127.1579832502393</v>
      </c>
      <c r="HL24" s="32">
        <f>IF(HE24&lt;0,0,IF(HE24&lt;=InputData!$B$163,InputData!$C$163*HE24,IF(HE24&lt;=InputData!$B$164,InputData!$D$163+InputData!$C$164*(HE24-InputData!$B$163),IF(HE24&lt;=InputData!$B$165,InputData!$D$164+InputData!$C$165*(HE24-InputData!$B$164),InputData!$D$165+InputData!$C$166*(HE24-InputData!$B$165)))))</f>
        <v>0</v>
      </c>
      <c r="HM24" s="43">
        <f t="shared" si="94"/>
        <v>0.27735095026117457</v>
      </c>
      <c r="HN24" s="43">
        <f t="shared" si="95"/>
        <v>0.24673922193378561</v>
      </c>
      <c r="HO24" s="5">
        <f t="shared" si="17"/>
        <v>121328.76563461983</v>
      </c>
      <c r="HP24" s="32">
        <f>HO24/((1+InputData!$C$7)^(Ophtha!$B24-Ophtha!$B$7))</f>
        <v>73405.898562990915</v>
      </c>
      <c r="HQ24" s="32">
        <f t="shared" si="96"/>
        <v>1036506.4044737867</v>
      </c>
      <c r="HS24" s="90"/>
      <c r="HT24" s="53" t="s">
        <v>109</v>
      </c>
      <c r="HU24" s="32">
        <f>MIN(InputData!$C$13+InputData!$E$13*($B24-$B$22),1)*Ophtha!AW24</f>
        <v>279117.51090159983</v>
      </c>
      <c r="HV24" s="32">
        <f>MIN(InputData!$C$13+InputData!$E$13*($B24-$B$22),1)*Ophtha!AX24</f>
        <v>0</v>
      </c>
      <c r="HW24" s="32">
        <f>MIN(InputData!$C$13+InputData!$E$13*($B24-$B$22),1)*Ophtha!AY24</f>
        <v>279117.51090159983</v>
      </c>
      <c r="HX24" s="32">
        <f>MIN(InputData!$C$13+InputData!$E$13*($B24-$B$22),1)*Ophtha!BA24</f>
        <v>199335.27681432117</v>
      </c>
      <c r="HY24" s="32">
        <f>MIN(InputData!$C$13+InputData!$E$13*($B24-$B$22),1)*Ophtha!BB24</f>
        <v>0</v>
      </c>
      <c r="HZ24" s="32">
        <f>IF(HX24-InputData!$C$158-InputData!$C$159&gt;=0,HX24-InputData!$C$158-InputData!$C$159,0)</f>
        <v>199335.27681432117</v>
      </c>
      <c r="IA24" s="32">
        <f>IF(HX24-IF(HX24&lt;=InputData!$C$146,InputData!$C$145,0)-MAX(InputData!$C$144,IG24)&gt;=0,HX24-IF(HX24&lt;=InputData!$C$146,InputData!$C$145,0)-MAX(InputData!$C$144,IG24),0)</f>
        <v>193235.27681432117</v>
      </c>
      <c r="IB24" s="32">
        <f>IF(IA24&lt;0,"Error",IF(IA24&lt;=InputData!$B$170,InputData!$C$170*IA24,IF(IA24&lt;=InputData!$B$171,InputData!$D$170+InputData!$C$171*(IA24-InputData!$B$170),IF(IA24&lt;=InputData!$B$172,InputData!$D$171+InputData!$C$172*(IA24-InputData!$B$171),IF(IA24&lt;=InputData!$B$173,InputData!$D$172+InputData!$C$173*(IA24-InputData!$B$172),IF(IA24&lt;=InputData!$B$174,InputData!$D$173+InputData!$C$174*(IA24-InputData!$B$173),IF(IA24&lt;=InputData!$B$175,InputData!$D$174+InputData!$C$175*(IA24-InputData!$B$174),InputData!$D$175+InputData!$C$176*(IA24-InputData!$B$175))))))))</f>
        <v>47898.391348725985</v>
      </c>
      <c r="IC24" s="32">
        <f>IF(HX24&lt;=InputData!$C$150,InputData!$C$152,IF(HX24&lt;InputData!$C$151,IF(InputData!$C$152-0.25*IF(HX24-InputData!$C$150&lt;=0,0,HX24-InputData!$C$150)&lt;=0,0,InputData!$C$152-0.25*IF(HX24-InputData!$C$150&lt;=0,0,HX24-InputData!$C$150)),0))</f>
        <v>30916.180796419707</v>
      </c>
      <c r="ID24" s="32">
        <f>IF(HX24-IC24&lt;=0,0,IF(HX24-IC24&lt;=InputData!$C$153,InputData!$C$154*(HX24-IC24),InputData!$C$155*(HX24-IC24)-InputData!$D$154))</f>
        <v>43788.964964654384</v>
      </c>
      <c r="IE24" s="32">
        <f t="shared" si="97"/>
        <v>47898.391348725985</v>
      </c>
      <c r="IF24" s="32">
        <f>IF(HX24&gt;=0,IF(HX24&lt;=InputData!$C$148,InputData!$C$147*HX24,InputData!$C$147*InputData!$C$148)+InputData!$C$149*HX24,0)</f>
        <v>9939.7615138076562</v>
      </c>
      <c r="IG24" s="32">
        <f>IF(HZ24&lt;0,0,IF(HZ24&lt;=InputData!$B$163,InputData!$C$163*HZ24,IF(HZ24&lt;=InputData!$B$164,InputData!$D$163+InputData!$C$164*(HZ24-InputData!$B$163),IF(HZ24&lt;=InputData!$B$165,InputData!$D$164+InputData!$C$165*(HZ24-InputData!$B$164),InputData!$D$165+InputData!$C$166*(HZ24-InputData!$B$165)))))</f>
        <v>0</v>
      </c>
      <c r="IH24" s="43">
        <f t="shared" si="98"/>
        <v>0.29015512851952097</v>
      </c>
      <c r="II24" s="43">
        <f t="shared" si="99"/>
        <v>0.29015512851952097</v>
      </c>
      <c r="IJ24" s="5">
        <f t="shared" si="100"/>
        <v>141497.12395178751</v>
      </c>
      <c r="IK24" s="32">
        <f>IJ24/((1+InputData!$C$7)^(Ophtha!$B24-Ophtha!$B$7))</f>
        <v>85608.087030567534</v>
      </c>
      <c r="IL24" s="5">
        <f t="shared" si="101"/>
        <v>1097098.5625107086</v>
      </c>
      <c r="IN24" s="94"/>
      <c r="IO24" s="53" t="s">
        <v>109</v>
      </c>
      <c r="IP24" s="32">
        <f>MIN(InputData!$C$13+InputData!$E$13*($B24-$B$19),1)*Ophtha!AW24</f>
        <v>279117.51090159983</v>
      </c>
      <c r="IQ24" s="32">
        <f>MIN(InputData!$C$13+InputData!$E$13*($B24-$B$19),1)*Ophtha!AX24</f>
        <v>0</v>
      </c>
      <c r="IR24" s="32">
        <f>MIN(InputData!$C$13+InputData!$E$13*($B24-$B$19),1)*Ophtha!AY24</f>
        <v>279117.51090159983</v>
      </c>
      <c r="IS24" s="32">
        <f>MIN(InputData!$C$13+InputData!$E$13*($B24-$B$19),1)*Ophtha!BA24</f>
        <v>199335.27681432117</v>
      </c>
      <c r="IT24" s="32">
        <f>MIN(InputData!$C$13+InputData!$E$13*($B24-$B$19),1)*Ophtha!BB24</f>
        <v>0</v>
      </c>
      <c r="IU24" s="32">
        <f>IF(IS24-InputData!$C$158-InputData!$C$159&gt;=0,IS24-InputData!$C$158-InputData!$C$159,0)</f>
        <v>199335.27681432117</v>
      </c>
      <c r="IV24" s="32">
        <f>IF(IS24-IF(IS24&lt;=InputData!$C$146,InputData!$C$145,0)-MAX(InputData!$C$144,JB24)&gt;=0,IS24-IF(IS24&lt;=InputData!$C$146,InputData!$C$145,0)-MAX(InputData!$C$144,JB24),0)</f>
        <v>193235.27681432117</v>
      </c>
      <c r="IW24" s="32">
        <f>IF(IV24&lt;0,"Error",IF(IV24&lt;=InputData!$B$170,InputData!$C$170*IV24,IF(IV24&lt;=InputData!$B$171,InputData!$D$170+InputData!$C$171*(IV24-InputData!$B$170),IF(IV24&lt;=InputData!$B$172,InputData!$D$171+InputData!$C$172*(IV24-InputData!$B$171),IF(IV24&lt;=InputData!$B$173,InputData!$D$172+InputData!$C$173*(IV24-InputData!$B$172),IF(IV24&lt;=InputData!$B$174,InputData!$D$173+InputData!$C$174*(IV24-InputData!$B$173),IF(IV24&lt;=InputData!$B$175,InputData!$D$174+InputData!$C$175*(IV24-InputData!$B$174),InputData!$D$175+InputData!$C$176*(IV24-InputData!$B$175))))))))</f>
        <v>47898.391348725985</v>
      </c>
      <c r="IX24" s="32">
        <f>IF(IS24&lt;=InputData!$C$150,InputData!$C$152,IF(IS24&lt;InputData!$C$151,IF(InputData!$C$152-0.25*IF(IS24-InputData!$C$150&lt;=0,0,IS24-InputData!$C$150)&lt;=0,0,InputData!$C$152-0.25*IF(IS24-InputData!$C$150&lt;=0,0,IS24-InputData!$C$150)),0))</f>
        <v>30916.180796419707</v>
      </c>
      <c r="IY24" s="32">
        <f>IF(IS24-IX24&lt;=0,0,IF(IS24-IX24&lt;=InputData!$C$153,InputData!$C$154*(IS24-IX24),InputData!$C$155*(IS24-IX24)-InputData!$D$154))</f>
        <v>43788.964964654384</v>
      </c>
      <c r="IZ24" s="32">
        <f t="shared" si="102"/>
        <v>47898.391348725985</v>
      </c>
      <c r="JA24" s="32">
        <f>IF(IS24&gt;=0,IF(IS24&lt;=InputData!$C$148,InputData!$C$147*IS24,InputData!$C$147*InputData!$C$148)+InputData!$C$149*IS24,0)</f>
        <v>9939.7615138076562</v>
      </c>
      <c r="JB24" s="32">
        <f>IF(IU24&lt;0,0,IF(IU24&lt;=InputData!$B$163,InputData!$C$163*IU24,IF(IU24&lt;=InputData!$B$164,InputData!$D$163+InputData!$C$164*(IU24-InputData!$B$163),IF(IU24&lt;=InputData!$B$165,InputData!$D$164+InputData!$C$165*(IU24-InputData!$B$164),InputData!$D$165+InputData!$C$166*(IU24-InputData!$B$165)))))</f>
        <v>0</v>
      </c>
      <c r="JC24" s="43">
        <f t="shared" si="103"/>
        <v>0.29015512851952097</v>
      </c>
      <c r="JD24" s="43">
        <f t="shared" si="104"/>
        <v>0.29015512851952097</v>
      </c>
      <c r="JE24" s="5">
        <f t="shared" si="105"/>
        <v>141497.12395178751</v>
      </c>
      <c r="JF24" s="32">
        <f>JE24/((1+InputData!$C$7)^(Ophtha!$B24-Ophtha!$B$7))</f>
        <v>85608.087030567534</v>
      </c>
      <c r="JG24" s="5">
        <f t="shared" si="106"/>
        <v>1107224.7342105536</v>
      </c>
      <c r="JI24" s="41" t="str">
        <f t="shared" si="32"/>
        <v>Private Practice</v>
      </c>
      <c r="JJ24" s="5">
        <f t="shared" si="33"/>
        <v>310130.56766844424</v>
      </c>
      <c r="JK24" s="32">
        <v>0</v>
      </c>
      <c r="JL24" s="32">
        <f t="shared" si="108"/>
        <v>310130.56766844424</v>
      </c>
      <c r="JM24" s="32">
        <f>JM23*(1+InputData!$C$8)</f>
        <v>16088.773906520961</v>
      </c>
      <c r="JN24" s="32">
        <f>JJ24/((1+InputData!$C$3)^(Ophtha!$B24-Ophtha!$B$7))</f>
        <v>221483.64090480129</v>
      </c>
      <c r="JO24" s="32">
        <f>JK24/((1+InputData!$C$3)^(Ophtha!$B24-Ophtha!$B$7))</f>
        <v>0</v>
      </c>
      <c r="JP24" s="32" t="s">
        <v>141</v>
      </c>
      <c r="JQ24" s="32">
        <v>0</v>
      </c>
      <c r="JR24" s="32">
        <f t="shared" si="172"/>
        <v>0</v>
      </c>
      <c r="JS24" s="32">
        <f>(JR24)*InputData!$C$6</f>
        <v>0</v>
      </c>
      <c r="JT24" s="32">
        <f>MIN($BE$15*InputData!$C$6/(1-(1+InputData!$C$6)^(-10)), JR24+JS24)</f>
        <v>0</v>
      </c>
      <c r="JU24" s="32">
        <f t="shared" si="148"/>
        <v>0</v>
      </c>
      <c r="JV24" s="32">
        <f>JT24/((1+InputData!$C$3)^(Ophtha!$B24-Ophtha!$B$7))</f>
        <v>0</v>
      </c>
      <c r="JW24" s="32">
        <f>IF(JN24-InputData!$C$158-InputData!$C$159&gt;=0,JN24-InputData!$C$158-InputData!$C$159,0)</f>
        <v>221483.64090480129</v>
      </c>
      <c r="JX24" s="32">
        <f>IF(JN24-IF(JN24&lt;=InputData!$C$146,InputData!$C$145,0)-MAX(InputData!$C$144,KD24)&gt;=0,JN24-IF(JN24&lt;=InputData!$C$146,InputData!$C$145,0)-MAX(InputData!$C$144,KD24),0)</f>
        <v>215383.64090480129</v>
      </c>
      <c r="JY24" s="32">
        <f>IF(JX24&lt;0,"Error",IF(JX24&lt;=InputData!$B$170,InputData!$C$170*JX24,IF(JX24&lt;=InputData!$B$171,InputData!$D$170+InputData!$C$171*(JX24-InputData!$B$170),IF(JX24&lt;=InputData!$B$172,InputData!$D$171+InputData!$C$172*(JX24-InputData!$B$171),IF(JX24&lt;=InputData!$B$173,InputData!$D$172+InputData!$C$173*(JX24-InputData!$B$172),IF(JX24&lt;=InputData!$B$174,InputData!$D$173+InputData!$C$174*(JX24-InputData!$B$173),IF(JX24&lt;=InputData!$B$175,InputData!$D$174+InputData!$C$175*(JX24-InputData!$B$174),InputData!$D$175+InputData!$C$176*(JX24-InputData!$B$175))))))))</f>
        <v>55207.351498584423</v>
      </c>
      <c r="JZ24" s="32">
        <f>IF(JN24&lt;=InputData!$C$150,InputData!$C$152,IF(JN24&lt;InputData!$C$151,IF(InputData!$C$152-0.25*IF(JN24-InputData!$C$150&lt;=0,0,JN24-InputData!$C$150)&lt;=0,0,InputData!$C$152-0.25*IF(JN24-InputData!$C$150&lt;=0,0,JN24-InputData!$C$150)),0))</f>
        <v>25379.089773799678</v>
      </c>
      <c r="KA24" s="32">
        <f>IF(JN24-JZ24&lt;=0,0,IF(JN24-JZ24&lt;=InputData!$C$153,InputData!$C$154*(JN24-JZ24),InputData!$C$155*(JN24-JZ24)-InputData!$D$154))</f>
        <v>51319.274316680458</v>
      </c>
      <c r="KB24" s="32">
        <f t="shared" si="109"/>
        <v>55207.351498584423</v>
      </c>
      <c r="KC24" s="32">
        <f>IF(JN24&gt;=0,IF(JN24&lt;=InputData!$C$148,InputData!$C$147*JN24,InputData!$C$147*InputData!$C$148)+InputData!$C$149*JN24,0)</f>
        <v>10260.912793119618</v>
      </c>
      <c r="KD24" s="32">
        <f>IF(JW24&lt;0,0,IF(JW24&lt;=InputData!$B$163,InputData!$C$163*JW24,IF(JW24&lt;=InputData!$B$164,InputData!$D$163+InputData!$C$164*(JW24-InputData!$B$163),IF(JW24&lt;=InputData!$B$165,InputData!$D$164+InputData!$C$165*(JW24-InputData!$B$164),InputData!$D$165+InputData!$C$166*(JW24-InputData!$B$165)))))</f>
        <v>0</v>
      </c>
      <c r="KE24" s="43">
        <f t="shared" si="34"/>
        <v>0.29558961566756886</v>
      </c>
      <c r="KF24" s="32">
        <f t="shared" si="35"/>
        <v>156015.37661309724</v>
      </c>
      <c r="KG24" s="32">
        <f t="shared" si="110"/>
        <v>156015.37661309724</v>
      </c>
      <c r="KH24" s="32">
        <f>KG24/((1+InputData!$C$7)^(Ophtha!$B24-Ophtha!$B$7))</f>
        <v>94391.868655589526</v>
      </c>
      <c r="KI24" s="5">
        <f t="shared" si="129"/>
        <v>1187494.770731057</v>
      </c>
    </row>
    <row r="25" spans="1:295" x14ac:dyDescent="0.25">
      <c r="A25" s="4">
        <v>2031</v>
      </c>
      <c r="B25" s="51">
        <v>19</v>
      </c>
      <c r="C25" s="4"/>
      <c r="D25" s="3">
        <v>15</v>
      </c>
      <c r="E25" s="97" t="s">
        <v>264</v>
      </c>
      <c r="F25" s="5">
        <f>InputData!$K$22*12</f>
        <v>89103.6</v>
      </c>
      <c r="G25" s="32">
        <f>(InputData!$K$22+InputData!$I$45+InputData!$F$50)*12+InputData!$J$50+InputData!$D$60+InputData!$J$60</f>
        <v>173103.52000000002</v>
      </c>
      <c r="H25" s="32">
        <f>(InputData!$C$33+InputData!$C$40)*12</f>
        <v>21019.199999999997</v>
      </c>
      <c r="I25" s="32">
        <f t="shared" si="36"/>
        <v>194122.72000000003</v>
      </c>
      <c r="J25" s="32">
        <f>G25*((1+InputData!$C$5)/(1+InputData!$C$3))^(Ophtha!$B25-Ophtha!$B$7)</f>
        <v>144973.13669253577</v>
      </c>
      <c r="K25" s="32">
        <f>H25*((1+InputData!$C$5)/(1+InputData!$C$3))^(Ophtha!$B25-Ophtha!$B$7)</f>
        <v>17603.451130096877</v>
      </c>
      <c r="L25" s="32">
        <f>IF(J25-InputData!$C$158-InputData!$C$159&gt;=0,J25-InputData!$C$158-InputData!$C$159,0)</f>
        <v>144973.13669253577</v>
      </c>
      <c r="M25" s="32">
        <f>IF(J25-IF(J25&lt;=InputData!$C$146,InputData!$C$145,0)-MAX(InputData!$C$144,S25)&gt;=0,J25-IF(J25&lt;=InputData!$C$146,InputData!$C$145,0)-MAX(InputData!$C$144,S25),0)</f>
        <v>134973.13669253577</v>
      </c>
      <c r="N25" s="32">
        <f>IF(M25&lt;0,"Error",IF(M25&lt;=InputData!$B$170,InputData!$C$170*M25,IF(M25&lt;=InputData!$B$171,InputData!$D$170+InputData!$C$171*(M25-InputData!$B$170),IF(M25&lt;=InputData!$B$172,InputData!$D$171+InputData!$C$172*(M25-InputData!$B$171),IF(M25&lt;=InputData!$B$173,InputData!$D$172+InputData!$C$173*(M25-InputData!$B$172),IF(M25&lt;=InputData!$B$174,InputData!$D$173+InputData!$C$174*(M25-InputData!$B$173),IF(M25&lt;=InputData!$B$175,InputData!$D$174+InputData!$C$175*(M25-InputData!$B$174),InputData!$D$175+InputData!$C$176*(M25-InputData!$B$175))))))))</f>
        <v>31085.728273910019</v>
      </c>
      <c r="O25" s="32">
        <f>IF(J25&lt;=InputData!$C$150,InputData!$C$152,IF(J25&lt;InputData!$C$151,IF(InputData!$C$152-0.25*IF(J25-InputData!$C$150&lt;=0,0,J25-InputData!$C$150)&lt;=0,0,InputData!$C$152-0.25*IF(J25-InputData!$C$150&lt;=0,0,J25-InputData!$C$150)),0))</f>
        <v>44506.715826866057</v>
      </c>
      <c r="P25" s="32">
        <f>IF(J25-O25&lt;=0,0,IF(J25-O25&lt;=InputData!$C$153,InputData!$C$154*(J25-O25),InputData!$C$155*(J25-O25)-InputData!$D$154))</f>
        <v>26121.269425074126</v>
      </c>
      <c r="Q25" s="32">
        <f t="shared" si="37"/>
        <v>31085.728273910019</v>
      </c>
      <c r="R25" s="32">
        <f>IF(J25&gt;=0,IF(J25&lt;=InputData!$C$148,InputData!$C$147*J25,InputData!$C$147*InputData!$C$148)+InputData!$C$149*J25,0)</f>
        <v>9151.5104820417691</v>
      </c>
      <c r="S25" s="32">
        <f>IF(L25&lt;0,0,IF(L25&lt;=InputData!$B$163,InputData!$C$163*L25,IF(L25&lt;=InputData!$B$164,InputData!$D$163+InputData!$C$164*(L25-InputData!$B$163),IF(L25&lt;=InputData!$B$165,InputData!$D$164+InputData!$C$165*(L25-InputData!$B$164),InputData!$D$165+InputData!$C$166*(L25-InputData!$B$165)))))</f>
        <v>0</v>
      </c>
      <c r="T25" s="43">
        <f t="shared" si="38"/>
        <v>0.27754961832196795</v>
      </c>
      <c r="U25" s="43">
        <f t="shared" si="39"/>
        <v>0.24749712916751393</v>
      </c>
      <c r="V25" s="5">
        <f t="shared" si="40"/>
        <v>122339.34906668085</v>
      </c>
      <c r="W25" s="32">
        <f>V25/((1+InputData!$C$7)^(Ophtha!$B25-Ophtha!$B$7))</f>
        <v>71861.473941054443</v>
      </c>
      <c r="X25" s="5">
        <f t="shared" si="111"/>
        <v>1133134.2945309146</v>
      </c>
      <c r="Y25" s="53"/>
      <c r="Z25" s="3">
        <v>15</v>
      </c>
      <c r="AA25" s="97" t="s">
        <v>264</v>
      </c>
      <c r="AB25" s="5">
        <f t="shared" si="136"/>
        <v>89103.6</v>
      </c>
      <c r="AC25" s="32">
        <f t="shared" si="176"/>
        <v>173103.52000000002</v>
      </c>
      <c r="AD25" s="32">
        <f t="shared" si="174"/>
        <v>21019.199999999997</v>
      </c>
      <c r="AE25" s="32">
        <f t="shared" si="41"/>
        <v>194122.72000000003</v>
      </c>
      <c r="AF25" s="5">
        <f>AC25*((1+InputData!$C$5)/(1+InputData!$C$3))^(Ophtha!$B25-Ophtha!$B$7)</f>
        <v>144973.13669253577</v>
      </c>
      <c r="AG25" s="5">
        <f>AD25*((1+InputData!$C$5)/(1+InputData!$C$3))^(Ophtha!$B25-Ophtha!$B$7)</f>
        <v>17603.451130096877</v>
      </c>
      <c r="AH25" s="32">
        <f>IF(AF25-InputData!$C$158-InputData!$C$159&gt;=0,AF25-InputData!$C$158-InputData!$C$159,0)</f>
        <v>144973.13669253577</v>
      </c>
      <c r="AI25" s="32">
        <f>IF(AF25-IF(AF25&lt;=InputData!$C$146,InputData!$C$145,0)-MAX(InputData!$C$144,AO25)&gt;=0,AF25-IF(AF25&lt;=InputData!$C$146,InputData!$C$145,0)-MAX(InputData!$C$144,AO25),0)</f>
        <v>134973.13669253577</v>
      </c>
      <c r="AJ25" s="32">
        <f>IF(AI25&lt;0,"Error",IF(AI25&lt;=InputData!$B$170,InputData!$C$170*AI25,IF(AI25&lt;=InputData!$B$171,InputData!$D$170+InputData!$C$171*(AI25-InputData!$B$170),IF(AI25&lt;=InputData!$B$172,InputData!$D$171+InputData!$C$172*(AI25-InputData!$B$171),IF(AI25&lt;=InputData!$B$173,InputData!$D$172+InputData!$C$173*(AI25-InputData!$B$172),IF(AI25&lt;=InputData!$B$174,InputData!$D$173+InputData!$C$174*(AI25-InputData!$B$173),IF(AI25&lt;=InputData!$B$175,InputData!$D$174+InputData!$C$175*(AI25-InputData!$B$174),InputData!$D$175+InputData!$C$176*(AI25-InputData!$B$175))))))))</f>
        <v>31085.728273910019</v>
      </c>
      <c r="AK25" s="32">
        <f>IF(AF25&lt;=InputData!$C$150,InputData!$C$152,IF(AF25&lt;InputData!$C$151,IF(InputData!$C$152-0.25*IF(AF25-InputData!$C$150&lt;=0,0,AF25-InputData!$C$150)&lt;=0,0,InputData!$C$152-0.25*IF(AF25-InputData!$C$150&lt;=0,0,AF25-InputData!$C$150)),0))</f>
        <v>44506.715826866057</v>
      </c>
      <c r="AL25" s="32">
        <f>IF(AF25-AK25&lt;=0,0,IF(AF25-AK25&lt;=InputData!$C$153,InputData!$C$154*(AF25-AK25),InputData!$C$155*(AF25-AK25)-InputData!$D$154))</f>
        <v>26121.269425074126</v>
      </c>
      <c r="AM25" s="32">
        <f t="shared" si="42"/>
        <v>31085.728273910019</v>
      </c>
      <c r="AN25" s="32">
        <f>IF(AF25&gt;=0,IF(AF25&lt;=InputData!$C$148,InputData!$C$147*AF25,InputData!$C$147*InputData!$C$148)+InputData!$C$149*AF25,0)</f>
        <v>9151.5104820417691</v>
      </c>
      <c r="AO25" s="32">
        <f>IF(AH25&lt;0,0,IF(AH25&lt;=InputData!$B$163,InputData!$C$163*AH25,IF(AH25&lt;=InputData!$B$164,InputData!$D$163+InputData!$C$164*(AH25-InputData!$B$163),IF(AH25&lt;=InputData!$B$165,InputData!$D$164+InputData!$C$165*(AH25-InputData!$B$164),InputData!$D$165+InputData!$C$166*(AH25-InputData!$B$165)))))</f>
        <v>0</v>
      </c>
      <c r="AP25" s="43">
        <f t="shared" si="43"/>
        <v>0.27754961832196795</v>
      </c>
      <c r="AQ25" s="43">
        <f t="shared" si="44"/>
        <v>0.24749712916751393</v>
      </c>
      <c r="AR25" s="5">
        <f t="shared" si="45"/>
        <v>122339.34906668085</v>
      </c>
      <c r="AS25" s="32">
        <f>AR25/((1+InputData!$C$7)^(Ophtha!$B25-Ophtha!$B$7))</f>
        <v>71861.473941054443</v>
      </c>
      <c r="AT25" s="5">
        <f t="shared" si="112"/>
        <v>1108367.8784148411</v>
      </c>
      <c r="AU25" s="53"/>
      <c r="AV25" s="41" t="s">
        <v>109</v>
      </c>
      <c r="AW25" s="32">
        <f>$AW$15*(1+InputData!$C$3+InputData!$C$4)^(Ophtha!$B25-Ophtha!$B$17)</f>
        <v>319434.48469849757</v>
      </c>
      <c r="AX25" s="32">
        <v>0</v>
      </c>
      <c r="AY25" s="32">
        <f t="shared" si="47"/>
        <v>319434.48469849757</v>
      </c>
      <c r="AZ25" s="32">
        <f>AZ24*(1+InputData!$C$8)</f>
        <v>16410.549384651382</v>
      </c>
      <c r="BA25" s="32">
        <f>AW25/((1+InputData!$C$3)^(Ophtha!$B25-Ophtha!$B$7))</f>
        <v>223655.04914896603</v>
      </c>
      <c r="BB25" s="32">
        <f>AX25/((1+InputData!$C$3)^(Ophtha!$B25-Ophtha!$B$7))</f>
        <v>0</v>
      </c>
      <c r="BC25" s="32" t="s">
        <v>141</v>
      </c>
      <c r="BD25" s="32">
        <v>0</v>
      </c>
      <c r="BE25" s="32">
        <f t="shared" si="158"/>
        <v>2.4010660126805305E-10</v>
      </c>
      <c r="BF25" s="32">
        <f>(BE25)*InputData!$C$6</f>
        <v>1.4910619938746096E-11</v>
      </c>
      <c r="BG25" s="32">
        <f>MIN($BE$15*InputData!$C$6/(1-(1+InputData!$C$6)^(-10)), BE25+BF25)</f>
        <v>2.5501722120679917E-10</v>
      </c>
      <c r="BH25" s="32">
        <f t="shared" si="140"/>
        <v>0</v>
      </c>
      <c r="BI25" s="32">
        <f>BG25/((1+InputData!$C$3)^(Ophtha!$B25-Ophtha!$B$7))</f>
        <v>1.7855269820562261E-10</v>
      </c>
      <c r="BJ25" s="32">
        <f>IF(BA25-InputData!$C$158-InputData!$C$159&gt;=0,BA25-InputData!$C$158-InputData!$C$159,0)</f>
        <v>223655.04914896603</v>
      </c>
      <c r="BK25" s="32">
        <f>IF(BA25-IF(BA25&lt;=InputData!$C$146,InputData!$C$145,0)-MAX(InputData!$C$144,BQ25)&gt;=0,BA25-IF(BA25&lt;=InputData!$C$146,InputData!$C$145,0)-MAX(InputData!$C$144,BQ25),0)</f>
        <v>217555.04914896603</v>
      </c>
      <c r="BL25" s="32">
        <f>IF(BK25&lt;0,"Error",IF(BK25&lt;=InputData!$B$170,InputData!$C$170*BK25,IF(BK25&lt;=InputData!$B$171,InputData!$D$170+InputData!$C$171*(BK25-InputData!$B$170),IF(BK25&lt;=InputData!$B$172,InputData!$D$171+InputData!$C$172*(BK25-InputData!$B$171),IF(BK25&lt;=InputData!$B$173,InputData!$D$172+InputData!$C$173*(BK25-InputData!$B$172),IF(BK25&lt;=InputData!$B$174,InputData!$D$173+InputData!$C$174*(BK25-InputData!$B$173),IF(BK25&lt;=InputData!$B$175,InputData!$D$174+InputData!$C$175*(BK25-InputData!$B$174),InputData!$D$175+InputData!$C$176*(BK25-InputData!$B$175))))))))</f>
        <v>55923.916219158789</v>
      </c>
      <c r="BM25" s="32">
        <f>IF(BA25&lt;=InputData!$C$150,InputData!$C$152,IF(BA25&lt;InputData!$C$151,IF(InputData!$C$152-0.25*IF(BA25-InputData!$C$150&lt;=0,0,BA25-InputData!$C$150)&lt;=0,0,InputData!$C$152-0.25*IF(BA25-InputData!$C$150&lt;=0,0,BA25-InputData!$C$150)),0))</f>
        <v>24836.237712758491</v>
      </c>
      <c r="BN25" s="32">
        <f>IF(BA25-BM25&lt;=0,0,IF(BA25-BM25&lt;=InputData!$C$153,InputData!$C$154*(BA25-BM25),InputData!$C$155*(BA25-BM25)-InputData!$D$154))</f>
        <v>52079.267202138122</v>
      </c>
      <c r="BO25" s="32">
        <f t="shared" si="48"/>
        <v>55923.916219158789</v>
      </c>
      <c r="BP25" s="32">
        <f>IF(BA25&gt;=0,IF(BA25&lt;=InputData!$C$148,InputData!$C$147*BA25,InputData!$C$147*InputData!$C$148)+InputData!$C$149*BA25,0)</f>
        <v>10292.398212660008</v>
      </c>
      <c r="BQ25" s="32">
        <f>IF(BJ25&lt;0,0,IF(BJ25&lt;=InputData!$B$163,InputData!$C$163*BJ25,IF(BJ25&lt;=InputData!$B$164,InputData!$D$163+InputData!$C$164*(BJ25-InputData!$B$163),IF(BJ25&lt;=InputData!$B$165,InputData!$D$164+InputData!$C$165*(BJ25-InputData!$B$164),InputData!$D$165+InputData!$C$166*(BJ25-InputData!$B$165)))))</f>
        <v>0</v>
      </c>
      <c r="BR25" s="43">
        <f t="shared" si="49"/>
        <v>0.2960644737678837</v>
      </c>
      <c r="BS25" s="32">
        <f t="shared" si="50"/>
        <v>157438.73471714725</v>
      </c>
      <c r="BT25" s="32">
        <f t="shared" si="51"/>
        <v>157438.73471714708</v>
      </c>
      <c r="BU25" s="32">
        <f>BT25/((1+InputData!$C$7)^(Ophtha!$B25-Ophtha!$B$7))</f>
        <v>92478.663802782641</v>
      </c>
      <c r="BV25" s="5">
        <f t="shared" si="114"/>
        <v>895722.96041725646</v>
      </c>
      <c r="BW25" s="5"/>
      <c r="BX25" s="32" t="s">
        <v>141</v>
      </c>
      <c r="BY25" s="5">
        <f t="shared" si="159"/>
        <v>197677.75365271189</v>
      </c>
      <c r="BZ25" s="32">
        <f>(BY25)*InputData!$C$6</f>
        <v>12275.788501833409</v>
      </c>
      <c r="CA25" s="32">
        <f>MIN($BY$15*InputData!$C$6/(1-(1+InputData!$C$6)^(-25)), BY25+BZ25)</f>
        <v>20633.642137763909</v>
      </c>
      <c r="CB25" s="32">
        <f t="shared" si="160"/>
        <v>189319.90001678141</v>
      </c>
      <c r="CC25" s="32">
        <f>CA25/((1+InputData!$C$3)^(Ophtha!$B25-Ophtha!$B$7))</f>
        <v>14446.837982441126</v>
      </c>
      <c r="CD25" s="5">
        <f t="shared" si="55"/>
        <v>142991.89673470613</v>
      </c>
      <c r="CE25" s="32">
        <f>CD25/((1+InputData!$C$7)^(Ophtha!$B25-Ophtha!$B$7))</f>
        <v>83992.669074790727</v>
      </c>
      <c r="CF25" s="5">
        <f t="shared" si="115"/>
        <v>968168.75037551322</v>
      </c>
      <c r="CG25" s="5"/>
      <c r="CH25" s="32" t="s">
        <v>141</v>
      </c>
      <c r="CI25" s="5">
        <f t="shared" si="161"/>
        <v>5415.5133107944712</v>
      </c>
      <c r="CJ25" s="32">
        <f>(CI25)*InputData!$C$6</f>
        <v>336.30337660033666</v>
      </c>
      <c r="CK25" s="5">
        <f t="shared" si="162"/>
        <v>5751.8166873948076</v>
      </c>
      <c r="CL25" s="32">
        <f t="shared" si="163"/>
        <v>0</v>
      </c>
      <c r="CM25" s="32">
        <f>CK25/((1+InputData!$C$3)^(Ophtha!$B25-Ophtha!$B$7))</f>
        <v>4027.1883767631903</v>
      </c>
      <c r="CN25" s="5">
        <f t="shared" si="59"/>
        <v>153411.54634038405</v>
      </c>
      <c r="CO25" s="32">
        <f>CN25/((1+InputData!$C$7)^(Ophtha!$B25-Ophtha!$B$7))</f>
        <v>90113.115066417071</v>
      </c>
      <c r="CP25" s="5">
        <f t="shared" si="149"/>
        <v>895502.45899216679</v>
      </c>
      <c r="CQ25" s="5"/>
      <c r="CR25" s="32" t="s">
        <v>141</v>
      </c>
      <c r="CS25" s="5">
        <f t="shared" si="164"/>
        <v>141556.07660622618</v>
      </c>
      <c r="CT25" s="32">
        <f>(CS25)*InputData!$C$6</f>
        <v>8790.6323572466463</v>
      </c>
      <c r="CU25" s="32">
        <f t="shared" si="165"/>
        <v>29481.86606215205</v>
      </c>
      <c r="CV25" s="32">
        <f t="shared" si="166"/>
        <v>120864.84290132078</v>
      </c>
      <c r="CW25" s="32">
        <f>CU25/((1+InputData!$C$3)^(Ophtha!$B25-Ophtha!$B$7))</f>
        <v>20642.004914896603</v>
      </c>
      <c r="CX25" s="5">
        <f t="shared" si="63"/>
        <v>136796.72980225066</v>
      </c>
      <c r="CY25" s="32">
        <f>CX25/((1+InputData!$C$7)^(Ophtha!$B25-Ophtha!$B$7))</f>
        <v>80353.661425383674</v>
      </c>
      <c r="CZ25" s="5">
        <f t="shared" si="150"/>
        <v>941232.0631838938</v>
      </c>
      <c r="DA25" s="5"/>
      <c r="DB25" s="32" t="s">
        <v>141</v>
      </c>
      <c r="DC25" s="5">
        <f t="shared" si="141"/>
        <v>0</v>
      </c>
      <c r="DD25" s="5">
        <f>DC25*InputData!$C$6</f>
        <v>0</v>
      </c>
      <c r="DE25" s="32">
        <f t="shared" si="142"/>
        <v>0</v>
      </c>
      <c r="DF25" s="32">
        <f t="shared" si="143"/>
        <v>0</v>
      </c>
      <c r="DG25" s="32">
        <f>DE25/((1+InputData!$C$3)^(Ophtha!$B25-Ophtha!$B$7))</f>
        <v>0</v>
      </c>
      <c r="DH25" s="5">
        <f t="shared" si="67"/>
        <v>157438.73471714725</v>
      </c>
      <c r="DI25" s="32">
        <f>DH25/((1+InputData!$C$7)^(Ophtha!$B25-Ophtha!$B$7))</f>
        <v>92478.663802782743</v>
      </c>
      <c r="DJ25" s="5">
        <f t="shared" si="130"/>
        <v>900234.65808951552</v>
      </c>
      <c r="DK25" s="5"/>
      <c r="DL25" s="32" t="s">
        <v>141</v>
      </c>
      <c r="DM25" s="32">
        <f t="shared" si="167"/>
        <v>40252.319857451235</v>
      </c>
      <c r="DN25" s="5">
        <f>DM25*InputData!$C$6</f>
        <v>2499.6690631477218</v>
      </c>
      <c r="DO25" s="32">
        <f t="shared" si="168"/>
        <v>0</v>
      </c>
      <c r="DP25" s="32">
        <f t="shared" si="131"/>
        <v>29148.379963889372</v>
      </c>
      <c r="DQ25" s="32">
        <f t="shared" si="132"/>
        <v>13603.608956709588</v>
      </c>
      <c r="DR25" s="32">
        <f>DP25/((1+InputData!$C$3)^(Ophtha!$B25-Ophtha!$B$7))</f>
        <v>20408.511496777282</v>
      </c>
      <c r="DS25" s="5">
        <f t="shared" si="71"/>
        <v>137030.22322036995</v>
      </c>
      <c r="DT25" s="32">
        <f>DS25/((1+InputData!$C$7)^(Ophtha!$B25-Ophtha!$B$7))</f>
        <v>80490.814200100838</v>
      </c>
      <c r="DU25" s="5">
        <f t="shared" si="133"/>
        <v>899926.48698054033</v>
      </c>
      <c r="DV25" s="5"/>
      <c r="DW25" s="32" t="s">
        <v>141</v>
      </c>
      <c r="DX25" s="133">
        <f t="shared" si="144"/>
        <v>105828.69657411733</v>
      </c>
      <c r="DY25" s="5">
        <f>DX25*InputData!$C$6</f>
        <v>6571.9620572526865</v>
      </c>
      <c r="DZ25" s="133">
        <f t="shared" si="145"/>
        <v>0</v>
      </c>
      <c r="EA25" s="32">
        <f t="shared" si="146"/>
        <v>29148.379963889372</v>
      </c>
      <c r="EB25" s="32">
        <f t="shared" si="147"/>
        <v>83252.278667480656</v>
      </c>
      <c r="EC25" s="32">
        <f>EA25/((1+InputData!$C$3)^(Ophtha!$B25-Ophtha!$B$7))</f>
        <v>20408.511496777282</v>
      </c>
      <c r="ED25" s="5">
        <f t="shared" si="75"/>
        <v>137030.22322036995</v>
      </c>
      <c r="EE25" s="32">
        <f>ED25/((1+InputData!$C$7)^(Ophtha!$B25-Ophtha!$B$7))</f>
        <v>80490.814200100838</v>
      </c>
      <c r="EF25" s="5">
        <f t="shared" si="134"/>
        <v>929145.26301833417</v>
      </c>
      <c r="EG25" s="32"/>
      <c r="EH25" s="133" t="s">
        <v>141</v>
      </c>
      <c r="EI25" s="32">
        <v>0</v>
      </c>
      <c r="EJ25" s="32">
        <f t="shared" si="175"/>
        <v>144238.22036820208</v>
      </c>
      <c r="EK25" s="32">
        <f>(EJ25)*InputData!$C$6</f>
        <v>8957.1934848653491</v>
      </c>
      <c r="EL25" s="32">
        <f t="shared" si="173"/>
        <v>123713.54779091539</v>
      </c>
      <c r="EM25" s="32">
        <f>EM24*(1+InputData!$C$8)</f>
        <v>16410.549384651382</v>
      </c>
      <c r="EN25" s="32">
        <f t="shared" si="152"/>
        <v>29481.86606215205</v>
      </c>
      <c r="EO25" s="32">
        <f>AW25/((1+InputData!$C$3)^(Ophtha!$B25-Ophtha!$B$7))</f>
        <v>223655.04914896603</v>
      </c>
      <c r="EP25" s="32">
        <f>AX25/((1+InputData!$C$3)^(Ophtha!$B25-Ophtha!$B$7))</f>
        <v>0</v>
      </c>
      <c r="EQ25" s="32">
        <v>55879.21</v>
      </c>
      <c r="ER25" s="32">
        <v>9001.7049999999999</v>
      </c>
      <c r="ES25" s="32">
        <v>0</v>
      </c>
      <c r="ET25" s="43">
        <f t="shared" si="139"/>
        <v>0.29009367437435268</v>
      </c>
      <c r="EU25" s="32">
        <f t="shared" si="76"/>
        <v>158774.13414896606</v>
      </c>
      <c r="EV25" s="32">
        <f>EN25/((1+InputData!$C$3)^(Ophtha!$B25-Ophtha!$B$7))</f>
        <v>20642.004914896603</v>
      </c>
      <c r="EW25" s="32">
        <f t="shared" si="77"/>
        <v>138132.12923406946</v>
      </c>
      <c r="EX25" s="32">
        <f>EW25/((1+InputData!$C$7)^(Ophtha!$B25-Ophtha!$B$7))</f>
        <v>81138.067850647887</v>
      </c>
      <c r="EY25" s="5">
        <f t="shared" si="124"/>
        <v>1026977.5624347483</v>
      </c>
      <c r="EZ25" s="79"/>
      <c r="FA25" s="32">
        <f t="shared" si="153"/>
        <v>2.5465851649641991E-10</v>
      </c>
      <c r="FB25" s="32">
        <f>FA25*InputData!$C$6</f>
        <v>1.5814293874427678E-11</v>
      </c>
      <c r="FC25" s="32">
        <f t="shared" si="154"/>
        <v>0</v>
      </c>
      <c r="FD25" s="32">
        <f>MIN($EJ$15*InputData!$C$6/(1-(1+InputData!$C$6)^(-10)), FA25+FB25)</f>
        <v>2.7047281037084756E-10</v>
      </c>
      <c r="FE25" s="32">
        <f>FD25/((1+InputData!$C$3)^(Ophtha!$B25-Ophtha!$B$7))</f>
        <v>1.8937407385444819E-10</v>
      </c>
      <c r="FF25" s="5">
        <f t="shared" si="81"/>
        <v>158774.13414896585</v>
      </c>
      <c r="FG25" s="32">
        <f>FF25/((1+InputData!$C$7)^(Ophtha!$B25-Ophtha!$B$7))</f>
        <v>93263.070228046839</v>
      </c>
      <c r="FH25" s="5">
        <f t="shared" si="125"/>
        <v>980370.35592385661</v>
      </c>
      <c r="FI25" s="79"/>
      <c r="FJ25" s="32">
        <f t="shared" si="155"/>
        <v>198800.24413078569</v>
      </c>
      <c r="FK25" s="32">
        <f>FJ25*InputData!$C$6</f>
        <v>12345.495160521792</v>
      </c>
      <c r="FL25" s="32">
        <f t="shared" si="170"/>
        <v>190394.93138046266</v>
      </c>
      <c r="FM25" s="32">
        <f>MIN($EJ$15*InputData!$C$6/(1-(1+InputData!$C$6)^(-25)), FJ25+FK25)</f>
        <v>20750.807910844829</v>
      </c>
      <c r="FN25" s="32">
        <f>FM25/((1+InputData!$C$3)^(Ophtha!$B25-Ophtha!$B$7))</f>
        <v>14528.872696888828</v>
      </c>
      <c r="FO25" s="5">
        <f t="shared" si="85"/>
        <v>144245.26145207722</v>
      </c>
      <c r="FP25" s="32">
        <f>FO25/((1+InputData!$C$7)^(Ophtha!$B25-Ophtha!$B$7))</f>
        <v>84728.888751151011</v>
      </c>
      <c r="FQ25" s="5">
        <f t="shared" si="126"/>
        <v>1053227.5210009725</v>
      </c>
      <c r="FR25" s="79"/>
      <c r="FS25" s="32">
        <f t="shared" si="156"/>
        <v>6395.5099561886891</v>
      </c>
      <c r="FT25" s="32">
        <f>FS25*InputData!$C$6</f>
        <v>397.16116827931762</v>
      </c>
      <c r="FU25" s="32">
        <f t="shared" si="171"/>
        <v>0</v>
      </c>
      <c r="FV25" s="5">
        <f t="shared" si="157"/>
        <v>6792.6711244680064</v>
      </c>
      <c r="FW25" s="32">
        <f>FV25/((1+InputData!$C$3)^(Ophtha!$B25-Ophtha!$B$7))</f>
        <v>4755.9523688545569</v>
      </c>
      <c r="FX25" s="5">
        <f t="shared" si="88"/>
        <v>154018.18178011151</v>
      </c>
      <c r="FY25" s="32">
        <f>FX25/((1+InputData!$C$7)^(Ophtha!$B25-Ophtha!$B$7))</f>
        <v>90469.449452501911</v>
      </c>
      <c r="FZ25" s="5">
        <f t="shared" si="127"/>
        <v>980109.74705277325</v>
      </c>
      <c r="GC25" s="3">
        <f t="shared" si="2"/>
        <v>15</v>
      </c>
      <c r="GD25" s="122" t="str">
        <f t="shared" si="3"/>
        <v>Multi-Year (O5&gt;14 = (BP+BAH+BAS+VSP+BCPSP)*12+ASP+ISP+MSP)</v>
      </c>
      <c r="GE25" s="5">
        <f t="shared" si="4"/>
        <v>173103.52000000002</v>
      </c>
      <c r="GF25" s="5">
        <f t="shared" si="5"/>
        <v>21019.199999999997</v>
      </c>
      <c r="GG25" s="5">
        <f t="shared" si="6"/>
        <v>194122.72000000003</v>
      </c>
      <c r="GH25" s="5">
        <f t="shared" si="7"/>
        <v>144973.13669253577</v>
      </c>
      <c r="GI25" s="5">
        <f t="shared" si="8"/>
        <v>17603.451130096877</v>
      </c>
      <c r="GJ25" s="32">
        <f>IF(GH25-InputData!$C$158-InputData!$C$159&gt;=0,GH25-InputData!$C$158-InputData!$C$159,0)</f>
        <v>144973.13669253577</v>
      </c>
      <c r="GK25" s="32">
        <f>IF(GH25-IF(GH25&lt;=InputData!$C$146,InputData!$C$145,0)-MAX(InputData!$C$144,GQ25)&gt;=0,GH25-IF(GH25&lt;=InputData!$C$146,InputData!$C$145,0)-MAX(InputData!$C$144,GQ25),0)</f>
        <v>134973.13669253577</v>
      </c>
      <c r="GL25" s="32">
        <f>IF(GK25&lt;0,"Error",IF(GK25&lt;=InputData!$B$170,InputData!$C$170*GK25,IF(GK25&lt;=InputData!$B$171,InputData!$D$170+InputData!$C$171*(GK25-InputData!$B$170),IF(GK25&lt;=InputData!$B$172,InputData!$D$171+InputData!$C$172*(GK25-InputData!$B$171),IF(GK25&lt;=InputData!$B$173,InputData!$D$172+InputData!$C$173*(GK25-InputData!$B$172),IF(GK25&lt;=InputData!$B$174,InputData!$D$173+InputData!$C$174*(GK25-InputData!$B$173),IF(GK25&lt;=InputData!$B$175,InputData!$D$174+InputData!$C$175*(GK25-InputData!$B$174),InputData!$D$175+InputData!$C$176*(GK25-InputData!$B$175))))))))</f>
        <v>31085.728273910019</v>
      </c>
      <c r="GM25" s="32">
        <f>IF(GH25&lt;=InputData!$C$150,InputData!$C$152,IF(GH25&lt;InputData!$C$151,IF(InputData!$C$152-0.25*IF(GH25-InputData!$C$150&lt;=0,0,GH25-InputData!$C$150)&lt;=0,0,InputData!$C$152-0.25*IF(GH25-InputData!$C$150&lt;=0,0,GH25-InputData!$C$150)),0))</f>
        <v>44506.715826866057</v>
      </c>
      <c r="GN25" s="32">
        <f>IF(GH25-GM25&lt;=0,0,IF(GH25-GM25&lt;=InputData!$C$153,InputData!$C$154*(GH25-GM25),InputData!$C$155*(GH25-GM25)-InputData!$D$154))</f>
        <v>26121.269425074126</v>
      </c>
      <c r="GO25" s="32">
        <f t="shared" si="89"/>
        <v>31085.728273910019</v>
      </c>
      <c r="GP25" s="32">
        <f>IF(GH25&gt;=0,IF(GH25&lt;=InputData!$C$148,InputData!$C$147*GH25,InputData!$C$147*InputData!$C$148)+InputData!$C$149*GH25,0)</f>
        <v>9151.5104820417691</v>
      </c>
      <c r="GQ25" s="32">
        <f>IF(GJ25&lt;0,0,IF(GJ25&lt;=InputData!$B$163,InputData!$C$163*GJ25,IF(GJ25&lt;=InputData!$B$164,InputData!$D$163+InputData!$C$164*(GJ25-InputData!$B$163),IF(GJ25&lt;=InputData!$B$165,InputData!$D$164+InputData!$C$165*(GJ25-InputData!$B$164),InputData!$D$165+InputData!$C$166*(GJ25-InputData!$B$165)))))</f>
        <v>0</v>
      </c>
      <c r="GR25" s="43">
        <f t="shared" si="90"/>
        <v>0.27754961832196795</v>
      </c>
      <c r="GS25" s="43">
        <f t="shared" si="91"/>
        <v>0.24749712916751393</v>
      </c>
      <c r="GT25" s="5">
        <f t="shared" si="9"/>
        <v>122339.34906668085</v>
      </c>
      <c r="GU25" s="32">
        <f>GT25/((1+InputData!$C$7)^(Ophtha!$B25-Ophtha!$B$7))</f>
        <v>71861.473941054443</v>
      </c>
      <c r="GV25" s="32">
        <f t="shared" si="92"/>
        <v>1133134.2945309146</v>
      </c>
      <c r="GX25" s="3">
        <f t="shared" si="10"/>
        <v>15</v>
      </c>
      <c r="GY25" s="4" t="str">
        <f t="shared" si="11"/>
        <v>Multi-Year (O5&gt;14 = (BP+BAH+BAS+VSP+BCPSP)*12+ASP+ISP+MSP)</v>
      </c>
      <c r="GZ25" s="5">
        <f t="shared" si="12"/>
        <v>173103.52000000002</v>
      </c>
      <c r="HA25" s="5">
        <f t="shared" si="13"/>
        <v>21019.199999999997</v>
      </c>
      <c r="HB25" s="5">
        <f t="shared" si="14"/>
        <v>194122.72000000003</v>
      </c>
      <c r="HC25" s="5">
        <f t="shared" si="15"/>
        <v>144973.13669253577</v>
      </c>
      <c r="HD25" s="5">
        <f t="shared" si="16"/>
        <v>17603.451130096877</v>
      </c>
      <c r="HE25" s="32">
        <f>IF(HC25-InputData!$C$158-InputData!$C$159&gt;=0,HC25-InputData!$C$158-InputData!$C$159,0)</f>
        <v>144973.13669253577</v>
      </c>
      <c r="HF25" s="32">
        <f>IF(HC25-IF(HC25&lt;=InputData!$C$146,InputData!$C$145,0)-MAX(InputData!$C$144,HL25)&gt;=0,HC25-IF(HC25&lt;=InputData!$C$146,InputData!$C$145,0)-MAX(InputData!$C$144,HL25),0)</f>
        <v>134973.13669253577</v>
      </c>
      <c r="HG25" s="32">
        <f>IF(HF25&lt;0,"Error",IF(HF25&lt;=InputData!$B$170,InputData!$C$170*HF25,IF(HF25&lt;=InputData!$B$171,InputData!$D$170+InputData!$C$171*(HF25-InputData!$B$170),IF(HF25&lt;=InputData!$B$172,InputData!$D$171+InputData!$C$172*(HF25-InputData!$B$171),IF(HF25&lt;=InputData!$B$173,InputData!$D$172+InputData!$C$173*(HF25-InputData!$B$172),IF(HF25&lt;=InputData!$B$174,InputData!$D$173+InputData!$C$174*(HF25-InputData!$B$173),IF(HF25&lt;=InputData!$B$175,InputData!$D$174+InputData!$C$175*(HF25-InputData!$B$174),InputData!$D$175+InputData!$C$176*(HF25-InputData!$B$175))))))))</f>
        <v>31085.728273910019</v>
      </c>
      <c r="HH25" s="32">
        <f>IF(HC25&lt;=InputData!$C$150,InputData!$C$152,IF(HC25&lt;InputData!$C$151,IF(InputData!$C$152-0.25*IF(HC25-InputData!$C$150&lt;=0,0,HC25-InputData!$C$150)&lt;=0,0,InputData!$C$152-0.25*IF(HC25-InputData!$C$150&lt;=0,0,HC25-InputData!$C$150)),0))</f>
        <v>44506.715826866057</v>
      </c>
      <c r="HI25" s="32">
        <f>IF(HC25-HH25&lt;=0,0,IF(HC25-HH25&lt;=InputData!$C$153,InputData!$C$154*(HC25-HH25),InputData!$C$155*(HC25-HH25)-InputData!$D$154))</f>
        <v>26121.269425074126</v>
      </c>
      <c r="HJ25" s="32">
        <f t="shared" si="93"/>
        <v>31085.728273910019</v>
      </c>
      <c r="HK25" s="32">
        <f>IF(HC25&gt;=0,IF(HC25&lt;=InputData!$C$148,InputData!$C$147*HC25,InputData!$C$147*InputData!$C$148)+InputData!$C$149*HC25,0)</f>
        <v>9151.5104820417691</v>
      </c>
      <c r="HL25" s="32">
        <f>IF(HE25&lt;0,0,IF(HE25&lt;=InputData!$B$163,InputData!$C$163*HE25,IF(HE25&lt;=InputData!$B$164,InputData!$D$163+InputData!$C$164*(HE25-InputData!$B$163),IF(HE25&lt;=InputData!$B$165,InputData!$D$164+InputData!$C$165*(HE25-InputData!$B$164),InputData!$D$165+InputData!$C$166*(HE25-InputData!$B$165)))))</f>
        <v>0</v>
      </c>
      <c r="HM25" s="43">
        <f t="shared" si="94"/>
        <v>0.27754961832196795</v>
      </c>
      <c r="HN25" s="43">
        <f t="shared" si="95"/>
        <v>0.24749712916751393</v>
      </c>
      <c r="HO25" s="5">
        <f t="shared" si="17"/>
        <v>122339.34906668085</v>
      </c>
      <c r="HP25" s="32">
        <f>HO25/((1+InputData!$C$7)^(Ophtha!$B25-Ophtha!$B$7))</f>
        <v>71861.473941054443</v>
      </c>
      <c r="HQ25" s="32">
        <f t="shared" si="96"/>
        <v>1108367.8784148411</v>
      </c>
      <c r="HS25" s="94"/>
      <c r="HT25" s="53" t="s">
        <v>109</v>
      </c>
      <c r="HU25" s="32">
        <f>MIN(InputData!$C$13+InputData!$E$13*($B25-$B$22),1)*Ophtha!AW25</f>
        <v>287491.0362286478</v>
      </c>
      <c r="HV25" s="32">
        <f>MIN(InputData!$C$13+InputData!$E$13*($B25-$B$22),1)*Ophtha!AX25</f>
        <v>0</v>
      </c>
      <c r="HW25" s="32">
        <f>MIN(InputData!$C$13+InputData!$E$13*($B25-$B$22),1)*Ophtha!AY25</f>
        <v>287491.0362286478</v>
      </c>
      <c r="HX25" s="32">
        <f>MIN(InputData!$C$13+InputData!$E$13*($B25-$B$22),1)*Ophtha!BA25</f>
        <v>201289.54423406944</v>
      </c>
      <c r="HY25" s="32">
        <f>MIN(InputData!$C$13+InputData!$E$13*($B25-$B$22),1)*Ophtha!BB25</f>
        <v>0</v>
      </c>
      <c r="HZ25" s="32">
        <f>IF(HX25-InputData!$C$158-InputData!$C$159&gt;=0,HX25-InputData!$C$158-InputData!$C$159,0)</f>
        <v>201289.54423406944</v>
      </c>
      <c r="IA25" s="32">
        <f>IF(HX25-IF(HX25&lt;=InputData!$C$146,InputData!$C$145,0)-MAX(InputData!$C$144,IG25)&gt;=0,HX25-IF(HX25&lt;=InputData!$C$146,InputData!$C$145,0)-MAX(InputData!$C$144,IG25),0)</f>
        <v>195189.54423406944</v>
      </c>
      <c r="IB25" s="32">
        <f>IF(IA25&lt;0,"Error",IF(IA25&lt;=InputData!$B$170,InputData!$C$170*IA25,IF(IA25&lt;=InputData!$B$171,InputData!$D$170+InputData!$C$171*(IA25-InputData!$B$170),IF(IA25&lt;=InputData!$B$172,InputData!$D$171+InputData!$C$172*(IA25-InputData!$B$171),IF(IA25&lt;=InputData!$B$173,InputData!$D$172+InputData!$C$173*(IA25-InputData!$B$172),IF(IA25&lt;=InputData!$B$174,InputData!$D$173+InputData!$C$174*(IA25-InputData!$B$173),IF(IA25&lt;=InputData!$B$175,InputData!$D$174+InputData!$C$175*(IA25-InputData!$B$174),InputData!$D$175+InputData!$C$176*(IA25-InputData!$B$175))))))))</f>
        <v>48543.29959724292</v>
      </c>
      <c r="IC25" s="32">
        <f>IF(HX25&lt;=InputData!$C$150,InputData!$C$152,IF(HX25&lt;InputData!$C$151,IF(InputData!$C$152-0.25*IF(HX25-InputData!$C$150&lt;=0,0,HX25-InputData!$C$150)&lt;=0,0,InputData!$C$152-0.25*IF(HX25-InputData!$C$150&lt;=0,0,HX25-InputData!$C$150)),0))</f>
        <v>30427.613941482639</v>
      </c>
      <c r="ID25" s="32">
        <f>IF(HX25-IC25&lt;=0,0,IF(HX25-IC25&lt;=InputData!$C$153,InputData!$C$154*(HX25-IC25),InputData!$C$155*(HX25-IC25)-InputData!$D$154))</f>
        <v>44424.101876072571</v>
      </c>
      <c r="IE25" s="32">
        <f t="shared" si="97"/>
        <v>48543.29959724292</v>
      </c>
      <c r="IF25" s="32">
        <f>IF(HX25&gt;=0,IF(HX25&lt;=InputData!$C$148,InputData!$C$147*HX25,InputData!$C$147*InputData!$C$148)+InputData!$C$149*HX25,0)</f>
        <v>9968.0983913940072</v>
      </c>
      <c r="IG25" s="32">
        <f>IF(HZ25&lt;0,0,IF(HZ25&lt;=InputData!$B$163,InputData!$C$163*HZ25,IF(HZ25&lt;=InputData!$B$164,InputData!$D$163+InputData!$C$164*(HZ25-InputData!$B$163),IF(HZ25&lt;=InputData!$B$165,InputData!$D$164+InputData!$C$165*(HZ25-InputData!$B$164),InputData!$D$165+InputData!$C$166*(HZ25-InputData!$B$165)))))</f>
        <v>0</v>
      </c>
      <c r="IH25" s="43">
        <f t="shared" si="98"/>
        <v>0.29068274863098192</v>
      </c>
      <c r="II25" s="43">
        <f t="shared" si="99"/>
        <v>0.29068274863098192</v>
      </c>
      <c r="IJ25" s="5">
        <f t="shared" si="100"/>
        <v>142778.14624543249</v>
      </c>
      <c r="IK25" s="32">
        <f>IJ25/((1+InputData!$C$7)^(Ophtha!$B25-Ophtha!$B$7))</f>
        <v>83867.113190016054</v>
      </c>
      <c r="IL25" s="5">
        <f t="shared" si="101"/>
        <v>1180965.6757007246</v>
      </c>
      <c r="IN25" s="94"/>
      <c r="IO25" s="53" t="s">
        <v>109</v>
      </c>
      <c r="IP25" s="32">
        <f>MIN(InputData!$C$13+InputData!$E$13*($B25-$B$19),1)*Ophtha!AW25</f>
        <v>287491.0362286478</v>
      </c>
      <c r="IQ25" s="32">
        <f>MIN(InputData!$C$13+InputData!$E$13*($B25-$B$19),1)*Ophtha!AX25</f>
        <v>0</v>
      </c>
      <c r="IR25" s="32">
        <f>MIN(InputData!$C$13+InputData!$E$13*($B25-$B$19),1)*Ophtha!AY25</f>
        <v>287491.0362286478</v>
      </c>
      <c r="IS25" s="32">
        <f>MIN(InputData!$C$13+InputData!$E$13*($B25-$B$19),1)*Ophtha!BA25</f>
        <v>201289.54423406944</v>
      </c>
      <c r="IT25" s="32">
        <f>MIN(InputData!$C$13+InputData!$E$13*($B25-$B$19),1)*Ophtha!BB25</f>
        <v>0</v>
      </c>
      <c r="IU25" s="32">
        <f>IF(IS25-InputData!$C$158-InputData!$C$159&gt;=0,IS25-InputData!$C$158-InputData!$C$159,0)</f>
        <v>201289.54423406944</v>
      </c>
      <c r="IV25" s="32">
        <f>IF(IS25-IF(IS25&lt;=InputData!$C$146,InputData!$C$145,0)-MAX(InputData!$C$144,JB25)&gt;=0,IS25-IF(IS25&lt;=InputData!$C$146,InputData!$C$145,0)-MAX(InputData!$C$144,JB25),0)</f>
        <v>195189.54423406944</v>
      </c>
      <c r="IW25" s="32">
        <f>IF(IV25&lt;0,"Error",IF(IV25&lt;=InputData!$B$170,InputData!$C$170*IV25,IF(IV25&lt;=InputData!$B$171,InputData!$D$170+InputData!$C$171*(IV25-InputData!$B$170),IF(IV25&lt;=InputData!$B$172,InputData!$D$171+InputData!$C$172*(IV25-InputData!$B$171),IF(IV25&lt;=InputData!$B$173,InputData!$D$172+InputData!$C$173*(IV25-InputData!$B$172),IF(IV25&lt;=InputData!$B$174,InputData!$D$173+InputData!$C$174*(IV25-InputData!$B$173),IF(IV25&lt;=InputData!$B$175,InputData!$D$174+InputData!$C$175*(IV25-InputData!$B$174),InputData!$D$175+InputData!$C$176*(IV25-InputData!$B$175))))))))</f>
        <v>48543.29959724292</v>
      </c>
      <c r="IX25" s="32">
        <f>IF(IS25&lt;=InputData!$C$150,InputData!$C$152,IF(IS25&lt;InputData!$C$151,IF(InputData!$C$152-0.25*IF(IS25-InputData!$C$150&lt;=0,0,IS25-InputData!$C$150)&lt;=0,0,InputData!$C$152-0.25*IF(IS25-InputData!$C$150&lt;=0,0,IS25-InputData!$C$150)),0))</f>
        <v>30427.613941482639</v>
      </c>
      <c r="IY25" s="32">
        <f>IF(IS25-IX25&lt;=0,0,IF(IS25-IX25&lt;=InputData!$C$153,InputData!$C$154*(IS25-IX25),InputData!$C$155*(IS25-IX25)-InputData!$D$154))</f>
        <v>44424.101876072571</v>
      </c>
      <c r="IZ25" s="32">
        <f t="shared" si="102"/>
        <v>48543.29959724292</v>
      </c>
      <c r="JA25" s="32">
        <f>IF(IS25&gt;=0,IF(IS25&lt;=InputData!$C$148,InputData!$C$147*IS25,InputData!$C$147*InputData!$C$148)+InputData!$C$149*IS25,0)</f>
        <v>9968.0983913940072</v>
      </c>
      <c r="JB25" s="32">
        <f>IF(IU25&lt;0,0,IF(IU25&lt;=InputData!$B$163,InputData!$C$163*IU25,IF(IU25&lt;=InputData!$B$164,InputData!$D$163+InputData!$C$164*(IU25-InputData!$B$163),IF(IU25&lt;=InputData!$B$165,InputData!$D$164+InputData!$C$165*(IU25-InputData!$B$164),InputData!$D$165+InputData!$C$166*(IU25-InputData!$B$165)))))</f>
        <v>0</v>
      </c>
      <c r="JC25" s="43">
        <f t="shared" si="103"/>
        <v>0.29068274863098192</v>
      </c>
      <c r="JD25" s="43">
        <f t="shared" si="104"/>
        <v>0.29068274863098192</v>
      </c>
      <c r="JE25" s="5">
        <f t="shared" si="105"/>
        <v>142778.14624543249</v>
      </c>
      <c r="JF25" s="32">
        <f>JE25/((1+InputData!$C$7)^(Ophtha!$B25-Ophtha!$B$7))</f>
        <v>83867.113190016054</v>
      </c>
      <c r="JG25" s="5">
        <f t="shared" si="106"/>
        <v>1191091.8474005696</v>
      </c>
      <c r="JI25" s="41" t="str">
        <f t="shared" si="32"/>
        <v>Private Practice</v>
      </c>
      <c r="JJ25" s="5">
        <f t="shared" si="33"/>
        <v>319434.48469849757</v>
      </c>
      <c r="JK25" s="32">
        <v>0</v>
      </c>
      <c r="JL25" s="32">
        <f t="shared" si="108"/>
        <v>319434.48469849757</v>
      </c>
      <c r="JM25" s="32">
        <f>JM24*(1+InputData!$C$8)</f>
        <v>16410.549384651382</v>
      </c>
      <c r="JN25" s="32">
        <f>JJ25/((1+InputData!$C$3)^(Ophtha!$B25-Ophtha!$B$7))</f>
        <v>223655.04914896603</v>
      </c>
      <c r="JO25" s="32">
        <f>JK25/((1+InputData!$C$3)^(Ophtha!$B25-Ophtha!$B$7))</f>
        <v>0</v>
      </c>
      <c r="JP25" s="32" t="s">
        <v>141</v>
      </c>
      <c r="JQ25" s="32">
        <v>0</v>
      </c>
      <c r="JR25" s="32">
        <f t="shared" si="172"/>
        <v>0</v>
      </c>
      <c r="JS25" s="32">
        <f>(JR25)*InputData!$C$6</f>
        <v>0</v>
      </c>
      <c r="JT25" s="32">
        <f>MIN($BE$15*InputData!$C$6/(1-(1+InputData!$C$6)^(-10)), JR25+JS25)</f>
        <v>0</v>
      </c>
      <c r="JU25" s="32">
        <f t="shared" si="148"/>
        <v>0</v>
      </c>
      <c r="JV25" s="32">
        <f>JT25/((1+InputData!$C$3)^(Ophtha!$B25-Ophtha!$B$7))</f>
        <v>0</v>
      </c>
      <c r="JW25" s="32">
        <f>IF(JN25-InputData!$C$158-InputData!$C$159&gt;=0,JN25-InputData!$C$158-InputData!$C$159,0)</f>
        <v>223655.04914896603</v>
      </c>
      <c r="JX25" s="32">
        <f>IF(JN25-IF(JN25&lt;=InputData!$C$146,InputData!$C$145,0)-MAX(InputData!$C$144,KD25)&gt;=0,JN25-IF(JN25&lt;=InputData!$C$146,InputData!$C$145,0)-MAX(InputData!$C$144,KD25),0)</f>
        <v>217555.04914896603</v>
      </c>
      <c r="JY25" s="32">
        <f>IF(JX25&lt;0,"Error",IF(JX25&lt;=InputData!$B$170,InputData!$C$170*JX25,IF(JX25&lt;=InputData!$B$171,InputData!$D$170+InputData!$C$171*(JX25-InputData!$B$170),IF(JX25&lt;=InputData!$B$172,InputData!$D$171+InputData!$C$172*(JX25-InputData!$B$171),IF(JX25&lt;=InputData!$B$173,InputData!$D$172+InputData!$C$173*(JX25-InputData!$B$172),IF(JX25&lt;=InputData!$B$174,InputData!$D$173+InputData!$C$174*(JX25-InputData!$B$173),IF(JX25&lt;=InputData!$B$175,InputData!$D$174+InputData!$C$175*(JX25-InputData!$B$174),InputData!$D$175+InputData!$C$176*(JX25-InputData!$B$175))))))))</f>
        <v>55923.916219158789</v>
      </c>
      <c r="JZ25" s="32">
        <f>IF(JN25&lt;=InputData!$C$150,InputData!$C$152,IF(JN25&lt;InputData!$C$151,IF(InputData!$C$152-0.25*IF(JN25-InputData!$C$150&lt;=0,0,JN25-InputData!$C$150)&lt;=0,0,InputData!$C$152-0.25*IF(JN25-InputData!$C$150&lt;=0,0,JN25-InputData!$C$150)),0))</f>
        <v>24836.237712758491</v>
      </c>
      <c r="KA25" s="32">
        <f>IF(JN25-JZ25&lt;=0,0,IF(JN25-JZ25&lt;=InputData!$C$153,InputData!$C$154*(JN25-JZ25),InputData!$C$155*(JN25-JZ25)-InputData!$D$154))</f>
        <v>52079.267202138122</v>
      </c>
      <c r="KB25" s="32">
        <f t="shared" si="109"/>
        <v>55923.916219158789</v>
      </c>
      <c r="KC25" s="32">
        <f>IF(JN25&gt;=0,IF(JN25&lt;=InputData!$C$148,InputData!$C$147*JN25,InputData!$C$147*InputData!$C$148)+InputData!$C$149*JN25,0)</f>
        <v>10292.398212660008</v>
      </c>
      <c r="KD25" s="32">
        <f>IF(JW25&lt;0,0,IF(JW25&lt;=InputData!$B$163,InputData!$C$163*JW25,IF(JW25&lt;=InputData!$B$164,InputData!$D$163+InputData!$C$164*(JW25-InputData!$B$163),IF(JW25&lt;=InputData!$B$165,InputData!$D$164+InputData!$C$165*(JW25-InputData!$B$164),InputData!$D$165+InputData!$C$166*(JW25-InputData!$B$165)))))</f>
        <v>0</v>
      </c>
      <c r="KE25" s="43">
        <f t="shared" si="34"/>
        <v>0.2960644737678837</v>
      </c>
      <c r="KF25" s="32">
        <f t="shared" si="35"/>
        <v>157438.73471714725</v>
      </c>
      <c r="KG25" s="32">
        <f t="shared" si="110"/>
        <v>157438.73471714725</v>
      </c>
      <c r="KH25" s="32">
        <f>KG25/((1+InputData!$C$7)^(Ophtha!$B25-Ophtha!$B$7))</f>
        <v>92478.663802782743</v>
      </c>
      <c r="KI25" s="5">
        <f t="shared" si="129"/>
        <v>1279973.4345338398</v>
      </c>
    </row>
    <row r="26" spans="1:295" x14ac:dyDescent="0.25">
      <c r="A26" s="4">
        <v>2032</v>
      </c>
      <c r="B26" s="51">
        <v>20</v>
      </c>
      <c r="C26" s="4"/>
      <c r="D26" s="3">
        <v>16</v>
      </c>
      <c r="E26" s="97" t="s">
        <v>264</v>
      </c>
      <c r="F26" s="5">
        <f>InputData!$K$22*12</f>
        <v>89103.6</v>
      </c>
      <c r="G26" s="32">
        <f>(InputData!$K$22+InputData!$I$45+InputData!$F$50)*12+InputData!$J$50+InputData!$D$60+InputData!$J$60</f>
        <v>173103.52000000002</v>
      </c>
      <c r="H26" s="32">
        <f>(InputData!$C$33+InputData!$C$40)*12</f>
        <v>21019.199999999997</v>
      </c>
      <c r="I26" s="32">
        <f t="shared" si="36"/>
        <v>194122.72000000003</v>
      </c>
      <c r="J26" s="32">
        <f>G26*((1+InputData!$C$5)/(1+InputData!$C$3))^(Ophtha!$B26-Ophtha!$B$7)</f>
        <v>143551.83143084426</v>
      </c>
      <c r="K26" s="32">
        <f>H26*((1+InputData!$C$5)/(1+InputData!$C$3))^(Ophtha!$B26-Ophtha!$B$7)</f>
        <v>17430.868275880242</v>
      </c>
      <c r="L26" s="32">
        <f>IF(J26-InputData!$C$158-InputData!$C$159&gt;=0,J26-InputData!$C$158-InputData!$C$159,0)</f>
        <v>143551.83143084426</v>
      </c>
      <c r="M26" s="32">
        <f>IF(J26-IF(J26&lt;=InputData!$C$146,InputData!$C$145,0)-MAX(InputData!$C$144,S26)&gt;=0,J26-IF(J26&lt;=InputData!$C$146,InputData!$C$145,0)-MAX(InputData!$C$144,S26),0)</f>
        <v>133551.83143084426</v>
      </c>
      <c r="N26" s="32">
        <f>IF(M26&lt;0,"Error",IF(M26&lt;=InputData!$B$170,InputData!$C$170*M26,IF(M26&lt;=InputData!$B$171,InputData!$D$170+InputData!$C$171*(M26-InputData!$B$170),IF(M26&lt;=InputData!$B$172,InputData!$D$171+InputData!$C$172*(M26-InputData!$B$171),IF(M26&lt;=InputData!$B$173,InputData!$D$172+InputData!$C$173*(M26-InputData!$B$172),IF(M26&lt;=InputData!$B$174,InputData!$D$173+InputData!$C$174*(M26-InputData!$B$173),IF(M26&lt;=InputData!$B$175,InputData!$D$174+InputData!$C$175*(M26-InputData!$B$174),InputData!$D$175+InputData!$C$176*(M26-InputData!$B$175))))))))</f>
        <v>30687.762800636396</v>
      </c>
      <c r="O26" s="32">
        <f>IF(J26&lt;=InputData!$C$150,InputData!$C$152,IF(J26&lt;InputData!$C$151,IF(InputData!$C$152-0.25*IF(J26-InputData!$C$150&lt;=0,0,J26-InputData!$C$150)&lt;=0,0,InputData!$C$152-0.25*IF(J26-InputData!$C$150&lt;=0,0,J26-InputData!$C$150)),0))</f>
        <v>44862.042142288934</v>
      </c>
      <c r="P26" s="32">
        <f>IF(J26-O26&lt;=0,0,IF(J26-O26&lt;=InputData!$C$153,InputData!$C$154*(J26-O26),InputData!$C$155*(J26-O26)-InputData!$D$154))</f>
        <v>25659.345215024387</v>
      </c>
      <c r="Q26" s="32">
        <f t="shared" si="37"/>
        <v>30687.762800636396</v>
      </c>
      <c r="R26" s="32">
        <f>IF(J26&gt;=0,IF(J26&lt;=InputData!$C$148,InputData!$C$147*J26,InputData!$C$147*InputData!$C$148)+InputData!$C$149*J26,0)</f>
        <v>9130.9015557472412</v>
      </c>
      <c r="S26" s="32">
        <f>IF(L26&lt;0,0,IF(L26&lt;=InputData!$B$163,InputData!$C$163*L26,IF(L26&lt;=InputData!$B$164,InputData!$D$163+InputData!$C$164*(L26-InputData!$B$163),IF(L26&lt;=InputData!$B$165,InputData!$D$164+InputData!$C$165*(L26-InputData!$B$164),InputData!$D$165+InputData!$C$166*(L26-InputData!$B$165)))))</f>
        <v>0</v>
      </c>
      <c r="T26" s="43">
        <f t="shared" si="38"/>
        <v>0.27738179276079933</v>
      </c>
      <c r="U26" s="43">
        <f t="shared" si="39"/>
        <v>0.24734747540527396</v>
      </c>
      <c r="V26" s="5">
        <f t="shared" si="40"/>
        <v>121164.03535034086</v>
      </c>
      <c r="W26" s="32">
        <f>V26/((1+InputData!$C$7)^(Ophtha!$B26-Ophtha!$B$7))</f>
        <v>69098.156312445513</v>
      </c>
      <c r="X26" s="5">
        <f t="shared" si="111"/>
        <v>1202232.45084336</v>
      </c>
      <c r="Y26" s="53"/>
      <c r="Z26" s="3">
        <v>16</v>
      </c>
      <c r="AA26" s="97" t="s">
        <v>264</v>
      </c>
      <c r="AB26" s="5">
        <f t="shared" si="136"/>
        <v>89103.6</v>
      </c>
      <c r="AC26" s="32">
        <f t="shared" si="176"/>
        <v>173103.52000000002</v>
      </c>
      <c r="AD26" s="32">
        <f t="shared" si="174"/>
        <v>21019.199999999997</v>
      </c>
      <c r="AE26" s="32">
        <f t="shared" si="41"/>
        <v>194122.72000000003</v>
      </c>
      <c r="AF26" s="5">
        <f>AC26*((1+InputData!$C$5)/(1+InputData!$C$3))^(Ophtha!$B26-Ophtha!$B$7)</f>
        <v>143551.83143084426</v>
      </c>
      <c r="AG26" s="5">
        <f>AD26*((1+InputData!$C$5)/(1+InputData!$C$3))^(Ophtha!$B26-Ophtha!$B$7)</f>
        <v>17430.868275880242</v>
      </c>
      <c r="AH26" s="32">
        <f>IF(AF26-InputData!$C$158-InputData!$C$159&gt;=0,AF26-InputData!$C$158-InputData!$C$159,0)</f>
        <v>143551.83143084426</v>
      </c>
      <c r="AI26" s="32">
        <f>IF(AF26-IF(AF26&lt;=InputData!$C$146,InputData!$C$145,0)-MAX(InputData!$C$144,AO26)&gt;=0,AF26-IF(AF26&lt;=InputData!$C$146,InputData!$C$145,0)-MAX(InputData!$C$144,AO26),0)</f>
        <v>133551.83143084426</v>
      </c>
      <c r="AJ26" s="32">
        <f>IF(AI26&lt;0,"Error",IF(AI26&lt;=InputData!$B$170,InputData!$C$170*AI26,IF(AI26&lt;=InputData!$B$171,InputData!$D$170+InputData!$C$171*(AI26-InputData!$B$170),IF(AI26&lt;=InputData!$B$172,InputData!$D$171+InputData!$C$172*(AI26-InputData!$B$171),IF(AI26&lt;=InputData!$B$173,InputData!$D$172+InputData!$C$173*(AI26-InputData!$B$172),IF(AI26&lt;=InputData!$B$174,InputData!$D$173+InputData!$C$174*(AI26-InputData!$B$173),IF(AI26&lt;=InputData!$B$175,InputData!$D$174+InputData!$C$175*(AI26-InputData!$B$174),InputData!$D$175+InputData!$C$176*(AI26-InputData!$B$175))))))))</f>
        <v>30687.762800636396</v>
      </c>
      <c r="AK26" s="32">
        <f>IF(AF26&lt;=InputData!$C$150,InputData!$C$152,IF(AF26&lt;InputData!$C$151,IF(InputData!$C$152-0.25*IF(AF26-InputData!$C$150&lt;=0,0,AF26-InputData!$C$150)&lt;=0,0,InputData!$C$152-0.25*IF(AF26-InputData!$C$150&lt;=0,0,AF26-InputData!$C$150)),0))</f>
        <v>44862.042142288934</v>
      </c>
      <c r="AL26" s="32">
        <f>IF(AF26-AK26&lt;=0,0,IF(AF26-AK26&lt;=InputData!$C$153,InputData!$C$154*(AF26-AK26),InputData!$C$155*(AF26-AK26)-InputData!$D$154))</f>
        <v>25659.345215024387</v>
      </c>
      <c r="AM26" s="32">
        <f t="shared" si="42"/>
        <v>30687.762800636396</v>
      </c>
      <c r="AN26" s="32">
        <f>IF(AF26&gt;=0,IF(AF26&lt;=InputData!$C$148,InputData!$C$147*AF26,InputData!$C$147*InputData!$C$148)+InputData!$C$149*AF26,0)</f>
        <v>9130.9015557472412</v>
      </c>
      <c r="AO26" s="32">
        <f>IF(AH26&lt;0,0,IF(AH26&lt;=InputData!$B$163,InputData!$C$163*AH26,IF(AH26&lt;=InputData!$B$164,InputData!$D$163+InputData!$C$164*(AH26-InputData!$B$163),IF(AH26&lt;=InputData!$B$165,InputData!$D$164+InputData!$C$165*(AH26-InputData!$B$164),InputData!$D$165+InputData!$C$166*(AH26-InputData!$B$165)))))</f>
        <v>0</v>
      </c>
      <c r="AP26" s="43">
        <f t="shared" si="43"/>
        <v>0.27738179276079933</v>
      </c>
      <c r="AQ26" s="43">
        <f t="shared" si="44"/>
        <v>0.24734747540527396</v>
      </c>
      <c r="AR26" s="5">
        <f t="shared" si="45"/>
        <v>121164.03535034086</v>
      </c>
      <c r="AS26" s="32">
        <f>AR26/((1+InputData!$C$7)^(Ophtha!$B26-Ophtha!$B$7))</f>
        <v>69098.156312445513</v>
      </c>
      <c r="AT26" s="5">
        <f t="shared" si="112"/>
        <v>1177466.0347272865</v>
      </c>
      <c r="AU26" s="53"/>
      <c r="AV26" s="41" t="s">
        <v>109</v>
      </c>
      <c r="AW26" s="32">
        <f>$AW$15*(1+InputData!$C$3+InputData!$C$4)^(Ophtha!$B26-Ophtha!$B$17)</f>
        <v>329017.51923945249</v>
      </c>
      <c r="AX26" s="32">
        <v>0</v>
      </c>
      <c r="AY26" s="32">
        <f t="shared" si="47"/>
        <v>329017.51923945249</v>
      </c>
      <c r="AZ26" s="32">
        <f>AZ25*(1+InputData!$C$8)</f>
        <v>16738.760372344408</v>
      </c>
      <c r="BA26" s="32">
        <f>AW26/((1+InputData!$C$3)^(Ophtha!$B26-Ophtha!$B$7))</f>
        <v>225847.74570925001</v>
      </c>
      <c r="BB26" s="32">
        <f>AX26/((1+InputData!$C$3)^(Ophtha!$B26-Ophtha!$B$7))</f>
        <v>0</v>
      </c>
      <c r="BC26" s="32" t="s">
        <v>141</v>
      </c>
      <c r="BD26" s="32">
        <v>0</v>
      </c>
      <c r="BE26" s="32">
        <f t="shared" si="158"/>
        <v>0</v>
      </c>
      <c r="BF26" s="32">
        <f>(BE26)*InputData!$C$6</f>
        <v>0</v>
      </c>
      <c r="BG26" s="32">
        <f>MIN($BE$15*InputData!$C$6/(1-(1+InputData!$C$6)^(-10)), BE26+BF26)</f>
        <v>0</v>
      </c>
      <c r="BH26" s="32">
        <f t="shared" si="140"/>
        <v>0</v>
      </c>
      <c r="BI26" s="32">
        <f>BG26/((1+InputData!$C$3)^(Ophtha!$B26-Ophtha!$B$7))</f>
        <v>0</v>
      </c>
      <c r="BJ26" s="32">
        <f>IF(BA26-InputData!$C$158-InputData!$C$159&gt;=0,BA26-InputData!$C$158-InputData!$C$159,0)</f>
        <v>225847.74570925001</v>
      </c>
      <c r="BK26" s="32">
        <f>IF(BA26-IF(BA26&lt;=InputData!$C$146,InputData!$C$145,0)-MAX(InputData!$C$144,BQ26)&gt;=0,BA26-IF(BA26&lt;=InputData!$C$146,InputData!$C$145,0)-MAX(InputData!$C$144,BQ26),0)</f>
        <v>219747.74570925001</v>
      </c>
      <c r="BL26" s="32">
        <f>IF(BK26&lt;0,"Error",IF(BK26&lt;=InputData!$B$170,InputData!$C$170*BK26,IF(BK26&lt;=InputData!$B$171,InputData!$D$170+InputData!$C$171*(BK26-InputData!$B$170),IF(BK26&lt;=InputData!$B$172,InputData!$D$171+InputData!$C$172*(BK26-InputData!$B$171),IF(BK26&lt;=InputData!$B$173,InputData!$D$172+InputData!$C$173*(BK26-InputData!$B$172),IF(BK26&lt;=InputData!$B$174,InputData!$D$173+InputData!$C$174*(BK26-InputData!$B$173),IF(BK26&lt;=InputData!$B$175,InputData!$D$174+InputData!$C$175*(BK26-InputData!$B$174),InputData!$D$175+InputData!$C$176*(BK26-InputData!$B$175))))))))</f>
        <v>56647.506084052504</v>
      </c>
      <c r="BM26" s="32">
        <f>IF(BA26&lt;=InputData!$C$150,InputData!$C$152,IF(BA26&lt;InputData!$C$151,IF(InputData!$C$152-0.25*IF(BA26-InputData!$C$150&lt;=0,0,BA26-InputData!$C$150)&lt;=0,0,InputData!$C$152-0.25*IF(BA26-InputData!$C$150&lt;=0,0,BA26-InputData!$C$150)),0))</f>
        <v>24288.063572687497</v>
      </c>
      <c r="BN26" s="32">
        <f>IF(BA26-BM26&lt;=0,0,IF(BA26-BM26&lt;=InputData!$C$153,InputData!$C$154*(BA26-BM26),InputData!$C$155*(BA26-BM26)-InputData!$D$154))</f>
        <v>52846.710998237504</v>
      </c>
      <c r="BO26" s="32">
        <f t="shared" si="48"/>
        <v>56647.506084052504</v>
      </c>
      <c r="BP26" s="32">
        <f>IF(BA26&gt;=0,IF(BA26&lt;=InputData!$C$148,InputData!$C$147*BA26,InputData!$C$147*InputData!$C$148)+InputData!$C$149*BA26,0)</f>
        <v>10324.192312784126</v>
      </c>
      <c r="BQ26" s="32">
        <f>IF(BJ26&lt;0,0,IF(BJ26&lt;=InputData!$B$163,InputData!$C$163*BJ26,IF(BJ26&lt;=InputData!$B$164,InputData!$D$163+InputData!$C$164*(BJ26-InputData!$B$163),IF(BJ26&lt;=InputData!$B$165,InputData!$D$164+InputData!$C$165*(BJ26-InputData!$B$164),InputData!$D$165+InputData!$C$166*(BJ26-InputData!$B$165)))))</f>
        <v>0</v>
      </c>
      <c r="BR26" s="43">
        <f t="shared" si="49"/>
        <v>0.29653472159537997</v>
      </c>
      <c r="BS26" s="32">
        <f t="shared" si="50"/>
        <v>158876.0473124134</v>
      </c>
      <c r="BT26" s="32">
        <f t="shared" si="51"/>
        <v>158876.0473124134</v>
      </c>
      <c r="BU26" s="32">
        <f>BT26/((1+InputData!$C$7)^(Ophtha!$B26-Ophtha!$B$7))</f>
        <v>90604.789777379658</v>
      </c>
      <c r="BV26" s="5">
        <f t="shared" si="114"/>
        <v>986327.75019463617</v>
      </c>
      <c r="BW26" s="5"/>
      <c r="BX26" s="32" t="s">
        <v>141</v>
      </c>
      <c r="BY26" s="5">
        <f t="shared" si="159"/>
        <v>189319.90001678141</v>
      </c>
      <c r="BZ26" s="32">
        <f>(BY26)*InputData!$C$6</f>
        <v>11756.765791042126</v>
      </c>
      <c r="CA26" s="32">
        <f>MIN($BY$15*InputData!$C$6/(1-(1+InputData!$C$6)^(-25)), BY26+BZ26)</f>
        <v>20633.642137763909</v>
      </c>
      <c r="CB26" s="32">
        <f t="shared" si="160"/>
        <v>180443.02367005963</v>
      </c>
      <c r="CC26" s="32">
        <f>CA26/((1+InputData!$C$3)^(Ophtha!$B26-Ophtha!$B$7))</f>
        <v>14163.566649452085</v>
      </c>
      <c r="CD26" s="5">
        <f t="shared" si="55"/>
        <v>144712.48066296132</v>
      </c>
      <c r="CE26" s="32">
        <f>CD26/((1+InputData!$C$7)^(Ophtha!$B26-Ophtha!$B$7))</f>
        <v>82527.50562737773</v>
      </c>
      <c r="CF26" s="5">
        <f t="shared" si="115"/>
        <v>1050696.2560028909</v>
      </c>
      <c r="CG26" s="5"/>
      <c r="CH26" s="32" t="s">
        <v>141</v>
      </c>
      <c r="CI26" s="5">
        <f t="shared" si="161"/>
        <v>0</v>
      </c>
      <c r="CJ26" s="32">
        <f>(CI26)*InputData!$C$6</f>
        <v>0</v>
      </c>
      <c r="CK26" s="5">
        <f t="shared" si="162"/>
        <v>0</v>
      </c>
      <c r="CL26" s="32">
        <f t="shared" si="163"/>
        <v>0</v>
      </c>
      <c r="CM26" s="32">
        <f>CK26/((1+InputData!$C$3)^(Ophtha!$B26-Ophtha!$B$7))</f>
        <v>0</v>
      </c>
      <c r="CN26" s="5">
        <f t="shared" si="59"/>
        <v>158876.0473124134</v>
      </c>
      <c r="CO26" s="32">
        <f>CN26/((1+InputData!$C$7)^(Ophtha!$B26-Ophtha!$B$7))</f>
        <v>90604.789777379658</v>
      </c>
      <c r="CP26" s="5">
        <f t="shared" si="149"/>
        <v>986107.24876954639</v>
      </c>
      <c r="CQ26" s="5"/>
      <c r="CR26" s="32" t="s">
        <v>141</v>
      </c>
      <c r="CS26" s="5">
        <f t="shared" si="164"/>
        <v>120864.84290132078</v>
      </c>
      <c r="CT26" s="32">
        <f>(CS26)*InputData!$C$6</f>
        <v>7505.706744172021</v>
      </c>
      <c r="CU26" s="32">
        <f t="shared" si="165"/>
        <v>30390.937868093592</v>
      </c>
      <c r="CV26" s="32">
        <f t="shared" si="166"/>
        <v>97979.611777399215</v>
      </c>
      <c r="CW26" s="32">
        <f>CU26/((1+InputData!$C$3)^(Ophtha!$B26-Ophtha!$B$7))</f>
        <v>20861.274570925001</v>
      </c>
      <c r="CX26" s="5">
        <f t="shared" si="63"/>
        <v>138014.77274148841</v>
      </c>
      <c r="CY26" s="32">
        <f>CX26/((1+InputData!$C$7)^(Ophtha!$B26-Ophtha!$B$7))</f>
        <v>78707.896388094203</v>
      </c>
      <c r="CZ26" s="5">
        <f t="shared" si="150"/>
        <v>1019939.959571988</v>
      </c>
      <c r="DA26" s="5"/>
      <c r="DB26" s="32" t="s">
        <v>141</v>
      </c>
      <c r="DC26" s="5">
        <f t="shared" si="141"/>
        <v>0</v>
      </c>
      <c r="DD26" s="5">
        <f>DC26*InputData!$C$6</f>
        <v>0</v>
      </c>
      <c r="DE26" s="32">
        <f t="shared" si="142"/>
        <v>0</v>
      </c>
      <c r="DF26" s="32">
        <f t="shared" si="143"/>
        <v>0</v>
      </c>
      <c r="DG26" s="32">
        <f>DE26/((1+InputData!$C$3)^(Ophtha!$B26-Ophtha!$B$7))</f>
        <v>0</v>
      </c>
      <c r="DH26" s="5">
        <f t="shared" si="67"/>
        <v>158876.0473124134</v>
      </c>
      <c r="DI26" s="32">
        <f>DH26/((1+InputData!$C$7)^(Ophtha!$B26-Ophtha!$B$7))</f>
        <v>90604.789777379658</v>
      </c>
      <c r="DJ26" s="5">
        <f t="shared" si="130"/>
        <v>990839.44786689524</v>
      </c>
      <c r="DK26" s="5"/>
      <c r="DL26" s="32" t="s">
        <v>141</v>
      </c>
      <c r="DM26" s="32">
        <f t="shared" si="167"/>
        <v>13603.608956709588</v>
      </c>
      <c r="DN26" s="5">
        <f>DM26*InputData!$C$6</f>
        <v>844.78411621166549</v>
      </c>
      <c r="DO26" s="32">
        <f t="shared" si="168"/>
        <v>0</v>
      </c>
      <c r="DP26" s="32">
        <f t="shared" si="131"/>
        <v>14448.393072921253</v>
      </c>
      <c r="DQ26" s="32">
        <f t="shared" si="132"/>
        <v>0</v>
      </c>
      <c r="DR26" s="32">
        <f>DP26/((1+InputData!$C$3)^(Ophtha!$B26-Ophtha!$B$7))</f>
        <v>9917.8214345041051</v>
      </c>
      <c r="DS26" s="5">
        <f t="shared" si="71"/>
        <v>148958.22587790928</v>
      </c>
      <c r="DT26" s="32">
        <f>DS26/((1+InputData!$C$7)^(Ophtha!$B26-Ophtha!$B$7))</f>
        <v>84948.794796866146</v>
      </c>
      <c r="DU26" s="5">
        <f t="shared" si="133"/>
        <v>984875.28177740646</v>
      </c>
      <c r="DV26" s="5"/>
      <c r="DW26" s="32" t="s">
        <v>141</v>
      </c>
      <c r="DX26" s="133">
        <f t="shared" si="144"/>
        <v>83252.278667480656</v>
      </c>
      <c r="DY26" s="5">
        <f>DX26*InputData!$C$6</f>
        <v>5169.9665052505488</v>
      </c>
      <c r="DZ26" s="133">
        <f t="shared" si="145"/>
        <v>0</v>
      </c>
      <c r="EA26" s="32">
        <f t="shared" si="146"/>
        <v>29148.379963889372</v>
      </c>
      <c r="EB26" s="32">
        <f t="shared" si="147"/>
        <v>59273.865208841831</v>
      </c>
      <c r="EC26" s="32">
        <f>EA26/((1+InputData!$C$3)^(Ophtha!$B26-Ophtha!$B$7))</f>
        <v>20008.344604683611</v>
      </c>
      <c r="ED26" s="5">
        <f t="shared" si="75"/>
        <v>138867.7027077298</v>
      </c>
      <c r="EE26" s="32">
        <f>ED26/((1+InputData!$C$7)^(Ophtha!$B26-Ophtha!$B$7))</f>
        <v>79194.310429690828</v>
      </c>
      <c r="EF26" s="5">
        <f t="shared" si="134"/>
        <v>1008339.573448025</v>
      </c>
      <c r="EG26" s="32"/>
      <c r="EH26" s="133" t="s">
        <v>141</v>
      </c>
      <c r="EI26" s="32">
        <v>0</v>
      </c>
      <c r="EJ26" s="32">
        <f t="shared" si="175"/>
        <v>123713.54779091539</v>
      </c>
      <c r="EK26" s="32">
        <f>(EJ26)*InputData!$C$6</f>
        <v>7682.6113178158457</v>
      </c>
      <c r="EL26" s="32">
        <f t="shared" si="173"/>
        <v>101005.22124063763</v>
      </c>
      <c r="EM26" s="32">
        <f>EM25*(1+InputData!$C$8)</f>
        <v>16738.760372344408</v>
      </c>
      <c r="EN26" s="32">
        <f t="shared" si="152"/>
        <v>30390.937868093592</v>
      </c>
      <c r="EO26" s="32">
        <f>AW26/((1+InputData!$C$3)^(Ophtha!$B26-Ophtha!$B$7))</f>
        <v>225847.74570925001</v>
      </c>
      <c r="EP26" s="32">
        <f>AX26/((1+InputData!$C$3)^(Ophtha!$B26-Ophtha!$B$7))</f>
        <v>0</v>
      </c>
      <c r="EQ26" s="32">
        <v>56610.28</v>
      </c>
      <c r="ER26" s="32">
        <v>9033.8250000000007</v>
      </c>
      <c r="ES26" s="32">
        <v>0</v>
      </c>
      <c r="ET26" s="43">
        <f t="shared" si="139"/>
        <v>0.29065645439077509</v>
      </c>
      <c r="EU26" s="32">
        <f t="shared" si="76"/>
        <v>160203.64070925</v>
      </c>
      <c r="EV26" s="32">
        <f>EN26/((1+InputData!$C$3)^(Ophtha!$B26-Ophtha!$B$7))</f>
        <v>20861.274570925001</v>
      </c>
      <c r="EW26" s="32">
        <f t="shared" si="77"/>
        <v>139342.36613832501</v>
      </c>
      <c r="EX26" s="32">
        <f>EW26/((1+InputData!$C$7)^(Ophtha!$B26-Ophtha!$B$7))</f>
        <v>79465.00435159789</v>
      </c>
      <c r="EY26" s="5">
        <f t="shared" si="124"/>
        <v>1106442.5667863463</v>
      </c>
      <c r="EZ26" s="79"/>
      <c r="FA26" s="32">
        <f t="shared" si="153"/>
        <v>0</v>
      </c>
      <c r="FB26" s="32">
        <f>FA26*InputData!$C$6</f>
        <v>0</v>
      </c>
      <c r="FC26" s="32">
        <f t="shared" si="154"/>
        <v>0</v>
      </c>
      <c r="FD26" s="32">
        <f>MIN($EJ$15*InputData!$C$6/(1-(1+InputData!$C$6)^(-10)), FA26+FB26)</f>
        <v>0</v>
      </c>
      <c r="FE26" s="32">
        <f>FD26/((1+InputData!$C$3)^(Ophtha!$B26-Ophtha!$B$7))</f>
        <v>0</v>
      </c>
      <c r="FF26" s="5">
        <f t="shared" si="81"/>
        <v>160203.64070925</v>
      </c>
      <c r="FG26" s="32">
        <f>FF26/((1+InputData!$C$7)^(Ophtha!$B26-Ophtha!$B$7))</f>
        <v>91361.897740883345</v>
      </c>
      <c r="FH26" s="5">
        <f t="shared" si="125"/>
        <v>1071732.2536647399</v>
      </c>
      <c r="FI26" s="79"/>
      <c r="FJ26" s="32">
        <f t="shared" si="155"/>
        <v>190394.93138046266</v>
      </c>
      <c r="FK26" s="32">
        <f>FJ26*InputData!$C$6</f>
        <v>11823.525238726732</v>
      </c>
      <c r="FL26" s="32">
        <f t="shared" si="170"/>
        <v>181467.64870834455</v>
      </c>
      <c r="FM26" s="32">
        <f>MIN($EJ$15*InputData!$C$6/(1-(1+InputData!$C$6)^(-25)), FJ26+FK26)</f>
        <v>20750.807910844829</v>
      </c>
      <c r="FN26" s="32">
        <f>FM26/((1+InputData!$C$3)^(Ophtha!$B26-Ophtha!$B$7))</f>
        <v>14243.992840087087</v>
      </c>
      <c r="FO26" s="5">
        <f t="shared" si="85"/>
        <v>145959.6478691629</v>
      </c>
      <c r="FP26" s="32">
        <f>FO26/((1+InputData!$C$7)^(Ophtha!$B26-Ophtha!$B$7))</f>
        <v>83238.747658172564</v>
      </c>
      <c r="FQ26" s="5">
        <f t="shared" si="126"/>
        <v>1136466.2686591451</v>
      </c>
      <c r="FR26" s="79"/>
      <c r="FS26" s="32">
        <f t="shared" si="156"/>
        <v>0</v>
      </c>
      <c r="FT26" s="32">
        <f>FS26*InputData!$C$6</f>
        <v>0</v>
      </c>
      <c r="FU26" s="32">
        <f t="shared" si="171"/>
        <v>0</v>
      </c>
      <c r="FV26" s="5">
        <f t="shared" si="157"/>
        <v>0</v>
      </c>
      <c r="FW26" s="32">
        <f>FV26/((1+InputData!$C$3)^(Ophtha!$B26-Ophtha!$B$7))</f>
        <v>0</v>
      </c>
      <c r="FX26" s="5">
        <f t="shared" si="88"/>
        <v>160203.64070925</v>
      </c>
      <c r="FY26" s="32">
        <f>FX26/((1+InputData!$C$7)^(Ophtha!$B26-Ophtha!$B$7))</f>
        <v>91361.897740883345</v>
      </c>
      <c r="FZ26" s="5">
        <f t="shared" si="127"/>
        <v>1071471.6447936567</v>
      </c>
      <c r="GC26" s="3">
        <f t="shared" si="2"/>
        <v>16</v>
      </c>
      <c r="GD26" s="4" t="str">
        <f t="shared" si="3"/>
        <v>Multi-Year (O5&gt;14 = (BP+BAH+BAS+VSP+BCPSP)*12+ASP+ISP+MSP)</v>
      </c>
      <c r="GE26" s="5">
        <f t="shared" si="4"/>
        <v>173103.52000000002</v>
      </c>
      <c r="GF26" s="5">
        <f t="shared" si="5"/>
        <v>21019.199999999997</v>
      </c>
      <c r="GG26" s="5">
        <f t="shared" si="6"/>
        <v>194122.72000000003</v>
      </c>
      <c r="GH26" s="5">
        <f t="shared" si="7"/>
        <v>143551.83143084426</v>
      </c>
      <c r="GI26" s="5">
        <f t="shared" si="8"/>
        <v>17430.868275880242</v>
      </c>
      <c r="GJ26" s="32">
        <f>IF(GH26-InputData!$C$158-InputData!$C$159&gt;=0,GH26-InputData!$C$158-InputData!$C$159,0)</f>
        <v>143551.83143084426</v>
      </c>
      <c r="GK26" s="32">
        <f>IF(GH26-IF(GH26&lt;=InputData!$C$146,InputData!$C$145,0)-MAX(InputData!$C$144,GQ26)&gt;=0,GH26-IF(GH26&lt;=InputData!$C$146,InputData!$C$145,0)-MAX(InputData!$C$144,GQ26),0)</f>
        <v>133551.83143084426</v>
      </c>
      <c r="GL26" s="32">
        <f>IF(GK26&lt;0,"Error",IF(GK26&lt;=InputData!$B$170,InputData!$C$170*GK26,IF(GK26&lt;=InputData!$B$171,InputData!$D$170+InputData!$C$171*(GK26-InputData!$B$170),IF(GK26&lt;=InputData!$B$172,InputData!$D$171+InputData!$C$172*(GK26-InputData!$B$171),IF(GK26&lt;=InputData!$B$173,InputData!$D$172+InputData!$C$173*(GK26-InputData!$B$172),IF(GK26&lt;=InputData!$B$174,InputData!$D$173+InputData!$C$174*(GK26-InputData!$B$173),IF(GK26&lt;=InputData!$B$175,InputData!$D$174+InputData!$C$175*(GK26-InputData!$B$174),InputData!$D$175+InputData!$C$176*(GK26-InputData!$B$175))))))))</f>
        <v>30687.762800636396</v>
      </c>
      <c r="GM26" s="32">
        <f>IF(GH26&lt;=InputData!$C$150,InputData!$C$152,IF(GH26&lt;InputData!$C$151,IF(InputData!$C$152-0.25*IF(GH26-InputData!$C$150&lt;=0,0,GH26-InputData!$C$150)&lt;=0,0,InputData!$C$152-0.25*IF(GH26-InputData!$C$150&lt;=0,0,GH26-InputData!$C$150)),0))</f>
        <v>44862.042142288934</v>
      </c>
      <c r="GN26" s="32">
        <f>IF(GH26-GM26&lt;=0,0,IF(GH26-GM26&lt;=InputData!$C$153,InputData!$C$154*(GH26-GM26),InputData!$C$155*(GH26-GM26)-InputData!$D$154))</f>
        <v>25659.345215024387</v>
      </c>
      <c r="GO26" s="32">
        <f t="shared" si="89"/>
        <v>30687.762800636396</v>
      </c>
      <c r="GP26" s="32">
        <f>IF(GH26&gt;=0,IF(GH26&lt;=InputData!$C$148,InputData!$C$147*GH26,InputData!$C$147*InputData!$C$148)+InputData!$C$149*GH26,0)</f>
        <v>9130.9015557472412</v>
      </c>
      <c r="GQ26" s="32">
        <f>IF(GJ26&lt;0,0,IF(GJ26&lt;=InputData!$B$163,InputData!$C$163*GJ26,IF(GJ26&lt;=InputData!$B$164,InputData!$D$163+InputData!$C$164*(GJ26-InputData!$B$163),IF(GJ26&lt;=InputData!$B$165,InputData!$D$164+InputData!$C$165*(GJ26-InputData!$B$164),InputData!$D$165+InputData!$C$166*(GJ26-InputData!$B$165)))))</f>
        <v>0</v>
      </c>
      <c r="GR26" s="43">
        <f t="shared" si="90"/>
        <v>0.27738179276079933</v>
      </c>
      <c r="GS26" s="43">
        <f t="shared" si="91"/>
        <v>0.24734747540527396</v>
      </c>
      <c r="GT26" s="5">
        <f t="shared" si="9"/>
        <v>121164.03535034086</v>
      </c>
      <c r="GU26" s="32">
        <f>GT26/((1+InputData!$C$7)^(Ophtha!$B26-Ophtha!$B$7))</f>
        <v>69098.156312445513</v>
      </c>
      <c r="GV26" s="32">
        <f t="shared" si="92"/>
        <v>1202232.45084336</v>
      </c>
      <c r="GX26" s="3">
        <f t="shared" si="10"/>
        <v>16</v>
      </c>
      <c r="GY26" s="4" t="str">
        <f t="shared" si="11"/>
        <v>Multi-Year (O5&gt;14 = (BP+BAH+BAS+VSP+BCPSP)*12+ASP+ISP+MSP)</v>
      </c>
      <c r="GZ26" s="5">
        <f t="shared" si="12"/>
        <v>173103.52000000002</v>
      </c>
      <c r="HA26" s="5">
        <f t="shared" si="13"/>
        <v>21019.199999999997</v>
      </c>
      <c r="HB26" s="5">
        <f t="shared" si="14"/>
        <v>194122.72000000003</v>
      </c>
      <c r="HC26" s="5">
        <f t="shared" si="15"/>
        <v>143551.83143084426</v>
      </c>
      <c r="HD26" s="5">
        <f t="shared" si="16"/>
        <v>17430.868275880242</v>
      </c>
      <c r="HE26" s="32">
        <f>IF(HC26-InputData!$C$158-InputData!$C$159&gt;=0,HC26-InputData!$C$158-InputData!$C$159,0)</f>
        <v>143551.83143084426</v>
      </c>
      <c r="HF26" s="32">
        <f>IF(HC26-IF(HC26&lt;=InputData!$C$146,InputData!$C$145,0)-MAX(InputData!$C$144,HL26)&gt;=0,HC26-IF(HC26&lt;=InputData!$C$146,InputData!$C$145,0)-MAX(InputData!$C$144,HL26),0)</f>
        <v>133551.83143084426</v>
      </c>
      <c r="HG26" s="32">
        <f>IF(HF26&lt;0,"Error",IF(HF26&lt;=InputData!$B$170,InputData!$C$170*HF26,IF(HF26&lt;=InputData!$B$171,InputData!$D$170+InputData!$C$171*(HF26-InputData!$B$170),IF(HF26&lt;=InputData!$B$172,InputData!$D$171+InputData!$C$172*(HF26-InputData!$B$171),IF(HF26&lt;=InputData!$B$173,InputData!$D$172+InputData!$C$173*(HF26-InputData!$B$172),IF(HF26&lt;=InputData!$B$174,InputData!$D$173+InputData!$C$174*(HF26-InputData!$B$173),IF(HF26&lt;=InputData!$B$175,InputData!$D$174+InputData!$C$175*(HF26-InputData!$B$174),InputData!$D$175+InputData!$C$176*(HF26-InputData!$B$175))))))))</f>
        <v>30687.762800636396</v>
      </c>
      <c r="HH26" s="32">
        <f>IF(HC26&lt;=InputData!$C$150,InputData!$C$152,IF(HC26&lt;InputData!$C$151,IF(InputData!$C$152-0.25*IF(HC26-InputData!$C$150&lt;=0,0,HC26-InputData!$C$150)&lt;=0,0,InputData!$C$152-0.25*IF(HC26-InputData!$C$150&lt;=0,0,HC26-InputData!$C$150)),0))</f>
        <v>44862.042142288934</v>
      </c>
      <c r="HI26" s="32">
        <f>IF(HC26-HH26&lt;=0,0,IF(HC26-HH26&lt;=InputData!$C$153,InputData!$C$154*(HC26-HH26),InputData!$C$155*(HC26-HH26)-InputData!$D$154))</f>
        <v>25659.345215024387</v>
      </c>
      <c r="HJ26" s="32">
        <f t="shared" si="93"/>
        <v>30687.762800636396</v>
      </c>
      <c r="HK26" s="32">
        <f>IF(HC26&gt;=0,IF(HC26&lt;=InputData!$C$148,InputData!$C$147*HC26,InputData!$C$147*InputData!$C$148)+InputData!$C$149*HC26,0)</f>
        <v>9130.9015557472412</v>
      </c>
      <c r="HL26" s="32">
        <f>IF(HE26&lt;0,0,IF(HE26&lt;=InputData!$B$163,InputData!$C$163*HE26,IF(HE26&lt;=InputData!$B$164,InputData!$D$163+InputData!$C$164*(HE26-InputData!$B$163),IF(HE26&lt;=InputData!$B$165,InputData!$D$164+InputData!$C$165*(HE26-InputData!$B$164),InputData!$D$165+InputData!$C$166*(HE26-InputData!$B$165)))))</f>
        <v>0</v>
      </c>
      <c r="HM26" s="43">
        <f t="shared" si="94"/>
        <v>0.27738179276079933</v>
      </c>
      <c r="HN26" s="43">
        <f t="shared" si="95"/>
        <v>0.24734747540527396</v>
      </c>
      <c r="HO26" s="5">
        <f t="shared" si="17"/>
        <v>121164.03535034086</v>
      </c>
      <c r="HP26" s="32">
        <f>HO26/((1+InputData!$C$7)^(Ophtha!$B26-Ophtha!$B$7))</f>
        <v>69098.156312445513</v>
      </c>
      <c r="HQ26" s="32">
        <f t="shared" si="96"/>
        <v>1177466.0347272865</v>
      </c>
      <c r="HS26" s="94"/>
      <c r="HT26" s="53" t="s">
        <v>109</v>
      </c>
      <c r="HU26" s="32">
        <f>MIN(InputData!$C$13+InputData!$E$13*($B26-$B$22),1)*Ophtha!AW26</f>
        <v>296115.76731550723</v>
      </c>
      <c r="HV26" s="32">
        <f>MIN(InputData!$C$13+InputData!$E$13*($B26-$B$22),1)*Ophtha!AX26</f>
        <v>0</v>
      </c>
      <c r="HW26" s="32">
        <f>MIN(InputData!$C$13+InputData!$E$13*($B26-$B$22),1)*Ophtha!AY26</f>
        <v>296115.76731550723</v>
      </c>
      <c r="HX26" s="32">
        <f>MIN(InputData!$C$13+InputData!$E$13*($B26-$B$22),1)*Ophtha!BA26</f>
        <v>203262.97113832503</v>
      </c>
      <c r="HY26" s="32">
        <f>MIN(InputData!$C$13+InputData!$E$13*($B26-$B$22),1)*Ophtha!BB26</f>
        <v>0</v>
      </c>
      <c r="HZ26" s="32">
        <f>IF(HX26-InputData!$C$158-InputData!$C$159&gt;=0,HX26-InputData!$C$158-InputData!$C$159,0)</f>
        <v>203262.97113832503</v>
      </c>
      <c r="IA26" s="32">
        <f>IF(HX26-IF(HX26&lt;=InputData!$C$146,InputData!$C$145,0)-MAX(InputData!$C$144,IG26)&gt;=0,HX26-IF(HX26&lt;=InputData!$C$146,InputData!$C$145,0)-MAX(InputData!$C$144,IG26),0)</f>
        <v>197162.97113832503</v>
      </c>
      <c r="IB26" s="32">
        <f>IF(IA26&lt;0,"Error",IF(IA26&lt;=InputData!$B$170,InputData!$C$170*IA26,IF(IA26&lt;=InputData!$B$171,InputData!$D$170+InputData!$C$171*(IA26-InputData!$B$170),IF(IA26&lt;=InputData!$B$172,InputData!$D$171+InputData!$C$172*(IA26-InputData!$B$171),IF(IA26&lt;=InputData!$B$173,InputData!$D$172+InputData!$C$173*(IA26-InputData!$B$172),IF(IA26&lt;=InputData!$B$174,InputData!$D$173+InputData!$C$174*(IA26-InputData!$B$173),IF(IA26&lt;=InputData!$B$175,InputData!$D$174+InputData!$C$175*(IA26-InputData!$B$174),InputData!$D$175+InputData!$C$176*(IA26-InputData!$B$175))))))))</f>
        <v>49194.530475647261</v>
      </c>
      <c r="IC26" s="32">
        <f>IF(HX26&lt;=InputData!$C$150,InputData!$C$152,IF(HX26&lt;InputData!$C$151,IF(InputData!$C$152-0.25*IF(HX26-InputData!$C$150&lt;=0,0,HX26-InputData!$C$150)&lt;=0,0,InputData!$C$152-0.25*IF(HX26-InputData!$C$150&lt;=0,0,HX26-InputData!$C$150)),0))</f>
        <v>29934.257215418744</v>
      </c>
      <c r="ID26" s="32">
        <f>IF(HX26-IC26&lt;=0,0,IF(HX26-IC26&lt;=InputData!$C$153,InputData!$C$154*(HX26-IC26),InputData!$C$155*(HX26-IC26)-InputData!$D$154))</f>
        <v>45065.465619955634</v>
      </c>
      <c r="IE26" s="32">
        <f t="shared" si="97"/>
        <v>49194.530475647261</v>
      </c>
      <c r="IF26" s="32">
        <f>IF(HX26&gt;=0,IF(HX26&lt;=InputData!$C$148,InputData!$C$147*HX26,InputData!$C$147*InputData!$C$148)+InputData!$C$149*HX26,0)</f>
        <v>9996.7130815057135</v>
      </c>
      <c r="IG26" s="32">
        <f>IF(HZ26&lt;0,0,IF(HZ26&lt;=InputData!$B$163,InputData!$C$163*HZ26,IF(HZ26&lt;=InputData!$B$164,InputData!$D$163+InputData!$C$164*(HZ26-InputData!$B$163),IF(HZ26&lt;=InputData!$B$165,InputData!$D$164+InputData!$C$165*(HZ26-InputData!$B$164),InputData!$D$165+InputData!$C$166*(HZ26-InputData!$B$165)))))</f>
        <v>0</v>
      </c>
      <c r="IH26" s="43">
        <f t="shared" si="98"/>
        <v>0.29120524621708893</v>
      </c>
      <c r="II26" s="43">
        <f t="shared" si="99"/>
        <v>0.29120524621708893</v>
      </c>
      <c r="IJ26" s="5">
        <f t="shared" si="100"/>
        <v>144071.72758117205</v>
      </c>
      <c r="IK26" s="32">
        <f>IJ26/((1+InputData!$C$7)^(Ophtha!$B26-Ophtha!$B$7))</f>
        <v>82162.093098196638</v>
      </c>
      <c r="IL26" s="5">
        <f t="shared" si="101"/>
        <v>1263127.7687989213</v>
      </c>
      <c r="IN26" s="94"/>
      <c r="IO26" s="53" t="s">
        <v>109</v>
      </c>
      <c r="IP26" s="32">
        <f>MIN(InputData!$C$13+InputData!$E$13*($B26-$B$19),1)*Ophtha!AW26</f>
        <v>296115.76731550723</v>
      </c>
      <c r="IQ26" s="32">
        <f>MIN(InputData!$C$13+InputData!$E$13*($B26-$B$19),1)*Ophtha!AX26</f>
        <v>0</v>
      </c>
      <c r="IR26" s="32">
        <f>MIN(InputData!$C$13+InputData!$E$13*($B26-$B$19),1)*Ophtha!AY26</f>
        <v>296115.76731550723</v>
      </c>
      <c r="IS26" s="32">
        <f>MIN(InputData!$C$13+InputData!$E$13*($B26-$B$19),1)*Ophtha!BA26</f>
        <v>203262.97113832503</v>
      </c>
      <c r="IT26" s="32">
        <f>MIN(InputData!$C$13+InputData!$E$13*($B26-$B$19),1)*Ophtha!BB26</f>
        <v>0</v>
      </c>
      <c r="IU26" s="32">
        <f>IF(IS26-InputData!$C$158-InputData!$C$159&gt;=0,IS26-InputData!$C$158-InputData!$C$159,0)</f>
        <v>203262.97113832503</v>
      </c>
      <c r="IV26" s="32">
        <f>IF(IS26-IF(IS26&lt;=InputData!$C$146,InputData!$C$145,0)-MAX(InputData!$C$144,JB26)&gt;=0,IS26-IF(IS26&lt;=InputData!$C$146,InputData!$C$145,0)-MAX(InputData!$C$144,JB26),0)</f>
        <v>197162.97113832503</v>
      </c>
      <c r="IW26" s="32">
        <f>IF(IV26&lt;0,"Error",IF(IV26&lt;=InputData!$B$170,InputData!$C$170*IV26,IF(IV26&lt;=InputData!$B$171,InputData!$D$170+InputData!$C$171*(IV26-InputData!$B$170),IF(IV26&lt;=InputData!$B$172,InputData!$D$171+InputData!$C$172*(IV26-InputData!$B$171),IF(IV26&lt;=InputData!$B$173,InputData!$D$172+InputData!$C$173*(IV26-InputData!$B$172),IF(IV26&lt;=InputData!$B$174,InputData!$D$173+InputData!$C$174*(IV26-InputData!$B$173),IF(IV26&lt;=InputData!$B$175,InputData!$D$174+InputData!$C$175*(IV26-InputData!$B$174),InputData!$D$175+InputData!$C$176*(IV26-InputData!$B$175))))))))</f>
        <v>49194.530475647261</v>
      </c>
      <c r="IX26" s="32">
        <f>IF(IS26&lt;=InputData!$C$150,InputData!$C$152,IF(IS26&lt;InputData!$C$151,IF(InputData!$C$152-0.25*IF(IS26-InputData!$C$150&lt;=0,0,IS26-InputData!$C$150)&lt;=0,0,InputData!$C$152-0.25*IF(IS26-InputData!$C$150&lt;=0,0,IS26-InputData!$C$150)),0))</f>
        <v>29934.257215418744</v>
      </c>
      <c r="IY26" s="32">
        <f>IF(IS26-IX26&lt;=0,0,IF(IS26-IX26&lt;=InputData!$C$153,InputData!$C$154*(IS26-IX26),InputData!$C$155*(IS26-IX26)-InputData!$D$154))</f>
        <v>45065.465619955634</v>
      </c>
      <c r="IZ26" s="32">
        <f t="shared" si="102"/>
        <v>49194.530475647261</v>
      </c>
      <c r="JA26" s="32">
        <f>IF(IS26&gt;=0,IF(IS26&lt;=InputData!$C$148,InputData!$C$147*IS26,InputData!$C$147*InputData!$C$148)+InputData!$C$149*IS26,0)</f>
        <v>9996.7130815057135</v>
      </c>
      <c r="JB26" s="32">
        <f>IF(IU26&lt;0,0,IF(IU26&lt;=InputData!$B$163,InputData!$C$163*IU26,IF(IU26&lt;=InputData!$B$164,InputData!$D$163+InputData!$C$164*(IU26-InputData!$B$163),IF(IU26&lt;=InputData!$B$165,InputData!$D$164+InputData!$C$165*(IU26-InputData!$B$164),InputData!$D$165+InputData!$C$166*(IU26-InputData!$B$165)))))</f>
        <v>0</v>
      </c>
      <c r="JC26" s="43">
        <f t="shared" si="103"/>
        <v>0.29120524621708893</v>
      </c>
      <c r="JD26" s="43">
        <f t="shared" si="104"/>
        <v>0.29120524621708893</v>
      </c>
      <c r="JE26" s="5">
        <f t="shared" si="105"/>
        <v>144071.72758117205</v>
      </c>
      <c r="JF26" s="32">
        <f>JE26/((1+InputData!$C$7)^(Ophtha!$B26-Ophtha!$B$7))</f>
        <v>82162.093098196638</v>
      </c>
      <c r="JG26" s="5">
        <f t="shared" si="106"/>
        <v>1273253.9404987663</v>
      </c>
      <c r="JI26" s="41" t="str">
        <f t="shared" si="32"/>
        <v>Private Practice</v>
      </c>
      <c r="JJ26" s="5">
        <f t="shared" si="33"/>
        <v>329017.51923945249</v>
      </c>
      <c r="JK26" s="32">
        <v>0</v>
      </c>
      <c r="JL26" s="32">
        <f t="shared" si="108"/>
        <v>329017.51923945249</v>
      </c>
      <c r="JM26" s="32">
        <f>JM25*(1+InputData!$C$8)</f>
        <v>16738.760372344408</v>
      </c>
      <c r="JN26" s="32">
        <f>JJ26/((1+InputData!$C$3)^(Ophtha!$B26-Ophtha!$B$7))</f>
        <v>225847.74570925001</v>
      </c>
      <c r="JO26" s="32">
        <f>JK26/((1+InputData!$C$3)^(Ophtha!$B26-Ophtha!$B$7))</f>
        <v>0</v>
      </c>
      <c r="JP26" s="32" t="s">
        <v>141</v>
      </c>
      <c r="JQ26" s="32">
        <v>0</v>
      </c>
      <c r="JR26" s="32">
        <f t="shared" si="172"/>
        <v>0</v>
      </c>
      <c r="JS26" s="32">
        <f>(JR26)*InputData!$C$6</f>
        <v>0</v>
      </c>
      <c r="JT26" s="32">
        <f>MIN($BE$15*InputData!$C$6/(1-(1+InputData!$C$6)^(-10)), JR26+JS26)</f>
        <v>0</v>
      </c>
      <c r="JU26" s="32">
        <f t="shared" si="148"/>
        <v>0</v>
      </c>
      <c r="JV26" s="32">
        <f>JT26/((1+InputData!$C$3)^(Ophtha!$B26-Ophtha!$B$7))</f>
        <v>0</v>
      </c>
      <c r="JW26" s="32">
        <f>IF(JN26-InputData!$C$158-InputData!$C$159&gt;=0,JN26-InputData!$C$158-InputData!$C$159,0)</f>
        <v>225847.74570925001</v>
      </c>
      <c r="JX26" s="32">
        <f>IF(JN26-IF(JN26&lt;=InputData!$C$146,InputData!$C$145,0)-MAX(InputData!$C$144,KD26)&gt;=0,JN26-IF(JN26&lt;=InputData!$C$146,InputData!$C$145,0)-MAX(InputData!$C$144,KD26),0)</f>
        <v>219747.74570925001</v>
      </c>
      <c r="JY26" s="32">
        <f>IF(JX26&lt;0,"Error",IF(JX26&lt;=InputData!$B$170,InputData!$C$170*JX26,IF(JX26&lt;=InputData!$B$171,InputData!$D$170+InputData!$C$171*(JX26-InputData!$B$170),IF(JX26&lt;=InputData!$B$172,InputData!$D$171+InputData!$C$172*(JX26-InputData!$B$171),IF(JX26&lt;=InputData!$B$173,InputData!$D$172+InputData!$C$173*(JX26-InputData!$B$172),IF(JX26&lt;=InputData!$B$174,InputData!$D$173+InputData!$C$174*(JX26-InputData!$B$173),IF(JX26&lt;=InputData!$B$175,InputData!$D$174+InputData!$C$175*(JX26-InputData!$B$174),InputData!$D$175+InputData!$C$176*(JX26-InputData!$B$175))))))))</f>
        <v>56647.506084052504</v>
      </c>
      <c r="JZ26" s="32">
        <f>IF(JN26&lt;=InputData!$C$150,InputData!$C$152,IF(JN26&lt;InputData!$C$151,IF(InputData!$C$152-0.25*IF(JN26-InputData!$C$150&lt;=0,0,JN26-InputData!$C$150)&lt;=0,0,InputData!$C$152-0.25*IF(JN26-InputData!$C$150&lt;=0,0,JN26-InputData!$C$150)),0))</f>
        <v>24288.063572687497</v>
      </c>
      <c r="KA26" s="32">
        <f>IF(JN26-JZ26&lt;=0,0,IF(JN26-JZ26&lt;=InputData!$C$153,InputData!$C$154*(JN26-JZ26),InputData!$C$155*(JN26-JZ26)-InputData!$D$154))</f>
        <v>52846.710998237504</v>
      </c>
      <c r="KB26" s="32">
        <f t="shared" si="109"/>
        <v>56647.506084052504</v>
      </c>
      <c r="KC26" s="32">
        <f>IF(JN26&gt;=0,IF(JN26&lt;=InputData!$C$148,InputData!$C$147*JN26,InputData!$C$147*InputData!$C$148)+InputData!$C$149*JN26,0)</f>
        <v>10324.192312784126</v>
      </c>
      <c r="KD26" s="32">
        <f>IF(JW26&lt;0,0,IF(JW26&lt;=InputData!$B$163,InputData!$C$163*JW26,IF(JW26&lt;=InputData!$B$164,InputData!$D$163+InputData!$C$164*(JW26-InputData!$B$163),IF(JW26&lt;=InputData!$B$165,InputData!$D$164+InputData!$C$165*(JW26-InputData!$B$164),InputData!$D$165+InputData!$C$166*(JW26-InputData!$B$165)))))</f>
        <v>0</v>
      </c>
      <c r="KE26" s="43">
        <f t="shared" si="34"/>
        <v>0.29653472159537997</v>
      </c>
      <c r="KF26" s="32">
        <f t="shared" si="35"/>
        <v>158876.0473124134</v>
      </c>
      <c r="KG26" s="32">
        <f t="shared" si="110"/>
        <v>158876.0473124134</v>
      </c>
      <c r="KH26" s="32">
        <f>KG26/((1+InputData!$C$7)^(Ophtha!$B26-Ophtha!$B$7))</f>
        <v>90604.789777379658</v>
      </c>
      <c r="KI26" s="5">
        <f t="shared" si="129"/>
        <v>1370578.2243112195</v>
      </c>
    </row>
    <row r="27" spans="1:295" x14ac:dyDescent="0.25">
      <c r="A27" s="4">
        <v>2033</v>
      </c>
      <c r="B27" s="51">
        <v>21</v>
      </c>
      <c r="C27" s="4"/>
      <c r="D27" s="3">
        <v>17</v>
      </c>
      <c r="E27" s="97" t="s">
        <v>265</v>
      </c>
      <c r="F27" s="5">
        <f>InputData!$L$22*12</f>
        <v>94741.200000000012</v>
      </c>
      <c r="G27" s="32">
        <f>(InputData!$L$22+InputData!$I$45+InputData!$F$50)*12+InputData!$J$50+InputData!$D$60+InputData!$J$60</f>
        <v>178741.12</v>
      </c>
      <c r="H27" s="32">
        <f>(InputData!$C$33+InputData!$C$40)*12</f>
        <v>21019.199999999997</v>
      </c>
      <c r="I27" s="32">
        <f t="shared" si="36"/>
        <v>199760.32</v>
      </c>
      <c r="J27" s="5">
        <f>G27*((1+InputData!$C$5)/(1+InputData!$C$3))^(Ophtha!$B27-Ophtha!$B$7)</f>
        <v>146773.79222401595</v>
      </c>
      <c r="K27" s="5">
        <f>H27*((1+InputData!$C$5)/(1+InputData!$C$3))^(Ophtha!$B27-Ophtha!$B$7)</f>
        <v>17259.977410430438</v>
      </c>
      <c r="L27" s="32">
        <f>IF(J27-InputData!$C$158-InputData!$C$159&gt;=0,J27-InputData!$C$158-InputData!$C$159,0)</f>
        <v>146773.79222401595</v>
      </c>
      <c r="M27" s="32">
        <f>IF(J27-IF(J27&lt;=InputData!$C$146,InputData!$C$145,0)-MAX(InputData!$C$144,S27)&gt;=0,J27-IF(J27&lt;=InputData!$C$146,InputData!$C$145,0)-MAX(InputData!$C$144,S27),0)</f>
        <v>136773.79222401595</v>
      </c>
      <c r="N27" s="32">
        <f>IF(M27&lt;0,"Error",IF(M27&lt;=InputData!$B$170,InputData!$C$170*M27,IF(M27&lt;=InputData!$B$171,InputData!$D$170+InputData!$C$171*(M27-InputData!$B$170),IF(M27&lt;=InputData!$B$172,InputData!$D$171+InputData!$C$172*(M27-InputData!$B$171),IF(M27&lt;=InputData!$B$173,InputData!$D$172+InputData!$C$173*(M27-InputData!$B$172),IF(M27&lt;=InputData!$B$174,InputData!$D$173+InputData!$C$174*(M27-InputData!$B$173),IF(M27&lt;=InputData!$B$175,InputData!$D$174+InputData!$C$175*(M27-InputData!$B$174),InputData!$D$175+InputData!$C$176*(M27-InputData!$B$175))))))))</f>
        <v>31589.911822724469</v>
      </c>
      <c r="O27" s="32">
        <f>IF(J27&lt;=InputData!$C$150,InputData!$C$152,IF(J27&lt;InputData!$C$151,IF(InputData!$C$152-0.25*IF(J27-InputData!$C$150&lt;=0,0,J27-InputData!$C$150)&lt;=0,0,InputData!$C$152-0.25*IF(J27-InputData!$C$150&lt;=0,0,J27-InputData!$C$150)),0))</f>
        <v>44056.551943996012</v>
      </c>
      <c r="P27" s="32">
        <f>IF(J27-O27&lt;=0,0,IF(J27-O27&lt;=InputData!$C$153,InputData!$C$154*(J27-O27),InputData!$C$155*(J27-O27)-InputData!$D$154))</f>
        <v>26706.482472805183</v>
      </c>
      <c r="Q27" s="32">
        <f t="shared" si="37"/>
        <v>31589.911822724469</v>
      </c>
      <c r="R27" s="32">
        <f>IF(J27&gt;=0,IF(J27&lt;=InputData!$C$148,InputData!$C$147*J27,InputData!$C$147*InputData!$C$148)+InputData!$C$149*J27,0)</f>
        <v>9177.6199872482321</v>
      </c>
      <c r="S27" s="32">
        <f>IF(L27&lt;0,0,IF(L27&lt;=InputData!$B$163,InputData!$C$163*L27,IF(L27&lt;=InputData!$B$164,InputData!$D$163+InputData!$C$164*(L27-InputData!$B$163),IF(L27&lt;=InputData!$B$165,InputData!$D$164+InputData!$C$165*(L27-InputData!$B$164),InputData!$D$165+InputData!$C$166*(L27-InputData!$B$165)))))</f>
        <v>0</v>
      </c>
      <c r="T27" s="43">
        <f t="shared" si="38"/>
        <v>0.27775756960582293</v>
      </c>
      <c r="U27" s="43">
        <f t="shared" si="39"/>
        <v>0.24853133535139885</v>
      </c>
      <c r="V27" s="5">
        <f t="shared" si="40"/>
        <v>123266.23782447368</v>
      </c>
      <c r="W27" s="32">
        <f>V27/((1+InputData!$C$7)^(Ophtha!$B27-Ophtha!$B$7))</f>
        <v>68249.527193177593</v>
      </c>
      <c r="X27" s="5">
        <f t="shared" si="111"/>
        <v>1270481.9780365375</v>
      </c>
      <c r="Y27" s="53"/>
      <c r="Z27" s="3">
        <v>17</v>
      </c>
      <c r="AA27" s="97" t="s">
        <v>265</v>
      </c>
      <c r="AB27" s="5">
        <f t="shared" si="136"/>
        <v>94741.200000000012</v>
      </c>
      <c r="AC27" s="32">
        <f t="shared" si="176"/>
        <v>178741.12</v>
      </c>
      <c r="AD27" s="32">
        <f t="shared" si="174"/>
        <v>21019.199999999997</v>
      </c>
      <c r="AE27" s="32">
        <f t="shared" si="41"/>
        <v>199760.32</v>
      </c>
      <c r="AF27" s="5">
        <f>AC27*((1+InputData!$C$5)/(1+InputData!$C$3))^(Ophtha!$B27-Ophtha!$B$7)</f>
        <v>146773.79222401595</v>
      </c>
      <c r="AG27" s="5">
        <f>AD27*((1+InputData!$C$5)/(1+InputData!$C$3))^(Ophtha!$B27-Ophtha!$B$7)</f>
        <v>17259.977410430438</v>
      </c>
      <c r="AH27" s="32">
        <f>IF(AF27-InputData!$C$158-InputData!$C$159&gt;=0,AF27-InputData!$C$158-InputData!$C$159,0)</f>
        <v>146773.79222401595</v>
      </c>
      <c r="AI27" s="32">
        <f>IF(AF27-IF(AF27&lt;=InputData!$C$146,InputData!$C$145,0)-MAX(InputData!$C$144,AO27)&gt;=0,AF27-IF(AF27&lt;=InputData!$C$146,InputData!$C$145,0)-MAX(InputData!$C$144,AO27),0)</f>
        <v>136773.79222401595</v>
      </c>
      <c r="AJ27" s="32">
        <f>IF(AI27&lt;0,"Error",IF(AI27&lt;=InputData!$B$170,InputData!$C$170*AI27,IF(AI27&lt;=InputData!$B$171,InputData!$D$170+InputData!$C$171*(AI27-InputData!$B$170),IF(AI27&lt;=InputData!$B$172,InputData!$D$171+InputData!$C$172*(AI27-InputData!$B$171),IF(AI27&lt;=InputData!$B$173,InputData!$D$172+InputData!$C$173*(AI27-InputData!$B$172),IF(AI27&lt;=InputData!$B$174,InputData!$D$173+InputData!$C$174*(AI27-InputData!$B$173),IF(AI27&lt;=InputData!$B$175,InputData!$D$174+InputData!$C$175*(AI27-InputData!$B$174),InputData!$D$175+InputData!$C$176*(AI27-InputData!$B$175))))))))</f>
        <v>31589.911822724469</v>
      </c>
      <c r="AK27" s="32">
        <f>IF(AF27&lt;=InputData!$C$150,InputData!$C$152,IF(AF27&lt;InputData!$C$151,IF(InputData!$C$152-0.25*IF(AF27-InputData!$C$150&lt;=0,0,AF27-InputData!$C$150)&lt;=0,0,InputData!$C$152-0.25*IF(AF27-InputData!$C$150&lt;=0,0,AF27-InputData!$C$150)),0))</f>
        <v>44056.551943996012</v>
      </c>
      <c r="AL27" s="32">
        <f>IF(AF27-AK27&lt;=0,0,IF(AF27-AK27&lt;=InputData!$C$153,InputData!$C$154*(AF27-AK27),InputData!$C$155*(AF27-AK27)-InputData!$D$154))</f>
        <v>26706.482472805183</v>
      </c>
      <c r="AM27" s="32">
        <f t="shared" si="42"/>
        <v>31589.911822724469</v>
      </c>
      <c r="AN27" s="32">
        <f>IF(AF27&gt;=0,IF(AF27&lt;=InputData!$C$148,InputData!$C$147*AF27,InputData!$C$147*InputData!$C$148)+InputData!$C$149*AF27,0)</f>
        <v>9177.6199872482321</v>
      </c>
      <c r="AO27" s="32">
        <f>IF(AH27&lt;0,0,IF(AH27&lt;=InputData!$B$163,InputData!$C$163*AH27,IF(AH27&lt;=InputData!$B$164,InputData!$D$163+InputData!$C$164*(AH27-InputData!$B$163),IF(AH27&lt;=InputData!$B$165,InputData!$D$164+InputData!$C$165*(AH27-InputData!$B$164),InputData!$D$165+InputData!$C$166*(AH27-InputData!$B$165)))))</f>
        <v>0</v>
      </c>
      <c r="AP27" s="43">
        <f t="shared" si="43"/>
        <v>0.27775756960582293</v>
      </c>
      <c r="AQ27" s="43">
        <f t="shared" si="44"/>
        <v>0.24853133535139885</v>
      </c>
      <c r="AR27" s="5">
        <f t="shared" si="45"/>
        <v>123266.23782447368</v>
      </c>
      <c r="AS27" s="32">
        <f>AR27/((1+InputData!$C$7)^(Ophtha!$B27-Ophtha!$B$7))</f>
        <v>68249.527193177593</v>
      </c>
      <c r="AT27" s="5">
        <f t="shared" si="112"/>
        <v>1245715.561920464</v>
      </c>
      <c r="AU27" s="53"/>
      <c r="AV27" s="41" t="s">
        <v>109</v>
      </c>
      <c r="AW27" s="32">
        <f>$AW$15*(1+InputData!$C$3+InputData!$C$4)^(Ophtha!$B27-Ophtha!$B$17)</f>
        <v>338888.04481663607</v>
      </c>
      <c r="AX27" s="32">
        <v>0</v>
      </c>
      <c r="AY27" s="32">
        <f t="shared" si="47"/>
        <v>338888.04481663607</v>
      </c>
      <c r="AZ27" s="32">
        <f>AZ26*(1+InputData!$C$8)</f>
        <v>17073.535579791296</v>
      </c>
      <c r="BA27" s="32">
        <f>AW27/((1+InputData!$C$3)^(Ophtha!$B27-Ophtha!$B$7))</f>
        <v>228061.93929463479</v>
      </c>
      <c r="BB27" s="32">
        <f>AX27/((1+InputData!$C$3)^(Ophtha!$B27-Ophtha!$B$7))</f>
        <v>0</v>
      </c>
      <c r="BC27" s="32" t="s">
        <v>141</v>
      </c>
      <c r="BD27" s="32">
        <v>0</v>
      </c>
      <c r="BE27" s="32">
        <f t="shared" si="158"/>
        <v>0</v>
      </c>
      <c r="BF27" s="32">
        <f>(BE27)*InputData!$C$6</f>
        <v>0</v>
      </c>
      <c r="BG27" s="32">
        <f>MIN($BE$15*InputData!$C$6/(1-(1+InputData!$C$6)^(-10)), BE27+BF27)</f>
        <v>0</v>
      </c>
      <c r="BH27" s="32">
        <f t="shared" si="140"/>
        <v>0</v>
      </c>
      <c r="BI27" s="32">
        <f>BG27/((1+InputData!$C$3)^(Ophtha!$B27-Ophtha!$B$7))</f>
        <v>0</v>
      </c>
      <c r="BJ27" s="32">
        <f>IF(BA27-InputData!$C$158-InputData!$C$159&gt;=0,BA27-InputData!$C$158-InputData!$C$159,0)</f>
        <v>228061.93929463479</v>
      </c>
      <c r="BK27" s="32">
        <f>IF(BA27-IF(BA27&lt;=InputData!$C$146,InputData!$C$145,0)-MAX(InputData!$C$144,BQ27)&gt;=0,BA27-IF(BA27&lt;=InputData!$C$146,InputData!$C$145,0)-MAX(InputData!$C$144,BQ27),0)</f>
        <v>221961.93929463479</v>
      </c>
      <c r="BL27" s="32">
        <f>IF(BK27&lt;0,"Error",IF(BK27&lt;=InputData!$B$170,InputData!$C$170*BK27,IF(BK27&lt;=InputData!$B$171,InputData!$D$170+InputData!$C$171*(BK27-InputData!$B$170),IF(BK27&lt;=InputData!$B$172,InputData!$D$171+InputData!$C$172*(BK27-InputData!$B$171),IF(BK27&lt;=InputData!$B$173,InputData!$D$172+InputData!$C$173*(BK27-InputData!$B$172),IF(BK27&lt;=InputData!$B$174,InputData!$D$173+InputData!$C$174*(BK27-InputData!$B$173),IF(BK27&lt;=InputData!$B$175,InputData!$D$174+InputData!$C$175*(BK27-InputData!$B$174),InputData!$D$175+InputData!$C$176*(BK27-InputData!$B$175))))))))</f>
        <v>57378.189967229482</v>
      </c>
      <c r="BM27" s="32">
        <f>IF(BA27&lt;=InputData!$C$150,InputData!$C$152,IF(BA27&lt;InputData!$C$151,IF(InputData!$C$152-0.25*IF(BA27-InputData!$C$150&lt;=0,0,BA27-InputData!$C$150)&lt;=0,0,InputData!$C$152-0.25*IF(BA27-InputData!$C$150&lt;=0,0,BA27-InputData!$C$150)),0))</f>
        <v>23734.515176341301</v>
      </c>
      <c r="BN27" s="32">
        <f>IF(BA27-BM27&lt;=0,0,IF(BA27-BM27&lt;=InputData!$C$153,InputData!$C$154*(BA27-BM27),InputData!$C$155*(BA27-BM27)-InputData!$D$154))</f>
        <v>53621.678753122185</v>
      </c>
      <c r="BO27" s="32">
        <f t="shared" si="48"/>
        <v>57378.189967229482</v>
      </c>
      <c r="BP27" s="32">
        <f>IF(BA27&gt;=0,IF(BA27&lt;=InputData!$C$148,InputData!$C$147*BA27,InputData!$C$147*InputData!$C$148)+InputData!$C$149*BA27,0)</f>
        <v>10356.298119772204</v>
      </c>
      <c r="BQ27" s="32">
        <f>IF(BJ27&lt;0,0,IF(BJ27&lt;=InputData!$B$163,InputData!$C$163*BJ27,IF(BJ27&lt;=InputData!$B$164,InputData!$D$163+InputData!$C$164*(BJ27-InputData!$B$163),IF(BJ27&lt;=InputData!$B$165,InputData!$D$164+InputData!$C$165*(BJ27-InputData!$B$164),InputData!$D$165+InputData!$C$166*(BJ27-InputData!$B$165)))))</f>
        <v>0</v>
      </c>
      <c r="BR27" s="43">
        <f t="shared" si="49"/>
        <v>0.297000403909988</v>
      </c>
      <c r="BS27" s="32">
        <f t="shared" si="50"/>
        <v>160327.4512076331</v>
      </c>
      <c r="BT27" s="32">
        <f t="shared" si="51"/>
        <v>160327.4512076331</v>
      </c>
      <c r="BU27" s="32">
        <f>BT27/((1+InputData!$C$7)^(Ophtha!$B27-Ophtha!$B$7))</f>
        <v>88769.422464159084</v>
      </c>
      <c r="BV27" s="5">
        <f t="shared" si="114"/>
        <v>1075097.1726587953</v>
      </c>
      <c r="BW27" s="5"/>
      <c r="BX27" s="32" t="s">
        <v>141</v>
      </c>
      <c r="BY27" s="5">
        <f t="shared" si="159"/>
        <v>180443.02367005963</v>
      </c>
      <c r="BZ27" s="32">
        <f>(BY27)*InputData!$C$6</f>
        <v>11205.511769910703</v>
      </c>
      <c r="CA27" s="32">
        <f>MIN($BY$15*InputData!$C$6/(1-(1+InputData!$C$6)^(-25)), BY27+BZ27)</f>
        <v>20633.642137763909</v>
      </c>
      <c r="CB27" s="32">
        <f t="shared" si="160"/>
        <v>171014.89330220642</v>
      </c>
      <c r="CC27" s="32">
        <f>CA27/((1+InputData!$C$3)^(Ophtha!$B27-Ophtha!$B$7))</f>
        <v>13885.849656325572</v>
      </c>
      <c r="CD27" s="5">
        <f t="shared" si="55"/>
        <v>146441.60155130754</v>
      </c>
      <c r="CE27" s="32">
        <f>CD27/((1+InputData!$C$7)^(Ophtha!$B27-Ophtha!$B$7))</f>
        <v>81081.164183174958</v>
      </c>
      <c r="CF27" s="5">
        <f t="shared" si="115"/>
        <v>1131777.4201860658</v>
      </c>
      <c r="CG27" s="5"/>
      <c r="CH27" s="32" t="s">
        <v>141</v>
      </c>
      <c r="CI27" s="5">
        <f t="shared" si="161"/>
        <v>0</v>
      </c>
      <c r="CJ27" s="32">
        <f>(CI27)*InputData!$C$6</f>
        <v>0</v>
      </c>
      <c r="CK27" s="5">
        <f t="shared" si="162"/>
        <v>0</v>
      </c>
      <c r="CL27" s="32">
        <f t="shared" si="163"/>
        <v>0</v>
      </c>
      <c r="CM27" s="32">
        <f>CK27/((1+InputData!$C$3)^(Ophtha!$B27-Ophtha!$B$7))</f>
        <v>0</v>
      </c>
      <c r="CN27" s="5">
        <f t="shared" si="59"/>
        <v>160327.4512076331</v>
      </c>
      <c r="CO27" s="32">
        <f>CN27/((1+InputData!$C$7)^(Ophtha!$B27-Ophtha!$B$7))</f>
        <v>88769.422464159084</v>
      </c>
      <c r="CP27" s="5">
        <f t="shared" si="149"/>
        <v>1074876.6712337055</v>
      </c>
      <c r="CQ27" s="5"/>
      <c r="CR27" s="32" t="s">
        <v>141</v>
      </c>
      <c r="CS27" s="5">
        <f t="shared" si="164"/>
        <v>97979.611777399215</v>
      </c>
      <c r="CT27" s="32">
        <f>(CS27)*InputData!$C$6</f>
        <v>6084.5338913764917</v>
      </c>
      <c r="CU27" s="32">
        <f t="shared" si="165"/>
        <v>31327.774144694915</v>
      </c>
      <c r="CV27" s="32">
        <f t="shared" si="166"/>
        <v>72736.37152408078</v>
      </c>
      <c r="CW27" s="32">
        <f>CU27/((1+InputData!$C$3)^(Ophtha!$B27-Ophtha!$B$7))</f>
        <v>21082.693929463479</v>
      </c>
      <c r="CX27" s="5">
        <f t="shared" si="63"/>
        <v>139244.75727816962</v>
      </c>
      <c r="CY27" s="32">
        <f>CX27/((1+InputData!$C$7)^(Ophtha!$B27-Ophtha!$B$7))</f>
        <v>77096.446002483717</v>
      </c>
      <c r="CZ27" s="5">
        <f t="shared" si="150"/>
        <v>1097036.4055744717</v>
      </c>
      <c r="DA27" s="5"/>
      <c r="DB27" s="32" t="s">
        <v>141</v>
      </c>
      <c r="DC27" s="5">
        <f t="shared" si="141"/>
        <v>0</v>
      </c>
      <c r="DD27" s="5">
        <f>DC27*InputData!$C$6</f>
        <v>0</v>
      </c>
      <c r="DE27" s="32">
        <f t="shared" si="142"/>
        <v>0</v>
      </c>
      <c r="DF27" s="32">
        <f t="shared" si="143"/>
        <v>0</v>
      </c>
      <c r="DG27" s="32">
        <f>DE27/((1+InputData!$C$3)^(Ophtha!$B27-Ophtha!$B$7))</f>
        <v>0</v>
      </c>
      <c r="DH27" s="5">
        <f t="shared" si="67"/>
        <v>160327.4512076331</v>
      </c>
      <c r="DI27" s="32">
        <f>DH27/((1+InputData!$C$7)^(Ophtha!$B27-Ophtha!$B$7))</f>
        <v>88769.422464159084</v>
      </c>
      <c r="DJ27" s="5">
        <f t="shared" si="130"/>
        <v>1079608.8703310543</v>
      </c>
      <c r="DK27" s="5"/>
      <c r="DL27" s="32" t="s">
        <v>141</v>
      </c>
      <c r="DM27" s="32">
        <f>IF(0.15*($AY27-1.5*$AZ27)&lt;=$DD$2,DQ26-DO26,DQ26)</f>
        <v>0</v>
      </c>
      <c r="DN27" s="5">
        <f>DM27*InputData!$C$6</f>
        <v>0</v>
      </c>
      <c r="DO27" s="32">
        <f t="shared" si="168"/>
        <v>0</v>
      </c>
      <c r="DP27" s="32">
        <f t="shared" si="131"/>
        <v>0</v>
      </c>
      <c r="DQ27" s="32">
        <f t="shared" si="132"/>
        <v>0</v>
      </c>
      <c r="DR27" s="32">
        <f>DP27/((1+InputData!$C$3)^(Ophtha!$B27-Ophtha!$B$7))</f>
        <v>0</v>
      </c>
      <c r="DS27" s="5">
        <f t="shared" si="71"/>
        <v>160327.4512076331</v>
      </c>
      <c r="DT27" s="32">
        <f>DS27/((1+InputData!$C$7)^(Ophtha!$B27-Ophtha!$B$7))</f>
        <v>88769.422464159084</v>
      </c>
      <c r="DU27" s="5">
        <f t="shared" si="133"/>
        <v>1073644.7042415654</v>
      </c>
      <c r="DV27" s="5"/>
      <c r="DW27" s="32" t="s">
        <v>141</v>
      </c>
      <c r="DX27" s="133">
        <f t="shared" si="144"/>
        <v>59273.865208841831</v>
      </c>
      <c r="DY27" s="5">
        <f>DX27*InputData!$C$6</f>
        <v>3680.9070294690778</v>
      </c>
      <c r="DZ27" s="133">
        <f t="shared" si="145"/>
        <v>0</v>
      </c>
      <c r="EA27" s="32">
        <f t="shared" si="146"/>
        <v>29148.379963889372</v>
      </c>
      <c r="EB27" s="32">
        <f t="shared" si="147"/>
        <v>33806.392274421538</v>
      </c>
      <c r="EC27" s="32">
        <f>EA27/((1+InputData!$C$3)^(Ophtha!$B27-Ophtha!$B$7))</f>
        <v>19616.024122238832</v>
      </c>
      <c r="ED27" s="5">
        <f t="shared" si="75"/>
        <v>140711.42708539427</v>
      </c>
      <c r="EE27" s="32">
        <f>ED27/((1+InputData!$C$7)^(Ophtha!$B27-Ophtha!$B$7))</f>
        <v>77908.505514141158</v>
      </c>
      <c r="EF27" s="5">
        <f t="shared" si="134"/>
        <v>1086248.0789621661</v>
      </c>
      <c r="EG27" s="32"/>
      <c r="EH27" s="133" t="s">
        <v>141</v>
      </c>
      <c r="EI27" s="32">
        <v>0</v>
      </c>
      <c r="EJ27" s="32">
        <f t="shared" si="175"/>
        <v>101005.22124063763</v>
      </c>
      <c r="EK27" s="32">
        <f>(EJ27)*InputData!$C$6</f>
        <v>6272.4242390435975</v>
      </c>
      <c r="EL27" s="32">
        <f t="shared" si="173"/>
        <v>75949.871334986325</v>
      </c>
      <c r="EM27" s="32">
        <f>EM26*(1+InputData!$C$8)</f>
        <v>17073.535579791296</v>
      </c>
      <c r="EN27" s="32">
        <f t="shared" si="152"/>
        <v>31327.774144694915</v>
      </c>
      <c r="EO27" s="32">
        <f>AW27/((1+InputData!$C$3)^(Ophtha!$B27-Ophtha!$B$7))</f>
        <v>228061.93929463479</v>
      </c>
      <c r="EP27" s="32">
        <f>AX27/((1+InputData!$C$3)^(Ophtha!$B27-Ophtha!$B$7))</f>
        <v>0</v>
      </c>
      <c r="EQ27" s="32">
        <v>57348.51</v>
      </c>
      <c r="ER27" s="32">
        <v>9066.2649999999994</v>
      </c>
      <c r="ES27" s="32">
        <v>0</v>
      </c>
      <c r="ET27" s="43">
        <f t="shared" si="139"/>
        <v>0.29121376063630805</v>
      </c>
      <c r="EU27" s="32">
        <f t="shared" si="76"/>
        <v>161647.16429463477</v>
      </c>
      <c r="EV27" s="32">
        <f>EN27/((1+InputData!$C$3)^(Ophtha!$B27-Ophtha!$B$7))</f>
        <v>21082.693929463479</v>
      </c>
      <c r="EW27" s="32">
        <f t="shared" si="77"/>
        <v>140564.47036517129</v>
      </c>
      <c r="EX27" s="32">
        <f>EW27/((1+InputData!$C$7)^(Ophtha!$B27-Ophtha!$B$7))</f>
        <v>77827.139141238949</v>
      </c>
      <c r="EY27" s="5">
        <f t="shared" si="124"/>
        <v>1184269.7059275853</v>
      </c>
      <c r="EZ27" s="79"/>
      <c r="FA27" s="32">
        <f t="shared" si="153"/>
        <v>0</v>
      </c>
      <c r="FB27" s="32">
        <f>FA27*InputData!$C$6</f>
        <v>0</v>
      </c>
      <c r="FC27" s="32">
        <f t="shared" si="154"/>
        <v>0</v>
      </c>
      <c r="FD27" s="32">
        <f>MIN($EJ$15*InputData!$C$6/(1-(1+InputData!$C$6)^(-10)), FA27+FB27)</f>
        <v>0</v>
      </c>
      <c r="FE27" s="32">
        <f>FD27/((1+InputData!$C$3)^(Ophtha!$B27-Ophtha!$B$7))</f>
        <v>0</v>
      </c>
      <c r="FF27" s="5">
        <f t="shared" si="81"/>
        <v>161647.16429463477</v>
      </c>
      <c r="FG27" s="32">
        <f>FF27/((1+InputData!$C$7)^(Ophtha!$B27-Ophtha!$B$7))</f>
        <v>89500.115602914302</v>
      </c>
      <c r="FH27" s="5">
        <f t="shared" si="125"/>
        <v>1161232.3692676541</v>
      </c>
      <c r="FI27" s="79"/>
      <c r="FJ27" s="32">
        <f t="shared" si="155"/>
        <v>181467.64870834455</v>
      </c>
      <c r="FK27" s="32">
        <f>FJ27*InputData!$C$6</f>
        <v>11269.140984788197</v>
      </c>
      <c r="FL27" s="32">
        <f t="shared" si="170"/>
        <v>171985.98178228791</v>
      </c>
      <c r="FM27" s="32">
        <f>MIN($EJ$15*InputData!$C$6/(1-(1+InputData!$C$6)^(-25)), FJ27+FK27)</f>
        <v>20750.807910844829</v>
      </c>
      <c r="FN27" s="32">
        <f>FM27/((1+InputData!$C$3)^(Ophtha!$B27-Ophtha!$B$7))</f>
        <v>13964.698862830475</v>
      </c>
      <c r="FO27" s="5">
        <f t="shared" si="85"/>
        <v>147682.4654318043</v>
      </c>
      <c r="FP27" s="32">
        <f>FO27/((1+InputData!$C$7)^(Ophtha!$B27-Ophtha!$B$7))</f>
        <v>81768.200428051583</v>
      </c>
      <c r="FQ27" s="5">
        <f t="shared" si="126"/>
        <v>1218234.4690871967</v>
      </c>
      <c r="FR27" s="79"/>
      <c r="FS27" s="32">
        <f t="shared" si="156"/>
        <v>0</v>
      </c>
      <c r="FT27" s="32">
        <f>FS27*InputData!$C$6</f>
        <v>0</v>
      </c>
      <c r="FU27" s="32">
        <f t="shared" si="171"/>
        <v>0</v>
      </c>
      <c r="FV27" s="5">
        <f t="shared" si="157"/>
        <v>0</v>
      </c>
      <c r="FW27" s="32">
        <f>FV27/((1+InputData!$C$3)^(Ophtha!$B27-Ophtha!$B$7))</f>
        <v>0</v>
      </c>
      <c r="FX27" s="5">
        <f t="shared" si="88"/>
        <v>161647.16429463477</v>
      </c>
      <c r="FY27" s="32">
        <f>FX27/((1+InputData!$C$7)^(Ophtha!$B27-Ophtha!$B$7))</f>
        <v>89500.115602914302</v>
      </c>
      <c r="FZ27" s="5">
        <f t="shared" si="127"/>
        <v>1160971.7603965709</v>
      </c>
      <c r="GC27" s="3">
        <f t="shared" si="2"/>
        <v>17</v>
      </c>
      <c r="GD27" s="4" t="str">
        <f t="shared" si="3"/>
        <v>Multi-Year (O5&gt;16 = (BP+BAH+BAS+VSP+BCPSP)*12+ASP+ISP+MSP)</v>
      </c>
      <c r="GE27" s="5">
        <f t="shared" si="4"/>
        <v>178741.12</v>
      </c>
      <c r="GF27" s="5">
        <f t="shared" si="5"/>
        <v>21019.199999999997</v>
      </c>
      <c r="GG27" s="5">
        <f t="shared" si="6"/>
        <v>199760.32</v>
      </c>
      <c r="GH27" s="5">
        <f t="shared" si="7"/>
        <v>146773.79222401595</v>
      </c>
      <c r="GI27" s="5">
        <f t="shared" si="8"/>
        <v>17259.977410430438</v>
      </c>
      <c r="GJ27" s="32">
        <f>IF(GH27-InputData!$C$158-InputData!$C$159&gt;=0,GH27-InputData!$C$158-InputData!$C$159,0)</f>
        <v>146773.79222401595</v>
      </c>
      <c r="GK27" s="32">
        <f>IF(GH27-IF(GH27&lt;=InputData!$C$146,InputData!$C$145,0)-MAX(InputData!$C$144,GQ27)&gt;=0,GH27-IF(GH27&lt;=InputData!$C$146,InputData!$C$145,0)-MAX(InputData!$C$144,GQ27),0)</f>
        <v>136773.79222401595</v>
      </c>
      <c r="GL27" s="32">
        <f>IF(GK27&lt;0,"Error",IF(GK27&lt;=InputData!$B$170,InputData!$C$170*GK27,IF(GK27&lt;=InputData!$B$171,InputData!$D$170+InputData!$C$171*(GK27-InputData!$B$170),IF(GK27&lt;=InputData!$B$172,InputData!$D$171+InputData!$C$172*(GK27-InputData!$B$171),IF(GK27&lt;=InputData!$B$173,InputData!$D$172+InputData!$C$173*(GK27-InputData!$B$172),IF(GK27&lt;=InputData!$B$174,InputData!$D$173+InputData!$C$174*(GK27-InputData!$B$173),IF(GK27&lt;=InputData!$B$175,InputData!$D$174+InputData!$C$175*(GK27-InputData!$B$174),InputData!$D$175+InputData!$C$176*(GK27-InputData!$B$175))))))))</f>
        <v>31589.911822724469</v>
      </c>
      <c r="GM27" s="32">
        <f>IF(GH27&lt;=InputData!$C$150,InputData!$C$152,IF(GH27&lt;InputData!$C$151,IF(InputData!$C$152-0.25*IF(GH27-InputData!$C$150&lt;=0,0,GH27-InputData!$C$150)&lt;=0,0,InputData!$C$152-0.25*IF(GH27-InputData!$C$150&lt;=0,0,GH27-InputData!$C$150)),0))</f>
        <v>44056.551943996012</v>
      </c>
      <c r="GN27" s="32">
        <f>IF(GH27-GM27&lt;=0,0,IF(GH27-GM27&lt;=InputData!$C$153,InputData!$C$154*(GH27-GM27),InputData!$C$155*(GH27-GM27)-InputData!$D$154))</f>
        <v>26706.482472805183</v>
      </c>
      <c r="GO27" s="32">
        <f t="shared" si="89"/>
        <v>31589.911822724469</v>
      </c>
      <c r="GP27" s="32">
        <f>IF(GH27&gt;=0,IF(GH27&lt;=InputData!$C$148,InputData!$C$147*GH27,InputData!$C$147*InputData!$C$148)+InputData!$C$149*GH27,0)</f>
        <v>9177.6199872482321</v>
      </c>
      <c r="GQ27" s="32">
        <f>IF(GJ27&lt;0,0,IF(GJ27&lt;=InputData!$B$163,InputData!$C$163*GJ27,IF(GJ27&lt;=InputData!$B$164,InputData!$D$163+InputData!$C$164*(GJ27-InputData!$B$163),IF(GJ27&lt;=InputData!$B$165,InputData!$D$164+InputData!$C$165*(GJ27-InputData!$B$164),InputData!$D$165+InputData!$C$166*(GJ27-InputData!$B$165)))))</f>
        <v>0</v>
      </c>
      <c r="GR27" s="43">
        <f t="shared" si="90"/>
        <v>0.27775756960582293</v>
      </c>
      <c r="GS27" s="43">
        <f t="shared" si="91"/>
        <v>0.24853133535139885</v>
      </c>
      <c r="GT27" s="5">
        <f t="shared" si="9"/>
        <v>123266.23782447368</v>
      </c>
      <c r="GU27" s="32">
        <f>GT27/((1+InputData!$C$7)^(Ophtha!$B27-Ophtha!$B$7))</f>
        <v>68249.527193177593</v>
      </c>
      <c r="GV27" s="32">
        <f t="shared" si="92"/>
        <v>1270481.9780365375</v>
      </c>
      <c r="GX27" s="3">
        <f t="shared" si="10"/>
        <v>17</v>
      </c>
      <c r="GY27" s="122" t="str">
        <f t="shared" si="11"/>
        <v>Multi-Year (O5&gt;16 = (BP+BAH+BAS+VSP+BCPSP)*12+ASP+ISP+MSP)</v>
      </c>
      <c r="GZ27" s="5">
        <f t="shared" si="12"/>
        <v>178741.12</v>
      </c>
      <c r="HA27" s="5">
        <f t="shared" si="13"/>
        <v>21019.199999999997</v>
      </c>
      <c r="HB27" s="5">
        <f t="shared" si="14"/>
        <v>199760.32</v>
      </c>
      <c r="HC27" s="5">
        <f t="shared" si="15"/>
        <v>146773.79222401595</v>
      </c>
      <c r="HD27" s="5">
        <f t="shared" si="16"/>
        <v>17259.977410430438</v>
      </c>
      <c r="HE27" s="32">
        <f>IF(HC27-InputData!$C$158-InputData!$C$159&gt;=0,HC27-InputData!$C$158-InputData!$C$159,0)</f>
        <v>146773.79222401595</v>
      </c>
      <c r="HF27" s="32">
        <f>IF(HC27-IF(HC27&lt;=InputData!$C$146,InputData!$C$145,0)-MAX(InputData!$C$144,HL27)&gt;=0,HC27-IF(HC27&lt;=InputData!$C$146,InputData!$C$145,0)-MAX(InputData!$C$144,HL27),0)</f>
        <v>136773.79222401595</v>
      </c>
      <c r="HG27" s="32">
        <f>IF(HF27&lt;0,"Error",IF(HF27&lt;=InputData!$B$170,InputData!$C$170*HF27,IF(HF27&lt;=InputData!$B$171,InputData!$D$170+InputData!$C$171*(HF27-InputData!$B$170),IF(HF27&lt;=InputData!$B$172,InputData!$D$171+InputData!$C$172*(HF27-InputData!$B$171),IF(HF27&lt;=InputData!$B$173,InputData!$D$172+InputData!$C$173*(HF27-InputData!$B$172),IF(HF27&lt;=InputData!$B$174,InputData!$D$173+InputData!$C$174*(HF27-InputData!$B$173),IF(HF27&lt;=InputData!$B$175,InputData!$D$174+InputData!$C$175*(HF27-InputData!$B$174),InputData!$D$175+InputData!$C$176*(HF27-InputData!$B$175))))))))</f>
        <v>31589.911822724469</v>
      </c>
      <c r="HH27" s="32">
        <f>IF(HC27&lt;=InputData!$C$150,InputData!$C$152,IF(HC27&lt;InputData!$C$151,IF(InputData!$C$152-0.25*IF(HC27-InputData!$C$150&lt;=0,0,HC27-InputData!$C$150)&lt;=0,0,InputData!$C$152-0.25*IF(HC27-InputData!$C$150&lt;=0,0,HC27-InputData!$C$150)),0))</f>
        <v>44056.551943996012</v>
      </c>
      <c r="HI27" s="32">
        <f>IF(HC27-HH27&lt;=0,0,IF(HC27-HH27&lt;=InputData!$C$153,InputData!$C$154*(HC27-HH27),InputData!$C$155*(HC27-HH27)-InputData!$D$154))</f>
        <v>26706.482472805183</v>
      </c>
      <c r="HJ27" s="32">
        <f t="shared" si="93"/>
        <v>31589.911822724469</v>
      </c>
      <c r="HK27" s="32">
        <f>IF(HC27&gt;=0,IF(HC27&lt;=InputData!$C$148,InputData!$C$147*HC27,InputData!$C$147*InputData!$C$148)+InputData!$C$149*HC27,0)</f>
        <v>9177.6199872482321</v>
      </c>
      <c r="HL27" s="32">
        <f>IF(HE27&lt;0,0,IF(HE27&lt;=InputData!$B$163,InputData!$C$163*HE27,IF(HE27&lt;=InputData!$B$164,InputData!$D$163+InputData!$C$164*(HE27-InputData!$B$163),IF(HE27&lt;=InputData!$B$165,InputData!$D$164+InputData!$C$165*(HE27-InputData!$B$164),InputData!$D$165+InputData!$C$166*(HE27-InputData!$B$165)))))</f>
        <v>0</v>
      </c>
      <c r="HM27" s="43">
        <f t="shared" si="94"/>
        <v>0.27775756960582293</v>
      </c>
      <c r="HN27" s="43">
        <f t="shared" si="95"/>
        <v>0.24853133535139885</v>
      </c>
      <c r="HO27" s="5">
        <f t="shared" si="17"/>
        <v>123266.23782447368</v>
      </c>
      <c r="HP27" s="32">
        <f>HO27/((1+InputData!$C$7)^(Ophtha!$B27-Ophtha!$B$7))</f>
        <v>68249.527193177593</v>
      </c>
      <c r="HQ27" s="32">
        <f t="shared" si="96"/>
        <v>1245715.561920464</v>
      </c>
      <c r="HS27" s="94"/>
      <c r="HT27" s="53" t="s">
        <v>109</v>
      </c>
      <c r="HU27" s="32">
        <f>MIN(InputData!$C$13+InputData!$E$13*($B27-$B$22),1)*Ophtha!AW27</f>
        <v>304999.24033497245</v>
      </c>
      <c r="HV27" s="32">
        <f>MIN(InputData!$C$13+InputData!$E$13*($B27-$B$22),1)*Ophtha!AX27</f>
        <v>0</v>
      </c>
      <c r="HW27" s="32">
        <f>MIN(InputData!$C$13+InputData!$E$13*($B27-$B$22),1)*Ophtha!AY27</f>
        <v>304999.24033497245</v>
      </c>
      <c r="HX27" s="32">
        <f>MIN(InputData!$C$13+InputData!$E$13*($B27-$B$22),1)*Ophtha!BA27</f>
        <v>205255.74536517131</v>
      </c>
      <c r="HY27" s="32">
        <f>MIN(InputData!$C$13+InputData!$E$13*($B27-$B$22),1)*Ophtha!BB27</f>
        <v>0</v>
      </c>
      <c r="HZ27" s="32">
        <f>IF(HX27-InputData!$C$158-InputData!$C$159&gt;=0,HX27-InputData!$C$158-InputData!$C$159,0)</f>
        <v>205255.74536517131</v>
      </c>
      <c r="IA27" s="32">
        <f>IF(HX27-IF(HX27&lt;=InputData!$C$146,InputData!$C$145,0)-MAX(InputData!$C$144,IG27)&gt;=0,HX27-IF(HX27&lt;=InputData!$C$146,InputData!$C$145,0)-MAX(InputData!$C$144,IG27),0)</f>
        <v>199155.74536517131</v>
      </c>
      <c r="IB27" s="32">
        <f>IF(IA27&lt;0,"Error",IF(IA27&lt;=InputData!$B$170,InputData!$C$170*IA27,IF(IA27&lt;=InputData!$B$171,InputData!$D$170+InputData!$C$171*(IA27-InputData!$B$170),IF(IA27&lt;=InputData!$B$172,InputData!$D$171+InputData!$C$172*(IA27-InputData!$B$171),IF(IA27&lt;=InputData!$B$173,InputData!$D$172+InputData!$C$173*(IA27-InputData!$B$172),IF(IA27&lt;=InputData!$B$174,InputData!$D$173+InputData!$C$174*(IA27-InputData!$B$173),IF(IA27&lt;=InputData!$B$175,InputData!$D$174+InputData!$C$175*(IA27-InputData!$B$174),InputData!$D$175+InputData!$C$176*(IA27-InputData!$B$175))))))))</f>
        <v>49852.145970506535</v>
      </c>
      <c r="IC27" s="32">
        <f>IF(HX27&lt;=InputData!$C$150,InputData!$C$152,IF(HX27&lt;InputData!$C$151,IF(InputData!$C$152-0.25*IF(HX27-InputData!$C$150&lt;=0,0,HX27-InputData!$C$150)&lt;=0,0,InputData!$C$152-0.25*IF(HX27-InputData!$C$150&lt;=0,0,HX27-InputData!$C$150)),0))</f>
        <v>29436.063658707171</v>
      </c>
      <c r="ID27" s="32">
        <f>IF(HX27-IC27&lt;=0,0,IF(HX27-IC27&lt;=InputData!$C$153,InputData!$C$154*(HX27-IC27),InputData!$C$155*(HX27-IC27)-InputData!$D$154))</f>
        <v>45713.117243680681</v>
      </c>
      <c r="IE27" s="32">
        <f t="shared" si="97"/>
        <v>49852.145970506535</v>
      </c>
      <c r="IF27" s="32">
        <f>IF(HX27&gt;=0,IF(HX27&lt;=InputData!$C$148,InputData!$C$147*HX27,InputData!$C$147*InputData!$C$148)+InputData!$C$149*HX27,0)</f>
        <v>10025.608307794984</v>
      </c>
      <c r="IG27" s="32">
        <f>IF(HZ27&lt;0,0,IF(HZ27&lt;=InputData!$B$163,InputData!$C$163*HZ27,IF(HZ27&lt;=InputData!$B$164,InputData!$D$163+InputData!$C$164*(HZ27-InputData!$B$163),IF(HZ27&lt;=InputData!$B$165,InputData!$D$164+InputData!$C$165*(HZ27-InputData!$B$164),InputData!$D$165+InputData!$C$166*(HZ27-InputData!$B$165)))))</f>
        <v>0</v>
      </c>
      <c r="IH27" s="43">
        <f t="shared" si="98"/>
        <v>0.29172267101109772</v>
      </c>
      <c r="II27" s="43">
        <f t="shared" si="99"/>
        <v>0.29172267101109772</v>
      </c>
      <c r="IJ27" s="5">
        <f t="shared" si="100"/>
        <v>145377.99108686979</v>
      </c>
      <c r="IK27" s="32">
        <f>IJ27/((1+InputData!$C$7)^(Ophtha!$B27-Ophtha!$B$7))</f>
        <v>80492.268857116913</v>
      </c>
      <c r="IL27" s="5">
        <f t="shared" si="101"/>
        <v>1343620.0376560381</v>
      </c>
      <c r="IN27" s="94"/>
      <c r="IO27" s="53" t="s">
        <v>109</v>
      </c>
      <c r="IP27" s="32">
        <f>MIN(InputData!$C$13+InputData!$E$13*($B27-$B$19),1)*Ophtha!AW27</f>
        <v>304999.24033497245</v>
      </c>
      <c r="IQ27" s="32">
        <f>MIN(InputData!$C$13+InputData!$E$13*($B27-$B$19),1)*Ophtha!AX27</f>
        <v>0</v>
      </c>
      <c r="IR27" s="32">
        <f>MIN(InputData!$C$13+InputData!$E$13*($B27-$B$19),1)*Ophtha!AY27</f>
        <v>304999.24033497245</v>
      </c>
      <c r="IS27" s="32">
        <f>MIN(InputData!$C$13+InputData!$E$13*($B27-$B$19),1)*Ophtha!BA27</f>
        <v>205255.74536517131</v>
      </c>
      <c r="IT27" s="32">
        <f>MIN(InputData!$C$13+InputData!$E$13*($B27-$B$19),1)*Ophtha!BB27</f>
        <v>0</v>
      </c>
      <c r="IU27" s="32">
        <f>IF(IS27-InputData!$C$158-InputData!$C$159&gt;=0,IS27-InputData!$C$158-InputData!$C$159,0)</f>
        <v>205255.74536517131</v>
      </c>
      <c r="IV27" s="32">
        <f>IF(IS27-IF(IS27&lt;=InputData!$C$146,InputData!$C$145,0)-MAX(InputData!$C$144,JB27)&gt;=0,IS27-IF(IS27&lt;=InputData!$C$146,InputData!$C$145,0)-MAX(InputData!$C$144,JB27),0)</f>
        <v>199155.74536517131</v>
      </c>
      <c r="IW27" s="32">
        <f>IF(IV27&lt;0,"Error",IF(IV27&lt;=InputData!$B$170,InputData!$C$170*IV27,IF(IV27&lt;=InputData!$B$171,InputData!$D$170+InputData!$C$171*(IV27-InputData!$B$170),IF(IV27&lt;=InputData!$B$172,InputData!$D$171+InputData!$C$172*(IV27-InputData!$B$171),IF(IV27&lt;=InputData!$B$173,InputData!$D$172+InputData!$C$173*(IV27-InputData!$B$172),IF(IV27&lt;=InputData!$B$174,InputData!$D$173+InputData!$C$174*(IV27-InputData!$B$173),IF(IV27&lt;=InputData!$B$175,InputData!$D$174+InputData!$C$175*(IV27-InputData!$B$174),InputData!$D$175+InputData!$C$176*(IV27-InputData!$B$175))))))))</f>
        <v>49852.145970506535</v>
      </c>
      <c r="IX27" s="32">
        <f>IF(IS27&lt;=InputData!$C$150,InputData!$C$152,IF(IS27&lt;InputData!$C$151,IF(InputData!$C$152-0.25*IF(IS27-InputData!$C$150&lt;=0,0,IS27-InputData!$C$150)&lt;=0,0,InputData!$C$152-0.25*IF(IS27-InputData!$C$150&lt;=0,0,IS27-InputData!$C$150)),0))</f>
        <v>29436.063658707171</v>
      </c>
      <c r="IY27" s="32">
        <f>IF(IS27-IX27&lt;=0,0,IF(IS27-IX27&lt;=InputData!$C$153,InputData!$C$154*(IS27-IX27),InputData!$C$155*(IS27-IX27)-InputData!$D$154))</f>
        <v>45713.117243680681</v>
      </c>
      <c r="IZ27" s="32">
        <f t="shared" si="102"/>
        <v>49852.145970506535</v>
      </c>
      <c r="JA27" s="32">
        <f>IF(IS27&gt;=0,IF(IS27&lt;=InputData!$C$148,InputData!$C$147*IS27,InputData!$C$147*InputData!$C$148)+InputData!$C$149*IS27,0)</f>
        <v>10025.608307794984</v>
      </c>
      <c r="JB27" s="32">
        <f>IF(IU27&lt;0,0,IF(IU27&lt;=InputData!$B$163,InputData!$C$163*IU27,IF(IU27&lt;=InputData!$B$164,InputData!$D$163+InputData!$C$164*(IU27-InputData!$B$163),IF(IU27&lt;=InputData!$B$165,InputData!$D$164+InputData!$C$165*(IU27-InputData!$B$164),InputData!$D$165+InputData!$C$166*(IU27-InputData!$B$165)))))</f>
        <v>0</v>
      </c>
      <c r="JC27" s="43">
        <f t="shared" si="103"/>
        <v>0.29172267101109772</v>
      </c>
      <c r="JD27" s="43">
        <f t="shared" si="104"/>
        <v>0.29172267101109772</v>
      </c>
      <c r="JE27" s="5">
        <f t="shared" si="105"/>
        <v>145377.99108686979</v>
      </c>
      <c r="JF27" s="32">
        <f>JE27/((1+InputData!$C$7)^(Ophtha!$B27-Ophtha!$B$7))</f>
        <v>80492.268857116913</v>
      </c>
      <c r="JG27" s="5">
        <f t="shared" si="106"/>
        <v>1353746.2093558831</v>
      </c>
      <c r="JI27" s="41" t="str">
        <f t="shared" si="32"/>
        <v>Private Practice</v>
      </c>
      <c r="JJ27" s="5">
        <f t="shared" si="33"/>
        <v>338888.04481663607</v>
      </c>
      <c r="JK27" s="32">
        <v>0</v>
      </c>
      <c r="JL27" s="32">
        <f t="shared" si="108"/>
        <v>338888.04481663607</v>
      </c>
      <c r="JM27" s="32">
        <f>JM26*(1+InputData!$C$8)</f>
        <v>17073.535579791296</v>
      </c>
      <c r="JN27" s="32">
        <f>JJ27/((1+InputData!$C$3)^(Ophtha!$B27-Ophtha!$B$7))</f>
        <v>228061.93929463479</v>
      </c>
      <c r="JO27" s="32">
        <f>JK27/((1+InputData!$C$3)^(Ophtha!$B27-Ophtha!$B$7))</f>
        <v>0</v>
      </c>
      <c r="JP27" s="32" t="s">
        <v>141</v>
      </c>
      <c r="JQ27" s="32">
        <v>0</v>
      </c>
      <c r="JR27" s="32">
        <f t="shared" si="172"/>
        <v>0</v>
      </c>
      <c r="JS27" s="32">
        <f>(JR27)*InputData!$C$6</f>
        <v>0</v>
      </c>
      <c r="JT27" s="32">
        <f>MIN($BE$15*InputData!$C$6/(1-(1+InputData!$C$6)^(-10)), JR27+JS27)</f>
        <v>0</v>
      </c>
      <c r="JU27" s="32">
        <f t="shared" si="148"/>
        <v>0</v>
      </c>
      <c r="JV27" s="32">
        <f>JT27/((1+InputData!$C$3)^(Ophtha!$B27-Ophtha!$B$7))</f>
        <v>0</v>
      </c>
      <c r="JW27" s="32">
        <f>IF(JN27-InputData!$C$158-InputData!$C$159&gt;=0,JN27-InputData!$C$158-InputData!$C$159,0)</f>
        <v>228061.93929463479</v>
      </c>
      <c r="JX27" s="32">
        <f>IF(JN27-IF(JN27&lt;=InputData!$C$146,InputData!$C$145,0)-MAX(InputData!$C$144,KD27)&gt;=0,JN27-IF(JN27&lt;=InputData!$C$146,InputData!$C$145,0)-MAX(InputData!$C$144,KD27),0)</f>
        <v>221961.93929463479</v>
      </c>
      <c r="JY27" s="32">
        <f>IF(JX27&lt;0,"Error",IF(JX27&lt;=InputData!$B$170,InputData!$C$170*JX27,IF(JX27&lt;=InputData!$B$171,InputData!$D$170+InputData!$C$171*(JX27-InputData!$B$170),IF(JX27&lt;=InputData!$B$172,InputData!$D$171+InputData!$C$172*(JX27-InputData!$B$171),IF(JX27&lt;=InputData!$B$173,InputData!$D$172+InputData!$C$173*(JX27-InputData!$B$172),IF(JX27&lt;=InputData!$B$174,InputData!$D$173+InputData!$C$174*(JX27-InputData!$B$173),IF(JX27&lt;=InputData!$B$175,InputData!$D$174+InputData!$C$175*(JX27-InputData!$B$174),InputData!$D$175+InputData!$C$176*(JX27-InputData!$B$175))))))))</f>
        <v>57378.189967229482</v>
      </c>
      <c r="JZ27" s="32">
        <f>IF(JN27&lt;=InputData!$C$150,InputData!$C$152,IF(JN27&lt;InputData!$C$151,IF(InputData!$C$152-0.25*IF(JN27-InputData!$C$150&lt;=0,0,JN27-InputData!$C$150)&lt;=0,0,InputData!$C$152-0.25*IF(JN27-InputData!$C$150&lt;=0,0,JN27-InputData!$C$150)),0))</f>
        <v>23734.515176341301</v>
      </c>
      <c r="KA27" s="32">
        <f>IF(JN27-JZ27&lt;=0,0,IF(JN27-JZ27&lt;=InputData!$C$153,InputData!$C$154*(JN27-JZ27),InputData!$C$155*(JN27-JZ27)-InputData!$D$154))</f>
        <v>53621.678753122185</v>
      </c>
      <c r="KB27" s="32">
        <f t="shared" si="109"/>
        <v>57378.189967229482</v>
      </c>
      <c r="KC27" s="32">
        <f>IF(JN27&gt;=0,IF(JN27&lt;=InputData!$C$148,InputData!$C$147*JN27,InputData!$C$147*InputData!$C$148)+InputData!$C$149*JN27,0)</f>
        <v>10356.298119772204</v>
      </c>
      <c r="KD27" s="32">
        <f>IF(JW27&lt;0,0,IF(JW27&lt;=InputData!$B$163,InputData!$C$163*JW27,IF(JW27&lt;=InputData!$B$164,InputData!$D$163+InputData!$C$164*(JW27-InputData!$B$163),IF(JW27&lt;=InputData!$B$165,InputData!$D$164+InputData!$C$165*(JW27-InputData!$B$164),InputData!$D$165+InputData!$C$166*(JW27-InputData!$B$165)))))</f>
        <v>0</v>
      </c>
      <c r="KE27" s="43">
        <f t="shared" si="34"/>
        <v>0.297000403909988</v>
      </c>
      <c r="KF27" s="32">
        <f t="shared" si="35"/>
        <v>160327.4512076331</v>
      </c>
      <c r="KG27" s="32">
        <f t="shared" si="110"/>
        <v>160327.4512076331</v>
      </c>
      <c r="KH27" s="32">
        <f>KG27/((1+InputData!$C$7)^(Ophtha!$B27-Ophtha!$B$7))</f>
        <v>88769.422464159084</v>
      </c>
      <c r="KI27" s="5">
        <f t="shared" si="129"/>
        <v>1459347.6467753786</v>
      </c>
    </row>
    <row r="28" spans="1:295" x14ac:dyDescent="0.25">
      <c r="A28" s="4">
        <v>2034</v>
      </c>
      <c r="B28" s="51">
        <v>22</v>
      </c>
      <c r="C28" s="4"/>
      <c r="D28" s="3">
        <v>18</v>
      </c>
      <c r="E28" s="97" t="s">
        <v>265</v>
      </c>
      <c r="F28" s="5">
        <f>InputData!$L$22*12</f>
        <v>94741.200000000012</v>
      </c>
      <c r="G28" s="32">
        <f>(InputData!$L$22+InputData!$I$45+InputData!$F$50)*12+InputData!$J$50+InputData!$D$60+InputData!$J$60</f>
        <v>178741.12</v>
      </c>
      <c r="H28" s="32">
        <f>(InputData!$C$33+InputData!$C$40)*12</f>
        <v>21019.199999999997</v>
      </c>
      <c r="I28" s="32">
        <f t="shared" si="36"/>
        <v>199760.32</v>
      </c>
      <c r="J28" s="5">
        <f>G28*((1+InputData!$C$5)/(1+InputData!$C$3))^(Ophtha!$B28-Ophtha!$B$7)</f>
        <v>145334.83347672169</v>
      </c>
      <c r="K28" s="5">
        <f>H28*((1+InputData!$C$5)/(1+InputData!$C$3))^(Ophtha!$B28-Ophtha!$B$7)</f>
        <v>17090.761945622296</v>
      </c>
      <c r="L28" s="32">
        <f>IF(J28-InputData!$C$158-InputData!$C$159&gt;=0,J28-InputData!$C$158-InputData!$C$159,0)</f>
        <v>145334.83347672169</v>
      </c>
      <c r="M28" s="32">
        <f>IF(J28-IF(J28&lt;=InputData!$C$146,InputData!$C$145,0)-MAX(InputData!$C$144,S28)&gt;=0,J28-IF(J28&lt;=InputData!$C$146,InputData!$C$145,0)-MAX(InputData!$C$144,S28),0)</f>
        <v>135334.83347672169</v>
      </c>
      <c r="N28" s="32">
        <f>IF(M28&lt;0,"Error",IF(M28&lt;=InputData!$B$170,InputData!$C$170*M28,IF(M28&lt;=InputData!$B$171,InputData!$D$170+InputData!$C$171*(M28-InputData!$B$170),IF(M28&lt;=InputData!$B$172,InputData!$D$171+InputData!$C$172*(M28-InputData!$B$171),IF(M28&lt;=InputData!$B$173,InputData!$D$172+InputData!$C$173*(M28-InputData!$B$172),IF(M28&lt;=InputData!$B$174,InputData!$D$173+InputData!$C$174*(M28-InputData!$B$173),IF(M28&lt;=InputData!$B$175,InputData!$D$174+InputData!$C$175*(M28-InputData!$B$174),InputData!$D$175+InputData!$C$176*(M28-InputData!$B$175))))))))</f>
        <v>31187.003373482075</v>
      </c>
      <c r="O28" s="32">
        <f>IF(J28&lt;=InputData!$C$150,InputData!$C$152,IF(J28&lt;InputData!$C$151,IF(InputData!$C$152-0.25*IF(J28-InputData!$C$150&lt;=0,0,J28-InputData!$C$150)&lt;=0,0,InputData!$C$152-0.25*IF(J28-InputData!$C$150&lt;=0,0,J28-InputData!$C$150)),0))</f>
        <v>44416.291630819578</v>
      </c>
      <c r="P28" s="32">
        <f>IF(J28-O28&lt;=0,0,IF(J28-O28&lt;=InputData!$C$153,InputData!$C$154*(J28-O28),InputData!$C$155*(J28-O28)-InputData!$D$154))</f>
        <v>26238.820879934548</v>
      </c>
      <c r="Q28" s="32">
        <f t="shared" si="37"/>
        <v>31187.003373482075</v>
      </c>
      <c r="R28" s="32">
        <f>IF(J28&gt;=0,IF(J28&lt;=InputData!$C$148,InputData!$C$147*J28,InputData!$C$147*InputData!$C$148)+InputData!$C$149*J28,0)</f>
        <v>9156.7550854124638</v>
      </c>
      <c r="S28" s="32">
        <f>IF(L28&lt;0,0,IF(L28&lt;=InputData!$B$163,InputData!$C$163*L28,IF(L28&lt;=InputData!$B$164,InputData!$D$163+InputData!$C$164*(L28-InputData!$B$163),IF(L28&lt;=InputData!$B$165,InputData!$D$164+InputData!$C$165*(L28-InputData!$B$164),InputData!$D$165+InputData!$C$166*(L28-InputData!$B$165)))))</f>
        <v>0</v>
      </c>
      <c r="T28" s="43">
        <f t="shared" si="38"/>
        <v>0.27759180296825681</v>
      </c>
      <c r="U28" s="43">
        <f t="shared" si="39"/>
        <v>0.24838301102724275</v>
      </c>
      <c r="V28" s="5">
        <f t="shared" si="40"/>
        <v>122081.83696344943</v>
      </c>
      <c r="W28" s="32">
        <f>V28/((1+InputData!$C$7)^(Ophtha!$B28-Ophtha!$B$7))</f>
        <v>65625.003061350537</v>
      </c>
      <c r="X28" s="5">
        <f t="shared" si="111"/>
        <v>1336106.981097888</v>
      </c>
      <c r="Y28" s="53"/>
      <c r="Z28" s="3">
        <v>18</v>
      </c>
      <c r="AA28" s="97" t="s">
        <v>265</v>
      </c>
      <c r="AB28" s="5">
        <f t="shared" si="136"/>
        <v>94741.200000000012</v>
      </c>
      <c r="AC28" s="32">
        <f t="shared" si="176"/>
        <v>178741.12</v>
      </c>
      <c r="AD28" s="32">
        <f t="shared" si="174"/>
        <v>21019.199999999997</v>
      </c>
      <c r="AE28" s="32">
        <f t="shared" si="41"/>
        <v>199760.32</v>
      </c>
      <c r="AF28" s="5">
        <f>AC28*((1+InputData!$C$5)/(1+InputData!$C$3))^(Ophtha!$B28-Ophtha!$B$7)</f>
        <v>145334.83347672169</v>
      </c>
      <c r="AG28" s="5">
        <f>AD28*((1+InputData!$C$5)/(1+InputData!$C$3))^(Ophtha!$B28-Ophtha!$B$7)</f>
        <v>17090.761945622296</v>
      </c>
      <c r="AH28" s="32">
        <f>IF(AF28-InputData!$C$158-InputData!$C$159&gt;=0,AF28-InputData!$C$158-InputData!$C$159,0)</f>
        <v>145334.83347672169</v>
      </c>
      <c r="AI28" s="32">
        <f>IF(AF28-IF(AF28&lt;=InputData!$C$146,InputData!$C$145,0)-MAX(InputData!$C$144,AO28)&gt;=0,AF28-IF(AF28&lt;=InputData!$C$146,InputData!$C$145,0)-MAX(InputData!$C$144,AO28),0)</f>
        <v>135334.83347672169</v>
      </c>
      <c r="AJ28" s="32">
        <f>IF(AI28&lt;0,"Error",IF(AI28&lt;=InputData!$B$170,InputData!$C$170*AI28,IF(AI28&lt;=InputData!$B$171,InputData!$D$170+InputData!$C$171*(AI28-InputData!$B$170),IF(AI28&lt;=InputData!$B$172,InputData!$D$171+InputData!$C$172*(AI28-InputData!$B$171),IF(AI28&lt;=InputData!$B$173,InputData!$D$172+InputData!$C$173*(AI28-InputData!$B$172),IF(AI28&lt;=InputData!$B$174,InputData!$D$173+InputData!$C$174*(AI28-InputData!$B$173),IF(AI28&lt;=InputData!$B$175,InputData!$D$174+InputData!$C$175*(AI28-InputData!$B$174),InputData!$D$175+InputData!$C$176*(AI28-InputData!$B$175))))))))</f>
        <v>31187.003373482075</v>
      </c>
      <c r="AK28" s="32">
        <f>IF(AF28&lt;=InputData!$C$150,InputData!$C$152,IF(AF28&lt;InputData!$C$151,IF(InputData!$C$152-0.25*IF(AF28-InputData!$C$150&lt;=0,0,AF28-InputData!$C$150)&lt;=0,0,InputData!$C$152-0.25*IF(AF28-InputData!$C$150&lt;=0,0,AF28-InputData!$C$150)),0))</f>
        <v>44416.291630819578</v>
      </c>
      <c r="AL28" s="32">
        <f>IF(AF28-AK28&lt;=0,0,IF(AF28-AK28&lt;=InputData!$C$153,InputData!$C$154*(AF28-AK28),InputData!$C$155*(AF28-AK28)-InputData!$D$154))</f>
        <v>26238.820879934548</v>
      </c>
      <c r="AM28" s="32">
        <f t="shared" si="42"/>
        <v>31187.003373482075</v>
      </c>
      <c r="AN28" s="32">
        <f>IF(AF28&gt;=0,IF(AF28&lt;=InputData!$C$148,InputData!$C$147*AF28,InputData!$C$147*InputData!$C$148)+InputData!$C$149*AF28,0)</f>
        <v>9156.7550854124638</v>
      </c>
      <c r="AO28" s="32">
        <f>IF(AH28&lt;0,0,IF(AH28&lt;=InputData!$B$163,InputData!$C$163*AH28,IF(AH28&lt;=InputData!$B$164,InputData!$D$163+InputData!$C$164*(AH28-InputData!$B$163),IF(AH28&lt;=InputData!$B$165,InputData!$D$164+InputData!$C$165*(AH28-InputData!$B$164),InputData!$D$165+InputData!$C$166*(AH28-InputData!$B$165)))))</f>
        <v>0</v>
      </c>
      <c r="AP28" s="43">
        <f t="shared" si="43"/>
        <v>0.27759180296825681</v>
      </c>
      <c r="AQ28" s="43">
        <f t="shared" si="44"/>
        <v>0.24838301102724275</v>
      </c>
      <c r="AR28" s="5">
        <f t="shared" si="45"/>
        <v>122081.83696344943</v>
      </c>
      <c r="AS28" s="32">
        <f>AR28/((1+InputData!$C$7)^(Ophtha!$B28-Ophtha!$B$7))</f>
        <v>65625.003061350537</v>
      </c>
      <c r="AT28" s="5">
        <f t="shared" si="112"/>
        <v>1311340.5649818145</v>
      </c>
      <c r="AU28" s="53"/>
      <c r="AV28" s="41" t="s">
        <v>109</v>
      </c>
      <c r="AW28" s="32">
        <f>$AW$15*(1+InputData!$C$3+InputData!$C$4)^(Ophtha!$B28-Ophtha!$B$17)</f>
        <v>349054.68616113515</v>
      </c>
      <c r="AX28" s="32">
        <v>0</v>
      </c>
      <c r="AY28" s="32">
        <f t="shared" si="47"/>
        <v>349054.68616113515</v>
      </c>
      <c r="AZ28" s="32">
        <f>AZ27*(1+InputData!$C$8)</f>
        <v>17415.006291387122</v>
      </c>
      <c r="BA28" s="32">
        <f>AW28/((1+InputData!$C$3)^(Ophtha!$B28-Ophtha!$B$7))</f>
        <v>230297.84066026847</v>
      </c>
      <c r="BB28" s="32">
        <f>AX28/((1+InputData!$C$3)^(Ophtha!$B28-Ophtha!$B$7))</f>
        <v>0</v>
      </c>
      <c r="BC28" s="32" t="s">
        <v>141</v>
      </c>
      <c r="BD28" s="32">
        <v>0</v>
      </c>
      <c r="BE28" s="32">
        <f t="shared" si="158"/>
        <v>0</v>
      </c>
      <c r="BF28" s="32">
        <f>(BE28)*InputData!$C$6</f>
        <v>0</v>
      </c>
      <c r="BG28" s="32">
        <f>MIN($BE$15*InputData!$C$6/(1-(1+InputData!$C$6)^(-10)), BE28+BF28)</f>
        <v>0</v>
      </c>
      <c r="BH28" s="32">
        <f t="shared" si="140"/>
        <v>0</v>
      </c>
      <c r="BI28" s="32">
        <f>BG28/((1+InputData!$C$3)^(Ophtha!$B28-Ophtha!$B$7))</f>
        <v>0</v>
      </c>
      <c r="BJ28" s="32">
        <f>IF(BA28-InputData!$C$158-InputData!$C$159&gt;=0,BA28-InputData!$C$158-InputData!$C$159,0)</f>
        <v>230297.84066026847</v>
      </c>
      <c r="BK28" s="32">
        <f>IF(BA28-IF(BA28&lt;=InputData!$C$146,InputData!$C$145,0)-MAX(InputData!$C$144,BQ28)&gt;=0,BA28-IF(BA28&lt;=InputData!$C$146,InputData!$C$145,0)-MAX(InputData!$C$144,BQ28),0)</f>
        <v>224197.84066026847</v>
      </c>
      <c r="BL28" s="32">
        <f>IF(BK28&lt;0,"Error",IF(BK28&lt;=InputData!$B$170,InputData!$C$170*BK28,IF(BK28&lt;=InputData!$B$171,InputData!$D$170+InputData!$C$171*(BK28-InputData!$B$170),IF(BK28&lt;=InputData!$B$172,InputData!$D$171+InputData!$C$172*(BK28-InputData!$B$171),IF(BK28&lt;=InputData!$B$173,InputData!$D$172+InputData!$C$173*(BK28-InputData!$B$172),IF(BK28&lt;=InputData!$B$174,InputData!$D$173+InputData!$C$174*(BK28-InputData!$B$173),IF(BK28&lt;=InputData!$B$175,InputData!$D$174+InputData!$C$175*(BK28-InputData!$B$174),InputData!$D$175+InputData!$C$176*(BK28-InputData!$B$175))))))))</f>
        <v>58116.037417888598</v>
      </c>
      <c r="BM28" s="32">
        <f>IF(BA28&lt;=InputData!$C$150,InputData!$C$152,IF(BA28&lt;InputData!$C$151,IF(InputData!$C$152-0.25*IF(BA28-InputData!$C$150&lt;=0,0,BA28-InputData!$C$150)&lt;=0,0,InputData!$C$152-0.25*IF(BA28-InputData!$C$150&lt;=0,0,BA28-InputData!$C$150)),0))</f>
        <v>23175.539834932883</v>
      </c>
      <c r="BN28" s="32">
        <f>IF(BA28-BM28&lt;=0,0,IF(BA28-BM28&lt;=InputData!$C$153,InputData!$C$154*(BA28-BM28),InputData!$C$155*(BA28-BM28)-InputData!$D$154))</f>
        <v>54404.244231093966</v>
      </c>
      <c r="BO28" s="32">
        <f t="shared" si="48"/>
        <v>58116.037417888598</v>
      </c>
      <c r="BP28" s="32">
        <f>IF(BA28&gt;=0,IF(BA28&lt;=InputData!$C$148,InputData!$C$147*BA28,InputData!$C$147*InputData!$C$148)+InputData!$C$149*BA28,0)</f>
        <v>10388.718689573892</v>
      </c>
      <c r="BQ28" s="32">
        <f>IF(BJ28&lt;0,0,IF(BJ28&lt;=InputData!$B$163,InputData!$C$163*BJ28,IF(BJ28&lt;=InputData!$B$164,InputData!$D$163+InputData!$C$164*(BJ28-InputData!$B$163),IF(BJ28&lt;=InputData!$B$165,InputData!$D$164+InputData!$C$165*(BJ28-InputData!$B$164),InputData!$D$165+InputData!$C$166*(BJ28-InputData!$B$165)))))</f>
        <v>0</v>
      </c>
      <c r="BR28" s="43">
        <f t="shared" si="49"/>
        <v>0.29746156503707544</v>
      </c>
      <c r="BS28" s="32">
        <f t="shared" si="50"/>
        <v>161793.08455280599</v>
      </c>
      <c r="BT28" s="32">
        <f t="shared" si="51"/>
        <v>161793.08455280599</v>
      </c>
      <c r="BU28" s="32">
        <f>BT28/((1+InputData!$C$7)^(Ophtha!$B28-Ophtha!$B$7))</f>
        <v>86971.755448454685</v>
      </c>
      <c r="BV28" s="5">
        <f t="shared" si="114"/>
        <v>1162068.92810725</v>
      </c>
      <c r="BW28" s="5"/>
      <c r="BX28" s="32" t="s">
        <v>141</v>
      </c>
      <c r="BY28" s="5">
        <f t="shared" si="159"/>
        <v>171014.89330220642</v>
      </c>
      <c r="BZ28" s="32">
        <f>(BY28)*InputData!$C$6</f>
        <v>10620.024874067019</v>
      </c>
      <c r="CA28" s="32">
        <f>MIN($BY$15*InputData!$C$6/(1-(1+InputData!$C$6)^(-25)), BY28+BZ28)</f>
        <v>20633.642137763909</v>
      </c>
      <c r="CB28" s="32">
        <f t="shared" si="160"/>
        <v>161001.27603850953</v>
      </c>
      <c r="CC28" s="32">
        <f>CA28/((1+InputData!$C$3)^(Ophtha!$B28-Ophtha!$B$7))</f>
        <v>13613.578094436836</v>
      </c>
      <c r="CD28" s="5">
        <f t="shared" si="55"/>
        <v>148179.50645836914</v>
      </c>
      <c r="CE28" s="32">
        <f>CD28/((1+InputData!$C$7)^(Ophtha!$B28-Ophtha!$B$7))</f>
        <v>79653.78640125868</v>
      </c>
      <c r="CF28" s="5">
        <f t="shared" si="115"/>
        <v>1211431.2065873246</v>
      </c>
      <c r="CG28" s="5"/>
      <c r="CH28" s="32" t="s">
        <v>141</v>
      </c>
      <c r="CI28" s="5">
        <f t="shared" si="161"/>
        <v>0</v>
      </c>
      <c r="CJ28" s="32">
        <f>(CI28)*InputData!$C$6</f>
        <v>0</v>
      </c>
      <c r="CK28" s="5">
        <f t="shared" si="162"/>
        <v>0</v>
      </c>
      <c r="CL28" s="32">
        <f t="shared" si="163"/>
        <v>0</v>
      </c>
      <c r="CM28" s="32">
        <f>CK28/((1+InputData!$C$3)^(Ophtha!$B28-Ophtha!$B$7))</f>
        <v>0</v>
      </c>
      <c r="CN28" s="5">
        <f t="shared" si="59"/>
        <v>161793.08455280599</v>
      </c>
      <c r="CO28" s="32">
        <f>CN28/((1+InputData!$C$7)^(Ophtha!$B28-Ophtha!$B$7))</f>
        <v>86971.755448454685</v>
      </c>
      <c r="CP28" s="5">
        <f t="shared" si="149"/>
        <v>1161848.4266821602</v>
      </c>
      <c r="CQ28" s="5"/>
      <c r="CR28" s="32" t="s">
        <v>141</v>
      </c>
      <c r="CS28" s="5">
        <f t="shared" si="164"/>
        <v>72736.37152408078</v>
      </c>
      <c r="CT28" s="32">
        <f>(CS28)*InputData!$C$6</f>
        <v>4516.9286716454162</v>
      </c>
      <c r="CU28" s="32">
        <f t="shared" si="165"/>
        <v>32293.217672405444</v>
      </c>
      <c r="CV28" s="32">
        <f t="shared" si="166"/>
        <v>44960.082523320758</v>
      </c>
      <c r="CW28" s="32">
        <f>CU28/((1+InputData!$C$3)^(Ophtha!$B28-Ophtha!$B$7))</f>
        <v>21306.284066026845</v>
      </c>
      <c r="CX28" s="5">
        <f t="shared" si="63"/>
        <v>140486.80048677913</v>
      </c>
      <c r="CY28" s="32">
        <f>CX28/((1+InputData!$C$7)^(Ophtha!$B28-Ophtha!$B$7))</f>
        <v>75518.577876449141</v>
      </c>
      <c r="CZ28" s="5">
        <f t="shared" si="150"/>
        <v>1172554.9834509208</v>
      </c>
      <c r="DA28" s="5"/>
      <c r="DB28" s="32" t="s">
        <v>141</v>
      </c>
      <c r="DC28" s="5">
        <f t="shared" si="141"/>
        <v>0</v>
      </c>
      <c r="DD28" s="5">
        <f>DC28*InputData!$C$6</f>
        <v>0</v>
      </c>
      <c r="DE28" s="32">
        <f t="shared" si="142"/>
        <v>0</v>
      </c>
      <c r="DF28" s="32">
        <f t="shared" si="143"/>
        <v>0</v>
      </c>
      <c r="DG28" s="32">
        <f>DE28/((1+InputData!$C$3)^(Ophtha!$B28-Ophtha!$B$7))</f>
        <v>0</v>
      </c>
      <c r="DH28" s="5">
        <f t="shared" si="67"/>
        <v>161793.08455280599</v>
      </c>
      <c r="DI28" s="32">
        <f>DH28/((1+InputData!$C$7)^(Ophtha!$B28-Ophtha!$B$7))</f>
        <v>86971.755448454685</v>
      </c>
      <c r="DJ28" s="5">
        <f t="shared" si="130"/>
        <v>1166580.6257795091</v>
      </c>
      <c r="DK28" s="5"/>
      <c r="DL28" s="32" t="s">
        <v>141</v>
      </c>
      <c r="DM28" s="32">
        <f t="shared" si="167"/>
        <v>0</v>
      </c>
      <c r="DN28" s="5">
        <f>DM28*InputData!$C$6</f>
        <v>0</v>
      </c>
      <c r="DO28" s="32">
        <f t="shared" si="168"/>
        <v>0</v>
      </c>
      <c r="DP28" s="32">
        <f t="shared" si="131"/>
        <v>0</v>
      </c>
      <c r="DQ28" s="32">
        <f t="shared" si="132"/>
        <v>0</v>
      </c>
      <c r="DR28" s="32">
        <f>DP28/((1+InputData!$C$3)^(Ophtha!$B28-Ophtha!$B$7))</f>
        <v>0</v>
      </c>
      <c r="DS28" s="5">
        <f t="shared" si="71"/>
        <v>161793.08455280599</v>
      </c>
      <c r="DT28" s="32">
        <f>DS28/((1+InputData!$C$7)^(Ophtha!$B28-Ophtha!$B$7))</f>
        <v>86971.755448454685</v>
      </c>
      <c r="DU28" s="5">
        <f t="shared" si="133"/>
        <v>1160616.4596900202</v>
      </c>
      <c r="DV28" s="5"/>
      <c r="DW28" s="32" t="s">
        <v>141</v>
      </c>
      <c r="DX28" s="133">
        <f t="shared" si="144"/>
        <v>33806.392274421538</v>
      </c>
      <c r="DY28" s="5">
        <f>DX28*InputData!$C$6</f>
        <v>2099.3769602415778</v>
      </c>
      <c r="DZ28" s="133">
        <f t="shared" si="145"/>
        <v>0</v>
      </c>
      <c r="EA28" s="32">
        <f t="shared" si="146"/>
        <v>29148.379963889372</v>
      </c>
      <c r="EB28" s="32">
        <f t="shared" si="147"/>
        <v>6757.3892707737432</v>
      </c>
      <c r="EC28" s="32">
        <f>EA28/((1+InputData!$C$3)^(Ophtha!$B28-Ophtha!$B$7))</f>
        <v>19231.396198273364</v>
      </c>
      <c r="ED28" s="5">
        <f t="shared" si="75"/>
        <v>142561.68835453261</v>
      </c>
      <c r="EE28" s="32">
        <f>ED28/((1+InputData!$C$7)^(Ophtha!$B28-Ophtha!$B$7))</f>
        <v>76633.932347352529</v>
      </c>
      <c r="EF28" s="5">
        <f t="shared" si="134"/>
        <v>1162882.0113095187</v>
      </c>
      <c r="EG28" s="32"/>
      <c r="EH28" s="133" t="s">
        <v>141</v>
      </c>
      <c r="EI28" s="32">
        <v>0</v>
      </c>
      <c r="EJ28" s="32">
        <f t="shared" si="175"/>
        <v>75949.871334986325</v>
      </c>
      <c r="EK28" s="32">
        <f>(EJ28)*InputData!$C$6</f>
        <v>4716.4870099026512</v>
      </c>
      <c r="EL28" s="32">
        <f t="shared" si="173"/>
        <v>48373.140672483525</v>
      </c>
      <c r="EM28" s="32">
        <f>EM27*(1+InputData!$C$8)</f>
        <v>17415.006291387122</v>
      </c>
      <c r="EN28" s="32">
        <f t="shared" si="152"/>
        <v>32293.217672405444</v>
      </c>
      <c r="EO28" s="32">
        <f>AW28/((1+InputData!$C$3)^(Ophtha!$B28-Ophtha!$B$7))</f>
        <v>230297.84066026847</v>
      </c>
      <c r="EP28" s="32">
        <f>AX28/((1+InputData!$C$3)^(Ophtha!$B28-Ophtha!$B$7))</f>
        <v>0</v>
      </c>
      <c r="EQ28" s="32">
        <v>58093.98</v>
      </c>
      <c r="ER28" s="32">
        <v>9099.02</v>
      </c>
      <c r="ES28" s="32">
        <v>0</v>
      </c>
      <c r="ET28" s="43">
        <f t="shared" si="139"/>
        <v>0.29176565358735601</v>
      </c>
      <c r="EU28" s="32">
        <f t="shared" si="76"/>
        <v>163104.84066026847</v>
      </c>
      <c r="EV28" s="32">
        <f>EN28/((1+InputData!$C$3)^(Ophtha!$B28-Ophtha!$B$7))</f>
        <v>21306.284066026845</v>
      </c>
      <c r="EW28" s="32">
        <f t="shared" si="77"/>
        <v>141798.55659424161</v>
      </c>
      <c r="EX28" s="32">
        <f>EW28/((1+InputData!$C$7)^(Ophtha!$B28-Ophtha!$B$7))</f>
        <v>76223.71142218489</v>
      </c>
      <c r="EY28" s="5">
        <f t="shared" si="124"/>
        <v>1260493.4173497702</v>
      </c>
      <c r="EZ28" s="79"/>
      <c r="FA28" s="32">
        <f t="shared" si="153"/>
        <v>0</v>
      </c>
      <c r="FB28" s="32">
        <f>FA28*InputData!$C$6</f>
        <v>0</v>
      </c>
      <c r="FC28" s="32">
        <f t="shared" si="154"/>
        <v>0</v>
      </c>
      <c r="FD28" s="32">
        <f>MIN($EJ$15*InputData!$C$6/(1-(1+InputData!$C$6)^(-10)), FA28+FB28)</f>
        <v>0</v>
      </c>
      <c r="FE28" s="32">
        <f>FD28/((1+InputData!$C$3)^(Ophtha!$B28-Ophtha!$B$7))</f>
        <v>0</v>
      </c>
      <c r="FF28" s="5">
        <f t="shared" si="81"/>
        <v>163104.84066026847</v>
      </c>
      <c r="FG28" s="32">
        <f>FF28/((1+InputData!$C$7)^(Ophtha!$B28-Ophtha!$B$7))</f>
        <v>87676.888994190434</v>
      </c>
      <c r="FH28" s="5">
        <f t="shared" si="125"/>
        <v>1248909.2582618445</v>
      </c>
      <c r="FI28" s="79"/>
      <c r="FJ28" s="32">
        <f t="shared" si="155"/>
        <v>171985.98178228791</v>
      </c>
      <c r="FK28" s="32">
        <f>FJ28*InputData!$C$6</f>
        <v>10680.32946868008</v>
      </c>
      <c r="FL28" s="32">
        <f t="shared" si="170"/>
        <v>161915.50334012316</v>
      </c>
      <c r="FM28" s="32">
        <f>MIN($EJ$15*InputData!$C$6/(1-(1+InputData!$C$6)^(-25)), FJ28+FK28)</f>
        <v>20750.807910844829</v>
      </c>
      <c r="FN28" s="32">
        <f>FM28/((1+InputData!$C$3)^(Ophtha!$B28-Ophtha!$B$7))</f>
        <v>13690.881238069094</v>
      </c>
      <c r="FO28" s="5">
        <f t="shared" si="85"/>
        <v>149413.95942219938</v>
      </c>
      <c r="FP28" s="32">
        <f>FO28/((1+InputData!$C$7)^(Ophtha!$B28-Ophtha!$B$7))</f>
        <v>80317.36569810941</v>
      </c>
      <c r="FQ28" s="5">
        <f t="shared" si="126"/>
        <v>1298551.8347853061</v>
      </c>
      <c r="FR28" s="79"/>
      <c r="FS28" s="32">
        <f t="shared" si="156"/>
        <v>0</v>
      </c>
      <c r="FT28" s="32">
        <f>FS28*InputData!$C$6</f>
        <v>0</v>
      </c>
      <c r="FU28" s="32">
        <f t="shared" si="171"/>
        <v>0</v>
      </c>
      <c r="FV28" s="5">
        <f t="shared" si="157"/>
        <v>0</v>
      </c>
      <c r="FW28" s="32">
        <f>FV28/((1+InputData!$C$3)^(Ophtha!$B28-Ophtha!$B$7))</f>
        <v>0</v>
      </c>
      <c r="FX28" s="5">
        <f t="shared" si="88"/>
        <v>163104.84066026847</v>
      </c>
      <c r="FY28" s="32">
        <f>FX28/((1+InputData!$C$7)^(Ophtha!$B28-Ophtha!$B$7))</f>
        <v>87676.888994190434</v>
      </c>
      <c r="FZ28" s="5">
        <f t="shared" si="127"/>
        <v>1248648.6493907613</v>
      </c>
      <c r="GC28" s="3">
        <f t="shared" si="2"/>
        <v>18</v>
      </c>
      <c r="GD28" s="4" t="str">
        <f t="shared" si="3"/>
        <v>Multi-Year (O5&gt;16 = (BP+BAH+BAS+VSP+BCPSP)*12+ASP+ISP+MSP)</v>
      </c>
      <c r="GE28" s="5">
        <f t="shared" si="4"/>
        <v>178741.12</v>
      </c>
      <c r="GF28" s="5">
        <f t="shared" si="5"/>
        <v>21019.199999999997</v>
      </c>
      <c r="GG28" s="5">
        <f t="shared" si="6"/>
        <v>199760.32</v>
      </c>
      <c r="GH28" s="5">
        <f t="shared" si="7"/>
        <v>145334.83347672169</v>
      </c>
      <c r="GI28" s="5">
        <f t="shared" si="8"/>
        <v>17090.761945622296</v>
      </c>
      <c r="GJ28" s="32">
        <f>IF(GH28-InputData!$C$158-InputData!$C$159&gt;=0,GH28-InputData!$C$158-InputData!$C$159,0)</f>
        <v>145334.83347672169</v>
      </c>
      <c r="GK28" s="32">
        <f>IF(GH28-IF(GH28&lt;=InputData!$C$146,InputData!$C$145,0)-MAX(InputData!$C$144,GQ28)&gt;=0,GH28-IF(GH28&lt;=InputData!$C$146,InputData!$C$145,0)-MAX(InputData!$C$144,GQ28),0)</f>
        <v>135334.83347672169</v>
      </c>
      <c r="GL28" s="32">
        <f>IF(GK28&lt;0,"Error",IF(GK28&lt;=InputData!$B$170,InputData!$C$170*GK28,IF(GK28&lt;=InputData!$B$171,InputData!$D$170+InputData!$C$171*(GK28-InputData!$B$170),IF(GK28&lt;=InputData!$B$172,InputData!$D$171+InputData!$C$172*(GK28-InputData!$B$171),IF(GK28&lt;=InputData!$B$173,InputData!$D$172+InputData!$C$173*(GK28-InputData!$B$172),IF(GK28&lt;=InputData!$B$174,InputData!$D$173+InputData!$C$174*(GK28-InputData!$B$173),IF(GK28&lt;=InputData!$B$175,InputData!$D$174+InputData!$C$175*(GK28-InputData!$B$174),InputData!$D$175+InputData!$C$176*(GK28-InputData!$B$175))))))))</f>
        <v>31187.003373482075</v>
      </c>
      <c r="GM28" s="32">
        <f>IF(GH28&lt;=InputData!$C$150,InputData!$C$152,IF(GH28&lt;InputData!$C$151,IF(InputData!$C$152-0.25*IF(GH28-InputData!$C$150&lt;=0,0,GH28-InputData!$C$150)&lt;=0,0,InputData!$C$152-0.25*IF(GH28-InputData!$C$150&lt;=0,0,GH28-InputData!$C$150)),0))</f>
        <v>44416.291630819578</v>
      </c>
      <c r="GN28" s="32">
        <f>IF(GH28-GM28&lt;=0,0,IF(GH28-GM28&lt;=InputData!$C$153,InputData!$C$154*(GH28-GM28),InputData!$C$155*(GH28-GM28)-InputData!$D$154))</f>
        <v>26238.820879934548</v>
      </c>
      <c r="GO28" s="32">
        <f t="shared" si="89"/>
        <v>31187.003373482075</v>
      </c>
      <c r="GP28" s="32">
        <f>IF(GH28&gt;=0,IF(GH28&lt;=InputData!$C$148,InputData!$C$147*GH28,InputData!$C$147*InputData!$C$148)+InputData!$C$149*GH28,0)</f>
        <v>9156.7550854124638</v>
      </c>
      <c r="GQ28" s="32">
        <f>IF(GJ28&lt;0,0,IF(GJ28&lt;=InputData!$B$163,InputData!$C$163*GJ28,IF(GJ28&lt;=InputData!$B$164,InputData!$D$163+InputData!$C$164*(GJ28-InputData!$B$163),IF(GJ28&lt;=InputData!$B$165,InputData!$D$164+InputData!$C$165*(GJ28-InputData!$B$164),InputData!$D$165+InputData!$C$166*(GJ28-InputData!$B$165)))))</f>
        <v>0</v>
      </c>
      <c r="GR28" s="43">
        <f t="shared" si="90"/>
        <v>0.27759180296825681</v>
      </c>
      <c r="GS28" s="43">
        <f t="shared" si="91"/>
        <v>0.24838301102724275</v>
      </c>
      <c r="GT28" s="5">
        <f t="shared" si="9"/>
        <v>122081.83696344943</v>
      </c>
      <c r="GU28" s="32">
        <f>GT28/((1+InputData!$C$7)^(Ophtha!$B28-Ophtha!$B$7))</f>
        <v>65625.003061350537</v>
      </c>
      <c r="GV28" s="32">
        <f t="shared" si="92"/>
        <v>1336106.981097888</v>
      </c>
      <c r="GX28" s="3">
        <f t="shared" si="10"/>
        <v>18</v>
      </c>
      <c r="GY28" s="122" t="str">
        <f t="shared" si="11"/>
        <v>Multi-Year (O5&gt;16 = (BP+BAH+BAS+VSP+BCPSP)*12+ASP+ISP+MSP)</v>
      </c>
      <c r="GZ28" s="5">
        <f t="shared" si="12"/>
        <v>178741.12</v>
      </c>
      <c r="HA28" s="5">
        <f t="shared" si="13"/>
        <v>21019.199999999997</v>
      </c>
      <c r="HB28" s="5">
        <f t="shared" si="14"/>
        <v>199760.32</v>
      </c>
      <c r="HC28" s="5">
        <f t="shared" si="15"/>
        <v>145334.83347672169</v>
      </c>
      <c r="HD28" s="5">
        <f t="shared" si="16"/>
        <v>17090.761945622296</v>
      </c>
      <c r="HE28" s="32">
        <f>IF(HC28-InputData!$C$158-InputData!$C$159&gt;=0,HC28-InputData!$C$158-InputData!$C$159,0)</f>
        <v>145334.83347672169</v>
      </c>
      <c r="HF28" s="32">
        <f>IF(HC28-IF(HC28&lt;=InputData!$C$146,InputData!$C$145,0)-MAX(InputData!$C$144,HL28)&gt;=0,HC28-IF(HC28&lt;=InputData!$C$146,InputData!$C$145,0)-MAX(InputData!$C$144,HL28),0)</f>
        <v>135334.83347672169</v>
      </c>
      <c r="HG28" s="32">
        <f>IF(HF28&lt;0,"Error",IF(HF28&lt;=InputData!$B$170,InputData!$C$170*HF28,IF(HF28&lt;=InputData!$B$171,InputData!$D$170+InputData!$C$171*(HF28-InputData!$B$170),IF(HF28&lt;=InputData!$B$172,InputData!$D$171+InputData!$C$172*(HF28-InputData!$B$171),IF(HF28&lt;=InputData!$B$173,InputData!$D$172+InputData!$C$173*(HF28-InputData!$B$172),IF(HF28&lt;=InputData!$B$174,InputData!$D$173+InputData!$C$174*(HF28-InputData!$B$173),IF(HF28&lt;=InputData!$B$175,InputData!$D$174+InputData!$C$175*(HF28-InputData!$B$174),InputData!$D$175+InputData!$C$176*(HF28-InputData!$B$175))))))))</f>
        <v>31187.003373482075</v>
      </c>
      <c r="HH28" s="32">
        <f>IF(HC28&lt;=InputData!$C$150,InputData!$C$152,IF(HC28&lt;InputData!$C$151,IF(InputData!$C$152-0.25*IF(HC28-InputData!$C$150&lt;=0,0,HC28-InputData!$C$150)&lt;=0,0,InputData!$C$152-0.25*IF(HC28-InputData!$C$150&lt;=0,0,HC28-InputData!$C$150)),0))</f>
        <v>44416.291630819578</v>
      </c>
      <c r="HI28" s="32">
        <f>IF(HC28-HH28&lt;=0,0,IF(HC28-HH28&lt;=InputData!$C$153,InputData!$C$154*(HC28-HH28),InputData!$C$155*(HC28-HH28)-InputData!$D$154))</f>
        <v>26238.820879934548</v>
      </c>
      <c r="HJ28" s="32">
        <f t="shared" si="93"/>
        <v>31187.003373482075</v>
      </c>
      <c r="HK28" s="32">
        <f>IF(HC28&gt;=0,IF(HC28&lt;=InputData!$C$148,InputData!$C$147*HC28,InputData!$C$147*InputData!$C$148)+InputData!$C$149*HC28,0)</f>
        <v>9156.7550854124638</v>
      </c>
      <c r="HL28" s="32">
        <f>IF(HE28&lt;0,0,IF(HE28&lt;=InputData!$B$163,InputData!$C$163*HE28,IF(HE28&lt;=InputData!$B$164,InputData!$D$163+InputData!$C$164*(HE28-InputData!$B$163),IF(HE28&lt;=InputData!$B$165,InputData!$D$164+InputData!$C$165*(HE28-InputData!$B$164),InputData!$D$165+InputData!$C$166*(HE28-InputData!$B$165)))))</f>
        <v>0</v>
      </c>
      <c r="HM28" s="43">
        <f t="shared" si="94"/>
        <v>0.27759180296825681</v>
      </c>
      <c r="HN28" s="43">
        <f t="shared" si="95"/>
        <v>0.24838301102724275</v>
      </c>
      <c r="HO28" s="5">
        <f t="shared" si="17"/>
        <v>122081.83696344943</v>
      </c>
      <c r="HP28" s="32">
        <f>HO28/((1+InputData!$C$7)^(Ophtha!$B28-Ophtha!$B$7))</f>
        <v>65625.003061350537</v>
      </c>
      <c r="HQ28" s="32">
        <f t="shared" si="96"/>
        <v>1311340.5649818145</v>
      </c>
      <c r="HS28" s="94"/>
      <c r="HT28" s="53" t="s">
        <v>109</v>
      </c>
      <c r="HU28" s="32">
        <f>MIN(InputData!$C$13+InputData!$E$13*($B28-$B$22),1)*Ophtha!AW28</f>
        <v>314149.21754502162</v>
      </c>
      <c r="HV28" s="32">
        <f>MIN(InputData!$C$13+InputData!$E$13*($B28-$B$22),1)*Ophtha!AX28</f>
        <v>0</v>
      </c>
      <c r="HW28" s="32">
        <f>MIN(InputData!$C$13+InputData!$E$13*($B28-$B$22),1)*Ophtha!AY28</f>
        <v>314149.21754502162</v>
      </c>
      <c r="HX28" s="32">
        <f>MIN(InputData!$C$13+InputData!$E$13*($B28-$B$22),1)*Ophtha!BA28</f>
        <v>207268.05659424161</v>
      </c>
      <c r="HY28" s="32">
        <f>MIN(InputData!$C$13+InputData!$E$13*($B28-$B$22),1)*Ophtha!BB28</f>
        <v>0</v>
      </c>
      <c r="HZ28" s="32">
        <f>IF(HX28-InputData!$C$158-InputData!$C$159&gt;=0,HX28-InputData!$C$158-InputData!$C$159,0)</f>
        <v>207268.05659424161</v>
      </c>
      <c r="IA28" s="32">
        <f>IF(HX28-IF(HX28&lt;=InputData!$C$146,InputData!$C$145,0)-MAX(InputData!$C$144,IG28)&gt;=0,HX28-IF(HX28&lt;=InputData!$C$146,InputData!$C$145,0)-MAX(InputData!$C$144,IG28),0)</f>
        <v>201168.05659424161</v>
      </c>
      <c r="IB28" s="32">
        <f>IF(IA28&lt;0,"Error",IF(IA28&lt;=InputData!$B$170,InputData!$C$170*IA28,IF(IA28&lt;=InputData!$B$171,InputData!$D$170+InputData!$C$171*(IA28-InputData!$B$170),IF(IA28&lt;=InputData!$B$172,InputData!$D$171+InputData!$C$172*(IA28-InputData!$B$171),IF(IA28&lt;=InputData!$B$173,InputData!$D$172+InputData!$C$173*(IA28-InputData!$B$172),IF(IA28&lt;=InputData!$B$174,InputData!$D$173+InputData!$C$174*(IA28-InputData!$B$173),IF(IA28&lt;=InputData!$B$175,InputData!$D$174+InputData!$C$175*(IA28-InputData!$B$174),InputData!$D$175+InputData!$C$176*(IA28-InputData!$B$175))))))))</f>
        <v>50516.208676099734</v>
      </c>
      <c r="IC28" s="32">
        <f>IF(HX28&lt;=InputData!$C$150,InputData!$C$152,IF(HX28&lt;InputData!$C$151,IF(InputData!$C$152-0.25*IF(HX28-InputData!$C$150&lt;=0,0,HX28-InputData!$C$150)&lt;=0,0,InputData!$C$152-0.25*IF(HX28-InputData!$C$150&lt;=0,0,HX28-InputData!$C$150)),0))</f>
        <v>28932.985851439596</v>
      </c>
      <c r="ID28" s="32">
        <f>IF(HX28-IC28&lt;=0,0,IF(HX28-IC28&lt;=InputData!$C$153,InputData!$C$154*(HX28-IC28),InputData!$C$155*(HX28-IC28)-InputData!$D$154))</f>
        <v>46367.118393128527</v>
      </c>
      <c r="IE28" s="32">
        <f t="shared" si="97"/>
        <v>50516.208676099734</v>
      </c>
      <c r="IF28" s="32">
        <f>IF(HX28&gt;=0,IF(HX28&lt;=InputData!$C$148,InputData!$C$147*HX28,InputData!$C$147*InputData!$C$148)+InputData!$C$149*HX28,0)</f>
        <v>10054.786820616504</v>
      </c>
      <c r="IG28" s="32">
        <f>IF(HZ28&lt;0,0,IF(HZ28&lt;=InputData!$B$163,InputData!$C$163*HZ28,IF(HZ28&lt;=InputData!$B$164,InputData!$D$163+InputData!$C$164*(HZ28-InputData!$B$163),IF(HZ28&lt;=InputData!$B$165,InputData!$D$164+InputData!$C$165*(HZ28-InputData!$B$164),InputData!$D$165+InputData!$C$166*(HZ28-InputData!$B$165)))))</f>
        <v>0</v>
      </c>
      <c r="IH28" s="43">
        <f t="shared" si="98"/>
        <v>0.29223507226341716</v>
      </c>
      <c r="II28" s="43">
        <f t="shared" si="99"/>
        <v>0.29223507226341716</v>
      </c>
      <c r="IJ28" s="5">
        <f t="shared" si="100"/>
        <v>146697.06109752535</v>
      </c>
      <c r="IK28" s="32">
        <f>IJ28/((1+InputData!$C$7)^(Ophtha!$B28-Ophtha!$B$7))</f>
        <v>78856.898970962342</v>
      </c>
      <c r="IL28" s="5">
        <f t="shared" si="101"/>
        <v>1422476.9366270003</v>
      </c>
      <c r="IN28" s="94"/>
      <c r="IO28" s="53" t="s">
        <v>109</v>
      </c>
      <c r="IP28" s="32">
        <f>MIN(InputData!$C$13+InputData!$E$13*($B28-$B$19),1)*Ophtha!AW28</f>
        <v>314149.21754502162</v>
      </c>
      <c r="IQ28" s="32">
        <f>MIN(InputData!$C$13+InputData!$E$13*($B28-$B$19),1)*Ophtha!AX28</f>
        <v>0</v>
      </c>
      <c r="IR28" s="32">
        <f>MIN(InputData!$C$13+InputData!$E$13*($B28-$B$19),1)*Ophtha!AY28</f>
        <v>314149.21754502162</v>
      </c>
      <c r="IS28" s="32">
        <f>MIN(InputData!$C$13+InputData!$E$13*($B28-$B$19),1)*Ophtha!BA28</f>
        <v>207268.05659424161</v>
      </c>
      <c r="IT28" s="32">
        <f>MIN(InputData!$C$13+InputData!$E$13*($B28-$B$19),1)*Ophtha!BB28</f>
        <v>0</v>
      </c>
      <c r="IU28" s="32">
        <f>IF(IS28-InputData!$C$158-InputData!$C$159&gt;=0,IS28-InputData!$C$158-InputData!$C$159,0)</f>
        <v>207268.05659424161</v>
      </c>
      <c r="IV28" s="32">
        <f>IF(IS28-IF(IS28&lt;=InputData!$C$146,InputData!$C$145,0)-MAX(InputData!$C$144,JB28)&gt;=0,IS28-IF(IS28&lt;=InputData!$C$146,InputData!$C$145,0)-MAX(InputData!$C$144,JB28),0)</f>
        <v>201168.05659424161</v>
      </c>
      <c r="IW28" s="32">
        <f>IF(IV28&lt;0,"Error",IF(IV28&lt;=InputData!$B$170,InputData!$C$170*IV28,IF(IV28&lt;=InputData!$B$171,InputData!$D$170+InputData!$C$171*(IV28-InputData!$B$170),IF(IV28&lt;=InputData!$B$172,InputData!$D$171+InputData!$C$172*(IV28-InputData!$B$171),IF(IV28&lt;=InputData!$B$173,InputData!$D$172+InputData!$C$173*(IV28-InputData!$B$172),IF(IV28&lt;=InputData!$B$174,InputData!$D$173+InputData!$C$174*(IV28-InputData!$B$173),IF(IV28&lt;=InputData!$B$175,InputData!$D$174+InputData!$C$175*(IV28-InputData!$B$174),InputData!$D$175+InputData!$C$176*(IV28-InputData!$B$175))))))))</f>
        <v>50516.208676099734</v>
      </c>
      <c r="IX28" s="32">
        <f>IF(IS28&lt;=InputData!$C$150,InputData!$C$152,IF(IS28&lt;InputData!$C$151,IF(InputData!$C$152-0.25*IF(IS28-InputData!$C$150&lt;=0,0,IS28-InputData!$C$150)&lt;=0,0,InputData!$C$152-0.25*IF(IS28-InputData!$C$150&lt;=0,0,IS28-InputData!$C$150)),0))</f>
        <v>28932.985851439596</v>
      </c>
      <c r="IY28" s="32">
        <f>IF(IS28-IX28&lt;=0,0,IF(IS28-IX28&lt;=InputData!$C$153,InputData!$C$154*(IS28-IX28),InputData!$C$155*(IS28-IX28)-InputData!$D$154))</f>
        <v>46367.118393128527</v>
      </c>
      <c r="IZ28" s="32">
        <f t="shared" si="102"/>
        <v>50516.208676099734</v>
      </c>
      <c r="JA28" s="32">
        <f>IF(IS28&gt;=0,IF(IS28&lt;=InputData!$C$148,InputData!$C$147*IS28,InputData!$C$147*InputData!$C$148)+InputData!$C$149*IS28,0)</f>
        <v>10054.786820616504</v>
      </c>
      <c r="JB28" s="32">
        <f>IF(IU28&lt;0,0,IF(IU28&lt;=InputData!$B$163,InputData!$C$163*IU28,IF(IU28&lt;=InputData!$B$164,InputData!$D$163+InputData!$C$164*(IU28-InputData!$B$163),IF(IU28&lt;=InputData!$B$165,InputData!$D$164+InputData!$C$165*(IU28-InputData!$B$164),InputData!$D$165+InputData!$C$166*(IU28-InputData!$B$165)))))</f>
        <v>0</v>
      </c>
      <c r="JC28" s="43">
        <f t="shared" si="103"/>
        <v>0.29223507226341716</v>
      </c>
      <c r="JD28" s="43">
        <f t="shared" si="104"/>
        <v>0.29223507226341716</v>
      </c>
      <c r="JE28" s="5">
        <f t="shared" si="105"/>
        <v>146697.06109752535</v>
      </c>
      <c r="JF28" s="32">
        <f>JE28/((1+InputData!$C$7)^(Ophtha!$B28-Ophtha!$B$7))</f>
        <v>78856.898970962342</v>
      </c>
      <c r="JG28" s="5">
        <f t="shared" si="106"/>
        <v>1432603.1083268453</v>
      </c>
      <c r="JI28" s="41" t="str">
        <f t="shared" si="32"/>
        <v>Private Practice</v>
      </c>
      <c r="JJ28" s="5">
        <f t="shared" si="33"/>
        <v>349054.68616113515</v>
      </c>
      <c r="JK28" s="32">
        <v>0</v>
      </c>
      <c r="JL28" s="32">
        <f t="shared" si="108"/>
        <v>349054.68616113515</v>
      </c>
      <c r="JM28" s="32">
        <f>JM27*(1+InputData!$C$8)</f>
        <v>17415.006291387122</v>
      </c>
      <c r="JN28" s="32">
        <f>JJ28/((1+InputData!$C$3)^(Ophtha!$B28-Ophtha!$B$7))</f>
        <v>230297.84066026847</v>
      </c>
      <c r="JO28" s="32">
        <f>JK28/((1+InputData!$C$3)^(Ophtha!$B28-Ophtha!$B$7))</f>
        <v>0</v>
      </c>
      <c r="JP28" s="32" t="s">
        <v>141</v>
      </c>
      <c r="JQ28" s="32">
        <v>0</v>
      </c>
      <c r="JR28" s="32">
        <f t="shared" si="172"/>
        <v>0</v>
      </c>
      <c r="JS28" s="32">
        <f>(JR28)*InputData!$C$6</f>
        <v>0</v>
      </c>
      <c r="JT28" s="32">
        <f>MIN($BE$15*InputData!$C$6/(1-(1+InputData!$C$6)^(-10)), JR28+JS28)</f>
        <v>0</v>
      </c>
      <c r="JU28" s="32">
        <f t="shared" si="148"/>
        <v>0</v>
      </c>
      <c r="JV28" s="32">
        <f>JT28/((1+InputData!$C$3)^(Ophtha!$B28-Ophtha!$B$7))</f>
        <v>0</v>
      </c>
      <c r="JW28" s="32">
        <f>IF(JN28-InputData!$C$158-InputData!$C$159&gt;=0,JN28-InputData!$C$158-InputData!$C$159,0)</f>
        <v>230297.84066026847</v>
      </c>
      <c r="JX28" s="32">
        <f>IF(JN28-IF(JN28&lt;=InputData!$C$146,InputData!$C$145,0)-MAX(InputData!$C$144,KD28)&gt;=0,JN28-IF(JN28&lt;=InputData!$C$146,InputData!$C$145,0)-MAX(InputData!$C$144,KD28),0)</f>
        <v>224197.84066026847</v>
      </c>
      <c r="JY28" s="32">
        <f>IF(JX28&lt;0,"Error",IF(JX28&lt;=InputData!$B$170,InputData!$C$170*JX28,IF(JX28&lt;=InputData!$B$171,InputData!$D$170+InputData!$C$171*(JX28-InputData!$B$170),IF(JX28&lt;=InputData!$B$172,InputData!$D$171+InputData!$C$172*(JX28-InputData!$B$171),IF(JX28&lt;=InputData!$B$173,InputData!$D$172+InputData!$C$173*(JX28-InputData!$B$172),IF(JX28&lt;=InputData!$B$174,InputData!$D$173+InputData!$C$174*(JX28-InputData!$B$173),IF(JX28&lt;=InputData!$B$175,InputData!$D$174+InputData!$C$175*(JX28-InputData!$B$174),InputData!$D$175+InputData!$C$176*(JX28-InputData!$B$175))))))))</f>
        <v>58116.037417888598</v>
      </c>
      <c r="JZ28" s="32">
        <f>IF(JN28&lt;=InputData!$C$150,InputData!$C$152,IF(JN28&lt;InputData!$C$151,IF(InputData!$C$152-0.25*IF(JN28-InputData!$C$150&lt;=0,0,JN28-InputData!$C$150)&lt;=0,0,InputData!$C$152-0.25*IF(JN28-InputData!$C$150&lt;=0,0,JN28-InputData!$C$150)),0))</f>
        <v>23175.539834932883</v>
      </c>
      <c r="KA28" s="32">
        <f>IF(JN28-JZ28&lt;=0,0,IF(JN28-JZ28&lt;=InputData!$C$153,InputData!$C$154*(JN28-JZ28),InputData!$C$155*(JN28-JZ28)-InputData!$D$154))</f>
        <v>54404.244231093966</v>
      </c>
      <c r="KB28" s="32">
        <f t="shared" si="109"/>
        <v>58116.037417888598</v>
      </c>
      <c r="KC28" s="32">
        <f>IF(JN28&gt;=0,IF(JN28&lt;=InputData!$C$148,InputData!$C$147*JN28,InputData!$C$147*InputData!$C$148)+InputData!$C$149*JN28,0)</f>
        <v>10388.718689573892</v>
      </c>
      <c r="KD28" s="32">
        <f>IF(JW28&lt;0,0,IF(JW28&lt;=InputData!$B$163,InputData!$C$163*JW28,IF(JW28&lt;=InputData!$B$164,InputData!$D$163+InputData!$C$164*(JW28-InputData!$B$163),IF(JW28&lt;=InputData!$B$165,InputData!$D$164+InputData!$C$165*(JW28-InputData!$B$164),InputData!$D$165+InputData!$C$166*(JW28-InputData!$B$165)))))</f>
        <v>0</v>
      </c>
      <c r="KE28" s="43">
        <f t="shared" si="34"/>
        <v>0.29746156503707544</v>
      </c>
      <c r="KF28" s="32">
        <f t="shared" si="35"/>
        <v>161793.08455280599</v>
      </c>
      <c r="KG28" s="32">
        <f t="shared" si="110"/>
        <v>161793.08455280599</v>
      </c>
      <c r="KH28" s="32">
        <f>KG28/((1+InputData!$C$7)^(Ophtha!$B28-Ophtha!$B$7))</f>
        <v>86971.755448454685</v>
      </c>
      <c r="KI28" s="5">
        <f t="shared" si="129"/>
        <v>1546319.4022238334</v>
      </c>
    </row>
    <row r="29" spans="1:295" x14ac:dyDescent="0.25">
      <c r="A29" s="4">
        <v>2035</v>
      </c>
      <c r="B29" s="51">
        <v>23</v>
      </c>
      <c r="C29" s="4"/>
      <c r="D29" s="3">
        <v>19</v>
      </c>
      <c r="E29" s="97" t="s">
        <v>266</v>
      </c>
      <c r="F29" s="5">
        <f>InputData!$M$21*12</f>
        <v>109072.79999999999</v>
      </c>
      <c r="G29" s="32">
        <f>(InputData!$M$21+InputData!$J$45+InputData!$G$50)*12+InputData!$J$50+InputData!$D$60+InputData!$J$60</f>
        <v>193064.8</v>
      </c>
      <c r="H29" s="32">
        <f>(InputData!$C$32+InputData!$C$40)*12</f>
        <v>21631.199999999997</v>
      </c>
      <c r="I29" s="32">
        <f t="shared" si="36"/>
        <v>214696</v>
      </c>
      <c r="J29" s="5">
        <f>G29*((1+InputData!$C$5)/(1+InputData!$C$3))^(Ophtha!$B29-Ophtha!$B$7)</f>
        <v>155442.4182040086</v>
      </c>
      <c r="K29" s="5">
        <f>H29*((1+InputData!$C$5)/(1+InputData!$C$3))^(Ophtha!$B29-Ophtha!$B$7)</f>
        <v>17415.945509769521</v>
      </c>
      <c r="L29" s="32">
        <f>IF(J29-InputData!$C$158-InputData!$C$159&gt;=0,J29-InputData!$C$158-InputData!$C$159,0)</f>
        <v>155442.4182040086</v>
      </c>
      <c r="M29" s="32">
        <f>IF(J29-IF(J29&lt;=InputData!$C$146,InputData!$C$145,0)-MAX(InputData!$C$144,S29)&gt;=0,J29-IF(J29&lt;=InputData!$C$146,InputData!$C$145,0)-MAX(InputData!$C$144,S29),0)</f>
        <v>149342.4182040086</v>
      </c>
      <c r="N29" s="32">
        <f>IF(M29&lt;0,"Error",IF(M29&lt;=InputData!$B$170,InputData!$C$170*M29,IF(M29&lt;=InputData!$B$171,InputData!$D$170+InputData!$C$171*(M29-InputData!$B$170),IF(M29&lt;=InputData!$B$172,InputData!$D$171+InputData!$C$172*(M29-InputData!$B$171),IF(M29&lt;=InputData!$B$173,InputData!$D$172+InputData!$C$173*(M29-InputData!$B$172),IF(M29&lt;=InputData!$B$174,InputData!$D$173+InputData!$C$174*(M29-InputData!$B$173),IF(M29&lt;=InputData!$B$175,InputData!$D$174+InputData!$C$175*(M29-InputData!$B$174),InputData!$D$175+InputData!$C$176*(M29-InputData!$B$175))))))))</f>
        <v>35109.127097122415</v>
      </c>
      <c r="O29" s="32">
        <f>IF(J29&lt;=InputData!$C$150,InputData!$C$152,IF(J29&lt;InputData!$C$151,IF(InputData!$C$152-0.25*IF(J29-InputData!$C$150&lt;=0,0,J29-InputData!$C$150)&lt;=0,0,InputData!$C$152-0.25*IF(J29-InputData!$C$150&lt;=0,0,J29-InputData!$C$150)),0))</f>
        <v>41889.39544899785</v>
      </c>
      <c r="P29" s="32">
        <f>IF(J29-O29&lt;=0,0,IF(J29-O29&lt;=InputData!$C$153,InputData!$C$154*(J29-O29),InputData!$C$155*(J29-O29)-InputData!$D$154))</f>
        <v>29523.785916302797</v>
      </c>
      <c r="Q29" s="32">
        <f t="shared" si="37"/>
        <v>35109.127097122415</v>
      </c>
      <c r="R29" s="32">
        <f>IF(J29&gt;=0,IF(J29&lt;=InputData!$C$148,InputData!$C$147*J29,InputData!$C$147*InputData!$C$148)+InputData!$C$149*J29,0)</f>
        <v>9303.3150639581254</v>
      </c>
      <c r="S29" s="32">
        <f>IF(L29&lt;0,0,IF(L29&lt;=InputData!$B$163,InputData!$C$163*L29,IF(L29&lt;=InputData!$B$164,InputData!$D$163+InputData!$C$164*(L29-InputData!$B$163),IF(L29&lt;=InputData!$B$165,InputData!$D$164+InputData!$C$165*(L29-InputData!$B$164),InputData!$D$165+InputData!$C$166*(L29-InputData!$B$165)))))</f>
        <v>0</v>
      </c>
      <c r="T29" s="43">
        <f t="shared" si="38"/>
        <v>0.28571636155834856</v>
      </c>
      <c r="U29" s="43">
        <f t="shared" si="39"/>
        <v>0.25692966893183972</v>
      </c>
      <c r="V29" s="5">
        <f t="shared" si="40"/>
        <v>128445.92155269759</v>
      </c>
      <c r="W29" s="32">
        <f>V29/((1+InputData!$C$7)^(Ophtha!$B29-Ophtha!$B$7))</f>
        <v>67034.963227305736</v>
      </c>
      <c r="X29" s="5">
        <f t="shared" si="111"/>
        <v>1403141.9443251938</v>
      </c>
      <c r="Y29" s="53"/>
      <c r="Z29" s="3">
        <v>19</v>
      </c>
      <c r="AA29" s="97" t="s">
        <v>266</v>
      </c>
      <c r="AB29" s="5">
        <f t="shared" si="136"/>
        <v>109072.79999999999</v>
      </c>
      <c r="AC29" s="32">
        <f t="shared" si="176"/>
        <v>193064.8</v>
      </c>
      <c r="AD29" s="32">
        <f t="shared" si="174"/>
        <v>21631.199999999997</v>
      </c>
      <c r="AE29" s="32">
        <f t="shared" si="41"/>
        <v>214696</v>
      </c>
      <c r="AF29" s="5">
        <f>AC29*((1+InputData!$C$5)/(1+InputData!$C$3))^(Ophtha!$B29-Ophtha!$B$7)</f>
        <v>155442.4182040086</v>
      </c>
      <c r="AG29" s="5">
        <f>AD29*((1+InputData!$C$5)/(1+InputData!$C$3))^(Ophtha!$B29-Ophtha!$B$7)</f>
        <v>17415.945509769521</v>
      </c>
      <c r="AH29" s="32">
        <f>IF(AF29-InputData!$C$158-InputData!$C$159&gt;=0,AF29-InputData!$C$158-InputData!$C$159,0)</f>
        <v>155442.4182040086</v>
      </c>
      <c r="AI29" s="32">
        <f>IF(AF29-IF(AF29&lt;=InputData!$C$146,InputData!$C$145,0)-MAX(InputData!$C$144,AO29)&gt;=0,AF29-IF(AF29&lt;=InputData!$C$146,InputData!$C$145,0)-MAX(InputData!$C$144,AO29),0)</f>
        <v>149342.4182040086</v>
      </c>
      <c r="AJ29" s="32">
        <f>IF(AI29&lt;0,"Error",IF(AI29&lt;=InputData!$B$170,InputData!$C$170*AI29,IF(AI29&lt;=InputData!$B$171,InputData!$D$170+InputData!$C$171*(AI29-InputData!$B$170),IF(AI29&lt;=InputData!$B$172,InputData!$D$171+InputData!$C$172*(AI29-InputData!$B$171),IF(AI29&lt;=InputData!$B$173,InputData!$D$172+InputData!$C$173*(AI29-InputData!$B$172),IF(AI29&lt;=InputData!$B$174,InputData!$D$173+InputData!$C$174*(AI29-InputData!$B$173),IF(AI29&lt;=InputData!$B$175,InputData!$D$174+InputData!$C$175*(AI29-InputData!$B$174),InputData!$D$175+InputData!$C$176*(AI29-InputData!$B$175))))))))</f>
        <v>35109.127097122415</v>
      </c>
      <c r="AK29" s="32">
        <f>IF(AF29&lt;=InputData!$C$150,InputData!$C$152,IF(AF29&lt;InputData!$C$151,IF(InputData!$C$152-0.25*IF(AF29-InputData!$C$150&lt;=0,0,AF29-InputData!$C$150)&lt;=0,0,InputData!$C$152-0.25*IF(AF29-InputData!$C$150&lt;=0,0,AF29-InputData!$C$150)),0))</f>
        <v>41889.39544899785</v>
      </c>
      <c r="AL29" s="32">
        <f>IF(AF29-AK29&lt;=0,0,IF(AF29-AK29&lt;=InputData!$C$153,InputData!$C$154*(AF29-AK29),InputData!$C$155*(AF29-AK29)-InputData!$D$154))</f>
        <v>29523.785916302797</v>
      </c>
      <c r="AM29" s="32">
        <f t="shared" si="42"/>
        <v>35109.127097122415</v>
      </c>
      <c r="AN29" s="32">
        <f>IF(AF29&gt;=0,IF(AF29&lt;=InputData!$C$148,InputData!$C$147*AF29,InputData!$C$147*InputData!$C$148)+InputData!$C$149*AF29,0)</f>
        <v>9303.3150639581254</v>
      </c>
      <c r="AO29" s="32">
        <f>IF(AH29&lt;0,0,IF(AH29&lt;=InputData!$B$163,InputData!$C$163*AH29,IF(AH29&lt;=InputData!$B$164,InputData!$D$163+InputData!$C$164*(AH29-InputData!$B$163),IF(AH29&lt;=InputData!$B$165,InputData!$D$164+InputData!$C$165*(AH29-InputData!$B$164),InputData!$D$165+InputData!$C$166*(AH29-InputData!$B$165)))))</f>
        <v>0</v>
      </c>
      <c r="AP29" s="43">
        <f t="shared" si="43"/>
        <v>0.28571636155834856</v>
      </c>
      <c r="AQ29" s="43">
        <f t="shared" si="44"/>
        <v>0.25692966893183972</v>
      </c>
      <c r="AR29" s="5">
        <f t="shared" si="45"/>
        <v>128445.92155269759</v>
      </c>
      <c r="AS29" s="32">
        <f>AR29/((1+InputData!$C$7)^(Ophtha!$B29-Ophtha!$B$7))</f>
        <v>67034.963227305736</v>
      </c>
      <c r="AT29" s="5">
        <f t="shared" si="112"/>
        <v>1378375.5282091203</v>
      </c>
      <c r="AU29" s="53"/>
      <c r="AV29" s="41" t="s">
        <v>109</v>
      </c>
      <c r="AW29" s="32">
        <f>$AW$15*(1+InputData!$C$3+InputData!$C$4)^(Ophtha!$B29-Ophtha!$B$17)</f>
        <v>359526.32674596919</v>
      </c>
      <c r="AX29" s="32">
        <v>0</v>
      </c>
      <c r="AY29" s="32">
        <f t="shared" si="47"/>
        <v>359526.32674596919</v>
      </c>
      <c r="AZ29" s="32">
        <f>AZ28*(1+InputData!$C$8)</f>
        <v>17763.306417214866</v>
      </c>
      <c r="BA29" s="32">
        <f>AW29/((1+InputData!$C$3)^(Ophtha!$B29-Ophtha!$B$7))</f>
        <v>232555.66262752598</v>
      </c>
      <c r="BB29" s="32">
        <f>AX29/((1+InputData!$C$3)^(Ophtha!$B29-Ophtha!$B$7))</f>
        <v>0</v>
      </c>
      <c r="BC29" s="32" t="s">
        <v>141</v>
      </c>
      <c r="BD29" s="32">
        <v>0</v>
      </c>
      <c r="BE29" s="32">
        <f t="shared" si="158"/>
        <v>0</v>
      </c>
      <c r="BF29" s="32">
        <f>(BE29)*InputData!$C$6</f>
        <v>0</v>
      </c>
      <c r="BG29" s="32">
        <f>MIN($BE$15*InputData!$C$6/(1-(1+InputData!$C$6)^(-10)), BE29+BF29)</f>
        <v>0</v>
      </c>
      <c r="BH29" s="32">
        <f t="shared" si="140"/>
        <v>0</v>
      </c>
      <c r="BI29" s="32">
        <f>BG29/((1+InputData!$C$3)^(Ophtha!$B29-Ophtha!$B$7))</f>
        <v>0</v>
      </c>
      <c r="BJ29" s="32">
        <f>IF(BA29-InputData!$C$158-InputData!$C$159&gt;=0,BA29-InputData!$C$158-InputData!$C$159,0)</f>
        <v>232555.66262752598</v>
      </c>
      <c r="BK29" s="32">
        <f>IF(BA29-IF(BA29&lt;=InputData!$C$146,InputData!$C$145,0)-MAX(InputData!$C$144,BQ29)&gt;=0,BA29-IF(BA29&lt;=InputData!$C$146,InputData!$C$145,0)-MAX(InputData!$C$144,BQ29),0)</f>
        <v>226455.66262752598</v>
      </c>
      <c r="BL29" s="32">
        <f>IF(BK29&lt;0,"Error",IF(BK29&lt;=InputData!$B$170,InputData!$C$170*BK29,IF(BK29&lt;=InputData!$B$171,InputData!$D$170+InputData!$C$171*(BK29-InputData!$B$170),IF(BK29&lt;=InputData!$B$172,InputData!$D$171+InputData!$C$172*(BK29-InputData!$B$171),IF(BK29&lt;=InputData!$B$173,InputData!$D$172+InputData!$C$173*(BK29-InputData!$B$172),IF(BK29&lt;=InputData!$B$174,InputData!$D$173+InputData!$C$174*(BK29-InputData!$B$173),IF(BK29&lt;=InputData!$B$175,InputData!$D$174+InputData!$C$175*(BK29-InputData!$B$174),InputData!$D$175+InputData!$C$176*(BK29-InputData!$B$175))))))))</f>
        <v>58861.118667083574</v>
      </c>
      <c r="BM29" s="32">
        <f>IF(BA29&lt;=InputData!$C$150,InputData!$C$152,IF(BA29&lt;InputData!$C$151,IF(InputData!$C$152-0.25*IF(BA29-InputData!$C$150&lt;=0,0,BA29-InputData!$C$150)&lt;=0,0,InputData!$C$152-0.25*IF(BA29-InputData!$C$150&lt;=0,0,BA29-InputData!$C$150)),0))</f>
        <v>22611.084343118506</v>
      </c>
      <c r="BN29" s="32">
        <f>IF(BA29-BM29&lt;=0,0,IF(BA29-BM29&lt;=InputData!$C$153,InputData!$C$154*(BA29-BM29),InputData!$C$155*(BA29-BM29)-InputData!$D$154))</f>
        <v>55194.481919634098</v>
      </c>
      <c r="BO29" s="32">
        <f t="shared" si="48"/>
        <v>58861.118667083574</v>
      </c>
      <c r="BP29" s="32">
        <f>IF(BA29&gt;=0,IF(BA29&lt;=InputData!$C$148,InputData!$C$147*BA29,InputData!$C$147*InputData!$C$148)+InputData!$C$149*BA29,0)</f>
        <v>10421.457108099126</v>
      </c>
      <c r="BQ29" s="32">
        <f>IF(BJ29&lt;0,0,IF(BJ29&lt;=InputData!$B$163,InputData!$C$163*BJ29,IF(BJ29&lt;=InputData!$B$164,InputData!$D$163+InputData!$C$164*(BJ29-InputData!$B$163),IF(BJ29&lt;=InputData!$B$165,InputData!$D$164+InputData!$C$165*(BJ29-InputData!$B$164),InputData!$D$165+InputData!$C$166*(BJ29-InputData!$B$165)))))</f>
        <v>0</v>
      </c>
      <c r="BR29" s="43">
        <f t="shared" si="49"/>
        <v>0.29791824887166696</v>
      </c>
      <c r="BS29" s="32">
        <f t="shared" si="50"/>
        <v>163273.08685234329</v>
      </c>
      <c r="BT29" s="32">
        <f t="shared" si="51"/>
        <v>163273.08685234329</v>
      </c>
      <c r="BU29" s="32">
        <f>BT29/((1+InputData!$C$7)^(Ophtha!$B29-Ophtha!$B$7))</f>
        <v>85210.999624189033</v>
      </c>
      <c r="BV29" s="5">
        <f t="shared" si="114"/>
        <v>1247279.927731439</v>
      </c>
      <c r="BW29" s="5"/>
      <c r="BX29" s="32" t="s">
        <v>141</v>
      </c>
      <c r="BY29" s="5">
        <f t="shared" si="159"/>
        <v>161001.27603850953</v>
      </c>
      <c r="BZ29" s="32">
        <f>(BY29)*InputData!$C$6</f>
        <v>9998.1792419914418</v>
      </c>
      <c r="CA29" s="32">
        <f>MIN($BY$15*InputData!$C$6/(1-(1+InputData!$C$6)^(-25)), BY29+BZ29)</f>
        <v>20633.642137763909</v>
      </c>
      <c r="CB29" s="32">
        <f t="shared" si="160"/>
        <v>150365.81314273708</v>
      </c>
      <c r="CC29" s="32">
        <f>CA29/((1+InputData!$C$3)^(Ophtha!$B29-Ophtha!$B$7))</f>
        <v>13346.645190624349</v>
      </c>
      <c r="CD29" s="5">
        <f t="shared" si="55"/>
        <v>149926.44166171894</v>
      </c>
      <c r="CE29" s="32">
        <f>CD29/((1+InputData!$C$7)^(Ophtha!$B29-Ophtha!$B$7))</f>
        <v>78245.485587261559</v>
      </c>
      <c r="CF29" s="5">
        <f t="shared" si="115"/>
        <v>1289676.6921745862</v>
      </c>
      <c r="CG29" s="5"/>
      <c r="CH29" s="32" t="s">
        <v>141</v>
      </c>
      <c r="CI29" s="5">
        <f t="shared" si="161"/>
        <v>0</v>
      </c>
      <c r="CJ29" s="32">
        <f>(CI29)*InputData!$C$6</f>
        <v>0</v>
      </c>
      <c r="CK29" s="5">
        <f t="shared" si="162"/>
        <v>0</v>
      </c>
      <c r="CL29" s="32">
        <f t="shared" si="163"/>
        <v>0</v>
      </c>
      <c r="CM29" s="32">
        <f>CK29/((1+InputData!$C$3)^(Ophtha!$B29-Ophtha!$B$7))</f>
        <v>0</v>
      </c>
      <c r="CN29" s="5">
        <f t="shared" si="59"/>
        <v>163273.08685234329</v>
      </c>
      <c r="CO29" s="32">
        <f>CN29/((1+InputData!$C$7)^(Ophtha!$B29-Ophtha!$B$7))</f>
        <v>85210.999624189033</v>
      </c>
      <c r="CP29" s="5">
        <f t="shared" si="149"/>
        <v>1247059.4263063492</v>
      </c>
      <c r="CQ29" s="5"/>
      <c r="CR29" s="32" t="s">
        <v>141</v>
      </c>
      <c r="CS29" s="5">
        <f t="shared" si="164"/>
        <v>44960.082523320758</v>
      </c>
      <c r="CT29" s="32">
        <f>(CS29)*InputData!$C$6</f>
        <v>2792.021124698219</v>
      </c>
      <c r="CU29" s="32">
        <f t="shared" si="165"/>
        <v>33288.13671201469</v>
      </c>
      <c r="CV29" s="32">
        <f t="shared" si="166"/>
        <v>14463.96693600429</v>
      </c>
      <c r="CW29" s="32">
        <f>CU29/((1+InputData!$C$3)^(Ophtha!$B29-Ophtha!$B$7))</f>
        <v>21532.0662627526</v>
      </c>
      <c r="CX29" s="5">
        <f t="shared" si="63"/>
        <v>141741.02058959068</v>
      </c>
      <c r="CY29" s="32">
        <f>CX29/((1+InputData!$C$7)^(Ophtha!$B29-Ophtha!$B$7))</f>
        <v>73973.575713151527</v>
      </c>
      <c r="CZ29" s="5">
        <f t="shared" si="150"/>
        <v>1246528.5591640724</v>
      </c>
      <c r="DA29" s="5"/>
      <c r="DB29" s="32" t="s">
        <v>141</v>
      </c>
      <c r="DC29" s="5">
        <f t="shared" si="141"/>
        <v>0</v>
      </c>
      <c r="DD29" s="5">
        <f>DC29*InputData!$C$6</f>
        <v>0</v>
      </c>
      <c r="DE29" s="32">
        <f t="shared" si="142"/>
        <v>0</v>
      </c>
      <c r="DF29" s="32">
        <f t="shared" si="143"/>
        <v>0</v>
      </c>
      <c r="DG29" s="32">
        <f>DE29/((1+InputData!$C$3)^(Ophtha!$B29-Ophtha!$B$7))</f>
        <v>0</v>
      </c>
      <c r="DH29" s="5">
        <f t="shared" si="67"/>
        <v>163273.08685234329</v>
      </c>
      <c r="DI29" s="32">
        <f>DH29/((1+InputData!$C$7)^(Ophtha!$B29-Ophtha!$B$7))</f>
        <v>85210.999624189033</v>
      </c>
      <c r="DJ29" s="5">
        <f t="shared" si="130"/>
        <v>1251791.6254036981</v>
      </c>
      <c r="DK29" s="5"/>
      <c r="DL29" s="32" t="s">
        <v>141</v>
      </c>
      <c r="DM29" s="32">
        <f t="shared" si="167"/>
        <v>0</v>
      </c>
      <c r="DN29" s="5">
        <f>DM29*InputData!$C$6</f>
        <v>0</v>
      </c>
      <c r="DO29" s="32">
        <f t="shared" si="168"/>
        <v>0</v>
      </c>
      <c r="DP29" s="32">
        <f t="shared" si="131"/>
        <v>0</v>
      </c>
      <c r="DQ29" s="32">
        <f t="shared" si="132"/>
        <v>0</v>
      </c>
      <c r="DR29" s="32">
        <f>DP29/((1+InputData!$C$3)^(Ophtha!$B29-Ophtha!$B$7))</f>
        <v>0</v>
      </c>
      <c r="DS29" s="5">
        <f t="shared" si="71"/>
        <v>163273.08685234329</v>
      </c>
      <c r="DT29" s="32">
        <f>DS29/((1+InputData!$C$7)^(Ophtha!$B29-Ophtha!$B$7))</f>
        <v>85210.999624189033</v>
      </c>
      <c r="DU29" s="5">
        <f t="shared" si="133"/>
        <v>1245827.4593142092</v>
      </c>
      <c r="DV29" s="5"/>
      <c r="DW29" s="32" t="s">
        <v>141</v>
      </c>
      <c r="DX29" s="133">
        <f t="shared" si="144"/>
        <v>6757.3892707737432</v>
      </c>
      <c r="DY29" s="5">
        <f>DX29*InputData!$C$6</f>
        <v>419.63387371504945</v>
      </c>
      <c r="DZ29" s="133">
        <f t="shared" si="145"/>
        <v>0</v>
      </c>
      <c r="EA29" s="32">
        <f t="shared" si="146"/>
        <v>7177.0231444887922</v>
      </c>
      <c r="EB29" s="32">
        <f t="shared" si="147"/>
        <v>0</v>
      </c>
      <c r="EC29" s="32">
        <f>EA29/((1+InputData!$C$3)^(Ophtha!$B29-Ophtha!$B$7))</f>
        <v>4642.378732500968</v>
      </c>
      <c r="ED29" s="5">
        <f t="shared" si="75"/>
        <v>158630.70811984231</v>
      </c>
      <c r="EE29" s="32">
        <f>ED29/((1+InputData!$C$7)^(Ophtha!$B29-Ophtha!$B$7))</f>
        <v>82788.176977439973</v>
      </c>
      <c r="EF29" s="5">
        <f t="shared" si="134"/>
        <v>1245670.1882869587</v>
      </c>
      <c r="EG29" s="32"/>
      <c r="EH29" s="133" t="s">
        <v>141</v>
      </c>
      <c r="EI29" s="32">
        <v>0</v>
      </c>
      <c r="EJ29" s="32">
        <f t="shared" si="175"/>
        <v>48373.140672483532</v>
      </c>
      <c r="EK29" s="32">
        <f>(EJ29)*InputData!$C$6</f>
        <v>3003.9720357612273</v>
      </c>
      <c r="EL29" s="32">
        <f t="shared" si="173"/>
        <v>18088.97599623006</v>
      </c>
      <c r="EM29" s="32">
        <f>EM28*(1+InputData!$C$8)</f>
        <v>17763.306417214866</v>
      </c>
      <c r="EN29" s="32">
        <f t="shared" si="152"/>
        <v>33288.13671201469</v>
      </c>
      <c r="EO29" s="32">
        <f>AW29/((1+InputData!$C$3)^(Ophtha!$B29-Ophtha!$B$7))</f>
        <v>232555.66262752598</v>
      </c>
      <c r="EP29" s="32">
        <f>AX29/((1+InputData!$C$3)^(Ophtha!$B29-Ophtha!$B$7))</f>
        <v>0</v>
      </c>
      <c r="EQ29" s="32">
        <v>58846.76</v>
      </c>
      <c r="ER29" s="32">
        <v>9132.0949999999993</v>
      </c>
      <c r="ES29" s="32">
        <v>0</v>
      </c>
      <c r="ET29" s="43">
        <f t="shared" si="139"/>
        <v>0.29231218982991908</v>
      </c>
      <c r="EU29" s="32">
        <f t="shared" si="76"/>
        <v>164576.80762752597</v>
      </c>
      <c r="EV29" s="32">
        <f>EN29/((1+InputData!$C$3)^(Ophtha!$B29-Ophtha!$B$7))</f>
        <v>21532.0662627526</v>
      </c>
      <c r="EW29" s="32">
        <f t="shared" si="77"/>
        <v>143044.74136477336</v>
      </c>
      <c r="EX29" s="32">
        <f>EW29/((1+InputData!$C$7)^(Ophtha!$B29-Ophtha!$B$7))</f>
        <v>74653.977808964206</v>
      </c>
      <c r="EY29" s="5">
        <f t="shared" si="124"/>
        <v>1335147.3951587344</v>
      </c>
      <c r="EZ29" s="79"/>
      <c r="FA29" s="32">
        <f t="shared" si="153"/>
        <v>0</v>
      </c>
      <c r="FB29" s="32">
        <f>FA29*InputData!$C$6</f>
        <v>0</v>
      </c>
      <c r="FC29" s="32">
        <f t="shared" si="154"/>
        <v>0</v>
      </c>
      <c r="FD29" s="32">
        <f>MIN($EJ$15*InputData!$C$6/(1-(1+InputData!$C$6)^(-10)), FA29+FB29)</f>
        <v>0</v>
      </c>
      <c r="FE29" s="32">
        <f>FD29/((1+InputData!$C$3)^(Ophtha!$B29-Ophtha!$B$7))</f>
        <v>0</v>
      </c>
      <c r="FF29" s="5">
        <f t="shared" si="81"/>
        <v>164576.80762752597</v>
      </c>
      <c r="FG29" s="32">
        <f>FF29/((1+InputData!$C$7)^(Ophtha!$B29-Ophtha!$B$7))</f>
        <v>85891.401720001697</v>
      </c>
      <c r="FH29" s="5">
        <f t="shared" si="125"/>
        <v>1334800.6599818461</v>
      </c>
      <c r="FI29" s="79"/>
      <c r="FJ29" s="32">
        <f t="shared" si="155"/>
        <v>161915.50334012316</v>
      </c>
      <c r="FK29" s="32">
        <f>FJ29*InputData!$C$6</f>
        <v>10054.952757421648</v>
      </c>
      <c r="FL29" s="32">
        <f t="shared" si="170"/>
        <v>151219.64818669998</v>
      </c>
      <c r="FM29" s="32">
        <f>MIN($EJ$15*InputData!$C$6/(1-(1+InputData!$C$6)^(-25)), FJ29+FK29)</f>
        <v>20750.807910844829</v>
      </c>
      <c r="FN29" s="32">
        <f>FM29/((1+InputData!$C$3)^(Ophtha!$B29-Ophtha!$B$7))</f>
        <v>13422.432586342249</v>
      </c>
      <c r="FO29" s="5">
        <f t="shared" si="85"/>
        <v>151154.37504118372</v>
      </c>
      <c r="FP29" s="32">
        <f>FO29/((1+InputData!$C$7)^(Ophtha!$B29-Ophtha!$B$7))</f>
        <v>78886.334809587643</v>
      </c>
      <c r="FQ29" s="5">
        <f t="shared" si="126"/>
        <v>1377438.1695948937</v>
      </c>
      <c r="FR29" s="79"/>
      <c r="FS29" s="32">
        <f t="shared" si="156"/>
        <v>0</v>
      </c>
      <c r="FT29" s="32">
        <f>FS29*InputData!$C$6</f>
        <v>0</v>
      </c>
      <c r="FU29" s="32">
        <f t="shared" si="171"/>
        <v>0</v>
      </c>
      <c r="FV29" s="5">
        <f t="shared" si="157"/>
        <v>0</v>
      </c>
      <c r="FW29" s="32">
        <f>FV29/((1+InputData!$C$3)^(Ophtha!$B29-Ophtha!$B$7))</f>
        <v>0</v>
      </c>
      <c r="FX29" s="5">
        <f t="shared" si="88"/>
        <v>164576.80762752597</v>
      </c>
      <c r="FY29" s="32">
        <f>FX29/((1+InputData!$C$7)^(Ophtha!$B29-Ophtha!$B$7))</f>
        <v>85891.401720001697</v>
      </c>
      <c r="FZ29" s="5">
        <f t="shared" si="127"/>
        <v>1334540.0511107629</v>
      </c>
      <c r="GC29" s="3">
        <f t="shared" si="2"/>
        <v>19</v>
      </c>
      <c r="GD29" s="4" t="str">
        <f t="shared" si="3"/>
        <v>Multi-Year (O6&gt;18= (BP+BAH+BAS+VSP+BCPSP)*12+ASP+ISP+MSP)</v>
      </c>
      <c r="GE29" s="5">
        <f t="shared" si="4"/>
        <v>193064.8</v>
      </c>
      <c r="GF29" s="5">
        <f t="shared" si="5"/>
        <v>21631.199999999997</v>
      </c>
      <c r="GG29" s="5">
        <f t="shared" si="6"/>
        <v>214696</v>
      </c>
      <c r="GH29" s="5">
        <f t="shared" si="7"/>
        <v>155442.4182040086</v>
      </c>
      <c r="GI29" s="5">
        <f t="shared" si="8"/>
        <v>17415.945509769521</v>
      </c>
      <c r="GJ29" s="32">
        <f>IF(GH29-InputData!$C$158-InputData!$C$159&gt;=0,GH29-InputData!$C$158-InputData!$C$159,0)</f>
        <v>155442.4182040086</v>
      </c>
      <c r="GK29" s="32">
        <f>IF(GH29-IF(GH29&lt;=InputData!$C$146,InputData!$C$145,0)-MAX(InputData!$C$144,GQ29)&gt;=0,GH29-IF(GH29&lt;=InputData!$C$146,InputData!$C$145,0)-MAX(InputData!$C$144,GQ29),0)</f>
        <v>149342.4182040086</v>
      </c>
      <c r="GL29" s="32">
        <f>IF(GK29&lt;0,"Error",IF(GK29&lt;=InputData!$B$170,InputData!$C$170*GK29,IF(GK29&lt;=InputData!$B$171,InputData!$D$170+InputData!$C$171*(GK29-InputData!$B$170),IF(GK29&lt;=InputData!$B$172,InputData!$D$171+InputData!$C$172*(GK29-InputData!$B$171),IF(GK29&lt;=InputData!$B$173,InputData!$D$172+InputData!$C$173*(GK29-InputData!$B$172),IF(GK29&lt;=InputData!$B$174,InputData!$D$173+InputData!$C$174*(GK29-InputData!$B$173),IF(GK29&lt;=InputData!$B$175,InputData!$D$174+InputData!$C$175*(GK29-InputData!$B$174),InputData!$D$175+InputData!$C$176*(GK29-InputData!$B$175))))))))</f>
        <v>35109.127097122415</v>
      </c>
      <c r="GM29" s="32">
        <f>IF(GH29&lt;=InputData!$C$150,InputData!$C$152,IF(GH29&lt;InputData!$C$151,IF(InputData!$C$152-0.25*IF(GH29-InputData!$C$150&lt;=0,0,GH29-InputData!$C$150)&lt;=0,0,InputData!$C$152-0.25*IF(GH29-InputData!$C$150&lt;=0,0,GH29-InputData!$C$150)),0))</f>
        <v>41889.39544899785</v>
      </c>
      <c r="GN29" s="32">
        <f>IF(GH29-GM29&lt;=0,0,IF(GH29-GM29&lt;=InputData!$C$153,InputData!$C$154*(GH29-GM29),InputData!$C$155*(GH29-GM29)-InputData!$D$154))</f>
        <v>29523.785916302797</v>
      </c>
      <c r="GO29" s="32">
        <f t="shared" si="89"/>
        <v>35109.127097122415</v>
      </c>
      <c r="GP29" s="32">
        <f>IF(GH29&gt;=0,IF(GH29&lt;=InputData!$C$148,InputData!$C$147*GH29,InputData!$C$147*InputData!$C$148)+InputData!$C$149*GH29,0)</f>
        <v>9303.3150639581254</v>
      </c>
      <c r="GQ29" s="32">
        <f>IF(GJ29&lt;0,0,IF(GJ29&lt;=InputData!$B$163,InputData!$C$163*GJ29,IF(GJ29&lt;=InputData!$B$164,InputData!$D$163+InputData!$C$164*(GJ29-InputData!$B$163),IF(GJ29&lt;=InputData!$B$165,InputData!$D$164+InputData!$C$165*(GJ29-InputData!$B$164),InputData!$D$165+InputData!$C$166*(GJ29-InputData!$B$165)))))</f>
        <v>0</v>
      </c>
      <c r="GR29" s="43">
        <f t="shared" si="90"/>
        <v>0.28571636155834856</v>
      </c>
      <c r="GS29" s="43">
        <f t="shared" si="91"/>
        <v>0.25692966893183972</v>
      </c>
      <c r="GT29" s="5">
        <f t="shared" si="9"/>
        <v>128445.92155269759</v>
      </c>
      <c r="GU29" s="32">
        <f>GT29/((1+InputData!$C$7)^(Ophtha!$B29-Ophtha!$B$7))</f>
        <v>67034.963227305736</v>
      </c>
      <c r="GV29" s="32">
        <f t="shared" si="92"/>
        <v>1403141.9443251938</v>
      </c>
      <c r="GX29" s="3">
        <f t="shared" si="10"/>
        <v>19</v>
      </c>
      <c r="GY29" s="122" t="str">
        <f t="shared" si="11"/>
        <v>Multi-Year (O6&gt;18= (BP+BAH+BAS+VSP+BCPSP)*12+ASP+ISP+MSP)</v>
      </c>
      <c r="GZ29" s="5">
        <f t="shared" si="12"/>
        <v>193064.8</v>
      </c>
      <c r="HA29" s="5">
        <f t="shared" si="13"/>
        <v>21631.199999999997</v>
      </c>
      <c r="HB29" s="5">
        <f t="shared" si="14"/>
        <v>214696</v>
      </c>
      <c r="HC29" s="5">
        <f t="shared" si="15"/>
        <v>155442.4182040086</v>
      </c>
      <c r="HD29" s="5">
        <f t="shared" si="16"/>
        <v>17415.945509769521</v>
      </c>
      <c r="HE29" s="32">
        <f>IF(HC29-InputData!$C$158-InputData!$C$159&gt;=0,HC29-InputData!$C$158-InputData!$C$159,0)</f>
        <v>155442.4182040086</v>
      </c>
      <c r="HF29" s="32">
        <f>IF(HC29-IF(HC29&lt;=InputData!$C$146,InputData!$C$145,0)-MAX(InputData!$C$144,HL29)&gt;=0,HC29-IF(HC29&lt;=InputData!$C$146,InputData!$C$145,0)-MAX(InputData!$C$144,HL29),0)</f>
        <v>149342.4182040086</v>
      </c>
      <c r="HG29" s="32">
        <f>IF(HF29&lt;0,"Error",IF(HF29&lt;=InputData!$B$170,InputData!$C$170*HF29,IF(HF29&lt;=InputData!$B$171,InputData!$D$170+InputData!$C$171*(HF29-InputData!$B$170),IF(HF29&lt;=InputData!$B$172,InputData!$D$171+InputData!$C$172*(HF29-InputData!$B$171),IF(HF29&lt;=InputData!$B$173,InputData!$D$172+InputData!$C$173*(HF29-InputData!$B$172),IF(HF29&lt;=InputData!$B$174,InputData!$D$173+InputData!$C$174*(HF29-InputData!$B$173),IF(HF29&lt;=InputData!$B$175,InputData!$D$174+InputData!$C$175*(HF29-InputData!$B$174),InputData!$D$175+InputData!$C$176*(HF29-InputData!$B$175))))))))</f>
        <v>35109.127097122415</v>
      </c>
      <c r="HH29" s="32">
        <f>IF(HC29&lt;=InputData!$C$150,InputData!$C$152,IF(HC29&lt;InputData!$C$151,IF(InputData!$C$152-0.25*IF(HC29-InputData!$C$150&lt;=0,0,HC29-InputData!$C$150)&lt;=0,0,InputData!$C$152-0.25*IF(HC29-InputData!$C$150&lt;=0,0,HC29-InputData!$C$150)),0))</f>
        <v>41889.39544899785</v>
      </c>
      <c r="HI29" s="32">
        <f>IF(HC29-HH29&lt;=0,0,IF(HC29-HH29&lt;=InputData!$C$153,InputData!$C$154*(HC29-HH29),InputData!$C$155*(HC29-HH29)-InputData!$D$154))</f>
        <v>29523.785916302797</v>
      </c>
      <c r="HJ29" s="32">
        <f t="shared" si="93"/>
        <v>35109.127097122415</v>
      </c>
      <c r="HK29" s="32">
        <f>IF(HC29&gt;=0,IF(HC29&lt;=InputData!$C$148,InputData!$C$147*HC29,InputData!$C$147*InputData!$C$148)+InputData!$C$149*HC29,0)</f>
        <v>9303.3150639581254</v>
      </c>
      <c r="HL29" s="32">
        <f>IF(HE29&lt;0,0,IF(HE29&lt;=InputData!$B$163,InputData!$C$163*HE29,IF(HE29&lt;=InputData!$B$164,InputData!$D$163+InputData!$C$164*(HE29-InputData!$B$163),IF(HE29&lt;=InputData!$B$165,InputData!$D$164+InputData!$C$165*(HE29-InputData!$B$164),InputData!$D$165+InputData!$C$166*(HE29-InputData!$B$165)))))</f>
        <v>0</v>
      </c>
      <c r="HM29" s="43">
        <f t="shared" si="94"/>
        <v>0.28571636155834856</v>
      </c>
      <c r="HN29" s="43">
        <f t="shared" si="95"/>
        <v>0.25692966893183972</v>
      </c>
      <c r="HO29" s="5">
        <f t="shared" si="17"/>
        <v>128445.92155269759</v>
      </c>
      <c r="HP29" s="32">
        <f>HO29/((1+InputData!$C$7)^(Ophtha!$B29-Ophtha!$B$7))</f>
        <v>67034.963227305736</v>
      </c>
      <c r="HQ29" s="32">
        <f t="shared" si="96"/>
        <v>1378375.5282091203</v>
      </c>
      <c r="HS29" s="94"/>
      <c r="HT29" s="53" t="s">
        <v>109</v>
      </c>
      <c r="HU29" s="32">
        <f>MIN(InputData!$C$13+InputData!$E$13*($B29-$B$22),1)*Ophtha!AW29</f>
        <v>323573.69407137227</v>
      </c>
      <c r="HV29" s="32">
        <f>MIN(InputData!$C$13+InputData!$E$13*($B29-$B$22),1)*Ophtha!AX29</f>
        <v>0</v>
      </c>
      <c r="HW29" s="32">
        <f>MIN(InputData!$C$13+InputData!$E$13*($B29-$B$22),1)*Ophtha!AY29</f>
        <v>323573.69407137227</v>
      </c>
      <c r="HX29" s="32">
        <f>MIN(InputData!$C$13+InputData!$E$13*($B29-$B$22),1)*Ophtha!BA29</f>
        <v>209300.09636477337</v>
      </c>
      <c r="HY29" s="32">
        <f>MIN(InputData!$C$13+InputData!$E$13*($B29-$B$22),1)*Ophtha!BB29</f>
        <v>0</v>
      </c>
      <c r="HZ29" s="32">
        <f>IF(HX29-InputData!$C$158-InputData!$C$159&gt;=0,HX29-InputData!$C$158-InputData!$C$159,0)</f>
        <v>209300.09636477337</v>
      </c>
      <c r="IA29" s="32">
        <f>IF(HX29-IF(HX29&lt;=InputData!$C$146,InputData!$C$145,0)-MAX(InputData!$C$144,IG29)&gt;=0,HX29-IF(HX29&lt;=InputData!$C$146,InputData!$C$145,0)-MAX(InputData!$C$144,IG29),0)</f>
        <v>203200.09636477337</v>
      </c>
      <c r="IB29" s="32">
        <f>IF(IA29&lt;0,"Error",IF(IA29&lt;=InputData!$B$170,InputData!$C$170*IA29,IF(IA29&lt;=InputData!$B$171,InputData!$D$170+InputData!$C$171*(IA29-InputData!$B$170),IF(IA29&lt;=InputData!$B$172,InputData!$D$171+InputData!$C$172*(IA29-InputData!$B$171),IF(IA29&lt;=InputData!$B$173,InputData!$D$172+InputData!$C$173*(IA29-InputData!$B$172),IF(IA29&lt;=InputData!$B$174,InputData!$D$173+InputData!$C$174*(IA29-InputData!$B$173),IF(IA29&lt;=InputData!$B$175,InputData!$D$174+InputData!$C$175*(IA29-InputData!$B$174),InputData!$D$175+InputData!$C$176*(IA29-InputData!$B$175))))))))</f>
        <v>51186.781800375211</v>
      </c>
      <c r="IC29" s="32">
        <f>IF(HX29&lt;=InputData!$C$150,InputData!$C$152,IF(HX29&lt;InputData!$C$151,IF(InputData!$C$152-0.25*IF(HX29-InputData!$C$150&lt;=0,0,HX29-InputData!$C$150)&lt;=0,0,InputData!$C$152-0.25*IF(HX29-InputData!$C$150&lt;=0,0,HX29-InputData!$C$150)),0))</f>
        <v>28424.975908806657</v>
      </c>
      <c r="ID29" s="32">
        <f>IF(HX29-IC29&lt;=0,0,IF(HX29-IC29&lt;=InputData!$C$153,InputData!$C$154*(HX29-IC29),InputData!$C$155*(HX29-IC29)-InputData!$D$154))</f>
        <v>47055.033727670685</v>
      </c>
      <c r="IE29" s="32">
        <f t="shared" si="97"/>
        <v>51186.781800375211</v>
      </c>
      <c r="IF29" s="32">
        <f>IF(HX29&gt;=0,IF(HX29&lt;=InputData!$C$148,InputData!$C$147*HX29,InputData!$C$147*InputData!$C$148)+InputData!$C$149*HX29,0)</f>
        <v>10084.251397289214</v>
      </c>
      <c r="IG29" s="32">
        <f>IF(HZ29&lt;0,0,IF(HZ29&lt;=InputData!$B$163,InputData!$C$163*HZ29,IF(HZ29&lt;=InputData!$B$164,InputData!$D$163+InputData!$C$164*(HZ29-InputData!$B$163),IF(HZ29&lt;=InputData!$B$165,InputData!$D$164+InputData!$C$165*(HZ29-InputData!$B$164),InputData!$D$165+InputData!$C$166*(HZ29-InputData!$B$165)))))</f>
        <v>0</v>
      </c>
      <c r="IH29" s="43">
        <f t="shared" si="98"/>
        <v>0.2927424987462966</v>
      </c>
      <c r="II29" s="43">
        <f t="shared" si="99"/>
        <v>0.2927424987462966</v>
      </c>
      <c r="IJ29" s="5">
        <f t="shared" si="100"/>
        <v>148029.06316710895</v>
      </c>
      <c r="IK29" s="32">
        <f>IJ29/((1+InputData!$C$7)^(Ophtha!$B29-Ophtha!$B$7))</f>
        <v>77255.257979588714</v>
      </c>
      <c r="IL29" s="5">
        <f t="shared" si="101"/>
        <v>1499732.1946065892</v>
      </c>
      <c r="IN29" s="94"/>
      <c r="IO29" s="53" t="s">
        <v>109</v>
      </c>
      <c r="IP29" s="32">
        <f>MIN(InputData!$C$13+InputData!$E$13*($B29-$B$19),1)*Ophtha!AW29</f>
        <v>323573.69407137227</v>
      </c>
      <c r="IQ29" s="32">
        <f>MIN(InputData!$C$13+InputData!$E$13*($B29-$B$19),1)*Ophtha!AX29</f>
        <v>0</v>
      </c>
      <c r="IR29" s="32">
        <f>MIN(InputData!$C$13+InputData!$E$13*($B29-$B$19),1)*Ophtha!AY29</f>
        <v>323573.69407137227</v>
      </c>
      <c r="IS29" s="32">
        <f>MIN(InputData!$C$13+InputData!$E$13*($B29-$B$19),1)*Ophtha!BA29</f>
        <v>209300.09636477337</v>
      </c>
      <c r="IT29" s="32">
        <f>MIN(InputData!$C$13+InputData!$E$13*($B29-$B$19),1)*Ophtha!BB29</f>
        <v>0</v>
      </c>
      <c r="IU29" s="32">
        <f>IF(IS29-InputData!$C$158-InputData!$C$159&gt;=0,IS29-InputData!$C$158-InputData!$C$159,0)</f>
        <v>209300.09636477337</v>
      </c>
      <c r="IV29" s="32">
        <f>IF(IS29-IF(IS29&lt;=InputData!$C$146,InputData!$C$145,0)-MAX(InputData!$C$144,JB29)&gt;=0,IS29-IF(IS29&lt;=InputData!$C$146,InputData!$C$145,0)-MAX(InputData!$C$144,JB29),0)</f>
        <v>203200.09636477337</v>
      </c>
      <c r="IW29" s="32">
        <f>IF(IV29&lt;0,"Error",IF(IV29&lt;=InputData!$B$170,InputData!$C$170*IV29,IF(IV29&lt;=InputData!$B$171,InputData!$D$170+InputData!$C$171*(IV29-InputData!$B$170),IF(IV29&lt;=InputData!$B$172,InputData!$D$171+InputData!$C$172*(IV29-InputData!$B$171),IF(IV29&lt;=InputData!$B$173,InputData!$D$172+InputData!$C$173*(IV29-InputData!$B$172),IF(IV29&lt;=InputData!$B$174,InputData!$D$173+InputData!$C$174*(IV29-InputData!$B$173),IF(IV29&lt;=InputData!$B$175,InputData!$D$174+InputData!$C$175*(IV29-InputData!$B$174),InputData!$D$175+InputData!$C$176*(IV29-InputData!$B$175))))))))</f>
        <v>51186.781800375211</v>
      </c>
      <c r="IX29" s="32">
        <f>IF(IS29&lt;=InputData!$C$150,InputData!$C$152,IF(IS29&lt;InputData!$C$151,IF(InputData!$C$152-0.25*IF(IS29-InputData!$C$150&lt;=0,0,IS29-InputData!$C$150)&lt;=0,0,InputData!$C$152-0.25*IF(IS29-InputData!$C$150&lt;=0,0,IS29-InputData!$C$150)),0))</f>
        <v>28424.975908806657</v>
      </c>
      <c r="IY29" s="32">
        <f>IF(IS29-IX29&lt;=0,0,IF(IS29-IX29&lt;=InputData!$C$153,InputData!$C$154*(IS29-IX29),InputData!$C$155*(IS29-IX29)-InputData!$D$154))</f>
        <v>47055.033727670685</v>
      </c>
      <c r="IZ29" s="32">
        <f t="shared" si="102"/>
        <v>51186.781800375211</v>
      </c>
      <c r="JA29" s="32">
        <f>IF(IS29&gt;=0,IF(IS29&lt;=InputData!$C$148,InputData!$C$147*IS29,InputData!$C$147*InputData!$C$148)+InputData!$C$149*IS29,0)</f>
        <v>10084.251397289214</v>
      </c>
      <c r="JB29" s="32">
        <f>IF(IU29&lt;0,0,IF(IU29&lt;=InputData!$B$163,InputData!$C$163*IU29,IF(IU29&lt;=InputData!$B$164,InputData!$D$163+InputData!$C$164*(IU29-InputData!$B$163),IF(IU29&lt;=InputData!$B$165,InputData!$D$164+InputData!$C$165*(IU29-InputData!$B$164),InputData!$D$165+InputData!$C$166*(IU29-InputData!$B$165)))))</f>
        <v>0</v>
      </c>
      <c r="JC29" s="43">
        <f t="shared" si="103"/>
        <v>0.2927424987462966</v>
      </c>
      <c r="JD29" s="43">
        <f t="shared" si="104"/>
        <v>0.2927424987462966</v>
      </c>
      <c r="JE29" s="5">
        <f t="shared" si="105"/>
        <v>148029.06316710895</v>
      </c>
      <c r="JF29" s="32">
        <f>JE29/((1+InputData!$C$7)^(Ophtha!$B29-Ophtha!$B$7))</f>
        <v>77255.257979588714</v>
      </c>
      <c r="JG29" s="5">
        <f t="shared" si="106"/>
        <v>1509858.3663064342</v>
      </c>
      <c r="JI29" s="41" t="str">
        <f t="shared" si="32"/>
        <v>Private Practice</v>
      </c>
      <c r="JJ29" s="5">
        <f t="shared" si="33"/>
        <v>359526.32674596919</v>
      </c>
      <c r="JK29" s="32">
        <v>0</v>
      </c>
      <c r="JL29" s="32">
        <f t="shared" si="108"/>
        <v>359526.32674596919</v>
      </c>
      <c r="JM29" s="32">
        <f>JM28*(1+InputData!$C$8)</f>
        <v>17763.306417214866</v>
      </c>
      <c r="JN29" s="32">
        <f>JJ29/((1+InputData!$C$3)^(Ophtha!$B29-Ophtha!$B$7))</f>
        <v>232555.66262752598</v>
      </c>
      <c r="JO29" s="32">
        <f>JK29/((1+InputData!$C$3)^(Ophtha!$B29-Ophtha!$B$7))</f>
        <v>0</v>
      </c>
      <c r="JP29" s="32" t="s">
        <v>141</v>
      </c>
      <c r="JQ29" s="32">
        <v>0</v>
      </c>
      <c r="JR29" s="32">
        <f t="shared" si="172"/>
        <v>0</v>
      </c>
      <c r="JS29" s="32">
        <f>(JR29)*InputData!$C$6</f>
        <v>0</v>
      </c>
      <c r="JT29" s="32">
        <f>MIN($BE$15*InputData!$C$6/(1-(1+InputData!$C$6)^(-10)), JR29+JS29)</f>
        <v>0</v>
      </c>
      <c r="JU29" s="32">
        <f t="shared" si="148"/>
        <v>0</v>
      </c>
      <c r="JV29" s="32">
        <f>JT29/((1+InputData!$C$3)^(Ophtha!$B29-Ophtha!$B$7))</f>
        <v>0</v>
      </c>
      <c r="JW29" s="32">
        <f>IF(JN29-InputData!$C$158-InputData!$C$159&gt;=0,JN29-InputData!$C$158-InputData!$C$159,0)</f>
        <v>232555.66262752598</v>
      </c>
      <c r="JX29" s="32">
        <f>IF(JN29-IF(JN29&lt;=InputData!$C$146,InputData!$C$145,0)-MAX(InputData!$C$144,KD29)&gt;=0,JN29-IF(JN29&lt;=InputData!$C$146,InputData!$C$145,0)-MAX(InputData!$C$144,KD29),0)</f>
        <v>226455.66262752598</v>
      </c>
      <c r="JY29" s="32">
        <f>IF(JX29&lt;0,"Error",IF(JX29&lt;=InputData!$B$170,InputData!$C$170*JX29,IF(JX29&lt;=InputData!$B$171,InputData!$D$170+InputData!$C$171*(JX29-InputData!$B$170),IF(JX29&lt;=InputData!$B$172,InputData!$D$171+InputData!$C$172*(JX29-InputData!$B$171),IF(JX29&lt;=InputData!$B$173,InputData!$D$172+InputData!$C$173*(JX29-InputData!$B$172),IF(JX29&lt;=InputData!$B$174,InputData!$D$173+InputData!$C$174*(JX29-InputData!$B$173),IF(JX29&lt;=InputData!$B$175,InputData!$D$174+InputData!$C$175*(JX29-InputData!$B$174),InputData!$D$175+InputData!$C$176*(JX29-InputData!$B$175))))))))</f>
        <v>58861.118667083574</v>
      </c>
      <c r="JZ29" s="32">
        <f>IF(JN29&lt;=InputData!$C$150,InputData!$C$152,IF(JN29&lt;InputData!$C$151,IF(InputData!$C$152-0.25*IF(JN29-InputData!$C$150&lt;=0,0,JN29-InputData!$C$150)&lt;=0,0,InputData!$C$152-0.25*IF(JN29-InputData!$C$150&lt;=0,0,JN29-InputData!$C$150)),0))</f>
        <v>22611.084343118506</v>
      </c>
      <c r="KA29" s="32">
        <f>IF(JN29-JZ29&lt;=0,0,IF(JN29-JZ29&lt;=InputData!$C$153,InputData!$C$154*(JN29-JZ29),InputData!$C$155*(JN29-JZ29)-InputData!$D$154))</f>
        <v>55194.481919634098</v>
      </c>
      <c r="KB29" s="32">
        <f t="shared" si="109"/>
        <v>58861.118667083574</v>
      </c>
      <c r="KC29" s="32">
        <f>IF(JN29&gt;=0,IF(JN29&lt;=InputData!$C$148,InputData!$C$147*JN29,InputData!$C$147*InputData!$C$148)+InputData!$C$149*JN29,0)</f>
        <v>10421.457108099126</v>
      </c>
      <c r="KD29" s="32">
        <f>IF(JW29&lt;0,0,IF(JW29&lt;=InputData!$B$163,InputData!$C$163*JW29,IF(JW29&lt;=InputData!$B$164,InputData!$D$163+InputData!$C$164*(JW29-InputData!$B$163),IF(JW29&lt;=InputData!$B$165,InputData!$D$164+InputData!$C$165*(JW29-InputData!$B$164),InputData!$D$165+InputData!$C$166*(JW29-InputData!$B$165)))))</f>
        <v>0</v>
      </c>
      <c r="KE29" s="43">
        <f t="shared" si="34"/>
        <v>0.29791824887166696</v>
      </c>
      <c r="KF29" s="32">
        <f t="shared" si="35"/>
        <v>163273.08685234329</v>
      </c>
      <c r="KG29" s="32">
        <f t="shared" si="110"/>
        <v>163273.08685234329</v>
      </c>
      <c r="KH29" s="32">
        <f>KG29/((1+InputData!$C$7)^(Ophtha!$B29-Ophtha!$B$7))</f>
        <v>85210.999624189033</v>
      </c>
      <c r="KI29" s="5">
        <f t="shared" si="129"/>
        <v>1631530.4018480224</v>
      </c>
    </row>
    <row r="30" spans="1:295" x14ac:dyDescent="0.25">
      <c r="A30" s="4">
        <v>2036</v>
      </c>
      <c r="B30" s="51">
        <v>24</v>
      </c>
      <c r="C30" s="4"/>
      <c r="D30" s="45">
        <v>20</v>
      </c>
      <c r="E30" s="97" t="s">
        <v>266</v>
      </c>
      <c r="F30" s="5">
        <f>InputData!$M$21*12</f>
        <v>109072.79999999999</v>
      </c>
      <c r="G30" s="32">
        <f>(InputData!$M$21+InputData!$J$45+InputData!$G$50)*12+InputData!$J$50+InputData!$D$60+InputData!$J$60</f>
        <v>193064.8</v>
      </c>
      <c r="H30" s="32">
        <f>(InputData!$C$32+InputData!$C$40)*12</f>
        <v>21631.199999999997</v>
      </c>
      <c r="I30" s="32">
        <f t="shared" si="36"/>
        <v>214696</v>
      </c>
      <c r="J30" s="5">
        <f>G30*((1+InputData!$C$5)/(1+InputData!$C$3))^(Ophtha!$B30-Ophtha!$B$7)</f>
        <v>153918.47292749872</v>
      </c>
      <c r="K30" s="5">
        <f>H30*((1+InputData!$C$5)/(1+InputData!$C$3))^(Ophtha!$B30-Ophtha!$B$7)</f>
        <v>17245.200945948251</v>
      </c>
      <c r="L30" s="32">
        <f>IF(J30-InputData!$C$158-InputData!$C$159&gt;=0,J30-InputData!$C$158-InputData!$C$159,0)</f>
        <v>153918.47292749872</v>
      </c>
      <c r="M30" s="32">
        <f>IF(J30-IF(J30&lt;=InputData!$C$146,InputData!$C$145,0)-MAX(InputData!$C$144,S30)&gt;=0,J30-IF(J30&lt;=InputData!$C$146,InputData!$C$145,0)-MAX(InputData!$C$144,S30),0)</f>
        <v>147818.47292749872</v>
      </c>
      <c r="N30" s="32">
        <f>IF(M30&lt;0,"Error",IF(M30&lt;=InputData!$B$170,InputData!$C$170*M30,IF(M30&lt;=InputData!$B$171,InputData!$D$170+InputData!$C$171*(M30-InputData!$B$170),IF(M30&lt;=InputData!$B$172,InputData!$D$171+InputData!$C$172*(M30-InputData!$B$171),IF(M30&lt;=InputData!$B$173,InputData!$D$172+InputData!$C$173*(M30-InputData!$B$172),IF(M30&lt;=InputData!$B$174,InputData!$D$173+InputData!$C$174*(M30-InputData!$B$173),IF(M30&lt;=InputData!$B$175,InputData!$D$174+InputData!$C$175*(M30-InputData!$B$174),InputData!$D$175+InputData!$C$176*(M30-InputData!$B$175))))))))</f>
        <v>34682.422419699644</v>
      </c>
      <c r="O30" s="32">
        <f>IF(J30&lt;=InputData!$C$150,InputData!$C$152,IF(J30&lt;InputData!$C$151,IF(InputData!$C$152-0.25*IF(J30-InputData!$C$150&lt;=0,0,J30-InputData!$C$150)&lt;=0,0,InputData!$C$152-0.25*IF(J30-InputData!$C$150&lt;=0,0,J30-InputData!$C$150)),0))</f>
        <v>42270.38176812532</v>
      </c>
      <c r="P30" s="32">
        <f>IF(J30-O30&lt;=0,0,IF(J30-O30&lt;=InputData!$C$153,InputData!$C$154*(J30-O30),InputData!$C$155*(J30-O30)-InputData!$D$154))</f>
        <v>29028.503701437086</v>
      </c>
      <c r="Q30" s="32">
        <f t="shared" si="37"/>
        <v>34682.422419699644</v>
      </c>
      <c r="R30" s="32">
        <f>IF(J30&gt;=0,IF(J30&lt;=InputData!$C$148,InputData!$C$147*J30,InputData!$C$147*InputData!$C$148)+InputData!$C$149*J30,0)</f>
        <v>9281.2178574487316</v>
      </c>
      <c r="S30" s="32">
        <f>IF(L30&lt;0,0,IF(L30&lt;=InputData!$B$163,InputData!$C$163*L30,IF(L30&lt;=InputData!$B$164,InputData!$D$163+InputData!$C$164*(L30-InputData!$B$163),IF(L30&lt;=InputData!$B$165,InputData!$D$164+InputData!$C$165*(L30-InputData!$B$164),InputData!$D$165+InputData!$C$166*(L30-InputData!$B$165)))))</f>
        <v>0</v>
      </c>
      <c r="T30" s="43">
        <f t="shared" si="38"/>
        <v>0.28562939484110444</v>
      </c>
      <c r="U30" s="43">
        <f t="shared" si="39"/>
        <v>0.25685146434548789</v>
      </c>
      <c r="V30" s="5">
        <f t="shared" si="40"/>
        <v>127200.0335962986</v>
      </c>
      <c r="W30" s="32">
        <f>V30/((1+InputData!$C$7)^(Ophtha!$B30-Ophtha!$B$7))</f>
        <v>64451.207423224441</v>
      </c>
      <c r="X30" s="5">
        <f t="shared" si="111"/>
        <v>1467593.1517484181</v>
      </c>
      <c r="Y30" s="53"/>
      <c r="Z30" s="45">
        <v>20</v>
      </c>
      <c r="AA30" s="97" t="s">
        <v>266</v>
      </c>
      <c r="AB30" s="5">
        <f t="shared" si="136"/>
        <v>109072.79999999999</v>
      </c>
      <c r="AC30" s="32">
        <f t="shared" si="176"/>
        <v>193064.8</v>
      </c>
      <c r="AD30" s="32">
        <f t="shared" si="174"/>
        <v>21631.199999999997</v>
      </c>
      <c r="AE30" s="32">
        <f t="shared" si="41"/>
        <v>214696</v>
      </c>
      <c r="AF30" s="5">
        <f>AC30*((1+InputData!$C$5)/(1+InputData!$C$3))^(Ophtha!$B30-Ophtha!$B$7)</f>
        <v>153918.47292749872</v>
      </c>
      <c r="AG30" s="5">
        <f>AD30*((1+InputData!$C$5)/(1+InputData!$C$3))^(Ophtha!$B30-Ophtha!$B$7)</f>
        <v>17245.200945948251</v>
      </c>
      <c r="AH30" s="32">
        <f>IF(AF30-InputData!$C$158-InputData!$C$159&gt;=0,AF30-InputData!$C$158-InputData!$C$159,0)</f>
        <v>153918.47292749872</v>
      </c>
      <c r="AI30" s="32">
        <f>IF(AF30-IF(AF30&lt;=InputData!$C$146,InputData!$C$145,0)-MAX(InputData!$C$144,AO30)&gt;=0,AF30-IF(AF30&lt;=InputData!$C$146,InputData!$C$145,0)-MAX(InputData!$C$144,AO30),0)</f>
        <v>147818.47292749872</v>
      </c>
      <c r="AJ30" s="32">
        <f>IF(AI30&lt;0,"Error",IF(AI30&lt;=InputData!$B$170,InputData!$C$170*AI30,IF(AI30&lt;=InputData!$B$171,InputData!$D$170+InputData!$C$171*(AI30-InputData!$B$170),IF(AI30&lt;=InputData!$B$172,InputData!$D$171+InputData!$C$172*(AI30-InputData!$B$171),IF(AI30&lt;=InputData!$B$173,InputData!$D$172+InputData!$C$173*(AI30-InputData!$B$172),IF(AI30&lt;=InputData!$B$174,InputData!$D$173+InputData!$C$174*(AI30-InputData!$B$173),IF(AI30&lt;=InputData!$B$175,InputData!$D$174+InputData!$C$175*(AI30-InputData!$B$174),InputData!$D$175+InputData!$C$176*(AI30-InputData!$B$175))))))))</f>
        <v>34682.422419699644</v>
      </c>
      <c r="AK30" s="32">
        <f>IF(AF30&lt;=InputData!$C$150,InputData!$C$152,IF(AF30&lt;InputData!$C$151,IF(InputData!$C$152-0.25*IF(AF30-InputData!$C$150&lt;=0,0,AF30-InputData!$C$150)&lt;=0,0,InputData!$C$152-0.25*IF(AF30-InputData!$C$150&lt;=0,0,AF30-InputData!$C$150)),0))</f>
        <v>42270.38176812532</v>
      </c>
      <c r="AL30" s="32">
        <f>IF(AF30-AK30&lt;=0,0,IF(AF30-AK30&lt;=InputData!$C$153,InputData!$C$154*(AF30-AK30),InputData!$C$155*(AF30-AK30)-InputData!$D$154))</f>
        <v>29028.503701437086</v>
      </c>
      <c r="AM30" s="32">
        <f t="shared" si="42"/>
        <v>34682.422419699644</v>
      </c>
      <c r="AN30" s="32">
        <f>IF(AF30&gt;=0,IF(AF30&lt;=InputData!$C$148,InputData!$C$147*AF30,InputData!$C$147*InputData!$C$148)+InputData!$C$149*AF30,0)</f>
        <v>9281.2178574487316</v>
      </c>
      <c r="AO30" s="32">
        <f>IF(AH30&lt;0,0,IF(AH30&lt;=InputData!$B$163,InputData!$C$163*AH30,IF(AH30&lt;=InputData!$B$164,InputData!$D$163+InputData!$C$164*(AH30-InputData!$B$163),IF(AH30&lt;=InputData!$B$165,InputData!$D$164+InputData!$C$165*(AH30-InputData!$B$164),InputData!$D$165+InputData!$C$166*(AH30-InputData!$B$165)))))</f>
        <v>0</v>
      </c>
      <c r="AP30" s="43">
        <f t="shared" si="43"/>
        <v>0.28562939484110444</v>
      </c>
      <c r="AQ30" s="43">
        <f t="shared" si="44"/>
        <v>0.25685146434548789</v>
      </c>
      <c r="AR30" s="5">
        <f t="shared" si="45"/>
        <v>127200.0335962986</v>
      </c>
      <c r="AS30" s="32">
        <f>AR30/((1+InputData!$C$7)^(Ophtha!$B30-Ophtha!$B$7))</f>
        <v>64451.207423224441</v>
      </c>
      <c r="AT30" s="5">
        <f t="shared" si="112"/>
        <v>1442826.7356323446</v>
      </c>
      <c r="AU30" s="53"/>
      <c r="AV30" s="41" t="s">
        <v>109</v>
      </c>
      <c r="AW30" s="32">
        <f>$AW$15*(1+InputData!$C$3+InputData!$C$4)^(Ophtha!$B30-Ophtha!$B$17)</f>
        <v>370312.11654834822</v>
      </c>
      <c r="AX30" s="32">
        <v>0</v>
      </c>
      <c r="AY30" s="32">
        <f t="shared" si="47"/>
        <v>370312.11654834822</v>
      </c>
      <c r="AZ30" s="32">
        <f>AZ29*(1+InputData!$C$8)</f>
        <v>18118.572545559164</v>
      </c>
      <c r="BA30" s="32">
        <f>AW30/((1+InputData!$C$3)^(Ophtha!$B30-Ophtha!$B$7))</f>
        <v>234835.62010426645</v>
      </c>
      <c r="BB30" s="32">
        <f>AX30/((1+InputData!$C$3)^(Ophtha!$B30-Ophtha!$B$7))</f>
        <v>0</v>
      </c>
      <c r="BC30" s="32" t="s">
        <v>141</v>
      </c>
      <c r="BD30" s="32">
        <v>0</v>
      </c>
      <c r="BE30" s="32">
        <f t="shared" si="158"/>
        <v>0</v>
      </c>
      <c r="BF30" s="32">
        <f>(BE30)*InputData!$C$6</f>
        <v>0</v>
      </c>
      <c r="BG30" s="32">
        <f>MIN($BE$15*InputData!$C$6/(1-(1+InputData!$C$6)^(-10)), BE30+BF30)</f>
        <v>0</v>
      </c>
      <c r="BH30" s="32">
        <f t="shared" si="140"/>
        <v>0</v>
      </c>
      <c r="BI30" s="32">
        <f>BG30/((1+InputData!$C$3)^(Ophtha!$B30-Ophtha!$B$7))</f>
        <v>0</v>
      </c>
      <c r="BJ30" s="32">
        <f>IF(BA30-InputData!$C$158-InputData!$C$159&gt;=0,BA30-InputData!$C$158-InputData!$C$159,0)</f>
        <v>234835.62010426645</v>
      </c>
      <c r="BK30" s="32">
        <f>IF(BA30-IF(BA30&lt;=InputData!$C$146,InputData!$C$145,0)-MAX(InputData!$C$144,BQ30)&gt;=0,BA30-IF(BA30&lt;=InputData!$C$146,InputData!$C$145,0)-MAX(InputData!$C$144,BQ30),0)</f>
        <v>228735.62010426645</v>
      </c>
      <c r="BL30" s="32">
        <f>IF(BK30&lt;0,"Error",IF(BK30&lt;=InputData!$B$170,InputData!$C$170*BK30,IF(BK30&lt;=InputData!$B$171,InputData!$D$170+InputData!$C$171*(BK30-InputData!$B$170),IF(BK30&lt;=InputData!$B$172,InputData!$D$171+InputData!$C$172*(BK30-InputData!$B$171),IF(BK30&lt;=InputData!$B$173,InputData!$D$172+InputData!$C$173*(BK30-InputData!$B$172),IF(BK30&lt;=InputData!$B$174,InputData!$D$173+InputData!$C$174*(BK30-InputData!$B$173),IF(BK30&lt;=InputData!$B$175,InputData!$D$174+InputData!$C$175*(BK30-InputData!$B$174),InputData!$D$175+InputData!$C$176*(BK30-InputData!$B$175))))))))</f>
        <v>59613.504634407931</v>
      </c>
      <c r="BM30" s="32">
        <f>IF(BA30&lt;=InputData!$C$150,InputData!$C$152,IF(BA30&lt;InputData!$C$151,IF(InputData!$C$152-0.25*IF(BA30-InputData!$C$150&lt;=0,0,BA30-InputData!$C$150)&lt;=0,0,InputData!$C$152-0.25*IF(BA30-InputData!$C$150&lt;=0,0,BA30-InputData!$C$150)),0))</f>
        <v>22041.094973933388</v>
      </c>
      <c r="BN30" s="32">
        <f>IF(BA30-BM30&lt;=0,0,IF(BA30-BM30&lt;=InputData!$C$153,InputData!$C$154*(BA30-BM30),InputData!$C$155*(BA30-BM30)-InputData!$D$154))</f>
        <v>55992.467036493261</v>
      </c>
      <c r="BO30" s="32">
        <f t="shared" si="48"/>
        <v>59613.504634407931</v>
      </c>
      <c r="BP30" s="32">
        <f>IF(BA30&gt;=0,IF(BA30&lt;=InputData!$C$148,InputData!$C$147*BA30,InputData!$C$147*InputData!$C$148)+InputData!$C$149*BA30,0)</f>
        <v>10454.516491511864</v>
      </c>
      <c r="BQ30" s="32">
        <f>IF(BJ30&lt;0,0,IF(BJ30&lt;=InputData!$B$163,InputData!$C$163*BJ30,IF(BJ30&lt;=InputData!$B$164,InputData!$D$163+InputData!$C$164*(BJ30-InputData!$B$163),IF(BJ30&lt;=InputData!$B$165,InputData!$D$164+InputData!$C$165*(BJ30-InputData!$B$164),InputData!$D$165+InputData!$C$166*(BJ30-InputData!$B$165)))))</f>
        <v>0</v>
      </c>
      <c r="BR30" s="43">
        <f t="shared" si="49"/>
        <v>0.29837049888262168</v>
      </c>
      <c r="BS30" s="32">
        <f t="shared" si="50"/>
        <v>164767.59897834665</v>
      </c>
      <c r="BT30" s="32">
        <f t="shared" si="51"/>
        <v>164767.59897834665</v>
      </c>
      <c r="BU30" s="32">
        <f>BT30/((1+InputData!$C$7)^(Ophtha!$B30-Ophtha!$B$7))</f>
        <v>83486.382810901239</v>
      </c>
      <c r="BV30" s="5">
        <f t="shared" si="114"/>
        <v>1330766.3105423402</v>
      </c>
      <c r="BW30" s="5"/>
      <c r="BX30" s="32" t="s">
        <v>141</v>
      </c>
      <c r="BY30" s="5">
        <f t="shared" si="159"/>
        <v>150365.81314273708</v>
      </c>
      <c r="BZ30" s="32">
        <f>(BY30)*InputData!$C$6</f>
        <v>9337.7169961639738</v>
      </c>
      <c r="CA30" s="32">
        <f>MIN($BY$15*InputData!$C$6/(1-(1+InputData!$C$6)^(-25)), BY30+BZ30)</f>
        <v>20633.642137763909</v>
      </c>
      <c r="CB30" s="32">
        <f t="shared" si="160"/>
        <v>139069.88800113715</v>
      </c>
      <c r="CC30" s="32">
        <f>CA30/((1+InputData!$C$3)^(Ophtha!$B30-Ophtha!$B$7))</f>
        <v>13084.946265317991</v>
      </c>
      <c r="CD30" s="5">
        <f t="shared" si="55"/>
        <v>151682.65271302866</v>
      </c>
      <c r="CE30" s="32">
        <f>CD30/((1+InputData!$C$7)^(Ophtha!$B30-Ophtha!$B$7))</f>
        <v>76856.348509618663</v>
      </c>
      <c r="CF30" s="5">
        <f t="shared" si="115"/>
        <v>1366533.040684205</v>
      </c>
      <c r="CG30" s="5"/>
      <c r="CH30" s="32" t="s">
        <v>141</v>
      </c>
      <c r="CI30" s="5">
        <f t="shared" si="161"/>
        <v>0</v>
      </c>
      <c r="CJ30" s="32">
        <f>(CI30)*InputData!$C$6</f>
        <v>0</v>
      </c>
      <c r="CK30" s="5">
        <f t="shared" si="162"/>
        <v>0</v>
      </c>
      <c r="CL30" s="32">
        <f t="shared" si="163"/>
        <v>0</v>
      </c>
      <c r="CM30" s="32">
        <f>CK30/((1+InputData!$C$3)^(Ophtha!$B30-Ophtha!$B$7))</f>
        <v>0</v>
      </c>
      <c r="CN30" s="5">
        <f t="shared" si="59"/>
        <v>164767.59897834665</v>
      </c>
      <c r="CO30" s="32">
        <f>CN30/((1+InputData!$C$7)^(Ophtha!$B30-Ophtha!$B$7))</f>
        <v>83486.382810901239</v>
      </c>
      <c r="CP30" s="5">
        <f t="shared" si="149"/>
        <v>1330545.8091172504</v>
      </c>
      <c r="CQ30" s="5"/>
      <c r="CR30" s="32" t="s">
        <v>141</v>
      </c>
      <c r="CS30" s="5">
        <f t="shared" si="164"/>
        <v>14463.96693600429</v>
      </c>
      <c r="CT30" s="32">
        <f>(CS30)*InputData!$C$6</f>
        <v>898.21234672586638</v>
      </c>
      <c r="CU30" s="32">
        <f t="shared" si="165"/>
        <v>15362.179282730156</v>
      </c>
      <c r="CV30" s="32">
        <f t="shared" si="166"/>
        <v>0</v>
      </c>
      <c r="CW30" s="32">
        <f>CU30/((1+InputData!$C$3)^(Ophtha!$B30-Ophtha!$B$7))</f>
        <v>9742.0169008751363</v>
      </c>
      <c r="CX30" s="5">
        <f t="shared" si="63"/>
        <v>155025.58207747151</v>
      </c>
      <c r="CY30" s="32">
        <f>CX30/((1+InputData!$C$7)^(Ophtha!$B30-Ophtha!$B$7))</f>
        <v>78550.183234165175</v>
      </c>
      <c r="CZ30" s="5">
        <f t="shared" si="150"/>
        <v>1325078.7423982376</v>
      </c>
      <c r="DA30" s="5"/>
      <c r="DB30" s="32" t="s">
        <v>141</v>
      </c>
      <c r="DC30" s="5">
        <f t="shared" si="141"/>
        <v>0</v>
      </c>
      <c r="DD30" s="5">
        <f>DC30*InputData!$C$6</f>
        <v>0</v>
      </c>
      <c r="DE30" s="32">
        <f t="shared" si="142"/>
        <v>0</v>
      </c>
      <c r="DF30" s="32">
        <f t="shared" si="143"/>
        <v>0</v>
      </c>
      <c r="DG30" s="32">
        <f>DE30/((1+InputData!$C$3)^(Ophtha!$B30-Ophtha!$B$7))</f>
        <v>0</v>
      </c>
      <c r="DH30" s="5">
        <f t="shared" si="67"/>
        <v>164767.59897834665</v>
      </c>
      <c r="DI30" s="32">
        <f>DH30/((1+InputData!$C$7)^(Ophtha!$B30-Ophtha!$B$7))</f>
        <v>83486.382810901239</v>
      </c>
      <c r="DJ30" s="5">
        <f t="shared" si="130"/>
        <v>1335278.0082145992</v>
      </c>
      <c r="DK30" s="5"/>
      <c r="DL30" s="32" t="s">
        <v>141</v>
      </c>
      <c r="DM30" s="32">
        <f t="shared" si="167"/>
        <v>0</v>
      </c>
      <c r="DN30" s="5">
        <f>DM30*InputData!$C$6</f>
        <v>0</v>
      </c>
      <c r="DO30" s="32">
        <f t="shared" si="168"/>
        <v>0</v>
      </c>
      <c r="DP30" s="32">
        <f t="shared" si="131"/>
        <v>0</v>
      </c>
      <c r="DQ30" s="32">
        <f t="shared" si="132"/>
        <v>0</v>
      </c>
      <c r="DR30" s="32">
        <f>DP30/((1+InputData!$C$3)^(Ophtha!$B30-Ophtha!$B$7))</f>
        <v>0</v>
      </c>
      <c r="DS30" s="5">
        <f t="shared" si="71"/>
        <v>164767.59897834665</v>
      </c>
      <c r="DT30" s="32">
        <f>DS30/((1+InputData!$C$7)^(Ophtha!$B30-Ophtha!$B$7))</f>
        <v>83486.382810901239</v>
      </c>
      <c r="DU30" s="5">
        <f t="shared" si="133"/>
        <v>1329313.8421251103</v>
      </c>
      <c r="DV30" s="5"/>
      <c r="DW30" s="32" t="s">
        <v>141</v>
      </c>
      <c r="DX30" s="133">
        <f t="shared" si="144"/>
        <v>0</v>
      </c>
      <c r="DY30" s="5">
        <f>DX30*InputData!$C$6</f>
        <v>0</v>
      </c>
      <c r="DZ30" s="133">
        <f t="shared" si="145"/>
        <v>0</v>
      </c>
      <c r="EA30" s="32">
        <f t="shared" si="146"/>
        <v>0</v>
      </c>
      <c r="EB30" s="32">
        <f t="shared" si="147"/>
        <v>0</v>
      </c>
      <c r="EC30" s="32">
        <f>EA30/((1+InputData!$C$3)^(Ophtha!$B30-Ophtha!$B$7))</f>
        <v>0</v>
      </c>
      <c r="ED30" s="5">
        <f t="shared" si="75"/>
        <v>164767.59897834665</v>
      </c>
      <c r="EE30" s="32">
        <f>ED30/((1+InputData!$C$7)^(Ophtha!$B30-Ophtha!$B$7))</f>
        <v>83486.382810901239</v>
      </c>
      <c r="EF30" s="5">
        <f t="shared" si="134"/>
        <v>1329156.5710978599</v>
      </c>
      <c r="EG30" s="32"/>
      <c r="EH30" s="133" t="s">
        <v>141</v>
      </c>
      <c r="EI30" s="32">
        <v>0</v>
      </c>
      <c r="EJ30" s="32">
        <f t="shared" si="175"/>
        <v>18088.97599623007</v>
      </c>
      <c r="EK30" s="32">
        <f>(EJ30)*InputData!$C$6</f>
        <v>1123.3254093658875</v>
      </c>
      <c r="EL30" s="32">
        <f t="shared" si="173"/>
        <v>0</v>
      </c>
      <c r="EM30" s="32">
        <f>EM29*(1+InputData!$C$8)</f>
        <v>18118.572545559164</v>
      </c>
      <c r="EN30" s="32">
        <f t="shared" si="152"/>
        <v>19212.301405595957</v>
      </c>
      <c r="EO30" s="32">
        <f>AW30/((1+InputData!$C$3)^(Ophtha!$B30-Ophtha!$B$7))</f>
        <v>234835.62010426645</v>
      </c>
      <c r="EP30" s="32">
        <f>AX30/((1+InputData!$C$3)^(Ophtha!$B30-Ophtha!$B$7))</f>
        <v>0</v>
      </c>
      <c r="EQ30" s="32">
        <v>59606.92</v>
      </c>
      <c r="ER30" s="32">
        <v>9165.4950000000008</v>
      </c>
      <c r="ES30" s="32">
        <v>0</v>
      </c>
      <c r="ET30" s="43">
        <f t="shared" si="139"/>
        <v>0.29285342219151084</v>
      </c>
      <c r="EU30" s="32">
        <f t="shared" si="76"/>
        <v>166063.20510426647</v>
      </c>
      <c r="EV30" s="32">
        <f>EN30/((1+InputData!$C$3)^(Ophtha!$B30-Ophtha!$B$7))</f>
        <v>12183.594628949015</v>
      </c>
      <c r="EW30" s="32">
        <f t="shared" si="77"/>
        <v>153879.61047531746</v>
      </c>
      <c r="EX30" s="32">
        <f>EW30/((1+InputData!$C$7)^(Ophtha!$B30-Ophtha!$B$7))</f>
        <v>77969.528879418955</v>
      </c>
      <c r="EY30" s="5">
        <f t="shared" si="124"/>
        <v>1413116.9240381534</v>
      </c>
      <c r="EZ30" s="79"/>
      <c r="FA30" s="32">
        <f t="shared" si="153"/>
        <v>0</v>
      </c>
      <c r="FB30" s="32">
        <f>FA30*InputData!$C$6</f>
        <v>0</v>
      </c>
      <c r="FC30" s="32">
        <f t="shared" si="154"/>
        <v>0</v>
      </c>
      <c r="FD30" s="32">
        <f>MIN($EJ$15*InputData!$C$6/(1-(1+InputData!$C$6)^(-10)), FA30+FB30)</f>
        <v>0</v>
      </c>
      <c r="FE30" s="32">
        <f>FD30/((1+InputData!$C$3)^(Ophtha!$B30-Ophtha!$B$7))</f>
        <v>0</v>
      </c>
      <c r="FF30" s="5">
        <f t="shared" si="81"/>
        <v>166063.20510426647</v>
      </c>
      <c r="FG30" s="32">
        <f>FF30/((1+InputData!$C$7)^(Ophtha!$B30-Ophtha!$B$7))</f>
        <v>84142.855744119777</v>
      </c>
      <c r="FH30" s="5">
        <f t="shared" si="125"/>
        <v>1418943.5157259658</v>
      </c>
      <c r="FI30" s="79"/>
      <c r="FJ30" s="32">
        <f t="shared" si="155"/>
        <v>151219.64818669998</v>
      </c>
      <c r="FK30" s="32">
        <f>FJ30*InputData!$C$6</f>
        <v>9390.7401523940698</v>
      </c>
      <c r="FL30" s="32">
        <f t="shared" si="170"/>
        <v>139859.58042824923</v>
      </c>
      <c r="FM30" s="32">
        <f>MIN($EJ$15*InputData!$C$6/(1-(1+InputData!$C$6)^(-25)), FJ30+FK30)</f>
        <v>20750.807910844829</v>
      </c>
      <c r="FN30" s="32">
        <f>FM30/((1+InputData!$C$3)^(Ophtha!$B30-Ophtha!$B$7))</f>
        <v>13159.247633668874</v>
      </c>
      <c r="FO30" s="5">
        <f t="shared" si="85"/>
        <v>152903.95747059758</v>
      </c>
      <c r="FP30" s="32">
        <f>FO30/((1+InputData!$C$7)^(Ophtha!$B30-Ophtha!$B$7))</f>
        <v>77475.173552596767</v>
      </c>
      <c r="FQ30" s="5">
        <f t="shared" si="126"/>
        <v>1454913.3431474904</v>
      </c>
      <c r="FR30" s="79"/>
      <c r="FS30" s="32">
        <f t="shared" si="156"/>
        <v>0</v>
      </c>
      <c r="FT30" s="32">
        <f>FS30*InputData!$C$6</f>
        <v>0</v>
      </c>
      <c r="FU30" s="32">
        <f t="shared" si="171"/>
        <v>0</v>
      </c>
      <c r="FV30" s="5">
        <f t="shared" si="157"/>
        <v>0</v>
      </c>
      <c r="FW30" s="32">
        <f>FV30/((1+InputData!$C$3)^(Ophtha!$B30-Ophtha!$B$7))</f>
        <v>0</v>
      </c>
      <c r="FX30" s="5">
        <f t="shared" si="88"/>
        <v>166063.20510426647</v>
      </c>
      <c r="FY30" s="32">
        <f>FX30/((1+InputData!$C$7)^(Ophtha!$B30-Ophtha!$B$7))</f>
        <v>84142.855744119777</v>
      </c>
      <c r="FZ30" s="5">
        <f t="shared" si="127"/>
        <v>1418682.9068548826</v>
      </c>
      <c r="GC30" s="45">
        <f t="shared" si="2"/>
        <v>20</v>
      </c>
      <c r="GD30" s="123" t="str">
        <f t="shared" si="3"/>
        <v>Multi-Year (O6&gt;18= (BP+BAH+BAS+VSP+BCPSP)*12+ASP+ISP+MSP)</v>
      </c>
      <c r="GE30" s="5">
        <f t="shared" si="4"/>
        <v>193064.8</v>
      </c>
      <c r="GF30" s="5">
        <f t="shared" si="5"/>
        <v>21631.199999999997</v>
      </c>
      <c r="GG30" s="5">
        <f t="shared" si="6"/>
        <v>214696</v>
      </c>
      <c r="GH30" s="5">
        <f t="shared" si="7"/>
        <v>153918.47292749872</v>
      </c>
      <c r="GI30" s="5">
        <f t="shared" si="8"/>
        <v>17245.200945948251</v>
      </c>
      <c r="GJ30" s="32">
        <f>IF(GH30-InputData!$C$158-InputData!$C$159&gt;=0,GH30-InputData!$C$158-InputData!$C$159,0)</f>
        <v>153918.47292749872</v>
      </c>
      <c r="GK30" s="32">
        <f>IF(GH30-IF(GH30&lt;=InputData!$C$146,InputData!$C$145,0)-MAX(InputData!$C$144,GQ30)&gt;=0,GH30-IF(GH30&lt;=InputData!$C$146,InputData!$C$145,0)-MAX(InputData!$C$144,GQ30),0)</f>
        <v>147818.47292749872</v>
      </c>
      <c r="GL30" s="32">
        <f>IF(GK30&lt;0,"Error",IF(GK30&lt;=InputData!$B$170,InputData!$C$170*GK30,IF(GK30&lt;=InputData!$B$171,InputData!$D$170+InputData!$C$171*(GK30-InputData!$B$170),IF(GK30&lt;=InputData!$B$172,InputData!$D$171+InputData!$C$172*(GK30-InputData!$B$171),IF(GK30&lt;=InputData!$B$173,InputData!$D$172+InputData!$C$173*(GK30-InputData!$B$172),IF(GK30&lt;=InputData!$B$174,InputData!$D$173+InputData!$C$174*(GK30-InputData!$B$173),IF(GK30&lt;=InputData!$B$175,InputData!$D$174+InputData!$C$175*(GK30-InputData!$B$174),InputData!$D$175+InputData!$C$176*(GK30-InputData!$B$175))))))))</f>
        <v>34682.422419699644</v>
      </c>
      <c r="GM30" s="32">
        <f>IF(GH30&lt;=InputData!$C$150,InputData!$C$152,IF(GH30&lt;InputData!$C$151,IF(InputData!$C$152-0.25*IF(GH30-InputData!$C$150&lt;=0,0,GH30-InputData!$C$150)&lt;=0,0,InputData!$C$152-0.25*IF(GH30-InputData!$C$150&lt;=0,0,GH30-InputData!$C$150)),0))</f>
        <v>42270.38176812532</v>
      </c>
      <c r="GN30" s="32">
        <f>IF(GH30-GM30&lt;=0,0,IF(GH30-GM30&lt;=InputData!$C$153,InputData!$C$154*(GH30-GM30),InputData!$C$155*(GH30-GM30)-InputData!$D$154))</f>
        <v>29028.503701437086</v>
      </c>
      <c r="GO30" s="32">
        <f t="shared" si="89"/>
        <v>34682.422419699644</v>
      </c>
      <c r="GP30" s="32">
        <f>IF(GH30&gt;=0,IF(GH30&lt;=InputData!$C$148,InputData!$C$147*GH30,InputData!$C$147*InputData!$C$148)+InputData!$C$149*GH30,0)</f>
        <v>9281.2178574487316</v>
      </c>
      <c r="GQ30" s="32">
        <f>IF(GJ30&lt;0,0,IF(GJ30&lt;=InputData!$B$163,InputData!$C$163*GJ30,IF(GJ30&lt;=InputData!$B$164,InputData!$D$163+InputData!$C$164*(GJ30-InputData!$B$163),IF(GJ30&lt;=InputData!$B$165,InputData!$D$164+InputData!$C$165*(GJ30-InputData!$B$164),InputData!$D$165+InputData!$C$166*(GJ30-InputData!$B$165)))))</f>
        <v>0</v>
      </c>
      <c r="GR30" s="43">
        <f t="shared" si="90"/>
        <v>0.28562939484110444</v>
      </c>
      <c r="GS30" s="43">
        <f t="shared" si="91"/>
        <v>0.25685146434548789</v>
      </c>
      <c r="GT30" s="5">
        <f t="shared" si="9"/>
        <v>127200.0335962986</v>
      </c>
      <c r="GU30" s="32">
        <f>GT30/((1+InputData!$C$7)^(Ophtha!$B30-Ophtha!$B$7))</f>
        <v>64451.207423224441</v>
      </c>
      <c r="GV30" s="32">
        <f t="shared" si="92"/>
        <v>1467593.1517484181</v>
      </c>
      <c r="GX30" s="45">
        <f t="shared" si="10"/>
        <v>20</v>
      </c>
      <c r="GY30" s="123" t="str">
        <f t="shared" si="11"/>
        <v>Multi-Year (O6&gt;18= (BP+BAH+BAS+VSP+BCPSP)*12+ASP+ISP+MSP)</v>
      </c>
      <c r="GZ30" s="5">
        <f t="shared" si="12"/>
        <v>193064.8</v>
      </c>
      <c r="HA30" s="5">
        <f t="shared" si="13"/>
        <v>21631.199999999997</v>
      </c>
      <c r="HB30" s="5">
        <f t="shared" si="14"/>
        <v>214696</v>
      </c>
      <c r="HC30" s="5">
        <f t="shared" si="15"/>
        <v>153918.47292749872</v>
      </c>
      <c r="HD30" s="5">
        <f t="shared" si="16"/>
        <v>17245.200945948251</v>
      </c>
      <c r="HE30" s="32">
        <f>IF(HC30-InputData!$C$158-InputData!$C$159&gt;=0,HC30-InputData!$C$158-InputData!$C$159,0)</f>
        <v>153918.47292749872</v>
      </c>
      <c r="HF30" s="32">
        <f>IF(HC30-IF(HC30&lt;=InputData!$C$146,InputData!$C$145,0)-MAX(InputData!$C$144,HL30)&gt;=0,HC30-IF(HC30&lt;=InputData!$C$146,InputData!$C$145,0)-MAX(InputData!$C$144,HL30),0)</f>
        <v>147818.47292749872</v>
      </c>
      <c r="HG30" s="32">
        <f>IF(HF30&lt;0,"Error",IF(HF30&lt;=InputData!$B$170,InputData!$C$170*HF30,IF(HF30&lt;=InputData!$B$171,InputData!$D$170+InputData!$C$171*(HF30-InputData!$B$170),IF(HF30&lt;=InputData!$B$172,InputData!$D$171+InputData!$C$172*(HF30-InputData!$B$171),IF(HF30&lt;=InputData!$B$173,InputData!$D$172+InputData!$C$173*(HF30-InputData!$B$172),IF(HF30&lt;=InputData!$B$174,InputData!$D$173+InputData!$C$174*(HF30-InputData!$B$173),IF(HF30&lt;=InputData!$B$175,InputData!$D$174+InputData!$C$175*(HF30-InputData!$B$174),InputData!$D$175+InputData!$C$176*(HF30-InputData!$B$175))))))))</f>
        <v>34682.422419699644</v>
      </c>
      <c r="HH30" s="32">
        <f>IF(HC30&lt;=InputData!$C$150,InputData!$C$152,IF(HC30&lt;InputData!$C$151,IF(InputData!$C$152-0.25*IF(HC30-InputData!$C$150&lt;=0,0,HC30-InputData!$C$150)&lt;=0,0,InputData!$C$152-0.25*IF(HC30-InputData!$C$150&lt;=0,0,HC30-InputData!$C$150)),0))</f>
        <v>42270.38176812532</v>
      </c>
      <c r="HI30" s="32">
        <f>IF(HC30-HH30&lt;=0,0,IF(HC30-HH30&lt;=InputData!$C$153,InputData!$C$154*(HC30-HH30),InputData!$C$155*(HC30-HH30)-InputData!$D$154))</f>
        <v>29028.503701437086</v>
      </c>
      <c r="HJ30" s="32">
        <f t="shared" si="93"/>
        <v>34682.422419699644</v>
      </c>
      <c r="HK30" s="32">
        <f>IF(HC30&gt;=0,IF(HC30&lt;=InputData!$C$148,InputData!$C$147*HC30,InputData!$C$147*InputData!$C$148)+InputData!$C$149*HC30,0)</f>
        <v>9281.2178574487316</v>
      </c>
      <c r="HL30" s="32">
        <f>IF(HE30&lt;0,0,IF(HE30&lt;=InputData!$B$163,InputData!$C$163*HE30,IF(HE30&lt;=InputData!$B$164,InputData!$D$163+InputData!$C$164*(HE30-InputData!$B$163),IF(HE30&lt;=InputData!$B$165,InputData!$D$164+InputData!$C$165*(HE30-InputData!$B$164),InputData!$D$165+InputData!$C$166*(HE30-InputData!$B$165)))))</f>
        <v>0</v>
      </c>
      <c r="HM30" s="43">
        <f t="shared" si="94"/>
        <v>0.28562939484110444</v>
      </c>
      <c r="HN30" s="43">
        <f t="shared" si="95"/>
        <v>0.25685146434548789</v>
      </c>
      <c r="HO30" s="5">
        <f t="shared" si="17"/>
        <v>127200.0335962986</v>
      </c>
      <c r="HP30" s="32">
        <f>HO30/((1+InputData!$C$7)^(Ophtha!$B30-Ophtha!$B$7))</f>
        <v>64451.207423224441</v>
      </c>
      <c r="HQ30" s="32">
        <f t="shared" si="96"/>
        <v>1442826.7356323446</v>
      </c>
      <c r="HS30" s="94"/>
      <c r="HT30" s="53" t="s">
        <v>109</v>
      </c>
      <c r="HU30" s="32">
        <f>MIN(InputData!$C$13+InputData!$E$13*($B30-$B$22),1)*Ophtha!AW30</f>
        <v>333280.90489351342</v>
      </c>
      <c r="HV30" s="32">
        <f>MIN(InputData!$C$13+InputData!$E$13*($B30-$B$22),1)*Ophtha!AX30</f>
        <v>0</v>
      </c>
      <c r="HW30" s="32">
        <f>MIN(InputData!$C$13+InputData!$E$13*($B30-$B$22),1)*Ophtha!AY30</f>
        <v>333280.90489351342</v>
      </c>
      <c r="HX30" s="32">
        <f>MIN(InputData!$C$13+InputData!$E$13*($B30-$B$22),1)*Ophtha!BA30</f>
        <v>211352.05809383982</v>
      </c>
      <c r="HY30" s="32">
        <f>MIN(InputData!$C$13+InputData!$E$13*($B30-$B$22),1)*Ophtha!BB30</f>
        <v>0</v>
      </c>
      <c r="HZ30" s="32">
        <f>IF(HX30-InputData!$C$158-InputData!$C$159&gt;=0,HX30-InputData!$C$158-InputData!$C$159,0)</f>
        <v>211352.05809383982</v>
      </c>
      <c r="IA30" s="32">
        <f>IF(HX30-IF(HX30&lt;=InputData!$C$146,InputData!$C$145,0)-MAX(InputData!$C$144,IG30)&gt;=0,HX30-IF(HX30&lt;=InputData!$C$146,InputData!$C$145,0)-MAX(InputData!$C$144,IG30),0)</f>
        <v>205252.05809383982</v>
      </c>
      <c r="IB30" s="32">
        <f>IF(IA30&lt;0,"Error",IF(IA30&lt;=InputData!$B$170,InputData!$C$170*IA30,IF(IA30&lt;=InputData!$B$171,InputData!$D$170+InputData!$C$171*(IA30-InputData!$B$170),IF(IA30&lt;=InputData!$B$172,InputData!$D$171+InputData!$C$172*(IA30-InputData!$B$171),IF(IA30&lt;=InputData!$B$173,InputData!$D$172+InputData!$C$173*(IA30-InputData!$B$172),IF(IA30&lt;=InputData!$B$174,InputData!$D$173+InputData!$C$174*(IA30-InputData!$B$173),IF(IA30&lt;=InputData!$B$175,InputData!$D$174+InputData!$C$175*(IA30-InputData!$B$174),InputData!$D$175+InputData!$C$176*(IA30-InputData!$B$175))))))))</f>
        <v>51863.929170967138</v>
      </c>
      <c r="IC30" s="32">
        <f>IF(HX30&lt;=InputData!$C$150,InputData!$C$152,IF(HX30&lt;InputData!$C$151,IF(InputData!$C$152-0.25*IF(HX30-InputData!$C$150&lt;=0,0,HX30-InputData!$C$150)&lt;=0,0,InputData!$C$152-0.25*IF(HX30-InputData!$C$150&lt;=0,0,HX30-InputData!$C$150)),0))</f>
        <v>27911.985476540045</v>
      </c>
      <c r="ID30" s="32">
        <f>IF(HX30-IC30&lt;=0,0,IF(HX30-IC30&lt;=InputData!$C$153,InputData!$C$154*(HX30-IC30),InputData!$C$155*(HX30-IC30)-InputData!$D$154))</f>
        <v>47773.220332843943</v>
      </c>
      <c r="IE30" s="32">
        <f t="shared" si="97"/>
        <v>51863.929170967138</v>
      </c>
      <c r="IF30" s="32">
        <f>IF(HX30&gt;=0,IF(HX30&lt;=InputData!$C$148,InputData!$C$147*HX30,InputData!$C$147*InputData!$C$148)+InputData!$C$149*HX30,0)</f>
        <v>10114.004842360677</v>
      </c>
      <c r="IG30" s="32">
        <f>IF(HZ30&lt;0,0,IF(HZ30&lt;=InputData!$B$163,InputData!$C$163*HZ30,IF(HZ30&lt;=InputData!$B$164,InputData!$D$163+InputData!$C$164*(HZ30-InputData!$B$163),IF(HZ30&lt;=InputData!$B$165,InputData!$D$164+InputData!$C$165*(HZ30-InputData!$B$164),InputData!$D$165+InputData!$C$166*(HZ30-InputData!$B$165)))))</f>
        <v>0</v>
      </c>
      <c r="IH30" s="43">
        <f t="shared" si="98"/>
        <v>0.29324499875846849</v>
      </c>
      <c r="II30" s="43">
        <f t="shared" si="99"/>
        <v>0.29324499875846849</v>
      </c>
      <c r="IJ30" s="5">
        <f t="shared" si="100"/>
        <v>149374.124080512</v>
      </c>
      <c r="IK30" s="32">
        <f>IJ30/((1+InputData!$C$7)^(Ophtha!$B30-Ophtha!$B$7))</f>
        <v>75686.636100508782</v>
      </c>
      <c r="IL30" s="5">
        <f t="shared" si="101"/>
        <v>1575418.8307070979</v>
      </c>
      <c r="IN30" s="94"/>
      <c r="IO30" s="53" t="s">
        <v>109</v>
      </c>
      <c r="IP30" s="32">
        <f>MIN(InputData!$C$13+InputData!$E$13*($B30-$B$19),1)*Ophtha!AW30</f>
        <v>333280.90489351342</v>
      </c>
      <c r="IQ30" s="32">
        <f>MIN(InputData!$C$13+InputData!$E$13*($B30-$B$19),1)*Ophtha!AX30</f>
        <v>0</v>
      </c>
      <c r="IR30" s="32">
        <f>MIN(InputData!$C$13+InputData!$E$13*($B30-$B$19),1)*Ophtha!AY30</f>
        <v>333280.90489351342</v>
      </c>
      <c r="IS30" s="32">
        <f>MIN(InputData!$C$13+InputData!$E$13*($B30-$B$19),1)*Ophtha!BA30</f>
        <v>211352.05809383982</v>
      </c>
      <c r="IT30" s="32">
        <f>MIN(InputData!$C$13+InputData!$E$13*($B30-$B$19),1)*Ophtha!BB30</f>
        <v>0</v>
      </c>
      <c r="IU30" s="32">
        <f>IF(IS30-InputData!$C$158-InputData!$C$159&gt;=0,IS30-InputData!$C$158-InputData!$C$159,0)</f>
        <v>211352.05809383982</v>
      </c>
      <c r="IV30" s="32">
        <f>IF(IS30-IF(IS30&lt;=InputData!$C$146,InputData!$C$145,0)-MAX(InputData!$C$144,JB30)&gt;=0,IS30-IF(IS30&lt;=InputData!$C$146,InputData!$C$145,0)-MAX(InputData!$C$144,JB30),0)</f>
        <v>205252.05809383982</v>
      </c>
      <c r="IW30" s="32">
        <f>IF(IV30&lt;0,"Error",IF(IV30&lt;=InputData!$B$170,InputData!$C$170*IV30,IF(IV30&lt;=InputData!$B$171,InputData!$D$170+InputData!$C$171*(IV30-InputData!$B$170),IF(IV30&lt;=InputData!$B$172,InputData!$D$171+InputData!$C$172*(IV30-InputData!$B$171),IF(IV30&lt;=InputData!$B$173,InputData!$D$172+InputData!$C$173*(IV30-InputData!$B$172),IF(IV30&lt;=InputData!$B$174,InputData!$D$173+InputData!$C$174*(IV30-InputData!$B$173),IF(IV30&lt;=InputData!$B$175,InputData!$D$174+InputData!$C$175*(IV30-InputData!$B$174),InputData!$D$175+InputData!$C$176*(IV30-InputData!$B$175))))))))</f>
        <v>51863.929170967138</v>
      </c>
      <c r="IX30" s="32">
        <f>IF(IS30&lt;=InputData!$C$150,InputData!$C$152,IF(IS30&lt;InputData!$C$151,IF(InputData!$C$152-0.25*IF(IS30-InputData!$C$150&lt;=0,0,IS30-InputData!$C$150)&lt;=0,0,InputData!$C$152-0.25*IF(IS30-InputData!$C$150&lt;=0,0,IS30-InputData!$C$150)),0))</f>
        <v>27911.985476540045</v>
      </c>
      <c r="IY30" s="32">
        <f>IF(IS30-IX30&lt;=0,0,IF(IS30-IX30&lt;=InputData!$C$153,InputData!$C$154*(IS30-IX30),InputData!$C$155*(IS30-IX30)-InputData!$D$154))</f>
        <v>47773.220332843943</v>
      </c>
      <c r="IZ30" s="32">
        <f t="shared" si="102"/>
        <v>51863.929170967138</v>
      </c>
      <c r="JA30" s="32">
        <f>IF(IS30&gt;=0,IF(IS30&lt;=InputData!$C$148,InputData!$C$147*IS30,InputData!$C$147*InputData!$C$148)+InputData!$C$149*IS30,0)</f>
        <v>10114.004842360677</v>
      </c>
      <c r="JB30" s="32">
        <f>IF(IU30&lt;0,0,IF(IU30&lt;=InputData!$B$163,InputData!$C$163*IU30,IF(IU30&lt;=InputData!$B$164,InputData!$D$163+InputData!$C$164*(IU30-InputData!$B$163),IF(IU30&lt;=InputData!$B$165,InputData!$D$164+InputData!$C$165*(IU30-InputData!$B$164),InputData!$D$165+InputData!$C$166*(IU30-InputData!$B$165)))))</f>
        <v>0</v>
      </c>
      <c r="JC30" s="43">
        <f t="shared" si="103"/>
        <v>0.29324499875846849</v>
      </c>
      <c r="JD30" s="43">
        <f t="shared" si="104"/>
        <v>0.29324499875846849</v>
      </c>
      <c r="JE30" s="5">
        <f t="shared" si="105"/>
        <v>149374.124080512</v>
      </c>
      <c r="JF30" s="32">
        <f>JE30/((1+InputData!$C$7)^(Ophtha!$B30-Ophtha!$B$7))</f>
        <v>75686.636100508782</v>
      </c>
      <c r="JG30" s="5">
        <f t="shared" si="106"/>
        <v>1585545.0024069429</v>
      </c>
      <c r="JI30" s="41" t="str">
        <f t="shared" si="32"/>
        <v>Private Practice</v>
      </c>
      <c r="JJ30" s="5">
        <f t="shared" si="33"/>
        <v>370312.11654834822</v>
      </c>
      <c r="JK30" s="32">
        <v>0</v>
      </c>
      <c r="JL30" s="32">
        <f t="shared" si="108"/>
        <v>370312.11654834822</v>
      </c>
      <c r="JM30" s="32">
        <f>JM29*(1+InputData!$C$8)</f>
        <v>18118.572545559164</v>
      </c>
      <c r="JN30" s="32">
        <f>JJ30/((1+InputData!$C$3)^(Ophtha!$B30-Ophtha!$B$7))</f>
        <v>234835.62010426645</v>
      </c>
      <c r="JO30" s="32">
        <f>JK30/((1+InputData!$C$3)^(Ophtha!$B30-Ophtha!$B$7))</f>
        <v>0</v>
      </c>
      <c r="JP30" s="32" t="s">
        <v>141</v>
      </c>
      <c r="JQ30" s="32">
        <v>0</v>
      </c>
      <c r="JR30" s="32">
        <f t="shared" si="172"/>
        <v>0</v>
      </c>
      <c r="JS30" s="32">
        <f>(JR30)*InputData!$C$6</f>
        <v>0</v>
      </c>
      <c r="JT30" s="32">
        <f>MIN($BE$15*InputData!$C$6/(1-(1+InputData!$C$6)^(-10)), JR30+JS30)</f>
        <v>0</v>
      </c>
      <c r="JU30" s="32">
        <f t="shared" si="148"/>
        <v>0</v>
      </c>
      <c r="JV30" s="32">
        <f>JT30/((1+InputData!$C$3)^(Ophtha!$B30-Ophtha!$B$7))</f>
        <v>0</v>
      </c>
      <c r="JW30" s="32">
        <f>IF(JN30-InputData!$C$158-InputData!$C$159&gt;=0,JN30-InputData!$C$158-InputData!$C$159,0)</f>
        <v>234835.62010426645</v>
      </c>
      <c r="JX30" s="32">
        <f>IF(JN30-IF(JN30&lt;=InputData!$C$146,InputData!$C$145,0)-MAX(InputData!$C$144,KD30)&gt;=0,JN30-IF(JN30&lt;=InputData!$C$146,InputData!$C$145,0)-MAX(InputData!$C$144,KD30),0)</f>
        <v>228735.62010426645</v>
      </c>
      <c r="JY30" s="32">
        <f>IF(JX30&lt;0,"Error",IF(JX30&lt;=InputData!$B$170,InputData!$C$170*JX30,IF(JX30&lt;=InputData!$B$171,InputData!$D$170+InputData!$C$171*(JX30-InputData!$B$170),IF(JX30&lt;=InputData!$B$172,InputData!$D$171+InputData!$C$172*(JX30-InputData!$B$171),IF(JX30&lt;=InputData!$B$173,InputData!$D$172+InputData!$C$173*(JX30-InputData!$B$172),IF(JX30&lt;=InputData!$B$174,InputData!$D$173+InputData!$C$174*(JX30-InputData!$B$173),IF(JX30&lt;=InputData!$B$175,InputData!$D$174+InputData!$C$175*(JX30-InputData!$B$174),InputData!$D$175+InputData!$C$176*(JX30-InputData!$B$175))))))))</f>
        <v>59613.504634407931</v>
      </c>
      <c r="JZ30" s="32">
        <f>IF(JN30&lt;=InputData!$C$150,InputData!$C$152,IF(JN30&lt;InputData!$C$151,IF(InputData!$C$152-0.25*IF(JN30-InputData!$C$150&lt;=0,0,JN30-InputData!$C$150)&lt;=0,0,InputData!$C$152-0.25*IF(JN30-InputData!$C$150&lt;=0,0,JN30-InputData!$C$150)),0))</f>
        <v>22041.094973933388</v>
      </c>
      <c r="KA30" s="32">
        <f>IF(JN30-JZ30&lt;=0,0,IF(JN30-JZ30&lt;=InputData!$C$153,InputData!$C$154*(JN30-JZ30),InputData!$C$155*(JN30-JZ30)-InputData!$D$154))</f>
        <v>55992.467036493261</v>
      </c>
      <c r="KB30" s="32">
        <f t="shared" si="109"/>
        <v>59613.504634407931</v>
      </c>
      <c r="KC30" s="32">
        <f>IF(JN30&gt;=0,IF(JN30&lt;=InputData!$C$148,InputData!$C$147*JN30,InputData!$C$147*InputData!$C$148)+InputData!$C$149*JN30,0)</f>
        <v>10454.516491511864</v>
      </c>
      <c r="KD30" s="32">
        <f>IF(JW30&lt;0,0,IF(JW30&lt;=InputData!$B$163,InputData!$C$163*JW30,IF(JW30&lt;=InputData!$B$164,InputData!$D$163+InputData!$C$164*(JW30-InputData!$B$163),IF(JW30&lt;=InputData!$B$165,InputData!$D$164+InputData!$C$165*(JW30-InputData!$B$164),InputData!$D$165+InputData!$C$166*(JW30-InputData!$B$165)))))</f>
        <v>0</v>
      </c>
      <c r="KE30" s="43">
        <f t="shared" si="34"/>
        <v>0.29837049888262168</v>
      </c>
      <c r="KF30" s="32">
        <f t="shared" si="35"/>
        <v>164767.59897834665</v>
      </c>
      <c r="KG30" s="32">
        <f t="shared" si="110"/>
        <v>164767.59897834665</v>
      </c>
      <c r="KH30" s="32">
        <f>KG30/((1+InputData!$C$7)^(Ophtha!$B30-Ophtha!$B$7))</f>
        <v>83486.382810901239</v>
      </c>
      <c r="KI30" s="5">
        <f t="shared" si="129"/>
        <v>1715016.7846589235</v>
      </c>
    </row>
    <row r="31" spans="1:295" x14ac:dyDescent="0.25">
      <c r="A31" s="4">
        <v>2037</v>
      </c>
      <c r="B31" s="51">
        <v>25</v>
      </c>
      <c r="C31" s="4"/>
      <c r="D31" s="45">
        <v>25</v>
      </c>
      <c r="E31" s="97" t="s">
        <v>271</v>
      </c>
      <c r="F31" s="5">
        <f>InputData!$P$21*12</f>
        <v>120412.79999999999</v>
      </c>
      <c r="G31" s="47">
        <f>(InputData!$P$21+InputData!$K$45+InputData!$G$50)*12+InputData!$J$50+InputData!$D$60+InputData!$J$60</f>
        <v>203412.76</v>
      </c>
      <c r="H31" s="32">
        <f>(InputData!$C$32+InputData!$C$40)*12</f>
        <v>21631.199999999997</v>
      </c>
      <c r="I31" s="32">
        <f t="shared" si="36"/>
        <v>225043.96000000002</v>
      </c>
      <c r="J31" s="5">
        <f>G31*((1+InputData!$C$5)/(1+InputData!$C$3))^(Ophtha!$B31-Ophtha!$B$7)</f>
        <v>160578.36848144027</v>
      </c>
      <c r="K31" s="5">
        <f>H31*((1+InputData!$C$5)/(1+InputData!$C$3))^(Ophtha!$B31-Ophtha!$B$7)</f>
        <v>17076.130348438957</v>
      </c>
      <c r="L31" s="32">
        <f>IF(J31-InputData!$C$158-InputData!$C$159&gt;=0,J31-InputData!$C$158-InputData!$C$159,0)</f>
        <v>160578.36848144027</v>
      </c>
      <c r="M31" s="32">
        <f>IF(J31-IF(J31&lt;=InputData!$C$146,InputData!$C$145,0)-MAX(InputData!$C$144,S31)&gt;=0,J31-IF(J31&lt;=InputData!$C$146,InputData!$C$145,0)-MAX(InputData!$C$144,S31),0)</f>
        <v>154478.36848144027</v>
      </c>
      <c r="N31" s="32">
        <f>IF(M31&lt;0,"Error",IF(M31&lt;=InputData!$B$170,InputData!$C$170*M31,IF(M31&lt;=InputData!$B$171,InputData!$D$170+InputData!$C$171*(M31-InputData!$B$170),IF(M31&lt;=InputData!$B$172,InputData!$D$171+InputData!$C$172*(M31-InputData!$B$171),IF(M31&lt;=InputData!$B$173,InputData!$D$172+InputData!$C$173*(M31-InputData!$B$172),IF(M31&lt;=InputData!$B$174,InputData!$D$173+InputData!$C$174*(M31-InputData!$B$173),IF(M31&lt;=InputData!$B$175,InputData!$D$174+InputData!$C$175*(M31-InputData!$B$174),InputData!$D$175+InputData!$C$176*(M31-InputData!$B$175))))))))</f>
        <v>36547.19317480328</v>
      </c>
      <c r="O31" s="32">
        <f>IF(J31&lt;=InputData!$C$150,InputData!$C$152,IF(J31&lt;InputData!$C$151,IF(InputData!$C$152-0.25*IF(J31-InputData!$C$150&lt;=0,0,J31-InputData!$C$150)&lt;=0,0,InputData!$C$152-0.25*IF(J31-InputData!$C$150&lt;=0,0,J31-InputData!$C$150)),0))</f>
        <v>40605.407879639934</v>
      </c>
      <c r="P31" s="32">
        <f>IF(J31-O31&lt;=0,0,IF(J31-O31&lt;=InputData!$C$153,InputData!$C$154*(J31-O31),InputData!$C$155*(J31-O31)-InputData!$D$154))</f>
        <v>31192.969756468086</v>
      </c>
      <c r="Q31" s="32">
        <f t="shared" si="37"/>
        <v>36547.19317480328</v>
      </c>
      <c r="R31" s="32">
        <f>IF(J31&gt;=0,IF(J31&lt;=InputData!$C$148,InputData!$C$147*J31,InputData!$C$147*InputData!$C$148)+InputData!$C$149*J31,0)</f>
        <v>9377.786342980884</v>
      </c>
      <c r="S31" s="32">
        <f>IF(L31&lt;0,0,IF(L31&lt;=InputData!$B$163,InputData!$C$163*L31,IF(L31&lt;=InputData!$B$164,InputData!$D$163+InputData!$C$164*(L31-InputData!$B$163),IF(L31&lt;=InputData!$B$165,InputData!$D$164+InputData!$C$165*(L31-InputData!$B$164),InputData!$D$165+InputData!$C$166*(L31-InputData!$B$165)))))</f>
        <v>0</v>
      </c>
      <c r="T31" s="43">
        <f t="shared" si="38"/>
        <v>0.28599729809244012</v>
      </c>
      <c r="U31" s="43">
        <f t="shared" si="39"/>
        <v>0.25850727012413927</v>
      </c>
      <c r="V31" s="5">
        <f t="shared" si="40"/>
        <v>131729.51931209504</v>
      </c>
      <c r="W31" s="32">
        <f>V31/((1+InputData!$C$7)^(Ophtha!$B31-Ophtha!$B$7))</f>
        <v>64802.194621406481</v>
      </c>
      <c r="X31" s="5">
        <f t="shared" si="111"/>
        <v>1532395.3463698246</v>
      </c>
      <c r="Y31" s="53"/>
      <c r="Z31" s="45">
        <v>21.5</v>
      </c>
      <c r="AA31" s="97" t="s">
        <v>267</v>
      </c>
      <c r="AB31" s="5">
        <f>InputData!$N$21*12</f>
        <v>114357.59999999999</v>
      </c>
      <c r="AC31" s="32">
        <f>(InputData!$N$21+InputData!$J$45+InputData!$G$50)*12+InputData!$J$50+InputData!$D$60+InputData!$J$60</f>
        <v>198349.59999999998</v>
      </c>
      <c r="AD31" s="32">
        <f t="shared" si="174"/>
        <v>21631.199999999997</v>
      </c>
      <c r="AE31" s="32">
        <f t="shared" si="41"/>
        <v>219980.79999999999</v>
      </c>
      <c r="AF31" s="5">
        <f>AC31*((1+InputData!$C$5)/(1+InputData!$C$3))^(Ophtha!$B31-Ophtha!$B$7)</f>
        <v>156581.40205632269</v>
      </c>
      <c r="AG31" s="5">
        <f>AD31*((1+InputData!$C$5)/(1+InputData!$C$3))^(Ophtha!$B31-Ophtha!$B$7)</f>
        <v>17076.130348438957</v>
      </c>
      <c r="AH31" s="32">
        <f>IF(AF31-InputData!$C$158-InputData!$C$159&gt;=0,AF31-InputData!$C$158-InputData!$C$159,0)</f>
        <v>156581.40205632269</v>
      </c>
      <c r="AI31" s="32">
        <f>IF(AF31-IF(AF31&lt;=InputData!$C$146,InputData!$C$145,0)-MAX(InputData!$C$144,AO31)&gt;=0,AF31-IF(AF31&lt;=InputData!$C$146,InputData!$C$145,0)-MAX(InputData!$C$144,AO31),0)</f>
        <v>150481.40205632269</v>
      </c>
      <c r="AJ31" s="32">
        <f>IF(AI31&lt;0,"Error",IF(AI31&lt;=InputData!$B$170,InputData!$C$170*AI31,IF(AI31&lt;=InputData!$B$171,InputData!$D$170+InputData!$C$171*(AI31-InputData!$B$170),IF(AI31&lt;=InputData!$B$172,InputData!$D$171+InputData!$C$172*(AI31-InputData!$B$171),IF(AI31&lt;=InputData!$B$173,InputData!$D$172+InputData!$C$173*(AI31-InputData!$B$172),IF(AI31&lt;=InputData!$B$174,InputData!$D$173+InputData!$C$174*(AI31-InputData!$B$173),IF(AI31&lt;=InputData!$B$175,InputData!$D$174+InputData!$C$175*(AI31-InputData!$B$174),InputData!$D$175+InputData!$C$176*(AI31-InputData!$B$175))))))))</f>
        <v>35428.042575770356</v>
      </c>
      <c r="AK31" s="32">
        <f>IF(AF31&lt;=InputData!$C$150,InputData!$C$152,IF(AF31&lt;InputData!$C$151,IF(InputData!$C$152-0.25*IF(AF31-InputData!$C$150&lt;=0,0,AF31-InputData!$C$150)&lt;=0,0,InputData!$C$152-0.25*IF(AF31-InputData!$C$150&lt;=0,0,AF31-InputData!$C$150)),0))</f>
        <v>41604.649485919326</v>
      </c>
      <c r="AL31" s="32">
        <f>IF(AF31-AK31&lt;=0,0,IF(AF31-AK31&lt;=InputData!$C$153,InputData!$C$154*(AF31-AK31),InputData!$C$155*(AF31-AK31)-InputData!$D$154))</f>
        <v>29893.955668304876</v>
      </c>
      <c r="AM31" s="32">
        <f t="shared" si="42"/>
        <v>35428.042575770356</v>
      </c>
      <c r="AN31" s="32">
        <f>IF(AF31&gt;=0,IF(AF31&lt;=InputData!$C$148,InputData!$C$147*AF31,InputData!$C$147*InputData!$C$148)+InputData!$C$149*AF31,0)</f>
        <v>9319.8303298166793</v>
      </c>
      <c r="AO31" s="32">
        <f>IF(AH31&lt;0,0,IF(AH31&lt;=InputData!$B$163,InputData!$C$163*AH31,IF(AH31&lt;=InputData!$B$164,InputData!$D$163+InputData!$C$164*(AH31-InputData!$B$163),IF(AH31&lt;=InputData!$B$165,InputData!$D$164+InputData!$C$165*(AH31-InputData!$B$164),InputData!$D$165+InputData!$C$166*(AH31-InputData!$B$165)))))</f>
        <v>0</v>
      </c>
      <c r="AP31" s="43">
        <f t="shared" si="43"/>
        <v>0.28578025434649718</v>
      </c>
      <c r="AQ31" s="43">
        <f t="shared" si="44"/>
        <v>0.25767884805185715</v>
      </c>
      <c r="AR31" s="5">
        <f t="shared" si="45"/>
        <v>128909.65949917462</v>
      </c>
      <c r="AS31" s="32">
        <f>AR31/((1+InputData!$C$7)^(Ophtha!$B31-Ophtha!$B$7))</f>
        <v>63415.010447682907</v>
      </c>
      <c r="AT31" s="5">
        <f t="shared" si="112"/>
        <v>1506241.7460800274</v>
      </c>
      <c r="AU31" s="53"/>
      <c r="AV31" s="41" t="s">
        <v>109</v>
      </c>
      <c r="AW31" s="32">
        <f>$AW$15*(1+InputData!$C$3+InputData!$C$4)^(Ophtha!$B31-Ophtha!$B$17)</f>
        <v>381421.48004479869</v>
      </c>
      <c r="AX31" s="32">
        <v>0</v>
      </c>
      <c r="AY31" s="32">
        <f t="shared" si="47"/>
        <v>381421.48004479869</v>
      </c>
      <c r="AZ31" s="32">
        <f>AZ30*(1+InputData!$C$8)</f>
        <v>18480.943996470349</v>
      </c>
      <c r="BA31" s="32">
        <f>AW31/((1+InputData!$C$3)^(Ophtha!$B31-Ophtha!$B$7))</f>
        <v>237137.93010528869</v>
      </c>
      <c r="BB31" s="32">
        <f>AX31/((1+InputData!$C$3)^(Ophtha!$B31-Ophtha!$B$7))</f>
        <v>0</v>
      </c>
      <c r="BC31" s="32" t="s">
        <v>141</v>
      </c>
      <c r="BD31" s="32">
        <v>0</v>
      </c>
      <c r="BE31" s="32">
        <f t="shared" si="158"/>
        <v>0</v>
      </c>
      <c r="BF31" s="32">
        <f>(BE31)*InputData!$C$6</f>
        <v>0</v>
      </c>
      <c r="BG31" s="32">
        <f>MIN($BE$15*InputData!$C$6/(1-(1+InputData!$C$6)^(-10)), BE31+BF31)</f>
        <v>0</v>
      </c>
      <c r="BH31" s="32">
        <f t="shared" si="140"/>
        <v>0</v>
      </c>
      <c r="BI31" s="32">
        <f>BG31/((1+InputData!$C$3)^(Ophtha!$B31-Ophtha!$B$7))</f>
        <v>0</v>
      </c>
      <c r="BJ31" s="32">
        <f>IF(BA31-InputData!$C$158-InputData!$C$159&gt;=0,BA31-InputData!$C$158-InputData!$C$159,0)</f>
        <v>237137.93010528869</v>
      </c>
      <c r="BK31" s="32">
        <f>IF(BA31-IF(BA31&lt;=InputData!$C$146,InputData!$C$145,0)-MAX(InputData!$C$144,BQ31)&gt;=0,BA31-IF(BA31&lt;=InputData!$C$146,InputData!$C$145,0)-MAX(InputData!$C$144,BQ31),0)</f>
        <v>231037.93010528869</v>
      </c>
      <c r="BL31" s="32">
        <f>IF(BK31&lt;0,"Error",IF(BK31&lt;=InputData!$B$170,InputData!$C$170*BK31,IF(BK31&lt;=InputData!$B$171,InputData!$D$170+InputData!$C$171*(BK31-InputData!$B$170),IF(BK31&lt;=InputData!$B$172,InputData!$D$171+InputData!$C$172*(BK31-InputData!$B$171),IF(BK31&lt;=InputData!$B$173,InputData!$D$172+InputData!$C$173*(BK31-InputData!$B$172),IF(BK31&lt;=InputData!$B$174,InputData!$D$173+InputData!$C$174*(BK31-InputData!$B$173),IF(BK31&lt;=InputData!$B$175,InputData!$D$174+InputData!$C$175*(BK31-InputData!$B$174),InputData!$D$175+InputData!$C$176*(BK31-InputData!$B$175))))))))</f>
        <v>60373.266934745268</v>
      </c>
      <c r="BM31" s="32">
        <f>IF(BA31&lt;=InputData!$C$150,InputData!$C$152,IF(BA31&lt;InputData!$C$151,IF(InputData!$C$152-0.25*IF(BA31-InputData!$C$150&lt;=0,0,BA31-InputData!$C$150)&lt;=0,0,InputData!$C$152-0.25*IF(BA31-InputData!$C$150&lt;=0,0,BA31-InputData!$C$150)),0))</f>
        <v>21465.517473677828</v>
      </c>
      <c r="BN31" s="32">
        <f>IF(BA31-BM31&lt;=0,0,IF(BA31-BM31&lt;=InputData!$C$153,InputData!$C$154*(BA31-BM31),InputData!$C$155*(BA31-BM31)-InputData!$D$154))</f>
        <v>56798.275536851048</v>
      </c>
      <c r="BO31" s="32">
        <f t="shared" si="48"/>
        <v>60373.266934745268</v>
      </c>
      <c r="BP31" s="32">
        <f>IF(BA31&gt;=0,IF(BA31&lt;=InputData!$C$148,InputData!$C$147*BA31,InputData!$C$147*InputData!$C$148)+InputData!$C$149*BA31,0)</f>
        <v>10487.899986526685</v>
      </c>
      <c r="BQ31" s="32">
        <f>IF(BJ31&lt;0,0,IF(BJ31&lt;=InputData!$B$163,InputData!$C$163*BJ31,IF(BJ31&lt;=InputData!$B$164,InputData!$D$163+InputData!$C$164*(BJ31-InputData!$B$163),IF(BJ31&lt;=InputData!$B$165,InputData!$D$164+InputData!$C$165*(BJ31-InputData!$B$164),InputData!$D$165+InputData!$C$166*(BJ31-InputData!$B$165)))))</f>
        <v>0</v>
      </c>
      <c r="BR31" s="43">
        <f t="shared" si="49"/>
        <v>0.29881835811677099</v>
      </c>
      <c r="BS31" s="32">
        <f t="shared" si="50"/>
        <v>166276.76318401675</v>
      </c>
      <c r="BT31" s="32">
        <f t="shared" si="51"/>
        <v>166276.76318401675</v>
      </c>
      <c r="BU31" s="32">
        <f>BT31/((1+InputData!$C$7)^(Ophtha!$B31-Ophtha!$B$7))</f>
        <v>81797.149379553142</v>
      </c>
      <c r="BV31" s="5">
        <f t="shared" si="114"/>
        <v>1412563.4599218932</v>
      </c>
      <c r="BW31" s="5"/>
      <c r="BX31" s="32" t="s">
        <v>141</v>
      </c>
      <c r="BY31" s="5">
        <f t="shared" si="159"/>
        <v>139069.88800113715</v>
      </c>
      <c r="BZ31" s="32">
        <f>(BY31)*InputData!$C$6</f>
        <v>8636.2400448706176</v>
      </c>
      <c r="CA31" s="32">
        <f>MIN($BY$15*InputData!$C$6/(1-(1+InputData!$C$6)^(-25)), BY31+BZ31)</f>
        <v>20633.642137763909</v>
      </c>
      <c r="CB31" s="32">
        <f t="shared" si="160"/>
        <v>127072.48590824386</v>
      </c>
      <c r="CC31" s="32">
        <f>CA31/((1+InputData!$C$3)^(Ophtha!$B31-Ophtha!$B$7))</f>
        <v>12828.378691488226</v>
      </c>
      <c r="CD31" s="5">
        <f t="shared" si="55"/>
        <v>153448.38449252851</v>
      </c>
      <c r="CE31" s="32">
        <f>CD31/((1+InputData!$C$7)^(Ophtha!$B31-Ophtha!$B$7))</f>
        <v>75486.437118671194</v>
      </c>
      <c r="CF31" s="5">
        <f t="shared" si="115"/>
        <v>1442019.4778028762</v>
      </c>
      <c r="CG31" s="5"/>
      <c r="CH31" s="32" t="s">
        <v>141</v>
      </c>
      <c r="CI31" s="5">
        <f t="shared" si="161"/>
        <v>0</v>
      </c>
      <c r="CJ31" s="32">
        <f>(CI31)*InputData!$C$6</f>
        <v>0</v>
      </c>
      <c r="CK31" s="5">
        <f t="shared" si="162"/>
        <v>0</v>
      </c>
      <c r="CL31" s="32">
        <f t="shared" si="163"/>
        <v>0</v>
      </c>
      <c r="CM31" s="32">
        <f>CK31/((1+InputData!$C$3)^(Ophtha!$B31-Ophtha!$B$7))</f>
        <v>0</v>
      </c>
      <c r="CN31" s="5">
        <f t="shared" si="59"/>
        <v>166276.76318401675</v>
      </c>
      <c r="CO31" s="32">
        <f>CN31/((1+InputData!$C$7)^(Ophtha!$B31-Ophtha!$B$7))</f>
        <v>81797.149379553142</v>
      </c>
      <c r="CP31" s="5">
        <f t="shared" si="149"/>
        <v>1412342.9584968034</v>
      </c>
      <c r="CQ31" s="5"/>
      <c r="CR31" s="32" t="s">
        <v>141</v>
      </c>
      <c r="CS31" s="5">
        <f t="shared" si="164"/>
        <v>0</v>
      </c>
      <c r="CT31" s="32">
        <f>(CS31)*InputData!$C$6</f>
        <v>0</v>
      </c>
      <c r="CU31" s="32">
        <f t="shared" si="165"/>
        <v>0</v>
      </c>
      <c r="CV31" s="32">
        <f t="shared" si="166"/>
        <v>0</v>
      </c>
      <c r="CW31" s="32">
        <f>CU31/((1+InputData!$C$3)^(Ophtha!$B31-Ophtha!$B$7))</f>
        <v>0</v>
      </c>
      <c r="CX31" s="5">
        <f t="shared" si="63"/>
        <v>166276.76318401675</v>
      </c>
      <c r="CY31" s="32">
        <f>CX31/((1+InputData!$C$7)^(Ophtha!$B31-Ophtha!$B$7))</f>
        <v>81797.149379553142</v>
      </c>
      <c r="CZ31" s="5">
        <f t="shared" si="150"/>
        <v>1406875.8917777906</v>
      </c>
      <c r="DA31" s="5"/>
      <c r="DB31" s="32" t="s">
        <v>141</v>
      </c>
      <c r="DC31" s="5">
        <f t="shared" si="141"/>
        <v>0</v>
      </c>
      <c r="DD31" s="5">
        <f>DC31*InputData!$C$6</f>
        <v>0</v>
      </c>
      <c r="DE31" s="32">
        <f t="shared" si="142"/>
        <v>0</v>
      </c>
      <c r="DF31" s="32">
        <f t="shared" si="143"/>
        <v>0</v>
      </c>
      <c r="DG31" s="32">
        <f>DE31/((1+InputData!$C$3)^(Ophtha!$B31-Ophtha!$B$7))</f>
        <v>0</v>
      </c>
      <c r="DH31" s="5">
        <f t="shared" si="67"/>
        <v>166276.76318401675</v>
      </c>
      <c r="DI31" s="32">
        <f>DH31/((1+InputData!$C$7)^(Ophtha!$B31-Ophtha!$B$7))</f>
        <v>81797.149379553142</v>
      </c>
      <c r="DJ31" s="5">
        <f t="shared" si="130"/>
        <v>1417075.1575941523</v>
      </c>
      <c r="DK31" s="5"/>
      <c r="DL31" s="32" t="s">
        <v>141</v>
      </c>
      <c r="DM31" s="32">
        <f t="shared" si="167"/>
        <v>0</v>
      </c>
      <c r="DN31" s="5">
        <f>DM31*InputData!$C$6</f>
        <v>0</v>
      </c>
      <c r="DO31" s="32">
        <f t="shared" si="168"/>
        <v>0</v>
      </c>
      <c r="DP31" s="32">
        <f t="shared" si="131"/>
        <v>0</v>
      </c>
      <c r="DQ31" s="32">
        <f t="shared" si="132"/>
        <v>0</v>
      </c>
      <c r="DR31" s="32">
        <f>DP31/((1+InputData!$C$3)^(Ophtha!$B31-Ophtha!$B$7))</f>
        <v>0</v>
      </c>
      <c r="DS31" s="5">
        <f t="shared" si="71"/>
        <v>166276.76318401675</v>
      </c>
      <c r="DT31" s="32">
        <f>DS31/((1+InputData!$C$7)^(Ophtha!$B31-Ophtha!$B$7))</f>
        <v>81797.149379553142</v>
      </c>
      <c r="DU31" s="5">
        <f t="shared" si="133"/>
        <v>1411110.9915046634</v>
      </c>
      <c r="DV31" s="5"/>
      <c r="DW31" s="32" t="s">
        <v>141</v>
      </c>
      <c r="DX31" s="133">
        <f t="shared" si="144"/>
        <v>0</v>
      </c>
      <c r="DY31" s="5">
        <f>DX31*InputData!$C$6</f>
        <v>0</v>
      </c>
      <c r="DZ31" s="133">
        <f t="shared" si="145"/>
        <v>0</v>
      </c>
      <c r="EA31" s="32">
        <f t="shared" si="146"/>
        <v>0</v>
      </c>
      <c r="EB31" s="32">
        <f t="shared" si="147"/>
        <v>0</v>
      </c>
      <c r="EC31" s="32">
        <f>EA31/((1+InputData!$C$3)^(Ophtha!$B31-Ophtha!$B$7))</f>
        <v>0</v>
      </c>
      <c r="ED31" s="5">
        <f t="shared" si="75"/>
        <v>166276.76318401675</v>
      </c>
      <c r="EE31" s="32">
        <f>ED31/((1+InputData!$C$7)^(Ophtha!$B31-Ophtha!$B$7))</f>
        <v>81797.149379553142</v>
      </c>
      <c r="EF31" s="5">
        <f t="shared" si="134"/>
        <v>1410953.7204774129</v>
      </c>
      <c r="EG31" s="32"/>
      <c r="EH31" s="133" t="s">
        <v>141</v>
      </c>
      <c r="EI31" s="32">
        <v>0</v>
      </c>
      <c r="EJ31" s="32">
        <f t="shared" si="175"/>
        <v>0</v>
      </c>
      <c r="EK31" s="32">
        <f>(EJ31)*InputData!$C$6</f>
        <v>0</v>
      </c>
      <c r="EL31" s="32">
        <f t="shared" si="173"/>
        <v>0</v>
      </c>
      <c r="EM31" s="32">
        <f>EM30*(1+InputData!$C$8)</f>
        <v>18480.943996470349</v>
      </c>
      <c r="EN31" s="32">
        <f t="shared" si="152"/>
        <v>0</v>
      </c>
      <c r="EO31" s="32">
        <f>AW31/((1+InputData!$C$3)^(Ophtha!$B31-Ophtha!$B$7))</f>
        <v>237137.93010528869</v>
      </c>
      <c r="EP31" s="32">
        <f>AX31/((1+InputData!$C$3)^(Ophtha!$B31-Ophtha!$B$7))</f>
        <v>0</v>
      </c>
      <c r="EQ31" s="32">
        <v>60374.53</v>
      </c>
      <c r="ER31" s="32">
        <v>9199.2250000000004</v>
      </c>
      <c r="ES31" s="32">
        <v>0</v>
      </c>
      <c r="ET31" s="43">
        <f t="shared" si="139"/>
        <v>0.29338939986998042</v>
      </c>
      <c r="EU31" s="32">
        <f t="shared" si="76"/>
        <v>167564.17510528868</v>
      </c>
      <c r="EV31" s="32">
        <f>EN31/((1+InputData!$C$3)^(Ophtha!$B31-Ophtha!$B$7))</f>
        <v>0</v>
      </c>
      <c r="EW31" s="32">
        <f t="shared" si="77"/>
        <v>167564.17510528868</v>
      </c>
      <c r="EX31" s="32">
        <f>EW31/((1+InputData!$C$7)^(Ophtha!$B31-Ophtha!$B$7))</f>
        <v>82430.470736192481</v>
      </c>
      <c r="EY31" s="5">
        <f t="shared" si="124"/>
        <v>1495547.3947743459</v>
      </c>
      <c r="EZ31" s="79"/>
      <c r="FA31" s="32">
        <f t="shared" si="153"/>
        <v>0</v>
      </c>
      <c r="FB31" s="32">
        <f>FA31*InputData!$C$6</f>
        <v>0</v>
      </c>
      <c r="FC31" s="32">
        <f t="shared" si="154"/>
        <v>0</v>
      </c>
      <c r="FD31" s="32">
        <f>MIN($EJ$15*InputData!$C$6/(1-(1+InputData!$C$6)^(-10)), FA31+FB31)</f>
        <v>0</v>
      </c>
      <c r="FE31" s="32">
        <f>FD31/((1+InputData!$C$3)^(Ophtha!$B31-Ophtha!$B$7))</f>
        <v>0</v>
      </c>
      <c r="FF31" s="5">
        <f t="shared" si="81"/>
        <v>167564.17510528868</v>
      </c>
      <c r="FG31" s="32">
        <f>FF31/((1+InputData!$C$7)^(Ophtha!$B31-Ophtha!$B$7))</f>
        <v>82430.470736192481</v>
      </c>
      <c r="FH31" s="5">
        <f t="shared" si="125"/>
        <v>1501373.9864621584</v>
      </c>
      <c r="FI31" s="79"/>
      <c r="FJ31" s="32">
        <f t="shared" si="155"/>
        <v>139859.58042824923</v>
      </c>
      <c r="FK31" s="32">
        <f>FJ31*InputData!$C$6</f>
        <v>8685.2799445942783</v>
      </c>
      <c r="FL31" s="32">
        <f t="shared" si="170"/>
        <v>127794.05246199868</v>
      </c>
      <c r="FM31" s="32">
        <f>MIN($EJ$15*InputData!$C$6/(1-(1+InputData!$C$6)^(-25)), FJ31+FK31)</f>
        <v>20750.807910844829</v>
      </c>
      <c r="FN31" s="32">
        <f>FM31/((1+InputData!$C$3)^(Ophtha!$B31-Ophtha!$B$7))</f>
        <v>12901.223170263602</v>
      </c>
      <c r="FO31" s="5">
        <f t="shared" si="85"/>
        <v>154662.95193502508</v>
      </c>
      <c r="FP31" s="32">
        <f>FO31/((1+InputData!$C$7)^(Ophtha!$B31-Ophtha!$B$7))</f>
        <v>76083.92381869485</v>
      </c>
      <c r="FQ31" s="5">
        <f t="shared" si="126"/>
        <v>1530997.2669661853</v>
      </c>
      <c r="FR31" s="79"/>
      <c r="FS31" s="32">
        <f t="shared" si="156"/>
        <v>0</v>
      </c>
      <c r="FT31" s="32">
        <f>FS31*InputData!$C$6</f>
        <v>0</v>
      </c>
      <c r="FU31" s="32">
        <f t="shared" si="171"/>
        <v>0</v>
      </c>
      <c r="FV31" s="5">
        <f t="shared" si="157"/>
        <v>0</v>
      </c>
      <c r="FW31" s="32">
        <f>FV31/((1+InputData!$C$3)^(Ophtha!$B31-Ophtha!$B$7))</f>
        <v>0</v>
      </c>
      <c r="FX31" s="5">
        <f t="shared" si="88"/>
        <v>167564.17510528868</v>
      </c>
      <c r="FY31" s="32">
        <f>FX31/((1+InputData!$C$7)^(Ophtha!$B31-Ophtha!$B$7))</f>
        <v>82430.470736192481</v>
      </c>
      <c r="FZ31" s="5">
        <f t="shared" si="127"/>
        <v>1501113.3775910751</v>
      </c>
      <c r="GC31" s="124">
        <v>21</v>
      </c>
      <c r="GD31" s="122" t="str">
        <f>E31</f>
        <v>Multi-Year (O6&gt;24 = (BP+BAH+BAS+VSP+BCPSP)*12+ASP+ISP+MSP)</v>
      </c>
      <c r="GE31" s="5"/>
      <c r="GF31" s="5">
        <f>H31</f>
        <v>21631.199999999997</v>
      </c>
      <c r="GG31" s="5"/>
      <c r="GH31" s="5">
        <f>J31</f>
        <v>160578.36848144027</v>
      </c>
      <c r="GI31" s="5">
        <v>0</v>
      </c>
      <c r="GJ31" s="32">
        <f>IF(GH31-InputData!$C$158-InputData!$C$159&gt;=0,GH31-InputData!$C$158-InputData!$C$159,0)</f>
        <v>160578.36848144027</v>
      </c>
      <c r="GK31" s="32">
        <f>IF(GH31-IF(GH31&lt;=InputData!$C$146,InputData!$C$145,0)-MAX(InputData!$C$144,GQ31)&gt;=0,GH31-IF(GH31&lt;=InputData!$C$146,InputData!$C$145,0)-MAX(InputData!$C$144,GQ31),0)</f>
        <v>154478.36848144027</v>
      </c>
      <c r="GL31" s="32">
        <f>IF(GK31&lt;0,"Error",IF(GK31&lt;=InputData!$B$170,InputData!$C$170*GK31,IF(GK31&lt;=InputData!$B$171,InputData!$D$170+InputData!$C$171*(GK31-InputData!$B$170),IF(GK31&lt;=InputData!$B$172,InputData!$D$171+InputData!$C$172*(GK31-InputData!$B$171),IF(GK31&lt;=InputData!$B$173,InputData!$D$172+InputData!$C$173*(GK31-InputData!$B$172),IF(GK31&lt;=InputData!$B$174,InputData!$D$173+InputData!$C$174*(GK31-InputData!$B$173),IF(GK31&lt;=InputData!$B$175,InputData!$D$174+InputData!$C$175*(GK31-InputData!$B$174),InputData!$D$175+InputData!$C$176*(GK31-InputData!$B$175))))))))</f>
        <v>36547.19317480328</v>
      </c>
      <c r="GM31" s="32">
        <f>IF(GH31&lt;=InputData!$C$150,InputData!$C$152,IF(GH31&lt;InputData!$C$151,IF(InputData!$C$152-0.25*IF(GH31-InputData!$C$150&lt;=0,0,GH31-InputData!$C$150)&lt;=0,0,InputData!$C$152-0.25*IF(GH31-InputData!$C$150&lt;=0,0,GH31-InputData!$C$150)),0))</f>
        <v>40605.407879639934</v>
      </c>
      <c r="GN31" s="32">
        <f>IF(GH31-GM31&lt;=0,0,IF(GH31-GM31&lt;=InputData!$C$153,InputData!$C$154*(GH31-GM31),InputData!$C$155*(GH31-GM31)-InputData!$D$154))</f>
        <v>31192.969756468086</v>
      </c>
      <c r="GO31" s="32">
        <f t="shared" si="89"/>
        <v>36547.19317480328</v>
      </c>
      <c r="GP31" s="32">
        <f>IF(GH31&gt;=0,IF(GH31&lt;=InputData!$C$148,InputData!$C$147*GH31,InputData!$C$147*InputData!$C$148)+InputData!$C$149*GH31,0)</f>
        <v>9377.786342980884</v>
      </c>
      <c r="GQ31" s="32">
        <f>IF(GJ31&lt;0,0,IF(GJ31&lt;=InputData!$B$163,InputData!$C$163*GJ31,IF(GJ31&lt;=InputData!$B$164,InputData!$D$163+InputData!$C$164*(GJ31-InputData!$B$163),IF(GJ31&lt;=InputData!$B$165,InputData!$D$164+InputData!$C$165*(GJ31-InputData!$B$164),InputData!$D$165+InputData!$C$166*(GJ31-InputData!$B$165)))))</f>
        <v>0</v>
      </c>
      <c r="GR31" s="43">
        <f t="shared" si="90"/>
        <v>0.28599729809244012</v>
      </c>
      <c r="GS31" s="43">
        <f t="shared" si="91"/>
        <v>0.28599729809244012</v>
      </c>
      <c r="GT31" s="5">
        <f t="shared" si="9"/>
        <v>114653.38896365611</v>
      </c>
      <c r="GU31" s="32">
        <f>GT31/((1+InputData!$C$7)^(Ophtha!$B31-Ophtha!$B$7))</f>
        <v>56401.870016878427</v>
      </c>
      <c r="GV31" s="32">
        <f t="shared" si="92"/>
        <v>1523995.0217652966</v>
      </c>
      <c r="GX31" s="83">
        <v>20</v>
      </c>
      <c r="GY31" s="4" t="s">
        <v>217</v>
      </c>
      <c r="GZ31" s="5"/>
      <c r="HA31" s="84">
        <v>0</v>
      </c>
      <c r="HB31" s="5"/>
      <c r="HC31" s="84">
        <f>MIN(InputData!$C$13+InputData!$E$13*($B31-$B$31),1)*$AW31/((1+InputData!$C$3)^(Ophtha!$B31-Ophtha!$B$7))+0.025*$GX$30*(($AB$28+$AB$29+$AB$30)/3)*((1+InputData!$C$5)/(1+InputData!$C$3))^(Ophtha!$B31-Ophtha!$B$7)</f>
        <v>254590.72194369679</v>
      </c>
      <c r="HD31" s="5">
        <v>0</v>
      </c>
      <c r="HE31" s="32">
        <f>IF(HC31-InputData!$C$158-InputData!$C$159&gt;=0,HC31-InputData!$C$158-InputData!$C$159,0)</f>
        <v>254590.72194369679</v>
      </c>
      <c r="HF31" s="32">
        <f>IF(HC31-IF(HC31&lt;=InputData!$C$146,InputData!$C$145,0)-MAX(InputData!$C$144,HL31)&gt;=0,HC31-IF(HC31&lt;=InputData!$C$146,InputData!$C$145,0)-MAX(InputData!$C$144,HL31),0)</f>
        <v>248490.72194369679</v>
      </c>
      <c r="HG31" s="32">
        <f>IF(HF31&lt;0,"Error",IF(HF31&lt;=InputData!$B$170,InputData!$C$170*HF31,IF(HF31&lt;=InputData!$B$171,InputData!$D$170+InputData!$C$171*(HF31-InputData!$B$170),IF(HF31&lt;=InputData!$B$172,InputData!$D$171+InputData!$C$172*(HF31-InputData!$B$171),IF(HF31&lt;=InputData!$B$173,InputData!$D$172+InputData!$C$173*(HF31-InputData!$B$172),IF(HF31&lt;=InputData!$B$174,InputData!$D$173+InputData!$C$174*(HF31-InputData!$B$173),IF(HF31&lt;=InputData!$B$175,InputData!$D$174+InputData!$C$175*(HF31-InputData!$B$174),InputData!$D$175+InputData!$C$176*(HF31-InputData!$B$175))))))))</f>
        <v>66132.688241419935</v>
      </c>
      <c r="HH31" s="32">
        <f>IF(HC31&lt;=InputData!$C$150,InputData!$C$152,IF(HC31&lt;InputData!$C$151,IF(InputData!$C$152-0.25*IF(HC31-InputData!$C$150&lt;=0,0,HC31-InputData!$C$150)&lt;=0,0,InputData!$C$152-0.25*IF(HC31-InputData!$C$150&lt;=0,0,HC31-InputData!$C$150)),0))</f>
        <v>17102.319514075803</v>
      </c>
      <c r="HI31" s="32">
        <f>IF(HC31-HH31&lt;=0,0,IF(HC31-HH31&lt;=InputData!$C$153,InputData!$C$154*(HC31-HH31),InputData!$C$155*(HC31-HH31)-InputData!$D$154))</f>
        <v>62906.752680293881</v>
      </c>
      <c r="HJ31" s="32">
        <f t="shared" si="93"/>
        <v>66132.688241419935</v>
      </c>
      <c r="HK31" s="32">
        <f>IF(HC31&gt;=0,IF(HC31&lt;=InputData!$C$148,InputData!$C$147*HC31,InputData!$C$147*InputData!$C$148)+InputData!$C$149*HC31,0)</f>
        <v>10740.965468183604</v>
      </c>
      <c r="HL31" s="32">
        <f>IF(HE31&lt;0,0,IF(HE31&lt;=InputData!$B$163,InputData!$C$163*HE31,IF(HE31&lt;=InputData!$B$164,InputData!$D$163+InputData!$C$164*(HE31-InputData!$B$163),IF(HE31&lt;=InputData!$B$165,InputData!$D$164+InputData!$C$165*(HE31-InputData!$B$164),InputData!$D$165+InputData!$C$166*(HE31-InputData!$B$165)))))</f>
        <v>0</v>
      </c>
      <c r="HM31" s="43">
        <f t="shared" si="94"/>
        <v>0.30194994194094898</v>
      </c>
      <c r="HN31" s="43">
        <f t="shared" si="95"/>
        <v>0.30194994194094898</v>
      </c>
      <c r="HO31" s="5">
        <f t="shared" si="17"/>
        <v>177717.06823409325</v>
      </c>
      <c r="HP31" s="32">
        <f>HO31/((1+InputData!$C$7)^(Ophtha!$B31-Ophtha!$B$7))</f>
        <v>87425.021387701039</v>
      </c>
      <c r="HQ31" s="84">
        <f t="shared" si="96"/>
        <v>1530251.7570200455</v>
      </c>
      <c r="HS31" s="94"/>
      <c r="HT31" s="53" t="s">
        <v>109</v>
      </c>
      <c r="HU31" s="32">
        <f>MIN(InputData!$C$13+InputData!$E$13*($B31-$B$22),1)*Ophtha!AW31</f>
        <v>343279.33204031881</v>
      </c>
      <c r="HV31" s="32">
        <f>MIN(InputData!$C$13+InputData!$E$13*($B31-$B$22),1)*Ophtha!AX31</f>
        <v>0</v>
      </c>
      <c r="HW31" s="32">
        <f>MIN(InputData!$C$13+InputData!$E$13*($B31-$B$22),1)*Ophtha!AY31</f>
        <v>343279.33204031881</v>
      </c>
      <c r="HX31" s="32">
        <f>MIN(InputData!$C$13+InputData!$E$13*($B31-$B$22),1)*Ophtha!BA31</f>
        <v>213424.13709475982</v>
      </c>
      <c r="HY31" s="32">
        <f>MIN(InputData!$C$13+InputData!$E$13*($B31-$B$22),1)*Ophtha!BB31</f>
        <v>0</v>
      </c>
      <c r="HZ31" s="32">
        <f>IF(HX31-InputData!$C$158-InputData!$C$159&gt;=0,HX31-InputData!$C$158-InputData!$C$159,0)</f>
        <v>213424.13709475982</v>
      </c>
      <c r="IA31" s="32">
        <f>IF(HX31-IF(HX31&lt;=InputData!$C$146,InputData!$C$145,0)-MAX(InputData!$C$144,IG31)&gt;=0,HX31-IF(HX31&lt;=InputData!$C$146,InputData!$C$145,0)-MAX(InputData!$C$144,IG31),0)</f>
        <v>207324.13709475982</v>
      </c>
      <c r="IB31" s="32">
        <f>IF(IA31&lt;0,"Error",IF(IA31&lt;=InputData!$B$170,InputData!$C$170*IA31,IF(IA31&lt;=InputData!$B$171,InputData!$D$170+InputData!$C$171*(IA31-InputData!$B$170),IF(IA31&lt;=InputData!$B$172,InputData!$D$171+InputData!$C$172*(IA31-InputData!$B$171),IF(IA31&lt;=InputData!$B$173,InputData!$D$172+InputData!$C$173*(IA31-InputData!$B$172),IF(IA31&lt;=InputData!$B$174,InputData!$D$173+InputData!$C$174*(IA31-InputData!$B$173),IF(IA31&lt;=InputData!$B$175,InputData!$D$174+InputData!$C$175*(IA31-InputData!$B$174),InputData!$D$175+InputData!$C$176*(IA31-InputData!$B$175))))))))</f>
        <v>52547.715241270744</v>
      </c>
      <c r="IC31" s="32">
        <f>IF(HX31&lt;=InputData!$C$150,InputData!$C$152,IF(HX31&lt;InputData!$C$151,IF(InputData!$C$152-0.25*IF(HX31-InputData!$C$150&lt;=0,0,HX31-InputData!$C$150)&lt;=0,0,InputData!$C$152-0.25*IF(HX31-InputData!$C$150&lt;=0,0,HX31-InputData!$C$150)),0))</f>
        <v>27393.965726310045</v>
      </c>
      <c r="ID31" s="32">
        <f>IF(HX31-IC31&lt;=0,0,IF(HX31-IC31&lt;=InputData!$C$153,InputData!$C$154*(HX31-IC31),InputData!$C$155*(HX31-IC31)-InputData!$D$154))</f>
        <v>48498.447983165941</v>
      </c>
      <c r="IE31" s="32">
        <f t="shared" si="97"/>
        <v>52547.715241270744</v>
      </c>
      <c r="IF31" s="32">
        <f>IF(HX31&gt;=0,IF(HX31&lt;=InputData!$C$148,InputData!$C$147*HX31,InputData!$C$147*InputData!$C$148)+InputData!$C$149*HX31,0)</f>
        <v>10144.049987874017</v>
      </c>
      <c r="IG31" s="32">
        <f>IF(HZ31&lt;0,0,IF(HZ31&lt;=InputData!$B$163,InputData!$C$163*HZ31,IF(HZ31&lt;=InputData!$B$164,InputData!$D$163+InputData!$C$164*(HZ31-InputData!$B$163),IF(HZ31&lt;=InputData!$B$165,InputData!$D$164+InputData!$C$165*(HZ31-InputData!$B$164),InputData!$D$165+InputData!$C$166*(HZ31-InputData!$B$165)))))</f>
        <v>0</v>
      </c>
      <c r="IH31" s="43">
        <f t="shared" si="98"/>
        <v>0.2937426201297455</v>
      </c>
      <c r="II31" s="43">
        <f t="shared" si="99"/>
        <v>0.2937426201297455</v>
      </c>
      <c r="IJ31" s="5">
        <f t="shared" si="100"/>
        <v>150732.37186561504</v>
      </c>
      <c r="IK31" s="32">
        <f>IJ31/((1+InputData!$C$7)^(Ophtha!$B31-Ophtha!$B$7))</f>
        <v>74150.338879168368</v>
      </c>
      <c r="IL31" s="5">
        <f t="shared" si="101"/>
        <v>1649569.1695862662</v>
      </c>
      <c r="IN31" s="94"/>
      <c r="IO31" s="53" t="s">
        <v>109</v>
      </c>
      <c r="IP31" s="32">
        <f>MIN(InputData!$C$13+InputData!$E$13*($B31-$B$19),1)*Ophtha!AW31</f>
        <v>343279.33204031881</v>
      </c>
      <c r="IQ31" s="32">
        <f>MIN(InputData!$C$13+InputData!$E$13*($B31-$B$19),1)*Ophtha!AX31</f>
        <v>0</v>
      </c>
      <c r="IR31" s="32">
        <f>MIN(InputData!$C$13+InputData!$E$13*($B31-$B$19),1)*Ophtha!AY31</f>
        <v>343279.33204031881</v>
      </c>
      <c r="IS31" s="32">
        <f>MIN(InputData!$C$13+InputData!$E$13*($B31-$B$19),1)*Ophtha!BA31</f>
        <v>213424.13709475982</v>
      </c>
      <c r="IT31" s="32">
        <f>MIN(InputData!$C$13+InputData!$E$13*($B31-$B$19),1)*Ophtha!BB31</f>
        <v>0</v>
      </c>
      <c r="IU31" s="32">
        <f>IF(IS31-InputData!$C$158-InputData!$C$159&gt;=0,IS31-InputData!$C$158-InputData!$C$159,0)</f>
        <v>213424.13709475982</v>
      </c>
      <c r="IV31" s="32">
        <f>IF(IS31-IF(IS31&lt;=InputData!$C$146,InputData!$C$145,0)-MAX(InputData!$C$144,JB31)&gt;=0,IS31-IF(IS31&lt;=InputData!$C$146,InputData!$C$145,0)-MAX(InputData!$C$144,JB31),0)</f>
        <v>207324.13709475982</v>
      </c>
      <c r="IW31" s="32">
        <f>IF(IV31&lt;0,"Error",IF(IV31&lt;=InputData!$B$170,InputData!$C$170*IV31,IF(IV31&lt;=InputData!$B$171,InputData!$D$170+InputData!$C$171*(IV31-InputData!$B$170),IF(IV31&lt;=InputData!$B$172,InputData!$D$171+InputData!$C$172*(IV31-InputData!$B$171),IF(IV31&lt;=InputData!$B$173,InputData!$D$172+InputData!$C$173*(IV31-InputData!$B$172),IF(IV31&lt;=InputData!$B$174,InputData!$D$173+InputData!$C$174*(IV31-InputData!$B$173),IF(IV31&lt;=InputData!$B$175,InputData!$D$174+InputData!$C$175*(IV31-InputData!$B$174),InputData!$D$175+InputData!$C$176*(IV31-InputData!$B$175))))))))</f>
        <v>52547.715241270744</v>
      </c>
      <c r="IX31" s="32">
        <f>IF(IS31&lt;=InputData!$C$150,InputData!$C$152,IF(IS31&lt;InputData!$C$151,IF(InputData!$C$152-0.25*IF(IS31-InputData!$C$150&lt;=0,0,IS31-InputData!$C$150)&lt;=0,0,InputData!$C$152-0.25*IF(IS31-InputData!$C$150&lt;=0,0,IS31-InputData!$C$150)),0))</f>
        <v>27393.965726310045</v>
      </c>
      <c r="IY31" s="32">
        <f>IF(IS31-IX31&lt;=0,0,IF(IS31-IX31&lt;=InputData!$C$153,InputData!$C$154*(IS31-IX31),InputData!$C$155*(IS31-IX31)-InputData!$D$154))</f>
        <v>48498.447983165941</v>
      </c>
      <c r="IZ31" s="32">
        <f t="shared" si="102"/>
        <v>52547.715241270744</v>
      </c>
      <c r="JA31" s="32">
        <f>IF(IS31&gt;=0,IF(IS31&lt;=InputData!$C$148,InputData!$C$147*IS31,InputData!$C$147*InputData!$C$148)+InputData!$C$149*IS31,0)</f>
        <v>10144.049987874017</v>
      </c>
      <c r="JB31" s="32">
        <f>IF(IU31&lt;0,0,IF(IU31&lt;=InputData!$B$163,InputData!$C$163*IU31,IF(IU31&lt;=InputData!$B$164,InputData!$D$163+InputData!$C$164*(IU31-InputData!$B$163),IF(IU31&lt;=InputData!$B$165,InputData!$D$164+InputData!$C$165*(IU31-InputData!$B$164),InputData!$D$165+InputData!$C$166*(IU31-InputData!$B$165)))))</f>
        <v>0</v>
      </c>
      <c r="JC31" s="43">
        <f t="shared" si="103"/>
        <v>0.2937426201297455</v>
      </c>
      <c r="JD31" s="43">
        <f t="shared" si="104"/>
        <v>0.2937426201297455</v>
      </c>
      <c r="JE31" s="5">
        <f t="shared" si="105"/>
        <v>150732.37186561504</v>
      </c>
      <c r="JF31" s="32">
        <f>JE31/((1+InputData!$C$7)^(Ophtha!$B31-Ophtha!$B$7))</f>
        <v>74150.338879168368</v>
      </c>
      <c r="JG31" s="5">
        <f t="shared" si="106"/>
        <v>1659695.3412861112</v>
      </c>
      <c r="JI31" s="41" t="str">
        <f t="shared" si="32"/>
        <v>Private Practice</v>
      </c>
      <c r="JJ31" s="5">
        <f t="shared" si="33"/>
        <v>381421.48004479869</v>
      </c>
      <c r="JK31" s="32">
        <v>0</v>
      </c>
      <c r="JL31" s="32">
        <f t="shared" si="108"/>
        <v>381421.48004479869</v>
      </c>
      <c r="JM31" s="32">
        <f>JM30*(1+InputData!$C$8)</f>
        <v>18480.943996470349</v>
      </c>
      <c r="JN31" s="32">
        <f>JJ31/((1+InputData!$C$3)^(Ophtha!$B31-Ophtha!$B$7))</f>
        <v>237137.93010528869</v>
      </c>
      <c r="JO31" s="32">
        <f>JK31/((1+InputData!$C$3)^(Ophtha!$B31-Ophtha!$B$7))</f>
        <v>0</v>
      </c>
      <c r="JP31" s="32" t="s">
        <v>141</v>
      </c>
      <c r="JQ31" s="32">
        <v>0</v>
      </c>
      <c r="JR31" s="32">
        <f t="shared" si="172"/>
        <v>0</v>
      </c>
      <c r="JS31" s="32">
        <f>(JR31)*InputData!$C$6</f>
        <v>0</v>
      </c>
      <c r="JT31" s="32">
        <f>MIN($BE$15*InputData!$C$6/(1-(1+InputData!$C$6)^(-10)), JR31+JS31)</f>
        <v>0</v>
      </c>
      <c r="JU31" s="32">
        <f t="shared" si="148"/>
        <v>0</v>
      </c>
      <c r="JV31" s="32">
        <f>JT31/((1+InputData!$C$3)^(Ophtha!$B31-Ophtha!$B$7))</f>
        <v>0</v>
      </c>
      <c r="JW31" s="32">
        <f>IF(JN31-InputData!$C$158-InputData!$C$159&gt;=0,JN31-InputData!$C$158-InputData!$C$159,0)</f>
        <v>237137.93010528869</v>
      </c>
      <c r="JX31" s="32">
        <f>IF(JN31-IF(JN31&lt;=InputData!$C$146,InputData!$C$145,0)-MAX(InputData!$C$144,KD31)&gt;=0,JN31-IF(JN31&lt;=InputData!$C$146,InputData!$C$145,0)-MAX(InputData!$C$144,KD31),0)</f>
        <v>231037.93010528869</v>
      </c>
      <c r="JY31" s="32">
        <f>IF(JX31&lt;0,"Error",IF(JX31&lt;=InputData!$B$170,InputData!$C$170*JX31,IF(JX31&lt;=InputData!$B$171,InputData!$D$170+InputData!$C$171*(JX31-InputData!$B$170),IF(JX31&lt;=InputData!$B$172,InputData!$D$171+InputData!$C$172*(JX31-InputData!$B$171),IF(JX31&lt;=InputData!$B$173,InputData!$D$172+InputData!$C$173*(JX31-InputData!$B$172),IF(JX31&lt;=InputData!$B$174,InputData!$D$173+InputData!$C$174*(JX31-InputData!$B$173),IF(JX31&lt;=InputData!$B$175,InputData!$D$174+InputData!$C$175*(JX31-InputData!$B$174),InputData!$D$175+InputData!$C$176*(JX31-InputData!$B$175))))))))</f>
        <v>60373.266934745268</v>
      </c>
      <c r="JZ31" s="32">
        <f>IF(JN31&lt;=InputData!$C$150,InputData!$C$152,IF(JN31&lt;InputData!$C$151,IF(InputData!$C$152-0.25*IF(JN31-InputData!$C$150&lt;=0,0,JN31-InputData!$C$150)&lt;=0,0,InputData!$C$152-0.25*IF(JN31-InputData!$C$150&lt;=0,0,JN31-InputData!$C$150)),0))</f>
        <v>21465.517473677828</v>
      </c>
      <c r="KA31" s="32">
        <f>IF(JN31-JZ31&lt;=0,0,IF(JN31-JZ31&lt;=InputData!$C$153,InputData!$C$154*(JN31-JZ31),InputData!$C$155*(JN31-JZ31)-InputData!$D$154))</f>
        <v>56798.275536851048</v>
      </c>
      <c r="KB31" s="32">
        <f t="shared" si="109"/>
        <v>60373.266934745268</v>
      </c>
      <c r="KC31" s="32">
        <f>IF(JN31&gt;=0,IF(JN31&lt;=InputData!$C$148,InputData!$C$147*JN31,InputData!$C$147*InputData!$C$148)+InputData!$C$149*JN31,0)</f>
        <v>10487.899986526685</v>
      </c>
      <c r="KD31" s="32">
        <f>IF(JW31&lt;0,0,IF(JW31&lt;=InputData!$B$163,InputData!$C$163*JW31,IF(JW31&lt;=InputData!$B$164,InputData!$D$163+InputData!$C$164*(JW31-InputData!$B$163),IF(JW31&lt;=InputData!$B$165,InputData!$D$164+InputData!$C$165*(JW31-InputData!$B$164),InputData!$D$165+InputData!$C$166*(JW31-InputData!$B$165)))))</f>
        <v>0</v>
      </c>
      <c r="KE31" s="43">
        <f t="shared" si="34"/>
        <v>0.29881835811677099</v>
      </c>
      <c r="KF31" s="32">
        <f t="shared" si="35"/>
        <v>166276.76318401675</v>
      </c>
      <c r="KG31" s="32">
        <f t="shared" si="110"/>
        <v>166276.76318401675</v>
      </c>
      <c r="KH31" s="32">
        <f>KG31/((1+InputData!$C$7)^(Ophtha!$B31-Ophtha!$B$7))</f>
        <v>81797.149379553142</v>
      </c>
      <c r="KI31" s="5">
        <f t="shared" si="129"/>
        <v>1796813.9340384766</v>
      </c>
    </row>
    <row r="32" spans="1:295" x14ac:dyDescent="0.25">
      <c r="A32" s="4">
        <v>2038</v>
      </c>
      <c r="B32" s="51">
        <v>26</v>
      </c>
      <c r="C32" s="4"/>
      <c r="D32" s="3">
        <v>26</v>
      </c>
      <c r="E32" s="97" t="s">
        <v>271</v>
      </c>
      <c r="F32" s="5">
        <f>InputData!$P$21*12</f>
        <v>120412.79999999999</v>
      </c>
      <c r="G32" s="32">
        <f>(InputData!$P$21+InputData!$K$45+InputData!$G$50)*12+InputData!$J$50+InputData!$D$60+InputData!$J$60</f>
        <v>203412.76</v>
      </c>
      <c r="H32" s="32">
        <f>(InputData!$C$32+InputData!$C$40)*12</f>
        <v>21631.199999999997</v>
      </c>
      <c r="I32" s="32">
        <f t="shared" si="36"/>
        <v>225043.96000000002</v>
      </c>
      <c r="J32" s="5">
        <f>G32*((1+InputData!$C$5)/(1+InputData!$C$3))^(Ophtha!$B32-Ophtha!$B$7)</f>
        <v>159004.07075123006</v>
      </c>
      <c r="K32" s="5">
        <f>H32*((1+InputData!$C$5)/(1+InputData!$C$3))^(Ophtha!$B32-Ophtha!$B$7)</f>
        <v>16908.717305807204</v>
      </c>
      <c r="L32" s="32">
        <f>IF(J32-InputData!$C$158-InputData!$C$159&gt;=0,J32-InputData!$C$158-InputData!$C$159,0)</f>
        <v>159004.07075123006</v>
      </c>
      <c r="M32" s="32">
        <f>IF(J32-IF(J32&lt;=InputData!$C$146,InputData!$C$145,0)-MAX(InputData!$C$144,S32)&gt;=0,J32-IF(J32&lt;=InputData!$C$146,InputData!$C$145,0)-MAX(InputData!$C$144,S32),0)</f>
        <v>152904.07075123006</v>
      </c>
      <c r="N32" s="32">
        <f>IF(M32&lt;0,"Error",IF(M32&lt;=InputData!$B$170,InputData!$C$170*M32,IF(M32&lt;=InputData!$B$171,InputData!$D$170+InputData!$C$171*(M32-InputData!$B$170),IF(M32&lt;=InputData!$B$172,InputData!$D$171+InputData!$C$172*(M32-InputData!$B$171),IF(M32&lt;=InputData!$B$173,InputData!$D$172+InputData!$C$173*(M32-InputData!$B$172),IF(M32&lt;=InputData!$B$174,InputData!$D$173+InputData!$C$174*(M32-InputData!$B$173),IF(M32&lt;=InputData!$B$175,InputData!$D$174+InputData!$C$175*(M32-InputData!$B$174),InputData!$D$175+InputData!$C$176*(M32-InputData!$B$175))))))))</f>
        <v>36106.389810344423</v>
      </c>
      <c r="O32" s="32">
        <f>IF(J32&lt;=InputData!$C$150,InputData!$C$152,IF(J32&lt;InputData!$C$151,IF(InputData!$C$152-0.25*IF(J32-InputData!$C$150&lt;=0,0,J32-InputData!$C$150)&lt;=0,0,InputData!$C$152-0.25*IF(J32-InputData!$C$150&lt;=0,0,J32-InputData!$C$150)),0))</f>
        <v>40998.982312192486</v>
      </c>
      <c r="P32" s="32">
        <f>IF(J32-O32&lt;=0,0,IF(J32-O32&lt;=InputData!$C$153,InputData!$C$154*(J32-O32),InputData!$C$155*(J32-O32)-InputData!$D$154))</f>
        <v>30681.32299414977</v>
      </c>
      <c r="Q32" s="32">
        <f t="shared" si="37"/>
        <v>36106.389810344423</v>
      </c>
      <c r="R32" s="32">
        <f>IF(J32&gt;=0,IF(J32&lt;=InputData!$C$148,InputData!$C$147*J32,InputData!$C$147*InputData!$C$148)+InputData!$C$149*J32,0)</f>
        <v>9354.9590258928365</v>
      </c>
      <c r="S32" s="32">
        <f>IF(L32&lt;0,0,IF(L32&lt;=InputData!$B$163,InputData!$C$163*L32,IF(L32&lt;=InputData!$B$164,InputData!$D$163+InputData!$C$164*(L32-InputData!$B$163),IF(L32&lt;=InputData!$B$165,InputData!$D$164+InputData!$C$165*(L32-InputData!$B$164),InputData!$D$165+InputData!$C$166*(L32-InputData!$B$165)))))</f>
        <v>0</v>
      </c>
      <c r="T32" s="43">
        <f t="shared" si="38"/>
        <v>0.28591311292503857</v>
      </c>
      <c r="U32" s="43">
        <f t="shared" si="39"/>
        <v>0.25843117682551342</v>
      </c>
      <c r="V32" s="5">
        <f t="shared" si="40"/>
        <v>130451.43922080001</v>
      </c>
      <c r="W32" s="32">
        <f>V32/((1+InputData!$C$7)^(Ophtha!$B32-Ophtha!$B$7))</f>
        <v>62304.333890052985</v>
      </c>
      <c r="X32" s="5">
        <f t="shared" si="111"/>
        <v>1594699.6802598776</v>
      </c>
      <c r="Y32" s="53"/>
      <c r="Z32" s="3">
        <v>22.5</v>
      </c>
      <c r="AA32" s="98" t="s">
        <v>268</v>
      </c>
      <c r="AB32" s="32">
        <f>(0.5*InputData!$N$21+0.5*InputData!$O$21)*12</f>
        <v>115862.40000000001</v>
      </c>
      <c r="AC32" s="32">
        <f>(0.5*(InputData!$N$21+InputData!$J$45)+0.5*(InputData!$O$21+InputData!$K$45)+InputData!$G$50)*12+InputData!$J$50+InputData!$D$60+InputData!$J$60</f>
        <v>199358.38</v>
      </c>
      <c r="AD32" s="32">
        <f t="shared" si="174"/>
        <v>21631.199999999997</v>
      </c>
      <c r="AE32" s="32">
        <f t="shared" si="41"/>
        <v>220989.58000000002</v>
      </c>
      <c r="AF32" s="5">
        <f>AC32*((1+InputData!$C$5)/(1+InputData!$C$3))^(Ophtha!$B32-Ophtha!$B$7)</f>
        <v>155834.83532876999</v>
      </c>
      <c r="AG32" s="5">
        <f>AD32*((1+InputData!$C$5)/(1+InputData!$C$3))^(Ophtha!$B32-Ophtha!$B$7)</f>
        <v>16908.717305807204</v>
      </c>
      <c r="AH32" s="32">
        <f>IF(AF32-InputData!$C$158-InputData!$C$159&gt;=0,AF32-InputData!$C$158-InputData!$C$159,0)</f>
        <v>155834.83532876999</v>
      </c>
      <c r="AI32" s="32">
        <f>IF(AF32-IF(AF32&lt;=InputData!$C$146,InputData!$C$145,0)-MAX(InputData!$C$144,AO32)&gt;=0,AF32-IF(AF32&lt;=InputData!$C$146,InputData!$C$145,0)-MAX(InputData!$C$144,AO32),0)</f>
        <v>149734.83532876999</v>
      </c>
      <c r="AJ32" s="32">
        <f>IF(AI32&lt;0,"Error",IF(AI32&lt;=InputData!$B$170,InputData!$C$170*AI32,IF(AI32&lt;=InputData!$B$171,InputData!$D$170+InputData!$C$171*(AI32-InputData!$B$170),IF(AI32&lt;=InputData!$B$172,InputData!$D$171+InputData!$C$172*(AI32-InputData!$B$171),IF(AI32&lt;=InputData!$B$173,InputData!$D$172+InputData!$C$173*(AI32-InputData!$B$172),IF(AI32&lt;=InputData!$B$174,InputData!$D$173+InputData!$C$174*(AI32-InputData!$B$173),IF(AI32&lt;=InputData!$B$175,InputData!$D$174+InputData!$C$175*(AI32-InputData!$B$174),InputData!$D$175+InputData!$C$176*(AI32-InputData!$B$175))))))))</f>
        <v>35219.003892055596</v>
      </c>
      <c r="AK32" s="32">
        <f>IF(AF32&lt;=InputData!$C$150,InputData!$C$152,IF(AF32&lt;InputData!$C$151,IF(InputData!$C$152-0.25*IF(AF32-InputData!$C$150&lt;=0,0,AF32-InputData!$C$150)&lt;=0,0,InputData!$C$152-0.25*IF(AF32-InputData!$C$150&lt;=0,0,AF32-InputData!$C$150)),0))</f>
        <v>41791.291167807503</v>
      </c>
      <c r="AL32" s="32">
        <f>IF(AF32-AK32&lt;=0,0,IF(AF32-AK32&lt;=InputData!$C$153,InputData!$C$154*(AF32-AK32),InputData!$C$155*(AF32-AK32)-InputData!$D$154))</f>
        <v>29651.321481850246</v>
      </c>
      <c r="AM32" s="32">
        <f t="shared" si="42"/>
        <v>35219.003892055596</v>
      </c>
      <c r="AN32" s="32">
        <f>IF(AF32&gt;=0,IF(AF32&lt;=InputData!$C$148,InputData!$C$147*AF32,InputData!$C$147*InputData!$C$148)+InputData!$C$149*AF32,0)</f>
        <v>9309.0051122671648</v>
      </c>
      <c r="AO32" s="32">
        <f>IF(AH32&lt;0,0,IF(AH32&lt;=InputData!$B$163,InputData!$C$163*AH32,IF(AH32&lt;=InputData!$B$164,InputData!$D$163+InputData!$C$164*(AH32-InputData!$B$163),IF(AH32&lt;=InputData!$B$165,InputData!$D$164+InputData!$C$165*(AH32-InputData!$B$164),InputData!$D$165+InputData!$C$166*(AH32-InputData!$B$165)))))</f>
        <v>0</v>
      </c>
      <c r="AP32" s="43">
        <f t="shared" si="43"/>
        <v>0.28573848016960085</v>
      </c>
      <c r="AQ32" s="43">
        <f t="shared" si="44"/>
        <v>0.25776944103099231</v>
      </c>
      <c r="AR32" s="5">
        <f t="shared" si="45"/>
        <v>128215.54363025443</v>
      </c>
      <c r="AS32" s="32">
        <f>AR32/((1+InputData!$C$7)^(Ophtha!$B32-Ophtha!$B$7))</f>
        <v>61236.457703720829</v>
      </c>
      <c r="AT32" s="5">
        <f t="shared" si="112"/>
        <v>1567478.2037837482</v>
      </c>
      <c r="AU32" s="53"/>
      <c r="AV32" s="41" t="s">
        <v>109</v>
      </c>
      <c r="AW32" s="32">
        <f>$AW$15*(1+InputData!$C$3+InputData!$C$4)^(Ophtha!$B32-Ophtha!$B$17)</f>
        <v>392864.1244461427</v>
      </c>
      <c r="AX32" s="32">
        <v>0</v>
      </c>
      <c r="AY32" s="32">
        <f t="shared" si="47"/>
        <v>392864.1244461427</v>
      </c>
      <c r="AZ32" s="32">
        <f>AZ31*(1+InputData!$C$8)</f>
        <v>18850.562876399756</v>
      </c>
      <c r="BA32" s="32">
        <f>AW32/((1+InputData!$C$3)^(Ophtha!$B32-Ophtha!$B$7))</f>
        <v>239462.81177298762</v>
      </c>
      <c r="BB32" s="32">
        <f>AX32/((1+InputData!$C$3)^(Ophtha!$B32-Ophtha!$B$7))</f>
        <v>0</v>
      </c>
      <c r="BC32" s="32" t="s">
        <v>141</v>
      </c>
      <c r="BD32" s="32">
        <v>0</v>
      </c>
      <c r="BE32" s="32">
        <f t="shared" si="158"/>
        <v>0</v>
      </c>
      <c r="BF32" s="32">
        <f>(BE32)*InputData!$C$6</f>
        <v>0</v>
      </c>
      <c r="BG32" s="32">
        <f>MIN($BE$15*InputData!$C$6/(1-(1+InputData!$C$6)^(-10)), BE32+BF32)</f>
        <v>0</v>
      </c>
      <c r="BH32" s="32">
        <f t="shared" si="140"/>
        <v>0</v>
      </c>
      <c r="BI32" s="32">
        <f>BG32/((1+InputData!$C$3)^(Ophtha!$B32-Ophtha!$B$7))</f>
        <v>0</v>
      </c>
      <c r="BJ32" s="32">
        <f>IF(BA32-InputData!$C$158-InputData!$C$159&gt;=0,BA32-InputData!$C$158-InputData!$C$159,0)</f>
        <v>239462.81177298762</v>
      </c>
      <c r="BK32" s="32">
        <f>IF(BA32-IF(BA32&lt;=InputData!$C$146,InputData!$C$145,0)-MAX(InputData!$C$144,BQ32)&gt;=0,BA32-IF(BA32&lt;=InputData!$C$146,InputData!$C$145,0)-MAX(InputData!$C$144,BQ32),0)</f>
        <v>233362.81177298762</v>
      </c>
      <c r="BL32" s="32">
        <f>IF(BK32&lt;0,"Error",IF(BK32&lt;=InputData!$B$170,InputData!$C$170*BK32,IF(BK32&lt;=InputData!$B$171,InputData!$D$170+InputData!$C$171*(BK32-InputData!$B$170),IF(BK32&lt;=InputData!$B$172,InputData!$D$171+InputData!$C$172*(BK32-InputData!$B$171),IF(BK32&lt;=InputData!$B$173,InputData!$D$172+InputData!$C$173*(BK32-InputData!$B$172),IF(BK32&lt;=InputData!$B$174,InputData!$D$173+InputData!$C$174*(BK32-InputData!$B$173),IF(BK32&lt;=InputData!$B$175,InputData!$D$174+InputData!$C$175*(BK32-InputData!$B$174),InputData!$D$175+InputData!$C$176*(BK32-InputData!$B$175))))))))</f>
        <v>61140.477885085915</v>
      </c>
      <c r="BM32" s="32">
        <f>IF(BA32&lt;=InputData!$C$150,InputData!$C$152,IF(BA32&lt;InputData!$C$151,IF(InputData!$C$152-0.25*IF(BA32-InputData!$C$150&lt;=0,0,BA32-InputData!$C$150)&lt;=0,0,InputData!$C$152-0.25*IF(BA32-InputData!$C$150&lt;=0,0,BA32-InputData!$C$150)),0))</f>
        <v>20884.297056753094</v>
      </c>
      <c r="BN32" s="32">
        <f>IF(BA32-BM32&lt;=0,0,IF(BA32-BM32&lt;=InputData!$C$153,InputData!$C$154*(BA32-BM32),InputData!$C$155*(BA32-BM32)-InputData!$D$154))</f>
        <v>57611.984120545676</v>
      </c>
      <c r="BO32" s="32">
        <f t="shared" si="48"/>
        <v>61140.477885085915</v>
      </c>
      <c r="BP32" s="32">
        <f>IF(BA32&gt;=0,IF(BA32&lt;=InputData!$C$148,InputData!$C$147*BA32,InputData!$C$147*InputData!$C$148)+InputData!$C$149*BA32,0)</f>
        <v>10521.610770708321</v>
      </c>
      <c r="BQ32" s="32">
        <f>IF(BJ32&lt;0,0,IF(BJ32&lt;=InputData!$B$163,InputData!$C$163*BJ32,IF(BJ32&lt;=InputData!$B$164,InputData!$D$163+InputData!$C$164*(BJ32-InputData!$B$163),IF(BJ32&lt;=InputData!$B$165,InputData!$D$164+InputData!$C$165*(BJ32-InputData!$B$164),InputData!$D$165+InputData!$C$166*(BJ32-InputData!$B$165)))))</f>
        <v>0</v>
      </c>
      <c r="BR32" s="43">
        <f t="shared" si="49"/>
        <v>0.2992618692030159</v>
      </c>
      <c r="BS32" s="32">
        <f t="shared" si="50"/>
        <v>167800.72311719338</v>
      </c>
      <c r="BT32" s="32">
        <f t="shared" si="51"/>
        <v>167800.72311719338</v>
      </c>
      <c r="BU32" s="32">
        <f>BT32/((1+InputData!$C$7)^(Ophtha!$B32-Ophtha!$B$7))</f>
        <v>80142.559886905277</v>
      </c>
      <c r="BV32" s="5">
        <f t="shared" si="114"/>
        <v>1492706.0198087986</v>
      </c>
      <c r="BW32" s="5"/>
      <c r="BX32" s="32" t="s">
        <v>141</v>
      </c>
      <c r="BY32" s="5">
        <f t="shared" si="159"/>
        <v>127072.48590824386</v>
      </c>
      <c r="BZ32" s="32">
        <f>(BY32)*InputData!$C$6</f>
        <v>7891.2013749019443</v>
      </c>
      <c r="CA32" s="32">
        <f>MIN($BY$15*InputData!$C$6/(1-(1+InputData!$C$6)^(-25)), BY32+BZ32)</f>
        <v>20633.642137763909</v>
      </c>
      <c r="CB32" s="32">
        <f t="shared" si="160"/>
        <v>114330.04514538191</v>
      </c>
      <c r="CC32" s="32">
        <f>CA32/((1+InputData!$C$3)^(Ophtha!$B32-Ophtha!$B$7))</f>
        <v>12576.841854400222</v>
      </c>
      <c r="CD32" s="5">
        <f t="shared" si="55"/>
        <v>155223.88126279315</v>
      </c>
      <c r="CE32" s="32">
        <f>CD32/((1+InputData!$C$7)^(Ophtha!$B32-Ophtha!$B$7))</f>
        <v>74135.790173520581</v>
      </c>
      <c r="CF32" s="5">
        <f t="shared" si="115"/>
        <v>1516155.2679763967</v>
      </c>
      <c r="CG32" s="5"/>
      <c r="CH32" s="32" t="s">
        <v>141</v>
      </c>
      <c r="CI32" s="5">
        <f t="shared" si="161"/>
        <v>0</v>
      </c>
      <c r="CJ32" s="32">
        <f>(CI32)*InputData!$C$6</f>
        <v>0</v>
      </c>
      <c r="CK32" s="5">
        <f t="shared" si="162"/>
        <v>0</v>
      </c>
      <c r="CL32" s="32">
        <f t="shared" si="163"/>
        <v>0</v>
      </c>
      <c r="CM32" s="32">
        <f>CK32/((1+InputData!$C$3)^(Ophtha!$B32-Ophtha!$B$7))</f>
        <v>0</v>
      </c>
      <c r="CN32" s="5">
        <f t="shared" si="59"/>
        <v>167800.72311719338</v>
      </c>
      <c r="CO32" s="32">
        <f>CN32/((1+InputData!$C$7)^(Ophtha!$B32-Ophtha!$B$7))</f>
        <v>80142.559886905277</v>
      </c>
      <c r="CP32" s="5">
        <f t="shared" si="149"/>
        <v>1492485.5183837088</v>
      </c>
      <c r="CQ32" s="5"/>
      <c r="CR32" s="32" t="s">
        <v>141</v>
      </c>
      <c r="CS32" s="5">
        <f t="shared" si="164"/>
        <v>0</v>
      </c>
      <c r="CT32" s="32">
        <f>(CS32)*InputData!$C$6</f>
        <v>0</v>
      </c>
      <c r="CU32" s="32">
        <f t="shared" si="165"/>
        <v>0</v>
      </c>
      <c r="CV32" s="32">
        <f t="shared" si="166"/>
        <v>0</v>
      </c>
      <c r="CW32" s="32">
        <f>CU32/((1+InputData!$C$3)^(Ophtha!$B32-Ophtha!$B$7))</f>
        <v>0</v>
      </c>
      <c r="CX32" s="5">
        <f t="shared" si="63"/>
        <v>167800.72311719338</v>
      </c>
      <c r="CY32" s="32">
        <f>CX32/((1+InputData!$C$7)^(Ophtha!$B32-Ophtha!$B$7))</f>
        <v>80142.559886905277</v>
      </c>
      <c r="CZ32" s="5">
        <f t="shared" si="150"/>
        <v>1487018.451664696</v>
      </c>
      <c r="DA32" s="5"/>
      <c r="DB32" s="32" t="s">
        <v>141</v>
      </c>
      <c r="DC32" s="5">
        <f t="shared" si="141"/>
        <v>0</v>
      </c>
      <c r="DD32" s="5">
        <f>DC32*InputData!$C$6</f>
        <v>0</v>
      </c>
      <c r="DE32" s="32">
        <f t="shared" si="142"/>
        <v>0</v>
      </c>
      <c r="DF32" s="32">
        <f t="shared" si="143"/>
        <v>0</v>
      </c>
      <c r="DG32" s="32">
        <f>DE32/((1+InputData!$C$3)^(Ophtha!$B32-Ophtha!$B$7))</f>
        <v>0</v>
      </c>
      <c r="DH32" s="5">
        <f t="shared" si="67"/>
        <v>167800.72311719338</v>
      </c>
      <c r="DI32" s="32">
        <f>DH32/((1+InputData!$C$7)^(Ophtha!$B32-Ophtha!$B$7))</f>
        <v>80142.559886905277</v>
      </c>
      <c r="DJ32" s="5">
        <f t="shared" si="130"/>
        <v>1497217.7174810576</v>
      </c>
      <c r="DK32" s="5"/>
      <c r="DL32" s="32" t="s">
        <v>141</v>
      </c>
      <c r="DM32" s="32">
        <f t="shared" si="167"/>
        <v>0</v>
      </c>
      <c r="DN32" s="5">
        <f>DM32*InputData!$C$6</f>
        <v>0</v>
      </c>
      <c r="DO32" s="32">
        <f t="shared" si="168"/>
        <v>0</v>
      </c>
      <c r="DP32" s="32">
        <f t="shared" si="131"/>
        <v>0</v>
      </c>
      <c r="DQ32" s="32">
        <f t="shared" si="132"/>
        <v>0</v>
      </c>
      <c r="DR32" s="32">
        <f>DP32/((1+InputData!$C$3)^(Ophtha!$B32-Ophtha!$B$7))</f>
        <v>0</v>
      </c>
      <c r="DS32" s="5">
        <f t="shared" si="71"/>
        <v>167800.72311719338</v>
      </c>
      <c r="DT32" s="32">
        <f>DS32/((1+InputData!$C$7)^(Ophtha!$B32-Ophtha!$B$7))</f>
        <v>80142.559886905277</v>
      </c>
      <c r="DU32" s="5">
        <f t="shared" si="133"/>
        <v>1491253.5513915687</v>
      </c>
      <c r="DV32" s="5"/>
      <c r="DW32" s="32" t="s">
        <v>141</v>
      </c>
      <c r="DX32" s="133">
        <f t="shared" si="144"/>
        <v>0</v>
      </c>
      <c r="DY32" s="5">
        <f>DX32*InputData!$C$6</f>
        <v>0</v>
      </c>
      <c r="DZ32" s="133">
        <f t="shared" si="145"/>
        <v>0</v>
      </c>
      <c r="EA32" s="32">
        <f t="shared" si="146"/>
        <v>0</v>
      </c>
      <c r="EB32" s="32">
        <f t="shared" si="147"/>
        <v>0</v>
      </c>
      <c r="EC32" s="32">
        <f>EA32/((1+InputData!$C$3)^(Ophtha!$B32-Ophtha!$B$7))</f>
        <v>0</v>
      </c>
      <c r="ED32" s="5">
        <f t="shared" si="75"/>
        <v>167800.72311719338</v>
      </c>
      <c r="EE32" s="32">
        <f>ED32/((1+InputData!$C$7)^(Ophtha!$B32-Ophtha!$B$7))</f>
        <v>80142.559886905277</v>
      </c>
      <c r="EF32" s="5">
        <f t="shared" si="134"/>
        <v>1491096.2803643183</v>
      </c>
      <c r="EG32" s="32"/>
      <c r="EH32" s="133" t="s">
        <v>141</v>
      </c>
      <c r="EI32" s="32">
        <v>0</v>
      </c>
      <c r="EJ32" s="32">
        <f t="shared" si="175"/>
        <v>0</v>
      </c>
      <c r="EK32" s="32">
        <f>(EJ32)*InputData!$C$6</f>
        <v>0</v>
      </c>
      <c r="EL32" s="32">
        <f t="shared" si="173"/>
        <v>0</v>
      </c>
      <c r="EM32" s="32">
        <f>EM31*(1+InputData!$C$8)</f>
        <v>18850.562876399756</v>
      </c>
      <c r="EN32" s="32">
        <f t="shared" si="152"/>
        <v>0</v>
      </c>
      <c r="EO32" s="32">
        <f>AW32/((1+InputData!$C$3)^(Ophtha!$B32-Ophtha!$B$7))</f>
        <v>239462.81177298762</v>
      </c>
      <c r="EP32" s="32">
        <f>AX32/((1+InputData!$C$3)^(Ophtha!$B32-Ophtha!$B$7))</f>
        <v>0</v>
      </c>
      <c r="EQ32" s="32">
        <v>61149.67</v>
      </c>
      <c r="ER32" s="32">
        <v>9233.2849999999999</v>
      </c>
      <c r="ES32" s="32">
        <v>0</v>
      </c>
      <c r="ET32" s="43">
        <f t="shared" si="139"/>
        <v>0.29392018943936699</v>
      </c>
      <c r="EU32" s="32">
        <f t="shared" si="76"/>
        <v>169079.85677298761</v>
      </c>
      <c r="EV32" s="32">
        <f>EN32/((1+InputData!$C$3)^(Ophtha!$B32-Ophtha!$B$7))</f>
        <v>0</v>
      </c>
      <c r="EW32" s="32">
        <f t="shared" si="77"/>
        <v>169079.85677298761</v>
      </c>
      <c r="EX32" s="32">
        <f>EW32/((1+InputData!$C$7)^(Ophtha!$B32-Ophtha!$B$7))</f>
        <v>80753.481244742623</v>
      </c>
      <c r="EY32" s="5">
        <f t="shared" si="124"/>
        <v>1576300.8760190886</v>
      </c>
      <c r="EZ32" s="79"/>
      <c r="FA32" s="32">
        <f t="shared" si="153"/>
        <v>0</v>
      </c>
      <c r="FB32" s="32">
        <f>FA32*InputData!$C$6</f>
        <v>0</v>
      </c>
      <c r="FC32" s="32">
        <f t="shared" si="154"/>
        <v>0</v>
      </c>
      <c r="FD32" s="32">
        <f>MIN($EJ$15*InputData!$C$6/(1-(1+InputData!$C$6)^(-10)), FA32+FB32)</f>
        <v>0</v>
      </c>
      <c r="FE32" s="32">
        <f>FD32/((1+InputData!$C$3)^(Ophtha!$B32-Ophtha!$B$7))</f>
        <v>0</v>
      </c>
      <c r="FF32" s="5">
        <f t="shared" si="81"/>
        <v>169079.85677298761</v>
      </c>
      <c r="FG32" s="32">
        <f>FF32/((1+InputData!$C$7)^(Ophtha!$B32-Ophtha!$B$7))</f>
        <v>80753.481244742623</v>
      </c>
      <c r="FH32" s="5">
        <f t="shared" si="125"/>
        <v>1582127.467706901</v>
      </c>
      <c r="FI32" s="79"/>
      <c r="FJ32" s="32">
        <f t="shared" si="155"/>
        <v>127794.05246199868</v>
      </c>
      <c r="FK32" s="32">
        <f>FJ32*InputData!$C$6</f>
        <v>7936.0106578901186</v>
      </c>
      <c r="FL32" s="32">
        <f t="shared" si="170"/>
        <v>114979.25520904397</v>
      </c>
      <c r="FM32" s="32">
        <f>MIN($EJ$15*InputData!$C$6/(1-(1+InputData!$C$6)^(-25)), FJ32+FK32)</f>
        <v>20750.807910844829</v>
      </c>
      <c r="FN32" s="32">
        <f>FM32/((1+InputData!$C$3)^(Ophtha!$B32-Ophtha!$B$7))</f>
        <v>12648.258010062355</v>
      </c>
      <c r="FO32" s="5">
        <f t="shared" si="85"/>
        <v>156431.59876292525</v>
      </c>
      <c r="FP32" s="32">
        <f>FO32/((1+InputData!$C$7)^(Ophtha!$B32-Ophtha!$B$7))</f>
        <v>74712.602777678447</v>
      </c>
      <c r="FQ32" s="5">
        <f t="shared" si="126"/>
        <v>1605709.8697438638</v>
      </c>
      <c r="FR32" s="79"/>
      <c r="FS32" s="32">
        <f t="shared" si="156"/>
        <v>0</v>
      </c>
      <c r="FT32" s="32">
        <f>FS32*InputData!$C$6</f>
        <v>0</v>
      </c>
      <c r="FU32" s="32">
        <f t="shared" si="171"/>
        <v>0</v>
      </c>
      <c r="FV32" s="5">
        <f t="shared" si="157"/>
        <v>0</v>
      </c>
      <c r="FW32" s="32">
        <f>FV32/((1+InputData!$C$3)^(Ophtha!$B32-Ophtha!$B$7))</f>
        <v>0</v>
      </c>
      <c r="FX32" s="5">
        <f t="shared" si="88"/>
        <v>169079.85677298761</v>
      </c>
      <c r="FY32" s="32">
        <f>FX32/((1+InputData!$C$7)^(Ophtha!$B32-Ophtha!$B$7))</f>
        <v>80753.481244742623</v>
      </c>
      <c r="FZ32" s="5">
        <f t="shared" si="127"/>
        <v>1581866.8588358178</v>
      </c>
      <c r="GC32" s="124">
        <v>22</v>
      </c>
      <c r="GD32" s="122" t="str">
        <f>E32</f>
        <v>Multi-Year (O6&gt;24 = (BP+BAH+BAS+VSP+BCPSP)*12+ASP+ISP+MSP)</v>
      </c>
      <c r="GE32" s="5"/>
      <c r="GF32" s="5">
        <f>H32</f>
        <v>21631.199999999997</v>
      </c>
      <c r="GG32" s="5"/>
      <c r="GH32" s="5">
        <f>J32</f>
        <v>159004.07075123006</v>
      </c>
      <c r="GI32" s="5">
        <v>0</v>
      </c>
      <c r="GJ32" s="32">
        <f>IF(GH32-InputData!$C$158-InputData!$C$159&gt;=0,GH32-InputData!$C$158-InputData!$C$159,0)</f>
        <v>159004.07075123006</v>
      </c>
      <c r="GK32" s="32">
        <f>IF(GH32-IF(GH32&lt;=InputData!$C$146,InputData!$C$145,0)-MAX(InputData!$C$144,GQ32)&gt;=0,GH32-IF(GH32&lt;=InputData!$C$146,InputData!$C$145,0)-MAX(InputData!$C$144,GQ32),0)</f>
        <v>152904.07075123006</v>
      </c>
      <c r="GL32" s="32">
        <f>IF(GK32&lt;0,"Error",IF(GK32&lt;=InputData!$B$170,InputData!$C$170*GK32,IF(GK32&lt;=InputData!$B$171,InputData!$D$170+InputData!$C$171*(GK32-InputData!$B$170),IF(GK32&lt;=InputData!$B$172,InputData!$D$171+InputData!$C$172*(GK32-InputData!$B$171),IF(GK32&lt;=InputData!$B$173,InputData!$D$172+InputData!$C$173*(GK32-InputData!$B$172),IF(GK32&lt;=InputData!$B$174,InputData!$D$173+InputData!$C$174*(GK32-InputData!$B$173),IF(GK32&lt;=InputData!$B$175,InputData!$D$174+InputData!$C$175*(GK32-InputData!$B$174),InputData!$D$175+InputData!$C$176*(GK32-InputData!$B$175))))))))</f>
        <v>36106.389810344423</v>
      </c>
      <c r="GM32" s="32">
        <f>IF(GH32&lt;=InputData!$C$150,InputData!$C$152,IF(GH32&lt;InputData!$C$151,IF(InputData!$C$152-0.25*IF(GH32-InputData!$C$150&lt;=0,0,GH32-InputData!$C$150)&lt;=0,0,InputData!$C$152-0.25*IF(GH32-InputData!$C$150&lt;=0,0,GH32-InputData!$C$150)),0))</f>
        <v>40998.982312192486</v>
      </c>
      <c r="GN32" s="32">
        <f>IF(GH32-GM32&lt;=0,0,IF(GH32-GM32&lt;=InputData!$C$153,InputData!$C$154*(GH32-GM32),InputData!$C$155*(GH32-GM32)-InputData!$D$154))</f>
        <v>30681.32299414977</v>
      </c>
      <c r="GO32" s="32">
        <f t="shared" si="89"/>
        <v>36106.389810344423</v>
      </c>
      <c r="GP32" s="32">
        <f>IF(GH32&gt;=0,IF(GH32&lt;=InputData!$C$148,InputData!$C$147*GH32,InputData!$C$147*InputData!$C$148)+InputData!$C$149*GH32,0)</f>
        <v>9354.9590258928365</v>
      </c>
      <c r="GQ32" s="32">
        <f>IF(GJ32&lt;0,0,IF(GJ32&lt;=InputData!$B$163,InputData!$C$163*GJ32,IF(GJ32&lt;=InputData!$B$164,InputData!$D$163+InputData!$C$164*(GJ32-InputData!$B$163),IF(GJ32&lt;=InputData!$B$165,InputData!$D$164+InputData!$C$165*(GJ32-InputData!$B$164),InputData!$D$165+InputData!$C$166*(GJ32-InputData!$B$165)))))</f>
        <v>0</v>
      </c>
      <c r="GR32" s="43">
        <f t="shared" si="90"/>
        <v>0.28591311292503857</v>
      </c>
      <c r="GS32" s="43">
        <f t="shared" si="91"/>
        <v>0.28591311292503857</v>
      </c>
      <c r="GT32" s="5">
        <f t="shared" si="9"/>
        <v>113542.7219149928</v>
      </c>
      <c r="GU32" s="32">
        <f>GT32/((1+InputData!$C$7)^(Ophtha!$B32-Ophtha!$B$7))</f>
        <v>54228.636335728457</v>
      </c>
      <c r="GV32" s="32">
        <f t="shared" si="92"/>
        <v>1578223.658101025</v>
      </c>
      <c r="GX32" s="83">
        <v>20</v>
      </c>
      <c r="GY32" s="4" t="s">
        <v>217</v>
      </c>
      <c r="GZ32" s="5"/>
      <c r="HA32" s="84">
        <v>0</v>
      </c>
      <c r="HB32" s="5"/>
      <c r="HC32" s="84">
        <f>MIN(InputData!$C$13+InputData!$E$13*($B32-$B$31),1)*$AW32/((1+InputData!$C$3)^(Ophtha!$B32-Ophtha!$B$7))+0.025*$GX$30*(($AB$28+$AB$29+$AB$30)/3)*((1+InputData!$C$5)/(1+InputData!$C$3))^(Ophtha!$B32-Ophtha!$B$7)</f>
        <v>256279.52147551859</v>
      </c>
      <c r="HD32" s="5">
        <v>0</v>
      </c>
      <c r="HE32" s="32">
        <f>IF(HC32-InputData!$C$158-InputData!$C$159&gt;=0,HC32-InputData!$C$158-InputData!$C$159,0)</f>
        <v>256279.52147551859</v>
      </c>
      <c r="HF32" s="32">
        <f>IF(HC32-IF(HC32&lt;=InputData!$C$146,InputData!$C$145,0)-MAX(InputData!$C$144,HL32)&gt;=0,HC32-IF(HC32&lt;=InputData!$C$146,InputData!$C$145,0)-MAX(InputData!$C$144,HL32),0)</f>
        <v>250179.52147551859</v>
      </c>
      <c r="HG32" s="32">
        <f>IF(HF32&lt;0,"Error",IF(HF32&lt;=InputData!$B$170,InputData!$C$170*HF32,IF(HF32&lt;=InputData!$B$171,InputData!$D$170+InputData!$C$171*(HF32-InputData!$B$170),IF(HF32&lt;=InputData!$B$172,InputData!$D$171+InputData!$C$172*(HF32-InputData!$B$171),IF(HF32&lt;=InputData!$B$173,InputData!$D$172+InputData!$C$173*(HF32-InputData!$B$172),IF(HF32&lt;=InputData!$B$174,InputData!$D$173+InputData!$C$174*(HF32-InputData!$B$173),IF(HF32&lt;=InputData!$B$175,InputData!$D$174+InputData!$C$175*(HF32-InputData!$B$174),InputData!$D$175+InputData!$C$176*(HF32-InputData!$B$175))))))))</f>
        <v>66689.992086921135</v>
      </c>
      <c r="HH32" s="32">
        <f>IF(HC32&lt;=InputData!$C$150,InputData!$C$152,IF(HC32&lt;InputData!$C$151,IF(InputData!$C$152-0.25*IF(HC32-InputData!$C$150&lt;=0,0,HC32-InputData!$C$150)&lt;=0,0,InputData!$C$152-0.25*IF(HC32-InputData!$C$150&lt;=0,0,HC32-InputData!$C$150)),0))</f>
        <v>16680.119631120353</v>
      </c>
      <c r="HI32" s="32">
        <f>IF(HC32-HH32&lt;=0,0,IF(HC32-HH32&lt;=InputData!$C$153,InputData!$C$154*(HC32-HH32),InputData!$C$155*(HC32-HH32)-InputData!$D$154))</f>
        <v>63497.832516431517</v>
      </c>
      <c r="HJ32" s="32">
        <f t="shared" si="93"/>
        <v>66689.992086921135</v>
      </c>
      <c r="HK32" s="32">
        <f>IF(HC32&gt;=0,IF(HC32&lt;=InputData!$C$148,InputData!$C$147*HC32,InputData!$C$147*InputData!$C$148)+InputData!$C$149*HC32,0)</f>
        <v>10765.453061395019</v>
      </c>
      <c r="HL32" s="32">
        <f>IF(HE32&lt;0,0,IF(HE32&lt;=InputData!$B$163,InputData!$C$163*HE32,IF(HE32&lt;=InputData!$B$164,InputData!$D$163+InputData!$C$164*(HE32-InputData!$B$163),IF(HE32&lt;=InputData!$B$165,InputData!$D$164+InputData!$C$165*(HE32-InputData!$B$164),InputData!$D$165+InputData!$C$166*(HE32-InputData!$B$165)))))</f>
        <v>0</v>
      </c>
      <c r="HM32" s="43">
        <f t="shared" si="94"/>
        <v>0.30223033312365216</v>
      </c>
      <c r="HN32" s="43">
        <f t="shared" si="95"/>
        <v>0.30223033312365216</v>
      </c>
      <c r="HO32" s="5">
        <f t="shared" si="17"/>
        <v>178824.07632720243</v>
      </c>
      <c r="HP32" s="32">
        <f>HO32/((1+InputData!$C$7)^(Ophtha!$B32-Ophtha!$B$7))</f>
        <v>85407.374771944</v>
      </c>
      <c r="HQ32" s="84">
        <f t="shared" si="96"/>
        <v>1615659.1317919896</v>
      </c>
      <c r="HS32" s="94"/>
      <c r="HT32" s="53" t="s">
        <v>109</v>
      </c>
      <c r="HU32" s="32">
        <f>MIN(InputData!$C$13+InputData!$E$13*($B32-$B$22),1)*Ophtha!AW32</f>
        <v>353577.71200152842</v>
      </c>
      <c r="HV32" s="32">
        <f>MIN(InputData!$C$13+InputData!$E$13*($B32-$B$22),1)*Ophtha!AX32</f>
        <v>0</v>
      </c>
      <c r="HW32" s="32">
        <f>MIN(InputData!$C$13+InputData!$E$13*($B32-$B$22),1)*Ophtha!AY32</f>
        <v>353577.71200152842</v>
      </c>
      <c r="HX32" s="32">
        <f>MIN(InputData!$C$13+InputData!$E$13*($B32-$B$22),1)*Ophtha!BA32</f>
        <v>215516.53059568888</v>
      </c>
      <c r="HY32" s="32">
        <f>MIN(InputData!$C$13+InputData!$E$13*($B32-$B$22),1)*Ophtha!BB32</f>
        <v>0</v>
      </c>
      <c r="HZ32" s="32">
        <f>IF(HX32-InputData!$C$158-InputData!$C$159&gt;=0,HX32-InputData!$C$158-InputData!$C$159,0)</f>
        <v>215516.53059568888</v>
      </c>
      <c r="IA32" s="32">
        <f>IF(HX32-IF(HX32&lt;=InputData!$C$146,InputData!$C$145,0)-MAX(InputData!$C$144,IG32)&gt;=0,HX32-IF(HX32&lt;=InputData!$C$146,InputData!$C$145,0)-MAX(InputData!$C$144,IG32),0)</f>
        <v>209416.53059568888</v>
      </c>
      <c r="IB32" s="32">
        <f>IF(IA32&lt;0,"Error",IF(IA32&lt;=InputData!$B$170,InputData!$C$170*IA32,IF(IA32&lt;=InputData!$B$171,InputData!$D$170+InputData!$C$171*(IA32-InputData!$B$170),IF(IA32&lt;=InputData!$B$172,InputData!$D$171+InputData!$C$172*(IA32-InputData!$B$171),IF(IA32&lt;=InputData!$B$173,InputData!$D$172+InputData!$C$173*(IA32-InputData!$B$172),IF(IA32&lt;=InputData!$B$174,InputData!$D$173+InputData!$C$174*(IA32-InputData!$B$173),IF(IA32&lt;=InputData!$B$175,InputData!$D$174+InputData!$C$175*(IA32-InputData!$B$174),InputData!$D$175+InputData!$C$176*(IA32-InputData!$B$175))))))))</f>
        <v>53238.205096577331</v>
      </c>
      <c r="IC32" s="32">
        <f>IF(HX32&lt;=InputData!$C$150,InputData!$C$152,IF(HX32&lt;InputData!$C$151,IF(InputData!$C$152-0.25*IF(HX32-InputData!$C$150&lt;=0,0,HX32-InputData!$C$150)&lt;=0,0,InputData!$C$152-0.25*IF(HX32-InputData!$C$150&lt;=0,0,HX32-InputData!$C$150)),0))</f>
        <v>26870.867351077781</v>
      </c>
      <c r="ID32" s="32">
        <f>IF(HX32-IC32&lt;=0,0,IF(HX32-IC32&lt;=InputData!$C$153,InputData!$C$154*(HX32-IC32),InputData!$C$155*(HX32-IC32)-InputData!$D$154))</f>
        <v>49230.785708491108</v>
      </c>
      <c r="IE32" s="32">
        <f t="shared" si="97"/>
        <v>53238.205096577331</v>
      </c>
      <c r="IF32" s="32">
        <f>IF(HX32&gt;=0,IF(HX32&lt;=InputData!$C$148,InputData!$C$147*HX32,InputData!$C$147*InputData!$C$148)+InputData!$C$149*HX32,0)</f>
        <v>10174.389693637488</v>
      </c>
      <c r="IG32" s="32">
        <f>IF(HZ32&lt;0,0,IF(HZ32&lt;=InputData!$B$163,InputData!$C$163*HZ32,IF(HZ32&lt;=InputData!$B$164,InputData!$D$163+InputData!$C$164*(HZ32-InputData!$B$163),IF(HZ32&lt;=InputData!$B$165,InputData!$D$164+InputData!$C$165*(HZ32-InputData!$B$164),InputData!$D$165+InputData!$C$166*(HZ32-InputData!$B$165)))))</f>
        <v>0</v>
      </c>
      <c r="IH32" s="43">
        <f t="shared" si="98"/>
        <v>0.2942354102255732</v>
      </c>
      <c r="II32" s="43">
        <f t="shared" si="99"/>
        <v>0.2942354102255732</v>
      </c>
      <c r="IJ32" s="5">
        <f t="shared" si="100"/>
        <v>152103.93580547406</v>
      </c>
      <c r="IK32" s="32">
        <f>IJ32/((1+InputData!$C$7)^(Ophtha!$B32-Ophtha!$B$7))</f>
        <v>72645.686847312376</v>
      </c>
      <c r="IL32" s="5">
        <f t="shared" si="101"/>
        <v>1722214.8564335785</v>
      </c>
      <c r="IN32" s="94"/>
      <c r="IO32" s="53" t="s">
        <v>109</v>
      </c>
      <c r="IP32" s="32">
        <f>MIN(InputData!$C$13+InputData!$E$13*($B32-$B$19),1)*Ophtha!AW32</f>
        <v>353577.71200152842</v>
      </c>
      <c r="IQ32" s="32">
        <f>MIN(InputData!$C$13+InputData!$E$13*($B32-$B$19),1)*Ophtha!AX32</f>
        <v>0</v>
      </c>
      <c r="IR32" s="32">
        <f>MIN(InputData!$C$13+InputData!$E$13*($B32-$B$19),1)*Ophtha!AY32</f>
        <v>353577.71200152842</v>
      </c>
      <c r="IS32" s="32">
        <f>MIN(InputData!$C$13+InputData!$E$13*($B32-$B$19),1)*Ophtha!BA32</f>
        <v>215516.53059568888</v>
      </c>
      <c r="IT32" s="32">
        <f>MIN(InputData!$C$13+InputData!$E$13*($B32-$B$19),1)*Ophtha!BB32</f>
        <v>0</v>
      </c>
      <c r="IU32" s="32">
        <f>IF(IS32-InputData!$C$158-InputData!$C$159&gt;=0,IS32-InputData!$C$158-InputData!$C$159,0)</f>
        <v>215516.53059568888</v>
      </c>
      <c r="IV32" s="32">
        <f>IF(IS32-IF(IS32&lt;=InputData!$C$146,InputData!$C$145,0)-MAX(InputData!$C$144,JB32)&gt;=0,IS32-IF(IS32&lt;=InputData!$C$146,InputData!$C$145,0)-MAX(InputData!$C$144,JB32),0)</f>
        <v>209416.53059568888</v>
      </c>
      <c r="IW32" s="32">
        <f>IF(IV32&lt;0,"Error",IF(IV32&lt;=InputData!$B$170,InputData!$C$170*IV32,IF(IV32&lt;=InputData!$B$171,InputData!$D$170+InputData!$C$171*(IV32-InputData!$B$170),IF(IV32&lt;=InputData!$B$172,InputData!$D$171+InputData!$C$172*(IV32-InputData!$B$171),IF(IV32&lt;=InputData!$B$173,InputData!$D$172+InputData!$C$173*(IV32-InputData!$B$172),IF(IV32&lt;=InputData!$B$174,InputData!$D$173+InputData!$C$174*(IV32-InputData!$B$173),IF(IV32&lt;=InputData!$B$175,InputData!$D$174+InputData!$C$175*(IV32-InputData!$B$174),InputData!$D$175+InputData!$C$176*(IV32-InputData!$B$175))))))))</f>
        <v>53238.205096577331</v>
      </c>
      <c r="IX32" s="32">
        <f>IF(IS32&lt;=InputData!$C$150,InputData!$C$152,IF(IS32&lt;InputData!$C$151,IF(InputData!$C$152-0.25*IF(IS32-InputData!$C$150&lt;=0,0,IS32-InputData!$C$150)&lt;=0,0,InputData!$C$152-0.25*IF(IS32-InputData!$C$150&lt;=0,0,IS32-InputData!$C$150)),0))</f>
        <v>26870.867351077781</v>
      </c>
      <c r="IY32" s="32">
        <f>IF(IS32-IX32&lt;=0,0,IF(IS32-IX32&lt;=InputData!$C$153,InputData!$C$154*(IS32-IX32),InputData!$C$155*(IS32-IX32)-InputData!$D$154))</f>
        <v>49230.785708491108</v>
      </c>
      <c r="IZ32" s="32">
        <f t="shared" si="102"/>
        <v>53238.205096577331</v>
      </c>
      <c r="JA32" s="32">
        <f>IF(IS32&gt;=0,IF(IS32&lt;=InputData!$C$148,InputData!$C$147*IS32,InputData!$C$147*InputData!$C$148)+InputData!$C$149*IS32,0)</f>
        <v>10174.389693637488</v>
      </c>
      <c r="JB32" s="32">
        <f>IF(IU32&lt;0,0,IF(IU32&lt;=InputData!$B$163,InputData!$C$163*IU32,IF(IU32&lt;=InputData!$B$164,InputData!$D$163+InputData!$C$164*(IU32-InputData!$B$163),IF(IU32&lt;=InputData!$B$165,InputData!$D$164+InputData!$C$165*(IU32-InputData!$B$164),InputData!$D$165+InputData!$C$166*(IU32-InputData!$B$165)))))</f>
        <v>0</v>
      </c>
      <c r="JC32" s="43">
        <f t="shared" si="103"/>
        <v>0.2942354102255732</v>
      </c>
      <c r="JD32" s="43">
        <f t="shared" si="104"/>
        <v>0.2942354102255732</v>
      </c>
      <c r="JE32" s="5">
        <f t="shared" si="105"/>
        <v>152103.93580547406</v>
      </c>
      <c r="JF32" s="32">
        <f>JE32/((1+InputData!$C$7)^(Ophtha!$B32-Ophtha!$B$7))</f>
        <v>72645.686847312376</v>
      </c>
      <c r="JG32" s="5">
        <f t="shared" si="106"/>
        <v>1732341.0281334235</v>
      </c>
      <c r="JI32" s="41" t="str">
        <f t="shared" si="32"/>
        <v>Private Practice</v>
      </c>
      <c r="JJ32" s="5">
        <f t="shared" si="33"/>
        <v>392864.1244461427</v>
      </c>
      <c r="JK32" s="32">
        <v>0</v>
      </c>
      <c r="JL32" s="32">
        <f t="shared" si="108"/>
        <v>392864.1244461427</v>
      </c>
      <c r="JM32" s="32">
        <f>JM31*(1+InputData!$C$8)</f>
        <v>18850.562876399756</v>
      </c>
      <c r="JN32" s="32">
        <f>JJ32/((1+InputData!$C$3)^(Ophtha!$B32-Ophtha!$B$7))</f>
        <v>239462.81177298762</v>
      </c>
      <c r="JO32" s="32">
        <f>JK32/((1+InputData!$C$3)^(Ophtha!$B32-Ophtha!$B$7))</f>
        <v>0</v>
      </c>
      <c r="JP32" s="32" t="s">
        <v>141</v>
      </c>
      <c r="JQ32" s="32">
        <v>0</v>
      </c>
      <c r="JR32" s="32">
        <f t="shared" si="172"/>
        <v>0</v>
      </c>
      <c r="JS32" s="32">
        <f>(JR32)*InputData!$C$6</f>
        <v>0</v>
      </c>
      <c r="JT32" s="32">
        <f>MIN($BE$15*InputData!$C$6/(1-(1+InputData!$C$6)^(-10)), JR32+JS32)</f>
        <v>0</v>
      </c>
      <c r="JU32" s="32">
        <f t="shared" si="148"/>
        <v>0</v>
      </c>
      <c r="JV32" s="32">
        <f>JT32/((1+InputData!$C$3)^(Ophtha!$B32-Ophtha!$B$7))</f>
        <v>0</v>
      </c>
      <c r="JW32" s="32">
        <f>IF(JN32-InputData!$C$158-InputData!$C$159&gt;=0,JN32-InputData!$C$158-InputData!$C$159,0)</f>
        <v>239462.81177298762</v>
      </c>
      <c r="JX32" s="32">
        <f>IF(JN32-IF(JN32&lt;=InputData!$C$146,InputData!$C$145,0)-MAX(InputData!$C$144,KD32)&gt;=0,JN32-IF(JN32&lt;=InputData!$C$146,InputData!$C$145,0)-MAX(InputData!$C$144,KD32),0)</f>
        <v>233362.81177298762</v>
      </c>
      <c r="JY32" s="32">
        <f>IF(JX32&lt;0,"Error",IF(JX32&lt;=InputData!$B$170,InputData!$C$170*JX32,IF(JX32&lt;=InputData!$B$171,InputData!$D$170+InputData!$C$171*(JX32-InputData!$B$170),IF(JX32&lt;=InputData!$B$172,InputData!$D$171+InputData!$C$172*(JX32-InputData!$B$171),IF(JX32&lt;=InputData!$B$173,InputData!$D$172+InputData!$C$173*(JX32-InputData!$B$172),IF(JX32&lt;=InputData!$B$174,InputData!$D$173+InputData!$C$174*(JX32-InputData!$B$173),IF(JX32&lt;=InputData!$B$175,InputData!$D$174+InputData!$C$175*(JX32-InputData!$B$174),InputData!$D$175+InputData!$C$176*(JX32-InputData!$B$175))))))))</f>
        <v>61140.477885085915</v>
      </c>
      <c r="JZ32" s="32">
        <f>IF(JN32&lt;=InputData!$C$150,InputData!$C$152,IF(JN32&lt;InputData!$C$151,IF(InputData!$C$152-0.25*IF(JN32-InputData!$C$150&lt;=0,0,JN32-InputData!$C$150)&lt;=0,0,InputData!$C$152-0.25*IF(JN32-InputData!$C$150&lt;=0,0,JN32-InputData!$C$150)),0))</f>
        <v>20884.297056753094</v>
      </c>
      <c r="KA32" s="32">
        <f>IF(JN32-JZ32&lt;=0,0,IF(JN32-JZ32&lt;=InputData!$C$153,InputData!$C$154*(JN32-JZ32),InputData!$C$155*(JN32-JZ32)-InputData!$D$154))</f>
        <v>57611.984120545676</v>
      </c>
      <c r="KB32" s="32">
        <f t="shared" si="109"/>
        <v>61140.477885085915</v>
      </c>
      <c r="KC32" s="32">
        <f>IF(JN32&gt;=0,IF(JN32&lt;=InputData!$C$148,InputData!$C$147*JN32,InputData!$C$147*InputData!$C$148)+InputData!$C$149*JN32,0)</f>
        <v>10521.610770708321</v>
      </c>
      <c r="KD32" s="32">
        <f>IF(JW32&lt;0,0,IF(JW32&lt;=InputData!$B$163,InputData!$C$163*JW32,IF(JW32&lt;=InputData!$B$164,InputData!$D$163+InputData!$C$164*(JW32-InputData!$B$163),IF(JW32&lt;=InputData!$B$165,InputData!$D$164+InputData!$C$165*(JW32-InputData!$B$164),InputData!$D$165+InputData!$C$166*(JW32-InputData!$B$165)))))</f>
        <v>0</v>
      </c>
      <c r="KE32" s="43">
        <f t="shared" si="34"/>
        <v>0.2992618692030159</v>
      </c>
      <c r="KF32" s="32">
        <f t="shared" si="35"/>
        <v>167800.72311719338</v>
      </c>
      <c r="KG32" s="32">
        <f t="shared" si="110"/>
        <v>167800.72311719338</v>
      </c>
      <c r="KH32" s="32">
        <f>KG32/((1+InputData!$C$7)^(Ophtha!$B32-Ophtha!$B$7))</f>
        <v>80142.559886905277</v>
      </c>
      <c r="KI32" s="5">
        <f t="shared" si="129"/>
        <v>1876956.4939253819</v>
      </c>
    </row>
    <row r="33" spans="1:295" x14ac:dyDescent="0.25">
      <c r="A33" s="4">
        <v>2039</v>
      </c>
      <c r="B33" s="51">
        <v>27</v>
      </c>
      <c r="C33" s="4"/>
      <c r="D33" s="3">
        <v>27</v>
      </c>
      <c r="E33" s="97" t="s">
        <v>276</v>
      </c>
      <c r="F33" s="5">
        <f>InputData!$Q$21*12</f>
        <v>126320.40000000001</v>
      </c>
      <c r="G33" s="32">
        <f>(InputData!$Q$21+InputData!$K$45+InputData!$G$50)*12+InputData!$J$50+InputData!$D$60+InputData!$J$60</f>
        <v>209320.36000000002</v>
      </c>
      <c r="H33" s="32">
        <f>(InputData!$C$32+InputData!$C$40)*12</f>
        <v>21631.199999999997</v>
      </c>
      <c r="I33" s="32">
        <f t="shared" si="36"/>
        <v>230951.56</v>
      </c>
      <c r="J33" s="5">
        <f>G33*((1+InputData!$C$5)/(1+InputData!$C$3))^(Ophtha!$B33-Ophtha!$B$7)</f>
        <v>162017.79807188874</v>
      </c>
      <c r="K33" s="5">
        <f>H33*((1+InputData!$C$5)/(1+InputData!$C$3))^(Ophtha!$B33-Ophtha!$B$7)</f>
        <v>16742.945567514977</v>
      </c>
      <c r="L33" s="32">
        <f>IF(J33-InputData!$C$158-InputData!$C$159&gt;=0,J33-InputData!$C$158-InputData!$C$159,0)</f>
        <v>162017.79807188874</v>
      </c>
      <c r="M33" s="32">
        <f>IF(J33-IF(J33&lt;=InputData!$C$146,InputData!$C$145,0)-MAX(InputData!$C$144,S33)&gt;=0,J33-IF(J33&lt;=InputData!$C$146,InputData!$C$145,0)-MAX(InputData!$C$144,S33),0)</f>
        <v>155917.79807188874</v>
      </c>
      <c r="N33" s="32">
        <f>IF(M33&lt;0,"Error",IF(M33&lt;=InputData!$B$170,InputData!$C$170*M33,IF(M33&lt;=InputData!$B$171,InputData!$D$170+InputData!$C$171*(M33-InputData!$B$170),IF(M33&lt;=InputData!$B$172,InputData!$D$171+InputData!$C$172*(M33-InputData!$B$171),IF(M33&lt;=InputData!$B$173,InputData!$D$172+InputData!$C$173*(M33-InputData!$B$172),IF(M33&lt;=InputData!$B$174,InputData!$D$173+InputData!$C$174*(M33-InputData!$B$173),IF(M33&lt;=InputData!$B$175,InputData!$D$174+InputData!$C$175*(M33-InputData!$B$174),InputData!$D$175+InputData!$C$176*(M33-InputData!$B$175))))))))</f>
        <v>36950.233460128846</v>
      </c>
      <c r="O33" s="32">
        <f>IF(J33&lt;=InputData!$C$150,InputData!$C$152,IF(J33&lt;InputData!$C$151,IF(InputData!$C$152-0.25*IF(J33-InputData!$C$150&lt;=0,0,J33-InputData!$C$150)&lt;=0,0,InputData!$C$152-0.25*IF(J33-InputData!$C$150&lt;=0,0,J33-InputData!$C$150)),0))</f>
        <v>40245.550482027815</v>
      </c>
      <c r="P33" s="32">
        <f>IF(J33-O33&lt;=0,0,IF(J33-O33&lt;=InputData!$C$153,InputData!$C$154*(J33-O33),InputData!$C$155*(J33-O33)-InputData!$D$154))</f>
        <v>31660.78437336384</v>
      </c>
      <c r="Q33" s="32">
        <f t="shared" si="37"/>
        <v>36950.233460128846</v>
      </c>
      <c r="R33" s="32">
        <f>IF(J33&gt;=0,IF(J33&lt;=InputData!$C$148,InputData!$C$147*J33,InputData!$C$147*InputData!$C$148)+InputData!$C$149*J33,0)</f>
        <v>9398.6580720423863</v>
      </c>
      <c r="S33" s="32">
        <f>IF(L33&lt;0,0,IF(L33&lt;=InputData!$B$163,InputData!$C$163*L33,IF(L33&lt;=InputData!$B$164,InputData!$D$163+InputData!$C$164*(L33-InputData!$B$163),IF(L33&lt;=InputData!$B$165,InputData!$D$164+InputData!$C$165*(L33-InputData!$B$164),InputData!$D$165+InputData!$C$166*(L33-InputData!$B$165)))))</f>
        <v>0</v>
      </c>
      <c r="T33" s="43">
        <f t="shared" si="38"/>
        <v>0.28607283942722034</v>
      </c>
      <c r="U33" s="43">
        <f t="shared" si="39"/>
        <v>0.25927891431055045</v>
      </c>
      <c r="V33" s="5">
        <f t="shared" si="40"/>
        <v>132411.85210723249</v>
      </c>
      <c r="W33" s="32">
        <f>V33/((1+InputData!$C$7)^(Ophtha!$B33-Ophtha!$B$7))</f>
        <v>61398.677672490732</v>
      </c>
      <c r="X33" s="5">
        <f t="shared" si="111"/>
        <v>1656098.3579323683</v>
      </c>
      <c r="Y33" s="53"/>
      <c r="Z33" s="3">
        <v>23.5</v>
      </c>
      <c r="AA33" s="99" t="s">
        <v>269</v>
      </c>
      <c r="AB33" s="32">
        <f>InputData!$O$21*12</f>
        <v>117367.20000000001</v>
      </c>
      <c r="AC33" s="32">
        <f>(InputData!$O$21+InputData!$K$45+InputData!$G$50)*12+InputData!$J$50+InputData!$D$60+InputData!$J$60</f>
        <v>200367.16</v>
      </c>
      <c r="AD33" s="32">
        <f t="shared" si="174"/>
        <v>21631.199999999997</v>
      </c>
      <c r="AE33" s="32">
        <f t="shared" si="41"/>
        <v>221998.36</v>
      </c>
      <c r="AF33" s="5">
        <f>AC33*((1+InputData!$C$5)/(1+InputData!$C$3))^(Ophtha!$B33-Ophtha!$B$7)</f>
        <v>155087.85704896468</v>
      </c>
      <c r="AG33" s="5">
        <f>AD33*((1+InputData!$C$5)/(1+InputData!$C$3))^(Ophtha!$B33-Ophtha!$B$7)</f>
        <v>16742.945567514977</v>
      </c>
      <c r="AH33" s="32">
        <f>IF(AF33-InputData!$C$158-InputData!$C$159&gt;=0,AF33-InputData!$C$158-InputData!$C$159,0)</f>
        <v>155087.85704896468</v>
      </c>
      <c r="AI33" s="32">
        <f>IF(AF33-IF(AF33&lt;=InputData!$C$146,InputData!$C$145,0)-MAX(InputData!$C$144,AO33)&gt;=0,AF33-IF(AF33&lt;=InputData!$C$146,InputData!$C$145,0)-MAX(InputData!$C$144,AO33),0)</f>
        <v>148987.85704896468</v>
      </c>
      <c r="AJ33" s="32">
        <f>IF(AI33&lt;0,"Error",IF(AI33&lt;=InputData!$B$170,InputData!$C$170*AI33,IF(AI33&lt;=InputData!$B$171,InputData!$D$170+InputData!$C$171*(AI33-InputData!$B$170),IF(AI33&lt;=InputData!$B$172,InputData!$D$171+InputData!$C$172*(AI33-InputData!$B$171),IF(AI33&lt;=InputData!$B$173,InputData!$D$172+InputData!$C$173*(AI33-InputData!$B$172),IF(AI33&lt;=InputData!$B$174,InputData!$D$173+InputData!$C$174*(AI33-InputData!$B$173),IF(AI33&lt;=InputData!$B$175,InputData!$D$174+InputData!$C$175*(AI33-InputData!$B$174),InputData!$D$175+InputData!$C$176*(AI33-InputData!$B$175))))))))</f>
        <v>35009.849973710108</v>
      </c>
      <c r="AK33" s="32">
        <f>IF(AF33&lt;=InputData!$C$150,InputData!$C$152,IF(AF33&lt;InputData!$C$151,IF(InputData!$C$152-0.25*IF(AF33-InputData!$C$150&lt;=0,0,AF33-InputData!$C$150)&lt;=0,0,InputData!$C$152-0.25*IF(AF33-InputData!$C$150&lt;=0,0,AF33-InputData!$C$150)),0))</f>
        <v>41978.03573775883</v>
      </c>
      <c r="AL33" s="32">
        <f>IF(AF33-AK33&lt;=0,0,IF(AF33-AK33&lt;=InputData!$C$153,InputData!$C$154*(AF33-AK33),InputData!$C$155*(AF33-AK33)-InputData!$D$154))</f>
        <v>29408.553540913523</v>
      </c>
      <c r="AM33" s="32">
        <f t="shared" si="42"/>
        <v>35009.849973710108</v>
      </c>
      <c r="AN33" s="32">
        <f>IF(AF33&gt;=0,IF(AF33&lt;=InputData!$C$148,InputData!$C$147*AF33,InputData!$C$147*InputData!$C$148)+InputData!$C$149*AF33,0)</f>
        <v>9298.1739272099876</v>
      </c>
      <c r="AO33" s="32">
        <f>IF(AH33&lt;0,0,IF(AH33&lt;=InputData!$B$163,InputData!$C$163*AH33,IF(AH33&lt;=InputData!$B$164,InputData!$D$163+InputData!$C$164*(AH33-InputData!$B$163),IF(AH33&lt;=InputData!$B$165,InputData!$D$164+InputData!$C$165*(AH33-InputData!$B$164),InputData!$D$165+InputData!$C$166*(AH33-InputData!$B$165)))))</f>
        <v>0</v>
      </c>
      <c r="AP33" s="43">
        <f t="shared" si="43"/>
        <v>0.28569628044400064</v>
      </c>
      <c r="AQ33" s="43">
        <f t="shared" si="44"/>
        <v>0.25785844695036464</v>
      </c>
      <c r="AR33" s="5">
        <f t="shared" si="45"/>
        <v>127522.77871555957</v>
      </c>
      <c r="AS33" s="32">
        <f>AR33/((1+InputData!$C$7)^(Ophtha!$B33-Ophtha!$B$7))</f>
        <v>59131.640118712116</v>
      </c>
      <c r="AT33" s="5">
        <f t="shared" si="112"/>
        <v>1626609.8439024603</v>
      </c>
      <c r="AU33" s="53"/>
      <c r="AV33" s="41" t="s">
        <v>109</v>
      </c>
      <c r="AW33" s="32">
        <f>$AW$15*(1+InputData!$C$3+InputData!$C$4)^(Ophtha!$B33-Ophtha!$B$17)</f>
        <v>404650.04817952693</v>
      </c>
      <c r="AX33" s="32">
        <v>0</v>
      </c>
      <c r="AY33" s="32">
        <f t="shared" si="47"/>
        <v>404650.04817952693</v>
      </c>
      <c r="AZ33" s="32">
        <f>AZ32*(1+InputData!$C$8)</f>
        <v>19227.574133927752</v>
      </c>
      <c r="BA33" s="32">
        <f>AW33/((1+InputData!$C$3)^(Ophtha!$B33-Ophtha!$B$7))</f>
        <v>241810.48639821293</v>
      </c>
      <c r="BB33" s="32">
        <f>AX33/((1+InputData!$C$3)^(Ophtha!$B33-Ophtha!$B$7))</f>
        <v>0</v>
      </c>
      <c r="BC33" s="32" t="s">
        <v>141</v>
      </c>
      <c r="BD33" s="32">
        <v>0</v>
      </c>
      <c r="BE33" s="32">
        <f t="shared" si="158"/>
        <v>0</v>
      </c>
      <c r="BF33" s="32">
        <f>(BE33)*InputData!$C$6</f>
        <v>0</v>
      </c>
      <c r="BG33" s="32">
        <f>MIN($BE$15*InputData!$C$6/(1-(1+InputData!$C$6)^(-10)), BE33+BF33)</f>
        <v>0</v>
      </c>
      <c r="BH33" s="32">
        <f t="shared" si="140"/>
        <v>0</v>
      </c>
      <c r="BI33" s="32">
        <f>BG33/((1+InputData!$C$3)^(Ophtha!$B33-Ophtha!$B$7))</f>
        <v>0</v>
      </c>
      <c r="BJ33" s="32">
        <f>IF(BA33-InputData!$C$158-InputData!$C$159&gt;=0,BA33-InputData!$C$158-InputData!$C$159,0)</f>
        <v>241810.48639821293</v>
      </c>
      <c r="BK33" s="32">
        <f>IF(BA33-IF(BA33&lt;=InputData!$C$146,InputData!$C$145,0)-MAX(InputData!$C$144,BQ33)&gt;=0,BA33-IF(BA33&lt;=InputData!$C$146,InputData!$C$145,0)-MAX(InputData!$C$144,BQ33),0)</f>
        <v>235710.48639821293</v>
      </c>
      <c r="BL33" s="32">
        <f>IF(BK33&lt;0,"Error",IF(BK33&lt;=InputData!$B$170,InputData!$C$170*BK33,IF(BK33&lt;=InputData!$B$171,InputData!$D$170+InputData!$C$171*(BK33-InputData!$B$170),IF(BK33&lt;=InputData!$B$172,InputData!$D$171+InputData!$C$172*(BK33-InputData!$B$171),IF(BK33&lt;=InputData!$B$173,InputData!$D$172+InputData!$C$173*(BK33-InputData!$B$172),IF(BK33&lt;=InputData!$B$174,InputData!$D$173+InputData!$C$174*(BK33-InputData!$B$173),IF(BK33&lt;=InputData!$B$175,InputData!$D$174+InputData!$C$175*(BK33-InputData!$B$174),InputData!$D$175+InputData!$C$176*(BK33-InputData!$B$175))))))))</f>
        <v>61915.210511410267</v>
      </c>
      <c r="BM33" s="32">
        <f>IF(BA33&lt;=InputData!$C$150,InputData!$C$152,IF(BA33&lt;InputData!$C$151,IF(InputData!$C$152-0.25*IF(BA33-InputData!$C$150&lt;=0,0,BA33-InputData!$C$150)&lt;=0,0,InputData!$C$152-0.25*IF(BA33-InputData!$C$150&lt;=0,0,BA33-InputData!$C$150)),0))</f>
        <v>20297.378400446767</v>
      </c>
      <c r="BN33" s="32">
        <f>IF(BA33-BM33&lt;=0,0,IF(BA33-BM33&lt;=InputData!$C$153,InputData!$C$154*(BA33-BM33),InputData!$C$155*(BA33-BM33)-InputData!$D$154))</f>
        <v>58433.670239374536</v>
      </c>
      <c r="BO33" s="32">
        <f t="shared" si="48"/>
        <v>61915.210511410267</v>
      </c>
      <c r="BP33" s="32">
        <f>IF(BA33&gt;=0,IF(BA33&lt;=InputData!$C$148,InputData!$C$147*BA33,InputData!$C$147*InputData!$C$148)+InputData!$C$149*BA33,0)</f>
        <v>10555.652052774087</v>
      </c>
      <c r="BQ33" s="32">
        <f>IF(BJ33&lt;0,0,IF(BJ33&lt;=InputData!$B$163,InputData!$C$163*BJ33,IF(BJ33&lt;=InputData!$B$164,InputData!$D$163+InputData!$C$164*(BJ33-InputData!$B$163),IF(BJ33&lt;=InputData!$B$165,InputData!$D$164+InputData!$C$165*(BJ33-InputData!$B$164),InputData!$D$165+InputData!$C$166*(BJ33-InputData!$B$165)))))</f>
        <v>0</v>
      </c>
      <c r="BR33" s="43">
        <f t="shared" si="49"/>
        <v>0.29970107435638466</v>
      </c>
      <c r="BS33" s="32">
        <f t="shared" si="50"/>
        <v>169339.62383402858</v>
      </c>
      <c r="BT33" s="32">
        <f t="shared" si="51"/>
        <v>169339.62383402858</v>
      </c>
      <c r="BU33" s="32">
        <f>BT33/((1+InputData!$C$7)^(Ophtha!$B33-Ophtha!$B$7))</f>
        <v>78521.890718258757</v>
      </c>
      <c r="BV33" s="5">
        <f t="shared" si="114"/>
        <v>1571227.9105270572</v>
      </c>
      <c r="BW33" s="5"/>
      <c r="BX33" s="32" t="s">
        <v>141</v>
      </c>
      <c r="BY33" s="5">
        <f t="shared" si="159"/>
        <v>114330.04514538191</v>
      </c>
      <c r="BZ33" s="32">
        <f>(BY33)*InputData!$C$6</f>
        <v>7099.8958035282167</v>
      </c>
      <c r="CA33" s="32">
        <f>MIN($BY$15*InputData!$C$6/(1-(1+InputData!$C$6)^(-25)), BY33+BZ33)</f>
        <v>20633.642137763909</v>
      </c>
      <c r="CB33" s="32">
        <f t="shared" si="160"/>
        <v>100796.29881114622</v>
      </c>
      <c r="CC33" s="32">
        <f>CA33/((1+InputData!$C$3)^(Ophtha!$B33-Ophtha!$B$7))</f>
        <v>12330.23711215708</v>
      </c>
      <c r="CD33" s="5">
        <f t="shared" si="55"/>
        <v>157009.3867218715</v>
      </c>
      <c r="CE33" s="32">
        <f>CD33/((1+InputData!$C$7)^(Ophtha!$B33-Ophtha!$B$7))</f>
        <v>72804.42478128495</v>
      </c>
      <c r="CF33" s="5">
        <f t="shared" si="115"/>
        <v>1588959.6927576817</v>
      </c>
      <c r="CG33" s="5"/>
      <c r="CH33" s="32" t="s">
        <v>141</v>
      </c>
      <c r="CI33" s="5">
        <f t="shared" si="161"/>
        <v>0</v>
      </c>
      <c r="CJ33" s="32">
        <f>(CI33)*InputData!$C$6</f>
        <v>0</v>
      </c>
      <c r="CK33" s="5">
        <f t="shared" si="162"/>
        <v>0</v>
      </c>
      <c r="CL33" s="32">
        <f t="shared" si="163"/>
        <v>0</v>
      </c>
      <c r="CM33" s="32">
        <f>CK33/((1+InputData!$C$3)^(Ophtha!$B33-Ophtha!$B$7))</f>
        <v>0</v>
      </c>
      <c r="CN33" s="5">
        <f t="shared" si="59"/>
        <v>169339.62383402858</v>
      </c>
      <c r="CO33" s="32">
        <f>CN33/((1+InputData!$C$7)^(Ophtha!$B33-Ophtha!$B$7))</f>
        <v>78521.890718258757</v>
      </c>
      <c r="CP33" s="5">
        <f t="shared" si="149"/>
        <v>1571007.4091019675</v>
      </c>
      <c r="CQ33" s="5"/>
      <c r="CR33" s="32" t="s">
        <v>141</v>
      </c>
      <c r="CS33" s="5">
        <f t="shared" si="164"/>
        <v>0</v>
      </c>
      <c r="CT33" s="32">
        <f>(CS33)*InputData!$C$6</f>
        <v>0</v>
      </c>
      <c r="CU33" s="32">
        <f t="shared" si="165"/>
        <v>0</v>
      </c>
      <c r="CV33" s="32">
        <f t="shared" si="166"/>
        <v>0</v>
      </c>
      <c r="CW33" s="32">
        <f>CU33/((1+InputData!$C$3)^(Ophtha!$B33-Ophtha!$B$7))</f>
        <v>0</v>
      </c>
      <c r="CX33" s="5">
        <f t="shared" si="63"/>
        <v>169339.62383402858</v>
      </c>
      <c r="CY33" s="32">
        <f>CX33/((1+InputData!$C$7)^(Ophtha!$B33-Ophtha!$B$7))</f>
        <v>78521.890718258757</v>
      </c>
      <c r="CZ33" s="5">
        <f t="shared" si="150"/>
        <v>1565540.3423829547</v>
      </c>
      <c r="DA33" s="5"/>
      <c r="DB33" s="32" t="s">
        <v>141</v>
      </c>
      <c r="DC33" s="5">
        <f t="shared" si="141"/>
        <v>0</v>
      </c>
      <c r="DD33" s="5">
        <f>DC33*InputData!$C$6</f>
        <v>0</v>
      </c>
      <c r="DE33" s="32">
        <f t="shared" si="142"/>
        <v>0</v>
      </c>
      <c r="DF33" s="32">
        <f t="shared" si="143"/>
        <v>0</v>
      </c>
      <c r="DG33" s="32">
        <f>DE33/((1+InputData!$C$3)^(Ophtha!$B33-Ophtha!$B$7))</f>
        <v>0</v>
      </c>
      <c r="DH33" s="5">
        <f t="shared" si="67"/>
        <v>169339.62383402858</v>
      </c>
      <c r="DI33" s="32">
        <f>DH33/((1+InputData!$C$7)^(Ophtha!$B33-Ophtha!$B$7))</f>
        <v>78521.890718258757</v>
      </c>
      <c r="DJ33" s="5">
        <f t="shared" si="130"/>
        <v>1575739.6081993163</v>
      </c>
      <c r="DK33" s="5"/>
      <c r="DL33" s="32" t="s">
        <v>141</v>
      </c>
      <c r="DM33" s="32">
        <f t="shared" si="167"/>
        <v>0</v>
      </c>
      <c r="DN33" s="5">
        <f>DM33*InputData!$C$6</f>
        <v>0</v>
      </c>
      <c r="DO33" s="32">
        <f t="shared" si="168"/>
        <v>0</v>
      </c>
      <c r="DP33" s="32">
        <f t="shared" si="131"/>
        <v>0</v>
      </c>
      <c r="DQ33" s="32">
        <f t="shared" si="132"/>
        <v>0</v>
      </c>
      <c r="DR33" s="32">
        <f>DP33/((1+InputData!$C$3)^(Ophtha!$B33-Ophtha!$B$7))</f>
        <v>0</v>
      </c>
      <c r="DS33" s="5">
        <f t="shared" si="71"/>
        <v>169339.62383402858</v>
      </c>
      <c r="DT33" s="32">
        <f>DS33/((1+InputData!$C$7)^(Ophtha!$B33-Ophtha!$B$7))</f>
        <v>78521.890718258757</v>
      </c>
      <c r="DU33" s="5">
        <f t="shared" si="133"/>
        <v>1569775.4421098274</v>
      </c>
      <c r="DV33" s="5"/>
      <c r="DW33" s="32" t="s">
        <v>141</v>
      </c>
      <c r="DX33" s="133">
        <f t="shared" si="144"/>
        <v>0</v>
      </c>
      <c r="DY33" s="5">
        <f>DX33*InputData!$C$6</f>
        <v>0</v>
      </c>
      <c r="DZ33" s="133">
        <f t="shared" si="145"/>
        <v>0</v>
      </c>
      <c r="EA33" s="32">
        <f t="shared" si="146"/>
        <v>0</v>
      </c>
      <c r="EB33" s="32">
        <f t="shared" si="147"/>
        <v>0</v>
      </c>
      <c r="EC33" s="32">
        <f>EA33/((1+InputData!$C$3)^(Ophtha!$B33-Ophtha!$B$7))</f>
        <v>0</v>
      </c>
      <c r="ED33" s="5">
        <f t="shared" si="75"/>
        <v>169339.62383402858</v>
      </c>
      <c r="EE33" s="32">
        <f>ED33/((1+InputData!$C$7)^(Ophtha!$B33-Ophtha!$B$7))</f>
        <v>78521.890718258757</v>
      </c>
      <c r="EF33" s="5">
        <f t="shared" si="134"/>
        <v>1569618.171082577</v>
      </c>
      <c r="EG33" s="32"/>
      <c r="EH33" s="133" t="s">
        <v>141</v>
      </c>
      <c r="EI33" s="32">
        <v>0</v>
      </c>
      <c r="EJ33" s="32">
        <f t="shared" si="175"/>
        <v>0</v>
      </c>
      <c r="EK33" s="32">
        <f>(EJ33)*InputData!$C$6</f>
        <v>0</v>
      </c>
      <c r="EL33" s="32">
        <f t="shared" si="173"/>
        <v>0</v>
      </c>
      <c r="EM33" s="32">
        <f>EM32*(1+InputData!$C$8)</f>
        <v>19227.574133927752</v>
      </c>
      <c r="EN33" s="32">
        <f t="shared" si="152"/>
        <v>0</v>
      </c>
      <c r="EO33" s="32">
        <f>AW33/((1+InputData!$C$3)^(Ophtha!$B33-Ophtha!$B$7))</f>
        <v>241810.48639821293</v>
      </c>
      <c r="EP33" s="32">
        <f>AX33/((1+InputData!$C$3)^(Ophtha!$B33-Ophtha!$B$7))</f>
        <v>0</v>
      </c>
      <c r="EQ33" s="32">
        <v>61932.41</v>
      </c>
      <c r="ER33" s="32">
        <v>9267.68</v>
      </c>
      <c r="ES33" s="32">
        <v>0</v>
      </c>
      <c r="ET33" s="43">
        <f t="shared" si="139"/>
        <v>0.29444583260441343</v>
      </c>
      <c r="EU33" s="32">
        <f t="shared" si="76"/>
        <v>170610.39639821294</v>
      </c>
      <c r="EV33" s="32">
        <f>EN33/((1+InputData!$C$3)^(Ophtha!$B33-Ophtha!$B$7))</f>
        <v>0</v>
      </c>
      <c r="EW33" s="32">
        <f t="shared" si="77"/>
        <v>170610.39639821294</v>
      </c>
      <c r="EX33" s="32">
        <f>EW33/((1+InputData!$C$7)^(Ophtha!$B33-Ophtha!$B$7))</f>
        <v>79111.141256044546</v>
      </c>
      <c r="EY33" s="5">
        <f t="shared" si="124"/>
        <v>1655412.0172751332</v>
      </c>
      <c r="EZ33" s="79"/>
      <c r="FA33" s="32">
        <f t="shared" si="153"/>
        <v>0</v>
      </c>
      <c r="FB33" s="32">
        <f>FA33*InputData!$C$6</f>
        <v>0</v>
      </c>
      <c r="FC33" s="32">
        <f t="shared" si="154"/>
        <v>0</v>
      </c>
      <c r="FD33" s="32">
        <f>MIN($EJ$15*InputData!$C$6/(1-(1+InputData!$C$6)^(-10)), FA33+FB33)</f>
        <v>0</v>
      </c>
      <c r="FE33" s="32">
        <f>FD33/((1+InputData!$C$3)^(Ophtha!$B33-Ophtha!$B$7))</f>
        <v>0</v>
      </c>
      <c r="FF33" s="5">
        <f t="shared" si="81"/>
        <v>170610.39639821294</v>
      </c>
      <c r="FG33" s="32">
        <f>FF33/((1+InputData!$C$7)^(Ophtha!$B33-Ophtha!$B$7))</f>
        <v>79111.141256044546</v>
      </c>
      <c r="FH33" s="5">
        <f t="shared" si="125"/>
        <v>1661238.6089629456</v>
      </c>
      <c r="FI33" s="79"/>
      <c r="FJ33" s="32">
        <f t="shared" si="155"/>
        <v>114979.25520904397</v>
      </c>
      <c r="FK33" s="32">
        <f>FJ33*InputData!$C$6</f>
        <v>7140.2117484816308</v>
      </c>
      <c r="FL33" s="32">
        <f t="shared" si="170"/>
        <v>101368.65904668077</v>
      </c>
      <c r="FM33" s="32">
        <f>MIN($EJ$15*InputData!$C$6/(1-(1+InputData!$C$6)^(-25)), FJ33+FK33)</f>
        <v>20750.807910844829</v>
      </c>
      <c r="FN33" s="32">
        <f>FM33/((1+InputData!$C$3)^(Ophtha!$B33-Ophtha!$B$7))</f>
        <v>12400.252951041522</v>
      </c>
      <c r="FO33" s="5">
        <f t="shared" si="85"/>
        <v>158210.1434471714</v>
      </c>
      <c r="FP33" s="32">
        <f>FO33/((1+InputData!$C$7)^(Ophtha!$B33-Ophtha!$B$7))</f>
        <v>73361.209343742841</v>
      </c>
      <c r="FQ33" s="5">
        <f t="shared" si="126"/>
        <v>1679071.0790876066</v>
      </c>
      <c r="FR33" s="79"/>
      <c r="FS33" s="32">
        <f t="shared" si="156"/>
        <v>0</v>
      </c>
      <c r="FT33" s="32">
        <f>FS33*InputData!$C$6</f>
        <v>0</v>
      </c>
      <c r="FU33" s="32">
        <f t="shared" si="171"/>
        <v>0</v>
      </c>
      <c r="FV33" s="5">
        <f t="shared" si="157"/>
        <v>0</v>
      </c>
      <c r="FW33" s="32">
        <f>FV33/((1+InputData!$C$3)^(Ophtha!$B33-Ophtha!$B$7))</f>
        <v>0</v>
      </c>
      <c r="FX33" s="5">
        <f t="shared" si="88"/>
        <v>170610.39639821294</v>
      </c>
      <c r="FY33" s="32">
        <f>FX33/((1+InputData!$C$7)^(Ophtha!$B33-Ophtha!$B$7))</f>
        <v>79111.141256044546</v>
      </c>
      <c r="FZ33" s="5">
        <f t="shared" si="127"/>
        <v>1660978.0000918624</v>
      </c>
      <c r="GC33" s="124">
        <v>23</v>
      </c>
      <c r="GD33" s="123" t="str">
        <f>E33</f>
        <v>Multi-Year (O6&gt;26 = (BP+BAH+BAS+VSP+BCPSP)*12+ASP+ISP+MSP)</v>
      </c>
      <c r="GE33" s="5"/>
      <c r="GF33" s="5">
        <f>H33</f>
        <v>21631.199999999997</v>
      </c>
      <c r="GG33" s="5"/>
      <c r="GH33" s="5">
        <f>J33</f>
        <v>162017.79807188874</v>
      </c>
      <c r="GI33" s="5">
        <v>0</v>
      </c>
      <c r="GJ33" s="32">
        <f>IF(GH33-InputData!$C$158-InputData!$C$159&gt;=0,GH33-InputData!$C$158-InputData!$C$159,0)</f>
        <v>162017.79807188874</v>
      </c>
      <c r="GK33" s="32">
        <f>IF(GH33-IF(GH33&lt;=InputData!$C$146,InputData!$C$145,0)-MAX(InputData!$C$144,GQ33)&gt;=0,GH33-IF(GH33&lt;=InputData!$C$146,InputData!$C$145,0)-MAX(InputData!$C$144,GQ33),0)</f>
        <v>155917.79807188874</v>
      </c>
      <c r="GL33" s="32">
        <f>IF(GK33&lt;0,"Error",IF(GK33&lt;=InputData!$B$170,InputData!$C$170*GK33,IF(GK33&lt;=InputData!$B$171,InputData!$D$170+InputData!$C$171*(GK33-InputData!$B$170),IF(GK33&lt;=InputData!$B$172,InputData!$D$171+InputData!$C$172*(GK33-InputData!$B$171),IF(GK33&lt;=InputData!$B$173,InputData!$D$172+InputData!$C$173*(GK33-InputData!$B$172),IF(GK33&lt;=InputData!$B$174,InputData!$D$173+InputData!$C$174*(GK33-InputData!$B$173),IF(GK33&lt;=InputData!$B$175,InputData!$D$174+InputData!$C$175*(GK33-InputData!$B$174),InputData!$D$175+InputData!$C$176*(GK33-InputData!$B$175))))))))</f>
        <v>36950.233460128846</v>
      </c>
      <c r="GM33" s="32">
        <f>IF(GH33&lt;=InputData!$C$150,InputData!$C$152,IF(GH33&lt;InputData!$C$151,IF(InputData!$C$152-0.25*IF(GH33-InputData!$C$150&lt;=0,0,GH33-InputData!$C$150)&lt;=0,0,InputData!$C$152-0.25*IF(GH33-InputData!$C$150&lt;=0,0,GH33-InputData!$C$150)),0))</f>
        <v>40245.550482027815</v>
      </c>
      <c r="GN33" s="32">
        <f>IF(GH33-GM33&lt;=0,0,IF(GH33-GM33&lt;=InputData!$C$153,InputData!$C$154*(GH33-GM33),InputData!$C$155*(GH33-GM33)-InputData!$D$154))</f>
        <v>31660.78437336384</v>
      </c>
      <c r="GO33" s="32">
        <f t="shared" si="89"/>
        <v>36950.233460128846</v>
      </c>
      <c r="GP33" s="32">
        <f>IF(GH33&gt;=0,IF(GH33&lt;=InputData!$C$148,InputData!$C$147*GH33,InputData!$C$147*InputData!$C$148)+InputData!$C$149*GH33,0)</f>
        <v>9398.6580720423863</v>
      </c>
      <c r="GQ33" s="32">
        <f>IF(GJ33&lt;0,0,IF(GJ33&lt;=InputData!$B$163,InputData!$C$163*GJ33,IF(GJ33&lt;=InputData!$B$164,InputData!$D$163+InputData!$C$164*(GJ33-InputData!$B$163),IF(GJ33&lt;=InputData!$B$165,InputData!$D$164+InputData!$C$165*(GJ33-InputData!$B$164),InputData!$D$165+InputData!$C$166*(GJ33-InputData!$B$165)))))</f>
        <v>0</v>
      </c>
      <c r="GR33" s="43">
        <f t="shared" si="90"/>
        <v>0.28607283942722034</v>
      </c>
      <c r="GS33" s="43">
        <f t="shared" si="91"/>
        <v>0.28607283942722034</v>
      </c>
      <c r="GT33" s="5">
        <f t="shared" si="9"/>
        <v>115668.90653971751</v>
      </c>
      <c r="GU33" s="32">
        <f>GT33/((1+InputData!$C$7)^(Ophtha!$B33-Ophtha!$B$7))</f>
        <v>53635.062091044158</v>
      </c>
      <c r="GV33" s="32">
        <f t="shared" si="92"/>
        <v>1631858.7201920692</v>
      </c>
      <c r="GX33" s="83">
        <v>20</v>
      </c>
      <c r="GY33" s="4" t="s">
        <v>217</v>
      </c>
      <c r="GZ33" s="5"/>
      <c r="HA33" s="84">
        <v>0</v>
      </c>
      <c r="HB33" s="5"/>
      <c r="HC33" s="84">
        <f>MIN(InputData!$C$13+InputData!$E$13*($B33-$B$31),1)*$AW33/((1+InputData!$C$3)^(Ophtha!$B33-Ophtha!$B$7))+0.025*$GX$30*(($AB$28+$AB$29+$AB$30)/3)*((1+InputData!$C$5)/(1+InputData!$C$3))^(Ophtha!$B33-Ophtha!$B$7)</f>
        <v>257992.79147273285</v>
      </c>
      <c r="HD33" s="5">
        <v>0</v>
      </c>
      <c r="HE33" s="32">
        <f>IF(HC33-InputData!$C$158-InputData!$C$159&gt;=0,HC33-InputData!$C$158-InputData!$C$159,0)</f>
        <v>257992.79147273285</v>
      </c>
      <c r="HF33" s="32">
        <f>IF(HC33-IF(HC33&lt;=InputData!$C$146,InputData!$C$145,0)-MAX(InputData!$C$144,HL33)&gt;=0,HC33-IF(HC33&lt;=InputData!$C$146,InputData!$C$145,0)-MAX(InputData!$C$144,HL33),0)</f>
        <v>251892.79147273285</v>
      </c>
      <c r="HG33" s="32">
        <f>IF(HF33&lt;0,"Error",IF(HF33&lt;=InputData!$B$170,InputData!$C$170*HF33,IF(HF33&lt;=InputData!$B$171,InputData!$D$170+InputData!$C$171*(HF33-InputData!$B$170),IF(HF33&lt;=InputData!$B$172,InputData!$D$171+InputData!$C$172*(HF33-InputData!$B$171),IF(HF33&lt;=InputData!$B$173,InputData!$D$172+InputData!$C$173*(HF33-InputData!$B$172),IF(HF33&lt;=InputData!$B$174,InputData!$D$173+InputData!$C$174*(HF33-InputData!$B$173),IF(HF33&lt;=InputData!$B$175,InputData!$D$174+InputData!$C$175*(HF33-InputData!$B$174),InputData!$D$175+InputData!$C$176*(HF33-InputData!$B$175))))))))</f>
        <v>67255.371186001837</v>
      </c>
      <c r="HH33" s="32">
        <f>IF(HC33&lt;=InputData!$C$150,InputData!$C$152,IF(HC33&lt;InputData!$C$151,IF(InputData!$C$152-0.25*IF(HC33-InputData!$C$150&lt;=0,0,HC33-InputData!$C$150)&lt;=0,0,InputData!$C$152-0.25*IF(HC33-InputData!$C$150&lt;=0,0,HC33-InputData!$C$150)),0))</f>
        <v>16251.802131816788</v>
      </c>
      <c r="HI33" s="32">
        <f>IF(HC33-HH33&lt;=0,0,IF(HC33-HH33&lt;=InputData!$C$153,InputData!$C$154*(HC33-HH33),InputData!$C$155*(HC33-HH33)-InputData!$D$154))</f>
        <v>64097.477015456505</v>
      </c>
      <c r="HJ33" s="32">
        <f t="shared" si="93"/>
        <v>67255.371186001837</v>
      </c>
      <c r="HK33" s="32">
        <f>IF(HC33&gt;=0,IF(HC33&lt;=InputData!$C$148,InputData!$C$147*HC33,InputData!$C$147*InputData!$C$148)+InputData!$C$149*HC33,0)</f>
        <v>10790.295476354626</v>
      </c>
      <c r="HL33" s="32">
        <f>IF(HE33&lt;0,0,IF(HE33&lt;=InputData!$B$163,InputData!$C$163*HE33,IF(HE33&lt;=InputData!$B$164,InputData!$D$163+InputData!$C$164*(HE33-InputData!$B$163),IF(HE33&lt;=InputData!$B$165,InputData!$D$164+InputData!$C$165*(HE33-InputData!$B$164),InputData!$D$165+InputData!$C$166*(HE33-InputData!$B$165)))))</f>
        <v>0</v>
      </c>
      <c r="HM33" s="43">
        <f t="shared" si="94"/>
        <v>0.30251103612949232</v>
      </c>
      <c r="HN33" s="43">
        <f t="shared" si="95"/>
        <v>0.30251103612949232</v>
      </c>
      <c r="HO33" s="5">
        <f t="shared" si="17"/>
        <v>179947.12481037638</v>
      </c>
      <c r="HP33" s="32">
        <f>HO33/((1+InputData!$C$7)^(Ophtha!$B33-Ophtha!$B$7))</f>
        <v>83440.532992290013</v>
      </c>
      <c r="HQ33" s="84">
        <f t="shared" si="96"/>
        <v>1699099.6647842797</v>
      </c>
      <c r="HS33" s="94"/>
      <c r="HT33" s="53" t="s">
        <v>109</v>
      </c>
      <c r="HU33" s="32">
        <f>MIN(InputData!$C$13+InputData!$E$13*($B33-$B$22),1)*Ophtha!AW33</f>
        <v>364185.04336157424</v>
      </c>
      <c r="HV33" s="32">
        <f>MIN(InputData!$C$13+InputData!$E$13*($B33-$B$22),1)*Ophtha!AX33</f>
        <v>0</v>
      </c>
      <c r="HW33" s="32">
        <f>MIN(InputData!$C$13+InputData!$E$13*($B33-$B$22),1)*Ophtha!AY33</f>
        <v>364185.04336157424</v>
      </c>
      <c r="HX33" s="32">
        <f>MIN(InputData!$C$13+InputData!$E$13*($B33-$B$22),1)*Ophtha!BA33</f>
        <v>217629.43775839164</v>
      </c>
      <c r="HY33" s="32">
        <f>MIN(InputData!$C$13+InputData!$E$13*($B33-$B$22),1)*Ophtha!BB33</f>
        <v>0</v>
      </c>
      <c r="HZ33" s="32">
        <f>IF(HX33-InputData!$C$158-InputData!$C$159&gt;=0,HX33-InputData!$C$158-InputData!$C$159,0)</f>
        <v>217629.43775839164</v>
      </c>
      <c r="IA33" s="32">
        <f>IF(HX33-IF(HX33&lt;=InputData!$C$146,InputData!$C$145,0)-MAX(InputData!$C$144,IG33)&gt;=0,HX33-IF(HX33&lt;=InputData!$C$146,InputData!$C$145,0)-MAX(InputData!$C$144,IG33),0)</f>
        <v>211529.43775839164</v>
      </c>
      <c r="IB33" s="32">
        <f>IF(IA33&lt;0,"Error",IF(IA33&lt;=InputData!$B$170,InputData!$C$170*IA33,IF(IA33&lt;=InputData!$B$171,InputData!$D$170+InputData!$C$171*(IA33-InputData!$B$170),IF(IA33&lt;=InputData!$B$172,InputData!$D$171+InputData!$C$172*(IA33-InputData!$B$171),IF(IA33&lt;=InputData!$B$173,InputData!$D$172+InputData!$C$173*(IA33-InputData!$B$172),IF(IA33&lt;=InputData!$B$174,InputData!$D$173+InputData!$C$174*(IA33-InputData!$B$173),IF(IA33&lt;=InputData!$B$175,InputData!$D$174+InputData!$C$175*(IA33-InputData!$B$174),InputData!$D$175+InputData!$C$176*(IA33-InputData!$B$175))))))))</f>
        <v>53935.464460269242</v>
      </c>
      <c r="IC33" s="32">
        <f>IF(HX33&lt;=InputData!$C$150,InputData!$C$152,IF(HX33&lt;InputData!$C$151,IF(InputData!$C$152-0.25*IF(HX33-InputData!$C$150&lt;=0,0,HX33-InputData!$C$150)&lt;=0,0,InputData!$C$152-0.25*IF(HX33-InputData!$C$150&lt;=0,0,HX33-InputData!$C$150)),0))</f>
        <v>26342.640560402091</v>
      </c>
      <c r="ID33" s="32">
        <f>IF(HX33-IC33&lt;=0,0,IF(HX33-IC33&lt;=InputData!$C$153,InputData!$C$154*(HX33-IC33),InputData!$C$155*(HX33-IC33)-InputData!$D$154))</f>
        <v>49970.303215437074</v>
      </c>
      <c r="IE33" s="32">
        <f t="shared" si="97"/>
        <v>53935.464460269242</v>
      </c>
      <c r="IF33" s="32">
        <f>IF(HX33&gt;=0,IF(HX33&lt;=InputData!$C$148,InputData!$C$147*HX33,InputData!$C$147*InputData!$C$148)+InputData!$C$149*HX33,0)</f>
        <v>10205.026847496678</v>
      </c>
      <c r="IG33" s="32">
        <f>IF(HZ33&lt;0,0,IF(HZ33&lt;=InputData!$B$163,InputData!$C$163*HZ33,IF(HZ33&lt;=InputData!$B$164,InputData!$D$163+InputData!$C$164*(HZ33-InputData!$B$163),IF(HZ33&lt;=InputData!$B$165,InputData!$D$164+InputData!$C$165*(HZ33-InputData!$B$164),InputData!$D$165+InputData!$C$166*(HZ33-InputData!$B$165)))))</f>
        <v>0</v>
      </c>
      <c r="IH33" s="43">
        <f t="shared" si="98"/>
        <v>0.2947234159515385</v>
      </c>
      <c r="II33" s="43">
        <f t="shared" si="99"/>
        <v>0.2947234159515385</v>
      </c>
      <c r="IJ33" s="5">
        <f t="shared" si="100"/>
        <v>153488.94645062572</v>
      </c>
      <c r="IK33" s="32">
        <f>IJ33/((1+InputData!$C$7)^(Ophtha!$B33-Ophtha!$B$7))</f>
        <v>71172.0151892461</v>
      </c>
      <c r="IL33" s="5">
        <f t="shared" si="101"/>
        <v>1793386.8716228246</v>
      </c>
      <c r="IN33" s="94"/>
      <c r="IO33" s="53" t="s">
        <v>109</v>
      </c>
      <c r="IP33" s="32">
        <f>MIN(InputData!$C$13+InputData!$E$13*($B33-$B$19),1)*Ophtha!AW33</f>
        <v>364185.04336157424</v>
      </c>
      <c r="IQ33" s="32">
        <f>MIN(InputData!$C$13+InputData!$E$13*($B33-$B$19),1)*Ophtha!AX33</f>
        <v>0</v>
      </c>
      <c r="IR33" s="32">
        <f>MIN(InputData!$C$13+InputData!$E$13*($B33-$B$19),1)*Ophtha!AY33</f>
        <v>364185.04336157424</v>
      </c>
      <c r="IS33" s="32">
        <f>MIN(InputData!$C$13+InputData!$E$13*($B33-$B$19),1)*Ophtha!BA33</f>
        <v>217629.43775839164</v>
      </c>
      <c r="IT33" s="32">
        <f>MIN(InputData!$C$13+InputData!$E$13*($B33-$B$19),1)*Ophtha!BB33</f>
        <v>0</v>
      </c>
      <c r="IU33" s="32">
        <f>IF(IS33-InputData!$C$158-InputData!$C$159&gt;=0,IS33-InputData!$C$158-InputData!$C$159,0)</f>
        <v>217629.43775839164</v>
      </c>
      <c r="IV33" s="32">
        <f>IF(IS33-IF(IS33&lt;=InputData!$C$146,InputData!$C$145,0)-MAX(InputData!$C$144,JB33)&gt;=0,IS33-IF(IS33&lt;=InputData!$C$146,InputData!$C$145,0)-MAX(InputData!$C$144,JB33),0)</f>
        <v>211529.43775839164</v>
      </c>
      <c r="IW33" s="32">
        <f>IF(IV33&lt;0,"Error",IF(IV33&lt;=InputData!$B$170,InputData!$C$170*IV33,IF(IV33&lt;=InputData!$B$171,InputData!$D$170+InputData!$C$171*(IV33-InputData!$B$170),IF(IV33&lt;=InputData!$B$172,InputData!$D$171+InputData!$C$172*(IV33-InputData!$B$171),IF(IV33&lt;=InputData!$B$173,InputData!$D$172+InputData!$C$173*(IV33-InputData!$B$172),IF(IV33&lt;=InputData!$B$174,InputData!$D$173+InputData!$C$174*(IV33-InputData!$B$173),IF(IV33&lt;=InputData!$B$175,InputData!$D$174+InputData!$C$175*(IV33-InputData!$B$174),InputData!$D$175+InputData!$C$176*(IV33-InputData!$B$175))))))))</f>
        <v>53935.464460269242</v>
      </c>
      <c r="IX33" s="32">
        <f>IF(IS33&lt;=InputData!$C$150,InputData!$C$152,IF(IS33&lt;InputData!$C$151,IF(InputData!$C$152-0.25*IF(IS33-InputData!$C$150&lt;=0,0,IS33-InputData!$C$150)&lt;=0,0,InputData!$C$152-0.25*IF(IS33-InputData!$C$150&lt;=0,0,IS33-InputData!$C$150)),0))</f>
        <v>26342.640560402091</v>
      </c>
      <c r="IY33" s="32">
        <f>IF(IS33-IX33&lt;=0,0,IF(IS33-IX33&lt;=InputData!$C$153,InputData!$C$154*(IS33-IX33),InputData!$C$155*(IS33-IX33)-InputData!$D$154))</f>
        <v>49970.303215437074</v>
      </c>
      <c r="IZ33" s="32">
        <f t="shared" si="102"/>
        <v>53935.464460269242</v>
      </c>
      <c r="JA33" s="32">
        <f>IF(IS33&gt;=0,IF(IS33&lt;=InputData!$C$148,InputData!$C$147*IS33,InputData!$C$147*InputData!$C$148)+InputData!$C$149*IS33,0)</f>
        <v>10205.026847496678</v>
      </c>
      <c r="JB33" s="32">
        <f>IF(IU33&lt;0,0,IF(IU33&lt;=InputData!$B$163,InputData!$C$163*IU33,IF(IU33&lt;=InputData!$B$164,InputData!$D$163+InputData!$C$164*(IU33-InputData!$B$163),IF(IU33&lt;=InputData!$B$165,InputData!$D$164+InputData!$C$165*(IU33-InputData!$B$164),InputData!$D$165+InputData!$C$166*(IU33-InputData!$B$165)))))</f>
        <v>0</v>
      </c>
      <c r="JC33" s="43">
        <f t="shared" si="103"/>
        <v>0.2947234159515385</v>
      </c>
      <c r="JD33" s="43">
        <f t="shared" si="104"/>
        <v>0.2947234159515385</v>
      </c>
      <c r="JE33" s="5">
        <f t="shared" si="105"/>
        <v>153488.94645062572</v>
      </c>
      <c r="JF33" s="32">
        <f>JE33/((1+InputData!$C$7)^(Ophtha!$B33-Ophtha!$B$7))</f>
        <v>71172.0151892461</v>
      </c>
      <c r="JG33" s="5">
        <f t="shared" si="106"/>
        <v>1803513.0433226696</v>
      </c>
      <c r="JI33" s="41" t="str">
        <f t="shared" si="32"/>
        <v>Private Practice</v>
      </c>
      <c r="JJ33" s="5">
        <f t="shared" si="33"/>
        <v>404650.04817952693</v>
      </c>
      <c r="JK33" s="32">
        <v>0</v>
      </c>
      <c r="JL33" s="32">
        <f t="shared" si="108"/>
        <v>404650.04817952693</v>
      </c>
      <c r="JM33" s="32">
        <f>JM32*(1+InputData!$C$8)</f>
        <v>19227.574133927752</v>
      </c>
      <c r="JN33" s="32">
        <f>JJ33/((1+InputData!$C$3)^(Ophtha!$B33-Ophtha!$B$7))</f>
        <v>241810.48639821293</v>
      </c>
      <c r="JO33" s="32">
        <f>JK33/((1+InputData!$C$3)^(Ophtha!$B33-Ophtha!$B$7))</f>
        <v>0</v>
      </c>
      <c r="JP33" s="32" t="s">
        <v>141</v>
      </c>
      <c r="JQ33" s="32">
        <v>0</v>
      </c>
      <c r="JR33" s="32">
        <f t="shared" si="172"/>
        <v>0</v>
      </c>
      <c r="JS33" s="32">
        <f>(JR33)*InputData!$C$6</f>
        <v>0</v>
      </c>
      <c r="JT33" s="32">
        <f>MIN($BE$15*InputData!$C$6/(1-(1+InputData!$C$6)^(-10)), JR33+JS33)</f>
        <v>0</v>
      </c>
      <c r="JU33" s="32">
        <f t="shared" si="148"/>
        <v>0</v>
      </c>
      <c r="JV33" s="32">
        <f>JT33/((1+InputData!$C$3)^(Ophtha!$B33-Ophtha!$B$7))</f>
        <v>0</v>
      </c>
      <c r="JW33" s="32">
        <f>IF(JN33-InputData!$C$158-InputData!$C$159&gt;=0,JN33-InputData!$C$158-InputData!$C$159,0)</f>
        <v>241810.48639821293</v>
      </c>
      <c r="JX33" s="32">
        <f>IF(JN33-IF(JN33&lt;=InputData!$C$146,InputData!$C$145,0)-MAX(InputData!$C$144,KD33)&gt;=0,JN33-IF(JN33&lt;=InputData!$C$146,InputData!$C$145,0)-MAX(InputData!$C$144,KD33),0)</f>
        <v>235710.48639821293</v>
      </c>
      <c r="JY33" s="32">
        <f>IF(JX33&lt;0,"Error",IF(JX33&lt;=InputData!$B$170,InputData!$C$170*JX33,IF(JX33&lt;=InputData!$B$171,InputData!$D$170+InputData!$C$171*(JX33-InputData!$B$170),IF(JX33&lt;=InputData!$B$172,InputData!$D$171+InputData!$C$172*(JX33-InputData!$B$171),IF(JX33&lt;=InputData!$B$173,InputData!$D$172+InputData!$C$173*(JX33-InputData!$B$172),IF(JX33&lt;=InputData!$B$174,InputData!$D$173+InputData!$C$174*(JX33-InputData!$B$173),IF(JX33&lt;=InputData!$B$175,InputData!$D$174+InputData!$C$175*(JX33-InputData!$B$174),InputData!$D$175+InputData!$C$176*(JX33-InputData!$B$175))))))))</f>
        <v>61915.210511410267</v>
      </c>
      <c r="JZ33" s="32">
        <f>IF(JN33&lt;=InputData!$C$150,InputData!$C$152,IF(JN33&lt;InputData!$C$151,IF(InputData!$C$152-0.25*IF(JN33-InputData!$C$150&lt;=0,0,JN33-InputData!$C$150)&lt;=0,0,InputData!$C$152-0.25*IF(JN33-InputData!$C$150&lt;=0,0,JN33-InputData!$C$150)),0))</f>
        <v>20297.378400446767</v>
      </c>
      <c r="KA33" s="32">
        <f>IF(JN33-JZ33&lt;=0,0,IF(JN33-JZ33&lt;=InputData!$C$153,InputData!$C$154*(JN33-JZ33),InputData!$C$155*(JN33-JZ33)-InputData!$D$154))</f>
        <v>58433.670239374536</v>
      </c>
      <c r="KB33" s="32">
        <f t="shared" si="109"/>
        <v>61915.210511410267</v>
      </c>
      <c r="KC33" s="32">
        <f>IF(JN33&gt;=0,IF(JN33&lt;=InputData!$C$148,InputData!$C$147*JN33,InputData!$C$147*InputData!$C$148)+InputData!$C$149*JN33,0)</f>
        <v>10555.652052774087</v>
      </c>
      <c r="KD33" s="32">
        <f>IF(JW33&lt;0,0,IF(JW33&lt;=InputData!$B$163,InputData!$C$163*JW33,IF(JW33&lt;=InputData!$B$164,InputData!$D$163+InputData!$C$164*(JW33-InputData!$B$163),IF(JW33&lt;=InputData!$B$165,InputData!$D$164+InputData!$C$165*(JW33-InputData!$B$164),InputData!$D$165+InputData!$C$166*(JW33-InputData!$B$165)))))</f>
        <v>0</v>
      </c>
      <c r="KE33" s="43">
        <f t="shared" si="34"/>
        <v>0.29970107435638466</v>
      </c>
      <c r="KF33" s="32">
        <f t="shared" si="35"/>
        <v>169339.62383402858</v>
      </c>
      <c r="KG33" s="32">
        <f t="shared" si="110"/>
        <v>169339.62383402858</v>
      </c>
      <c r="KH33" s="32">
        <f>KG33/((1+InputData!$C$7)^(Ophtha!$B33-Ophtha!$B$7))</f>
        <v>78521.890718258757</v>
      </c>
      <c r="KI33" s="5">
        <f t="shared" si="129"/>
        <v>1955478.3846436406</v>
      </c>
    </row>
    <row r="34" spans="1:295" x14ac:dyDescent="0.25">
      <c r="A34" s="4">
        <v>2040</v>
      </c>
      <c r="B34" s="51">
        <v>28</v>
      </c>
      <c r="C34" s="4"/>
      <c r="D34" s="3">
        <v>28</v>
      </c>
      <c r="E34" s="97" t="s">
        <v>276</v>
      </c>
      <c r="F34" s="5">
        <f>InputData!$Q$21*12</f>
        <v>126320.40000000001</v>
      </c>
      <c r="G34" s="32">
        <f>(InputData!$Q$21+InputData!$K$45+InputData!$G$50)*12+InputData!$J$50+InputData!$D$60+InputData!$J$60</f>
        <v>209320.36000000002</v>
      </c>
      <c r="H34" s="32">
        <f>(InputData!$C$32+InputData!$C$40)*12</f>
        <v>21631.199999999997</v>
      </c>
      <c r="I34" s="32">
        <f t="shared" si="36"/>
        <v>230951.56</v>
      </c>
      <c r="J34" s="5">
        <f>G34*((1+InputData!$C$5)/(1+InputData!$C$3))^(Ophtha!$B34-Ophtha!$B$7)</f>
        <v>160429.38828687023</v>
      </c>
      <c r="K34" s="5">
        <f>H34*((1+InputData!$C$5)/(1+InputData!$C$3))^(Ophtha!$B34-Ophtha!$B$7)</f>
        <v>16578.79904234326</v>
      </c>
      <c r="L34" s="32">
        <f>IF(J34-InputData!$C$158-InputData!$C$159&gt;=0,J34-InputData!$C$158-InputData!$C$159,0)</f>
        <v>160429.38828687023</v>
      </c>
      <c r="M34" s="32">
        <f>IF(J34-IF(J34&lt;=InputData!$C$146,InputData!$C$145,0)-MAX(InputData!$C$144,S34)&gt;=0,J34-IF(J34&lt;=InputData!$C$146,InputData!$C$145,0)-MAX(InputData!$C$144,S34),0)</f>
        <v>154329.38828687023</v>
      </c>
      <c r="N34" s="32">
        <f>IF(M34&lt;0,"Error",IF(M34&lt;=InputData!$B$170,InputData!$C$170*M34,IF(M34&lt;=InputData!$B$171,InputData!$D$170+InputData!$C$171*(M34-InputData!$B$170),IF(M34&lt;=InputData!$B$172,InputData!$D$171+InputData!$C$172*(M34-InputData!$B$171),IF(M34&lt;=InputData!$B$173,InputData!$D$172+InputData!$C$173*(M34-InputData!$B$172),IF(M34&lt;=InputData!$B$174,InputData!$D$173+InputData!$C$174*(M34-InputData!$B$173),IF(M34&lt;=InputData!$B$175,InputData!$D$174+InputData!$C$175*(M34-InputData!$B$174),InputData!$D$175+InputData!$C$176*(M34-InputData!$B$175))))))))</f>
        <v>36505.478720323663</v>
      </c>
      <c r="O34" s="32">
        <f>IF(J34&lt;=InputData!$C$150,InputData!$C$152,IF(J34&lt;InputData!$C$151,IF(InputData!$C$152-0.25*IF(J34-InputData!$C$150&lt;=0,0,J34-InputData!$C$150)&lt;=0,0,InputData!$C$152-0.25*IF(J34-InputData!$C$150&lt;=0,0,J34-InputData!$C$150)),0))</f>
        <v>40642.652928282441</v>
      </c>
      <c r="P34" s="32">
        <f>IF(J34-O34&lt;=0,0,IF(J34-O34&lt;=InputData!$C$153,InputData!$C$154*(J34-O34),InputData!$C$155*(J34-O34)-InputData!$D$154))</f>
        <v>31144.551193232826</v>
      </c>
      <c r="Q34" s="32">
        <f t="shared" si="37"/>
        <v>36505.478720323663</v>
      </c>
      <c r="R34" s="32">
        <f>IF(J34&gt;=0,IF(J34&lt;=InputData!$C$148,InputData!$C$147*J34,InputData!$C$147*InputData!$C$148)+InputData!$C$149*J34,0)</f>
        <v>9375.6261301596187</v>
      </c>
      <c r="S34" s="32">
        <f>IF(L34&lt;0,0,IF(L34&lt;=InputData!$B$163,InputData!$C$163*L34,IF(L34&lt;=InputData!$B$164,InputData!$D$163+InputData!$C$164*(L34-InputData!$B$163),IF(L34&lt;=InputData!$B$165,InputData!$D$164+InputData!$C$165*(L34-InputData!$B$164),InputData!$D$165+InputData!$C$166*(L34-InputData!$B$165)))))</f>
        <v>0</v>
      </c>
      <c r="T34" s="43">
        <f t="shared" si="38"/>
        <v>0.28598940219382646</v>
      </c>
      <c r="U34" s="43">
        <f t="shared" si="39"/>
        <v>0.25920329190847008</v>
      </c>
      <c r="V34" s="5">
        <f t="shared" si="40"/>
        <v>131127.08247873021</v>
      </c>
      <c r="W34" s="32">
        <f>V34/((1+InputData!$C$7)^(Ophtha!$B34-Ophtha!$B$7))</f>
        <v>59031.977446389421</v>
      </c>
      <c r="X34" s="5">
        <f t="shared" si="111"/>
        <v>1715130.3353787577</v>
      </c>
      <c r="Y34" s="53"/>
      <c r="Z34" s="3">
        <v>24.5</v>
      </c>
      <c r="AA34" s="98" t="s">
        <v>270</v>
      </c>
      <c r="AB34" s="32">
        <f>(0.5*InputData!$O$21+0.5*InputData!$P$21)*12</f>
        <v>118890</v>
      </c>
      <c r="AC34" s="32">
        <f>(0.5*(InputData!$O$21+InputData!$K$45)+0.5*(InputData!$P$21+InputData!$K$45)+InputData!$G$50)*12+InputData!$J$50+InputData!$D$60+InputData!$J$60</f>
        <v>201889.96</v>
      </c>
      <c r="AD34" s="32">
        <f t="shared" si="174"/>
        <v>21631.199999999997</v>
      </c>
      <c r="AE34" s="32">
        <f t="shared" si="41"/>
        <v>223521.15999999997</v>
      </c>
      <c r="AF34" s="5">
        <f>AC34*((1+InputData!$C$5)/(1+InputData!$C$3))^(Ophtha!$B34-Ophtha!$B$7)</f>
        <v>154734.50735542731</v>
      </c>
      <c r="AG34" s="5">
        <f>AD34*((1+InputData!$C$5)/(1+InputData!$C$3))^(Ophtha!$B34-Ophtha!$B$7)</f>
        <v>16578.79904234326</v>
      </c>
      <c r="AH34" s="32">
        <f>IF(AF34-InputData!$C$158-InputData!$C$159&gt;=0,AF34-InputData!$C$158-InputData!$C$159,0)</f>
        <v>154734.50735542731</v>
      </c>
      <c r="AI34" s="32">
        <f>IF(AF34-IF(AF34&lt;=InputData!$C$146,InputData!$C$145,0)-MAX(InputData!$C$144,AO34)&gt;=0,AF34-IF(AF34&lt;=InputData!$C$146,InputData!$C$145,0)-MAX(InputData!$C$144,AO34),0)</f>
        <v>148634.50735542731</v>
      </c>
      <c r="AJ34" s="32">
        <f>IF(AI34&lt;0,"Error",IF(AI34&lt;=InputData!$B$170,InputData!$C$170*AI34,IF(AI34&lt;=InputData!$B$171,InputData!$D$170+InputData!$C$171*(AI34-InputData!$B$170),IF(AI34&lt;=InputData!$B$172,InputData!$D$171+InputData!$C$172*(AI34-InputData!$B$171),IF(AI34&lt;=InputData!$B$173,InputData!$D$172+InputData!$C$173*(AI34-InputData!$B$172),IF(AI34&lt;=InputData!$B$174,InputData!$D$173+InputData!$C$174*(AI34-InputData!$B$173),IF(AI34&lt;=InputData!$B$175,InputData!$D$174+InputData!$C$175*(AI34-InputData!$B$174),InputData!$D$175+InputData!$C$176*(AI34-InputData!$B$175))))))))</f>
        <v>34910.912059519644</v>
      </c>
      <c r="AK34" s="32">
        <f>IF(AF34&lt;=InputData!$C$150,InputData!$C$152,IF(AF34&lt;InputData!$C$151,IF(InputData!$C$152-0.25*IF(AF34-InputData!$C$150&lt;=0,0,AF34-InputData!$C$150)&lt;=0,0,InputData!$C$152-0.25*IF(AF34-InputData!$C$150&lt;=0,0,AF34-InputData!$C$150)),0))</f>
        <v>42066.373161143172</v>
      </c>
      <c r="AL34" s="32">
        <f>IF(AF34-AK34&lt;=0,0,IF(AF34-AK34&lt;=InputData!$C$153,InputData!$C$154*(AF34-AK34),InputData!$C$155*(AF34-AK34)-InputData!$D$154))</f>
        <v>29293.714890513878</v>
      </c>
      <c r="AM34" s="32">
        <f t="shared" si="42"/>
        <v>34910.912059519644</v>
      </c>
      <c r="AN34" s="32">
        <f>IF(AF34&gt;=0,IF(AF34&lt;=InputData!$C$148,InputData!$C$147*AF34,InputData!$C$147*InputData!$C$148)+InputData!$C$149*AF34,0)</f>
        <v>9293.0503566536954</v>
      </c>
      <c r="AO34" s="32">
        <f>IF(AH34&lt;0,0,IF(AH34&lt;=InputData!$B$163,InputData!$C$163*AH34,IF(AH34&lt;=InputData!$B$164,InputData!$D$163+InputData!$C$164*(AH34-InputData!$B$163),IF(AH34&lt;=InputData!$B$165,InputData!$D$164+InputData!$C$165*(AH34-InputData!$B$164),InputData!$D$165+InputData!$C$166*(AH34-InputData!$B$165)))))</f>
        <v>0</v>
      </c>
      <c r="AP34" s="43">
        <f t="shared" si="43"/>
        <v>0.28567617638537618</v>
      </c>
      <c r="AQ34" s="43">
        <f t="shared" si="44"/>
        <v>0.25802994143103292</v>
      </c>
      <c r="AR34" s="5">
        <f t="shared" si="45"/>
        <v>127109.34398159722</v>
      </c>
      <c r="AS34" s="32">
        <f>AR34/((1+InputData!$C$7)^(Ophtha!$B34-Ophtha!$B$7))</f>
        <v>57223.235546052274</v>
      </c>
      <c r="AT34" s="5">
        <f t="shared" si="112"/>
        <v>1683833.0794485125</v>
      </c>
      <c r="AU34" s="53"/>
      <c r="AV34" s="41" t="s">
        <v>109</v>
      </c>
      <c r="AW34" s="32">
        <f>$AW$15*(1+InputData!$C$3+InputData!$C$4)^(Ophtha!$B34-Ophtha!$B$17)</f>
        <v>416789.54962491273</v>
      </c>
      <c r="AX34" s="32">
        <v>0</v>
      </c>
      <c r="AY34" s="32">
        <f t="shared" si="47"/>
        <v>416789.54962491273</v>
      </c>
      <c r="AZ34" s="32">
        <f>AZ33*(1+InputData!$C$8)</f>
        <v>19612.125616606307</v>
      </c>
      <c r="BA34" s="32">
        <f>AW34/((1+InputData!$C$3)^(Ophtha!$B34-Ophtha!$B$7))</f>
        <v>244181.17744133272</v>
      </c>
      <c r="BB34" s="32">
        <f>AX34/((1+InputData!$C$3)^(Ophtha!$B34-Ophtha!$B$7))</f>
        <v>0</v>
      </c>
      <c r="BC34" s="32" t="s">
        <v>141</v>
      </c>
      <c r="BD34" s="32">
        <v>0</v>
      </c>
      <c r="BE34" s="32">
        <f t="shared" si="158"/>
        <v>0</v>
      </c>
      <c r="BF34" s="32">
        <f>(BE34)*InputData!$C$6</f>
        <v>0</v>
      </c>
      <c r="BG34" s="32">
        <f>MIN($BE$15*InputData!$C$6/(1-(1+InputData!$C$6)^(-10)), BE34+BF34)</f>
        <v>0</v>
      </c>
      <c r="BH34" s="32">
        <f t="shared" si="140"/>
        <v>0</v>
      </c>
      <c r="BI34" s="32">
        <f>BG34/((1+InputData!$C$3)^(Ophtha!$B34-Ophtha!$B$7))</f>
        <v>0</v>
      </c>
      <c r="BJ34" s="32">
        <f>IF(BA34-InputData!$C$158-InputData!$C$159&gt;=0,BA34-InputData!$C$158-InputData!$C$159,0)</f>
        <v>244181.17744133272</v>
      </c>
      <c r="BK34" s="32">
        <f>IF(BA34-IF(BA34&lt;=InputData!$C$146,InputData!$C$145,0)-MAX(InputData!$C$144,BQ34)&gt;=0,BA34-IF(BA34&lt;=InputData!$C$146,InputData!$C$145,0)-MAX(InputData!$C$144,BQ34),0)</f>
        <v>238081.17744133272</v>
      </c>
      <c r="BL34" s="32">
        <f>IF(BK34&lt;0,"Error",IF(BK34&lt;=InputData!$B$170,InputData!$C$170*BK34,IF(BK34&lt;=InputData!$B$171,InputData!$D$170+InputData!$C$171*(BK34-InputData!$B$170),IF(BK34&lt;=InputData!$B$172,InputData!$D$171+InputData!$C$172*(BK34-InputData!$B$171),IF(BK34&lt;=InputData!$B$173,InputData!$D$172+InputData!$C$173*(BK34-InputData!$B$172),IF(BK34&lt;=InputData!$B$174,InputData!$D$173+InputData!$C$174*(BK34-InputData!$B$173),IF(BK34&lt;=InputData!$B$175,InputData!$D$174+InputData!$C$175*(BK34-InputData!$B$174),InputData!$D$175+InputData!$C$176*(BK34-InputData!$B$175))))))))</f>
        <v>62697.538555639796</v>
      </c>
      <c r="BM34" s="32">
        <f>IF(BA34&lt;=InputData!$C$150,InputData!$C$152,IF(BA34&lt;InputData!$C$151,IF(InputData!$C$152-0.25*IF(BA34-InputData!$C$150&lt;=0,0,BA34-InputData!$C$150)&lt;=0,0,InputData!$C$152-0.25*IF(BA34-InputData!$C$150&lt;=0,0,BA34-InputData!$C$150)),0))</f>
        <v>19704.705639666819</v>
      </c>
      <c r="BN34" s="32">
        <f>IF(BA34-BM34&lt;=0,0,IF(BA34-BM34&lt;=InputData!$C$153,InputData!$C$154*(BA34-BM34),InputData!$C$155*(BA34-BM34)-InputData!$D$154))</f>
        <v>59263.412104466457</v>
      </c>
      <c r="BO34" s="32">
        <f t="shared" si="48"/>
        <v>62697.538555639796</v>
      </c>
      <c r="BP34" s="32">
        <f>IF(BA34&gt;=0,IF(BA34&lt;=InputData!$C$148,InputData!$C$147*BA34,InputData!$C$147*InputData!$C$148)+InputData!$C$149*BA34,0)</f>
        <v>10590.027072899324</v>
      </c>
      <c r="BQ34" s="32">
        <f>IF(BJ34&lt;0,0,IF(BJ34&lt;=InputData!$B$163,InputData!$C$163*BJ34,IF(BJ34&lt;=InputData!$B$164,InputData!$D$163+InputData!$C$164*(BJ34-InputData!$B$163),IF(BJ34&lt;=InputData!$B$165,InputData!$D$164+InputData!$C$165*(BJ34-InputData!$B$164),InputData!$D$165+InputData!$C$166*(BJ34-InputData!$B$165)))))</f>
        <v>0</v>
      </c>
      <c r="BR34" s="43">
        <f t="shared" si="49"/>
        <v>0.30013601538205081</v>
      </c>
      <c r="BS34" s="32">
        <f t="shared" si="50"/>
        <v>170893.61181279359</v>
      </c>
      <c r="BT34" s="32">
        <f t="shared" si="51"/>
        <v>170893.61181279359</v>
      </c>
      <c r="BU34" s="32">
        <f>BT34/((1+InputData!$C$7)^(Ophtha!$B34-Ophtha!$B$7))</f>
        <v>76934.433738363994</v>
      </c>
      <c r="BV34" s="5">
        <f t="shared" si="114"/>
        <v>1648162.3442654212</v>
      </c>
      <c r="BW34" s="5"/>
      <c r="BX34" s="32" t="s">
        <v>141</v>
      </c>
      <c r="BY34" s="5">
        <f t="shared" si="159"/>
        <v>100796.29881114622</v>
      </c>
      <c r="BZ34" s="32">
        <f>(BY34)*InputData!$C$6</f>
        <v>6259.45015617218</v>
      </c>
      <c r="CA34" s="32">
        <f>MIN($BY$15*InputData!$C$6/(1-(1+InputData!$C$6)^(-25)), BY34+BZ34)</f>
        <v>20633.642137763909</v>
      </c>
      <c r="CB34" s="32">
        <f t="shared" si="160"/>
        <v>86422.106829554497</v>
      </c>
      <c r="CC34" s="32">
        <f>CA34/((1+InputData!$C$3)^(Ophtha!$B34-Ophtha!$B$7))</f>
        <v>12088.467757016746</v>
      </c>
      <c r="CD34" s="5">
        <f t="shared" si="55"/>
        <v>158805.14405577685</v>
      </c>
      <c r="CE34" s="32">
        <f>CD34/((1+InputData!$C$7)^(Ophtha!$B34-Ophtha!$B$7))</f>
        <v>71492.337853180477</v>
      </c>
      <c r="CF34" s="5">
        <f t="shared" si="115"/>
        <v>1660452.0306108622</v>
      </c>
      <c r="CG34" s="5"/>
      <c r="CH34" s="32" t="s">
        <v>141</v>
      </c>
      <c r="CI34" s="5">
        <f t="shared" si="161"/>
        <v>0</v>
      </c>
      <c r="CJ34" s="32">
        <f>(CI34)*InputData!$C$6</f>
        <v>0</v>
      </c>
      <c r="CK34" s="5">
        <f t="shared" si="162"/>
        <v>0</v>
      </c>
      <c r="CL34" s="32">
        <f t="shared" si="163"/>
        <v>0</v>
      </c>
      <c r="CM34" s="32">
        <f>CK34/((1+InputData!$C$3)^(Ophtha!$B34-Ophtha!$B$7))</f>
        <v>0</v>
      </c>
      <c r="CN34" s="5">
        <f t="shared" si="59"/>
        <v>170893.61181279359</v>
      </c>
      <c r="CO34" s="32">
        <f>CN34/((1+InputData!$C$7)^(Ophtha!$B34-Ophtha!$B$7))</f>
        <v>76934.433738363994</v>
      </c>
      <c r="CP34" s="5">
        <f t="shared" si="149"/>
        <v>1647941.8428403314</v>
      </c>
      <c r="CQ34" s="5"/>
      <c r="CR34" s="32" t="s">
        <v>141</v>
      </c>
      <c r="CS34" s="5">
        <f t="shared" si="164"/>
        <v>0</v>
      </c>
      <c r="CT34" s="32">
        <f>(CS34)*InputData!$C$6</f>
        <v>0</v>
      </c>
      <c r="CU34" s="32">
        <f t="shared" si="165"/>
        <v>0</v>
      </c>
      <c r="CV34" s="32">
        <f t="shared" si="166"/>
        <v>0</v>
      </c>
      <c r="CW34" s="32">
        <f>CU34/((1+InputData!$C$3)^(Ophtha!$B34-Ophtha!$B$7))</f>
        <v>0</v>
      </c>
      <c r="CX34" s="5">
        <f t="shared" si="63"/>
        <v>170893.61181279359</v>
      </c>
      <c r="CY34" s="32">
        <f>CX34/((1+InputData!$C$7)^(Ophtha!$B34-Ophtha!$B$7))</f>
        <v>76934.433738363994</v>
      </c>
      <c r="CZ34" s="5">
        <f t="shared" si="150"/>
        <v>1642474.7761213186</v>
      </c>
      <c r="DA34" s="5"/>
      <c r="DB34" s="32" t="s">
        <v>141</v>
      </c>
      <c r="DC34" s="5">
        <f t="shared" si="141"/>
        <v>0</v>
      </c>
      <c r="DD34" s="5">
        <f>DC34*InputData!$C$6</f>
        <v>0</v>
      </c>
      <c r="DE34" s="32">
        <f t="shared" si="142"/>
        <v>0</v>
      </c>
      <c r="DF34" s="32">
        <f t="shared" si="143"/>
        <v>0</v>
      </c>
      <c r="DG34" s="32">
        <f>DE34/((1+InputData!$C$3)^(Ophtha!$B34-Ophtha!$B$7))</f>
        <v>0</v>
      </c>
      <c r="DH34" s="5">
        <f t="shared" si="67"/>
        <v>170893.61181279359</v>
      </c>
      <c r="DI34" s="32">
        <f>DH34/((1+InputData!$C$7)^(Ophtha!$B34-Ophtha!$B$7))</f>
        <v>76934.433738363994</v>
      </c>
      <c r="DJ34" s="5">
        <f t="shared" si="130"/>
        <v>1652674.0419376802</v>
      </c>
      <c r="DK34" s="5"/>
      <c r="DL34" s="32" t="s">
        <v>141</v>
      </c>
      <c r="DM34" s="32">
        <f t="shared" si="167"/>
        <v>0</v>
      </c>
      <c r="DN34" s="5">
        <f>DM34*InputData!$C$6</f>
        <v>0</v>
      </c>
      <c r="DO34" s="32">
        <f t="shared" si="168"/>
        <v>0</v>
      </c>
      <c r="DP34" s="32">
        <f t="shared" si="131"/>
        <v>0</v>
      </c>
      <c r="DQ34" s="32">
        <f t="shared" si="132"/>
        <v>0</v>
      </c>
      <c r="DR34" s="32">
        <f>DP34/((1+InputData!$C$3)^(Ophtha!$B34-Ophtha!$B$7))</f>
        <v>0</v>
      </c>
      <c r="DS34" s="5">
        <f t="shared" si="71"/>
        <v>170893.61181279359</v>
      </c>
      <c r="DT34" s="32">
        <f>DS34/((1+InputData!$C$7)^(Ophtha!$B34-Ophtha!$B$7))</f>
        <v>76934.433738363994</v>
      </c>
      <c r="DU34" s="5">
        <f t="shared" si="133"/>
        <v>1646709.8758481913</v>
      </c>
      <c r="DV34" s="5"/>
      <c r="DW34" s="32" t="s">
        <v>141</v>
      </c>
      <c r="DX34" s="133">
        <f t="shared" si="144"/>
        <v>0</v>
      </c>
      <c r="DY34" s="5">
        <f>DX34*InputData!$C$6</f>
        <v>0</v>
      </c>
      <c r="DZ34" s="133">
        <f t="shared" si="145"/>
        <v>0</v>
      </c>
      <c r="EA34" s="32">
        <f t="shared" si="146"/>
        <v>0</v>
      </c>
      <c r="EB34" s="32">
        <f t="shared" si="147"/>
        <v>0</v>
      </c>
      <c r="EC34" s="32">
        <f>EA34/((1+InputData!$C$3)^(Ophtha!$B34-Ophtha!$B$7))</f>
        <v>0</v>
      </c>
      <c r="ED34" s="5">
        <f t="shared" si="75"/>
        <v>170893.61181279359</v>
      </c>
      <c r="EE34" s="32">
        <f>ED34/((1+InputData!$C$7)^(Ophtha!$B34-Ophtha!$B$7))</f>
        <v>76934.433738363994</v>
      </c>
      <c r="EF34" s="5">
        <f t="shared" si="134"/>
        <v>1646552.6048209409</v>
      </c>
      <c r="EG34" s="32"/>
      <c r="EH34" s="133" t="s">
        <v>141</v>
      </c>
      <c r="EI34" s="32">
        <v>0</v>
      </c>
      <c r="EJ34" s="32">
        <f t="shared" si="175"/>
        <v>0</v>
      </c>
      <c r="EK34" s="32">
        <f>(EJ34)*InputData!$C$6</f>
        <v>0</v>
      </c>
      <c r="EL34" s="32">
        <f t="shared" si="173"/>
        <v>0</v>
      </c>
      <c r="EM34" s="32">
        <f>EM33*(1+InputData!$C$8)</f>
        <v>19612.125616606307</v>
      </c>
      <c r="EN34" s="32">
        <f t="shared" si="152"/>
        <v>0</v>
      </c>
      <c r="EO34" s="32">
        <f>AW34/((1+InputData!$C$3)^(Ophtha!$B34-Ophtha!$B$7))</f>
        <v>244181.17744133272</v>
      </c>
      <c r="EP34" s="32">
        <f>AX34/((1+InputData!$C$3)^(Ophtha!$B34-Ophtha!$B$7))</f>
        <v>0</v>
      </c>
      <c r="EQ34" s="32">
        <v>62722.82</v>
      </c>
      <c r="ER34" s="32">
        <v>9302.41</v>
      </c>
      <c r="ES34" s="32">
        <v>0</v>
      </c>
      <c r="ET34" s="43">
        <f t="shared" si="139"/>
        <v>0.29496634734388921</v>
      </c>
      <c r="EU34" s="32">
        <f t="shared" si="76"/>
        <v>172155.94744133271</v>
      </c>
      <c r="EV34" s="32">
        <f>EN34/((1+InputData!$C$3)^(Ophtha!$B34-Ophtha!$B$7))</f>
        <v>0</v>
      </c>
      <c r="EW34" s="32">
        <f t="shared" si="77"/>
        <v>172155.94744133271</v>
      </c>
      <c r="EX34" s="32">
        <f>EW34/((1+InputData!$C$7)^(Ophtha!$B34-Ophtha!$B$7))</f>
        <v>77502.723423035219</v>
      </c>
      <c r="EY34" s="5">
        <f t="shared" si="124"/>
        <v>1732914.7406981683</v>
      </c>
      <c r="EZ34" s="79"/>
      <c r="FA34" s="32">
        <f t="shared" si="153"/>
        <v>0</v>
      </c>
      <c r="FB34" s="32">
        <f>FA34*InputData!$C$6</f>
        <v>0</v>
      </c>
      <c r="FC34" s="32">
        <f t="shared" si="154"/>
        <v>0</v>
      </c>
      <c r="FD34" s="32">
        <f>MIN($EJ$15*InputData!$C$6/(1-(1+InputData!$C$6)^(-10)), FA34+FB34)</f>
        <v>0</v>
      </c>
      <c r="FE34" s="32">
        <f>FD34/((1+InputData!$C$3)^(Ophtha!$B34-Ophtha!$B$7))</f>
        <v>0</v>
      </c>
      <c r="FF34" s="5">
        <f t="shared" si="81"/>
        <v>172155.94744133271</v>
      </c>
      <c r="FG34" s="32">
        <f>FF34/((1+InputData!$C$7)^(Ophtha!$B34-Ophtha!$B$7))</f>
        <v>77502.723423035219</v>
      </c>
      <c r="FH34" s="5">
        <f t="shared" si="125"/>
        <v>1738741.3323859808</v>
      </c>
      <c r="FI34" s="79"/>
      <c r="FJ34" s="32">
        <f t="shared" si="155"/>
        <v>101368.65904668077</v>
      </c>
      <c r="FK34" s="32">
        <f>FJ34*InputData!$C$6</f>
        <v>6294.9937267988762</v>
      </c>
      <c r="FL34" s="32">
        <f t="shared" si="170"/>
        <v>86912.844862634811</v>
      </c>
      <c r="FM34" s="32">
        <f>MIN($EJ$15*InputData!$C$6/(1-(1+InputData!$C$6)^(-25)), FJ34+FK34)</f>
        <v>20750.807910844829</v>
      </c>
      <c r="FN34" s="32">
        <f>FM34/((1+InputData!$C$3)^(Ophtha!$B34-Ophtha!$B$7))</f>
        <v>12157.11073631522</v>
      </c>
      <c r="FO34" s="5">
        <f t="shared" si="85"/>
        <v>159998.83670501749</v>
      </c>
      <c r="FP34" s="32">
        <f>FO34/((1+InputData!$C$7)^(Ophtha!$B34-Ophtha!$B$7))</f>
        <v>72029.725219816377</v>
      </c>
      <c r="FQ34" s="5">
        <f t="shared" si="126"/>
        <v>1751100.8043074231</v>
      </c>
      <c r="FR34" s="79"/>
      <c r="FS34" s="32">
        <f t="shared" si="156"/>
        <v>0</v>
      </c>
      <c r="FT34" s="32">
        <f>FS34*InputData!$C$6</f>
        <v>0</v>
      </c>
      <c r="FU34" s="32">
        <f t="shared" si="171"/>
        <v>0</v>
      </c>
      <c r="FV34" s="5">
        <f t="shared" si="157"/>
        <v>0</v>
      </c>
      <c r="FW34" s="32">
        <f>FV34/((1+InputData!$C$3)^(Ophtha!$B34-Ophtha!$B$7))</f>
        <v>0</v>
      </c>
      <c r="FX34" s="5">
        <f t="shared" si="88"/>
        <v>172155.94744133271</v>
      </c>
      <c r="FY34" s="32">
        <f>FX34/((1+InputData!$C$7)^(Ophtha!$B34-Ophtha!$B$7))</f>
        <v>77502.723423035219</v>
      </c>
      <c r="FZ34" s="5">
        <f t="shared" si="127"/>
        <v>1738480.7235148975</v>
      </c>
      <c r="GC34" s="83">
        <v>23</v>
      </c>
      <c r="GD34" s="4" t="s">
        <v>217</v>
      </c>
      <c r="GE34" s="5"/>
      <c r="GF34" s="84">
        <v>0</v>
      </c>
      <c r="GG34" s="5"/>
      <c r="GH34" s="84">
        <f>MIN(InputData!$C$13+InputData!$E$13*($B34-$B$34),1)*$AW34/((1+InputData!$C$3)^(Ophtha!$B34-Ophtha!$B$7))+0.025*$GC$33*(($F$31+$F$32+$F$33)/3)*((1+InputData!$C$5)/(1+InputData!$C$3))^(Ophtha!$B34-Ophtha!$B$7)</f>
        <v>273696.4654273499</v>
      </c>
      <c r="GI34" s="5">
        <v>0</v>
      </c>
      <c r="GJ34" s="32">
        <f>IF(GH34-InputData!$C$158-InputData!$C$159&gt;=0,GH34-InputData!$C$158-InputData!$C$159,0)</f>
        <v>273696.4654273499</v>
      </c>
      <c r="GK34" s="32">
        <f>IF(GH34-IF(GH34&lt;=InputData!$C$146,InputData!$C$145,0)-MAX(InputData!$C$144,GQ34)&gt;=0,GH34-IF(GH34&lt;=InputData!$C$146,InputData!$C$145,0)-MAX(InputData!$C$144,GQ34),0)</f>
        <v>267596.4654273499</v>
      </c>
      <c r="GL34" s="32">
        <f>IF(GK34&lt;0,"Error",IF(GK34&lt;=InputData!$B$170,InputData!$C$170*GK34,IF(GK34&lt;=InputData!$B$171,InputData!$D$170+InputData!$C$171*(GK34-InputData!$B$170),IF(GK34&lt;=InputData!$B$172,InputData!$D$171+InputData!$C$172*(GK34-InputData!$B$171),IF(GK34&lt;=InputData!$B$173,InputData!$D$172+InputData!$C$173*(GK34-InputData!$B$172),IF(GK34&lt;=InputData!$B$174,InputData!$D$173+InputData!$C$174*(GK34-InputData!$B$173),IF(GK34&lt;=InputData!$B$175,InputData!$D$174+InputData!$C$175*(GK34-InputData!$B$174),InputData!$D$175+InputData!$C$176*(GK34-InputData!$B$175))))))))</f>
        <v>72437.583591025468</v>
      </c>
      <c r="GM34" s="32">
        <f>IF(GH34&lt;=InputData!$C$150,InputData!$C$152,IF(GH34&lt;InputData!$C$151,IF(InputData!$C$152-0.25*IF(GH34-InputData!$C$150&lt;=0,0,GH34-InputData!$C$150)&lt;=0,0,InputData!$C$152-0.25*IF(GH34-InputData!$C$150&lt;=0,0,GH34-InputData!$C$150)),0))</f>
        <v>12325.883643162524</v>
      </c>
      <c r="GN34" s="32">
        <f>IF(GH34-GM34&lt;=0,0,IF(GH34-GM34&lt;=InputData!$C$153,InputData!$C$154*(GH34-GM34),InputData!$C$155*(GH34-GM34)-InputData!$D$154))</f>
        <v>69593.762899572466</v>
      </c>
      <c r="GO34" s="32">
        <f t="shared" si="89"/>
        <v>72437.583591025468</v>
      </c>
      <c r="GP34" s="32">
        <f>IF(GH34&gt;=0,IF(GH34&lt;=InputData!$C$148,InputData!$C$147*GH34,InputData!$C$147*InputData!$C$148)+InputData!$C$149*GH34,0)</f>
        <v>11017.998748696573</v>
      </c>
      <c r="GQ34" s="32">
        <f>IF(GJ34&lt;0,0,IF(GJ34&lt;=InputData!$B$163,InputData!$C$163*GJ34,IF(GJ34&lt;=InputData!$B$164,InputData!$D$163+InputData!$C$164*(GJ34-InputData!$B$163),IF(GJ34&lt;=InputData!$B$165,InputData!$D$164+InputData!$C$165*(GJ34-InputData!$B$164),InputData!$D$165+InputData!$C$166*(GJ34-InputData!$B$165)))))</f>
        <v>0</v>
      </c>
      <c r="GR34" s="43">
        <f t="shared" si="90"/>
        <v>0.30492020497749001</v>
      </c>
      <c r="GS34" s="43">
        <f t="shared" si="91"/>
        <v>0.30492020497749001</v>
      </c>
      <c r="GT34" s="5">
        <f t="shared" si="9"/>
        <v>190240.88308762785</v>
      </c>
      <c r="GU34" s="32">
        <f>GT34/((1+InputData!$C$7)^(Ophtha!$B34-Ophtha!$B$7))</f>
        <v>85644.363525221357</v>
      </c>
      <c r="GV34" s="84">
        <f t="shared" si="92"/>
        <v>1717503.0837172905</v>
      </c>
      <c r="GX34" s="83">
        <v>20</v>
      </c>
      <c r="GY34" s="4" t="s">
        <v>217</v>
      </c>
      <c r="GZ34" s="5"/>
      <c r="HA34" s="84">
        <v>0</v>
      </c>
      <c r="HB34" s="5"/>
      <c r="HC34" s="84">
        <f>MIN(InputData!$C$13+InputData!$E$13*($B34-$B$31),1)*$AW34/((1+InputData!$C$3)^(Ophtha!$B34-Ophtha!$B$7))+0.025*$GX$30*(($AB$28+$AB$29+$AB$30)/3)*((1+InputData!$C$5)/(1+InputData!$C$3))^(Ophtha!$B34-Ophtha!$B$7)</f>
        <v>259730.69425747846</v>
      </c>
      <c r="HD34" s="5">
        <v>0</v>
      </c>
      <c r="HE34" s="32">
        <f>IF(HC34-InputData!$C$158-InputData!$C$159&gt;=0,HC34-InputData!$C$158-InputData!$C$159,0)</f>
        <v>259730.69425747846</v>
      </c>
      <c r="HF34" s="32">
        <f>IF(HC34-IF(HC34&lt;=InputData!$C$146,InputData!$C$145,0)-MAX(InputData!$C$144,HL34)&gt;=0,HC34-IF(HC34&lt;=InputData!$C$146,InputData!$C$145,0)-MAX(InputData!$C$144,HL34),0)</f>
        <v>253630.69425747846</v>
      </c>
      <c r="HG34" s="32">
        <f>IF(HF34&lt;0,"Error",IF(HF34&lt;=InputData!$B$170,InputData!$C$170*HF34,IF(HF34&lt;=InputData!$B$171,InputData!$D$170+InputData!$C$171*(HF34-InputData!$B$170),IF(HF34&lt;=InputData!$B$172,InputData!$D$171+InputData!$C$172*(HF34-InputData!$B$171),IF(HF34&lt;=InputData!$B$173,InputData!$D$172+InputData!$C$173*(HF34-InputData!$B$172),IF(HF34&lt;=InputData!$B$174,InputData!$D$173+InputData!$C$174*(HF34-InputData!$B$173),IF(HF34&lt;=InputData!$B$175,InputData!$D$174+InputData!$C$175*(HF34-InputData!$B$174),InputData!$D$175+InputData!$C$176*(HF34-InputData!$B$175))))))))</f>
        <v>67828.879104967898</v>
      </c>
      <c r="HH34" s="32">
        <f>IF(HC34&lt;=InputData!$C$150,InputData!$C$152,IF(HC34&lt;InputData!$C$151,IF(InputData!$C$152-0.25*IF(HC34-InputData!$C$150&lt;=0,0,HC34-InputData!$C$150)&lt;=0,0,InputData!$C$152-0.25*IF(HC34-InputData!$C$150&lt;=0,0,HC34-InputData!$C$150)),0))</f>
        <v>15817.326435630384</v>
      </c>
      <c r="HI34" s="32">
        <f>IF(HC34-HH34&lt;=0,0,IF(HC34-HH34&lt;=InputData!$C$153,InputData!$C$154*(HC34-HH34),InputData!$C$155*(HC34-HH34)-InputData!$D$154))</f>
        <v>64705.742990117462</v>
      </c>
      <c r="HJ34" s="32">
        <f t="shared" si="93"/>
        <v>67828.879104967898</v>
      </c>
      <c r="HK34" s="32">
        <f>IF(HC34&gt;=0,IF(HC34&lt;=InputData!$C$148,InputData!$C$147*HC34,InputData!$C$147*InputData!$C$148)+InputData!$C$149*HC34,0)</f>
        <v>10815.495066733438</v>
      </c>
      <c r="HL34" s="32">
        <f>IF(HE34&lt;0,0,IF(HE34&lt;=InputData!$B$163,InputData!$C$163*HE34,IF(HE34&lt;=InputData!$B$164,InputData!$D$163+InputData!$C$164*(HE34-InputData!$B$163),IF(HE34&lt;=InputData!$B$165,InputData!$D$164+InputData!$C$165*(HE34-InputData!$B$164),InputData!$D$165+InputData!$C$166*(HE34-InputData!$B$165)))))</f>
        <v>0</v>
      </c>
      <c r="HM34" s="43">
        <f t="shared" si="94"/>
        <v>0.30279199151463754</v>
      </c>
      <c r="HN34" s="43">
        <f t="shared" si="95"/>
        <v>0.30279199151463754</v>
      </c>
      <c r="HO34" s="5">
        <f t="shared" si="17"/>
        <v>181086.32008577712</v>
      </c>
      <c r="HP34" s="32">
        <f>HO34/((1+InputData!$C$7)^(Ophtha!$B34-Ophtha!$B$7))</f>
        <v>81523.079451472047</v>
      </c>
      <c r="HQ34" s="84">
        <f t="shared" si="96"/>
        <v>1780622.7442357517</v>
      </c>
      <c r="HS34" s="94"/>
      <c r="HT34" s="53" t="s">
        <v>109</v>
      </c>
      <c r="HU34" s="32">
        <f>MIN(InputData!$C$13+InputData!$E$13*($B34-$B$22),1)*Ophtha!AW34</f>
        <v>375110.59466242144</v>
      </c>
      <c r="HV34" s="32">
        <f>MIN(InputData!$C$13+InputData!$E$13*($B34-$B$22),1)*Ophtha!AX34</f>
        <v>0</v>
      </c>
      <c r="HW34" s="32">
        <f>MIN(InputData!$C$13+InputData!$E$13*($B34-$B$22),1)*Ophtha!AY34</f>
        <v>375110.59466242144</v>
      </c>
      <c r="HX34" s="32">
        <f>MIN(InputData!$C$13+InputData!$E$13*($B34-$B$22),1)*Ophtha!BA34</f>
        <v>219763.05969719947</v>
      </c>
      <c r="HY34" s="32">
        <f>MIN(InputData!$C$13+InputData!$E$13*($B34-$B$22),1)*Ophtha!BB34</f>
        <v>0</v>
      </c>
      <c r="HZ34" s="32">
        <f>IF(HX34-InputData!$C$158-InputData!$C$159&gt;=0,HX34-InputData!$C$158-InputData!$C$159,0)</f>
        <v>219763.05969719947</v>
      </c>
      <c r="IA34" s="32">
        <f>IF(HX34-IF(HX34&lt;=InputData!$C$146,InputData!$C$145,0)-MAX(InputData!$C$144,IG34)&gt;=0,HX34-IF(HX34&lt;=InputData!$C$146,InputData!$C$145,0)-MAX(InputData!$C$144,IG34),0)</f>
        <v>213663.05969719947</v>
      </c>
      <c r="IB34" s="32">
        <f>IF(IA34&lt;0,"Error",IF(IA34&lt;=InputData!$B$170,InputData!$C$170*IA34,IF(IA34&lt;=InputData!$B$171,InputData!$D$170+InputData!$C$171*(IA34-InputData!$B$170),IF(IA34&lt;=InputData!$B$172,InputData!$D$171+InputData!$C$172*(IA34-InputData!$B$171),IF(IA34&lt;=InputData!$B$173,InputData!$D$172+InputData!$C$173*(IA34-InputData!$B$172),IF(IA34&lt;=InputData!$B$174,InputData!$D$173+InputData!$C$174*(IA34-InputData!$B$173),IF(IA34&lt;=InputData!$B$175,InputData!$D$174+InputData!$C$175*(IA34-InputData!$B$174),InputData!$D$175+InputData!$C$176*(IA34-InputData!$B$175))))))))</f>
        <v>54639.559700075828</v>
      </c>
      <c r="IC34" s="32">
        <f>IF(HX34&lt;=InputData!$C$150,InputData!$C$152,IF(HX34&lt;InputData!$C$151,IF(InputData!$C$152-0.25*IF(HX34-InputData!$C$150&lt;=0,0,HX34-InputData!$C$150)&lt;=0,0,InputData!$C$152-0.25*IF(HX34-InputData!$C$150&lt;=0,0,HX34-InputData!$C$150)),0))</f>
        <v>25809.235075700133</v>
      </c>
      <c r="ID34" s="32">
        <f>IF(HX34-IC34&lt;=0,0,IF(HX34-IC34&lt;=InputData!$C$153,InputData!$C$154*(HX34-IC34),InputData!$C$155*(HX34-IC34)-InputData!$D$154))</f>
        <v>50717.070894019824</v>
      </c>
      <c r="IE34" s="32">
        <f t="shared" si="97"/>
        <v>54639.559700075828</v>
      </c>
      <c r="IF34" s="32">
        <f>IF(HX34&gt;=0,IF(HX34&lt;=InputData!$C$148,InputData!$C$147*HX34,InputData!$C$147*InputData!$C$148)+InputData!$C$149*HX34,0)</f>
        <v>10235.964365609392</v>
      </c>
      <c r="IG34" s="32">
        <f>IF(HZ34&lt;0,0,IF(HZ34&lt;=InputData!$B$163,InputData!$C$163*HZ34,IF(HZ34&lt;=InputData!$B$164,InputData!$D$163+InputData!$C$164*(HZ34-InputData!$B$163),IF(HZ34&lt;=InputData!$B$165,InputData!$D$164+InputData!$C$165*(HZ34-InputData!$B$164),InputData!$D$165+InputData!$C$166*(HZ34-InputData!$B$165)))))</f>
        <v>0</v>
      </c>
      <c r="IH34" s="43">
        <f t="shared" si="98"/>
        <v>0.29520668375783427</v>
      </c>
      <c r="II34" s="43">
        <f t="shared" si="99"/>
        <v>0.29520668375783427</v>
      </c>
      <c r="IJ34" s="5">
        <f t="shared" si="100"/>
        <v>154887.53563151424</v>
      </c>
      <c r="IK34" s="32">
        <f>IJ34/((1+InputData!$C$7)^(Ophtha!$B34-Ophtha!$B$7))</f>
        <v>69728.673415802579</v>
      </c>
      <c r="IL34" s="5">
        <f t="shared" si="101"/>
        <v>1863115.5450386272</v>
      </c>
      <c r="IN34" s="94"/>
      <c r="IO34" s="53" t="s">
        <v>109</v>
      </c>
      <c r="IP34" s="32">
        <f>MIN(InputData!$C$13+InputData!$E$13*($B34-$B$19),1)*Ophtha!AW34</f>
        <v>375110.59466242144</v>
      </c>
      <c r="IQ34" s="32">
        <f>MIN(InputData!$C$13+InputData!$E$13*($B34-$B$19),1)*Ophtha!AX34</f>
        <v>0</v>
      </c>
      <c r="IR34" s="32">
        <f>MIN(InputData!$C$13+InputData!$E$13*($B34-$B$19),1)*Ophtha!AY34</f>
        <v>375110.59466242144</v>
      </c>
      <c r="IS34" s="32">
        <f>MIN(InputData!$C$13+InputData!$E$13*($B34-$B$19),1)*Ophtha!BA34</f>
        <v>219763.05969719947</v>
      </c>
      <c r="IT34" s="32">
        <f>MIN(InputData!$C$13+InputData!$E$13*($B34-$B$19),1)*Ophtha!BB34</f>
        <v>0</v>
      </c>
      <c r="IU34" s="32">
        <f>IF(IS34-InputData!$C$158-InputData!$C$159&gt;=0,IS34-InputData!$C$158-InputData!$C$159,0)</f>
        <v>219763.05969719947</v>
      </c>
      <c r="IV34" s="32">
        <f>IF(IS34-IF(IS34&lt;=InputData!$C$146,InputData!$C$145,0)-MAX(InputData!$C$144,JB34)&gt;=0,IS34-IF(IS34&lt;=InputData!$C$146,InputData!$C$145,0)-MAX(InputData!$C$144,JB34),0)</f>
        <v>213663.05969719947</v>
      </c>
      <c r="IW34" s="32">
        <f>IF(IV34&lt;0,"Error",IF(IV34&lt;=InputData!$B$170,InputData!$C$170*IV34,IF(IV34&lt;=InputData!$B$171,InputData!$D$170+InputData!$C$171*(IV34-InputData!$B$170),IF(IV34&lt;=InputData!$B$172,InputData!$D$171+InputData!$C$172*(IV34-InputData!$B$171),IF(IV34&lt;=InputData!$B$173,InputData!$D$172+InputData!$C$173*(IV34-InputData!$B$172),IF(IV34&lt;=InputData!$B$174,InputData!$D$173+InputData!$C$174*(IV34-InputData!$B$173),IF(IV34&lt;=InputData!$B$175,InputData!$D$174+InputData!$C$175*(IV34-InputData!$B$174),InputData!$D$175+InputData!$C$176*(IV34-InputData!$B$175))))))))</f>
        <v>54639.559700075828</v>
      </c>
      <c r="IX34" s="32">
        <f>IF(IS34&lt;=InputData!$C$150,InputData!$C$152,IF(IS34&lt;InputData!$C$151,IF(InputData!$C$152-0.25*IF(IS34-InputData!$C$150&lt;=0,0,IS34-InputData!$C$150)&lt;=0,0,InputData!$C$152-0.25*IF(IS34-InputData!$C$150&lt;=0,0,IS34-InputData!$C$150)),0))</f>
        <v>25809.235075700133</v>
      </c>
      <c r="IY34" s="32">
        <f>IF(IS34-IX34&lt;=0,0,IF(IS34-IX34&lt;=InputData!$C$153,InputData!$C$154*(IS34-IX34),InputData!$C$155*(IS34-IX34)-InputData!$D$154))</f>
        <v>50717.070894019824</v>
      </c>
      <c r="IZ34" s="32">
        <f t="shared" si="102"/>
        <v>54639.559700075828</v>
      </c>
      <c r="JA34" s="32">
        <f>IF(IS34&gt;=0,IF(IS34&lt;=InputData!$C$148,InputData!$C$147*IS34,InputData!$C$147*InputData!$C$148)+InputData!$C$149*IS34,0)</f>
        <v>10235.964365609392</v>
      </c>
      <c r="JB34" s="32">
        <f>IF(IU34&lt;0,0,IF(IU34&lt;=InputData!$B$163,InputData!$C$163*IU34,IF(IU34&lt;=InputData!$B$164,InputData!$D$163+InputData!$C$164*(IU34-InputData!$B$163),IF(IU34&lt;=InputData!$B$165,InputData!$D$164+InputData!$C$165*(IU34-InputData!$B$164),InputData!$D$165+InputData!$C$166*(IU34-InputData!$B$165)))))</f>
        <v>0</v>
      </c>
      <c r="JC34" s="43">
        <f t="shared" si="103"/>
        <v>0.29520668375783427</v>
      </c>
      <c r="JD34" s="43">
        <f t="shared" si="104"/>
        <v>0.29520668375783427</v>
      </c>
      <c r="JE34" s="5">
        <f t="shared" si="105"/>
        <v>154887.53563151424</v>
      </c>
      <c r="JF34" s="32">
        <f>JE34/((1+InputData!$C$7)^(Ophtha!$B34-Ophtha!$B$7))</f>
        <v>69728.673415802579</v>
      </c>
      <c r="JG34" s="5">
        <f t="shared" si="106"/>
        <v>1873241.7167384722</v>
      </c>
      <c r="JI34" s="41" t="str">
        <f t="shared" si="32"/>
        <v>Private Practice</v>
      </c>
      <c r="JJ34" s="5">
        <f t="shared" si="33"/>
        <v>416789.54962491273</v>
      </c>
      <c r="JK34" s="32">
        <v>0</v>
      </c>
      <c r="JL34" s="32">
        <f t="shared" si="108"/>
        <v>416789.54962491273</v>
      </c>
      <c r="JM34" s="32">
        <f>JM33*(1+InputData!$C$8)</f>
        <v>19612.125616606307</v>
      </c>
      <c r="JN34" s="32">
        <f>JJ34/((1+InputData!$C$3)^(Ophtha!$B34-Ophtha!$B$7))</f>
        <v>244181.17744133272</v>
      </c>
      <c r="JO34" s="32">
        <f>JK34/((1+InputData!$C$3)^(Ophtha!$B34-Ophtha!$B$7))</f>
        <v>0</v>
      </c>
      <c r="JP34" s="32" t="s">
        <v>141</v>
      </c>
      <c r="JQ34" s="32">
        <v>0</v>
      </c>
      <c r="JR34" s="32">
        <f t="shared" si="172"/>
        <v>0</v>
      </c>
      <c r="JS34" s="32">
        <f>(JR34)*InputData!$C$6</f>
        <v>0</v>
      </c>
      <c r="JT34" s="32">
        <f>MIN($BE$15*InputData!$C$6/(1-(1+InputData!$C$6)^(-10)), JR34+JS34)</f>
        <v>0</v>
      </c>
      <c r="JU34" s="32">
        <f t="shared" si="148"/>
        <v>0</v>
      </c>
      <c r="JV34" s="32">
        <f>JT34/((1+InputData!$C$3)^(Ophtha!$B34-Ophtha!$B$7))</f>
        <v>0</v>
      </c>
      <c r="JW34" s="32">
        <f>IF(JN34-InputData!$C$158-InputData!$C$159&gt;=0,JN34-InputData!$C$158-InputData!$C$159,0)</f>
        <v>244181.17744133272</v>
      </c>
      <c r="JX34" s="32">
        <f>IF(JN34-IF(JN34&lt;=InputData!$C$146,InputData!$C$145,0)-MAX(InputData!$C$144,KD34)&gt;=0,JN34-IF(JN34&lt;=InputData!$C$146,InputData!$C$145,0)-MAX(InputData!$C$144,KD34),0)</f>
        <v>238081.17744133272</v>
      </c>
      <c r="JY34" s="32">
        <f>IF(JX34&lt;0,"Error",IF(JX34&lt;=InputData!$B$170,InputData!$C$170*JX34,IF(JX34&lt;=InputData!$B$171,InputData!$D$170+InputData!$C$171*(JX34-InputData!$B$170),IF(JX34&lt;=InputData!$B$172,InputData!$D$171+InputData!$C$172*(JX34-InputData!$B$171),IF(JX34&lt;=InputData!$B$173,InputData!$D$172+InputData!$C$173*(JX34-InputData!$B$172),IF(JX34&lt;=InputData!$B$174,InputData!$D$173+InputData!$C$174*(JX34-InputData!$B$173),IF(JX34&lt;=InputData!$B$175,InputData!$D$174+InputData!$C$175*(JX34-InputData!$B$174),InputData!$D$175+InputData!$C$176*(JX34-InputData!$B$175))))))))</f>
        <v>62697.538555639796</v>
      </c>
      <c r="JZ34" s="32">
        <f>IF(JN34&lt;=InputData!$C$150,InputData!$C$152,IF(JN34&lt;InputData!$C$151,IF(InputData!$C$152-0.25*IF(JN34-InputData!$C$150&lt;=0,0,JN34-InputData!$C$150)&lt;=0,0,InputData!$C$152-0.25*IF(JN34-InputData!$C$150&lt;=0,0,JN34-InputData!$C$150)),0))</f>
        <v>19704.705639666819</v>
      </c>
      <c r="KA34" s="32">
        <f>IF(JN34-JZ34&lt;=0,0,IF(JN34-JZ34&lt;=InputData!$C$153,InputData!$C$154*(JN34-JZ34),InputData!$C$155*(JN34-JZ34)-InputData!$D$154))</f>
        <v>59263.412104466457</v>
      </c>
      <c r="KB34" s="32">
        <f t="shared" si="109"/>
        <v>62697.538555639796</v>
      </c>
      <c r="KC34" s="32">
        <f>IF(JN34&gt;=0,IF(JN34&lt;=InputData!$C$148,InputData!$C$147*JN34,InputData!$C$147*InputData!$C$148)+InputData!$C$149*JN34,0)</f>
        <v>10590.027072899324</v>
      </c>
      <c r="KD34" s="32">
        <f>IF(JW34&lt;0,0,IF(JW34&lt;=InputData!$B$163,InputData!$C$163*JW34,IF(JW34&lt;=InputData!$B$164,InputData!$D$163+InputData!$C$164*(JW34-InputData!$B$163),IF(JW34&lt;=InputData!$B$165,InputData!$D$164+InputData!$C$165*(JW34-InputData!$B$164),InputData!$D$165+InputData!$C$166*(JW34-InputData!$B$165)))))</f>
        <v>0</v>
      </c>
      <c r="KE34" s="43">
        <f t="shared" si="34"/>
        <v>0.30013601538205081</v>
      </c>
      <c r="KF34" s="32">
        <f t="shared" si="35"/>
        <v>170893.61181279359</v>
      </c>
      <c r="KG34" s="32">
        <f t="shared" si="110"/>
        <v>170893.61181279359</v>
      </c>
      <c r="KH34" s="32">
        <f>KG34/((1+InputData!$C$7)^(Ophtha!$B34-Ophtha!$B$7))</f>
        <v>76934.433738363994</v>
      </c>
      <c r="KI34" s="5">
        <f t="shared" si="129"/>
        <v>2032412.8183820045</v>
      </c>
    </row>
    <row r="35" spans="1:295" x14ac:dyDescent="0.25">
      <c r="A35" s="4">
        <v>2041</v>
      </c>
      <c r="B35" s="51">
        <v>29</v>
      </c>
      <c r="C35" s="4"/>
      <c r="D35" s="3">
        <v>29</v>
      </c>
      <c r="E35" s="97" t="s">
        <v>277</v>
      </c>
      <c r="F35" s="5">
        <f>InputData!$R$21*12</f>
        <v>126320.40000000001</v>
      </c>
      <c r="G35" s="32">
        <f>(InputData!$R$21+InputData!$K$45+InputData!$G$50)*12+InputData!$J$50+InputData!$D$60+InputData!$J$60</f>
        <v>209320.36000000002</v>
      </c>
      <c r="H35" s="32">
        <f>(InputData!$C$32+InputData!$C$40)*12</f>
        <v>21631.199999999997</v>
      </c>
      <c r="I35" s="32">
        <f t="shared" si="36"/>
        <v>230951.56</v>
      </c>
      <c r="J35" s="5">
        <f>G35*((1+InputData!$C$5)/(1+InputData!$C$3))^(Ophtha!$B35-Ophtha!$B$7)</f>
        <v>158856.5511468029</v>
      </c>
      <c r="K35" s="5">
        <f>H35*((1+InputData!$C$5)/(1+InputData!$C$3))^(Ophtha!$B35-Ophtha!$B$7)</f>
        <v>16416.261796830095</v>
      </c>
      <c r="L35" s="32">
        <f>IF(J35-InputData!$C$158-InputData!$C$159&gt;=0,J35-InputData!$C$158-InputData!$C$159,0)</f>
        <v>158856.5511468029</v>
      </c>
      <c r="M35" s="32">
        <f>IF(J35-IF(J35&lt;=InputData!$C$146,InputData!$C$145,0)-MAX(InputData!$C$144,S35)&gt;=0,J35-IF(J35&lt;=InputData!$C$146,InputData!$C$145,0)-MAX(InputData!$C$144,S35),0)</f>
        <v>152756.5511468029</v>
      </c>
      <c r="N35" s="32">
        <f>IF(M35&lt;0,"Error",IF(M35&lt;=InputData!$B$170,InputData!$C$170*M35,IF(M35&lt;=InputData!$B$171,InputData!$D$170+InputData!$C$171*(M35-InputData!$B$170),IF(M35&lt;=InputData!$B$172,InputData!$D$171+InputData!$C$172*(M35-InputData!$B$171),IF(M35&lt;=InputData!$B$173,InputData!$D$172+InputData!$C$173*(M35-InputData!$B$172),IF(M35&lt;=InputData!$B$174,InputData!$D$173+InputData!$C$174*(M35-InputData!$B$173),IF(M35&lt;=InputData!$B$175,InputData!$D$174+InputData!$C$175*(M35-InputData!$B$174),InputData!$D$175+InputData!$C$176*(M35-InputData!$B$175))))))))</f>
        <v>36065.084321104812</v>
      </c>
      <c r="O35" s="32">
        <f>IF(J35&lt;=InputData!$C$150,InputData!$C$152,IF(J35&lt;InputData!$C$151,IF(InputData!$C$152-0.25*IF(J35-InputData!$C$150&lt;=0,0,J35-InputData!$C$150)&lt;=0,0,InputData!$C$152-0.25*IF(J35-InputData!$C$150&lt;=0,0,J35-InputData!$C$150)),0))</f>
        <v>41035.862213299275</v>
      </c>
      <c r="P35" s="32">
        <f>IF(J35-O35&lt;=0,0,IF(J35-O35&lt;=InputData!$C$153,InputData!$C$154*(J35-O35),InputData!$C$155*(J35-O35)-InputData!$D$154))</f>
        <v>30633.379122710943</v>
      </c>
      <c r="Q35" s="32">
        <f t="shared" si="37"/>
        <v>36065.084321104812</v>
      </c>
      <c r="R35" s="32">
        <f>IF(J35&gt;=0,IF(J35&lt;=InputData!$C$148,InputData!$C$147*J35,InputData!$C$147*InputData!$C$148)+InputData!$C$149*J35,0)</f>
        <v>9352.8199916286412</v>
      </c>
      <c r="S35" s="32">
        <f>IF(L35&lt;0,0,IF(L35&lt;=InputData!$B$163,InputData!$C$163*L35,IF(L35&lt;=InputData!$B$164,InputData!$D$163+InputData!$C$164*(L35-InputData!$B$163),IF(L35&lt;=InputData!$B$165,InputData!$D$164+InputData!$C$165*(L35-InputData!$B$164),InputData!$D$165+InputData!$C$166*(L35-InputData!$B$165)))))</f>
        <v>0</v>
      </c>
      <c r="T35" s="43">
        <f t="shared" si="38"/>
        <v>0.28590513884921087</v>
      </c>
      <c r="U35" s="43">
        <f t="shared" si="39"/>
        <v>0.25912692076973542</v>
      </c>
      <c r="V35" s="5">
        <f t="shared" si="40"/>
        <v>129854.90863089956</v>
      </c>
      <c r="W35" s="32">
        <f>V35/((1+InputData!$C$7)^(Ophtha!$B35-Ophtha!$B$7))</f>
        <v>56756.561847635858</v>
      </c>
      <c r="X35" s="5">
        <f t="shared" si="111"/>
        <v>1771886.8972263935</v>
      </c>
      <c r="Y35" s="53"/>
      <c r="Z35" s="3">
        <v>25.5</v>
      </c>
      <c r="AA35" s="99" t="s">
        <v>271</v>
      </c>
      <c r="AB35" s="32">
        <f>InputData!$P$21*12</f>
        <v>120412.79999999999</v>
      </c>
      <c r="AC35" s="32">
        <f>(InputData!$P$21+InputData!$K$45+InputData!$G$50)*12+InputData!$J$50+InputData!$D$60+InputData!$J$60</f>
        <v>203412.76</v>
      </c>
      <c r="AD35" s="32">
        <f t="shared" si="174"/>
        <v>21631.199999999997</v>
      </c>
      <c r="AE35" s="32">
        <f t="shared" si="41"/>
        <v>225043.96000000002</v>
      </c>
      <c r="AF35" s="5">
        <f>AC35*((1+InputData!$C$5)/(1+InputData!$C$3))^(Ophtha!$B35-Ophtha!$B$7)</f>
        <v>154373.17952659904</v>
      </c>
      <c r="AG35" s="5">
        <f>AD35*((1+InputData!$C$5)/(1+InputData!$C$3))^(Ophtha!$B35-Ophtha!$B$7)</f>
        <v>16416.261796830095</v>
      </c>
      <c r="AH35" s="32">
        <f>IF(AF35-InputData!$C$158-InputData!$C$159&gt;=0,AF35-InputData!$C$158-InputData!$C$159,0)</f>
        <v>154373.17952659904</v>
      </c>
      <c r="AI35" s="32">
        <f>IF(AF35-IF(AF35&lt;=InputData!$C$146,InputData!$C$145,0)-MAX(InputData!$C$144,AO35)&gt;=0,AF35-IF(AF35&lt;=InputData!$C$146,InputData!$C$145,0)-MAX(InputData!$C$144,AO35),0)</f>
        <v>148273.17952659904</v>
      </c>
      <c r="AJ35" s="32">
        <f>IF(AI35&lt;0,"Error",IF(AI35&lt;=InputData!$B$170,InputData!$C$170*AI35,IF(AI35&lt;=InputData!$B$171,InputData!$D$170+InputData!$C$171*(AI35-InputData!$B$170),IF(AI35&lt;=InputData!$B$172,InputData!$D$171+InputData!$C$172*(AI35-InputData!$B$171),IF(AI35&lt;=InputData!$B$173,InputData!$D$172+InputData!$C$173*(AI35-InputData!$B$172),IF(AI35&lt;=InputData!$B$174,InputData!$D$173+InputData!$C$174*(AI35-InputData!$B$173),IF(AI35&lt;=InputData!$B$175,InputData!$D$174+InputData!$C$175*(AI35-InputData!$B$174),InputData!$D$175+InputData!$C$176*(AI35-InputData!$B$175))))))))</f>
        <v>34809.740267447734</v>
      </c>
      <c r="AK35" s="32">
        <f>IF(AF35&lt;=InputData!$C$150,InputData!$C$152,IF(AF35&lt;InputData!$C$151,IF(InputData!$C$152-0.25*IF(AF35-InputData!$C$150&lt;=0,0,AF35-InputData!$C$150)&lt;=0,0,InputData!$C$152-0.25*IF(AF35-InputData!$C$150&lt;=0,0,AF35-InputData!$C$150)),0))</f>
        <v>42156.705118350241</v>
      </c>
      <c r="AL35" s="32">
        <f>IF(AF35-AK35&lt;=0,0,IF(AF35-AK35&lt;=InputData!$C$153,InputData!$C$154*(AF35-AK35),InputData!$C$155*(AF35-AK35)-InputData!$D$154))</f>
        <v>29176.283346144686</v>
      </c>
      <c r="AM35" s="32">
        <f t="shared" si="42"/>
        <v>34809.740267447734</v>
      </c>
      <c r="AN35" s="32">
        <f>IF(AF35&gt;=0,IF(AF35&lt;=InputData!$C$148,InputData!$C$147*AF35,InputData!$C$147*InputData!$C$148)+InputData!$C$149*AF35,0)</f>
        <v>9287.8111031356857</v>
      </c>
      <c r="AO35" s="32">
        <f>IF(AH35&lt;0,0,IF(AH35&lt;=InputData!$B$163,InputData!$C$163*AH35,IF(AH35&lt;=InputData!$B$164,InputData!$D$163+InputData!$C$164*(AH35-InputData!$B$163),IF(AH35&lt;=InputData!$B$165,InputData!$D$164+InputData!$C$165*(AH35-InputData!$B$164),InputData!$D$165+InputData!$C$166*(AH35-InputData!$B$165)))))</f>
        <v>0</v>
      </c>
      <c r="AP35" s="43">
        <f t="shared" si="43"/>
        <v>0.28565552323151611</v>
      </c>
      <c r="AQ35" s="43">
        <f t="shared" si="44"/>
        <v>0.2581983466242187</v>
      </c>
      <c r="AR35" s="5">
        <f t="shared" si="45"/>
        <v>126691.88995284571</v>
      </c>
      <c r="AS35" s="32">
        <f>AR35/((1+InputData!$C$7)^(Ophtha!$B35-Ophtha!$B$7))</f>
        <v>55374.079913614667</v>
      </c>
      <c r="AT35" s="5">
        <f t="shared" si="112"/>
        <v>1739207.1593621271</v>
      </c>
      <c r="AU35" s="53"/>
      <c r="AV35" s="41" t="s">
        <v>109</v>
      </c>
      <c r="AW35" s="32">
        <f>$AW$15*(1+InputData!$C$3+InputData!$C$4)^(Ophtha!$B35-Ophtha!$B$17)</f>
        <v>429293.2361136601</v>
      </c>
      <c r="AX35" s="32">
        <v>0</v>
      </c>
      <c r="AY35" s="32">
        <f t="shared" si="47"/>
        <v>429293.2361136601</v>
      </c>
      <c r="AZ35" s="32">
        <f>AZ34*(1+InputData!$C$8)</f>
        <v>20004.368128938433</v>
      </c>
      <c r="BA35" s="32">
        <f>AW35/((1+InputData!$C$3)^(Ophtha!$B35-Ophtha!$B$7))</f>
        <v>246575.11055350257</v>
      </c>
      <c r="BB35" s="32">
        <f>AX35/((1+InputData!$C$3)^(Ophtha!$B35-Ophtha!$B$7))</f>
        <v>0</v>
      </c>
      <c r="BC35" s="32" t="s">
        <v>141</v>
      </c>
      <c r="BD35" s="32">
        <v>0</v>
      </c>
      <c r="BE35" s="32">
        <f t="shared" si="158"/>
        <v>0</v>
      </c>
      <c r="BF35" s="32">
        <f>(BE35)*InputData!$C$6</f>
        <v>0</v>
      </c>
      <c r="BG35" s="32">
        <f>MIN($BE$15*InputData!$C$6/(1-(1+InputData!$C$6)^(-10)), BE35+BF35)</f>
        <v>0</v>
      </c>
      <c r="BH35" s="32">
        <f t="shared" si="140"/>
        <v>0</v>
      </c>
      <c r="BI35" s="32">
        <f>BG35/((1+InputData!$C$3)^(Ophtha!$B35-Ophtha!$B$7))</f>
        <v>0</v>
      </c>
      <c r="BJ35" s="32">
        <f>IF(BA35-InputData!$C$158-InputData!$C$159&gt;=0,BA35-InputData!$C$158-InputData!$C$159,0)</f>
        <v>246575.11055350257</v>
      </c>
      <c r="BK35" s="32">
        <f>IF(BA35-IF(BA35&lt;=InputData!$C$146,InputData!$C$145,0)-MAX(InputData!$C$144,BQ35)&gt;=0,BA35-IF(BA35&lt;=InputData!$C$146,InputData!$C$145,0)-MAX(InputData!$C$144,BQ35),0)</f>
        <v>240475.11055350257</v>
      </c>
      <c r="BL35" s="32">
        <f>IF(BK35&lt;0,"Error",IF(BK35&lt;=InputData!$B$170,InputData!$C$170*BK35,IF(BK35&lt;=InputData!$B$171,InputData!$D$170+InputData!$C$171*(BK35-InputData!$B$170),IF(BK35&lt;=InputData!$B$172,InputData!$D$171+InputData!$C$172*(BK35-InputData!$B$171),IF(BK35&lt;=InputData!$B$173,InputData!$D$172+InputData!$C$173*(BK35-InputData!$B$172),IF(BK35&lt;=InputData!$B$174,InputData!$D$173+InputData!$C$174*(BK35-InputData!$B$173),IF(BK35&lt;=InputData!$B$175,InputData!$D$174+InputData!$C$175*(BK35-InputData!$B$174),InputData!$D$175+InputData!$C$176*(BK35-InputData!$B$175))))))))</f>
        <v>63487.536482655851</v>
      </c>
      <c r="BM35" s="32">
        <f>IF(BA35&lt;=InputData!$C$150,InputData!$C$152,IF(BA35&lt;InputData!$C$151,IF(InputData!$C$152-0.25*IF(BA35-InputData!$C$150&lt;=0,0,BA35-InputData!$C$150)&lt;=0,0,InputData!$C$152-0.25*IF(BA35-InputData!$C$150&lt;=0,0,BA35-InputData!$C$150)),0))</f>
        <v>19106.222361624357</v>
      </c>
      <c r="BN35" s="32">
        <f>IF(BA35-BM35&lt;=0,0,IF(BA35-BM35&lt;=InputData!$C$153,InputData!$C$154*(BA35-BM35),InputData!$C$155*(BA35-BM35)-InputData!$D$154))</f>
        <v>60101.288693725903</v>
      </c>
      <c r="BO35" s="32">
        <f t="shared" si="48"/>
        <v>63487.536482655851</v>
      </c>
      <c r="BP35" s="32">
        <f>IF(BA35&gt;=0,IF(BA35&lt;=InputData!$C$148,InputData!$C$147*BA35,InputData!$C$147*InputData!$C$148)+InputData!$C$149*BA35,0)</f>
        <v>10624.739103025788</v>
      </c>
      <c r="BQ35" s="32">
        <f>IF(BJ35&lt;0,0,IF(BJ35&lt;=InputData!$B$163,InputData!$C$163*BJ35,IF(BJ35&lt;=InputData!$B$164,InputData!$D$163+InputData!$C$164*(BJ35-InputData!$B$163),IF(BJ35&lt;=InputData!$B$165,InputData!$D$164+InputData!$C$165*(BJ35-InputData!$B$164),InputData!$D$165+InputData!$C$166*(BJ35-InputData!$B$165)))))</f>
        <v>0</v>
      </c>
      <c r="BR35" s="43">
        <f t="shared" si="49"/>
        <v>0.30056673367931247</v>
      </c>
      <c r="BS35" s="32">
        <f t="shared" si="50"/>
        <v>172462.83496782093</v>
      </c>
      <c r="BT35" s="32">
        <f t="shared" si="51"/>
        <v>172462.83496782093</v>
      </c>
      <c r="BU35" s="32">
        <f>BT35/((1+InputData!$C$7)^(Ophtha!$B35-Ophtha!$B$7))</f>
        <v>75379.495950302109</v>
      </c>
      <c r="BV35" s="5">
        <f t="shared" si="114"/>
        <v>1723541.8402157233</v>
      </c>
      <c r="BW35" s="5"/>
      <c r="BX35" s="32" t="s">
        <v>141</v>
      </c>
      <c r="BY35" s="5">
        <f t="shared" si="159"/>
        <v>86422.106829554497</v>
      </c>
      <c r="BZ35" s="32">
        <f>(BY35)*InputData!$C$6</f>
        <v>5366.8128341153342</v>
      </c>
      <c r="CA35" s="32">
        <f>MIN($BY$15*InputData!$C$6/(1-(1+InputData!$C$6)^(-25)), BY35+BZ35)</f>
        <v>20633.642137763909</v>
      </c>
      <c r="CB35" s="32">
        <f t="shared" si="160"/>
        <v>71155.277525905927</v>
      </c>
      <c r="CC35" s="32">
        <f>CA35/((1+InputData!$C$3)^(Ophtha!$B35-Ophtha!$B$7))</f>
        <v>11851.438977467396</v>
      </c>
      <c r="CD35" s="5">
        <f t="shared" si="55"/>
        <v>160611.39599035354</v>
      </c>
      <c r="CE35" s="32">
        <f>CD35/((1+InputData!$C$7)^(Ophtha!$B35-Ophtha!$B$7))</f>
        <v>70199.507481633234</v>
      </c>
      <c r="CF35" s="5">
        <f t="shared" si="115"/>
        <v>1730651.5380924954</v>
      </c>
      <c r="CG35" s="5"/>
      <c r="CH35" s="32" t="s">
        <v>141</v>
      </c>
      <c r="CI35" s="5">
        <f t="shared" si="161"/>
        <v>0</v>
      </c>
      <c r="CJ35" s="32">
        <f>(CI35)*InputData!$C$6</f>
        <v>0</v>
      </c>
      <c r="CK35" s="5">
        <f t="shared" si="162"/>
        <v>0</v>
      </c>
      <c r="CL35" s="32">
        <f t="shared" si="163"/>
        <v>0</v>
      </c>
      <c r="CM35" s="32">
        <f>CK35/((1+InputData!$C$3)^(Ophtha!$B35-Ophtha!$B$7))</f>
        <v>0</v>
      </c>
      <c r="CN35" s="5">
        <f t="shared" si="59"/>
        <v>172462.83496782093</v>
      </c>
      <c r="CO35" s="32">
        <f>CN35/((1+InputData!$C$7)^(Ophtha!$B35-Ophtha!$B$7))</f>
        <v>75379.495950302109</v>
      </c>
      <c r="CP35" s="5">
        <f t="shared" si="149"/>
        <v>1723321.3387906335</v>
      </c>
      <c r="CQ35" s="5"/>
      <c r="CR35" s="32" t="s">
        <v>141</v>
      </c>
      <c r="CS35" s="5">
        <f t="shared" si="164"/>
        <v>0</v>
      </c>
      <c r="CT35" s="32">
        <f>(CS35)*InputData!$C$6</f>
        <v>0</v>
      </c>
      <c r="CU35" s="32">
        <f t="shared" si="165"/>
        <v>0</v>
      </c>
      <c r="CV35" s="32">
        <f t="shared" si="166"/>
        <v>0</v>
      </c>
      <c r="CW35" s="32">
        <f>CU35/((1+InputData!$C$3)^(Ophtha!$B35-Ophtha!$B$7))</f>
        <v>0</v>
      </c>
      <c r="CX35" s="5">
        <f t="shared" si="63"/>
        <v>172462.83496782093</v>
      </c>
      <c r="CY35" s="32">
        <f>CX35/((1+InputData!$C$7)^(Ophtha!$B35-Ophtha!$B$7))</f>
        <v>75379.495950302109</v>
      </c>
      <c r="CZ35" s="5">
        <f t="shared" si="150"/>
        <v>1717854.2720716207</v>
      </c>
      <c r="DA35" s="5"/>
      <c r="DB35" s="32" t="s">
        <v>141</v>
      </c>
      <c r="DC35" s="5">
        <f t="shared" si="141"/>
        <v>0</v>
      </c>
      <c r="DD35" s="5">
        <f>DC35*InputData!$C$6</f>
        <v>0</v>
      </c>
      <c r="DE35" s="32">
        <f t="shared" si="142"/>
        <v>0</v>
      </c>
      <c r="DF35" s="32">
        <f t="shared" si="143"/>
        <v>0</v>
      </c>
      <c r="DG35" s="32">
        <f>DE35/((1+InputData!$C$3)^(Ophtha!$B35-Ophtha!$B$7))</f>
        <v>0</v>
      </c>
      <c r="DH35" s="5">
        <f t="shared" si="67"/>
        <v>172462.83496782093</v>
      </c>
      <c r="DI35" s="32">
        <f>DH35/((1+InputData!$C$7)^(Ophtha!$B35-Ophtha!$B$7))</f>
        <v>75379.495950302109</v>
      </c>
      <c r="DJ35" s="5">
        <f t="shared" si="130"/>
        <v>1728053.5378879823</v>
      </c>
      <c r="DK35" s="5"/>
      <c r="DL35" s="32" t="s">
        <v>141</v>
      </c>
      <c r="DM35" s="32">
        <f t="shared" si="167"/>
        <v>0</v>
      </c>
      <c r="DN35" s="5">
        <f>DM35*InputData!$C$6</f>
        <v>0</v>
      </c>
      <c r="DO35" s="32">
        <f t="shared" si="168"/>
        <v>0</v>
      </c>
      <c r="DP35" s="32">
        <f t="shared" si="131"/>
        <v>0</v>
      </c>
      <c r="DQ35" s="32">
        <f t="shared" si="132"/>
        <v>0</v>
      </c>
      <c r="DR35" s="32">
        <f>DP35/((1+InputData!$C$3)^(Ophtha!$B35-Ophtha!$B$7))</f>
        <v>0</v>
      </c>
      <c r="DS35" s="5">
        <f t="shared" si="71"/>
        <v>172462.83496782093</v>
      </c>
      <c r="DT35" s="32">
        <f>DS35/((1+InputData!$C$7)^(Ophtha!$B35-Ophtha!$B$7))</f>
        <v>75379.495950302109</v>
      </c>
      <c r="DU35" s="5">
        <f t="shared" si="133"/>
        <v>1722089.3717984934</v>
      </c>
      <c r="DV35" s="5"/>
      <c r="DW35" s="32" t="s">
        <v>141</v>
      </c>
      <c r="DX35" s="133">
        <f t="shared" si="144"/>
        <v>0</v>
      </c>
      <c r="DY35" s="5">
        <f>DX35*InputData!$C$6</f>
        <v>0</v>
      </c>
      <c r="DZ35" s="133">
        <f t="shared" si="145"/>
        <v>0</v>
      </c>
      <c r="EA35" s="32">
        <f t="shared" si="146"/>
        <v>0</v>
      </c>
      <c r="EB35" s="32">
        <f t="shared" si="147"/>
        <v>0</v>
      </c>
      <c r="EC35" s="32">
        <f>EA35/((1+InputData!$C$3)^(Ophtha!$B35-Ophtha!$B$7))</f>
        <v>0</v>
      </c>
      <c r="ED35" s="5">
        <f t="shared" si="75"/>
        <v>172462.83496782093</v>
      </c>
      <c r="EE35" s="32">
        <f>ED35/((1+InputData!$C$7)^(Ophtha!$B35-Ophtha!$B$7))</f>
        <v>75379.495950302109</v>
      </c>
      <c r="EF35" s="5">
        <f t="shared" si="134"/>
        <v>1721932.100771243</v>
      </c>
      <c r="EG35" s="32"/>
      <c r="EH35" s="133" t="s">
        <v>141</v>
      </c>
      <c r="EI35" s="32">
        <v>0</v>
      </c>
      <c r="EJ35" s="32">
        <f t="shared" si="175"/>
        <v>0</v>
      </c>
      <c r="EK35" s="32">
        <f>(EJ35)*InputData!$C$6</f>
        <v>0</v>
      </c>
      <c r="EL35" s="32">
        <f t="shared" si="173"/>
        <v>0</v>
      </c>
      <c r="EM35" s="32">
        <f>EM34*(1+InputData!$C$8)</f>
        <v>20004.368128938433</v>
      </c>
      <c r="EN35" s="32">
        <f t="shared" si="152"/>
        <v>0</v>
      </c>
      <c r="EO35" s="32">
        <f>AW35/((1+InputData!$C$3)^(Ophtha!$B35-Ophtha!$B$7))</f>
        <v>246575.11055350257</v>
      </c>
      <c r="EP35" s="32">
        <f>AX35/((1+InputData!$C$3)^(Ophtha!$B35-Ophtha!$B$7))</f>
        <v>0</v>
      </c>
      <c r="EQ35" s="32">
        <v>63520.98</v>
      </c>
      <c r="ER35" s="32">
        <v>9337.48</v>
      </c>
      <c r="ES35" s="32">
        <v>0</v>
      </c>
      <c r="ET35" s="43">
        <f t="shared" si="139"/>
        <v>0.2954818101326207</v>
      </c>
      <c r="EU35" s="32">
        <f t="shared" si="76"/>
        <v>173716.65055350255</v>
      </c>
      <c r="EV35" s="32">
        <f>EN35/((1+InputData!$C$3)^(Ophtha!$B35-Ophtha!$B$7))</f>
        <v>0</v>
      </c>
      <c r="EW35" s="32">
        <f t="shared" si="77"/>
        <v>173716.65055350255</v>
      </c>
      <c r="EX35" s="32">
        <f>EW35/((1+InputData!$C$7)^(Ophtha!$B35-Ophtha!$B$7))</f>
        <v>75927.509595566313</v>
      </c>
      <c r="EY35" s="5">
        <f t="shared" si="124"/>
        <v>1808842.2502937345</v>
      </c>
      <c r="EZ35" s="79"/>
      <c r="FA35" s="32">
        <f t="shared" si="153"/>
        <v>0</v>
      </c>
      <c r="FB35" s="32">
        <f>FA35*InputData!$C$6</f>
        <v>0</v>
      </c>
      <c r="FC35" s="32">
        <f t="shared" si="154"/>
        <v>0</v>
      </c>
      <c r="FD35" s="32">
        <f>MIN($EJ$15*InputData!$C$6/(1-(1+InputData!$C$6)^(-10)), FA35+FB35)</f>
        <v>0</v>
      </c>
      <c r="FE35" s="32">
        <f>FD35/((1+InputData!$C$3)^(Ophtha!$B35-Ophtha!$B$7))</f>
        <v>0</v>
      </c>
      <c r="FF35" s="5">
        <f t="shared" si="81"/>
        <v>173716.65055350255</v>
      </c>
      <c r="FG35" s="32">
        <f>FF35/((1+InputData!$C$7)^(Ophtha!$B35-Ophtha!$B$7))</f>
        <v>75927.509595566313</v>
      </c>
      <c r="FH35" s="5">
        <f t="shared" si="125"/>
        <v>1814668.841981547</v>
      </c>
      <c r="FI35" s="79"/>
      <c r="FJ35" s="32">
        <f t="shared" si="155"/>
        <v>86912.844862634811</v>
      </c>
      <c r="FK35" s="32">
        <f>FJ35*InputData!$C$6</f>
        <v>5397.2876659696221</v>
      </c>
      <c r="FL35" s="32">
        <f t="shared" si="170"/>
        <v>71559.324617759601</v>
      </c>
      <c r="FM35" s="32">
        <f>MIN($EJ$15*InputData!$C$6/(1-(1+InputData!$C$6)^(-25)), FJ35+FK35)</f>
        <v>20750.807910844829</v>
      </c>
      <c r="FN35" s="32">
        <f>FM35/((1+InputData!$C$3)^(Ophtha!$B35-Ophtha!$B$7))</f>
        <v>11918.736015995311</v>
      </c>
      <c r="FO35" s="5">
        <f t="shared" si="85"/>
        <v>161797.91453750723</v>
      </c>
      <c r="FP35" s="32">
        <f>FO35/((1+InputData!$C$7)^(Ophtha!$B35-Ophtha!$B$7))</f>
        <v>70718.107155799662</v>
      </c>
      <c r="FQ35" s="5">
        <f t="shared" si="126"/>
        <v>1821818.9114632227</v>
      </c>
      <c r="FR35" s="79"/>
      <c r="FS35" s="32">
        <f t="shared" si="156"/>
        <v>0</v>
      </c>
      <c r="FT35" s="32">
        <f>FS35*InputData!$C$6</f>
        <v>0</v>
      </c>
      <c r="FU35" s="32">
        <f t="shared" si="171"/>
        <v>0</v>
      </c>
      <c r="FV35" s="5">
        <f t="shared" si="157"/>
        <v>0</v>
      </c>
      <c r="FW35" s="32">
        <f>FV35/((1+InputData!$C$3)^(Ophtha!$B35-Ophtha!$B$7))</f>
        <v>0</v>
      </c>
      <c r="FX35" s="5">
        <f t="shared" si="88"/>
        <v>173716.65055350255</v>
      </c>
      <c r="FY35" s="32">
        <f>FX35/((1+InputData!$C$7)^(Ophtha!$B35-Ophtha!$B$7))</f>
        <v>75927.509595566313</v>
      </c>
      <c r="FZ35" s="5">
        <f t="shared" si="127"/>
        <v>1814408.2331104637</v>
      </c>
      <c r="GC35" s="83">
        <v>23</v>
      </c>
      <c r="GD35" s="4" t="s">
        <v>217</v>
      </c>
      <c r="GE35" s="5"/>
      <c r="GF35" s="84">
        <v>0</v>
      </c>
      <c r="GG35" s="5"/>
      <c r="GH35" s="84">
        <f>MIN(InputData!$C$13+InputData!$E$13*($B35-$B$34),1)*$AW35/((1+InputData!$C$3)^(Ophtha!$B35-Ophtha!$B$7))+0.025*$GC$33*(($F$31+$F$32+$F$33)/3)*((1+InputData!$C$5)/(1+InputData!$C$3))^(Ophtha!$B35-Ophtha!$B$7)</f>
        <v>275322.24634859542</v>
      </c>
      <c r="GI35" s="5">
        <v>0</v>
      </c>
      <c r="GJ35" s="32">
        <f>IF(GH35-InputData!$C$158-InputData!$C$159&gt;=0,GH35-InputData!$C$158-InputData!$C$159,0)</f>
        <v>275322.24634859542</v>
      </c>
      <c r="GK35" s="32">
        <f>IF(GH35-IF(GH35&lt;=InputData!$C$146,InputData!$C$145,0)-MAX(InputData!$C$144,GQ35)&gt;=0,GH35-IF(GH35&lt;=InputData!$C$146,InputData!$C$145,0)-MAX(InputData!$C$144,GQ35),0)</f>
        <v>269222.24634859542</v>
      </c>
      <c r="GL35" s="32">
        <f>IF(GK35&lt;0,"Error",IF(GK35&lt;=InputData!$B$170,InputData!$C$170*GK35,IF(GK35&lt;=InputData!$B$171,InputData!$D$170+InputData!$C$171*(GK35-InputData!$B$170),IF(GK35&lt;=InputData!$B$172,InputData!$D$171+InputData!$C$172*(GK35-InputData!$B$171),IF(GK35&lt;=InputData!$B$173,InputData!$D$172+InputData!$C$173*(GK35-InputData!$B$172),IF(GK35&lt;=InputData!$B$174,InputData!$D$173+InputData!$C$174*(GK35-InputData!$B$173),IF(GK35&lt;=InputData!$B$175,InputData!$D$174+InputData!$C$175*(GK35-InputData!$B$174),InputData!$D$175+InputData!$C$176*(GK35-InputData!$B$175))))))))</f>
        <v>72974.091295036487</v>
      </c>
      <c r="GM35" s="32">
        <f>IF(GH35&lt;=InputData!$C$150,InputData!$C$152,IF(GH35&lt;InputData!$C$151,IF(InputData!$C$152-0.25*IF(GH35-InputData!$C$150&lt;=0,0,GH35-InputData!$C$150)&lt;=0,0,InputData!$C$152-0.25*IF(GH35-InputData!$C$150&lt;=0,0,GH35-InputData!$C$150)),0))</f>
        <v>11919.438412851145</v>
      </c>
      <c r="GN35" s="32">
        <f>IF(GH35-GM35&lt;=0,0,IF(GH35-GM35&lt;=InputData!$C$153,InputData!$C$154*(GH35-GM35),InputData!$C$155*(GH35-GM35)-InputData!$D$154))</f>
        <v>70162.786222008406</v>
      </c>
      <c r="GO35" s="32">
        <f t="shared" si="89"/>
        <v>72974.091295036487</v>
      </c>
      <c r="GP35" s="32">
        <f>IF(GH35&gt;=0,IF(GH35&lt;=InputData!$C$148,InputData!$C$147*GH35,InputData!$C$147*InputData!$C$148)+InputData!$C$149*GH35,0)</f>
        <v>11041.572572054632</v>
      </c>
      <c r="GQ35" s="32">
        <f>IF(GJ35&lt;0,0,IF(GJ35&lt;=InputData!$B$163,InputData!$C$163*GJ35,IF(GJ35&lt;=InputData!$B$164,InputData!$D$163+InputData!$C$164*(GJ35-InputData!$B$163),IF(GJ35&lt;=InputData!$B$165,InputData!$D$164+InputData!$C$165*(GJ35-InputData!$B$164),InputData!$D$165+InputData!$C$166*(GJ35-InputData!$B$165)))))</f>
        <v>0</v>
      </c>
      <c r="GR35" s="43">
        <f t="shared" si="90"/>
        <v>0.30515392410650266</v>
      </c>
      <c r="GS35" s="43">
        <f t="shared" si="91"/>
        <v>0.30515392410650266</v>
      </c>
      <c r="GT35" s="5">
        <f t="shared" si="9"/>
        <v>191306.5824815043</v>
      </c>
      <c r="GU35" s="32">
        <f>GT35/((1+InputData!$C$7)^(Ophtha!$B35-Ophtha!$B$7))</f>
        <v>83615.659931146118</v>
      </c>
      <c r="GV35" s="84">
        <f t="shared" si="92"/>
        <v>1801118.7436484366</v>
      </c>
      <c r="GX35" s="83">
        <v>20</v>
      </c>
      <c r="GY35" s="4" t="s">
        <v>217</v>
      </c>
      <c r="GZ35" s="5"/>
      <c r="HA35" s="84">
        <v>0</v>
      </c>
      <c r="HB35" s="5"/>
      <c r="HC35" s="84">
        <f>MIN(InputData!$C$13+InputData!$E$13*($B35-$B$31),1)*$AW35/((1+InputData!$C$3)^(Ophtha!$B35-Ophtha!$B$7))+0.025*$GX$30*(($AB$28+$AB$29+$AB$30)/3)*((1+InputData!$C$5)/(1+InputData!$C$3))^(Ophtha!$B35-Ophtha!$B$7)</f>
        <v>261493.39450391883</v>
      </c>
      <c r="HD35" s="5">
        <v>0</v>
      </c>
      <c r="HE35" s="32">
        <f>IF(HC35-InputData!$C$158-InputData!$C$159&gt;=0,HC35-InputData!$C$158-InputData!$C$159,0)</f>
        <v>261493.39450391883</v>
      </c>
      <c r="HF35" s="32">
        <f>IF(HC35-IF(HC35&lt;=InputData!$C$146,InputData!$C$145,0)-MAX(InputData!$C$144,HL35)&gt;=0,HC35-IF(HC35&lt;=InputData!$C$146,InputData!$C$145,0)-MAX(InputData!$C$144,HL35),0)</f>
        <v>255393.39450391883</v>
      </c>
      <c r="HG35" s="32">
        <f>IF(HF35&lt;0,"Error",IF(HF35&lt;=InputData!$B$170,InputData!$C$170*HF35,IF(HF35&lt;=InputData!$B$171,InputData!$D$170+InputData!$C$171*(HF35-InputData!$B$170),IF(HF35&lt;=InputData!$B$172,InputData!$D$171+InputData!$C$172*(HF35-InputData!$B$171),IF(HF35&lt;=InputData!$B$173,InputData!$D$172+InputData!$C$173*(HF35-InputData!$B$172),IF(HF35&lt;=InputData!$B$174,InputData!$D$173+InputData!$C$174*(HF35-InputData!$B$173),IF(HF35&lt;=InputData!$B$175,InputData!$D$174+InputData!$C$175*(HF35-InputData!$B$174),InputData!$D$175+InputData!$C$176*(HF35-InputData!$B$175))))))))</f>
        <v>68410.570186293218</v>
      </c>
      <c r="HH35" s="32">
        <f>IF(HC35&lt;=InputData!$C$150,InputData!$C$152,IF(HC35&lt;InputData!$C$151,IF(InputData!$C$152-0.25*IF(HC35-InputData!$C$150&lt;=0,0,HC35-InputData!$C$150)&lt;=0,0,InputData!$C$152-0.25*IF(HC35-InputData!$C$150&lt;=0,0,HC35-InputData!$C$150)),0))</f>
        <v>15376.651374020294</v>
      </c>
      <c r="HI35" s="32">
        <f>IF(HC35-HH35&lt;=0,0,IF(HC35-HH35&lt;=InputData!$C$153,InputData!$C$154*(HC35-HH35),InputData!$C$155*(HC35-HH35)-InputData!$D$154))</f>
        <v>65322.688076371589</v>
      </c>
      <c r="HJ35" s="32">
        <f t="shared" si="93"/>
        <v>68410.570186293218</v>
      </c>
      <c r="HK35" s="32">
        <f>IF(HC35&gt;=0,IF(HC35&lt;=InputData!$C$148,InputData!$C$147*HC35,InputData!$C$147*InputData!$C$148)+InputData!$C$149*HC35,0)</f>
        <v>10841.054220306823</v>
      </c>
      <c r="HL35" s="32">
        <f>IF(HE35&lt;0,0,IF(HE35&lt;=InputData!$B$163,InputData!$C$163*HE35,IF(HE35&lt;=InputData!$B$164,InputData!$D$163+InputData!$C$164*(HE35-InputData!$B$163),IF(HE35&lt;=InputData!$B$165,InputData!$D$164+InputData!$C$165*(HE35-InputData!$B$164),InputData!$D$165+InputData!$C$166*(HE35-InputData!$B$165)))))</f>
        <v>0</v>
      </c>
      <c r="HM35" s="43">
        <f t="shared" si="94"/>
        <v>0.30307314093707383</v>
      </c>
      <c r="HN35" s="43">
        <f t="shared" si="95"/>
        <v>0.30307314093707383</v>
      </c>
      <c r="HO35" s="5">
        <f t="shared" si="17"/>
        <v>182241.77009731877</v>
      </c>
      <c r="HP35" s="32">
        <f>HO35/((1+InputData!$C$7)^(Ophtha!$B35-Ophtha!$B$7))</f>
        <v>79653.641166167246</v>
      </c>
      <c r="HQ35" s="84">
        <f t="shared" si="96"/>
        <v>1860276.385401919</v>
      </c>
      <c r="HS35" s="94"/>
      <c r="HT35" s="53" t="s">
        <v>109</v>
      </c>
      <c r="HU35" s="32">
        <f>MIN(InputData!$C$13+InputData!$E$13*($B35-$B$22),1)*Ophtha!AW35</f>
        <v>386363.91250229412</v>
      </c>
      <c r="HV35" s="32">
        <f>MIN(InputData!$C$13+InputData!$E$13*($B35-$B$22),1)*Ophtha!AX35</f>
        <v>0</v>
      </c>
      <c r="HW35" s="32">
        <f>MIN(InputData!$C$13+InputData!$E$13*($B35-$B$22),1)*Ophtha!AY35</f>
        <v>386363.91250229412</v>
      </c>
      <c r="HX35" s="32">
        <f>MIN(InputData!$C$13+InputData!$E$13*($B35-$B$22),1)*Ophtha!BA35</f>
        <v>221917.59949815233</v>
      </c>
      <c r="HY35" s="32">
        <f>MIN(InputData!$C$13+InputData!$E$13*($B35-$B$22),1)*Ophtha!BB35</f>
        <v>0</v>
      </c>
      <c r="HZ35" s="32">
        <f>IF(HX35-InputData!$C$158-InputData!$C$159&gt;=0,HX35-InputData!$C$158-InputData!$C$159,0)</f>
        <v>221917.59949815233</v>
      </c>
      <c r="IA35" s="32">
        <f>IF(HX35-IF(HX35&lt;=InputData!$C$146,InputData!$C$145,0)-MAX(InputData!$C$144,IG35)&gt;=0,HX35-IF(HX35&lt;=InputData!$C$146,InputData!$C$145,0)-MAX(InputData!$C$144,IG35),0)</f>
        <v>215817.59949815233</v>
      </c>
      <c r="IB35" s="32">
        <f>IF(IA35&lt;0,"Error",IF(IA35&lt;=InputData!$B$170,InputData!$C$170*IA35,IF(IA35&lt;=InputData!$B$171,InputData!$D$170+InputData!$C$171*(IA35-InputData!$B$170),IF(IA35&lt;=InputData!$B$172,InputData!$D$171+InputData!$C$172*(IA35-InputData!$B$171),IF(IA35&lt;=InputData!$B$173,InputData!$D$172+InputData!$C$173*(IA35-InputData!$B$172),IF(IA35&lt;=InputData!$B$174,InputData!$D$173+InputData!$C$174*(IA35-InputData!$B$173),IF(IA35&lt;=InputData!$B$175,InputData!$D$174+InputData!$C$175*(IA35-InputData!$B$174),InputData!$D$175+InputData!$C$176*(IA35-InputData!$B$175))))))))</f>
        <v>55350.557834390267</v>
      </c>
      <c r="IC35" s="32">
        <f>IF(HX35&lt;=InputData!$C$150,InputData!$C$152,IF(HX35&lt;InputData!$C$151,IF(InputData!$C$152-0.25*IF(HX35-InputData!$C$150&lt;=0,0,HX35-InputData!$C$150)&lt;=0,0,InputData!$C$152-0.25*IF(HX35-InputData!$C$150&lt;=0,0,HX35-InputData!$C$150)),0))</f>
        <v>25270.600125461919</v>
      </c>
      <c r="ID35" s="32">
        <f>IF(HX35-IC35&lt;=0,0,IF(HX35-IC35&lt;=InputData!$C$153,InputData!$C$154*(HX35-IC35),InputData!$C$155*(HX35-IC35)-InputData!$D$154))</f>
        <v>51471.159824353315</v>
      </c>
      <c r="IE35" s="32">
        <f t="shared" si="97"/>
        <v>55350.557834390267</v>
      </c>
      <c r="IF35" s="32">
        <f>IF(HX35&gt;=0,IF(HX35&lt;=InputData!$C$148,InputData!$C$147*HX35,InputData!$C$147*InputData!$C$148)+InputData!$C$149*HX35,0)</f>
        <v>10267.20519272321</v>
      </c>
      <c r="IG35" s="32">
        <f>IF(HZ35&lt;0,0,IF(HZ35&lt;=InputData!$B$163,InputData!$C$163*HZ35,IF(HZ35&lt;=InputData!$B$164,InputData!$D$163+InputData!$C$164*(HZ35-InputData!$B$163),IF(HZ35&lt;=InputData!$B$165,InputData!$D$164+InputData!$C$165*(HZ35-InputData!$B$164),InputData!$D$165+InputData!$C$166*(HZ35-InputData!$B$165)))))</f>
        <v>0</v>
      </c>
      <c r="IH35" s="43">
        <f t="shared" si="98"/>
        <v>0.29568525964368053</v>
      </c>
      <c r="II35" s="43">
        <f t="shared" si="99"/>
        <v>0.29568525964368053</v>
      </c>
      <c r="IJ35" s="5">
        <f t="shared" si="100"/>
        <v>156299.83647103887</v>
      </c>
      <c r="IK35" s="32">
        <f>IJ35/((1+InputData!$C$7)^(Ophtha!$B35-Ophtha!$B$7))</f>
        <v>68315.025045830145</v>
      </c>
      <c r="IL35" s="5">
        <f t="shared" si="101"/>
        <v>1931430.5700844573</v>
      </c>
      <c r="IN35" s="94"/>
      <c r="IO35" s="53" t="s">
        <v>109</v>
      </c>
      <c r="IP35" s="32">
        <f>MIN(InputData!$C$13+InputData!$E$13*($B35-$B$19),1)*Ophtha!AW35</f>
        <v>386363.91250229412</v>
      </c>
      <c r="IQ35" s="32">
        <f>MIN(InputData!$C$13+InputData!$E$13*($B35-$B$19),1)*Ophtha!AX35</f>
        <v>0</v>
      </c>
      <c r="IR35" s="32">
        <f>MIN(InputData!$C$13+InputData!$E$13*($B35-$B$19),1)*Ophtha!AY35</f>
        <v>386363.91250229412</v>
      </c>
      <c r="IS35" s="32">
        <f>MIN(InputData!$C$13+InputData!$E$13*($B35-$B$19),1)*Ophtha!BA35</f>
        <v>221917.59949815233</v>
      </c>
      <c r="IT35" s="32">
        <f>MIN(InputData!$C$13+InputData!$E$13*($B35-$B$19),1)*Ophtha!BB35</f>
        <v>0</v>
      </c>
      <c r="IU35" s="32">
        <f>IF(IS35-InputData!$C$158-InputData!$C$159&gt;=0,IS35-InputData!$C$158-InputData!$C$159,0)</f>
        <v>221917.59949815233</v>
      </c>
      <c r="IV35" s="32">
        <f>IF(IS35-IF(IS35&lt;=InputData!$C$146,InputData!$C$145,0)-MAX(InputData!$C$144,JB35)&gt;=0,IS35-IF(IS35&lt;=InputData!$C$146,InputData!$C$145,0)-MAX(InputData!$C$144,JB35),0)</f>
        <v>215817.59949815233</v>
      </c>
      <c r="IW35" s="32">
        <f>IF(IV35&lt;0,"Error",IF(IV35&lt;=InputData!$B$170,InputData!$C$170*IV35,IF(IV35&lt;=InputData!$B$171,InputData!$D$170+InputData!$C$171*(IV35-InputData!$B$170),IF(IV35&lt;=InputData!$B$172,InputData!$D$171+InputData!$C$172*(IV35-InputData!$B$171),IF(IV35&lt;=InputData!$B$173,InputData!$D$172+InputData!$C$173*(IV35-InputData!$B$172),IF(IV35&lt;=InputData!$B$174,InputData!$D$173+InputData!$C$174*(IV35-InputData!$B$173),IF(IV35&lt;=InputData!$B$175,InputData!$D$174+InputData!$C$175*(IV35-InputData!$B$174),InputData!$D$175+InputData!$C$176*(IV35-InputData!$B$175))))))))</f>
        <v>55350.557834390267</v>
      </c>
      <c r="IX35" s="32">
        <f>IF(IS35&lt;=InputData!$C$150,InputData!$C$152,IF(IS35&lt;InputData!$C$151,IF(InputData!$C$152-0.25*IF(IS35-InputData!$C$150&lt;=0,0,IS35-InputData!$C$150)&lt;=0,0,InputData!$C$152-0.25*IF(IS35-InputData!$C$150&lt;=0,0,IS35-InputData!$C$150)),0))</f>
        <v>25270.600125461919</v>
      </c>
      <c r="IY35" s="32">
        <f>IF(IS35-IX35&lt;=0,0,IF(IS35-IX35&lt;=InputData!$C$153,InputData!$C$154*(IS35-IX35),InputData!$C$155*(IS35-IX35)-InputData!$D$154))</f>
        <v>51471.159824353315</v>
      </c>
      <c r="IZ35" s="32">
        <f t="shared" si="102"/>
        <v>55350.557834390267</v>
      </c>
      <c r="JA35" s="32">
        <f>IF(IS35&gt;=0,IF(IS35&lt;=InputData!$C$148,InputData!$C$147*IS35,InputData!$C$147*InputData!$C$148)+InputData!$C$149*IS35,0)</f>
        <v>10267.20519272321</v>
      </c>
      <c r="JB35" s="32">
        <f>IF(IU35&lt;0,0,IF(IU35&lt;=InputData!$B$163,InputData!$C$163*IU35,IF(IU35&lt;=InputData!$B$164,InputData!$D$163+InputData!$C$164*(IU35-InputData!$B$163),IF(IU35&lt;=InputData!$B$165,InputData!$D$164+InputData!$C$165*(IU35-InputData!$B$164),InputData!$D$165+InputData!$C$166*(IU35-InputData!$B$165)))))</f>
        <v>0</v>
      </c>
      <c r="JC35" s="43">
        <f t="shared" si="103"/>
        <v>0.29568525964368053</v>
      </c>
      <c r="JD35" s="43">
        <f t="shared" si="104"/>
        <v>0.29568525964368053</v>
      </c>
      <c r="JE35" s="5">
        <f t="shared" si="105"/>
        <v>156299.83647103887</v>
      </c>
      <c r="JF35" s="32">
        <f>JE35/((1+InputData!$C$7)^(Ophtha!$B35-Ophtha!$B$7))</f>
        <v>68315.025045830145</v>
      </c>
      <c r="JG35" s="5">
        <f t="shared" si="106"/>
        <v>1941556.7417843023</v>
      </c>
      <c r="JI35" s="41" t="str">
        <f t="shared" si="32"/>
        <v>Private Practice</v>
      </c>
      <c r="JJ35" s="5">
        <f t="shared" si="33"/>
        <v>429293.2361136601</v>
      </c>
      <c r="JK35" s="32">
        <v>0</v>
      </c>
      <c r="JL35" s="32">
        <f t="shared" si="108"/>
        <v>429293.2361136601</v>
      </c>
      <c r="JM35" s="32">
        <f>JM34*(1+InputData!$C$8)</f>
        <v>20004.368128938433</v>
      </c>
      <c r="JN35" s="32">
        <f>JJ35/((1+InputData!$C$3)^(Ophtha!$B35-Ophtha!$B$7))</f>
        <v>246575.11055350257</v>
      </c>
      <c r="JO35" s="32">
        <f>JK35/((1+InputData!$C$3)^(Ophtha!$B35-Ophtha!$B$7))</f>
        <v>0</v>
      </c>
      <c r="JP35" s="32" t="s">
        <v>141</v>
      </c>
      <c r="JQ35" s="32">
        <v>0</v>
      </c>
      <c r="JR35" s="32">
        <f t="shared" si="172"/>
        <v>0</v>
      </c>
      <c r="JS35" s="32">
        <f>(JR35)*InputData!$C$6</f>
        <v>0</v>
      </c>
      <c r="JT35" s="32">
        <f>MIN($BE$15*InputData!$C$6/(1-(1+InputData!$C$6)^(-10)), JR35+JS35)</f>
        <v>0</v>
      </c>
      <c r="JU35" s="32">
        <f t="shared" si="148"/>
        <v>0</v>
      </c>
      <c r="JV35" s="32">
        <f>JT35/((1+InputData!$C$3)^(Ophtha!$B35-Ophtha!$B$7))</f>
        <v>0</v>
      </c>
      <c r="JW35" s="32">
        <f>IF(JN35-InputData!$C$158-InputData!$C$159&gt;=0,JN35-InputData!$C$158-InputData!$C$159,0)</f>
        <v>246575.11055350257</v>
      </c>
      <c r="JX35" s="32">
        <f>IF(JN35-IF(JN35&lt;=InputData!$C$146,InputData!$C$145,0)-MAX(InputData!$C$144,KD35)&gt;=0,JN35-IF(JN35&lt;=InputData!$C$146,InputData!$C$145,0)-MAX(InputData!$C$144,KD35),0)</f>
        <v>240475.11055350257</v>
      </c>
      <c r="JY35" s="32">
        <f>IF(JX35&lt;0,"Error",IF(JX35&lt;=InputData!$B$170,InputData!$C$170*JX35,IF(JX35&lt;=InputData!$B$171,InputData!$D$170+InputData!$C$171*(JX35-InputData!$B$170),IF(JX35&lt;=InputData!$B$172,InputData!$D$171+InputData!$C$172*(JX35-InputData!$B$171),IF(JX35&lt;=InputData!$B$173,InputData!$D$172+InputData!$C$173*(JX35-InputData!$B$172),IF(JX35&lt;=InputData!$B$174,InputData!$D$173+InputData!$C$174*(JX35-InputData!$B$173),IF(JX35&lt;=InputData!$B$175,InputData!$D$174+InputData!$C$175*(JX35-InputData!$B$174),InputData!$D$175+InputData!$C$176*(JX35-InputData!$B$175))))))))</f>
        <v>63487.536482655851</v>
      </c>
      <c r="JZ35" s="32">
        <f>IF(JN35&lt;=InputData!$C$150,InputData!$C$152,IF(JN35&lt;InputData!$C$151,IF(InputData!$C$152-0.25*IF(JN35-InputData!$C$150&lt;=0,0,JN35-InputData!$C$150)&lt;=0,0,InputData!$C$152-0.25*IF(JN35-InputData!$C$150&lt;=0,0,JN35-InputData!$C$150)),0))</f>
        <v>19106.222361624357</v>
      </c>
      <c r="KA35" s="32">
        <f>IF(JN35-JZ35&lt;=0,0,IF(JN35-JZ35&lt;=InputData!$C$153,InputData!$C$154*(JN35-JZ35),InputData!$C$155*(JN35-JZ35)-InputData!$D$154))</f>
        <v>60101.288693725903</v>
      </c>
      <c r="KB35" s="32">
        <f t="shared" si="109"/>
        <v>63487.536482655851</v>
      </c>
      <c r="KC35" s="32">
        <f>IF(JN35&gt;=0,IF(JN35&lt;=InputData!$C$148,InputData!$C$147*JN35,InputData!$C$147*InputData!$C$148)+InputData!$C$149*JN35,0)</f>
        <v>10624.739103025788</v>
      </c>
      <c r="KD35" s="32">
        <f>IF(JW35&lt;0,0,IF(JW35&lt;=InputData!$B$163,InputData!$C$163*JW35,IF(JW35&lt;=InputData!$B$164,InputData!$D$163+InputData!$C$164*(JW35-InputData!$B$163),IF(JW35&lt;=InputData!$B$165,InputData!$D$164+InputData!$C$165*(JW35-InputData!$B$164),InputData!$D$165+InputData!$C$166*(JW35-InputData!$B$165)))))</f>
        <v>0</v>
      </c>
      <c r="KE35" s="43">
        <f t="shared" si="34"/>
        <v>0.30056673367931247</v>
      </c>
      <c r="KF35" s="32">
        <f t="shared" si="35"/>
        <v>172462.83496782093</v>
      </c>
      <c r="KG35" s="32">
        <f t="shared" si="110"/>
        <v>172462.83496782093</v>
      </c>
      <c r="KH35" s="32">
        <f>KG35/((1+InputData!$C$7)^(Ophtha!$B35-Ophtha!$B$7))</f>
        <v>75379.495950302109</v>
      </c>
      <c r="KI35" s="5">
        <f t="shared" si="129"/>
        <v>2107792.3143323064</v>
      </c>
    </row>
    <row r="36" spans="1:295" x14ac:dyDescent="0.25">
      <c r="A36" s="4">
        <v>2042</v>
      </c>
      <c r="B36" s="51">
        <v>30</v>
      </c>
      <c r="C36" s="4"/>
      <c r="D36" s="3">
        <v>30</v>
      </c>
      <c r="E36" s="97" t="s">
        <v>277</v>
      </c>
      <c r="F36" s="5">
        <f>InputData!$R$21*12</f>
        <v>126320.40000000001</v>
      </c>
      <c r="G36" s="32">
        <f>(InputData!$R$21+InputData!$K$45+InputData!$G$50)*12+InputData!$J$50+InputData!$D$60+InputData!$J$60</f>
        <v>209320.36000000002</v>
      </c>
      <c r="H36" s="32">
        <f>(InputData!$C$32+InputData!$C$40)*12</f>
        <v>21631.199999999997</v>
      </c>
      <c r="I36" s="32">
        <f t="shared" si="36"/>
        <v>230951.56</v>
      </c>
      <c r="J36" s="5">
        <f>G36*((1+InputData!$C$5)/(1+InputData!$C$3))^(Ophtha!$B36-Ophtha!$B$7)</f>
        <v>157299.13397869698</v>
      </c>
      <c r="K36" s="5">
        <f>H36*((1+InputData!$C$5)/(1+InputData!$C$3))^(Ophtha!$B36-Ophtha!$B$7)</f>
        <v>16255.318053723917</v>
      </c>
      <c r="L36" s="32">
        <f>IF(J36-InputData!$C$158-InputData!$C$159&gt;=0,J36-InputData!$C$158-InputData!$C$159,0)</f>
        <v>157299.13397869698</v>
      </c>
      <c r="M36" s="32">
        <f>IF(J36-IF(J36&lt;=InputData!$C$146,InputData!$C$145,0)-MAX(InputData!$C$144,S36)&gt;=0,J36-IF(J36&lt;=InputData!$C$146,InputData!$C$145,0)-MAX(InputData!$C$144,S36),0)</f>
        <v>151199.13397869698</v>
      </c>
      <c r="N36" s="32">
        <f>IF(M36&lt;0,"Error",IF(M36&lt;=InputData!$B$170,InputData!$C$170*M36,IF(M36&lt;=InputData!$B$171,InputData!$D$170+InputData!$C$171*(M36-InputData!$B$170),IF(M36&lt;=InputData!$B$172,InputData!$D$171+InputData!$C$172*(M36-InputData!$B$171),IF(M36&lt;=InputData!$B$173,InputData!$D$172+InputData!$C$173*(M36-InputData!$B$172),IF(M36&lt;=InputData!$B$174,InputData!$D$173+InputData!$C$174*(M36-InputData!$B$173),IF(M36&lt;=InputData!$B$175,InputData!$D$174+InputData!$C$175*(M36-InputData!$B$174),InputData!$D$175+InputData!$C$176*(M36-InputData!$B$175))))))))</f>
        <v>35629.007514035155</v>
      </c>
      <c r="O36" s="32">
        <f>IF(J36&lt;=InputData!$C$150,InputData!$C$152,IF(J36&lt;InputData!$C$151,IF(InputData!$C$152-0.25*IF(J36-InputData!$C$150&lt;=0,0,J36-InputData!$C$150)&lt;=0,0,InputData!$C$152-0.25*IF(J36-InputData!$C$150&lt;=0,0,J36-InputData!$C$150)),0))</f>
        <v>41425.216505325756</v>
      </c>
      <c r="P36" s="32">
        <f>IF(J36-O36&lt;=0,0,IF(J36-O36&lt;=InputData!$C$153,InputData!$C$154*(J36-O36),InputData!$C$155*(J36-O36)-InputData!$D$154))</f>
        <v>30127.21854307652</v>
      </c>
      <c r="Q36" s="32">
        <f t="shared" si="37"/>
        <v>35629.007514035155</v>
      </c>
      <c r="R36" s="32">
        <f>IF(J36&gt;=0,IF(J36&lt;=InputData!$C$148,InputData!$C$147*J36,InputData!$C$147*InputData!$C$148)+InputData!$C$149*J36,0)</f>
        <v>9330.2374426911065</v>
      </c>
      <c r="S36" s="32">
        <f>IF(L36&lt;0,0,IF(L36&lt;=InputData!$B$163,InputData!$C$163*L36,IF(L36&lt;=InputData!$B$164,InputData!$D$163+InputData!$C$164*(L36-InputData!$B$163),IF(L36&lt;=InputData!$B$165,InputData!$D$164+InputData!$C$165*(L36-InputData!$B$164),InputData!$D$165+InputData!$C$166*(L36-InputData!$B$165)))))</f>
        <v>0</v>
      </c>
      <c r="T36" s="43">
        <f t="shared" si="38"/>
        <v>0.28582004121405458</v>
      </c>
      <c r="U36" s="43">
        <f t="shared" si="39"/>
        <v>0.2590497934811124</v>
      </c>
      <c r="V36" s="5">
        <f t="shared" si="40"/>
        <v>128595.20707569463</v>
      </c>
      <c r="W36" s="32">
        <f>V36/((1+InputData!$C$7)^(Ophtha!$B36-Ophtha!$B$7))</f>
        <v>54568.90833196423</v>
      </c>
      <c r="X36" s="5">
        <f t="shared" si="111"/>
        <v>1826455.8055583576</v>
      </c>
      <c r="Y36" s="53"/>
      <c r="Z36" s="3">
        <v>26.5</v>
      </c>
      <c r="AA36" s="98" t="s">
        <v>272</v>
      </c>
      <c r="AB36" s="32">
        <f>(0.5*InputData!$P$21+0.5*InputData!$Q$21)*12</f>
        <v>123366.59999999999</v>
      </c>
      <c r="AC36" s="32">
        <f>(0.5*(InputData!$P$21+InputData!$K$45)+0.5*(InputData!$Q$21+InputData!$K$45)+InputData!$G$50)*12+InputData!$J$50+InputData!$D$60+InputData!$J$60</f>
        <v>206366.56</v>
      </c>
      <c r="AD36" s="32">
        <f t="shared" si="174"/>
        <v>21631.199999999997</v>
      </c>
      <c r="AE36" s="32">
        <f t="shared" si="41"/>
        <v>227997.76</v>
      </c>
      <c r="AF36" s="5">
        <f>AC36*((1+InputData!$C$5)/(1+InputData!$C$3))^(Ophtha!$B36-Ophtha!$B$7)</f>
        <v>155079.4254804588</v>
      </c>
      <c r="AG36" s="5">
        <f>AD36*((1+InputData!$C$5)/(1+InputData!$C$3))^(Ophtha!$B36-Ophtha!$B$7)</f>
        <v>16255.318053723917</v>
      </c>
      <c r="AH36" s="32">
        <f>IF(AF36-InputData!$C$158-InputData!$C$159&gt;=0,AF36-InputData!$C$158-InputData!$C$159,0)</f>
        <v>155079.4254804588</v>
      </c>
      <c r="AI36" s="32">
        <f>IF(AF36-IF(AF36&lt;=InputData!$C$146,InputData!$C$145,0)-MAX(InputData!$C$144,AO36)&gt;=0,AF36-IF(AF36&lt;=InputData!$C$146,InputData!$C$145,0)-MAX(InputData!$C$144,AO36),0)</f>
        <v>148979.4254804588</v>
      </c>
      <c r="AJ36" s="32">
        <f>IF(AI36&lt;0,"Error",IF(AI36&lt;=InputData!$B$170,InputData!$C$170*AI36,IF(AI36&lt;=InputData!$B$171,InputData!$D$170+InputData!$C$171*(AI36-InputData!$B$170),IF(AI36&lt;=InputData!$B$172,InputData!$D$171+InputData!$C$172*(AI36-InputData!$B$171),IF(AI36&lt;=InputData!$B$173,InputData!$D$172+InputData!$C$173*(AI36-InputData!$B$172),IF(AI36&lt;=InputData!$B$174,InputData!$D$173+InputData!$C$174*(AI36-InputData!$B$173),IF(AI36&lt;=InputData!$B$175,InputData!$D$174+InputData!$C$175*(AI36-InputData!$B$174),InputData!$D$175+InputData!$C$176*(AI36-InputData!$B$175))))))))</f>
        <v>35007.48913452847</v>
      </c>
      <c r="AK36" s="32">
        <f>IF(AF36&lt;=InputData!$C$150,InputData!$C$152,IF(AF36&lt;InputData!$C$151,IF(InputData!$C$152-0.25*IF(AF36-InputData!$C$150&lt;=0,0,AF36-InputData!$C$150)&lt;=0,0,InputData!$C$152-0.25*IF(AF36-InputData!$C$150&lt;=0,0,AF36-InputData!$C$150)),0))</f>
        <v>41980.1436298853</v>
      </c>
      <c r="AL36" s="32">
        <f>IF(AF36-AK36&lt;=0,0,IF(AF36-AK36&lt;=InputData!$C$153,InputData!$C$154*(AF36-AK36),InputData!$C$155*(AF36-AK36)-InputData!$D$154))</f>
        <v>29405.813281149109</v>
      </c>
      <c r="AM36" s="32">
        <f t="shared" si="42"/>
        <v>35007.48913452847</v>
      </c>
      <c r="AN36" s="32">
        <f>IF(AF36&gt;=0,IF(AF36&lt;=InputData!$C$148,InputData!$C$147*AF36,InputData!$C$147*InputData!$C$148)+InputData!$C$149*AF36,0)</f>
        <v>9298.0516694666512</v>
      </c>
      <c r="AO36" s="32">
        <f>IF(AH36&lt;0,0,IF(AH36&lt;=InputData!$B$163,InputData!$C$163*AH36,IF(AH36&lt;=InputData!$B$164,InputData!$D$163+InputData!$C$164*(AH36-InputData!$B$163),IF(AH36&lt;=InputData!$B$165,InputData!$D$164+InputData!$C$165*(AH36-InputData!$B$164),InputData!$D$165+InputData!$C$166*(AH36-InputData!$B$165)))))</f>
        <v>0</v>
      </c>
      <c r="AP36" s="43">
        <f t="shared" si="43"/>
        <v>0.28569580179143728</v>
      </c>
      <c r="AQ36" s="43">
        <f t="shared" si="44"/>
        <v>0.25859052221451972</v>
      </c>
      <c r="AR36" s="5">
        <f t="shared" si="45"/>
        <v>127029.20273018759</v>
      </c>
      <c r="AS36" s="32">
        <f>AR36/((1+InputData!$C$7)^(Ophtha!$B36-Ophtha!$B$7))</f>
        <v>53904.380084600154</v>
      </c>
      <c r="AT36" s="5">
        <f t="shared" si="112"/>
        <v>1793111.5394467271</v>
      </c>
      <c r="AU36" s="53"/>
      <c r="AV36" s="41" t="s">
        <v>109</v>
      </c>
      <c r="AW36" s="32">
        <f>$AW$15*(1+InputData!$C$3+InputData!$C$4)^(Ophtha!$B36-Ophtha!$B$17)</f>
        <v>442172.03319706989</v>
      </c>
      <c r="AX36" s="32">
        <v>0</v>
      </c>
      <c r="AY36" s="32">
        <f t="shared" si="47"/>
        <v>442172.03319706989</v>
      </c>
      <c r="AZ36" s="32">
        <f>AZ35*(1+InputData!$C$8)</f>
        <v>20404.455491517201</v>
      </c>
      <c r="BA36" s="32">
        <f>AW36/((1+InputData!$C$3)^(Ophtha!$B36-Ophtha!$B$7))</f>
        <v>248992.51359814478</v>
      </c>
      <c r="BB36" s="32">
        <f>AX36/((1+InputData!$C$3)^(Ophtha!$B36-Ophtha!$B$7))</f>
        <v>0</v>
      </c>
      <c r="BC36" s="32" t="s">
        <v>141</v>
      </c>
      <c r="BD36" s="32">
        <v>0</v>
      </c>
      <c r="BE36" s="32">
        <f t="shared" si="158"/>
        <v>0</v>
      </c>
      <c r="BF36" s="32">
        <f>(BE36)*InputData!$C$6</f>
        <v>0</v>
      </c>
      <c r="BG36" s="32">
        <f>MIN($BE$15*InputData!$C$6/(1-(1+InputData!$C$6)^(-10)), BE36+BF36)</f>
        <v>0</v>
      </c>
      <c r="BH36" s="32">
        <f t="shared" si="140"/>
        <v>0</v>
      </c>
      <c r="BI36" s="32">
        <f>BG36/((1+InputData!$C$3)^(Ophtha!$B36-Ophtha!$B$7))</f>
        <v>0</v>
      </c>
      <c r="BJ36" s="32">
        <f>IF(BA36-InputData!$C$158-InputData!$C$159&gt;=0,BA36-InputData!$C$158-InputData!$C$159,0)</f>
        <v>248992.51359814478</v>
      </c>
      <c r="BK36" s="32">
        <f>IF(BA36-IF(BA36&lt;=InputData!$C$146,InputData!$C$145,0)-MAX(InputData!$C$144,BQ36)&gt;=0,BA36-IF(BA36&lt;=InputData!$C$146,InputData!$C$145,0)-MAX(InputData!$C$144,BQ36),0)</f>
        <v>242892.51359814478</v>
      </c>
      <c r="BL36" s="32">
        <f>IF(BK36&lt;0,"Error",IF(BK36&lt;=InputData!$B$170,InputData!$C$170*BK36,IF(BK36&lt;=InputData!$B$171,InputData!$D$170+InputData!$C$171*(BK36-InputData!$B$170),IF(BK36&lt;=InputData!$B$172,InputData!$D$171+InputData!$C$172*(BK36-InputData!$B$171),IF(BK36&lt;=InputData!$B$173,InputData!$D$172+InputData!$C$173*(BK36-InputData!$B$172),IF(BK36&lt;=InputData!$B$174,InputData!$D$173+InputData!$C$174*(BK36-InputData!$B$173),IF(BK36&lt;=InputData!$B$175,InputData!$D$174+InputData!$C$175*(BK36-InputData!$B$174),InputData!$D$175+InputData!$C$176*(BK36-InputData!$B$175))))))))</f>
        <v>64285.279487387779</v>
      </c>
      <c r="BM36" s="32">
        <f>IF(BA36&lt;=InputData!$C$150,InputData!$C$152,IF(BA36&lt;InputData!$C$151,IF(InputData!$C$152-0.25*IF(BA36-InputData!$C$150&lt;=0,0,BA36-InputData!$C$150)&lt;=0,0,InputData!$C$152-0.25*IF(BA36-InputData!$C$150&lt;=0,0,BA36-InputData!$C$150)),0))</f>
        <v>18501.871600463804</v>
      </c>
      <c r="BN36" s="32">
        <f>IF(BA36-BM36&lt;=0,0,IF(BA36-BM36&lt;=InputData!$C$153,InputData!$C$154*(BA36-BM36),InputData!$C$155*(BA36-BM36)-InputData!$D$154))</f>
        <v>60947.379759350675</v>
      </c>
      <c r="BO36" s="32">
        <f t="shared" si="48"/>
        <v>64285.279487387779</v>
      </c>
      <c r="BP36" s="32">
        <f>IF(BA36&gt;=0,IF(BA36&lt;=InputData!$C$148,InputData!$C$147*BA36,InputData!$C$147*InputData!$C$148)+InputData!$C$149*BA36,0)</f>
        <v>10659.791447173098</v>
      </c>
      <c r="BQ36" s="32">
        <f>IF(BJ36&lt;0,0,IF(BJ36&lt;=InputData!$B$163,InputData!$C$163*BJ36,IF(BJ36&lt;=InputData!$B$164,InputData!$D$163+InputData!$C$164*(BJ36-InputData!$B$163),IF(BJ36&lt;=InputData!$B$165,InputData!$D$164+InputData!$C$165*(BJ36-InputData!$B$164),InputData!$D$165+InputData!$C$166*(BJ36-InputData!$B$165)))))</f>
        <v>0</v>
      </c>
      <c r="BR36" s="43">
        <f t="shared" si="49"/>
        <v>0.30099327024553274</v>
      </c>
      <c r="BS36" s="32">
        <f t="shared" si="50"/>
        <v>174047.4426635839</v>
      </c>
      <c r="BT36" s="32">
        <f t="shared" si="51"/>
        <v>174047.4426635839</v>
      </c>
      <c r="BU36" s="32">
        <f>BT36/((1+InputData!$C$7)^(Ophtha!$B36-Ophtha!$B$7))</f>
        <v>73856.399162150556</v>
      </c>
      <c r="BV36" s="5">
        <f t="shared" si="114"/>
        <v>1797398.2393778737</v>
      </c>
      <c r="BW36" s="5"/>
      <c r="BX36" s="32" t="s">
        <v>141</v>
      </c>
      <c r="BY36" s="5">
        <f t="shared" si="159"/>
        <v>71155.277525905927</v>
      </c>
      <c r="BZ36" s="32">
        <f>(BY36)*InputData!$C$6</f>
        <v>4418.7427343587578</v>
      </c>
      <c r="CA36" s="32">
        <f>MIN($BY$15*InputData!$C$6/(1-(1+InputData!$C$6)^(-25)), BY36+BZ36)</f>
        <v>20633.642137763909</v>
      </c>
      <c r="CB36" s="32">
        <f t="shared" si="160"/>
        <v>54940.378122500784</v>
      </c>
      <c r="CC36" s="32">
        <f>CA36/((1+InputData!$C$3)^(Ophtha!$B36-Ophtha!$B$7))</f>
        <v>11619.057821046468</v>
      </c>
      <c r="CD36" s="5">
        <f t="shared" si="55"/>
        <v>162428.38484253743</v>
      </c>
      <c r="CE36" s="32">
        <f>CD36/((1+InputData!$C$7)^(Ophtha!$B36-Ophtha!$B$7))</f>
        <v>68925.894242420036</v>
      </c>
      <c r="CF36" s="5">
        <f t="shared" si="115"/>
        <v>1799577.4323349155</v>
      </c>
      <c r="CG36" s="5"/>
      <c r="CH36" s="32" t="s">
        <v>141</v>
      </c>
      <c r="CI36" s="5">
        <f t="shared" si="161"/>
        <v>0</v>
      </c>
      <c r="CJ36" s="32">
        <f>(CI36)*InputData!$C$6</f>
        <v>0</v>
      </c>
      <c r="CK36" s="5">
        <f t="shared" si="162"/>
        <v>0</v>
      </c>
      <c r="CL36" s="32">
        <f t="shared" si="163"/>
        <v>0</v>
      </c>
      <c r="CM36" s="32">
        <f>CK36/((1+InputData!$C$3)^(Ophtha!$B36-Ophtha!$B$7))</f>
        <v>0</v>
      </c>
      <c r="CN36" s="5">
        <f t="shared" si="59"/>
        <v>174047.4426635839</v>
      </c>
      <c r="CO36" s="32">
        <f>CN36/((1+InputData!$C$7)^(Ophtha!$B36-Ophtha!$B$7))</f>
        <v>73856.399162150556</v>
      </c>
      <c r="CP36" s="5">
        <f t="shared" si="149"/>
        <v>1797177.7379527839</v>
      </c>
      <c r="CQ36" s="5"/>
      <c r="CR36" s="32" t="s">
        <v>141</v>
      </c>
      <c r="CS36" s="5">
        <f t="shared" si="164"/>
        <v>0</v>
      </c>
      <c r="CT36" s="32">
        <f>(CS36)*InputData!$C$6</f>
        <v>0</v>
      </c>
      <c r="CU36" s="32">
        <f t="shared" si="165"/>
        <v>0</v>
      </c>
      <c r="CV36" s="32">
        <f t="shared" si="166"/>
        <v>0</v>
      </c>
      <c r="CW36" s="32">
        <f>CU36/((1+InputData!$C$3)^(Ophtha!$B36-Ophtha!$B$7))</f>
        <v>0</v>
      </c>
      <c r="CX36" s="5">
        <f t="shared" si="63"/>
        <v>174047.4426635839</v>
      </c>
      <c r="CY36" s="32">
        <f>CX36/((1+InputData!$C$7)^(Ophtha!$B36-Ophtha!$B$7))</f>
        <v>73856.399162150556</v>
      </c>
      <c r="CZ36" s="5">
        <f t="shared" si="150"/>
        <v>1791710.6712337711</v>
      </c>
      <c r="DA36" s="5"/>
      <c r="DB36" s="32" t="s">
        <v>141</v>
      </c>
      <c r="DC36" s="5">
        <f t="shared" si="141"/>
        <v>0</v>
      </c>
      <c r="DD36" s="5">
        <f>DC36*InputData!$C$6</f>
        <v>0</v>
      </c>
      <c r="DE36" s="32">
        <f t="shared" si="142"/>
        <v>0</v>
      </c>
      <c r="DF36" s="32">
        <f t="shared" si="143"/>
        <v>0</v>
      </c>
      <c r="DG36" s="32">
        <f>DE36/((1+InputData!$C$3)^(Ophtha!$B36-Ophtha!$B$7))</f>
        <v>0</v>
      </c>
      <c r="DH36" s="5">
        <f t="shared" si="67"/>
        <v>174047.4426635839</v>
      </c>
      <c r="DI36" s="32">
        <f>DH36/((1+InputData!$C$7)^(Ophtha!$B36-Ophtha!$B$7))</f>
        <v>73856.399162150556</v>
      </c>
      <c r="DJ36" s="5">
        <f t="shared" si="130"/>
        <v>1801909.9370501328</v>
      </c>
      <c r="DK36" s="5"/>
      <c r="DL36" s="32" t="s">
        <v>141</v>
      </c>
      <c r="DM36" s="32">
        <f t="shared" si="167"/>
        <v>0</v>
      </c>
      <c r="DN36" s="5">
        <f>DM36*InputData!$C$6</f>
        <v>0</v>
      </c>
      <c r="DO36" s="32">
        <f t="shared" si="168"/>
        <v>0</v>
      </c>
      <c r="DP36" s="32">
        <f t="shared" si="131"/>
        <v>0</v>
      </c>
      <c r="DQ36" s="32">
        <f t="shared" si="132"/>
        <v>0</v>
      </c>
      <c r="DR36" s="32">
        <f>DP36/((1+InputData!$C$3)^(Ophtha!$B36-Ophtha!$B$7))</f>
        <v>0</v>
      </c>
      <c r="DS36" s="5">
        <f t="shared" si="71"/>
        <v>174047.4426635839</v>
      </c>
      <c r="DT36" s="32">
        <f>DS36/((1+InputData!$C$7)^(Ophtha!$B36-Ophtha!$B$7))</f>
        <v>73856.399162150556</v>
      </c>
      <c r="DU36" s="5">
        <f t="shared" si="133"/>
        <v>1795945.7709606439</v>
      </c>
      <c r="DV36" s="5"/>
      <c r="DW36" s="32" t="s">
        <v>141</v>
      </c>
      <c r="DX36" s="133">
        <f t="shared" si="144"/>
        <v>0</v>
      </c>
      <c r="DY36" s="5">
        <f>DX36*InputData!$C$6</f>
        <v>0</v>
      </c>
      <c r="DZ36" s="133">
        <f t="shared" si="145"/>
        <v>0</v>
      </c>
      <c r="EA36" s="32">
        <f t="shared" si="146"/>
        <v>0</v>
      </c>
      <c r="EB36" s="32">
        <f t="shared" si="147"/>
        <v>0</v>
      </c>
      <c r="EC36" s="32">
        <f>EA36/((1+InputData!$C$3)^(Ophtha!$B36-Ophtha!$B$7))</f>
        <v>0</v>
      </c>
      <c r="ED36" s="5">
        <f t="shared" si="75"/>
        <v>174047.4426635839</v>
      </c>
      <c r="EE36" s="32">
        <f>ED36/((1+InputData!$C$7)^(Ophtha!$B36-Ophtha!$B$7))</f>
        <v>73856.399162150556</v>
      </c>
      <c r="EF36" s="5">
        <f t="shared" si="134"/>
        <v>1795788.4999333934</v>
      </c>
      <c r="EG36" s="32"/>
      <c r="EH36" s="133" t="s">
        <v>141</v>
      </c>
      <c r="EI36" s="32">
        <v>0</v>
      </c>
      <c r="EJ36" s="32">
        <f t="shared" si="175"/>
        <v>0</v>
      </c>
      <c r="EK36" s="32">
        <f>(EJ36)*InputData!$C$6</f>
        <v>0</v>
      </c>
      <c r="EL36" s="32">
        <f t="shared" si="173"/>
        <v>0</v>
      </c>
      <c r="EM36" s="32">
        <f>EM35*(1+InputData!$C$8)</f>
        <v>20404.455491517201</v>
      </c>
      <c r="EN36" s="32">
        <f t="shared" si="152"/>
        <v>0</v>
      </c>
      <c r="EO36" s="32">
        <f>AW36/((1+InputData!$C$3)^(Ophtha!$B36-Ophtha!$B$7))</f>
        <v>248992.51359814478</v>
      </c>
      <c r="EP36" s="32">
        <f>AX36/((1+InputData!$C$3)^(Ophtha!$B36-Ophtha!$B$7))</f>
        <v>0</v>
      </c>
      <c r="EQ36" s="32">
        <v>64326.96</v>
      </c>
      <c r="ER36" s="32">
        <v>9372.8950000000004</v>
      </c>
      <c r="ES36" s="32">
        <v>0</v>
      </c>
      <c r="ET36" s="43">
        <f t="shared" si="139"/>
        <v>0.29599225267851237</v>
      </c>
      <c r="EU36" s="32">
        <f t="shared" si="76"/>
        <v>175292.6585981448</v>
      </c>
      <c r="EV36" s="32">
        <f>EN36/((1+InputData!$C$3)^(Ophtha!$B36-Ophtha!$B$7))</f>
        <v>0</v>
      </c>
      <c r="EW36" s="32">
        <f t="shared" si="77"/>
        <v>175292.6585981448</v>
      </c>
      <c r="EX36" s="32">
        <f>EW36/((1+InputData!$C$7)^(Ophtha!$B36-Ophtha!$B$7))</f>
        <v>74384.802014261193</v>
      </c>
      <c r="EY36" s="5">
        <f t="shared" si="124"/>
        <v>1883227.0523079957</v>
      </c>
      <c r="EZ36" s="79"/>
      <c r="FA36" s="32">
        <f t="shared" si="153"/>
        <v>0</v>
      </c>
      <c r="FB36" s="32">
        <f>FA36*InputData!$C$6</f>
        <v>0</v>
      </c>
      <c r="FC36" s="32">
        <f t="shared" si="154"/>
        <v>0</v>
      </c>
      <c r="FD36" s="32">
        <f>MIN($EJ$15*InputData!$C$6/(1-(1+InputData!$C$6)^(-10)), FA36+FB36)</f>
        <v>0</v>
      </c>
      <c r="FE36" s="32">
        <f>FD36/((1+InputData!$C$3)^(Ophtha!$B36-Ophtha!$B$7))</f>
        <v>0</v>
      </c>
      <c r="FF36" s="5">
        <f t="shared" si="81"/>
        <v>175292.6585981448</v>
      </c>
      <c r="FG36" s="32">
        <f>FF36/((1+InputData!$C$7)^(Ophtha!$B36-Ophtha!$B$7))</f>
        <v>74384.802014261193</v>
      </c>
      <c r="FH36" s="5">
        <f t="shared" si="125"/>
        <v>1889053.6439958082</v>
      </c>
      <c r="FI36" s="79"/>
      <c r="FJ36" s="32">
        <f t="shared" si="155"/>
        <v>71559.324617759601</v>
      </c>
      <c r="FK36" s="32">
        <f>FJ36*InputData!$C$6</f>
        <v>4443.8340587628718</v>
      </c>
      <c r="FL36" s="32">
        <f t="shared" si="170"/>
        <v>55252.350765677649</v>
      </c>
      <c r="FM36" s="32">
        <f>MIN($EJ$15*InputData!$C$6/(1-(1+InputData!$C$6)^(-25)), FJ36+FK36)</f>
        <v>20750.807910844829</v>
      </c>
      <c r="FN36" s="32">
        <f>FM36/((1+InputData!$C$3)^(Ophtha!$B36-Ophtha!$B$7))</f>
        <v>11685.035309799327</v>
      </c>
      <c r="FO36" s="5">
        <f t="shared" si="85"/>
        <v>163607.62328834546</v>
      </c>
      <c r="FP36" s="32">
        <f>FO36/((1+InputData!$C$7)^(Ophtha!$B36-Ophtha!$B$7))</f>
        <v>69426.299787184616</v>
      </c>
      <c r="FQ36" s="5">
        <f t="shared" si="126"/>
        <v>1891245.2112504074</v>
      </c>
      <c r="FR36" s="79"/>
      <c r="FS36" s="32">
        <f t="shared" si="156"/>
        <v>0</v>
      </c>
      <c r="FT36" s="32">
        <f>FS36*InputData!$C$6</f>
        <v>0</v>
      </c>
      <c r="FU36" s="32">
        <f t="shared" si="171"/>
        <v>0</v>
      </c>
      <c r="FV36" s="5">
        <f t="shared" si="157"/>
        <v>0</v>
      </c>
      <c r="FW36" s="32">
        <f>FV36/((1+InputData!$C$3)^(Ophtha!$B36-Ophtha!$B$7))</f>
        <v>0</v>
      </c>
      <c r="FX36" s="5">
        <f t="shared" si="88"/>
        <v>175292.6585981448</v>
      </c>
      <c r="FY36" s="32">
        <f>FX36/((1+InputData!$C$7)^(Ophtha!$B36-Ophtha!$B$7))</f>
        <v>74384.802014261193</v>
      </c>
      <c r="FZ36" s="5">
        <f t="shared" si="127"/>
        <v>1888793.035124725</v>
      </c>
      <c r="GC36" s="83">
        <v>23</v>
      </c>
      <c r="GD36" s="4" t="s">
        <v>217</v>
      </c>
      <c r="GE36" s="5"/>
      <c r="GF36" s="84">
        <v>0</v>
      </c>
      <c r="GG36" s="5"/>
      <c r="GH36" s="84">
        <f>MIN(InputData!$C$13+InputData!$E$13*($B36-$B$34),1)*$AW36/((1+InputData!$C$3)^(Ophtha!$B36-Ophtha!$B$7))+0.025*$GC$33*(($F$31+$F$32+$F$33)/3)*((1+InputData!$C$5)/(1+InputData!$C$3))^(Ophtha!$B36-Ophtha!$B$7)</f>
        <v>276974.33411965147</v>
      </c>
      <c r="GI36" s="5">
        <v>0</v>
      </c>
      <c r="GJ36" s="32">
        <f>IF(GH36-InputData!$C$158-InputData!$C$159&gt;=0,GH36-InputData!$C$158-InputData!$C$159,0)</f>
        <v>276974.33411965147</v>
      </c>
      <c r="GK36" s="32">
        <f>IF(GH36-IF(GH36&lt;=InputData!$C$146,InputData!$C$145,0)-MAX(InputData!$C$144,GQ36)&gt;=0,GH36-IF(GH36&lt;=InputData!$C$146,InputData!$C$145,0)-MAX(InputData!$C$144,GQ36),0)</f>
        <v>270874.33411965147</v>
      </c>
      <c r="GL36" s="32">
        <f>IF(GK36&lt;0,"Error",IF(GK36&lt;=InputData!$B$170,InputData!$C$170*GK36,IF(GK36&lt;=InputData!$B$171,InputData!$D$170+InputData!$C$171*(GK36-InputData!$B$170),IF(GK36&lt;=InputData!$B$172,InputData!$D$171+InputData!$C$172*(GK36-InputData!$B$171),IF(GK36&lt;=InputData!$B$173,InputData!$D$172+InputData!$C$173*(GK36-InputData!$B$172),IF(GK36&lt;=InputData!$B$174,InputData!$D$173+InputData!$C$174*(GK36-InputData!$B$173),IF(GK36&lt;=InputData!$B$175,InputData!$D$174+InputData!$C$175*(GK36-InputData!$B$174),InputData!$D$175+InputData!$C$176*(GK36-InputData!$B$175))))))))</f>
        <v>73519.280259484978</v>
      </c>
      <c r="GM36" s="32">
        <f>IF(GH36&lt;=InputData!$C$150,InputData!$C$152,IF(GH36&lt;InputData!$C$151,IF(InputData!$C$152-0.25*IF(GH36-InputData!$C$150&lt;=0,0,GH36-InputData!$C$150)&lt;=0,0,InputData!$C$152-0.25*IF(GH36-InputData!$C$150&lt;=0,0,GH36-InputData!$C$150)),0))</f>
        <v>11506.416470087133</v>
      </c>
      <c r="GN36" s="32">
        <f>IF(GH36-GM36&lt;=0,0,IF(GH36-GM36&lt;=InputData!$C$153,InputData!$C$154*(GH36-GM36),InputData!$C$155*(GH36-GM36)-InputData!$D$154))</f>
        <v>70741.016941878013</v>
      </c>
      <c r="GO36" s="32">
        <f t="shared" si="89"/>
        <v>73519.280259484978</v>
      </c>
      <c r="GP36" s="32">
        <f>IF(GH36&gt;=0,IF(GH36&lt;=InputData!$C$148,InputData!$C$147*GH36,InputData!$C$147*InputData!$C$148)+InputData!$C$149*GH36,0)</f>
        <v>11065.527844734946</v>
      </c>
      <c r="GQ36" s="32">
        <f>IF(GJ36&lt;0,0,IF(GJ36&lt;=InputData!$B$163,InputData!$C$163*GJ36,IF(GJ36&lt;=InputData!$B$164,InputData!$D$163+InputData!$C$164*(GJ36-InputData!$B$163),IF(GJ36&lt;=InputData!$B$165,InputData!$D$164+InputData!$C$165*(GJ36-InputData!$B$164),InputData!$D$165+InputData!$C$166*(GJ36-InputData!$B$165)))))</f>
        <v>0</v>
      </c>
      <c r="GR36" s="43">
        <f t="shared" si="90"/>
        <v>0.30538861433882797</v>
      </c>
      <c r="GS36" s="43">
        <f t="shared" si="91"/>
        <v>0.30538861433882797</v>
      </c>
      <c r="GT36" s="5">
        <f>GH36+GI36-GO36-GP36-GQ36</f>
        <v>192389.52601543153</v>
      </c>
      <c r="GU36" s="32">
        <f>GT36/((1+InputData!$C$7)^(Ophtha!$B36-Ophtha!$B$7))</f>
        <v>81639.795509535877</v>
      </c>
      <c r="GV36" s="84">
        <f t="shared" ref="GV36" si="177">GV35+GU36</f>
        <v>1882758.5391579724</v>
      </c>
      <c r="GX36" s="83">
        <v>20</v>
      </c>
      <c r="GY36" s="4" t="s">
        <v>217</v>
      </c>
      <c r="GZ36" s="5"/>
      <c r="HA36" s="84">
        <v>0</v>
      </c>
      <c r="HB36" s="5"/>
      <c r="HC36" s="84">
        <f>MIN(InputData!$C$13+InputData!$E$13*($B36-$B$31),1)*$AW36/((1+InputData!$C$3)^(Ophtha!$B36-Ophtha!$B$7))+0.025*$GX$30*(($AB$28+$AB$29+$AB$30)/3)*((1+InputData!$C$5)/(1+InputData!$C$3))^(Ophtha!$B36-Ophtha!$B$7)</f>
        <v>263281.0592538442</v>
      </c>
      <c r="HD36" s="5">
        <v>0</v>
      </c>
      <c r="HE36" s="32">
        <f>IF(HC36-InputData!$C$158-InputData!$C$159&gt;=0,HC36-InputData!$C$158-InputData!$C$159,0)</f>
        <v>263281.0592538442</v>
      </c>
      <c r="HF36" s="32">
        <f>IF(HC36-IF(HC36&lt;=InputData!$C$146,InputData!$C$145,0)-MAX(InputData!$C$144,HL36)&gt;=0,HC36-IF(HC36&lt;=InputData!$C$146,InputData!$C$145,0)-MAX(InputData!$C$144,HL36),0)</f>
        <v>257181.0592538442</v>
      </c>
      <c r="HG36" s="32">
        <f>IF(HF36&lt;0,"Error",IF(HF36&lt;=InputData!$B$170,InputData!$C$170*HF36,IF(HF36&lt;=InputData!$B$171,InputData!$D$170+InputData!$C$171*(HF36-InputData!$B$170),IF(HF36&lt;=InputData!$B$172,InputData!$D$171+InputData!$C$172*(HF36-InputData!$B$171),IF(HF36&lt;=InputData!$B$173,InputData!$D$172+InputData!$C$173*(HF36-InputData!$B$172),IF(HF36&lt;=InputData!$B$174,InputData!$D$173+InputData!$C$174*(HF36-InputData!$B$173),IF(HF36&lt;=InputData!$B$175,InputData!$D$174+InputData!$C$175*(HF36-InputData!$B$174),InputData!$D$175+InputData!$C$176*(HF36-InputData!$B$175))))))))</f>
        <v>69000.49955376859</v>
      </c>
      <c r="HH36" s="32">
        <f>IF(HC36&lt;=InputData!$C$150,InputData!$C$152,IF(HC36&lt;InputData!$C$151,IF(InputData!$C$152-0.25*IF(HC36-InputData!$C$150&lt;=0,0,HC36-InputData!$C$150)&lt;=0,0,InputData!$C$152-0.25*IF(HC36-InputData!$C$150&lt;=0,0,HC36-InputData!$C$150)),0))</f>
        <v>14929.73518653895</v>
      </c>
      <c r="HI36" s="32">
        <f>IF(HC36-HH36&lt;=0,0,IF(HC36-HH36&lt;=InputData!$C$153,InputData!$C$154*(HC36-HH36),InputData!$C$155*(HC36-HH36)-InputData!$D$154))</f>
        <v>65948.370738845479</v>
      </c>
      <c r="HJ36" s="32">
        <f t="shared" si="93"/>
        <v>69000.49955376859</v>
      </c>
      <c r="HK36" s="32">
        <f>IF(HC36&gt;=0,IF(HC36&lt;=InputData!$C$148,InputData!$C$147*HC36,InputData!$C$147*InputData!$C$148)+InputData!$C$149*HC36,0)</f>
        <v>10866.97535918074</v>
      </c>
      <c r="HL36" s="32">
        <f>IF(HE36&lt;0,0,IF(HE36&lt;=InputData!$B$163,InputData!$C$163*HE36,IF(HE36&lt;=InputData!$B$164,InputData!$D$163+InputData!$C$164*(HE36-InputData!$B$163),IF(HE36&lt;=InputData!$B$165,InputData!$D$164+InputData!$C$165*(HE36-InputData!$B$164),InputData!$D$165+InputData!$C$166*(HE36-InputData!$B$165)))))</f>
        <v>0</v>
      </c>
      <c r="HM36" s="43">
        <f t="shared" si="94"/>
        <v>0.3033544271634997</v>
      </c>
      <c r="HN36" s="43">
        <f t="shared" si="95"/>
        <v>0.3033544271634997</v>
      </c>
      <c r="HO36" s="5">
        <f>HC36+HD36-HJ36-HK36-HL36</f>
        <v>183413.58434089486</v>
      </c>
      <c r="HP36" s="32">
        <f>HO36/((1+InputData!$C$7)^(Ophtha!$B36-Ophtha!$B$7))</f>
        <v>77830.88731171684</v>
      </c>
      <c r="HQ36" s="84">
        <f t="shared" ref="HQ36" si="178">HQ35+HP36</f>
        <v>1938107.2727136358</v>
      </c>
      <c r="HS36" s="94"/>
      <c r="HT36" s="53" t="s">
        <v>109</v>
      </c>
      <c r="HU36" s="32">
        <f>MIN(InputData!$C$13+InputData!$E$13*($B36-$B$22),1)*Ophtha!AW36</f>
        <v>397954.82987736294</v>
      </c>
      <c r="HV36" s="32">
        <f>MIN(InputData!$C$13+InputData!$E$13*($B36-$B$22),1)*Ophtha!AX36</f>
        <v>0</v>
      </c>
      <c r="HW36" s="32">
        <f>MIN(InputData!$C$13+InputData!$E$13*($B36-$B$22),1)*Ophtha!AY36</f>
        <v>397954.82987736294</v>
      </c>
      <c r="HX36" s="32">
        <f>MIN(InputData!$C$13+InputData!$E$13*($B36-$B$22),1)*Ophtha!BA36</f>
        <v>224093.2622383303</v>
      </c>
      <c r="HY36" s="32">
        <f>MIN(InputData!$C$13+InputData!$E$13*($B36-$B$22),1)*Ophtha!BB36</f>
        <v>0</v>
      </c>
      <c r="HZ36" s="32">
        <f>IF(HX36-InputData!$C$158-InputData!$C$159&gt;=0,HX36-InputData!$C$158-InputData!$C$159,0)</f>
        <v>224093.2622383303</v>
      </c>
      <c r="IA36" s="32">
        <f>IF(HX36-IF(HX36&lt;=InputData!$C$146,InputData!$C$145,0)-MAX(InputData!$C$144,IG36)&gt;=0,HX36-IF(HX36&lt;=InputData!$C$146,InputData!$C$145,0)-MAX(InputData!$C$144,IG36),0)</f>
        <v>217993.2622383303</v>
      </c>
      <c r="IB36" s="32">
        <f>IF(IA36&lt;0,"Error",IF(IA36&lt;=InputData!$B$170,InputData!$C$170*IA36,IF(IA36&lt;=InputData!$B$171,InputData!$D$170+InputData!$C$171*(IA36-InputData!$B$170),IF(IA36&lt;=InputData!$B$172,InputData!$D$171+InputData!$C$172*(IA36-InputData!$B$171),IF(IA36&lt;=InputData!$B$173,InputData!$D$172+InputData!$C$173*(IA36-InputData!$B$172),IF(IA36&lt;=InputData!$B$174,InputData!$D$173+InputData!$C$174*(IA36-InputData!$B$173),IF(IA36&lt;=InputData!$B$175,InputData!$D$174+InputData!$C$175*(IA36-InputData!$B$174),InputData!$D$175+InputData!$C$176*(IA36-InputData!$B$175))))))))</f>
        <v>56068.526538648999</v>
      </c>
      <c r="IC36" s="32">
        <f>IF(HX36&lt;=InputData!$C$150,InputData!$C$152,IF(HX36&lt;InputData!$C$151,IF(InputData!$C$152-0.25*IF(HX36-InputData!$C$150&lt;=0,0,HX36-InputData!$C$150)&lt;=0,0,InputData!$C$152-0.25*IF(HX36-InputData!$C$150&lt;=0,0,HX36-InputData!$C$150)),0))</f>
        <v>24726.684440417426</v>
      </c>
      <c r="ID36" s="32">
        <f>IF(HX36-IC36&lt;=0,0,IF(HX36-IC36&lt;=InputData!$C$153,InputData!$C$154*(HX36-IC36),InputData!$C$155*(HX36-IC36)-InputData!$D$154))</f>
        <v>52232.641783415609</v>
      </c>
      <c r="IE36" s="32">
        <f t="shared" si="97"/>
        <v>56068.526538648999</v>
      </c>
      <c r="IF36" s="32">
        <f>IF(HX36&gt;=0,IF(HX36&lt;=InputData!$C$148,InputData!$C$147*HX36,InputData!$C$147*InputData!$C$148)+InputData!$C$149*HX36,0)</f>
        <v>10298.752302455789</v>
      </c>
      <c r="IG36" s="32">
        <f>IF(HZ36&lt;0,0,IF(HZ36&lt;=InputData!$B$163,InputData!$C$163*HZ36,IF(HZ36&lt;=InputData!$B$164,InputData!$D$163+InputData!$C$164*(HZ36-InputData!$B$163),IF(HZ36&lt;=InputData!$B$165,InputData!$D$164+InputData!$C$165*(HZ36-InputData!$B$164),InputData!$D$165+InputData!$C$166*(HZ36-InputData!$B$165)))))</f>
        <v>0</v>
      </c>
      <c r="IH36" s="43">
        <f t="shared" si="98"/>
        <v>0.29615918916170308</v>
      </c>
      <c r="II36" s="43">
        <f t="shared" si="99"/>
        <v>0.29615918916170308</v>
      </c>
      <c r="IJ36" s="5">
        <f t="shared" si="100"/>
        <v>157725.9833972255</v>
      </c>
      <c r="IK36" s="32">
        <f>IJ36/((1+InputData!$C$7)^(Ophtha!$B36-Ophtha!$B$7))</f>
        <v>66930.447295021149</v>
      </c>
      <c r="IL36" s="5">
        <f t="shared" ref="IL36" si="179">IL35+IK36</f>
        <v>1998361.0173794786</v>
      </c>
      <c r="IN36" s="94"/>
      <c r="IO36" s="53" t="s">
        <v>109</v>
      </c>
      <c r="IP36" s="32">
        <f>MIN(InputData!$C$13+InputData!$E$13*($B36-$B$19),1)*Ophtha!AW36</f>
        <v>397954.82987736294</v>
      </c>
      <c r="IQ36" s="32">
        <f>MIN(InputData!$C$13+InputData!$E$13*($B36-$B$19),1)*Ophtha!AX36</f>
        <v>0</v>
      </c>
      <c r="IR36" s="32">
        <f>MIN(InputData!$C$13+InputData!$E$13*($B36-$B$19),1)*Ophtha!AY36</f>
        <v>397954.82987736294</v>
      </c>
      <c r="IS36" s="32">
        <f>MIN(InputData!$C$13+InputData!$E$13*($B36-$B$19),1)*Ophtha!BA36</f>
        <v>224093.2622383303</v>
      </c>
      <c r="IT36" s="32">
        <f>MIN(InputData!$C$13+InputData!$E$13*($B36-$B$19),1)*Ophtha!BB36</f>
        <v>0</v>
      </c>
      <c r="IU36" s="32">
        <f>IF(IS36-InputData!$C$158-InputData!$C$159&gt;=0,IS36-InputData!$C$158-InputData!$C$159,0)</f>
        <v>224093.2622383303</v>
      </c>
      <c r="IV36" s="32">
        <f>IF(IS36-IF(IS36&lt;=InputData!$C$146,InputData!$C$145,0)-MAX(InputData!$C$144,JB36)&gt;=0,IS36-IF(IS36&lt;=InputData!$C$146,InputData!$C$145,0)-MAX(InputData!$C$144,JB36),0)</f>
        <v>217993.2622383303</v>
      </c>
      <c r="IW36" s="32">
        <f>IF(IV36&lt;0,"Error",IF(IV36&lt;=InputData!$B$170,InputData!$C$170*IV36,IF(IV36&lt;=InputData!$B$171,InputData!$D$170+InputData!$C$171*(IV36-InputData!$B$170),IF(IV36&lt;=InputData!$B$172,InputData!$D$171+InputData!$C$172*(IV36-InputData!$B$171),IF(IV36&lt;=InputData!$B$173,InputData!$D$172+InputData!$C$173*(IV36-InputData!$B$172),IF(IV36&lt;=InputData!$B$174,InputData!$D$173+InputData!$C$174*(IV36-InputData!$B$173),IF(IV36&lt;=InputData!$B$175,InputData!$D$174+InputData!$C$175*(IV36-InputData!$B$174),InputData!$D$175+InputData!$C$176*(IV36-InputData!$B$175))))))))</f>
        <v>56068.526538648999</v>
      </c>
      <c r="IX36" s="32">
        <f>IF(IS36&lt;=InputData!$C$150,InputData!$C$152,IF(IS36&lt;InputData!$C$151,IF(InputData!$C$152-0.25*IF(IS36-InputData!$C$150&lt;=0,0,IS36-InputData!$C$150)&lt;=0,0,InputData!$C$152-0.25*IF(IS36-InputData!$C$150&lt;=0,0,IS36-InputData!$C$150)),0))</f>
        <v>24726.684440417426</v>
      </c>
      <c r="IY36" s="32">
        <f>IF(IS36-IX36&lt;=0,0,IF(IS36-IX36&lt;=InputData!$C$153,InputData!$C$154*(IS36-IX36),InputData!$C$155*(IS36-IX36)-InputData!$D$154))</f>
        <v>52232.641783415609</v>
      </c>
      <c r="IZ36" s="32">
        <f t="shared" si="102"/>
        <v>56068.526538648999</v>
      </c>
      <c r="JA36" s="32">
        <f>IF(IS36&gt;=0,IF(IS36&lt;=InputData!$C$148,InputData!$C$147*IS36,InputData!$C$147*InputData!$C$148)+InputData!$C$149*IS36,0)</f>
        <v>10298.752302455789</v>
      </c>
      <c r="JB36" s="32">
        <f>IF(IU36&lt;0,0,IF(IU36&lt;=InputData!$B$163,InputData!$C$163*IU36,IF(IU36&lt;=InputData!$B$164,InputData!$D$163+InputData!$C$164*(IU36-InputData!$B$163),IF(IU36&lt;=InputData!$B$165,InputData!$D$164+InputData!$C$165*(IU36-InputData!$B$164),InputData!$D$165+InputData!$C$166*(IU36-InputData!$B$165)))))</f>
        <v>0</v>
      </c>
      <c r="JC36" s="43">
        <f t="shared" si="103"/>
        <v>0.29615918916170308</v>
      </c>
      <c r="JD36" s="43">
        <f t="shared" si="104"/>
        <v>0.29615918916170308</v>
      </c>
      <c r="JE36" s="5">
        <f t="shared" si="105"/>
        <v>157725.9833972255</v>
      </c>
      <c r="JF36" s="32">
        <f>JE36/((1+InputData!$C$7)^(Ophtha!$B36-Ophtha!$B$7))</f>
        <v>66930.447295021149</v>
      </c>
      <c r="JG36" s="5">
        <f t="shared" ref="JG36" si="180">JG35+JF36</f>
        <v>2008487.1890793233</v>
      </c>
      <c r="JI36" s="41" t="str">
        <f t="shared" si="32"/>
        <v>Private Practice</v>
      </c>
      <c r="JJ36" s="5">
        <f t="shared" si="33"/>
        <v>442172.03319706989</v>
      </c>
      <c r="JK36" s="32">
        <v>0</v>
      </c>
      <c r="JL36" s="32">
        <f t="shared" si="108"/>
        <v>442172.03319706989</v>
      </c>
      <c r="JM36" s="32">
        <f>JM35*(1+InputData!$C$8)</f>
        <v>20404.455491517201</v>
      </c>
      <c r="JN36" s="32">
        <f>JJ36/((1+InputData!$C$3)^(Ophtha!$B36-Ophtha!$B$7))</f>
        <v>248992.51359814478</v>
      </c>
      <c r="JO36" s="32">
        <f>JK36/((1+InputData!$C$3)^(Ophtha!$B36-Ophtha!$B$7))</f>
        <v>0</v>
      </c>
      <c r="JP36" s="32" t="s">
        <v>141</v>
      </c>
      <c r="JQ36" s="32">
        <v>0</v>
      </c>
      <c r="JR36" s="32">
        <f t="shared" si="172"/>
        <v>0</v>
      </c>
      <c r="JS36" s="32">
        <f>(JR36)*InputData!$C$6</f>
        <v>0</v>
      </c>
      <c r="JT36" s="32">
        <f>MIN($BE$15*InputData!$C$6/(1-(1+InputData!$C$6)^(-10)), JR36+JS36)</f>
        <v>0</v>
      </c>
      <c r="JU36" s="32">
        <f t="shared" si="148"/>
        <v>0</v>
      </c>
      <c r="JV36" s="32">
        <f>JT36/((1+InputData!$C$3)^(Ophtha!$B36-Ophtha!$B$7))</f>
        <v>0</v>
      </c>
      <c r="JW36" s="32">
        <f>IF(JN36-InputData!$C$158-InputData!$C$159&gt;=0,JN36-InputData!$C$158-InputData!$C$159,0)</f>
        <v>248992.51359814478</v>
      </c>
      <c r="JX36" s="32">
        <f>IF(JN36-IF(JN36&lt;=InputData!$C$146,InputData!$C$145,0)-MAX(InputData!$C$144,KD36)&gt;=0,JN36-IF(JN36&lt;=InputData!$C$146,InputData!$C$145,0)-MAX(InputData!$C$144,KD36),0)</f>
        <v>242892.51359814478</v>
      </c>
      <c r="JY36" s="32">
        <f>IF(JX36&lt;0,"Error",IF(JX36&lt;=InputData!$B$170,InputData!$C$170*JX36,IF(JX36&lt;=InputData!$B$171,InputData!$D$170+InputData!$C$171*(JX36-InputData!$B$170),IF(JX36&lt;=InputData!$B$172,InputData!$D$171+InputData!$C$172*(JX36-InputData!$B$171),IF(JX36&lt;=InputData!$B$173,InputData!$D$172+InputData!$C$173*(JX36-InputData!$B$172),IF(JX36&lt;=InputData!$B$174,InputData!$D$173+InputData!$C$174*(JX36-InputData!$B$173),IF(JX36&lt;=InputData!$B$175,InputData!$D$174+InputData!$C$175*(JX36-InputData!$B$174),InputData!$D$175+InputData!$C$176*(JX36-InputData!$B$175))))))))</f>
        <v>64285.279487387779</v>
      </c>
      <c r="JZ36" s="32">
        <f>IF(JN36&lt;=InputData!$C$150,InputData!$C$152,IF(JN36&lt;InputData!$C$151,IF(InputData!$C$152-0.25*IF(JN36-InputData!$C$150&lt;=0,0,JN36-InputData!$C$150)&lt;=0,0,InputData!$C$152-0.25*IF(JN36-InputData!$C$150&lt;=0,0,JN36-InputData!$C$150)),0))</f>
        <v>18501.871600463804</v>
      </c>
      <c r="KA36" s="32">
        <f>IF(JN36-JZ36&lt;=0,0,IF(JN36-JZ36&lt;=InputData!$C$153,InputData!$C$154*(JN36-JZ36),InputData!$C$155*(JN36-JZ36)-InputData!$D$154))</f>
        <v>60947.379759350675</v>
      </c>
      <c r="KB36" s="32">
        <f t="shared" si="109"/>
        <v>64285.279487387779</v>
      </c>
      <c r="KC36" s="32">
        <f>IF(JN36&gt;=0,IF(JN36&lt;=InputData!$C$148,InputData!$C$147*JN36,InputData!$C$147*InputData!$C$148)+InputData!$C$149*JN36,0)</f>
        <v>10659.791447173098</v>
      </c>
      <c r="KD36" s="32">
        <f>IF(JW36&lt;0,0,IF(JW36&lt;=InputData!$B$163,InputData!$C$163*JW36,IF(JW36&lt;=InputData!$B$164,InputData!$D$163+InputData!$C$164*(JW36-InputData!$B$163),IF(JW36&lt;=InputData!$B$165,InputData!$D$164+InputData!$C$165*(JW36-InputData!$B$164),InputData!$D$165+InputData!$C$166*(JW36-InputData!$B$165)))))</f>
        <v>0</v>
      </c>
      <c r="KE36" s="43">
        <f>(KB36+KC36+KD36)/(JN36+JO36)</f>
        <v>0.30099327024553274</v>
      </c>
      <c r="KF36" s="32">
        <f>JN36+JO36-(KB36+KC36+KD36)</f>
        <v>174047.4426635839</v>
      </c>
      <c r="KG36" s="32">
        <f t="shared" si="110"/>
        <v>174047.4426635839</v>
      </c>
      <c r="KH36" s="32">
        <f>KG36/((1+InputData!$C$7)^(Ophtha!$B36-Ophtha!$B$7))</f>
        <v>73856.399162150556</v>
      </c>
      <c r="KI36" s="5">
        <f t="shared" si="129"/>
        <v>2181648.7134944568</v>
      </c>
    </row>
    <row r="37" spans="1:295" x14ac:dyDescent="0.25">
      <c r="BS37" s="32"/>
      <c r="BY37" s="5"/>
      <c r="BZ37" s="32"/>
      <c r="CA37" s="32"/>
      <c r="CB37" s="32"/>
      <c r="CI37" s="5"/>
      <c r="CJ37" s="32"/>
      <c r="CK37" s="5"/>
      <c r="CL37" s="32"/>
      <c r="FJ37" s="32"/>
      <c r="FK37" s="32"/>
      <c r="FL37" s="32"/>
      <c r="FM37" s="32"/>
    </row>
    <row r="38" spans="1:295" x14ac:dyDescent="0.25">
      <c r="BY38" s="5"/>
      <c r="BZ38" s="32"/>
      <c r="CA38" s="32"/>
      <c r="CB38" s="32"/>
      <c r="FJ38" s="32"/>
      <c r="FK38" s="32"/>
      <c r="FL38" s="32"/>
      <c r="FM38" s="32"/>
    </row>
    <row r="39" spans="1:295" x14ac:dyDescent="0.25">
      <c r="BY39" s="5"/>
      <c r="BZ39" s="32"/>
      <c r="CA39" s="32"/>
      <c r="CB39" s="32"/>
      <c r="FJ39" s="32"/>
      <c r="FK39" s="32"/>
      <c r="FL39" s="32"/>
      <c r="FM39" s="32"/>
    </row>
    <row r="40" spans="1:295" x14ac:dyDescent="0.25">
      <c r="BY40" s="5"/>
      <c r="BZ40" s="32"/>
      <c r="CA40" s="32"/>
      <c r="CB40" s="32"/>
      <c r="FJ40" s="32"/>
      <c r="FK40" s="32"/>
      <c r="FL40" s="32"/>
      <c r="FM40" s="32"/>
    </row>
    <row r="41" spans="1:295" x14ac:dyDescent="0.25">
      <c r="BY41" s="5"/>
      <c r="BZ41" s="32"/>
      <c r="CA41" s="32"/>
      <c r="CB41" s="32"/>
      <c r="FJ41" s="32"/>
      <c r="FK41" s="32"/>
      <c r="FL41" s="32"/>
      <c r="FM41" s="32"/>
    </row>
    <row r="42" spans="1:295" x14ac:dyDescent="0.25">
      <c r="FJ42" s="32"/>
      <c r="FK42" s="32"/>
      <c r="FL42" s="32"/>
      <c r="FM42" s="53"/>
    </row>
    <row r="43" spans="1:295" x14ac:dyDescent="0.25">
      <c r="FJ43" s="32"/>
      <c r="FK43" s="32"/>
      <c r="FL43" s="32"/>
      <c r="FM43" s="53"/>
    </row>
    <row r="44" spans="1:295" x14ac:dyDescent="0.25">
      <c r="FJ44" s="32"/>
      <c r="FK44" s="32"/>
      <c r="FL44" s="32"/>
      <c r="FM44" s="53"/>
    </row>
    <row r="45" spans="1:295" x14ac:dyDescent="0.25">
      <c r="FJ45" s="32"/>
      <c r="FK45" s="32"/>
      <c r="FL45" s="32"/>
      <c r="FM45" s="53"/>
    </row>
    <row r="46" spans="1:295" x14ac:dyDescent="0.25">
      <c r="FJ46" s="32"/>
      <c r="FK46" s="32"/>
      <c r="FL46" s="32"/>
      <c r="FM46" s="53"/>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T36"/>
  <sheetViews>
    <sheetView workbookViewId="0">
      <selection activeCell="G1" sqref="G1"/>
    </sheetView>
  </sheetViews>
  <sheetFormatPr defaultRowHeight="15" x14ac:dyDescent="0.25"/>
  <cols>
    <col min="1" max="1" width="5.28515625" customWidth="1"/>
    <col min="2" max="2" width="4.5703125" customWidth="1"/>
    <col min="3" max="3" width="13.140625" customWidth="1"/>
    <col min="4" max="4" width="13" customWidth="1"/>
    <col min="5" max="6" width="10.85546875" customWidth="1"/>
    <col min="7" max="7" width="11" customWidth="1"/>
    <col min="8" max="11" width="11.28515625" customWidth="1"/>
    <col min="12" max="12" width="10.85546875" customWidth="1"/>
    <col min="13" max="13" width="10.42578125" customWidth="1"/>
    <col min="14" max="14" width="10.85546875" customWidth="1"/>
    <col min="15" max="15" width="10.7109375" customWidth="1"/>
    <col min="16" max="16" width="10.42578125" customWidth="1"/>
    <col min="17" max="17" width="11" customWidth="1"/>
    <col min="18" max="18" width="9.28515625" customWidth="1"/>
  </cols>
  <sheetData>
    <row r="1" spans="1:20" ht="15.6" x14ac:dyDescent="0.3">
      <c r="B1" s="55" t="s">
        <v>463</v>
      </c>
      <c r="D1" s="55" t="s">
        <v>465</v>
      </c>
      <c r="G1" s="55" t="str">
        <f>InputData!$G$1</f>
        <v>San Antonio, TX</v>
      </c>
      <c r="S1" t="s">
        <v>462</v>
      </c>
      <c r="T1" t="str">
        <f>"Net Present Value of Cash Flows " &amp; D1 &amp; ", " &amp; G1</f>
        <v>Net Present Value of Cash Flows INTERNAL MEDICINE, San Antonio, TX</v>
      </c>
    </row>
    <row r="3" spans="1:20" ht="14.45" x14ac:dyDescent="0.3">
      <c r="A3" t="s">
        <v>252</v>
      </c>
      <c r="C3">
        <f>_xlfn.RANK.EQ(C$36,$C$36:$Q$36,0)</f>
        <v>5</v>
      </c>
      <c r="D3">
        <f t="shared" ref="D3:Q3" si="0">_xlfn.RANK.EQ(D$36,$C$36:$Q$36,0)</f>
        <v>6</v>
      </c>
      <c r="E3">
        <f t="shared" si="0"/>
        <v>9</v>
      </c>
      <c r="F3">
        <f t="shared" si="0"/>
        <v>12</v>
      </c>
      <c r="G3">
        <f t="shared" si="0"/>
        <v>11</v>
      </c>
      <c r="H3">
        <f t="shared" si="0"/>
        <v>14</v>
      </c>
      <c r="I3">
        <f t="shared" si="0"/>
        <v>8</v>
      </c>
      <c r="J3">
        <f t="shared" si="0"/>
        <v>10</v>
      </c>
      <c r="K3">
        <f t="shared" si="0"/>
        <v>13</v>
      </c>
      <c r="L3">
        <f t="shared" si="0"/>
        <v>1</v>
      </c>
      <c r="M3">
        <f t="shared" si="0"/>
        <v>4</v>
      </c>
      <c r="N3">
        <f t="shared" si="0"/>
        <v>2</v>
      </c>
      <c r="O3">
        <f t="shared" si="0"/>
        <v>3</v>
      </c>
      <c r="P3">
        <f t="shared" si="0"/>
        <v>7</v>
      </c>
      <c r="Q3">
        <f t="shared" si="0"/>
        <v>15</v>
      </c>
    </row>
    <row r="4" spans="1:20" ht="14.45" x14ac:dyDescent="0.3">
      <c r="A4" t="s">
        <v>253</v>
      </c>
      <c r="C4" s="26">
        <f>C$36/HLOOKUP(1,$C$3:$Q$36,34,FALSE)</f>
        <v>0.97062895936902949</v>
      </c>
      <c r="D4" s="26">
        <f t="shared" ref="D4:Q4" si="1">D$36/HLOOKUP(1,$C$3:$Q$36,34,FALSE)</f>
        <v>0.95457772981437661</v>
      </c>
      <c r="E4" s="26">
        <f t="shared" si="1"/>
        <v>0.86031653073465841</v>
      </c>
      <c r="F4" s="29">
        <f t="shared" si="1"/>
        <v>0.85900738880997163</v>
      </c>
      <c r="G4" s="26">
        <f t="shared" si="1"/>
        <v>0.85959913503442253</v>
      </c>
      <c r="H4" s="26">
        <f t="shared" si="1"/>
        <v>0.85612766012118158</v>
      </c>
      <c r="I4" s="26">
        <f t="shared" si="1"/>
        <v>0.86237076121471923</v>
      </c>
      <c r="J4" s="26">
        <f t="shared" si="1"/>
        <v>0.86028132597556262</v>
      </c>
      <c r="K4" s="26">
        <f t="shared" si="1"/>
        <v>0.85819607277561749</v>
      </c>
      <c r="L4" s="26">
        <f t="shared" si="1"/>
        <v>1</v>
      </c>
      <c r="M4" s="26">
        <f t="shared" si="1"/>
        <v>0.97361444871609826</v>
      </c>
      <c r="N4" s="26">
        <f t="shared" si="1"/>
        <v>0.9971904716280765</v>
      </c>
      <c r="O4" s="26">
        <f t="shared" si="1"/>
        <v>0.98744980240967817</v>
      </c>
      <c r="P4" s="26">
        <f t="shared" si="1"/>
        <v>0.87899383569228762</v>
      </c>
      <c r="Q4" s="26">
        <f t="shared" si="1"/>
        <v>0.81292103937618576</v>
      </c>
    </row>
    <row r="5" spans="1:20" ht="60.6" x14ac:dyDescent="0.3">
      <c r="A5" s="57" t="str">
        <f>IntMed!A5</f>
        <v>Year (calendar)</v>
      </c>
      <c r="B5" s="57" t="str">
        <f>IntMed!B5</f>
        <v>Year</v>
      </c>
      <c r="C5" s="58" t="str">
        <f>IntMed!X5</f>
        <v>NPV of USU Cash Flow (cumulative)</v>
      </c>
      <c r="D5" s="58" t="str">
        <f>IntMed!AT5</f>
        <v>NPV of HPSP Cash Flow (cumulative)</v>
      </c>
      <c r="E5" s="58" t="str">
        <f>IntMed!BV5</f>
        <v>NPV of STD cash flow (cumulative)</v>
      </c>
      <c r="F5" s="28" t="str">
        <f>IntMed!CF5</f>
        <v>NPV of EXT cash flow (cumulative)</v>
      </c>
      <c r="G5" s="58" t="str">
        <f>IntMed!CP5</f>
        <v>NPV of IBR cash flow (cumulative)</v>
      </c>
      <c r="H5" s="58" t="str">
        <f>IntMed!CZ5</f>
        <v>NPV of PAYE cash flow (cumulative)</v>
      </c>
      <c r="I5" s="58" t="str">
        <f>IntMed!DJ5</f>
        <v>NPV of STD10R cash flow w/out forbearance (cumulative)</v>
      </c>
      <c r="J5" s="58" t="str">
        <f>IntMed!DU5</f>
        <v>NPV of IBRR cash flow w/out forbearance (cumulative)</v>
      </c>
      <c r="K5" s="58" t="str">
        <f>IntMed!EF5</f>
        <v>NPV of PAYER cash flow  w/out forbearance (cumulative)</v>
      </c>
      <c r="L5" s="58" t="str">
        <f>IntMed!GZ5</f>
        <v>NPV of Ret20USU Cash Flow (cumulative)</v>
      </c>
      <c r="M5" s="58" t="str">
        <f>IntMed!HY5</f>
        <v>NPV of Ret20HPSP Cash Flow (cumulative)</v>
      </c>
      <c r="N5" s="58" t="str">
        <f>IntMed!IT5</f>
        <v>NPV of USUPriv Cash Flow (cumulative)</v>
      </c>
      <c r="O5" s="58" t="str">
        <f>IntMed!JO5</f>
        <v>NPV of HPSPPriv Cash Flow (cumulative)</v>
      </c>
      <c r="P5" s="58" t="str">
        <f>IntMed!KI5</f>
        <v>NPV of NHSC4 Cash Flow (cumulative)</v>
      </c>
      <c r="Q5" s="58" t="str">
        <f>IntMed!LO5</f>
        <v>NPV of PAYE cash flow  w/out forbearance (cumulative)</v>
      </c>
      <c r="R5" s="58" t="str">
        <f>IntMed!MQ5</f>
        <v>NPV of Zero Borrowing (cumulative)</v>
      </c>
    </row>
    <row r="6" spans="1:20" ht="14.45" x14ac:dyDescent="0.3">
      <c r="A6" s="46" t="str">
        <f>A5</f>
        <v>Year (calendar)</v>
      </c>
      <c r="B6" s="46" t="str">
        <f>B5</f>
        <v>Year</v>
      </c>
      <c r="C6" s="81" t="s">
        <v>518</v>
      </c>
      <c r="D6" s="81" t="s">
        <v>519</v>
      </c>
      <c r="E6" s="81" t="s">
        <v>214</v>
      </c>
      <c r="F6" s="81" t="s">
        <v>393</v>
      </c>
      <c r="G6" s="81" t="s">
        <v>16</v>
      </c>
      <c r="H6" s="81" t="s">
        <v>114</v>
      </c>
      <c r="I6" s="81" t="s">
        <v>520</v>
      </c>
      <c r="J6" s="81" t="s">
        <v>521</v>
      </c>
      <c r="K6" s="81" t="s">
        <v>522</v>
      </c>
      <c r="L6" s="81" t="s">
        <v>523</v>
      </c>
      <c r="M6" s="81" t="s">
        <v>524</v>
      </c>
      <c r="N6" s="81" t="s">
        <v>525</v>
      </c>
      <c r="O6" s="81" t="s">
        <v>526</v>
      </c>
      <c r="P6" s="81" t="s">
        <v>528</v>
      </c>
      <c r="Q6" s="81" t="s">
        <v>190</v>
      </c>
      <c r="R6" s="81" t="s">
        <v>527</v>
      </c>
    </row>
    <row r="7" spans="1:20" ht="14.45" x14ac:dyDescent="0.3">
      <c r="A7" s="53">
        <f>IntMed!A7</f>
        <v>2013</v>
      </c>
      <c r="B7" s="53">
        <f>IntMed!B7</f>
        <v>1</v>
      </c>
      <c r="C7" s="5">
        <f>IntMed!X7</f>
        <v>54056.194799999997</v>
      </c>
      <c r="D7" s="5">
        <f>IntMed!AT7</f>
        <v>43551.744866529771</v>
      </c>
      <c r="E7" s="5">
        <f>IntMed!BV7</f>
        <v>-43015.05</v>
      </c>
      <c r="F7" s="5">
        <f>IntMed!CF7</f>
        <v>-43015.05</v>
      </c>
      <c r="G7" s="5">
        <f>IntMed!CP7</f>
        <v>-43015.05</v>
      </c>
      <c r="H7" s="5">
        <f>IntMed!CZ7</f>
        <v>-43015.05</v>
      </c>
      <c r="I7" s="5">
        <f>IntMed!DJ7</f>
        <v>-43015.05</v>
      </c>
      <c r="J7" s="5">
        <f>IntMed!DU7</f>
        <v>-43015.05</v>
      </c>
      <c r="K7" s="5">
        <f>IntMed!EF7</f>
        <v>-43015.05</v>
      </c>
      <c r="L7" s="5">
        <f>IntMed!GZ7</f>
        <v>54056.194799999997</v>
      </c>
      <c r="M7" s="5">
        <f>IntMed!HY7</f>
        <v>43551.744866529771</v>
      </c>
      <c r="N7" s="5">
        <f>IntMed!IT7</f>
        <v>54056.194799999997</v>
      </c>
      <c r="O7" s="5">
        <f>IntMed!JO7</f>
        <v>43551.744866529771</v>
      </c>
      <c r="P7" s="5">
        <f>IntMed!KI7</f>
        <v>13737.898000000001</v>
      </c>
      <c r="Q7" s="5">
        <f>IntMed!LO7</f>
        <v>-43015.05</v>
      </c>
      <c r="R7" s="5">
        <f>IntMed!MQ7</f>
        <v>0</v>
      </c>
    </row>
    <row r="8" spans="1:20" ht="14.45" x14ac:dyDescent="0.3">
      <c r="A8" s="53">
        <f>IntMed!A8</f>
        <v>2014</v>
      </c>
      <c r="B8" s="53">
        <f>IntMed!B8</f>
        <v>2</v>
      </c>
      <c r="C8" s="5">
        <f>IntMed!X8</f>
        <v>106041.93556527697</v>
      </c>
      <c r="D8" s="5">
        <f>IntMed!AT8</f>
        <v>69389.851463288214</v>
      </c>
      <c r="E8" s="5">
        <f>IntMed!BV8</f>
        <v>-86352.285865219877</v>
      </c>
      <c r="F8" s="5">
        <f>IntMed!CF8</f>
        <v>-86352.285865219877</v>
      </c>
      <c r="G8" s="5">
        <f>IntMed!CP8</f>
        <v>-86352.285865219877</v>
      </c>
      <c r="H8" s="5">
        <f>IntMed!CZ8</f>
        <v>-86352.285865219877</v>
      </c>
      <c r="I8" s="5">
        <f>IntMed!DJ8</f>
        <v>-86352.285865219877</v>
      </c>
      <c r="J8" s="5">
        <f>IntMed!DU8</f>
        <v>-86352.285865219877</v>
      </c>
      <c r="K8" s="5">
        <f>IntMed!EF8</f>
        <v>-86352.285865219877</v>
      </c>
      <c r="L8" s="5">
        <f>IntMed!GZ8</f>
        <v>106041.93556527697</v>
      </c>
      <c r="M8" s="5">
        <f>IntMed!HY8</f>
        <v>69389.851463288214</v>
      </c>
      <c r="N8" s="5">
        <f>IntMed!IT8</f>
        <v>106041.93556527697</v>
      </c>
      <c r="O8" s="5">
        <f>IntMed!JO8</f>
        <v>69389.851463288214</v>
      </c>
      <c r="P8" s="5">
        <f>IntMed!KI8</f>
        <v>26833.174984580241</v>
      </c>
      <c r="Q8" s="5">
        <f>IntMed!LO8</f>
        <v>-86352.285865219877</v>
      </c>
      <c r="R8" s="5">
        <f>IntMed!MQ8</f>
        <v>0</v>
      </c>
    </row>
    <row r="9" spans="1:20" ht="14.45" x14ac:dyDescent="0.3">
      <c r="A9" s="53">
        <f>IntMed!A9</f>
        <v>2015</v>
      </c>
      <c r="B9" s="53">
        <f>IntMed!B9</f>
        <v>3</v>
      </c>
      <c r="C9" s="5">
        <f>IntMed!X9</f>
        <v>157045.52189700573</v>
      </c>
      <c r="D9" s="5">
        <f>IntMed!AT9</f>
        <v>94384.024082394724</v>
      </c>
      <c r="E9" s="5">
        <f>IntMed!BV9</f>
        <v>-138541.19578403595</v>
      </c>
      <c r="F9" s="5">
        <f>IntMed!CF9</f>
        <v>-138541.19578403595</v>
      </c>
      <c r="G9" s="5">
        <f>IntMed!CP9</f>
        <v>-138541.19578403595</v>
      </c>
      <c r="H9" s="5">
        <f>IntMed!CZ9</f>
        <v>-138541.19578403595</v>
      </c>
      <c r="I9" s="5">
        <f>IntMed!DJ9</f>
        <v>-138541.19578403595</v>
      </c>
      <c r="J9" s="5">
        <f>IntMed!DU9</f>
        <v>-138541.19578403595</v>
      </c>
      <c r="K9" s="5">
        <f>IntMed!EF9</f>
        <v>-138541.19578403595</v>
      </c>
      <c r="L9" s="5">
        <f>IntMed!GZ9</f>
        <v>157045.52189700573</v>
      </c>
      <c r="M9" s="5">
        <f>IntMed!HY9</f>
        <v>94384.024082394724</v>
      </c>
      <c r="N9" s="5">
        <f>IntMed!IT9</f>
        <v>157045.52189700573</v>
      </c>
      <c r="O9" s="5">
        <f>IntMed!JO9</f>
        <v>94384.024082394724</v>
      </c>
      <c r="P9" s="5">
        <f>IntMed!KI9</f>
        <v>39316.22701228669</v>
      </c>
      <c r="Q9" s="5">
        <f>IntMed!LO9</f>
        <v>-138541.19578403595</v>
      </c>
      <c r="R9" s="5">
        <f>IntMed!MQ9</f>
        <v>0</v>
      </c>
    </row>
    <row r="10" spans="1:20" ht="14.45" x14ac:dyDescent="0.3">
      <c r="A10" s="53">
        <f>IntMed!A10</f>
        <v>2016</v>
      </c>
      <c r="B10" s="53">
        <f>IntMed!B10</f>
        <v>4</v>
      </c>
      <c r="C10" s="5">
        <f>IntMed!X10</f>
        <v>211251.55229740124</v>
      </c>
      <c r="D10" s="5">
        <f>IntMed!AT10</f>
        <v>119127.82998672797</v>
      </c>
      <c r="E10" s="5">
        <f>IntMed!BV10</f>
        <v>-190867.38028908212</v>
      </c>
      <c r="F10" s="5">
        <f>IntMed!CF10</f>
        <v>-190867.38028908212</v>
      </c>
      <c r="G10" s="5">
        <f>IntMed!CP10</f>
        <v>-190867.38028908212</v>
      </c>
      <c r="H10" s="5">
        <f>IntMed!CZ10</f>
        <v>-190867.38028908212</v>
      </c>
      <c r="I10" s="5">
        <f>IntMed!DJ10</f>
        <v>-190867.38028908212</v>
      </c>
      <c r="J10" s="5">
        <f>IntMed!DU10</f>
        <v>-190867.38028908212</v>
      </c>
      <c r="K10" s="5">
        <f>IntMed!EF10</f>
        <v>-190867.38028908212</v>
      </c>
      <c r="L10" s="5">
        <f>IntMed!GZ10</f>
        <v>211251.55229740124</v>
      </c>
      <c r="M10" s="5">
        <f>IntMed!HY10</f>
        <v>119127.82998672797</v>
      </c>
      <c r="N10" s="5">
        <f>IntMed!IT10</f>
        <v>211251.55229740124</v>
      </c>
      <c r="O10" s="5">
        <f>IntMed!JO10</f>
        <v>119127.82998672797</v>
      </c>
      <c r="P10" s="5">
        <f>IntMed!KI10</f>
        <v>51216.002327239214</v>
      </c>
      <c r="Q10" s="5">
        <f>IntMed!LO10</f>
        <v>-190867.3802890821</v>
      </c>
      <c r="R10" s="5">
        <f>IntMed!MQ10</f>
        <v>0</v>
      </c>
    </row>
    <row r="11" spans="1:20" ht="14.45" x14ac:dyDescent="0.3">
      <c r="A11" s="53">
        <f>IntMed!A11</f>
        <v>2017</v>
      </c>
      <c r="B11" s="53">
        <f>IntMed!B11</f>
        <v>5</v>
      </c>
      <c r="C11" s="5">
        <f>IntMed!X11</f>
        <v>261213.54479899554</v>
      </c>
      <c r="D11" s="5">
        <f>IntMed!AT11</f>
        <v>169089.82248832227</v>
      </c>
      <c r="E11" s="5">
        <f>IntMed!BV11</f>
        <v>-154981.05168717628</v>
      </c>
      <c r="F11" s="5">
        <f>IntMed!CF11</f>
        <v>-154981.05168717628</v>
      </c>
      <c r="G11" s="5">
        <f>IntMed!CP11</f>
        <v>-154981.05168717628</v>
      </c>
      <c r="H11" s="5">
        <f>IntMed!CZ11</f>
        <v>-154981.05168717628</v>
      </c>
      <c r="I11" s="5">
        <f>IntMed!DJ11</f>
        <v>-166943.9067383607</v>
      </c>
      <c r="J11" s="5">
        <f>IntMed!DU11</f>
        <v>-159376.263840158</v>
      </c>
      <c r="K11" s="5">
        <f>IntMed!EF11</f>
        <v>-157911.19312249744</v>
      </c>
      <c r="L11" s="5">
        <f>IntMed!GZ11</f>
        <v>261213.54479899554</v>
      </c>
      <c r="M11" s="5">
        <f>IntMed!HY11</f>
        <v>169089.82248832227</v>
      </c>
      <c r="N11" s="5">
        <f>IntMed!IT11</f>
        <v>261213.54479899554</v>
      </c>
      <c r="O11" s="5">
        <f>IntMed!JO11</f>
        <v>169089.82248832227</v>
      </c>
      <c r="P11" s="5">
        <f>IntMed!KI11</f>
        <v>87102.330929145042</v>
      </c>
      <c r="Q11" s="5">
        <f>IntMed!LO11</f>
        <v>-157911.19312249741</v>
      </c>
      <c r="R11" s="5">
        <f>IntMed!MQ11</f>
        <v>35886.328601905836</v>
      </c>
    </row>
    <row r="12" spans="1:20" ht="14.45" x14ac:dyDescent="0.3">
      <c r="A12" s="53">
        <f>IntMed!A12</f>
        <v>2018</v>
      </c>
      <c r="B12" s="53">
        <f>IntMed!B12</f>
        <v>6</v>
      </c>
      <c r="C12" s="5">
        <f>IntMed!X12</f>
        <v>311474.37448667729</v>
      </c>
      <c r="D12" s="5">
        <f>IntMed!AT12</f>
        <v>219350.65217600405</v>
      </c>
      <c r="E12" s="5">
        <f>IntMed!BV12</f>
        <v>-118995.92937851879</v>
      </c>
      <c r="F12" s="5">
        <f>IntMed!CF12</f>
        <v>-118995.92937851879</v>
      </c>
      <c r="G12" s="5">
        <f>IntMed!CP12</f>
        <v>-118995.92937851879</v>
      </c>
      <c r="H12" s="5">
        <f>IntMed!CZ12</f>
        <v>-118995.92937851879</v>
      </c>
      <c r="I12" s="5">
        <f>IntMed!DJ12</f>
        <v>-153732.16164497906</v>
      </c>
      <c r="J12" s="5">
        <f>IntMed!DU12</f>
        <v>-127913.13213476112</v>
      </c>
      <c r="K12" s="5">
        <f>IntMed!EF12</f>
        <v>-124940.73121601369</v>
      </c>
      <c r="L12" s="5">
        <f>IntMed!GZ12</f>
        <v>311474.37448667729</v>
      </c>
      <c r="M12" s="5">
        <f>IntMed!HY12</f>
        <v>219350.65217600405</v>
      </c>
      <c r="N12" s="5">
        <f>IntMed!IT12</f>
        <v>311474.37448667729</v>
      </c>
      <c r="O12" s="5">
        <f>IntMed!JO12</f>
        <v>219350.65217600405</v>
      </c>
      <c r="P12" s="5">
        <f>IntMed!KI12</f>
        <v>123087.45323780252</v>
      </c>
      <c r="Q12" s="5">
        <f>IntMed!LO12</f>
        <v>-124940.73121601366</v>
      </c>
      <c r="R12" s="5">
        <f>IntMed!MQ12</f>
        <v>71871.450910563319</v>
      </c>
    </row>
    <row r="13" spans="1:20" ht="14.45" x14ac:dyDescent="0.3">
      <c r="A13" s="53">
        <f>IntMed!A13</f>
        <v>2019</v>
      </c>
      <c r="B13" s="53">
        <f>IntMed!B13</f>
        <v>7</v>
      </c>
      <c r="C13" s="5">
        <f>IntMed!X13</f>
        <v>363115.97670968575</v>
      </c>
      <c r="D13" s="5">
        <f>IntMed!AT13</f>
        <v>270992.25439901254</v>
      </c>
      <c r="E13" s="5">
        <f>IntMed!BV13</f>
        <v>-82904.654937055282</v>
      </c>
      <c r="F13" s="5">
        <f>IntMed!CF13</f>
        <v>-82904.654937055282</v>
      </c>
      <c r="G13" s="5">
        <f>IntMed!CP13</f>
        <v>-82904.654937055282</v>
      </c>
      <c r="H13" s="5">
        <f>IntMed!CZ13</f>
        <v>-82904.654937055282</v>
      </c>
      <c r="I13" s="5">
        <f>IntMed!DJ13</f>
        <v>-139317.43128811088</v>
      </c>
      <c r="J13" s="5">
        <f>IntMed!DU13</f>
        <v>-96469.213883902426</v>
      </c>
      <c r="K13" s="5">
        <f>IntMed!EF13</f>
        <v>-91947.694234953393</v>
      </c>
      <c r="L13" s="5">
        <f>IntMed!GZ13</f>
        <v>363115.97670968575</v>
      </c>
      <c r="M13" s="5">
        <f>IntMed!HY13</f>
        <v>270992.25439901254</v>
      </c>
      <c r="N13" s="5">
        <f>IntMed!IT13</f>
        <v>363115.97670968575</v>
      </c>
      <c r="O13" s="5">
        <f>IntMed!JO13</f>
        <v>270992.25439901254</v>
      </c>
      <c r="P13" s="5">
        <f>IntMed!KI13</f>
        <v>159178.72767926601</v>
      </c>
      <c r="Q13" s="5">
        <f>IntMed!LO13</f>
        <v>-91947.694234953364</v>
      </c>
      <c r="R13" s="5">
        <f>IntMed!MQ13</f>
        <v>107962.72535202681</v>
      </c>
    </row>
    <row r="14" spans="1:20" ht="14.45" x14ac:dyDescent="0.3">
      <c r="A14" s="53">
        <f>IntMed!A14</f>
        <v>2020</v>
      </c>
      <c r="B14" s="53">
        <f>IntMed!B14</f>
        <v>8</v>
      </c>
      <c r="C14" s="5">
        <f>IntMed!X14</f>
        <v>423874.97502869397</v>
      </c>
      <c r="D14" s="5">
        <f>IntMed!AT14</f>
        <v>331751.25271802075</v>
      </c>
      <c r="E14" s="5">
        <f>IntMed!BV14</f>
        <v>-3236.2026610360772</v>
      </c>
      <c r="F14" s="5">
        <f>IntMed!CF14</f>
        <v>6739.1724907189346</v>
      </c>
      <c r="G14" s="5">
        <f>IntMed!CP14</f>
        <v>931.05610505286313</v>
      </c>
      <c r="H14" s="5">
        <f>IntMed!CZ14</f>
        <v>7487.2162338921626</v>
      </c>
      <c r="I14" s="5">
        <f>IntMed!DJ14</f>
        <v>-56445.777537569098</v>
      </c>
      <c r="J14" s="5">
        <f>IntMed!DU14</f>
        <v>-12633.502841794281</v>
      </c>
      <c r="K14" s="5">
        <f>IntMed!EF14</f>
        <v>-1555.8230640059483</v>
      </c>
      <c r="L14" s="5">
        <f>IntMed!GZ14</f>
        <v>423874.97502869397</v>
      </c>
      <c r="M14" s="5">
        <f>IntMed!HY14</f>
        <v>331751.25271802075</v>
      </c>
      <c r="N14" s="5">
        <f>IntMed!IT14</f>
        <v>423874.97502869397</v>
      </c>
      <c r="O14" s="5">
        <f>IntMed!JO14</f>
        <v>331751.25271802075</v>
      </c>
      <c r="P14" s="5">
        <f>IntMed!KI14</f>
        <v>241485.8266800486</v>
      </c>
      <c r="Q14" s="5">
        <f>IntMed!LO14</f>
        <v>-7203.3353537460498</v>
      </c>
      <c r="R14" s="5">
        <f>IntMed!MQ14</f>
        <v>211466.91678065286</v>
      </c>
    </row>
    <row r="15" spans="1:20" ht="14.45" x14ac:dyDescent="0.3">
      <c r="A15" s="53">
        <f>IntMed!A15</f>
        <v>2021</v>
      </c>
      <c r="B15" s="53">
        <f>IntMed!B15</f>
        <v>9</v>
      </c>
      <c r="C15" s="5">
        <f>IntMed!X15</f>
        <v>484834.5605219836</v>
      </c>
      <c r="D15" s="5">
        <f>IntMed!AT15</f>
        <v>392710.83821131039</v>
      </c>
      <c r="E15" s="5">
        <f>IntMed!BV15</f>
        <v>75540.188423989472</v>
      </c>
      <c r="F15" s="5">
        <f>IntMed!CF15</f>
        <v>95010.495187923254</v>
      </c>
      <c r="G15" s="5">
        <f>IntMed!CP15</f>
        <v>83092.354772599268</v>
      </c>
      <c r="H15" s="5">
        <f>IntMed!CZ15</f>
        <v>96082.792218022878</v>
      </c>
      <c r="I15" s="5">
        <f>IntMed!DJ15</f>
        <v>25379.539375100256</v>
      </c>
      <c r="J15" s="5">
        <f>IntMed!DU15</f>
        <v>69527.795825752124</v>
      </c>
      <c r="K15" s="5">
        <f>IntMed!EF15</f>
        <v>87039.752920124767</v>
      </c>
      <c r="L15" s="5">
        <f>IntMed!GZ15</f>
        <v>484834.5605219836</v>
      </c>
      <c r="M15" s="5">
        <f>IntMed!HY15</f>
        <v>392710.83821131039</v>
      </c>
      <c r="N15" s="5">
        <f>IntMed!IT15</f>
        <v>484834.5605219836</v>
      </c>
      <c r="O15" s="5">
        <f>IntMed!JO15</f>
        <v>392710.83821131039</v>
      </c>
      <c r="P15" s="5">
        <f>IntMed!KI15</f>
        <v>322160.04281040467</v>
      </c>
      <c r="Q15" s="5">
        <f>IntMed!LO15</f>
        <v>76047.069009965111</v>
      </c>
      <c r="R15" s="5">
        <f>IntMed!MQ15</f>
        <v>312931.04739795218</v>
      </c>
    </row>
    <row r="16" spans="1:20" ht="14.45" x14ac:dyDescent="0.3">
      <c r="A16" s="53">
        <f>IntMed!A16</f>
        <v>2022</v>
      </c>
      <c r="B16" s="53">
        <f>IntMed!B16</f>
        <v>10</v>
      </c>
      <c r="C16" s="5">
        <f>IntMed!X16</f>
        <v>543487.76383678697</v>
      </c>
      <c r="D16" s="5">
        <f>IntMed!AT16</f>
        <v>451364.04152611369</v>
      </c>
      <c r="E16" s="5">
        <f>IntMed!BV16</f>
        <v>153409.53622958992</v>
      </c>
      <c r="F16" s="5">
        <f>IntMed!CF16</f>
        <v>181917.47064646371</v>
      </c>
      <c r="G16" s="5">
        <f>IntMed!CP16</f>
        <v>163612.96321193108</v>
      </c>
      <c r="H16" s="5">
        <f>IntMed!CZ16</f>
        <v>182917.9907679187</v>
      </c>
      <c r="I16" s="5">
        <f>IntMed!DJ16</f>
        <v>106150.96773242716</v>
      </c>
      <c r="J16" s="5">
        <f>IntMed!DU16</f>
        <v>150299.22418307903</v>
      </c>
      <c r="K16" s="5">
        <f>IntMed!EF16</f>
        <v>173874.95147002058</v>
      </c>
      <c r="L16" s="5">
        <f>IntMed!GZ16</f>
        <v>543487.76383678697</v>
      </c>
      <c r="M16" s="5">
        <f>IntMed!HY16</f>
        <v>451364.04152611369</v>
      </c>
      <c r="N16" s="5">
        <f>IntMed!IT16</f>
        <v>543487.76383678697</v>
      </c>
      <c r="O16" s="5">
        <f>IntMed!JO16</f>
        <v>451364.04152611369</v>
      </c>
      <c r="P16" s="5">
        <f>IntMed!KI16</f>
        <v>401233.94730921235</v>
      </c>
      <c r="Q16" s="5">
        <f>IntMed!LO16</f>
        <v>157792.6553459086</v>
      </c>
      <c r="R16" s="5">
        <f>IntMed!MQ16</f>
        <v>412395.426168976</v>
      </c>
    </row>
    <row r="17" spans="1:18" ht="14.45" x14ac:dyDescent="0.3">
      <c r="A17" s="53">
        <f>IntMed!A17</f>
        <v>2023</v>
      </c>
      <c r="B17" s="53">
        <f>IntMed!B17</f>
        <v>11</v>
      </c>
      <c r="C17" s="5">
        <f>IntMed!X17</f>
        <v>607173.55986387469</v>
      </c>
      <c r="D17" s="5">
        <f>IntMed!AT17</f>
        <v>515049.83755320142</v>
      </c>
      <c r="E17" s="5">
        <f>IntMed!BV17</f>
        <v>230358.72231171071</v>
      </c>
      <c r="F17" s="5">
        <f>IntMed!CF17</f>
        <v>267469.0055320682</v>
      </c>
      <c r="G17" s="5">
        <f>IntMed!CP17</f>
        <v>242525.91641303879</v>
      </c>
      <c r="H17" s="5">
        <f>IntMed!CZ17</f>
        <v>268028.00508655154</v>
      </c>
      <c r="I17" s="5">
        <f>IntMed!DJ17</f>
        <v>185862.46159269992</v>
      </c>
      <c r="J17" s="5">
        <f>IntMed!DU17</f>
        <v>230010.71804335178</v>
      </c>
      <c r="K17" s="5">
        <f>IntMed!EF17</f>
        <v>258984.96578865341</v>
      </c>
      <c r="L17" s="5">
        <f>IntMed!GZ17</f>
        <v>607173.55986387469</v>
      </c>
      <c r="M17" s="5">
        <f>IntMed!HY17</f>
        <v>515049.83755320142</v>
      </c>
      <c r="N17" s="5">
        <f>IntMed!IT17</f>
        <v>607173.55986387469</v>
      </c>
      <c r="O17" s="5">
        <f>IntMed!JO17</f>
        <v>515049.83755320142</v>
      </c>
      <c r="P17" s="5">
        <f>IntMed!KI17</f>
        <v>478739.45662979071</v>
      </c>
      <c r="Q17" s="5">
        <f>IntMed!LO17</f>
        <v>238025.62422551654</v>
      </c>
      <c r="R17" s="5">
        <f>IntMed!MQ17</f>
        <v>509899.56272265909</v>
      </c>
    </row>
    <row r="18" spans="1:18" ht="14.45" x14ac:dyDescent="0.3">
      <c r="A18" s="53">
        <f>IntMed!A18</f>
        <v>2024</v>
      </c>
      <c r="B18" s="53">
        <f>IntMed!B18</f>
        <v>12</v>
      </c>
      <c r="C18" s="5">
        <f>IntMed!X18</f>
        <v>668444.78607626876</v>
      </c>
      <c r="D18" s="5">
        <f>IntMed!AT18</f>
        <v>600551.07119948231</v>
      </c>
      <c r="E18" s="5">
        <f>IntMed!BV18</f>
        <v>306376.37954801781</v>
      </c>
      <c r="F18" s="5">
        <f>IntMed!CF18</f>
        <v>351674.6970378249</v>
      </c>
      <c r="G18" s="5">
        <f>IntMed!CP18</f>
        <v>319863.57643868041</v>
      </c>
      <c r="H18" s="5">
        <f>IntMed!CZ18</f>
        <v>351447.31862481689</v>
      </c>
      <c r="I18" s="5">
        <f>IntMed!DJ18</f>
        <v>264509.38570331881</v>
      </c>
      <c r="J18" s="5">
        <f>IntMed!DU18</f>
        <v>308657.64215397066</v>
      </c>
      <c r="K18" s="5">
        <f>IntMed!EF18</f>
        <v>342404.27932691877</v>
      </c>
      <c r="L18" s="5">
        <f>IntMed!GZ18</f>
        <v>668444.78607626876</v>
      </c>
      <c r="M18" s="5">
        <f>IntMed!HY18</f>
        <v>600551.07119948231</v>
      </c>
      <c r="N18" s="5">
        <f>IntMed!IT18</f>
        <v>668444.78607626876</v>
      </c>
      <c r="O18" s="5">
        <f>IntMed!JO18</f>
        <v>601172.8318493634</v>
      </c>
      <c r="P18" s="5">
        <f>IntMed!KI18</f>
        <v>554707.84574874945</v>
      </c>
      <c r="Q18" s="5">
        <f>IntMed!LO18</f>
        <v>315972.89442811173</v>
      </c>
      <c r="R18" s="5">
        <f>IntMed!MQ18</f>
        <v>605482.18328617187</v>
      </c>
    </row>
    <row r="19" spans="1:18" ht="14.45" x14ac:dyDescent="0.3">
      <c r="A19" s="53">
        <f>IntMed!A19</f>
        <v>2025</v>
      </c>
      <c r="B19" s="53">
        <f>IntMed!B19</f>
        <v>13</v>
      </c>
      <c r="C19" s="5">
        <f>IntMed!X19</f>
        <v>728871.24943829409</v>
      </c>
      <c r="D19" s="5">
        <f>IntMed!AT19</f>
        <v>684313.1123290431</v>
      </c>
      <c r="E19" s="5">
        <f>IntMed!BV19</f>
        <v>381452.78567243472</v>
      </c>
      <c r="F19" s="5">
        <f>IntMed!CF19</f>
        <v>434544.77750970959</v>
      </c>
      <c r="G19" s="5">
        <f>IntMed!CP19</f>
        <v>395657.64635249873</v>
      </c>
      <c r="H19" s="5">
        <f>IntMed!CZ19</f>
        <v>433209.71957171493</v>
      </c>
      <c r="I19" s="5">
        <f>IntMed!DJ19</f>
        <v>342088.42544120597</v>
      </c>
      <c r="J19" s="5">
        <f>IntMed!DU19</f>
        <v>386236.68189185776</v>
      </c>
      <c r="K19" s="5">
        <f>IntMed!EF19</f>
        <v>424166.6802738168</v>
      </c>
      <c r="L19" s="5">
        <f>IntMed!GZ19</f>
        <v>728871.24943829409</v>
      </c>
      <c r="M19" s="5">
        <f>IntMed!HY19</f>
        <v>684313.1123290431</v>
      </c>
      <c r="N19" s="5">
        <f>IntMed!IT19</f>
        <v>728871.24943829409</v>
      </c>
      <c r="O19" s="5">
        <f>IntMed!JO19</f>
        <v>685597.75146305724</v>
      </c>
      <c r="P19" s="5">
        <f>IntMed!KI19</f>
        <v>629169.76120019332</v>
      </c>
      <c r="Q19" s="5">
        <f>IntMed!LO19</f>
        <v>391691.51370933955</v>
      </c>
      <c r="R19" s="5">
        <f>IntMed!MQ19</f>
        <v>699181.24629922933</v>
      </c>
    </row>
    <row r="20" spans="1:18" ht="14.45" x14ac:dyDescent="0.3">
      <c r="A20" s="53">
        <f>IntMed!A20</f>
        <v>2026</v>
      </c>
      <c r="B20" s="53">
        <f>IntMed!B20</f>
        <v>14</v>
      </c>
      <c r="C20" s="5">
        <f>IntMed!X20</f>
        <v>787006.42688072962</v>
      </c>
      <c r="D20" s="5">
        <f>IntMed!AT20</f>
        <v>764854.60947290598</v>
      </c>
      <c r="E20" s="5">
        <f>IntMed!BV20</f>
        <v>455579.76237585605</v>
      </c>
      <c r="F20" s="5">
        <f>IntMed!CF20</f>
        <v>516090.06217759667</v>
      </c>
      <c r="G20" s="5">
        <f>IntMed!CP20</f>
        <v>469939.18385267572</v>
      </c>
      <c r="H20" s="5">
        <f>IntMed!CZ20</f>
        <v>513348.31504370773</v>
      </c>
      <c r="I20" s="5">
        <f>IntMed!DJ20</f>
        <v>418597.50152923632</v>
      </c>
      <c r="J20" s="5">
        <f>IntMed!DU20</f>
        <v>462745.75797988812</v>
      </c>
      <c r="K20" s="5">
        <f>IntMed!EF20</f>
        <v>504305.2757458096</v>
      </c>
      <c r="L20" s="5">
        <f>IntMed!GZ20</f>
        <v>787006.42688072962</v>
      </c>
      <c r="M20" s="5">
        <f>IntMed!HY20</f>
        <v>764854.60947290598</v>
      </c>
      <c r="N20" s="5">
        <f>IntMed!IT20</f>
        <v>787006.42688072962</v>
      </c>
      <c r="O20" s="5">
        <f>IntMed!JO20</f>
        <v>768358.16542832518</v>
      </c>
      <c r="P20" s="5">
        <f>IntMed!KI20</f>
        <v>702155.23384106648</v>
      </c>
      <c r="Q20" s="5">
        <f>IntMed!LO20</f>
        <v>465237.5280574917</v>
      </c>
      <c r="R20" s="5">
        <f>IntMed!MQ20</f>
        <v>791033.95771485369</v>
      </c>
    </row>
    <row r="21" spans="1:18" ht="14.45" x14ac:dyDescent="0.3">
      <c r="A21" s="53">
        <f>IntMed!A21</f>
        <v>2027</v>
      </c>
      <c r="B21" s="53">
        <f>IntMed!B21</f>
        <v>15</v>
      </c>
      <c r="C21" s="5">
        <f>IntMed!X21</f>
        <v>866692.12305053731</v>
      </c>
      <c r="D21" s="5">
        <f>IntMed!AT21</f>
        <v>844540.30564271368</v>
      </c>
      <c r="E21" s="5">
        <f>IntMed!BV21</f>
        <v>528692.1950825532</v>
      </c>
      <c r="F21" s="5">
        <f>IntMed!CF21</f>
        <v>596263.51521978376</v>
      </c>
      <c r="G21" s="5">
        <f>IntMed!CP21</f>
        <v>543051.61655937287</v>
      </c>
      <c r="H21" s="5">
        <f>IntMed!CZ21</f>
        <v>591837.16036597476</v>
      </c>
      <c r="I21" s="5">
        <f>IntMed!DJ21</f>
        <v>501279.62493496819</v>
      </c>
      <c r="J21" s="5">
        <f>IntMed!DU21</f>
        <v>538125.56112691364</v>
      </c>
      <c r="K21" s="5">
        <f>IntMed!EF21</f>
        <v>582794.1210680767</v>
      </c>
      <c r="L21" s="5">
        <f>IntMed!GZ21</f>
        <v>866692.12305053731</v>
      </c>
      <c r="M21" s="5">
        <f>IntMed!HY21</f>
        <v>844540.30564271368</v>
      </c>
      <c r="N21" s="5">
        <f>IntMed!IT21</f>
        <v>868135.23805063753</v>
      </c>
      <c r="O21" s="5">
        <f>IntMed!JO21</f>
        <v>849486.97659823322</v>
      </c>
      <c r="P21" s="5">
        <f>IntMed!KI21</f>
        <v>773693.69135329383</v>
      </c>
      <c r="Q21" s="5">
        <f>IntMed!LO21</f>
        <v>536665.9741005844</v>
      </c>
      <c r="R21" s="5">
        <f>IntMed!MQ21</f>
        <v>881018.40137929213</v>
      </c>
    </row>
    <row r="22" spans="1:18" ht="14.45" x14ac:dyDescent="0.3">
      <c r="A22" s="53">
        <f>IntMed!A22</f>
        <v>2028</v>
      </c>
      <c r="B22" s="53">
        <f>IntMed!B22</f>
        <v>16</v>
      </c>
      <c r="C22" s="5">
        <f>IntMed!X22</f>
        <v>943313.86216143309</v>
      </c>
      <c r="D22" s="5">
        <f>IntMed!AT22</f>
        <v>921162.04475360946</v>
      </c>
      <c r="E22" s="5">
        <f>IntMed!BV22</f>
        <v>600784.66425864561</v>
      </c>
      <c r="F22" s="5">
        <f>IntMed!CF22</f>
        <v>675076.92513020895</v>
      </c>
      <c r="G22" s="5">
        <f>IntMed!CP22</f>
        <v>615144.08573546528</v>
      </c>
      <c r="H22" s="5">
        <f>IntMed!CZ22</f>
        <v>668707.99457149941</v>
      </c>
      <c r="I22" s="5">
        <f>IntMed!DJ22</f>
        <v>589431.49917268381</v>
      </c>
      <c r="J22" s="5">
        <f>IntMed!DU22</f>
        <v>612376.1974839773</v>
      </c>
      <c r="K22" s="5">
        <f>IntMed!EF22</f>
        <v>659664.95527360134</v>
      </c>
      <c r="L22" s="5">
        <f>IntMed!GZ22</f>
        <v>943313.86216143309</v>
      </c>
      <c r="M22" s="5">
        <f>IntMed!HY22</f>
        <v>921162.04475360946</v>
      </c>
      <c r="N22" s="5">
        <f>IntMed!IT22</f>
        <v>947664.69639162696</v>
      </c>
      <c r="O22" s="5">
        <f>IntMed!JO22</f>
        <v>929016.43493922264</v>
      </c>
      <c r="P22" s="5">
        <f>IntMed!KI22</f>
        <v>843113.05724170024</v>
      </c>
      <c r="Q22" s="5">
        <f>IntMed!LO22</f>
        <v>606030.87359118427</v>
      </c>
      <c r="R22" s="5">
        <f>IntMed!MQ22</f>
        <v>969170.27561700775</v>
      </c>
    </row>
    <row r="23" spans="1:18" ht="14.45" x14ac:dyDescent="0.3">
      <c r="A23" s="53">
        <f>IntMed!A23</f>
        <v>2029</v>
      </c>
      <c r="B23" s="53">
        <f>IntMed!B23</f>
        <v>17</v>
      </c>
      <c r="C23" s="5">
        <f>IntMed!X23</f>
        <v>1019655.3707134107</v>
      </c>
      <c r="D23" s="5">
        <f>IntMed!AT23</f>
        <v>997503.55330558703</v>
      </c>
      <c r="E23" s="5">
        <f>IntMed!BV23</f>
        <v>671855.95062953397</v>
      </c>
      <c r="F23" s="5">
        <f>IntMed!CF23</f>
        <v>752545.45187263051</v>
      </c>
      <c r="G23" s="5">
        <f>IntMed!CP23</f>
        <v>686215.37210635364</v>
      </c>
      <c r="H23" s="5">
        <f>IntMed!CZ23</f>
        <v>743994.84475145221</v>
      </c>
      <c r="I23" s="5">
        <f>IntMed!DJ23</f>
        <v>675788.72220988013</v>
      </c>
      <c r="J23" s="5">
        <f>IntMed!DU23</f>
        <v>685501.70732809161</v>
      </c>
      <c r="K23" s="5">
        <f>IntMed!EF23</f>
        <v>734951.80545355415</v>
      </c>
      <c r="L23" s="5">
        <f>IntMed!GZ23</f>
        <v>1019655.3707134107</v>
      </c>
      <c r="M23" s="5">
        <f>IntMed!HY23</f>
        <v>997503.55330558703</v>
      </c>
      <c r="N23" s="5">
        <f>IntMed!IT23</f>
        <v>1025626.4120104356</v>
      </c>
      <c r="O23" s="5">
        <f>IntMed!JO23</f>
        <v>1006978.1505580313</v>
      </c>
      <c r="P23" s="5">
        <f>IntMed!KI23</f>
        <v>911162.91751483921</v>
      </c>
      <c r="Q23" s="5">
        <f>IntMed!LO23</f>
        <v>672847.30892490898</v>
      </c>
      <c r="R23" s="5">
        <f>IntMed!MQ23</f>
        <v>1055527.4986542042</v>
      </c>
    </row>
    <row r="24" spans="1:18" x14ac:dyDescent="0.25">
      <c r="A24" s="53">
        <f>IntMed!A24</f>
        <v>2030</v>
      </c>
      <c r="B24" s="53">
        <f>IntMed!B24</f>
        <v>18</v>
      </c>
      <c r="C24" s="5">
        <f>IntMed!X24</f>
        <v>1093061.2692764015</v>
      </c>
      <c r="D24" s="5">
        <f>IntMed!AT24</f>
        <v>1070909.4518685779</v>
      </c>
      <c r="E24" s="5">
        <f>IntMed!BV24</f>
        <v>756455.63936790894</v>
      </c>
      <c r="F24" s="5">
        <f>IntMed!CF24</f>
        <v>828684.55019145983</v>
      </c>
      <c r="G24" s="5">
        <f>IntMed!CP24</f>
        <v>756265.3400506035</v>
      </c>
      <c r="H24" s="5">
        <f>IntMed!CZ24</f>
        <v>817731.0037685649</v>
      </c>
      <c r="I24" s="5">
        <f>IntMed!DJ24</f>
        <v>760388.41094825533</v>
      </c>
      <c r="J24" s="5">
        <f>IntMed!DU24</f>
        <v>757506.96127388917</v>
      </c>
      <c r="K24" s="5">
        <f>IntMed!EF24</f>
        <v>808687.96447066683</v>
      </c>
      <c r="L24" s="5">
        <f>IntMed!GZ24</f>
        <v>1093061.2692764015</v>
      </c>
      <c r="M24" s="5">
        <f>IntMed!HY24</f>
        <v>1070909.4518685779</v>
      </c>
      <c r="N24" s="5">
        <f>IntMed!IT24</f>
        <v>1102051.367919029</v>
      </c>
      <c r="O24" s="5">
        <f>IntMed!JO24</f>
        <v>1083403.1064666247</v>
      </c>
      <c r="P24" s="5">
        <f>IntMed!KI24</f>
        <v>977870.3681825801</v>
      </c>
      <c r="Q24" s="5">
        <f>IntMed!LO24</f>
        <v>749272.26483350236</v>
      </c>
      <c r="R24" s="5">
        <f>IntMed!MQ24</f>
        <v>1140127.1873925794</v>
      </c>
    </row>
    <row r="25" spans="1:18" x14ac:dyDescent="0.25">
      <c r="A25" s="53">
        <f>IntMed!A25</f>
        <v>2031</v>
      </c>
      <c r="B25" s="53">
        <f>IntMed!B25</f>
        <v>19</v>
      </c>
      <c r="C25" s="5">
        <f>IntMed!X25</f>
        <v>1164922.7432174559</v>
      </c>
      <c r="D25" s="5">
        <f>IntMed!AT25</f>
        <v>1142770.9258096323</v>
      </c>
      <c r="E25" s="5">
        <f>IntMed!BV25</f>
        <v>839334.12678126583</v>
      </c>
      <c r="F25" s="5">
        <f>IntMed!CF25</f>
        <v>903509.93421670911</v>
      </c>
      <c r="G25" s="5">
        <f>IntMed!CP25</f>
        <v>837960.69110832852</v>
      </c>
      <c r="H25" s="5">
        <f>IntMed!CZ25</f>
        <v>889949.0466061132</v>
      </c>
      <c r="I25" s="5">
        <f>IntMed!DJ25</f>
        <v>843266.89836161223</v>
      </c>
      <c r="J25" s="5">
        <f>IntMed!DU25</f>
        <v>839266.72817268269</v>
      </c>
      <c r="K25" s="5">
        <f>IntMed!EF25</f>
        <v>880906.00730821514</v>
      </c>
      <c r="L25" s="5">
        <f>IntMed!GZ25</f>
        <v>1164922.7432174559</v>
      </c>
      <c r="M25" s="5">
        <f>IntMed!HY25</f>
        <v>1142770.9258096323</v>
      </c>
      <c r="N25" s="5">
        <f>IntMed!IT25</f>
        <v>1176969.9325428705</v>
      </c>
      <c r="O25" s="5">
        <f>IntMed!JO25</f>
        <v>1158321.6710904662</v>
      </c>
      <c r="P25" s="5">
        <f>IntMed!KI25</f>
        <v>1043261.9668840171</v>
      </c>
      <c r="Q25" s="5">
        <f>IntMed!LO25</f>
        <v>824190.82945734379</v>
      </c>
      <c r="R25" s="5">
        <f>IntMed!MQ25</f>
        <v>1223005.6748059362</v>
      </c>
    </row>
    <row r="26" spans="1:18" x14ac:dyDescent="0.25">
      <c r="A26" s="53">
        <f>IntMed!A26</f>
        <v>2032</v>
      </c>
      <c r="B26" s="53">
        <f>IntMed!B26</f>
        <v>20</v>
      </c>
      <c r="C26" s="5">
        <f>IntMed!X26</f>
        <v>1234020.8995299013</v>
      </c>
      <c r="D26" s="5">
        <f>IntMed!AT26</f>
        <v>1211869.0821220777</v>
      </c>
      <c r="E26" s="5">
        <f>IntMed!BV26</f>
        <v>920526.97892195347</v>
      </c>
      <c r="F26" s="5">
        <f>IntMed!CF26</f>
        <v>977037.54422137199</v>
      </c>
      <c r="G26" s="5">
        <f>IntMed!CP26</f>
        <v>919153.54324901616</v>
      </c>
      <c r="H26" s="5">
        <f>IntMed!CZ26</f>
        <v>960680.84633946687</v>
      </c>
      <c r="I26" s="5">
        <f>IntMed!DJ26</f>
        <v>924459.75050229987</v>
      </c>
      <c r="J26" s="5">
        <f>IntMed!DU26</f>
        <v>920459.58031337033</v>
      </c>
      <c r="K26" s="5">
        <f>IntMed!EF26</f>
        <v>951637.8070415688</v>
      </c>
      <c r="L26" s="5">
        <f>IntMed!GZ26</f>
        <v>1234020.8995299013</v>
      </c>
      <c r="M26" s="5">
        <f>IntMed!HY26</f>
        <v>1211869.0821220777</v>
      </c>
      <c r="N26" s="5">
        <f>IntMed!IT26</f>
        <v>1250411.8719777474</v>
      </c>
      <c r="O26" s="5">
        <f>IntMed!JO26</f>
        <v>1231763.6105253431</v>
      </c>
      <c r="P26" s="5">
        <f>IntMed!KI26</f>
        <v>1107363.7436498699</v>
      </c>
      <c r="Q26" s="5">
        <f>IntMed!LO26</f>
        <v>897632.76889222057</v>
      </c>
      <c r="R26" s="5">
        <f>IntMed!MQ26</f>
        <v>1304198.5269466238</v>
      </c>
    </row>
    <row r="27" spans="1:18" x14ac:dyDescent="0.25">
      <c r="A27" s="53">
        <f>IntMed!A27</f>
        <v>2033</v>
      </c>
      <c r="B27" s="53">
        <f>IntMed!B27</f>
        <v>21</v>
      </c>
      <c r="C27" s="5">
        <f>IntMed!X27</f>
        <v>1302270.4267230788</v>
      </c>
      <c r="D27" s="5">
        <f>IntMed!AT27</f>
        <v>1280118.6093152552</v>
      </c>
      <c r="E27" s="5">
        <f>IntMed!BV27</f>
        <v>1000069.0115462184</v>
      </c>
      <c r="F27" s="5">
        <f>IntMed!CF27</f>
        <v>1049283.5154178578</v>
      </c>
      <c r="G27" s="5">
        <f>IntMed!CP27</f>
        <v>998695.57587328111</v>
      </c>
      <c r="H27" s="5">
        <f>IntMed!CZ27</f>
        <v>1029957.5897392638</v>
      </c>
      <c r="I27" s="5">
        <f>IntMed!DJ27</f>
        <v>1004001.7831265648</v>
      </c>
      <c r="J27" s="5">
        <f>IntMed!DU27</f>
        <v>1000001.6129376353</v>
      </c>
      <c r="K27" s="5">
        <f>IntMed!EF27</f>
        <v>1020914.5504413657</v>
      </c>
      <c r="L27" s="5">
        <f>IntMed!GZ27</f>
        <v>1302270.4267230788</v>
      </c>
      <c r="M27" s="5">
        <f>IntMed!HY27</f>
        <v>1280118.6093152552</v>
      </c>
      <c r="N27" s="5">
        <f>IntMed!IT27</f>
        <v>1322406.3620002642</v>
      </c>
      <c r="O27" s="5">
        <f>IntMed!JO27</f>
        <v>1303758.1005478599</v>
      </c>
      <c r="P27" s="5">
        <f>IntMed!KI27</f>
        <v>1170201.2114478534</v>
      </c>
      <c r="Q27" s="5">
        <f>IntMed!LO27</f>
        <v>969627.25891473726</v>
      </c>
      <c r="R27" s="5">
        <f>IntMed!MQ27</f>
        <v>1383740.5595708888</v>
      </c>
    </row>
    <row r="28" spans="1:18" x14ac:dyDescent="0.25">
      <c r="A28" s="53">
        <f>IntMed!A28</f>
        <v>2034</v>
      </c>
      <c r="B28" s="53">
        <f>IntMed!B28</f>
        <v>22</v>
      </c>
      <c r="C28" s="5">
        <f>IntMed!X28</f>
        <v>1367895.4297844293</v>
      </c>
      <c r="D28" s="5">
        <f>IntMed!AT28</f>
        <v>1345743.6123766056</v>
      </c>
      <c r="E28" s="5">
        <f>IntMed!BV28</f>
        <v>1077994.3063673258</v>
      </c>
      <c r="F28" s="5">
        <f>IntMed!CF28</f>
        <v>1120264.1486857776</v>
      </c>
      <c r="G28" s="5">
        <f>IntMed!CP28</f>
        <v>1076620.8706943886</v>
      </c>
      <c r="H28" s="5">
        <f>IntMed!CZ28</f>
        <v>1097809.7925150397</v>
      </c>
      <c r="I28" s="5">
        <f>IntMed!DJ28</f>
        <v>1081927.0779476722</v>
      </c>
      <c r="J28" s="5">
        <f>IntMed!DU28</f>
        <v>1077926.9077587428</v>
      </c>
      <c r="K28" s="5">
        <f>IntMed!EF28</f>
        <v>1088766.7532171416</v>
      </c>
      <c r="L28" s="5">
        <f>IntMed!GZ28</f>
        <v>1367895.4297844293</v>
      </c>
      <c r="M28" s="5">
        <f>IntMed!HY28</f>
        <v>1345743.6123766056</v>
      </c>
      <c r="N28" s="5">
        <f>IntMed!IT28</f>
        <v>1392981.9998370076</v>
      </c>
      <c r="O28" s="5">
        <f>IntMed!JO28</f>
        <v>1374333.7383846033</v>
      </c>
      <c r="P28" s="5">
        <f>IntMed!KI28</f>
        <v>1231799.3765154462</v>
      </c>
      <c r="Q28" s="5">
        <f>IntMed!LO28</f>
        <v>1040202.8967514804</v>
      </c>
      <c r="R28" s="5">
        <f>IntMed!MQ28</f>
        <v>1461665.8543919963</v>
      </c>
    </row>
    <row r="29" spans="1:18" x14ac:dyDescent="0.25">
      <c r="A29" s="53">
        <f>IntMed!A29</f>
        <v>2035</v>
      </c>
      <c r="B29" s="53">
        <f>IntMed!B29</f>
        <v>23</v>
      </c>
      <c r="C29" s="5">
        <f>IntMed!X29</f>
        <v>1434930.3930117351</v>
      </c>
      <c r="D29" s="5">
        <f>IntMed!AT29</f>
        <v>1412778.5756039114</v>
      </c>
      <c r="E29" s="5">
        <f>IntMed!BV29</f>
        <v>1154336.2269450962</v>
      </c>
      <c r="F29" s="5">
        <f>IntMed!CF29</f>
        <v>1189995.8831287792</v>
      </c>
      <c r="G29" s="5">
        <f>IntMed!CP29</f>
        <v>1152962.791272159</v>
      </c>
      <c r="H29" s="5">
        <f>IntMed!CZ29</f>
        <v>1164267.3142079234</v>
      </c>
      <c r="I29" s="5">
        <f>IntMed!DJ29</f>
        <v>1158268.9985254426</v>
      </c>
      <c r="J29" s="5">
        <f>IntMed!DU29</f>
        <v>1154268.8283365131</v>
      </c>
      <c r="K29" s="5">
        <f>IntMed!EF29</f>
        <v>1155268.7507974799</v>
      </c>
      <c r="L29" s="5">
        <f>IntMed!GZ29</f>
        <v>1434930.3930117351</v>
      </c>
      <c r="M29" s="5">
        <f>IntMed!HY29</f>
        <v>1412778.5756039114</v>
      </c>
      <c r="N29" s="5">
        <f>IntMed!IT29</f>
        <v>1462166.8156972844</v>
      </c>
      <c r="O29" s="5">
        <f>IntMed!JO29</f>
        <v>1443518.5542448801</v>
      </c>
      <c r="P29" s="5">
        <f>IntMed!KI29</f>
        <v>1292182.7484843994</v>
      </c>
      <c r="Q29" s="5">
        <f>IntMed!LO29</f>
        <v>1109387.7126117572</v>
      </c>
      <c r="R29" s="5">
        <f>IntMed!MQ29</f>
        <v>1538007.7749697666</v>
      </c>
    </row>
    <row r="30" spans="1:18" x14ac:dyDescent="0.25">
      <c r="A30" s="53">
        <f>IntMed!A30</f>
        <v>2036</v>
      </c>
      <c r="B30" s="53">
        <f>IntMed!B30</f>
        <v>24</v>
      </c>
      <c r="C30" s="5">
        <f>IntMed!X30</f>
        <v>1499381.6004349594</v>
      </c>
      <c r="D30" s="5">
        <f>IntMed!AT30</f>
        <v>1477229.7830271358</v>
      </c>
      <c r="E30" s="5">
        <f>IntMed!BV30</f>
        <v>1229127.4342202926</v>
      </c>
      <c r="F30" s="5">
        <f>IntMed!CF30</f>
        <v>1258495.270363267</v>
      </c>
      <c r="G30" s="5">
        <f>IntMed!CP30</f>
        <v>1227753.9985473554</v>
      </c>
      <c r="H30" s="5">
        <f>IntMed!CZ30</f>
        <v>1229359.3727407956</v>
      </c>
      <c r="I30" s="5">
        <f>IntMed!DJ30</f>
        <v>1233060.205800639</v>
      </c>
      <c r="J30" s="5">
        <f>IntMed!DU30</f>
        <v>1229060.0356117096</v>
      </c>
      <c r="K30" s="5">
        <f>IntMed!EF30</f>
        <v>1225067.8718296164</v>
      </c>
      <c r="L30" s="5">
        <f>IntMed!GZ30</f>
        <v>1499381.6004349594</v>
      </c>
      <c r="M30" s="5">
        <f>IntMed!HY30</f>
        <v>1477229.7830271358</v>
      </c>
      <c r="N30" s="5">
        <f>IntMed!IT30</f>
        <v>1529988.2840742352</v>
      </c>
      <c r="O30" s="5">
        <f>IntMed!JO30</f>
        <v>1511340.0226218309</v>
      </c>
      <c r="P30" s="5">
        <f>IntMed!KI30</f>
        <v>1351375.3503012287</v>
      </c>
      <c r="Q30" s="5">
        <f>IntMed!LO30</f>
        <v>1177209.1809887078</v>
      </c>
      <c r="R30" s="5">
        <f>IntMed!MQ30</f>
        <v>1612798.9822449631</v>
      </c>
    </row>
    <row r="31" spans="1:18" x14ac:dyDescent="0.25">
      <c r="A31" s="53">
        <f>IntMed!A31</f>
        <v>2037</v>
      </c>
      <c r="B31" s="53">
        <f>IntMed!B31</f>
        <v>25</v>
      </c>
      <c r="C31" s="5">
        <f>IntMed!X31</f>
        <v>1564183.7950563659</v>
      </c>
      <c r="D31" s="5">
        <f>IntMed!AT31</f>
        <v>1540644.7934748186</v>
      </c>
      <c r="E31" s="5">
        <f>IntMed!BV31</f>
        <v>1302399.901702096</v>
      </c>
      <c r="F31" s="5">
        <f>IntMed!CF31</f>
        <v>1325778.9504467184</v>
      </c>
      <c r="G31" s="5">
        <f>IntMed!CP31</f>
        <v>1301026.4660291588</v>
      </c>
      <c r="H31" s="5">
        <f>IntMed!CZ31</f>
        <v>1294380.4163218858</v>
      </c>
      <c r="I31" s="5">
        <f>IntMed!DJ31</f>
        <v>1306332.6732824424</v>
      </c>
      <c r="J31" s="5">
        <f>IntMed!DU31</f>
        <v>1302332.503093513</v>
      </c>
      <c r="K31" s="5">
        <f>IntMed!EF31</f>
        <v>1298340.3393114198</v>
      </c>
      <c r="L31" s="5">
        <f>IntMed!GZ31</f>
        <v>1555783.4704518379</v>
      </c>
      <c r="M31" s="5">
        <f>IntMed!HY31</f>
        <v>1532244.4688702906</v>
      </c>
      <c r="N31" s="5">
        <f>IntMed!IT31</f>
        <v>1596466.4092454289</v>
      </c>
      <c r="O31" s="5">
        <f>IntMed!JO31</f>
        <v>1577818.1477930245</v>
      </c>
      <c r="P31" s="5">
        <f>IntMed!KI31</f>
        <v>1409400.7279478563</v>
      </c>
      <c r="Q31" s="5">
        <f>IntMed!LO31</f>
        <v>1243687.3061599014</v>
      </c>
      <c r="R31" s="5">
        <f>IntMed!MQ31</f>
        <v>1686071.4497267664</v>
      </c>
    </row>
    <row r="32" spans="1:18" x14ac:dyDescent="0.25">
      <c r="A32" s="53">
        <f>IntMed!A32</f>
        <v>2038</v>
      </c>
      <c r="B32" s="53">
        <f>IntMed!B32</f>
        <v>26</v>
      </c>
      <c r="C32" s="5">
        <f>IntMed!X32</f>
        <v>1626488.1289464189</v>
      </c>
      <c r="D32" s="5">
        <f>IntMed!AT32</f>
        <v>1601881.2511785394</v>
      </c>
      <c r="E32" s="5">
        <f>IntMed!BV32</f>
        <v>1374184.9303166976</v>
      </c>
      <c r="F32" s="5">
        <f>IntMed!CF32</f>
        <v>1391863.629357958</v>
      </c>
      <c r="G32" s="5">
        <f>IntMed!CP32</f>
        <v>1372811.4946437604</v>
      </c>
      <c r="H32" s="5">
        <f>IntMed!CZ32</f>
        <v>1366165.4449364874</v>
      </c>
      <c r="I32" s="5">
        <f>IntMed!DJ32</f>
        <v>1378117.701897044</v>
      </c>
      <c r="J32" s="5">
        <f>IntMed!DU32</f>
        <v>1374117.5317081145</v>
      </c>
      <c r="K32" s="5">
        <f>IntMed!EF32</f>
        <v>1370125.3679260213</v>
      </c>
      <c r="L32" s="5">
        <f>IntMed!GZ32</f>
        <v>1610012.1067875663</v>
      </c>
      <c r="M32" s="5">
        <f>IntMed!HY32</f>
        <v>1585405.2290196868</v>
      </c>
      <c r="N32" s="5">
        <f>IntMed!IT32</f>
        <v>1661590.317947668</v>
      </c>
      <c r="O32" s="5">
        <f>IntMed!JO32</f>
        <v>1642942.0564952637</v>
      </c>
      <c r="P32" s="5">
        <f>IntMed!KI32</f>
        <v>1466281.9599664717</v>
      </c>
      <c r="Q32" s="5">
        <f>IntMed!LO32</f>
        <v>1308811.2148621404</v>
      </c>
      <c r="R32" s="5">
        <f>IntMed!MQ32</f>
        <v>1757856.478341368</v>
      </c>
    </row>
    <row r="33" spans="1:18" x14ac:dyDescent="0.25">
      <c r="A33" s="53">
        <f>IntMed!A33</f>
        <v>2039</v>
      </c>
      <c r="B33" s="53">
        <f>IntMed!B33</f>
        <v>27</v>
      </c>
      <c r="C33" s="5">
        <f>IntMed!X33</f>
        <v>1687886.8066189096</v>
      </c>
      <c r="D33" s="5">
        <f>IntMed!AT33</f>
        <v>1661012.8912972515</v>
      </c>
      <c r="E33" s="5">
        <f>IntMed!BV33</f>
        <v>1444513.1629248548</v>
      </c>
      <c r="F33" s="5">
        <f>IntMed!CF33</f>
        <v>1456766.0579461628</v>
      </c>
      <c r="G33" s="5">
        <f>IntMed!CP33</f>
        <v>1443139.7272519176</v>
      </c>
      <c r="H33" s="5">
        <f>IntMed!CZ33</f>
        <v>1436493.6775446446</v>
      </c>
      <c r="I33" s="5">
        <f>IntMed!DJ33</f>
        <v>1448445.9345052012</v>
      </c>
      <c r="J33" s="5">
        <f>IntMed!DU33</f>
        <v>1444445.7643162718</v>
      </c>
      <c r="K33" s="5">
        <f>IntMed!EF33</f>
        <v>1440453.6005341785</v>
      </c>
      <c r="L33" s="5">
        <f>IntMed!GZ33</f>
        <v>1688901.5760365392</v>
      </c>
      <c r="M33" s="5">
        <f>IntMed!HY33</f>
        <v>1636773.2535569523</v>
      </c>
      <c r="N33" s="5">
        <f>IntMed!IT33</f>
        <v>1725388.0408378227</v>
      </c>
      <c r="O33" s="5">
        <f>IntMed!JO33</f>
        <v>1706739.7793854184</v>
      </c>
      <c r="P33" s="5">
        <f>IntMed!KI33</f>
        <v>1522041.6667926034</v>
      </c>
      <c r="Q33" s="5">
        <f>IntMed!LO33</f>
        <v>1372608.9377522951</v>
      </c>
      <c r="R33" s="5">
        <f>IntMed!MQ33</f>
        <v>1828184.7109495252</v>
      </c>
    </row>
    <row r="34" spans="1:18" x14ac:dyDescent="0.25">
      <c r="A34" s="53">
        <f>IntMed!A34</f>
        <v>2040</v>
      </c>
      <c r="B34" s="53">
        <f>IntMed!B34</f>
        <v>28</v>
      </c>
      <c r="C34" s="5">
        <f>IntMed!X34</f>
        <v>1746918.784065299</v>
      </c>
      <c r="D34" s="5">
        <f>IntMed!AT34</f>
        <v>1718236.1268433037</v>
      </c>
      <c r="E34" s="5">
        <f>IntMed!BV34</f>
        <v>1513414.5985160603</v>
      </c>
      <c r="F34" s="5">
        <f>IntMed!CF34</f>
        <v>1520503.0122695668</v>
      </c>
      <c r="G34" s="5">
        <f>IntMed!CP34</f>
        <v>1512041.1628431231</v>
      </c>
      <c r="H34" s="5">
        <f>IntMed!CZ34</f>
        <v>1505395.1131358501</v>
      </c>
      <c r="I34" s="5">
        <f>IntMed!DJ34</f>
        <v>1517347.3700964067</v>
      </c>
      <c r="J34" s="5">
        <f>IntMed!DU34</f>
        <v>1513347.1999074772</v>
      </c>
      <c r="K34" s="5">
        <f>IntMed!EF34</f>
        <v>1509355.036125384</v>
      </c>
      <c r="L34" s="5">
        <f>IntMed!GZ34</f>
        <v>1765909.0832181347</v>
      </c>
      <c r="M34" s="5">
        <f>IntMed!HY34</f>
        <v>1714340.0495104855</v>
      </c>
      <c r="N34" s="5">
        <f>IntMed!IT34</f>
        <v>1787887.0159211827</v>
      </c>
      <c r="O34" s="5">
        <f>IntMed!JO34</f>
        <v>1769238.7544687784</v>
      </c>
      <c r="P34" s="5">
        <f>IntMed!KI34</f>
        <v>1576702.0199003082</v>
      </c>
      <c r="Q34" s="5">
        <f>IntMed!LO34</f>
        <v>1435107.912835655</v>
      </c>
      <c r="R34" s="5">
        <f>IntMed!MQ34</f>
        <v>1897086.1465407307</v>
      </c>
    </row>
    <row r="35" spans="1:18" x14ac:dyDescent="0.25">
      <c r="A35" s="53">
        <f>IntMed!A35</f>
        <v>2041</v>
      </c>
      <c r="B35" s="53">
        <f>IntMed!B35</f>
        <v>29</v>
      </c>
      <c r="C35" s="5">
        <f>IntMed!X35</f>
        <v>1803675.3459129347</v>
      </c>
      <c r="D35" s="5">
        <f>IntMed!AT35</f>
        <v>1773610.2067569182</v>
      </c>
      <c r="E35" s="5">
        <f>IntMed!BV35</f>
        <v>1580918.6060867952</v>
      </c>
      <c r="F35" s="5">
        <f>IntMed!CF35</f>
        <v>1583091.2752488288</v>
      </c>
      <c r="G35" s="5">
        <f>IntMed!CP35</f>
        <v>1579545.170413858</v>
      </c>
      <c r="H35" s="5">
        <f>IntMed!CZ35</f>
        <v>1572899.120706585</v>
      </c>
      <c r="I35" s="5">
        <f>IntMed!DJ35</f>
        <v>1584851.3776671416</v>
      </c>
      <c r="J35" s="5">
        <f>IntMed!DU35</f>
        <v>1580851.2074782122</v>
      </c>
      <c r="K35" s="5">
        <f>IntMed!EF35</f>
        <v>1576859.043696119</v>
      </c>
      <c r="L35" s="5">
        <f>IntMed!GZ35</f>
        <v>1841084.0246325182</v>
      </c>
      <c r="M35" s="5">
        <f>IntMed!HY35</f>
        <v>1790052.6662148526</v>
      </c>
      <c r="N35" s="5">
        <f>IntMed!IT35</f>
        <v>1849114.1014254023</v>
      </c>
      <c r="O35" s="5">
        <f>IntMed!JO35</f>
        <v>1830465.839972998</v>
      </c>
      <c r="P35" s="5">
        <f>IntMed!KI35</f>
        <v>1630284.7507633036</v>
      </c>
      <c r="Q35" s="5">
        <f>IntMed!LO35</f>
        <v>1496334.9983398747</v>
      </c>
      <c r="R35" s="5">
        <f>IntMed!MQ35</f>
        <v>1964590.1541114657</v>
      </c>
    </row>
    <row r="36" spans="1:18" x14ac:dyDescent="0.25">
      <c r="A36" s="53">
        <f>IntMed!A36</f>
        <v>2042</v>
      </c>
      <c r="B36" s="53">
        <f>IntMed!B36</f>
        <v>30</v>
      </c>
      <c r="C36" s="5">
        <f>IntMed!X36</f>
        <v>1858244.2542448989</v>
      </c>
      <c r="D36" s="5">
        <f>IntMed!AT36</f>
        <v>1827514.5868415183</v>
      </c>
      <c r="E36" s="5">
        <f>IntMed!BV36</f>
        <v>1647053.9382101544</v>
      </c>
      <c r="F36" s="5">
        <f>IntMed!CF36</f>
        <v>1644547.6195638184</v>
      </c>
      <c r="G36" s="5">
        <f>IntMed!CP36</f>
        <v>1645680.5025372172</v>
      </c>
      <c r="H36" s="5">
        <f>IntMed!CZ36</f>
        <v>1639034.4528299442</v>
      </c>
      <c r="I36" s="5">
        <f>IntMed!DJ36</f>
        <v>1650986.7097905008</v>
      </c>
      <c r="J36" s="5">
        <f>IntMed!DU36</f>
        <v>1646986.5396015714</v>
      </c>
      <c r="K36" s="5">
        <f>IntMed!EF36</f>
        <v>1642994.3758194782</v>
      </c>
      <c r="L36" s="5">
        <f>IntMed!GZ36</f>
        <v>1914474.3584127922</v>
      </c>
      <c r="M36" s="5">
        <f>IntMed!HY36</f>
        <v>1863959.8970471765</v>
      </c>
      <c r="N36" s="5">
        <f>IntMed!IT36</f>
        <v>1909095.5883855114</v>
      </c>
      <c r="O36" s="5">
        <f>IntMed!JO36</f>
        <v>1890447.3269331071</v>
      </c>
      <c r="P36" s="5">
        <f>IntMed!KI36</f>
        <v>1682811.1596357916</v>
      </c>
      <c r="Q36" s="5">
        <f>IntMed!LO36</f>
        <v>1556316.4852999835</v>
      </c>
      <c r="R36" s="5">
        <f>IntMed!MQ36</f>
        <v>2030725.4862348249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OptMilitRet</vt:lpstr>
      <vt:lpstr>ReadMe</vt:lpstr>
      <vt:lpstr>MainParameters</vt:lpstr>
      <vt:lpstr>InputData</vt:lpstr>
      <vt:lpstr>IntMed</vt:lpstr>
      <vt:lpstr>Ortho</vt:lpstr>
      <vt:lpstr>GenSurg</vt:lpstr>
      <vt:lpstr>Ophtha</vt:lpstr>
      <vt:lpstr>Graph_IntMed</vt:lpstr>
      <vt:lpstr>Graph_Ortho</vt:lpstr>
      <vt:lpstr>Graph_GenSurg</vt:lpstr>
      <vt:lpstr>Graph_Ophtha</vt:lpstr>
      <vt:lpstr>PivotData</vt:lpstr>
      <vt:lpstr>PivotChart</vt:lpstr>
      <vt:lpstr>PivotTableNPV30</vt:lpstr>
    </vt:vector>
  </TitlesOfParts>
  <Company>Office of Personnel Management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Marcu, Mircea I.</dc:creator>
  <cp:lastModifiedBy>Iler, Suzanne</cp:lastModifiedBy>
  <dcterms:created xsi:type="dcterms:W3CDTF">2014-03-07T20:10:08Z</dcterms:created>
  <dcterms:modified xsi:type="dcterms:W3CDTF">2017-01-10T15:34:28Z</dcterms:modified>
</cp:coreProperties>
</file>